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Slides" sheetId="2" r:id="rId5"/>
    <sheet state="visible" name="Summary" sheetId="3" r:id="rId6"/>
    <sheet state="visible" name="% of Revenue" sheetId="4" r:id="rId7"/>
    <sheet state="visible" name="IS Proforma" sheetId="5" r:id="rId8"/>
    <sheet state="hidden" name="Acquisition Scenarios (cycle)" sheetId="6" r:id="rId9"/>
    <sheet state="hidden" name="Copy of Acquistion Summary" sheetId="7" r:id="rId10"/>
    <sheet state="visible" name="Headcount" sheetId="8" r:id="rId11"/>
    <sheet state="visible" name="Expenses" sheetId="9" r:id="rId12"/>
    <sheet state="visible" name="New Biz Sales" sheetId="10" r:id="rId13"/>
    <sheet state="visible" name="Portfolio Sales" sheetId="11" r:id="rId14"/>
    <sheet state="visible" name="Retention" sheetId="12" r:id="rId15"/>
    <sheet state="visible" name="Revenue" sheetId="13" r:id="rId16"/>
    <sheet state="visible" name="Capacity" sheetId="14" r:id="rId17"/>
    <sheet state="visible" name="Ops Departments" sheetId="15" r:id="rId18"/>
    <sheet state="visible" name="Opex Departments" sheetId="16" r:id="rId19"/>
    <sheet state="hidden" name="Obilitity IS Summary" sheetId="17" r:id="rId20"/>
  </sheets>
  <definedNames/>
  <calcPr/>
  <extLst>
    <ext uri="GoogleSheetsCustomDataVersion1">
      <go:sheetsCustomData xmlns:go="http://customooxmlschemas.google.com/" r:id="rId21" roundtripDataSignature="AMtx7mhl6yIpWsd6NjLaL5E6IQUigvs74A=="/>
    </ext>
  </extLst>
</workbook>
</file>

<file path=xl/sharedStrings.xml><?xml version="1.0" encoding="utf-8"?>
<sst xmlns="http://schemas.openxmlformats.org/spreadsheetml/2006/main" count="4352" uniqueCount="862">
  <si>
    <t>Directive Financial Model</t>
  </si>
  <si>
    <t>Tab</t>
  </si>
  <si>
    <t>Summary</t>
  </si>
  <si>
    <t>Gold text means the values are actuals and should be updated after close</t>
  </si>
  <si>
    <t>Slides</t>
  </si>
  <si>
    <t>Slides for Trimester presentation linked to rest of Model</t>
  </si>
  <si>
    <t>Blue text are inputs</t>
  </si>
  <si>
    <t>Full P&amp;L view for Directive and broken out by Product line</t>
  </si>
  <si>
    <t>Green text links to output from other sheet</t>
  </si>
  <si>
    <t>% of Revenue</t>
  </si>
  <si>
    <t>Summary view for trends on areas as a % of revenue</t>
  </si>
  <si>
    <t>Red texts are manual inputs to override any formula trends</t>
  </si>
  <si>
    <t>IS Proforma</t>
  </si>
  <si>
    <t>Detailed P&amp;L view</t>
  </si>
  <si>
    <t>Black texts are formulas and should not be edited</t>
  </si>
  <si>
    <t>Headcount</t>
  </si>
  <si>
    <t>Headcount forecast by role/department with related GL accounts and drivers</t>
  </si>
  <si>
    <t>Expenses</t>
  </si>
  <si>
    <t>All other GL expense accounts and drivers</t>
  </si>
  <si>
    <t>New Biz Sales</t>
  </si>
  <si>
    <t>Sales Funnel to get towards Bookings</t>
  </si>
  <si>
    <t>Portfolio Sales</t>
  </si>
  <si>
    <t>Bookings from Client Services</t>
  </si>
  <si>
    <t>Retention</t>
  </si>
  <si>
    <t>Convers Bookings from New Biz and Portfolio into GAAP Revenue less churn from pior months</t>
  </si>
  <si>
    <t>Revenue</t>
  </si>
  <si>
    <t>Growth assumptions for each Product and related hourly rate to get capacity hours needed</t>
  </si>
  <si>
    <t>Capacity</t>
  </si>
  <si>
    <t>Convert Revenue to capacity hours needed to support growth and when headcount needs are required</t>
  </si>
  <si>
    <t>Ops Departments</t>
  </si>
  <si>
    <t>Breakout COGS into Product P&amp;Ls</t>
  </si>
  <si>
    <t>Opex Departments</t>
  </si>
  <si>
    <t>Breakout OPEX into Department P&amp;Ls</t>
  </si>
  <si>
    <t>Commentary</t>
  </si>
  <si>
    <t>Notes</t>
  </si>
  <si>
    <t>Aggregated tab that pulls in relevant data for any Financial Reporting that is weekly or monthly. You should have all your data linked here so that when you make any edits, it's an easy copy/paste to update a PowerPoint slide</t>
  </si>
  <si>
    <t>IS Proforma tab into bucketized groups for a simplified P&amp;L view that is exec-friendly for those important expenses areas. You can customize your buckets from Column B and the sumif formula will update. Need to make sure both tabs have the same label for each GL code</t>
  </si>
  <si>
    <t>Easiest way for CFO to make sure trends in future periods make sense and follow the overall strategy of the company. Expenses and Revenue should be trending toward a target number by a certain period and allow you to spot any discrepancies if an expense is decreasing over a period and then spikes up in a random year, something is wrong or should be explained</t>
  </si>
  <si>
    <t>Drop in actuals from QBO or whatever ERP for current months. This pulls in data from Headcount and Expenses tab to push to Summary tab</t>
  </si>
  <si>
    <t>Brings in incremental headcount adds from Capacity tab and allows you to adjust all headcount related expenses. You can adjust average base salary for all new heads and then forecast any merit increases during the period for the existing employee base. All various benefits are here and you can adjust the % to base for each related GL line item tied to payroll. Commissions and Bonus are also here and can be edited to fit your specific needs or try out various scenarios.</t>
  </si>
  <si>
    <t>All other expenses, so non-headcount sit here. Most should either be tied to headcount or revenue and you can sync them to any specific department</t>
  </si>
  <si>
    <t>This is where the bottoms-up model begins from a forecasting standpoint. You need to build out your Sales Funnel in all it's different stages for the various product lines and establish what the target SQLs are with associated conversion rates to get to Deals Closed and AOV.</t>
  </si>
  <si>
    <t>If you have a Client Services or Portfolio division, this is where the inputs would go. This can be fairly unique to any organization so could probably use some tweaks to make it more relevant to your org.</t>
  </si>
  <si>
    <t>Converts Bookings from New Biz and Portfolio tabs to GAAP Revenue. This tab takes the existing revenue from product lines and churns out revenue from the existing client base and then adds in new revenue from New Biz and Portfolio Bookings that got converted into GAAP Revenue. Churn is a very important metric that needs to properly be accounted for and forecasted to scale a business.</t>
  </si>
  <si>
    <t>Converts Revenue into an hourly rate to be able to understand how many hours are needed to support each service line. Each revenue line item can have it's own unique rate to service that specific deliverable</t>
  </si>
  <si>
    <t>This is where incremental headcount is forecasted for a Just-In-Time-Labor delivery model. You should know how many hours of labor are needed to support forecasted revenue in a Services organization. We've broken out from Specialist-&gt;Strategist/Contractor-&gt;Associate Director but you could adjust this to fit your specific needs. Also includes various triggers for the other departments whether it's tied to Bookings goals (Sales) or opex triggers for HR or Finance.</t>
  </si>
  <si>
    <t>Drop in actuals from QBO or whatever ERP for current months and then pushes to Slides tab for Financial Reporting</t>
  </si>
  <si>
    <t>Paid Media</t>
  </si>
  <si>
    <t>T3 2022</t>
  </si>
  <si>
    <t>T1 2023</t>
  </si>
  <si>
    <t>Fav/(Unfav)</t>
  </si>
  <si>
    <t>% Growth</t>
  </si>
  <si>
    <t>T1 2022</t>
  </si>
  <si>
    <t>T2 2022</t>
  </si>
  <si>
    <t>T2 2023</t>
  </si>
  <si>
    <t>T3 2023</t>
  </si>
  <si>
    <t>Recurring</t>
  </si>
  <si>
    <t>Project</t>
  </si>
  <si>
    <t>Variable</t>
  </si>
  <si>
    <t>Paid Media Revenue</t>
  </si>
  <si>
    <t xml:space="preserve">  NNR</t>
  </si>
  <si>
    <t xml:space="preserve">  % Growth MoM</t>
  </si>
  <si>
    <t>% Growth ToT</t>
  </si>
  <si>
    <t>COGS Payroll</t>
  </si>
  <si>
    <t>Payroll &amp; Related</t>
  </si>
  <si>
    <t>COGS Contractors</t>
  </si>
  <si>
    <t>Contractors</t>
  </si>
  <si>
    <t>COGS Travel</t>
  </si>
  <si>
    <t>T&amp;E</t>
  </si>
  <si>
    <t>COGS Software</t>
  </si>
  <si>
    <t>Software</t>
  </si>
  <si>
    <t>COGS Other</t>
  </si>
  <si>
    <t>Other</t>
  </si>
  <si>
    <t>Total COGS</t>
  </si>
  <si>
    <t>Paid Media Gross Profit</t>
  </si>
  <si>
    <t xml:space="preserve">  Gross Margin</t>
  </si>
  <si>
    <t>Revenue/Strategist</t>
  </si>
  <si>
    <t># of Product Opportunities</t>
  </si>
  <si>
    <t>Product Deals Closed</t>
  </si>
  <si>
    <t>New Client AOV</t>
  </si>
  <si>
    <t>TTM Retention Rate</t>
  </si>
  <si>
    <t>Monthly Retention Rate</t>
  </si>
  <si>
    <t>Average Monthly Retention</t>
  </si>
  <si>
    <t>New Client LTV</t>
  </si>
  <si>
    <t>Check</t>
  </si>
  <si>
    <t>SEO</t>
  </si>
  <si>
    <t>Annualized Retention Rate</t>
  </si>
  <si>
    <t>Design</t>
  </si>
  <si>
    <t>Revenue/Designer</t>
  </si>
  <si>
    <t>Video</t>
  </si>
  <si>
    <t># of Opportunities</t>
  </si>
  <si>
    <t>Deals Closed</t>
  </si>
  <si>
    <t>Creative</t>
  </si>
  <si>
    <t xml:space="preserve"> </t>
  </si>
  <si>
    <t>Rev Ops</t>
  </si>
  <si>
    <t>Revenue/Analyst</t>
  </si>
  <si>
    <t>Strategy</t>
  </si>
  <si>
    <t>AOV</t>
  </si>
  <si>
    <t>Total Revenue</t>
  </si>
  <si>
    <t xml:space="preserve">  % Growth</t>
  </si>
  <si>
    <t>Total NNR</t>
  </si>
  <si>
    <t>Gross Margin</t>
  </si>
  <si>
    <t>Salaries &amp; Benefits</t>
  </si>
  <si>
    <t>Portfolio Commissions</t>
  </si>
  <si>
    <t>Gross Profit</t>
  </si>
  <si>
    <t>Gross Proft</t>
  </si>
  <si>
    <t>EBITDA</t>
  </si>
  <si>
    <t>Employee Related</t>
  </si>
  <si>
    <t>Sales Commissions</t>
  </si>
  <si>
    <t>Contractors &amp; Prof Services</t>
  </si>
  <si>
    <t>Software &amp; Licenses</t>
  </si>
  <si>
    <t>Marketing &amp; Advertising</t>
  </si>
  <si>
    <t>Office Related</t>
  </si>
  <si>
    <t>Other Opex</t>
  </si>
  <si>
    <t>Total Opex</t>
  </si>
  <si>
    <t>EBITDA Margin</t>
  </si>
  <si>
    <t>% of Rev</t>
  </si>
  <si>
    <t>Ideal % of Rev</t>
  </si>
  <si>
    <t>Operations</t>
  </si>
  <si>
    <t>Sales</t>
  </si>
  <si>
    <t>Marketing</t>
  </si>
  <si>
    <t>Finance</t>
  </si>
  <si>
    <t>People Ops</t>
  </si>
  <si>
    <t>General OH</t>
  </si>
  <si>
    <t>Total Costs</t>
  </si>
  <si>
    <t>Strategy Calls</t>
  </si>
  <si>
    <t>Proposals</t>
  </si>
  <si>
    <t>Strat-&gt;Proposal Conversion (1 mo lag)</t>
  </si>
  <si>
    <t>Proposal-&gt;Closed Conversion (1 mo lag)</t>
  </si>
  <si>
    <t xml:space="preserve">Paid Media </t>
  </si>
  <si>
    <t>PCS</t>
  </si>
  <si>
    <t>Total Strategy Calls</t>
  </si>
  <si>
    <t>Total Proposals</t>
  </si>
  <si>
    <t>Total Closed</t>
  </si>
  <si>
    <t xml:space="preserve">Portfolio </t>
  </si>
  <si>
    <t>Average AOV</t>
  </si>
  <si>
    <t>Total New Biz Domestic Sales Bookings</t>
  </si>
  <si>
    <t>Total Portfolio Bookings</t>
  </si>
  <si>
    <t xml:space="preserve">  NNB</t>
  </si>
  <si>
    <t>T1 2020</t>
  </si>
  <si>
    <t>T2 2020</t>
  </si>
  <si>
    <t>T3 2020</t>
  </si>
  <si>
    <t>T1 2021</t>
  </si>
  <si>
    <t>T2 2021</t>
  </si>
  <si>
    <t>T3 2021</t>
  </si>
  <si>
    <t>T1 2024</t>
  </si>
  <si>
    <t>T2 2024</t>
  </si>
  <si>
    <t>T3 2024</t>
  </si>
  <si>
    <t>T1 2025</t>
  </si>
  <si>
    <t>T2 2025</t>
  </si>
  <si>
    <t>T3 2025</t>
  </si>
  <si>
    <t>T1 2026</t>
  </si>
  <si>
    <t>T2 2026</t>
  </si>
  <si>
    <t>T3 2026</t>
  </si>
  <si>
    <t>T1 2027</t>
  </si>
  <si>
    <t>T2 2027</t>
  </si>
  <si>
    <t>T3 2027</t>
  </si>
  <si>
    <t>2021</t>
  </si>
  <si>
    <t>2022</t>
  </si>
  <si>
    <t>2023</t>
  </si>
  <si>
    <t>2024</t>
  </si>
  <si>
    <t>2025</t>
  </si>
  <si>
    <t>2026</t>
  </si>
  <si>
    <t>2027</t>
  </si>
  <si>
    <t>Department</t>
  </si>
  <si>
    <t>Mapping</t>
  </si>
  <si>
    <t>Actuals</t>
  </si>
  <si>
    <t>Forecast</t>
  </si>
  <si>
    <t>Performance Creative</t>
  </si>
  <si>
    <t>Other Rev</t>
  </si>
  <si>
    <t>COGS</t>
  </si>
  <si>
    <t>COGS Salaries &amp; Benefits</t>
  </si>
  <si>
    <t>COGS Commissions</t>
  </si>
  <si>
    <t>COGS Portfolio Commissions</t>
  </si>
  <si>
    <t>Opex</t>
  </si>
  <si>
    <t>Payroll</t>
  </si>
  <si>
    <t>Employee</t>
  </si>
  <si>
    <t>Commissions</t>
  </si>
  <si>
    <t>Office</t>
  </si>
  <si>
    <t>Travel</t>
  </si>
  <si>
    <t>Travel &amp; Entertainment</t>
  </si>
  <si>
    <t xml:space="preserve">  EBITDA Margin</t>
  </si>
  <si>
    <t>Other Income</t>
  </si>
  <si>
    <t>Other Expenses</t>
  </si>
  <si>
    <t>Net Income</t>
  </si>
  <si>
    <t>Department % of Revenue</t>
  </si>
  <si>
    <t>Directive Consulting</t>
  </si>
  <si>
    <t>Pro Forma Income Statement</t>
  </si>
  <si>
    <t>Income</t>
  </si>
  <si>
    <t xml:space="preserve">   4010 Paid Media - Recurring - Retainer</t>
  </si>
  <si>
    <t xml:space="preserve">   4011 Paid Media - Recurring - Variable</t>
  </si>
  <si>
    <t xml:space="preserve">   4012 Paid Media - Project</t>
  </si>
  <si>
    <t xml:space="preserve">   4016 Creative - Recurring</t>
  </si>
  <si>
    <t xml:space="preserve">   4020 SEO - Recurring</t>
  </si>
  <si>
    <t xml:space="preserve">   4021 SEO - Project</t>
  </si>
  <si>
    <t xml:space="preserve">   4030 Performance Creative - Recurring</t>
  </si>
  <si>
    <t xml:space="preserve">   4031 Performance Creative - Project</t>
  </si>
  <si>
    <t xml:space="preserve">   4040 Video - Recurring</t>
  </si>
  <si>
    <t xml:space="preserve">   4041 Video - Project</t>
  </si>
  <si>
    <t xml:space="preserve">   4050 Rev Ops - Recurring</t>
  </si>
  <si>
    <t xml:space="preserve">   4051 Rev Ops - Project</t>
  </si>
  <si>
    <t xml:space="preserve">   4060 Strategy - Project</t>
  </si>
  <si>
    <t xml:space="preserve">   4099 Digital Products</t>
  </si>
  <si>
    <t xml:space="preserve">   4999 Discounts &amp; Credits</t>
  </si>
  <si>
    <t>Total Income</t>
  </si>
  <si>
    <t>Cost of Goods Sold</t>
  </si>
  <si>
    <t xml:space="preserve">   5000 COS - Salaries &amp; Wages</t>
  </si>
  <si>
    <t xml:space="preserve">      5000.1 COS - Salaries &amp; Wages - Interns</t>
  </si>
  <si>
    <t xml:space="preserve">   Total 5000 COS - Salaries &amp; Wages</t>
  </si>
  <si>
    <t xml:space="preserve">   5001 COS - Payroll Taxes</t>
  </si>
  <si>
    <t xml:space="preserve">   5002 COS - Employee Benefits</t>
  </si>
  <si>
    <t xml:space="preserve">   5003 COS - 401(k) Employer Match</t>
  </si>
  <si>
    <t xml:space="preserve">   5004 COS - Bonus</t>
  </si>
  <si>
    <t xml:space="preserve">   5005 COS - Loyalty Bonus</t>
  </si>
  <si>
    <t xml:space="preserve">   5006 COS - Commissions</t>
  </si>
  <si>
    <t xml:space="preserve">   5007 COS - Contractors</t>
  </si>
  <si>
    <t xml:space="preserve">   5008 COS - Software &amp; Licenses</t>
  </si>
  <si>
    <t xml:space="preserve">   5009 Allocated Direct Costs</t>
  </si>
  <si>
    <t xml:space="preserve">   5301 T&amp;E - Hotel</t>
  </si>
  <si>
    <t xml:space="preserve">   5302 T&amp;E - Transportation</t>
  </si>
  <si>
    <t xml:space="preserve">   5303 T&amp;E - Meals &amp; Entertainment</t>
  </si>
  <si>
    <t>Total Cost of Goods Sold</t>
  </si>
  <si>
    <t xml:space="preserve">   6000 Salaries &amp; Wages</t>
  </si>
  <si>
    <t xml:space="preserve">      6000.1 Salaries &amp; Wages - Interns</t>
  </si>
  <si>
    <t xml:space="preserve">   Total 6000 COS - Salaries &amp; Wages</t>
  </si>
  <si>
    <t xml:space="preserve">   6001 Payroll Taxes</t>
  </si>
  <si>
    <t xml:space="preserve">   6002 Employee Benefits</t>
  </si>
  <si>
    <t xml:space="preserve">   6003 401(k) Employer Match</t>
  </si>
  <si>
    <t xml:space="preserve">   6004 Bonus</t>
  </si>
  <si>
    <t xml:space="preserve">   6005 Loyalty Bonus</t>
  </si>
  <si>
    <t xml:space="preserve">   6006 Commissions</t>
  </si>
  <si>
    <t xml:space="preserve">   6007 Severance</t>
  </si>
  <si>
    <t xml:space="preserve">   6008 Employee Training</t>
  </si>
  <si>
    <t xml:space="preserve">   6009 Talent Acquisition</t>
  </si>
  <si>
    <t xml:space="preserve">   6100 Payroll Processing Fees</t>
  </si>
  <si>
    <t xml:space="preserve">   6101 Employee Relations</t>
  </si>
  <si>
    <t xml:space="preserve">   6200 Contractors</t>
  </si>
  <si>
    <t xml:space="preserve">   6201 Professional Services</t>
  </si>
  <si>
    <t xml:space="preserve">   7000 Office Supplies</t>
  </si>
  <si>
    <t xml:space="preserve">   7001 Postage &amp; Delivery</t>
  </si>
  <si>
    <t xml:space="preserve">   7002 Business Insurance</t>
  </si>
  <si>
    <t xml:space="preserve">   7003 Rent</t>
  </si>
  <si>
    <t xml:space="preserve">   7004 Utilities</t>
  </si>
  <si>
    <t xml:space="preserve">   7100 Software &amp; Licenses</t>
  </si>
  <si>
    <t xml:space="preserve">   7101 Lead Generation Marketing</t>
  </si>
  <si>
    <t xml:space="preserve">   7102 Brand Marketing</t>
  </si>
  <si>
    <t xml:space="preserve">   7200 Client Relations</t>
  </si>
  <si>
    <t xml:space="preserve">   7201 Client Referral Fees</t>
  </si>
  <si>
    <t xml:space="preserve">   7300 Conferences &amp; Events</t>
  </si>
  <si>
    <t xml:space="preserve">   7301 T&amp;E - Hotel</t>
  </si>
  <si>
    <t xml:space="preserve">   7302 T&amp;E - Transportation</t>
  </si>
  <si>
    <t xml:space="preserve">     7302.1 T&amp;E - Air Transportation </t>
  </si>
  <si>
    <t xml:space="preserve">     7302.2 T&amp;E - Ground Transportation</t>
  </si>
  <si>
    <t xml:space="preserve">   7303 T&amp;E - Meals &amp; Entertainment</t>
  </si>
  <si>
    <t xml:space="preserve">   7400 Bank Service Charges</t>
  </si>
  <si>
    <t xml:space="preserve">   7401 Credit Card Processing</t>
  </si>
  <si>
    <t xml:space="preserve">   7402 Taxes, Licenses, Fees</t>
  </si>
  <si>
    <t xml:space="preserve">   7403 Bad Debts</t>
  </si>
  <si>
    <t xml:space="preserve">   7404 Donations</t>
  </si>
  <si>
    <t xml:space="preserve">   7500 Allocated Operating Costs</t>
  </si>
  <si>
    <t xml:space="preserve">   7502 Property Taxes</t>
  </si>
  <si>
    <t>Total Expenses</t>
  </si>
  <si>
    <t>Net Operating Income</t>
  </si>
  <si>
    <t xml:space="preserve">   8000 Sublease Income</t>
  </si>
  <si>
    <t xml:space="preserve">   8001 Other Income</t>
  </si>
  <si>
    <t xml:space="preserve">   8002 Credit Card Rebates</t>
  </si>
  <si>
    <t>Total Other Income</t>
  </si>
  <si>
    <t xml:space="preserve">   9000 Depreciation</t>
  </si>
  <si>
    <t xml:space="preserve">   9001 Allocated Other Income/Expense</t>
  </si>
  <si>
    <t xml:space="preserve">   9999 Suspense Expense</t>
  </si>
  <si>
    <t>Total Other Expenses</t>
  </si>
  <si>
    <t>Net Other Income</t>
  </si>
  <si>
    <t>$ -</t>
  </si>
  <si>
    <t>Total Sales Expense</t>
  </si>
  <si>
    <t>Total Marketing Expense</t>
  </si>
  <si>
    <t>Total Finance Expense</t>
  </si>
  <si>
    <t>Total People Ops Expense</t>
  </si>
  <si>
    <t>General Overhead</t>
  </si>
  <si>
    <t>Gen OH</t>
  </si>
  <si>
    <t>Total General Overhead Expense</t>
  </si>
  <si>
    <t>Short Term %</t>
  </si>
  <si>
    <t>Ideal % of Revenue</t>
  </si>
  <si>
    <t>% of Revenue Spend</t>
  </si>
  <si>
    <t>Total Costs as % of Revenue</t>
  </si>
  <si>
    <t>$'s in 000s</t>
  </si>
  <si>
    <t>EBITDA Multiple Table</t>
  </si>
  <si>
    <t>Multiple</t>
  </si>
  <si>
    <t xml:space="preserve">Macro Acquisition 1 (DTC) </t>
  </si>
  <si>
    <t>Macro Acquisition 2 (SAAS)</t>
  </si>
  <si>
    <t>Macro Acquisition 3 (Health)</t>
  </si>
  <si>
    <t>Macro Acquisition 4 (Higher Ed.)</t>
  </si>
  <si>
    <t>Micro Acquisition 1 (Testimonial Hero)</t>
  </si>
  <si>
    <t>Micro Acquisition 2</t>
  </si>
  <si>
    <t>Micro Acquisition 3</t>
  </si>
  <si>
    <t>Micro Acquisition 4</t>
  </si>
  <si>
    <t>Micro Acquisition 5</t>
  </si>
  <si>
    <t>Micro Acquisition 6</t>
  </si>
  <si>
    <t>Micro Acquisition 7</t>
  </si>
  <si>
    <t>Micro Acquisition 8</t>
  </si>
  <si>
    <t>Micro Acquisition 9</t>
  </si>
  <si>
    <t>Micro Acquisition 10</t>
  </si>
  <si>
    <t>Micro Acquisition 11</t>
  </si>
  <si>
    <t>Micro Acquisition 12</t>
  </si>
  <si>
    <t>Micro Acquisition 13</t>
  </si>
  <si>
    <t>Consolidated P&amp;L</t>
  </si>
  <si>
    <t>Acquistion Date</t>
  </si>
  <si>
    <t>Directive Standalone Revenue</t>
  </si>
  <si>
    <t>Starting Revenue</t>
  </si>
  <si>
    <t>DTC Macro Acquisitions</t>
  </si>
  <si>
    <t>Gross Margin %</t>
  </si>
  <si>
    <t>SAAS Macro Acquisitions</t>
  </si>
  <si>
    <t>Health Macro Acquisitions</t>
  </si>
  <si>
    <t>Higher Edu Macro Acquisitions</t>
  </si>
  <si>
    <t>OPEX %</t>
  </si>
  <si>
    <t>Micro Acquisition 1</t>
  </si>
  <si>
    <t>OPEX $</t>
  </si>
  <si>
    <t>EBITDA %</t>
  </si>
  <si>
    <t>Starting EBITDA</t>
  </si>
  <si>
    <t>Purchase Price</t>
  </si>
  <si>
    <t>Upfront</t>
  </si>
  <si>
    <t>Earnout</t>
  </si>
  <si>
    <t>Seller's Note</t>
  </si>
  <si>
    <t>Upfront %</t>
  </si>
  <si>
    <t>Earnout/Equity %</t>
  </si>
  <si>
    <t>Seller's Note %</t>
  </si>
  <si>
    <t>NNR</t>
  </si>
  <si>
    <t xml:space="preserve">Growth Rates </t>
  </si>
  <si>
    <t xml:space="preserve">Revenue Growth </t>
  </si>
  <si>
    <t>Growth Rate</t>
  </si>
  <si>
    <t>Directive Organic</t>
  </si>
  <si>
    <t>Revenue Growth Rate (Post 2027)</t>
  </si>
  <si>
    <t>Year 1</t>
  </si>
  <si>
    <t>Macro Acquisition 1 (DTC)</t>
  </si>
  <si>
    <t>Revenue Growth Rate</t>
  </si>
  <si>
    <t>Directive COGS</t>
  </si>
  <si>
    <t>Year 2</t>
  </si>
  <si>
    <t>Year 3</t>
  </si>
  <si>
    <t>Year 4</t>
  </si>
  <si>
    <t>Year 5</t>
  </si>
  <si>
    <t>Long Term Growth</t>
  </si>
  <si>
    <t>COGS Growth</t>
  </si>
  <si>
    <t>COGS Growth Rate  (Post 2027)</t>
  </si>
  <si>
    <t>COGS Growth Rate</t>
  </si>
  <si>
    <t>Directive OPEX</t>
  </si>
  <si>
    <t>Opex Growth</t>
  </si>
  <si>
    <t>OPEX Growth Rate</t>
  </si>
  <si>
    <t xml:space="preserve">Directive EBITDA </t>
  </si>
  <si>
    <t>Net new EBITDA</t>
  </si>
  <si>
    <t>EBITDA Multiple</t>
  </si>
  <si>
    <t>Business Value</t>
  </si>
  <si>
    <t>More Good Adjusted EBITDA</t>
  </si>
  <si>
    <t>Adjusted EBITDA margin</t>
  </si>
  <si>
    <t>EBITDA Values at Exit</t>
  </si>
  <si>
    <t>Acquistion 2</t>
  </si>
  <si>
    <t>Acquistion 3</t>
  </si>
  <si>
    <t>Acquistion 4</t>
  </si>
  <si>
    <t>Enterprise Values</t>
  </si>
  <si>
    <t>#REF!</t>
  </si>
  <si>
    <t>Initial EBITDA Value</t>
  </si>
  <si>
    <t>Implied Initial Value</t>
  </si>
  <si>
    <t>Capital Gains Tax</t>
  </si>
  <si>
    <t>Tax on Capital Gains</t>
  </si>
  <si>
    <t>Cash to Equity (less 10% to Owner)</t>
  </si>
  <si>
    <t>Total Cash from Sale of Acquisitions</t>
  </si>
  <si>
    <t>Cash Needed for Acquisition</t>
  </si>
  <si>
    <t>Tax Rate</t>
  </si>
  <si>
    <t>Tax on Net Income</t>
  </si>
  <si>
    <t>Consildated Cash Flows</t>
  </si>
  <si>
    <t xml:space="preserve">Beginning Cash </t>
  </si>
  <si>
    <t>Principal Amounts</t>
  </si>
  <si>
    <t>Loan Details</t>
  </si>
  <si>
    <t>Equity Injection</t>
  </si>
  <si>
    <t>Loan Terms (years)</t>
  </si>
  <si>
    <t xml:space="preserve">Minority % Sold </t>
  </si>
  <si>
    <t>3rd Party Interest Rate</t>
  </si>
  <si>
    <t>Acquisition 1 Down Payment P&amp;I</t>
  </si>
  <si>
    <t>AFR Interest Rate</t>
  </si>
  <si>
    <t>Acquisition 1 Equity</t>
  </si>
  <si>
    <t>Acquisition 1 Seller's Note P&amp;I</t>
  </si>
  <si>
    <t>Change in WC % of Income</t>
  </si>
  <si>
    <t>Acquisition 2 Down Payment P&amp;I</t>
  </si>
  <si>
    <t>Acquisition 2 Equity</t>
  </si>
  <si>
    <t>Acquisition 2 Seller's Note P&amp;I</t>
  </si>
  <si>
    <t>Acquisition 3 Down Payment P&amp;I</t>
  </si>
  <si>
    <t>Acquisition 3 Equity</t>
  </si>
  <si>
    <t>Acquisition 3 Seller's Note P&amp;I</t>
  </si>
  <si>
    <t>Acquisition 4 Down Payment P&amp;I</t>
  </si>
  <si>
    <t>Acquisition 4 Equity</t>
  </si>
  <si>
    <t>Acquisition 4 Seller's Note P&amp;I</t>
  </si>
  <si>
    <t>Micro Acquisiton 1</t>
  </si>
  <si>
    <t xml:space="preserve"> Down Payment P&amp;I</t>
  </si>
  <si>
    <t>Earnout P&amp;I</t>
  </si>
  <si>
    <t>Seller's Note P&amp;I</t>
  </si>
  <si>
    <t>Micro Acquisiton 2</t>
  </si>
  <si>
    <t>Micro Acquisiton 3</t>
  </si>
  <si>
    <t>Micro Acquisiton 4</t>
  </si>
  <si>
    <t>Micro Acquisiton 5</t>
  </si>
  <si>
    <t>Micro Acquisiton 6</t>
  </si>
  <si>
    <t>Micro Acquisiton 7</t>
  </si>
  <si>
    <t>Micro Acquisiton 8</t>
  </si>
  <si>
    <t>Micro Acquisiton 9</t>
  </si>
  <si>
    <t>Micro Acquisiton 10</t>
  </si>
  <si>
    <t>Micro Acquisiton 11</t>
  </si>
  <si>
    <t>Micro Acquisiton 12</t>
  </si>
  <si>
    <t>Micro Acquisiton 13</t>
  </si>
  <si>
    <t>Change in WC</t>
  </si>
  <si>
    <t>Accounts Receivable</t>
  </si>
  <si>
    <t>Owners Draw</t>
  </si>
  <si>
    <t>P+I Payments to 3rd Party</t>
  </si>
  <si>
    <t xml:space="preserve">Net Cash </t>
  </si>
  <si>
    <t>Deal structure for smaller agencies = 50% down, 15-20% sellers note, 30% earn out or rollover.</t>
  </si>
  <si>
    <t>Total OPEX</t>
  </si>
  <si>
    <t>Valuation</t>
  </si>
  <si>
    <t>Full-Time Headcount</t>
  </si>
  <si>
    <t>Administrative</t>
  </si>
  <si>
    <t>Client Success</t>
  </si>
  <si>
    <t>COS - Creative Video</t>
  </si>
  <si>
    <t>COS - Creative Performance</t>
  </si>
  <si>
    <t>COS - Paid Media</t>
  </si>
  <si>
    <t>COS - Paid Media Specialist</t>
  </si>
  <si>
    <t>COS - Rev Ops</t>
  </si>
  <si>
    <t>COS - SEO</t>
  </si>
  <si>
    <t>COS - SEO Specialist</t>
  </si>
  <si>
    <t>COS - Strategy</t>
  </si>
  <si>
    <t>HR - People Ops</t>
  </si>
  <si>
    <t>Total Full-Time Headcount</t>
  </si>
  <si>
    <t>Change in Full-Time Headcount</t>
  </si>
  <si>
    <t>Net Change in Full-Time Headcount</t>
  </si>
  <si>
    <t>Monthly Salary per Head</t>
  </si>
  <si>
    <t>Average Salary per Head</t>
  </si>
  <si>
    <t>Salary Growth Rate</t>
  </si>
  <si>
    <t>Incremental Salary per Month</t>
  </si>
  <si>
    <t>COS - Client Success</t>
  </si>
  <si>
    <t>COS - Paid Media Specialists</t>
  </si>
  <si>
    <t>Total Incremental Salary per Month</t>
  </si>
  <si>
    <t>Merit Increase %</t>
  </si>
  <si>
    <t>Paid Media Base Salaries</t>
  </si>
  <si>
    <t>SEO Base Salaries</t>
  </si>
  <si>
    <t>Performance Creative Base Salaries</t>
  </si>
  <si>
    <t>Video Base Salaries</t>
  </si>
  <si>
    <t>Rev Ops Base Salaries</t>
  </si>
  <si>
    <t>Strategy Base Salaries</t>
  </si>
  <si>
    <t>Client Success Base Salaries</t>
  </si>
  <si>
    <t>Sales Base Salaries</t>
  </si>
  <si>
    <t>Marketing Base Salaries</t>
  </si>
  <si>
    <t>Finance Base Salaries</t>
  </si>
  <si>
    <t>People Ops Base Salaries</t>
  </si>
  <si>
    <t>General OH Base Salaries</t>
  </si>
  <si>
    <t>Total Base Salaries</t>
  </si>
  <si>
    <t>NNExpense</t>
  </si>
  <si>
    <t>Payroll Drivers as a % of Salary</t>
  </si>
  <si>
    <t>Commission &amp; Bonus Drivers</t>
  </si>
  <si>
    <t>Total New Biz Domestic Bookings</t>
  </si>
  <si>
    <t>New Business bookings</t>
  </si>
  <si>
    <t>New Business %</t>
  </si>
  <si>
    <t xml:space="preserve">Portfolio Business Bookings </t>
  </si>
  <si>
    <t>Portfolio Business %</t>
  </si>
  <si>
    <t xml:space="preserve">Total Bookings </t>
  </si>
  <si>
    <t xml:space="preserve">Net new bookings </t>
  </si>
  <si>
    <t>COS Bonus as % of Rev</t>
  </si>
  <si>
    <t>COS Loyalty Bonus as % of Rev</t>
  </si>
  <si>
    <t>Paid Media Portfolio Commissions</t>
  </si>
  <si>
    <t>SEO Portfolio Commissions</t>
  </si>
  <si>
    <t>Performance Creative Portfolio Commissions</t>
  </si>
  <si>
    <t>Video Portfolio Commissions</t>
  </si>
  <si>
    <t>Rev Ops Portfolio Commissions</t>
  </si>
  <si>
    <t>Percentage of RevOps Revenue</t>
  </si>
  <si>
    <t>Strategy Portfolio Commissions</t>
  </si>
  <si>
    <t>Percentage of Strategy Revenue</t>
  </si>
  <si>
    <t>Opex Bonus as % of Rev</t>
  </si>
  <si>
    <t>Opex Loyalty Bonus as % of Rev</t>
  </si>
  <si>
    <t>Port Comm as % of Portfolio Bookings</t>
  </si>
  <si>
    <t>Client Success Portfolio Commissions</t>
  </si>
  <si>
    <t>Sales Comm as % of Bookings</t>
  </si>
  <si>
    <t>Sales Commision</t>
  </si>
  <si>
    <t>Interns</t>
  </si>
  <si>
    <t>Paid Media Intern Expense</t>
  </si>
  <si>
    <t>SEO Intern Expense</t>
  </si>
  <si>
    <t>Performance Creative Intern Expense</t>
  </si>
  <si>
    <t>Video Intern Expense</t>
  </si>
  <si>
    <t>RevOps Intern Expense</t>
  </si>
  <si>
    <t xml:space="preserve">      76101.1 Marketing Interns (deleted)</t>
  </si>
  <si>
    <t>Paid Media Interns</t>
  </si>
  <si>
    <t>SEO Interns</t>
  </si>
  <si>
    <t>Performance Creative Interns</t>
  </si>
  <si>
    <t>Video Interns</t>
  </si>
  <si>
    <t>RevOps Interns</t>
  </si>
  <si>
    <t># of COS Interns</t>
  </si>
  <si>
    <t># of Marketing Interns</t>
  </si>
  <si>
    <t>Intern Rate</t>
  </si>
  <si>
    <t>Weekly Hours</t>
  </si>
  <si>
    <t>Weeks/Mo</t>
  </si>
  <si>
    <t>Paid Media Contractor Expense</t>
  </si>
  <si>
    <t>SEO Contractor Expense</t>
  </si>
  <si>
    <t>PCS Contractor Expense</t>
  </si>
  <si>
    <t>Video Contractor Expense</t>
  </si>
  <si>
    <t>Rev Ops Contractor Expense</t>
  </si>
  <si>
    <t>Total COGs contractor expense</t>
  </si>
  <si>
    <t>Allocation %</t>
  </si>
  <si>
    <t>Contractors &amp; Professional Services</t>
  </si>
  <si>
    <t>Target Contractor Spend</t>
  </si>
  <si>
    <t>Opex Contractor &amp; PS spend</t>
  </si>
  <si>
    <t>OPEX Contractor &amp; PS spend Growth</t>
  </si>
  <si>
    <t xml:space="preserve">     Sales Contractors</t>
  </si>
  <si>
    <t xml:space="preserve">     Marketing Contractors</t>
  </si>
  <si>
    <t xml:space="preserve">     Finance Contractors</t>
  </si>
  <si>
    <t xml:space="preserve">     People Ops Contractors </t>
  </si>
  <si>
    <t xml:space="preserve">     General Overhead Contractors</t>
  </si>
  <si>
    <t xml:space="preserve">     Sales Professional Services</t>
  </si>
  <si>
    <t xml:space="preserve">     Marketing Professional Services</t>
  </si>
  <si>
    <t xml:space="preserve">     Finance Professional Services</t>
  </si>
  <si>
    <t xml:space="preserve">     People Ops Professional Services </t>
  </si>
  <si>
    <t xml:space="preserve">     General Overhead Professional Services</t>
  </si>
  <si>
    <t>Total Contractor Spend</t>
  </si>
  <si>
    <t>Software/Licenses</t>
  </si>
  <si>
    <t>Target Software Spend</t>
  </si>
  <si>
    <t>Trimester Increase</t>
  </si>
  <si>
    <t>Paid Media COS Software</t>
  </si>
  <si>
    <t>SEO COS Software</t>
  </si>
  <si>
    <t>Performance Creative COS Software</t>
  </si>
  <si>
    <t>Video COS Software</t>
  </si>
  <si>
    <t>Rev Ops COS Software</t>
  </si>
  <si>
    <t>Strategy COS Software</t>
  </si>
  <si>
    <t>Client Success COS Software (Total on Line 33)</t>
  </si>
  <si>
    <t>Sales Software &amp; Licenses</t>
  </si>
  <si>
    <t>Marketing Software &amp; Licenses</t>
  </si>
  <si>
    <t>Finance Software &amp; Licenses</t>
  </si>
  <si>
    <t xml:space="preserve">People Ops Software &amp; Licenses </t>
  </si>
  <si>
    <t>General Overhead Software &amp; Licenses</t>
  </si>
  <si>
    <t>Total Software Expenses</t>
  </si>
  <si>
    <t>Marketing &amp; Conferences</t>
  </si>
  <si>
    <t>Incremental Increase</t>
  </si>
  <si>
    <t>Lead Generation Growth Rate</t>
  </si>
  <si>
    <t>Brand Marketing Growth Rate</t>
  </si>
  <si>
    <t>Client Relation Growth Rate</t>
  </si>
  <si>
    <t>Sales Client Relations Split</t>
  </si>
  <si>
    <t xml:space="preserve">Marketing Client Relations Split </t>
  </si>
  <si>
    <t>Conference &amp; Events Growth Rate</t>
  </si>
  <si>
    <t>Total Marketing Expenses</t>
  </si>
  <si>
    <t>Target T&amp;E Spend</t>
  </si>
  <si>
    <t>MOM Increase</t>
  </si>
  <si>
    <t>COGS T&amp;E</t>
  </si>
  <si>
    <t>COGS T&amp;E Growth Rate</t>
  </si>
  <si>
    <t>Cost per Head</t>
  </si>
  <si>
    <t>Opex T&amp;E</t>
  </si>
  <si>
    <t>Paid Media COS Hotel</t>
  </si>
  <si>
    <t>SEO COS Hotel</t>
  </si>
  <si>
    <t>Performance Creative COS Hotel</t>
  </si>
  <si>
    <t>Video COS Hotel</t>
  </si>
  <si>
    <t>Rev Ops COS Hotel</t>
  </si>
  <si>
    <t>Strategy COS Hotel</t>
  </si>
  <si>
    <t>Client Success COS Hotel</t>
  </si>
  <si>
    <t>Paid Media COS Transportation</t>
  </si>
  <si>
    <t>SEO COS Transportation</t>
  </si>
  <si>
    <t>Performance Creative COS Transportation</t>
  </si>
  <si>
    <t>Video COS Transportation</t>
  </si>
  <si>
    <t>Rev Ops COS Transportation</t>
  </si>
  <si>
    <t>Strategy COS Transportation</t>
  </si>
  <si>
    <t xml:space="preserve">Client Success COS Transportation </t>
  </si>
  <si>
    <t>Paid Media COS Meals &amp; Entertainment</t>
  </si>
  <si>
    <t>SEO COS Meals &amp; Entertainment</t>
  </si>
  <si>
    <t>Performance Creative COS Meals &amp; Entertainment</t>
  </si>
  <si>
    <t>Video COS Meals &amp; Entertainment</t>
  </si>
  <si>
    <t>Rev Ops COS Meals &amp; Entertainment</t>
  </si>
  <si>
    <t>Strategy COS Meals &amp; Entertainment</t>
  </si>
  <si>
    <t>Client Success COS Meals &amp; Entertainment</t>
  </si>
  <si>
    <t>Sales Hotel</t>
  </si>
  <si>
    <t>Marketing Hotel</t>
  </si>
  <si>
    <t>Finance Hotel</t>
  </si>
  <si>
    <t xml:space="preserve">People Ops Hotel </t>
  </si>
  <si>
    <t>General Overhead Hotel</t>
  </si>
  <si>
    <t>Sales Transportation</t>
  </si>
  <si>
    <t>Marketing Transportation</t>
  </si>
  <si>
    <t>Finance Transportation</t>
  </si>
  <si>
    <t xml:space="preserve">People Ops Transportation </t>
  </si>
  <si>
    <t>General Overhead Transportation</t>
  </si>
  <si>
    <t>Sales Meals &amp; Entertainment</t>
  </si>
  <si>
    <t>Marketing Meals &amp; Entertainment</t>
  </si>
  <si>
    <t>Finance Meals &amp; Entertainment</t>
  </si>
  <si>
    <t xml:space="preserve">People Ops Meals &amp; Entertainment </t>
  </si>
  <si>
    <t>General Overhead Meals &amp; Entertainment</t>
  </si>
  <si>
    <t>Total T&amp;E</t>
  </si>
  <si>
    <t>Target Office Spend</t>
  </si>
  <si>
    <t>Total Office Expenses</t>
  </si>
  <si>
    <t>Target Other Spend Plug</t>
  </si>
  <si>
    <t>% of Revenue Expenses</t>
  </si>
  <si>
    <t>Bus Ins % of Rev</t>
  </si>
  <si>
    <t>Bank Service % of Rev</t>
  </si>
  <si>
    <t>CC Processing % of Rev</t>
  </si>
  <si>
    <t>Partner Revenue</t>
  </si>
  <si>
    <t>Referral % of Rev</t>
  </si>
  <si>
    <t>OPEX plug</t>
  </si>
  <si>
    <t>Total Prospects Booked (Form Fills)</t>
  </si>
  <si>
    <t xml:space="preserve">  Prospects Growth Rate</t>
  </si>
  <si>
    <t>Intro -&gt; Prospect Conversion Rate</t>
  </si>
  <si>
    <t>Total Intro Calls Held (SAL)</t>
  </si>
  <si>
    <t>Total Strategy -&gt; Conversion Rate</t>
  </si>
  <si>
    <t>Total Strategy Calls Held (SQL)</t>
  </si>
  <si>
    <t>Total Strategy Calls Growth Rate</t>
  </si>
  <si>
    <t>Average Days from Strat Call to Kickoff Date</t>
  </si>
  <si>
    <t xml:space="preserve">  Strategy-&gt;Proposal Conversion Rate</t>
  </si>
  <si>
    <t>Total Proposals Held</t>
  </si>
  <si>
    <t>Proposal -&gt;Closed Conversion Rate</t>
  </si>
  <si>
    <t>Total Closed Won</t>
  </si>
  <si>
    <t>Average AOV of Closed Deals</t>
  </si>
  <si>
    <t xml:space="preserve">AOV Growth Rate </t>
  </si>
  <si>
    <t>New Sales Bookings</t>
  </si>
  <si>
    <t>Total New Business Monthly Revenue</t>
  </si>
  <si>
    <t>Total Revenue (Big 3)</t>
  </si>
  <si>
    <t>Cross-Sells, Projects, &amp; Variable (Current Portfolio)</t>
  </si>
  <si>
    <t>Estimated Bookings Potential</t>
  </si>
  <si>
    <t>Success Rate</t>
  </si>
  <si>
    <t>Annual Closed Bookings</t>
  </si>
  <si>
    <t>Avg. Monthly Bookings</t>
  </si>
  <si>
    <t>Platinum</t>
  </si>
  <si>
    <t>Gold</t>
  </si>
  <si>
    <t>Portfolio Revenue</t>
  </si>
  <si>
    <t>Upsells/Cross-sells</t>
  </si>
  <si>
    <t>Upsell/Cross-Sell Form Fills</t>
  </si>
  <si>
    <t>Form Fill Growth Rate</t>
  </si>
  <si>
    <t>Conversion Rate</t>
  </si>
  <si>
    <t>Upsell/Cross-Sell Ops</t>
  </si>
  <si>
    <t>Close Rate</t>
  </si>
  <si>
    <t xml:space="preserve">Average AOV </t>
  </si>
  <si>
    <t>AOV Growth %</t>
  </si>
  <si>
    <t>Total Upsell/Cross-Sell Bookings</t>
  </si>
  <si>
    <t>Project-&gt;Recurring</t>
  </si>
  <si>
    <t>Project only Opps</t>
  </si>
  <si>
    <t>Project only Growth %</t>
  </si>
  <si>
    <t>% Conversion to Retainer</t>
  </si>
  <si>
    <t>Project-&gt;Recurring AOV</t>
  </si>
  <si>
    <t>Recurring Accounts Converted</t>
  </si>
  <si>
    <t>Bookings from Project-&gt;Recurring Conversion</t>
  </si>
  <si>
    <t>Referrals</t>
  </si>
  <si>
    <t># Closed Referrals</t>
  </si>
  <si>
    <t>Referral Growth</t>
  </si>
  <si>
    <t>Referral AOV</t>
  </si>
  <si>
    <t>AOV Growth</t>
  </si>
  <si>
    <t>Bookings from Referrals</t>
  </si>
  <si>
    <t>Other Portfolio Bookings</t>
  </si>
  <si>
    <t># of Closed</t>
  </si>
  <si>
    <t xml:space="preserve">AOV </t>
  </si>
  <si>
    <t xml:space="preserve">Cross-Sells/Upsells </t>
  </si>
  <si>
    <t>Bookings from other Portfolio Bookings</t>
  </si>
  <si>
    <t xml:space="preserve">  Bookings Growth Rate</t>
  </si>
  <si>
    <t>Portfolio Bookings by Department</t>
  </si>
  <si>
    <t>RevOps</t>
  </si>
  <si>
    <t>Portfolio Bookings by Department %</t>
  </si>
  <si>
    <t>Portfolio New MRR</t>
  </si>
  <si>
    <t>Average Contract Length (months)</t>
  </si>
  <si>
    <t>Portfolio Bookings Product count</t>
  </si>
  <si>
    <t>North America New Sales Bookings</t>
  </si>
  <si>
    <t>Portfolio Sales Bookings</t>
  </si>
  <si>
    <t>Total New Portfolio Monthly Revenue</t>
  </si>
  <si>
    <t>Total Recurring Revenue (pre-churn)</t>
  </si>
  <si>
    <t>Best Case Churn Rate</t>
  </si>
  <si>
    <t>Actual Churn Level</t>
  </si>
  <si>
    <t>Middle Case</t>
  </si>
  <si>
    <t>Middle Case Churn Percentage  Increase</t>
  </si>
  <si>
    <t>Worse Case Churn Percentage Increase</t>
  </si>
  <si>
    <t xml:space="preserve">Average Churn Rate </t>
  </si>
  <si>
    <t>Average Customer Lifespan</t>
  </si>
  <si>
    <t>Total Churned Revenue</t>
  </si>
  <si>
    <t>Total Recurring Revenue (post-churn)</t>
  </si>
  <si>
    <t>Total New Clients</t>
  </si>
  <si>
    <t xml:space="preserve">Total Existing Clients </t>
  </si>
  <si>
    <t xml:space="preserve">Total Churned Clients </t>
  </si>
  <si>
    <t>Total Net Clients</t>
  </si>
  <si>
    <t xml:space="preserve">Average New MRR </t>
  </si>
  <si>
    <t>Average Churned MRR</t>
  </si>
  <si>
    <t>Average Gross Margin %</t>
  </si>
  <si>
    <t xml:space="preserve">Total Gross Contribution Margin </t>
  </si>
  <si>
    <t>Total LTV (New Business)</t>
  </si>
  <si>
    <t>New Clients</t>
  </si>
  <si>
    <t>Existing Clients</t>
  </si>
  <si>
    <t>Churned Clients</t>
  </si>
  <si>
    <t>Net Clients</t>
  </si>
  <si>
    <t>Rate</t>
  </si>
  <si>
    <t>Hours needed for MRR</t>
  </si>
  <si>
    <t>Rate 2026-2027</t>
  </si>
  <si>
    <t>% of Recurring</t>
  </si>
  <si>
    <t>Project Revenue Churn Rate</t>
  </si>
  <si>
    <t>Total Paid Media</t>
  </si>
  <si>
    <t>Project Churn %</t>
  </si>
  <si>
    <t>Total SEO</t>
  </si>
  <si>
    <t>Total Performance Creative</t>
  </si>
  <si>
    <t>Total Video</t>
  </si>
  <si>
    <t>Rate 2024-2027</t>
  </si>
  <si>
    <t>Total Rev Ops</t>
  </si>
  <si>
    <t>Paid Media - Specialist</t>
  </si>
  <si>
    <t>SEO - Specialist</t>
  </si>
  <si>
    <t>Total Incremental Headcount</t>
  </si>
  <si>
    <t>Hours Needed</t>
  </si>
  <si>
    <t>NNH</t>
  </si>
  <si>
    <t>FTE Hour Allocation</t>
  </si>
  <si>
    <t>Contractor Hour Allocation</t>
  </si>
  <si>
    <t>Account Strategist</t>
  </si>
  <si>
    <t>Capacity per AS</t>
  </si>
  <si>
    <t>Current Capacity</t>
  </si>
  <si>
    <t>Strategist Hours Needed</t>
  </si>
  <si>
    <t>Capacity Available</t>
  </si>
  <si>
    <t>Capacity Trigger</t>
  </si>
  <si>
    <t>Headcount needed by</t>
  </si>
  <si>
    <t>Same month. Sr - 7 days ramp, Jr - 14 days ramp</t>
  </si>
  <si>
    <t>Account Specialist</t>
  </si>
  <si>
    <t>Associate Director</t>
  </si>
  <si>
    <t>Capacity per AD</t>
  </si>
  <si>
    <t>Contractor Hours Needed</t>
  </si>
  <si>
    <t>Hourly Rate</t>
  </si>
  <si>
    <t>Contactor Cost</t>
  </si>
  <si>
    <t>Contractor Cost 2024-2027</t>
  </si>
  <si>
    <t>Contractor Cost 2027</t>
  </si>
  <si>
    <t>Designer</t>
  </si>
  <si>
    <t>Capacity per Designer</t>
  </si>
  <si>
    <t>Recurring Revenue</t>
  </si>
  <si>
    <t>Project Revenue</t>
  </si>
  <si>
    <t>Recurring Hours Needed</t>
  </si>
  <si>
    <t>Project Hours Needed</t>
  </si>
  <si>
    <t>Project Manager</t>
  </si>
  <si>
    <t>Capacity per Project Manager</t>
  </si>
  <si>
    <t>Designer/Project Manager</t>
  </si>
  <si>
    <t>Recurring Capacity Available</t>
  </si>
  <si>
    <t>Contractor Rate</t>
  </si>
  <si>
    <t>Contractor Spend</t>
  </si>
  <si>
    <t>Rev Ops Analyst</t>
  </si>
  <si>
    <t>Capacity per RO Analyst</t>
  </si>
  <si>
    <t>Analyst hours needed</t>
  </si>
  <si>
    <t>-</t>
  </si>
  <si>
    <t>Strategist</t>
  </si>
  <si>
    <t>Capacity per Strategist</t>
  </si>
  <si>
    <t>OPEX</t>
  </si>
  <si>
    <t>Revenue Per Employee Growth rate</t>
  </si>
  <si>
    <t>Revenue per Employee Trigger (2022-2023)</t>
  </si>
  <si>
    <t xml:space="preserve">    Innovation </t>
  </si>
  <si>
    <t xml:space="preserve">    Client Operations</t>
  </si>
  <si>
    <t>Total Client Success</t>
  </si>
  <si>
    <t xml:space="preserve">Total New Sales Bookings </t>
  </si>
  <si>
    <t>VP/Director Headcounts</t>
  </si>
  <si>
    <t>Headcount Trigger</t>
  </si>
  <si>
    <t>Drew/Brady annualized base cost per head</t>
  </si>
  <si>
    <t>Director of Growth Headcount</t>
  </si>
  <si>
    <t>Director of Growth Base Cost</t>
  </si>
  <si>
    <t>Marketing Allocation</t>
  </si>
  <si>
    <t>Sales Allocation</t>
  </si>
  <si>
    <t xml:space="preserve">Junior AE Headcount </t>
  </si>
  <si>
    <t>Junior AE Headcount LTV Trigger</t>
  </si>
  <si>
    <t xml:space="preserve">Bookings </t>
  </si>
  <si>
    <t>Contribution Margin</t>
  </si>
  <si>
    <t>LTV</t>
  </si>
  <si>
    <t>Total Monthly Cost</t>
  </si>
  <si>
    <t>Annualized Cost</t>
  </si>
  <si>
    <t>Junior AE LTV:CAC</t>
  </si>
  <si>
    <t>JR AE Base Cost Per Head</t>
  </si>
  <si>
    <t>JR AE Commission</t>
  </si>
  <si>
    <t xml:space="preserve">Senior AE Headcount </t>
  </si>
  <si>
    <t>Senior AE Headcount LTV Trigger</t>
  </si>
  <si>
    <t>LTV Trigger 2024-2027</t>
  </si>
  <si>
    <t>Senior AE LTV:CAC</t>
  </si>
  <si>
    <t>Senior AE Base Cost Per Head</t>
  </si>
  <si>
    <t>Senior AE Commission</t>
  </si>
  <si>
    <t>Domestic New Business Headcount</t>
  </si>
  <si>
    <t>Net New Headcount</t>
  </si>
  <si>
    <t>Total Bookings</t>
  </si>
  <si>
    <t>NNB</t>
  </si>
  <si>
    <t>Gross Contribution</t>
  </si>
  <si>
    <t>CAC</t>
  </si>
  <si>
    <t>Total New Business LTV/CAC</t>
  </si>
  <si>
    <t xml:space="preserve">     Client Services moved to Opex (1/1/23)</t>
  </si>
  <si>
    <t>VP Count</t>
  </si>
  <si>
    <t>Fully Burdened Annual Cost/Head</t>
  </si>
  <si>
    <t>Allocation to Sr CSR</t>
  </si>
  <si>
    <t>Allocation to Jr CSR</t>
  </si>
  <si>
    <t>Portfolio Account Exec Count</t>
  </si>
  <si>
    <t>Platinum Bookings</t>
  </si>
  <si>
    <t>Platinum Accounts</t>
  </si>
  <si>
    <t>Sr CSR Trigger</t>
  </si>
  <si>
    <t>Retention Rate</t>
  </si>
  <si>
    <t>Sr CSR LTV</t>
  </si>
  <si>
    <t>Sr CSR CAC</t>
  </si>
  <si>
    <t>SR CSR LTV:CAC</t>
  </si>
  <si>
    <t>Client Partner Count</t>
  </si>
  <si>
    <t>Gold Bookings</t>
  </si>
  <si>
    <t>Gold Accounts</t>
  </si>
  <si>
    <t>Jr CSR Trigger</t>
  </si>
  <si>
    <t>Jr CSR LTV</t>
  </si>
  <si>
    <t>Jr CSR CAC</t>
  </si>
  <si>
    <t>Jr CSR LTV:CAC</t>
  </si>
  <si>
    <t>Total LTV</t>
  </si>
  <si>
    <t>Total CAC</t>
  </si>
  <si>
    <t>Total LTV CAC</t>
  </si>
  <si>
    <t>Senior</t>
  </si>
  <si>
    <t>Bookings from Retention Improvement</t>
  </si>
  <si>
    <t>Bookings from Existing BoB Potential</t>
  </si>
  <si>
    <t>Bookings from New Biz Potential</t>
  </si>
  <si>
    <t>VP Split</t>
  </si>
  <si>
    <t>Junior</t>
  </si>
  <si>
    <t>Total Client Services</t>
  </si>
  <si>
    <t>Total Sales Headcount</t>
  </si>
  <si>
    <t>Incremental Headcount</t>
  </si>
  <si>
    <t>% of Total Revenue</t>
  </si>
  <si>
    <t>COGS % of Total Operations</t>
  </si>
  <si>
    <t>Paid Media EBITDA</t>
  </si>
  <si>
    <t>SEO Revenue</t>
  </si>
  <si>
    <t>SEO Gross Profit</t>
  </si>
  <si>
    <t>SEO EBITDA</t>
  </si>
  <si>
    <t>Design Revenue</t>
  </si>
  <si>
    <t>Design Gross Profit</t>
  </si>
  <si>
    <t>Design EBITDA</t>
  </si>
  <si>
    <t>Video Revenue</t>
  </si>
  <si>
    <t>Video Gross Profit</t>
  </si>
  <si>
    <t>Video EBITDA</t>
  </si>
  <si>
    <t>Creative Revenue</t>
  </si>
  <si>
    <t>Rev Ops Revenue</t>
  </si>
  <si>
    <t>Rev Ops Gross Profit</t>
  </si>
  <si>
    <t>Rev Ops EBITDA</t>
  </si>
  <si>
    <t>Strategy Revenue</t>
  </si>
  <si>
    <t>Strategy Gross Profit</t>
  </si>
  <si>
    <t>Strategy EBITDA</t>
  </si>
  <si>
    <t>Allocations as a % of Revenue</t>
  </si>
  <si>
    <t>Allocated Client Success Costs</t>
  </si>
  <si>
    <t>*Delete Row199 then Paste total from Row202 here to avoid Circular Ref, then paste formula from Row198 down</t>
  </si>
  <si>
    <t>Total Operations</t>
  </si>
  <si>
    <t>Gross Margin $ Capped</t>
  </si>
  <si>
    <t>New Plug H5004 COS - Client Advertising/Marketing (deleted)</t>
  </si>
  <si>
    <t>COGS Other Plug</t>
  </si>
  <si>
    <t>Sales Opex</t>
  </si>
  <si>
    <t>Rent</t>
  </si>
  <si>
    <t>Marketing Opex</t>
  </si>
  <si>
    <t xml:space="preserve">      6000.1 COS - Salaries &amp; Wages - Interns</t>
  </si>
  <si>
    <t xml:space="preserve">Marketing </t>
  </si>
  <si>
    <t>Finance Opex</t>
  </si>
  <si>
    <t>Acquisition Cost Adjustment</t>
  </si>
  <si>
    <t>People Ops Opex</t>
  </si>
  <si>
    <t xml:space="preserve">   6000.1 - Salaries &amp; Wages - Interns</t>
  </si>
  <si>
    <t>General Overhead Opex</t>
  </si>
  <si>
    <t>Allocations to COGS</t>
  </si>
  <si>
    <t>Total Allocation</t>
  </si>
  <si>
    <t>OPEX Other Plug</t>
  </si>
  <si>
    <t xml:space="preserve">Gross Profit </t>
  </si>
  <si>
    <t>Expenses (without other)</t>
  </si>
  <si>
    <t xml:space="preserve">EBITDA $ </t>
  </si>
  <si>
    <t>EBITDA $ Capped</t>
  </si>
  <si>
    <t>Other Plug</t>
  </si>
  <si>
    <t>CAPS</t>
  </si>
  <si>
    <t>2023-2027</t>
  </si>
  <si>
    <t>Assumptions</t>
  </si>
  <si>
    <t>Gross Revenue</t>
  </si>
  <si>
    <t>Discounts</t>
  </si>
  <si>
    <t>Employees let go in Oct</t>
  </si>
  <si>
    <t xml:space="preserve">Contractors as a percent of Revenue </t>
  </si>
  <si>
    <t>Variable Price per employee</t>
  </si>
  <si>
    <t xml:space="preserve">  % S&amp;B Growth</t>
  </si>
  <si>
    <t>Advertising spend growth rate</t>
  </si>
  <si>
    <t>Contractors as % of revenue</t>
  </si>
  <si>
    <t>Variable price per employee</t>
  </si>
  <si>
    <t>Non rent office exp growth rate</t>
  </si>
  <si>
    <t xml:space="preserve">% of Revenue </t>
  </si>
  <si>
    <t>Insurance Growth rate</t>
  </si>
  <si>
    <t>Insurance</t>
  </si>
  <si>
    <t>Other Growth Rate</t>
  </si>
  <si>
    <t>Other Income Growth rate</t>
  </si>
  <si>
    <t>Other Expense Growth Rate</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</si>
</sst>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quot;$&quot;#,##0"/>
    <numFmt numFmtId="165" formatCode="[$-409]mmm\-yy"/>
    <numFmt numFmtId="166" formatCode="0.0%"/>
    <numFmt numFmtId="167" formatCode="_(* #,##0_);_(* \(#,##0\);_(* &quot;-&quot;??_);_(@_)"/>
    <numFmt numFmtId="168" formatCode="&quot;$&quot;#,##0_);[Red]\(&quot;$&quot;#,##0\)"/>
    <numFmt numFmtId="169" formatCode="#,##0;\(#,##0\)"/>
    <numFmt numFmtId="170" formatCode="_(&quot;$&quot;* #,##0_);_(&quot;$&quot;* \(#,##0\);_(&quot;$&quot;* &quot;-&quot;??_);_(@_)"/>
    <numFmt numFmtId="171" formatCode="&quot;$&quot;#,##0_);\(&quot;$&quot;#,##0\)"/>
    <numFmt numFmtId="172" formatCode="_(&quot;$&quot;* #,##0.00_);_(&quot;$&quot;* \(#,##0.00\);_(&quot;$&quot;* &quot;-&quot;??_);_(@_)"/>
    <numFmt numFmtId="173" formatCode="0.0"/>
    <numFmt numFmtId="174" formatCode="&quot;$&quot;#,##0.00"/>
    <numFmt numFmtId="175" formatCode="0.0000%"/>
    <numFmt numFmtId="176" formatCode="mmm&quot;-&quot;yy"/>
    <numFmt numFmtId="177" formatCode="yyyy"/>
    <numFmt numFmtId="178" formatCode="\$#,##0,"/>
    <numFmt numFmtId="179" formatCode="#,##0,"/>
    <numFmt numFmtId="180" formatCode="##&quot;x&quot;"/>
    <numFmt numFmtId="181" formatCode="mmm&quot;-&quot;d"/>
    <numFmt numFmtId="182" formatCode="_(* #,##0.00_);_(* \(#,##0.00\);_(* &quot;-&quot;??_);_(@_)"/>
    <numFmt numFmtId="183" formatCode="_(* #,##0.0_);_(* \(#,##0.0\);_(* &quot;-&quot;??_);_(@_)"/>
    <numFmt numFmtId="184" formatCode="_(* #,##0.0_);_(* \(#,##0.0\);_(* &quot;-&quot;??.0_);_(@_)"/>
    <numFmt numFmtId="185" formatCode="#,##0.0"/>
    <numFmt numFmtId="186" formatCode="0.00\x"/>
    <numFmt numFmtId="187" formatCode="_(&quot;$&quot;* #,##0.00_);_(&quot;$&quot;* \(#,##0.00\);_(&quot;$&quot;* &quot;-&quot;??.00_);_(@_)"/>
  </numFmts>
  <fonts count="43">
    <font>
      <sz val="11.0"/>
      <color theme="1"/>
      <name val="Calibri"/>
      <scheme val="minor"/>
    </font>
    <font>
      <sz val="11.0"/>
      <color theme="1"/>
      <name val="Calibri"/>
    </font>
    <font>
      <b/>
      <sz val="18.0"/>
      <color theme="1"/>
      <name val="Calibri"/>
    </font>
    <font>
      <b/>
      <sz val="11.0"/>
      <color theme="1"/>
      <name val="Calibri"/>
    </font>
    <font>
      <sz val="11.0"/>
      <color rgb="FFBF9000"/>
      <name val="Calibri"/>
    </font>
    <font>
      <sz val="11.0"/>
      <color rgb="FF2E75B5"/>
      <name val="Calibri"/>
    </font>
    <font>
      <sz val="11.0"/>
      <color rgb="FF548135"/>
      <name val="Calibri"/>
    </font>
    <font>
      <sz val="11.0"/>
      <color rgb="FFFF0000"/>
      <name val="Calibri"/>
    </font>
    <font>
      <sz val="11.0"/>
      <color theme="1"/>
      <name val="Roboto"/>
    </font>
    <font>
      <b/>
      <sz val="11.0"/>
      <color theme="0"/>
      <name val="Roboto"/>
    </font>
    <font>
      <b/>
      <sz val="11.0"/>
      <color rgb="FFFFFFFF"/>
      <name val="Roboto"/>
    </font>
    <font>
      <b/>
      <sz val="11.0"/>
      <color theme="1"/>
      <name val="Roboto"/>
    </font>
    <font>
      <i/>
      <sz val="11.0"/>
      <color theme="1"/>
      <name val="Roboto"/>
    </font>
    <font>
      <sz val="11.0"/>
      <color rgb="FF000000"/>
      <name val="Roboto"/>
    </font>
    <font>
      <sz val="11.0"/>
      <color rgb="FFF7981D"/>
      <name val="Roboto"/>
    </font>
    <font>
      <sz val="14.0"/>
      <color rgb="FF000000"/>
      <name val="Roboto"/>
    </font>
    <font>
      <sz val="11.0"/>
      <color rgb="FF000000"/>
      <name val="Calibri"/>
    </font>
    <font>
      <b/>
      <sz val="11.0"/>
      <color rgb="FF000000"/>
      <name val="Roboto"/>
    </font>
    <font>
      <i/>
      <sz val="11.0"/>
      <color rgb="FF000000"/>
      <name val="Roboto"/>
    </font>
    <font>
      <b/>
      <sz val="11.0"/>
      <color rgb="FF000000"/>
      <name val="Calibri"/>
    </font>
    <font>
      <b/>
      <sz val="11.0"/>
      <color rgb="FF548135"/>
      <name val="Calibri"/>
    </font>
    <font>
      <i/>
      <sz val="11.0"/>
      <color theme="1"/>
      <name val="Calibri"/>
    </font>
    <font>
      <sz val="14.0"/>
      <color rgb="FF000000"/>
      <name val="Montserrat"/>
    </font>
    <font>
      <i/>
      <sz val="11.0"/>
      <color rgb="FF000000"/>
      <name val="Calibri"/>
    </font>
    <font>
      <b/>
      <sz val="11.0"/>
      <color rgb="FFBF9000"/>
      <name val="Calibri"/>
    </font>
    <font>
      <b/>
      <sz val="11.0"/>
      <color rgb="FF2E75B5"/>
      <name val="Calibri"/>
    </font>
    <font>
      <sz val="11.0"/>
      <color rgb="FF1155CC"/>
      <name val="Calibri"/>
    </font>
    <font>
      <sz val="11.0"/>
      <color rgb="FF0000FF"/>
      <name val="Calibri"/>
    </font>
    <font>
      <sz val="11.0"/>
      <color theme="4"/>
      <name val="Calibri"/>
    </font>
    <font>
      <sz val="11.0"/>
      <color rgb="FF3C78D8"/>
      <name val="Calibri"/>
    </font>
    <font>
      <sz val="11.0"/>
      <color theme="1"/>
      <name val="Arial"/>
    </font>
    <font>
      <sz val="11.0"/>
      <color rgb="FF3D85C6"/>
      <name val="Calibri"/>
    </font>
    <font>
      <sz val="11.0"/>
      <color rgb="FF4472C4"/>
      <name val="Calibri"/>
    </font>
    <font>
      <b/>
      <sz val="11.0"/>
      <color rgb="FFFFFFFF"/>
      <name val="Calibri"/>
    </font>
    <font>
      <sz val="11.0"/>
      <color rgb="FFFFFFFF"/>
      <name val="Calibri"/>
    </font>
    <font>
      <sz val="12.0"/>
      <color rgb="FF000000"/>
      <name val="Calibri"/>
    </font>
    <font>
      <sz val="11.0"/>
      <color rgb="FF0070C0"/>
      <name val="Calibri"/>
    </font>
    <font>
      <sz val="11.0"/>
      <color rgb="FF38761D"/>
      <name val="Calibri"/>
    </font>
    <font>
      <sz val="11.0"/>
      <color rgb="FF0B5394"/>
      <name val="Calibri"/>
    </font>
    <font>
      <sz val="11.0"/>
      <color rgb="FFCC0000"/>
      <name val="Calibri"/>
    </font>
    <font>
      <sz val="11.0"/>
      <color rgb="FFB45F06"/>
      <name val="Calibri"/>
    </font>
    <font>
      <i/>
      <sz val="11.0"/>
      <color rgb="FFBF9000"/>
      <name val="Calibri"/>
    </font>
    <font>
      <sz val="11.0"/>
      <color rgb="FF6AA84F"/>
      <name val="Calibri"/>
    </font>
  </fonts>
  <fills count="22">
    <fill>
      <patternFill patternType="none"/>
    </fill>
    <fill>
      <patternFill patternType="lightGray"/>
    </fill>
    <fill>
      <patternFill patternType="solid">
        <fgColor rgb="FF00B0F0"/>
        <bgColor rgb="FF00B0F0"/>
      </patternFill>
    </fill>
    <fill>
      <patternFill patternType="solid">
        <fgColor rgb="FF3F3F3F"/>
        <bgColor rgb="FF3F3F3F"/>
      </patternFill>
    </fill>
    <fill>
      <patternFill patternType="solid">
        <fgColor theme="1"/>
        <bgColor theme="1"/>
      </patternFill>
    </fill>
    <fill>
      <patternFill patternType="solid">
        <fgColor rgb="FFFFFFFF"/>
        <bgColor rgb="FFFFFFFF"/>
      </patternFill>
    </fill>
    <fill>
      <patternFill patternType="solid">
        <fgColor rgb="FF1F3864"/>
        <bgColor rgb="FF1F3864"/>
      </patternFill>
    </fill>
    <fill>
      <patternFill patternType="solid">
        <fgColor rgb="FFBFBFBF"/>
        <bgColor rgb="FFBFBFBF"/>
      </patternFill>
    </fill>
    <fill>
      <patternFill patternType="solid">
        <fgColor rgb="FFB6D7A8"/>
        <bgColor rgb="FFB6D7A8"/>
      </patternFill>
    </fill>
    <fill>
      <patternFill patternType="solid">
        <fgColor rgb="FF6AA84F"/>
        <bgColor rgb="FF6AA84F"/>
      </patternFill>
    </fill>
    <fill>
      <patternFill patternType="solid">
        <fgColor rgb="FFD8D8D8"/>
        <bgColor rgb="FFD8D8D8"/>
      </patternFill>
    </fill>
    <fill>
      <patternFill patternType="solid">
        <fgColor rgb="FF93C47D"/>
        <bgColor rgb="FF93C47D"/>
      </patternFill>
    </fill>
    <fill>
      <patternFill patternType="solid">
        <fgColor rgb="FFBDD6EE"/>
        <bgColor rgb="FFBDD6EE"/>
      </patternFill>
    </fill>
    <fill>
      <patternFill patternType="solid">
        <fgColor rgb="FF9CC2E5"/>
        <bgColor rgb="FF9CC2E5"/>
      </patternFill>
    </fill>
    <fill>
      <patternFill patternType="solid">
        <fgColor theme="0"/>
        <bgColor theme="0"/>
      </patternFill>
    </fill>
    <fill>
      <patternFill patternType="solid">
        <fgColor rgb="FFEAD1DC"/>
        <bgColor rgb="FFEAD1DC"/>
      </patternFill>
    </fill>
    <fill>
      <patternFill patternType="solid">
        <fgColor rgb="FFD9EAD3"/>
        <bgColor rgb="FFD9EAD3"/>
      </patternFill>
    </fill>
    <fill>
      <patternFill patternType="solid">
        <fgColor rgb="FF657BA3"/>
        <bgColor rgb="FF657BA3"/>
      </patternFill>
    </fill>
    <fill>
      <patternFill patternType="solid">
        <fgColor rgb="FFFFF2CC"/>
        <bgColor rgb="FFFFF2CC"/>
      </patternFill>
    </fill>
    <fill>
      <patternFill patternType="solid">
        <fgColor rgb="FFDEEAF6"/>
        <bgColor rgb="FFDEEAF6"/>
      </patternFill>
    </fill>
    <fill>
      <patternFill patternType="solid">
        <fgColor rgb="FFFFFF00"/>
        <bgColor rgb="FFFFFF00"/>
      </patternFill>
    </fill>
    <fill>
      <patternFill patternType="solid">
        <fgColor rgb="FF92D050"/>
        <bgColor rgb="FF92D050"/>
      </patternFill>
    </fill>
  </fills>
  <borders count="32">
    <border/>
    <border>
      <bottom style="double">
        <color rgb="FF000000"/>
      </bottom>
    </border>
    <border>
      <left/>
      <right/>
      <top/>
      <bottom/>
    </border>
    <border>
      <top style="thin">
        <color rgb="FF000000"/>
      </top>
    </border>
    <border>
      <bottom style="thin">
        <color rgb="FF000000"/>
      </bottom>
    </border>
    <border>
      <top style="thin">
        <color rgb="FF000000"/>
      </top>
      <bottom style="double">
        <color rgb="FF000000"/>
      </bottom>
    </border>
    <border>
      <left/>
      <right/>
      <top style="thin">
        <color rgb="FF000000"/>
      </top>
      <bottom/>
    </border>
    <border>
      <top style="thin">
        <color rgb="FFFFFFFF"/>
      </top>
      <bottom style="thin">
        <color rgb="FFFFFFFF"/>
      </bottom>
    </border>
    <border>
      <top style="thin">
        <color rgb="FFFFFFFF"/>
      </top>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top style="medium">
        <color rgb="FF000000"/>
      </top>
    </border>
    <border>
      <left style="thin">
        <color rgb="FF000000"/>
      </left>
      <right style="thin">
        <color rgb="FF000000"/>
      </right>
      <top style="thin">
        <color rgb="FF000000"/>
      </top>
      <bottom style="thin">
        <color rgb="FF000000"/>
      </bottom>
    </border>
    <border>
      <top style="medium">
        <color rgb="FF000000"/>
      </top>
      <bottom style="thick">
        <color rgb="FF000000"/>
      </bottom>
    </border>
    <border>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bottom/>
    </border>
    <border>
      <right style="hair">
        <color rgb="FF000000"/>
      </right>
      <top style="hair">
        <color rgb="FF000000"/>
      </top>
      <bottom style="hair">
        <color rgb="FF000000"/>
      </bottom>
    </border>
    <border>
      <left style="thin">
        <color rgb="FFD5D3D1"/>
      </left>
      <right style="thin">
        <color rgb="FFD5D3D1"/>
      </right>
      <top style="thin">
        <color rgb="FFD5D3D1"/>
      </top>
      <bottom style="thin">
        <color rgb="FFD5D3D1"/>
      </bottom>
    </border>
    <border>
      <left style="thin">
        <color rgb="FFD5D3D1"/>
      </left>
      <right style="thin">
        <color rgb="FFD5D3D1"/>
      </right>
      <top/>
      <bottom style="thin">
        <color rgb="FFD5D3D1"/>
      </bottom>
    </border>
    <border>
      <left/>
      <right/>
      <top style="thin">
        <color rgb="FF000000"/>
      </top>
      <bottom style="double">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549">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1"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1" numFmtId="0" xfId="0" applyAlignment="1" applyFont="1">
      <alignment vertical="center"/>
    </xf>
    <xf borderId="0" fillId="0" fontId="1" numFmtId="0" xfId="0" applyAlignment="1" applyFont="1">
      <alignment shrinkToFit="0" wrapText="1"/>
    </xf>
    <xf borderId="0" fillId="0" fontId="8" numFmtId="0" xfId="0" applyFont="1"/>
    <xf borderId="0" fillId="0" fontId="8" numFmtId="164" xfId="0" applyFont="1" applyNumberFormat="1"/>
    <xf borderId="2" fillId="2" fontId="8" numFmtId="0" xfId="0" applyBorder="1" applyFill="1" applyFont="1"/>
    <xf borderId="2" fillId="3" fontId="9" numFmtId="165" xfId="0" applyAlignment="1" applyBorder="1" applyFill="1" applyFont="1" applyNumberFormat="1">
      <alignment horizontal="center"/>
    </xf>
    <xf borderId="2" fillId="4" fontId="9" numFmtId="165" xfId="0" applyAlignment="1" applyBorder="1" applyFill="1" applyFont="1" applyNumberFormat="1">
      <alignment horizontal="center"/>
    </xf>
    <xf borderId="2" fillId="3" fontId="10" numFmtId="0" xfId="0" applyAlignment="1" applyBorder="1" applyFont="1">
      <alignment horizontal="center"/>
    </xf>
    <xf borderId="2" fillId="4" fontId="10" numFmtId="0" xfId="0" applyAlignment="1" applyBorder="1" applyFont="1">
      <alignment horizontal="center"/>
    </xf>
    <xf borderId="2" fillId="4" fontId="10" numFmtId="164" xfId="0" applyAlignment="1" applyBorder="1" applyFont="1" applyNumberFormat="1">
      <alignment horizontal="center"/>
    </xf>
    <xf borderId="0" fillId="0" fontId="8" numFmtId="166" xfId="0" applyFont="1" applyNumberFormat="1"/>
    <xf borderId="0" fillId="0" fontId="8" numFmtId="167" xfId="0" applyFont="1" applyNumberFormat="1"/>
    <xf borderId="0" fillId="0" fontId="8" numFmtId="3" xfId="0" applyFont="1" applyNumberFormat="1"/>
    <xf borderId="3" fillId="0" fontId="11" numFmtId="0" xfId="0" applyBorder="1" applyFont="1"/>
    <xf borderId="3" fillId="0" fontId="11" numFmtId="168" xfId="0" applyBorder="1" applyFont="1" applyNumberFormat="1"/>
    <xf borderId="0" fillId="0" fontId="8" numFmtId="168" xfId="0" applyFont="1" applyNumberFormat="1"/>
    <xf borderId="0" fillId="0" fontId="11" numFmtId="164" xfId="0" applyFont="1" applyNumberFormat="1"/>
    <xf borderId="3" fillId="0" fontId="11" numFmtId="164" xfId="0" applyBorder="1" applyFont="1" applyNumberFormat="1"/>
    <xf borderId="3" fillId="0" fontId="11" numFmtId="166" xfId="0" applyBorder="1" applyFont="1" applyNumberFormat="1"/>
    <xf borderId="0" fillId="0" fontId="11" numFmtId="0" xfId="0" applyFont="1"/>
    <xf borderId="0" fillId="0" fontId="8" numFmtId="169" xfId="0" applyFont="1" applyNumberFormat="1"/>
    <xf borderId="4" fillId="0" fontId="8" numFmtId="3" xfId="0" applyBorder="1" applyFont="1" applyNumberFormat="1"/>
    <xf borderId="4" fillId="0" fontId="8" numFmtId="166" xfId="0" applyBorder="1" applyFont="1" applyNumberFormat="1"/>
    <xf borderId="4" fillId="0" fontId="8" numFmtId="169" xfId="0" applyBorder="1" applyFont="1" applyNumberFormat="1"/>
    <xf borderId="3" fillId="0" fontId="8" numFmtId="0" xfId="0" applyBorder="1" applyFont="1"/>
    <xf borderId="3" fillId="0" fontId="8" numFmtId="168" xfId="0" applyBorder="1" applyFont="1" applyNumberFormat="1"/>
    <xf borderId="3" fillId="0" fontId="8" numFmtId="164" xfId="0" applyBorder="1" applyFont="1" applyNumberFormat="1"/>
    <xf borderId="5" fillId="0" fontId="11" numFmtId="0" xfId="0" applyBorder="1" applyFont="1"/>
    <xf borderId="5" fillId="0" fontId="11" numFmtId="168" xfId="0" applyBorder="1" applyFont="1" applyNumberFormat="1"/>
    <xf borderId="0" fillId="0" fontId="11" numFmtId="168" xfId="0" applyFont="1" applyNumberFormat="1"/>
    <xf borderId="5" fillId="0" fontId="11" numFmtId="170" xfId="0" applyBorder="1" applyFont="1" applyNumberFormat="1"/>
    <xf borderId="5" fillId="0" fontId="11" numFmtId="164" xfId="0" applyBorder="1" applyFont="1" applyNumberFormat="1"/>
    <xf borderId="5" fillId="0" fontId="11" numFmtId="166" xfId="0" applyBorder="1" applyFont="1" applyNumberFormat="1"/>
    <xf borderId="0" fillId="0" fontId="12" numFmtId="0" xfId="0" applyFont="1"/>
    <xf borderId="0" fillId="0" fontId="12" numFmtId="166" xfId="0" applyFont="1" applyNumberFormat="1"/>
    <xf borderId="2" fillId="5" fontId="13" numFmtId="166" xfId="0" applyBorder="1" applyFill="1" applyFont="1" applyNumberFormat="1"/>
    <xf borderId="2" fillId="5" fontId="13" numFmtId="10" xfId="0" applyBorder="1" applyFont="1" applyNumberFormat="1"/>
    <xf borderId="6" fillId="5" fontId="13" numFmtId="164" xfId="0" applyBorder="1" applyFont="1" applyNumberFormat="1"/>
    <xf borderId="6" fillId="5" fontId="8" numFmtId="164" xfId="0" applyBorder="1" applyFont="1" applyNumberFormat="1"/>
    <xf borderId="6" fillId="5" fontId="8" numFmtId="166" xfId="0" applyBorder="1" applyFont="1" applyNumberFormat="1"/>
    <xf borderId="2" fillId="3" fontId="10" numFmtId="166" xfId="0" applyAlignment="1" applyBorder="1" applyFont="1" applyNumberFormat="1">
      <alignment horizontal="center"/>
    </xf>
    <xf borderId="2" fillId="5" fontId="13" numFmtId="167" xfId="0" applyBorder="1" applyFont="1" applyNumberFormat="1"/>
    <xf borderId="2" fillId="5" fontId="8" numFmtId="167" xfId="0" applyBorder="1" applyFont="1" applyNumberFormat="1"/>
    <xf borderId="2" fillId="5" fontId="14" numFmtId="0" xfId="0" applyBorder="1" applyFont="1"/>
    <xf borderId="0" fillId="0" fontId="8" numFmtId="168" xfId="0" applyAlignment="1" applyFont="1" applyNumberFormat="1">
      <alignment horizontal="right"/>
    </xf>
    <xf borderId="4" fillId="0" fontId="8" numFmtId="0" xfId="0" applyBorder="1" applyFont="1"/>
    <xf borderId="5" fillId="0" fontId="11" numFmtId="171" xfId="0" applyBorder="1" applyFont="1" applyNumberFormat="1"/>
    <xf borderId="5" fillId="0" fontId="11" numFmtId="172" xfId="0" applyBorder="1" applyFont="1" applyNumberFormat="1"/>
    <xf borderId="2" fillId="5" fontId="8" numFmtId="166" xfId="0" applyBorder="1" applyFont="1" applyNumberFormat="1"/>
    <xf borderId="0" fillId="0" fontId="15" numFmtId="164" xfId="0" applyAlignment="1" applyFont="1" applyNumberFormat="1">
      <alignment horizontal="right"/>
    </xf>
    <xf borderId="4" fillId="0" fontId="8" numFmtId="164" xfId="0" applyBorder="1" applyFont="1" applyNumberFormat="1"/>
    <xf borderId="0" fillId="0" fontId="11" numFmtId="9" xfId="0" applyFont="1" applyNumberFormat="1"/>
    <xf borderId="2" fillId="5" fontId="16" numFmtId="3" xfId="0" applyBorder="1" applyFont="1" applyNumberFormat="1"/>
    <xf borderId="0" fillId="0" fontId="8" numFmtId="1" xfId="0" applyFont="1" applyNumberFormat="1"/>
    <xf borderId="0" fillId="0" fontId="8" numFmtId="173" xfId="0" applyFont="1" applyNumberFormat="1"/>
    <xf borderId="3" fillId="0" fontId="8" numFmtId="166" xfId="0" applyBorder="1" applyFont="1" applyNumberFormat="1"/>
    <xf borderId="7" fillId="0" fontId="8" numFmtId="0" xfId="0" applyBorder="1" applyFont="1"/>
    <xf borderId="0" fillId="0" fontId="8" numFmtId="9" xfId="0" applyFont="1" applyNumberFormat="1"/>
    <xf borderId="0" fillId="0" fontId="13" numFmtId="0" xfId="0" applyFont="1"/>
    <xf borderId="3" fillId="0" fontId="17" numFmtId="0" xfId="0" applyBorder="1" applyFont="1"/>
    <xf borderId="3" fillId="0" fontId="11" numFmtId="171" xfId="0" applyBorder="1" applyFont="1" applyNumberFormat="1"/>
    <xf borderId="3" fillId="0" fontId="17" numFmtId="170" xfId="0" applyBorder="1" applyFont="1" applyNumberFormat="1"/>
    <xf borderId="3" fillId="0" fontId="11" numFmtId="9" xfId="0" applyBorder="1" applyFont="1" applyNumberFormat="1"/>
    <xf borderId="0" fillId="0" fontId="11" numFmtId="166" xfId="0" applyFont="1" applyNumberFormat="1"/>
    <xf borderId="0" fillId="0" fontId="13" numFmtId="166" xfId="0" applyFont="1" applyNumberFormat="1"/>
    <xf borderId="8" fillId="0" fontId="8" numFmtId="166" xfId="0" applyBorder="1" applyFont="1" applyNumberFormat="1"/>
    <xf borderId="0" fillId="0" fontId="13" numFmtId="164" xfId="0" applyFont="1" applyNumberFormat="1"/>
    <xf borderId="3" fillId="0" fontId="11" numFmtId="170" xfId="0" applyBorder="1" applyFont="1" applyNumberFormat="1"/>
    <xf borderId="0" fillId="0" fontId="17" numFmtId="0" xfId="0" applyFont="1"/>
    <xf borderId="5" fillId="0" fontId="17" numFmtId="0" xfId="0" applyBorder="1" applyFont="1"/>
    <xf borderId="0" fillId="0" fontId="18" numFmtId="0" xfId="0" applyFont="1"/>
    <xf borderId="0" fillId="0" fontId="12" numFmtId="9" xfId="0" applyFont="1" applyNumberFormat="1"/>
    <xf borderId="8" fillId="0" fontId="12" numFmtId="166" xfId="0" applyBorder="1" applyFont="1" applyNumberFormat="1"/>
    <xf borderId="3" fillId="0" fontId="17" numFmtId="168" xfId="0" applyBorder="1" applyFont="1" applyNumberFormat="1"/>
    <xf borderId="5" fillId="0" fontId="17" numFmtId="164" xfId="0" applyBorder="1" applyFont="1" applyNumberFormat="1"/>
    <xf borderId="0" fillId="0" fontId="12" numFmtId="164" xfId="0" applyFont="1" applyNumberFormat="1"/>
    <xf borderId="2" fillId="6" fontId="9" numFmtId="165" xfId="0" applyAlignment="1" applyBorder="1" applyFill="1" applyFont="1" applyNumberFormat="1">
      <alignment horizontal="center"/>
    </xf>
    <xf borderId="0" fillId="0" fontId="8" numFmtId="166" xfId="0" applyAlignment="1" applyFont="1" applyNumberFormat="1">
      <alignment horizontal="center"/>
    </xf>
    <xf borderId="5" fillId="0" fontId="13" numFmtId="0" xfId="0" applyBorder="1" applyFont="1"/>
    <xf borderId="5" fillId="0" fontId="8" numFmtId="166" xfId="0" applyAlignment="1" applyBorder="1" applyFont="1" applyNumberFormat="1">
      <alignment horizontal="center"/>
    </xf>
    <xf borderId="3" fillId="0" fontId="11" numFmtId="1" xfId="0" applyBorder="1" applyFont="1" applyNumberFormat="1"/>
    <xf borderId="0" fillId="0" fontId="11" numFmtId="167" xfId="0" applyFont="1" applyNumberFormat="1"/>
    <xf borderId="0" fillId="0" fontId="16" numFmtId="0" xfId="0" applyFont="1"/>
    <xf borderId="9" fillId="7" fontId="3" numFmtId="165" xfId="0" applyAlignment="1" applyBorder="1" applyFill="1" applyFont="1" applyNumberFormat="1">
      <alignment horizontal="center"/>
    </xf>
    <xf borderId="10" fillId="7" fontId="3" numFmtId="165" xfId="0" applyAlignment="1" applyBorder="1" applyFont="1" applyNumberFormat="1">
      <alignment horizontal="center"/>
    </xf>
    <xf borderId="11" fillId="7" fontId="3" numFmtId="165" xfId="0" applyAlignment="1" applyBorder="1" applyFont="1" applyNumberFormat="1">
      <alignment horizontal="center"/>
    </xf>
    <xf borderId="10" fillId="8" fontId="3" numFmtId="165" xfId="0" applyAlignment="1" applyBorder="1" applyFill="1" applyFont="1" applyNumberFormat="1">
      <alignment horizontal="center"/>
    </xf>
    <xf borderId="11" fillId="8" fontId="3" numFmtId="165" xfId="0" applyAlignment="1" applyBorder="1" applyFont="1" applyNumberFormat="1">
      <alignment horizontal="center"/>
    </xf>
    <xf borderId="10" fillId="9" fontId="3" numFmtId="165" xfId="0" applyAlignment="1" applyBorder="1" applyFill="1" applyFont="1" applyNumberFormat="1">
      <alignment horizontal="center"/>
    </xf>
    <xf borderId="10" fillId="10" fontId="3" numFmtId="165" xfId="0" applyAlignment="1" applyBorder="1" applyFill="1" applyFont="1" applyNumberFormat="1">
      <alignment horizontal="center"/>
    </xf>
    <xf borderId="11" fillId="10" fontId="3" numFmtId="165" xfId="0" applyAlignment="1" applyBorder="1" applyFont="1" applyNumberFormat="1">
      <alignment horizontal="center"/>
    </xf>
    <xf borderId="9" fillId="10" fontId="3" numFmtId="165" xfId="0" applyAlignment="1" applyBorder="1" applyFont="1" applyNumberFormat="1">
      <alignment horizontal="center"/>
    </xf>
    <xf borderId="0" fillId="0" fontId="3" numFmtId="165" xfId="0" applyAlignment="1" applyFont="1" applyNumberFormat="1">
      <alignment horizontal="center"/>
    </xf>
    <xf borderId="10" fillId="7" fontId="19" numFmtId="0" xfId="0" applyAlignment="1" applyBorder="1" applyFont="1">
      <alignment horizontal="center"/>
    </xf>
    <xf borderId="11" fillId="7" fontId="19" numFmtId="0" xfId="0" applyAlignment="1" applyBorder="1" applyFont="1">
      <alignment horizontal="center"/>
    </xf>
    <xf borderId="10" fillId="11" fontId="3" numFmtId="165" xfId="0" applyAlignment="1" applyBorder="1" applyFill="1" applyFont="1" applyNumberFormat="1">
      <alignment horizontal="center"/>
    </xf>
    <xf borderId="11" fillId="9" fontId="19" numFmtId="0" xfId="0" applyAlignment="1" applyBorder="1" applyFont="1">
      <alignment horizontal="center"/>
    </xf>
    <xf borderId="9" fillId="10" fontId="19" numFmtId="0" xfId="0" applyAlignment="1" applyBorder="1" applyFont="1">
      <alignment horizontal="center"/>
    </xf>
    <xf borderId="10" fillId="10" fontId="19" numFmtId="0" xfId="0" applyAlignment="1" applyBorder="1" applyFont="1">
      <alignment horizontal="center"/>
    </xf>
    <xf borderId="11" fillId="10" fontId="19" numFmtId="0" xfId="0" applyAlignment="1" applyBorder="1" applyFont="1">
      <alignment horizontal="center"/>
    </xf>
    <xf borderId="2" fillId="7" fontId="19" numFmtId="0" xfId="0" applyAlignment="1" applyBorder="1" applyFont="1">
      <alignment horizontal="center"/>
    </xf>
    <xf quotePrefix="1" borderId="2" fillId="7" fontId="19" numFmtId="0" xfId="0" applyAlignment="1" applyBorder="1" applyFont="1">
      <alignment horizontal="center"/>
    </xf>
    <xf quotePrefix="1" borderId="2" fillId="10" fontId="19" numFmtId="0" xfId="0" applyAlignment="1" applyBorder="1" applyFont="1">
      <alignment horizontal="center"/>
    </xf>
    <xf borderId="2" fillId="10" fontId="19" numFmtId="0" xfId="0" applyAlignment="1" applyBorder="1" applyFont="1">
      <alignment horizontal="center"/>
    </xf>
    <xf borderId="2" fillId="12" fontId="16" numFmtId="0" xfId="0" applyAlignment="1" applyBorder="1" applyFill="1" applyFont="1">
      <alignment horizontal="center"/>
    </xf>
    <xf borderId="2" fillId="13" fontId="16" numFmtId="0" xfId="0" applyAlignment="1" applyBorder="1" applyFill="1" applyFont="1">
      <alignment horizontal="center"/>
    </xf>
    <xf borderId="4" fillId="0" fontId="19" numFmtId="0" xfId="0" applyBorder="1" applyFont="1"/>
    <xf borderId="0" fillId="0" fontId="6" numFmtId="170" xfId="0" applyFont="1" applyNumberFormat="1"/>
    <xf borderId="0" fillId="0" fontId="1" numFmtId="170" xfId="0" applyFont="1" applyNumberFormat="1"/>
    <xf borderId="0" fillId="0" fontId="3" numFmtId="170" xfId="0" applyFont="1" applyNumberFormat="1"/>
    <xf borderId="3" fillId="0" fontId="3" numFmtId="0" xfId="0" applyBorder="1" applyFont="1"/>
    <xf borderId="3" fillId="0" fontId="20" numFmtId="170" xfId="0" applyBorder="1" applyFont="1" applyNumberFormat="1"/>
    <xf borderId="3" fillId="0" fontId="3" numFmtId="170" xfId="0" applyBorder="1" applyFont="1" applyNumberFormat="1"/>
    <xf borderId="0" fillId="0" fontId="1" numFmtId="166" xfId="0" applyFont="1" applyNumberFormat="1"/>
    <xf borderId="0" fillId="0" fontId="1" numFmtId="3" xfId="0" applyFont="1" applyNumberFormat="1"/>
    <xf borderId="3" fillId="0" fontId="1" numFmtId="0" xfId="0" applyBorder="1" applyFont="1"/>
    <xf borderId="0" fillId="0" fontId="1" numFmtId="10" xfId="0" applyFont="1" applyNumberFormat="1"/>
    <xf borderId="0" fillId="0" fontId="1" numFmtId="174" xfId="0" applyFont="1" applyNumberFormat="1"/>
    <xf borderId="5" fillId="0" fontId="3" numFmtId="170" xfId="0" applyBorder="1" applyFont="1" applyNumberFormat="1"/>
    <xf borderId="0" fillId="0" fontId="21" numFmtId="166" xfId="0" applyFont="1" applyNumberFormat="1"/>
    <xf borderId="0" fillId="0" fontId="19" numFmtId="0" xfId="0" applyFont="1"/>
    <xf borderId="0" fillId="0" fontId="1" numFmtId="9" xfId="0" applyFont="1" applyNumberFormat="1"/>
    <xf borderId="0" fillId="0" fontId="1" numFmtId="170" xfId="0" applyAlignment="1" applyFont="1" applyNumberFormat="1">
      <alignment horizontal="right"/>
    </xf>
    <xf borderId="0" fillId="0" fontId="16" numFmtId="0" xfId="0" applyAlignment="1" applyFont="1">
      <alignment horizontal="left"/>
    </xf>
    <xf borderId="4" fillId="0" fontId="1" numFmtId="170" xfId="0" applyBorder="1" applyFont="1" applyNumberFormat="1"/>
    <xf borderId="5" fillId="0" fontId="3" numFmtId="0" xfId="0" applyBorder="1" applyFont="1"/>
    <xf borderId="0" fillId="0" fontId="22" numFmtId="164" xfId="0" applyAlignment="1" applyFont="1" applyNumberFormat="1">
      <alignment horizontal="right"/>
    </xf>
    <xf borderId="0" fillId="0" fontId="21" numFmtId="0" xfId="0" applyFont="1"/>
    <xf borderId="0" fillId="0" fontId="1" numFmtId="164" xfId="0" applyFont="1" applyNumberFormat="1"/>
    <xf borderId="0" fillId="0" fontId="1" numFmtId="175" xfId="0" applyFont="1" applyNumberFormat="1"/>
    <xf borderId="2" fillId="14" fontId="1" numFmtId="10" xfId="0" applyBorder="1" applyFill="1" applyFont="1" applyNumberFormat="1"/>
    <xf borderId="0" fillId="0" fontId="3" numFmtId="10" xfId="0" applyFont="1" applyNumberFormat="1"/>
    <xf borderId="5" fillId="0" fontId="3" numFmtId="10" xfId="0" applyBorder="1" applyFont="1" applyNumberFormat="1"/>
    <xf borderId="5" fillId="0" fontId="16" numFmtId="0" xfId="0" applyBorder="1" applyFont="1"/>
    <xf borderId="5" fillId="0" fontId="16" numFmtId="10" xfId="0" applyBorder="1" applyFont="1" applyNumberFormat="1"/>
    <xf borderId="0" fillId="0" fontId="16" numFmtId="167" xfId="0" applyFont="1" applyNumberFormat="1"/>
    <xf borderId="0" fillId="0" fontId="19" numFmtId="167" xfId="0" applyFont="1" applyNumberFormat="1"/>
    <xf borderId="0" fillId="0" fontId="1" numFmtId="167" xfId="0" applyFont="1" applyNumberFormat="1"/>
    <xf borderId="0" fillId="0" fontId="1" numFmtId="176" xfId="0" applyFont="1" applyNumberFormat="1"/>
    <xf borderId="2" fillId="10" fontId="3" numFmtId="176" xfId="0" applyAlignment="1" applyBorder="1" applyFont="1" applyNumberFormat="1">
      <alignment horizontal="center"/>
    </xf>
    <xf borderId="2" fillId="7" fontId="3" numFmtId="176" xfId="0" applyAlignment="1" applyBorder="1" applyFont="1" applyNumberFormat="1">
      <alignment horizontal="center"/>
    </xf>
    <xf borderId="9" fillId="9" fontId="3" numFmtId="165" xfId="0" applyAlignment="1" applyBorder="1" applyFont="1" applyNumberFormat="1">
      <alignment horizontal="center"/>
    </xf>
    <xf borderId="10" fillId="10" fontId="3" numFmtId="176" xfId="0" applyAlignment="1" applyBorder="1" applyFont="1" applyNumberFormat="1">
      <alignment horizontal="center"/>
    </xf>
    <xf borderId="10" fillId="7" fontId="3" numFmtId="176" xfId="0" applyAlignment="1" applyBorder="1" applyFont="1" applyNumberFormat="1">
      <alignment horizontal="center"/>
    </xf>
    <xf borderId="11" fillId="7" fontId="3" numFmtId="176" xfId="0" applyAlignment="1" applyBorder="1" applyFont="1" applyNumberFormat="1">
      <alignment horizontal="center"/>
    </xf>
    <xf borderId="9" fillId="7" fontId="3" numFmtId="176" xfId="0" applyAlignment="1" applyBorder="1" applyFont="1" applyNumberFormat="1">
      <alignment horizontal="center"/>
    </xf>
    <xf borderId="11" fillId="10" fontId="3" numFmtId="176" xfId="0" applyAlignment="1" applyBorder="1" applyFont="1" applyNumberFormat="1">
      <alignment horizontal="center"/>
    </xf>
    <xf borderId="9" fillId="10" fontId="3" numFmtId="176" xfId="0" applyAlignment="1" applyBorder="1" applyFont="1" applyNumberFormat="1">
      <alignment horizontal="center"/>
    </xf>
    <xf borderId="0" fillId="0" fontId="3" numFmtId="167" xfId="0" applyAlignment="1" applyFont="1" applyNumberFormat="1">
      <alignment horizontal="center"/>
    </xf>
    <xf borderId="2" fillId="12" fontId="3" numFmtId="167" xfId="0" applyAlignment="1" applyBorder="1" applyFont="1" applyNumberFormat="1">
      <alignment horizontal="center"/>
    </xf>
    <xf borderId="2" fillId="13" fontId="16" numFmtId="167" xfId="0" applyAlignment="1" applyBorder="1" applyFont="1" applyNumberFormat="1">
      <alignment horizontal="center"/>
    </xf>
    <xf borderId="0" fillId="0" fontId="3" numFmtId="167" xfId="0" applyFont="1" applyNumberFormat="1"/>
    <xf borderId="0" fillId="0" fontId="4" numFmtId="167" xfId="0" applyAlignment="1" applyFont="1" applyNumberFormat="1">
      <alignment horizontal="right"/>
    </xf>
    <xf borderId="0" fillId="0" fontId="6" numFmtId="167" xfId="0" applyFont="1" applyNumberFormat="1"/>
    <xf borderId="3" fillId="0" fontId="3" numFmtId="167" xfId="0" applyAlignment="1" applyBorder="1" applyFont="1" applyNumberFormat="1">
      <alignment horizontal="right"/>
    </xf>
    <xf borderId="3" fillId="0" fontId="19" numFmtId="167" xfId="0" applyAlignment="1" applyBorder="1" applyFont="1" applyNumberFormat="1">
      <alignment horizontal="right"/>
    </xf>
    <xf borderId="0" fillId="0" fontId="19" numFmtId="167" xfId="0" applyAlignment="1" applyFont="1" applyNumberFormat="1">
      <alignment horizontal="right"/>
    </xf>
    <xf borderId="0" fillId="0" fontId="6" numFmtId="167" xfId="0" applyAlignment="1" applyFont="1" applyNumberFormat="1">
      <alignment horizontal="right"/>
    </xf>
    <xf borderId="0" fillId="0" fontId="21" numFmtId="10" xfId="0" applyFont="1" applyNumberFormat="1"/>
    <xf borderId="0" fillId="0" fontId="21" numFmtId="10" xfId="0" applyAlignment="1" applyFont="1" applyNumberFormat="1">
      <alignment horizontal="right"/>
    </xf>
    <xf borderId="0" fillId="0" fontId="23" numFmtId="10" xfId="0" applyAlignment="1" applyFont="1" applyNumberFormat="1">
      <alignment horizontal="right"/>
    </xf>
    <xf borderId="0" fillId="0" fontId="3" numFmtId="167" xfId="0" applyAlignment="1" applyFont="1" applyNumberFormat="1">
      <alignment horizontal="right"/>
    </xf>
    <xf borderId="3" fillId="0" fontId="24" numFmtId="167" xfId="0" applyAlignment="1" applyBorder="1" applyFont="1" applyNumberFormat="1">
      <alignment horizontal="right"/>
    </xf>
    <xf borderId="0" fillId="0" fontId="19" numFmtId="10" xfId="0" applyAlignment="1" applyFont="1" applyNumberFormat="1">
      <alignment horizontal="right"/>
    </xf>
    <xf borderId="0" fillId="0" fontId="5" numFmtId="167" xfId="0" applyFont="1" applyNumberFormat="1"/>
    <xf borderId="0" fillId="0" fontId="3" numFmtId="167" xfId="0" applyAlignment="1" applyFont="1" applyNumberFormat="1">
      <alignment horizontal="left"/>
    </xf>
    <xf borderId="4" fillId="0" fontId="19" numFmtId="167" xfId="0" applyBorder="1" applyFont="1" applyNumberFormat="1"/>
    <xf borderId="0" fillId="0" fontId="16" numFmtId="167" xfId="0" applyAlignment="1" applyFont="1" applyNumberFormat="1">
      <alignment horizontal="left"/>
    </xf>
    <xf borderId="3" fillId="0" fontId="16" numFmtId="167" xfId="0" applyBorder="1" applyFont="1" applyNumberFormat="1"/>
    <xf borderId="0" fillId="0" fontId="16" numFmtId="167" xfId="0" applyAlignment="1" applyFont="1" applyNumberFormat="1">
      <alignment horizontal="center"/>
    </xf>
    <xf borderId="0" fillId="0" fontId="5" numFmtId="166" xfId="0" applyAlignment="1" applyFont="1" applyNumberFormat="1">
      <alignment horizontal="center"/>
    </xf>
    <xf borderId="0" fillId="0" fontId="16" numFmtId="166" xfId="0" applyFont="1" applyNumberFormat="1"/>
    <xf borderId="0" fillId="0" fontId="25" numFmtId="166" xfId="0" applyAlignment="1" applyFont="1" applyNumberFormat="1">
      <alignment horizontal="center"/>
    </xf>
    <xf borderId="0" fillId="0" fontId="19" numFmtId="166" xfId="0" applyFont="1" applyNumberFormat="1"/>
    <xf borderId="3" fillId="0" fontId="19" numFmtId="166" xfId="0" applyBorder="1" applyFont="1" applyNumberFormat="1"/>
    <xf borderId="3" fillId="0" fontId="19" numFmtId="167" xfId="0" applyBorder="1" applyFont="1" applyNumberFormat="1"/>
    <xf borderId="2" fillId="7" fontId="3" numFmtId="0" xfId="0" applyAlignment="1" applyBorder="1" applyFont="1">
      <alignment horizontal="center"/>
    </xf>
    <xf quotePrefix="1" borderId="2" fillId="7" fontId="3" numFmtId="0" xfId="0" applyAlignment="1" applyBorder="1" applyFont="1">
      <alignment horizontal="center"/>
    </xf>
    <xf borderId="2" fillId="10" fontId="3" numFmtId="177" xfId="0" applyAlignment="1" applyBorder="1" applyFont="1" applyNumberFormat="1">
      <alignment horizontal="center"/>
    </xf>
    <xf borderId="12" fillId="0" fontId="3" numFmtId="0" xfId="0" applyBorder="1" applyFont="1"/>
    <xf borderId="13" fillId="0" fontId="1" numFmtId="0" xfId="0" applyBorder="1" applyFont="1"/>
    <xf borderId="2" fillId="12" fontId="1" numFmtId="0" xfId="0" applyAlignment="1" applyBorder="1" applyFont="1">
      <alignment horizontal="center"/>
    </xf>
    <xf borderId="2" fillId="13" fontId="1" numFmtId="0" xfId="0" applyAlignment="1" applyBorder="1" applyFont="1">
      <alignment horizontal="center"/>
    </xf>
    <xf borderId="14" fillId="0" fontId="1" numFmtId="164" xfId="0" applyAlignment="1" applyBorder="1" applyFont="1" applyNumberFormat="1">
      <alignment horizontal="right"/>
    </xf>
    <xf borderId="13" fillId="0" fontId="5" numFmtId="0" xfId="0" applyAlignment="1" applyBorder="1" applyFont="1">
      <alignment horizontal="right"/>
    </xf>
    <xf borderId="0" fillId="0" fontId="5" numFmtId="14" xfId="0" applyAlignment="1" applyFont="1" applyNumberFormat="1">
      <alignment horizontal="right"/>
    </xf>
    <xf borderId="0" fillId="0" fontId="1" numFmtId="178" xfId="0" applyAlignment="1" applyFont="1" applyNumberFormat="1">
      <alignment horizontal="right"/>
    </xf>
    <xf borderId="0" fillId="0" fontId="5" numFmtId="164" xfId="0" applyAlignment="1" applyFont="1" applyNumberFormat="1">
      <alignment horizontal="right"/>
    </xf>
    <xf borderId="0" fillId="0" fontId="5" numFmtId="9" xfId="0" applyAlignment="1" applyFont="1" applyNumberFormat="1">
      <alignment horizontal="right"/>
    </xf>
    <xf borderId="0" fillId="0" fontId="1" numFmtId="164" xfId="0" applyAlignment="1" applyFont="1" applyNumberFormat="1">
      <alignment horizontal="right"/>
    </xf>
    <xf borderId="15" fillId="0" fontId="1" numFmtId="164" xfId="0" applyAlignment="1" applyBorder="1" applyFont="1" applyNumberFormat="1">
      <alignment horizontal="right"/>
    </xf>
    <xf borderId="16" fillId="0" fontId="5" numFmtId="0" xfId="0" applyAlignment="1" applyBorder="1" applyFont="1">
      <alignment horizontal="right"/>
    </xf>
    <xf borderId="0" fillId="0" fontId="5" numFmtId="0" xfId="0" applyAlignment="1" applyFont="1">
      <alignment horizontal="right"/>
    </xf>
    <xf borderId="0" fillId="0" fontId="1" numFmtId="9" xfId="0" applyAlignment="1" applyFont="1" applyNumberFormat="1">
      <alignment horizontal="right"/>
    </xf>
    <xf borderId="2" fillId="5" fontId="1" numFmtId="164" xfId="0" applyAlignment="1" applyBorder="1" applyFont="1" applyNumberFormat="1">
      <alignment horizontal="right"/>
    </xf>
    <xf borderId="17" fillId="0" fontId="3" numFmtId="0" xfId="0" applyBorder="1" applyFont="1"/>
    <xf borderId="17" fillId="0" fontId="3" numFmtId="170" xfId="0" applyBorder="1" applyFont="1" applyNumberFormat="1"/>
    <xf borderId="17" fillId="0" fontId="3" numFmtId="178" xfId="0" applyBorder="1" applyFont="1" applyNumberFormat="1"/>
    <xf borderId="0" fillId="0" fontId="1" numFmtId="10" xfId="0" applyAlignment="1" applyFont="1" applyNumberFormat="1">
      <alignment horizontal="right"/>
    </xf>
    <xf borderId="0" fillId="0" fontId="26" numFmtId="9" xfId="0" applyFont="1" applyNumberFormat="1"/>
    <xf borderId="2" fillId="5" fontId="1" numFmtId="178" xfId="0" applyAlignment="1" applyBorder="1" applyFont="1" applyNumberFormat="1">
      <alignment horizontal="right"/>
    </xf>
    <xf borderId="0" fillId="0" fontId="3" numFmtId="178" xfId="0" applyAlignment="1" applyFont="1" applyNumberFormat="1">
      <alignment horizontal="right"/>
    </xf>
    <xf borderId="2" fillId="5" fontId="1" numFmtId="9" xfId="0" applyBorder="1" applyFont="1" applyNumberFormat="1"/>
    <xf borderId="2" fillId="5" fontId="5" numFmtId="9" xfId="0" applyAlignment="1" applyBorder="1" applyFont="1" applyNumberFormat="1">
      <alignment horizontal="right"/>
    </xf>
    <xf borderId="17" fillId="0" fontId="3" numFmtId="170" xfId="0" applyAlignment="1" applyBorder="1" applyFont="1" applyNumberFormat="1">
      <alignment horizontal="right"/>
    </xf>
    <xf borderId="17" fillId="0" fontId="3" numFmtId="178" xfId="0" applyAlignment="1" applyBorder="1" applyFont="1" applyNumberFormat="1">
      <alignment horizontal="right"/>
    </xf>
    <xf borderId="0" fillId="0" fontId="1" numFmtId="178" xfId="0" applyFont="1" applyNumberFormat="1"/>
    <xf borderId="0" fillId="0" fontId="1" numFmtId="179" xfId="0" applyAlignment="1" applyFont="1" applyNumberFormat="1">
      <alignment horizontal="right"/>
    </xf>
    <xf borderId="0" fillId="0" fontId="1" numFmtId="180" xfId="0" applyFont="1" applyNumberFormat="1"/>
    <xf borderId="0" fillId="0" fontId="27" numFmtId="9" xfId="0" applyAlignment="1" applyFont="1" applyNumberFormat="1">
      <alignment horizontal="center"/>
    </xf>
    <xf borderId="0" fillId="0" fontId="1" numFmtId="179" xfId="0" applyFont="1" applyNumberFormat="1"/>
    <xf borderId="0" fillId="0" fontId="27" numFmtId="3" xfId="0" applyAlignment="1" applyFont="1" applyNumberFormat="1">
      <alignment horizontal="center"/>
    </xf>
    <xf borderId="0" fillId="0" fontId="3" numFmtId="0" xfId="0" applyAlignment="1" applyFont="1">
      <alignment horizontal="center"/>
    </xf>
    <xf borderId="0" fillId="0" fontId="16" numFmtId="3" xfId="0" applyAlignment="1" applyFont="1" applyNumberFormat="1">
      <alignment horizontal="center"/>
    </xf>
    <xf borderId="18" fillId="0" fontId="28" numFmtId="9" xfId="0" applyBorder="1" applyFont="1" applyNumberFormat="1"/>
    <xf borderId="19" fillId="0" fontId="1" numFmtId="0" xfId="0" applyBorder="1" applyFont="1"/>
    <xf borderId="19" fillId="0" fontId="1" numFmtId="170" xfId="0" applyAlignment="1" applyBorder="1" applyFont="1" applyNumberFormat="1">
      <alignment horizontal="right"/>
    </xf>
    <xf borderId="19" fillId="0" fontId="1" numFmtId="178" xfId="0" applyAlignment="1" applyBorder="1" applyFont="1" applyNumberFormat="1">
      <alignment horizontal="right"/>
    </xf>
    <xf borderId="2" fillId="5" fontId="1" numFmtId="178" xfId="0" applyBorder="1" applyFont="1" applyNumberFormat="1"/>
    <xf borderId="20" fillId="0" fontId="3" numFmtId="170" xfId="0" applyBorder="1" applyFont="1" applyNumberFormat="1"/>
    <xf borderId="20" fillId="0" fontId="3" numFmtId="0" xfId="0" applyBorder="1" applyFont="1"/>
    <xf borderId="20" fillId="0" fontId="1" numFmtId="170" xfId="0" applyBorder="1" applyFont="1" applyNumberFormat="1"/>
    <xf borderId="20" fillId="0" fontId="3" numFmtId="178" xfId="0" applyAlignment="1" applyBorder="1" applyFont="1" applyNumberFormat="1">
      <alignment horizontal="right"/>
    </xf>
    <xf borderId="4" fillId="0" fontId="3" numFmtId="0" xfId="0" applyBorder="1" applyFont="1"/>
    <xf borderId="0" fillId="0" fontId="3" numFmtId="9" xfId="0" applyAlignment="1" applyFont="1" applyNumberFormat="1">
      <alignment horizontal="right"/>
    </xf>
    <xf borderId="0" fillId="0" fontId="5" numFmtId="10" xfId="0" applyAlignment="1" applyFont="1" applyNumberFormat="1">
      <alignment horizontal="right"/>
    </xf>
    <xf borderId="19" fillId="0" fontId="3" numFmtId="0" xfId="0" applyBorder="1" applyFont="1"/>
    <xf borderId="19" fillId="0" fontId="1" numFmtId="170" xfId="0" applyBorder="1" applyFont="1" applyNumberFormat="1"/>
    <xf borderId="19" fillId="0" fontId="3" numFmtId="178" xfId="0" applyAlignment="1" applyBorder="1" applyFont="1" applyNumberFormat="1">
      <alignment horizontal="right"/>
    </xf>
    <xf borderId="3" fillId="0" fontId="1" numFmtId="178" xfId="0" applyBorder="1" applyFont="1" applyNumberFormat="1"/>
    <xf borderId="5" fillId="0" fontId="1" numFmtId="0" xfId="0" applyBorder="1" applyFont="1"/>
    <xf borderId="5" fillId="0" fontId="1" numFmtId="178" xfId="0" applyBorder="1" applyFont="1" applyNumberFormat="1"/>
    <xf borderId="2" fillId="7" fontId="3" numFmtId="165" xfId="0" applyAlignment="1" applyBorder="1" applyFont="1" applyNumberFormat="1">
      <alignment horizontal="center"/>
    </xf>
    <xf borderId="0" fillId="0" fontId="4" numFmtId="167" xfId="0" applyFont="1" applyNumberFormat="1"/>
    <xf borderId="3" fillId="0" fontId="19" numFmtId="0" xfId="0" applyBorder="1" applyFont="1"/>
    <xf borderId="0" fillId="0" fontId="7" numFmtId="167" xfId="0" applyFont="1" applyNumberFormat="1"/>
    <xf borderId="0" fillId="0" fontId="16" numFmtId="172" xfId="0" applyFont="1" applyNumberFormat="1"/>
    <xf borderId="0" fillId="0" fontId="16" numFmtId="170" xfId="0" applyFont="1" applyNumberFormat="1"/>
    <xf borderId="0" fillId="0" fontId="4" numFmtId="170" xfId="0" applyFont="1" applyNumberFormat="1"/>
    <xf borderId="2" fillId="5" fontId="1" numFmtId="170" xfId="0" applyBorder="1" applyFont="1" applyNumberFormat="1"/>
    <xf borderId="0" fillId="0" fontId="5" numFmtId="170" xfId="0" applyFont="1" applyNumberFormat="1"/>
    <xf borderId="3" fillId="0" fontId="24" numFmtId="170" xfId="0" applyBorder="1" applyFont="1" applyNumberFormat="1"/>
    <xf borderId="3" fillId="0" fontId="19" numFmtId="170" xfId="0" applyBorder="1" applyFont="1" applyNumberFormat="1"/>
    <xf borderId="0" fillId="0" fontId="5" numFmtId="9" xfId="0" applyFont="1" applyNumberFormat="1"/>
    <xf borderId="0" fillId="0" fontId="5" numFmtId="166" xfId="0" applyFont="1" applyNumberFormat="1"/>
    <xf borderId="3" fillId="0" fontId="16" numFmtId="0" xfId="0" applyAlignment="1" applyBorder="1" applyFont="1">
      <alignment horizontal="left"/>
    </xf>
    <xf borderId="3" fillId="0" fontId="4" numFmtId="170" xfId="0" applyBorder="1" applyFont="1" applyNumberFormat="1"/>
    <xf borderId="3" fillId="0" fontId="16" numFmtId="170" xfId="0" applyBorder="1" applyFont="1" applyNumberFormat="1"/>
    <xf borderId="0" fillId="0" fontId="19" numFmtId="0" xfId="0" applyAlignment="1" applyFont="1">
      <alignment horizontal="left"/>
    </xf>
    <xf borderId="0" fillId="0" fontId="24" numFmtId="170" xfId="0" applyFont="1" applyNumberFormat="1"/>
    <xf borderId="0" fillId="0" fontId="19" numFmtId="170" xfId="0" applyFont="1" applyNumberFormat="1"/>
    <xf borderId="0" fillId="0" fontId="4" numFmtId="166" xfId="0" applyFont="1" applyNumberFormat="1"/>
    <xf borderId="0" fillId="0" fontId="7" numFmtId="166" xfId="0" applyFont="1" applyNumberFormat="1"/>
    <xf borderId="0" fillId="0" fontId="6" numFmtId="164" xfId="0" applyFont="1" applyNumberFormat="1"/>
    <xf borderId="0" fillId="0" fontId="4" numFmtId="10" xfId="0" applyFont="1" applyNumberFormat="1"/>
    <xf borderId="0" fillId="0" fontId="4" numFmtId="164" xfId="0" applyFont="1" applyNumberFormat="1"/>
    <xf borderId="0" fillId="0" fontId="6" numFmtId="10" xfId="0" applyFont="1" applyNumberFormat="1"/>
    <xf borderId="0" fillId="0" fontId="5" numFmtId="10" xfId="0" applyFont="1" applyNumberFormat="1"/>
    <xf borderId="0" fillId="0" fontId="5" numFmtId="174" xfId="0" applyFont="1" applyNumberFormat="1"/>
    <xf borderId="0" fillId="0" fontId="16" numFmtId="164" xfId="0" applyFont="1" applyNumberFormat="1"/>
    <xf borderId="0" fillId="0" fontId="16" numFmtId="10" xfId="0" applyFont="1" applyNumberFormat="1"/>
    <xf borderId="2" fillId="5" fontId="5" numFmtId="10" xfId="0" applyBorder="1" applyFont="1" applyNumberFormat="1"/>
    <xf borderId="2" fillId="5" fontId="16" numFmtId="170" xfId="0" applyBorder="1" applyFont="1" applyNumberFormat="1"/>
    <xf borderId="3" fillId="0" fontId="19" numFmtId="0" xfId="0" applyAlignment="1" applyBorder="1" applyFont="1">
      <alignment horizontal="left"/>
    </xf>
    <xf borderId="3" fillId="0" fontId="16" numFmtId="0" xfId="0" applyBorder="1" applyFont="1"/>
    <xf borderId="3" fillId="0" fontId="4" numFmtId="0" xfId="0" applyBorder="1" applyFont="1"/>
    <xf borderId="3" fillId="0" fontId="5" numFmtId="0" xfId="0" applyBorder="1" applyFont="1"/>
    <xf borderId="0" fillId="0" fontId="5" numFmtId="172" xfId="0" applyFont="1" applyNumberFormat="1"/>
    <xf borderId="3" fillId="0" fontId="16" numFmtId="164" xfId="0" applyBorder="1" applyFont="1" applyNumberFormat="1"/>
    <xf borderId="0" fillId="0" fontId="6" numFmtId="9" xfId="0" applyFont="1" applyNumberFormat="1"/>
    <xf borderId="0" fillId="0" fontId="25" numFmtId="0" xfId="0" applyAlignment="1" applyFont="1">
      <alignment horizontal="center"/>
    </xf>
    <xf borderId="2" fillId="10" fontId="3" numFmtId="165" xfId="0" applyAlignment="1" applyBorder="1" applyFont="1" applyNumberFormat="1">
      <alignment horizontal="center"/>
    </xf>
    <xf borderId="0" fillId="0" fontId="29" numFmtId="9" xfId="0" applyFont="1" applyNumberFormat="1"/>
    <xf borderId="0" fillId="0" fontId="1" numFmtId="9" xfId="0" applyAlignment="1" applyFont="1" applyNumberFormat="1">
      <alignment horizontal="center"/>
    </xf>
    <xf borderId="0" fillId="0" fontId="5" numFmtId="9" xfId="0" applyAlignment="1" applyFont="1" applyNumberFormat="1">
      <alignment horizontal="center"/>
    </xf>
    <xf borderId="2" fillId="14" fontId="16" numFmtId="49" xfId="0" applyAlignment="1" applyBorder="1" applyFont="1" applyNumberFormat="1">
      <alignment horizontal="left"/>
    </xf>
    <xf borderId="2" fillId="14" fontId="5" numFmtId="9" xfId="0" applyAlignment="1" applyBorder="1" applyFont="1" applyNumberFormat="1">
      <alignment horizontal="center"/>
    </xf>
    <xf borderId="0" fillId="0" fontId="7" numFmtId="170" xfId="0" applyFont="1" applyNumberFormat="1"/>
    <xf borderId="0" fillId="0" fontId="27" numFmtId="166" xfId="0" applyFont="1" applyNumberFormat="1"/>
    <xf borderId="2" fillId="14" fontId="3" numFmtId="9" xfId="0" applyAlignment="1" applyBorder="1" applyFont="1" applyNumberFormat="1">
      <alignment horizontal="center"/>
    </xf>
    <xf borderId="2" fillId="14" fontId="16" numFmtId="0" xfId="0" applyAlignment="1" applyBorder="1" applyFont="1">
      <alignment horizontal="left"/>
    </xf>
    <xf borderId="2" fillId="14" fontId="19" numFmtId="0" xfId="0" applyAlignment="1" applyBorder="1" applyFont="1">
      <alignment horizontal="left"/>
    </xf>
    <xf borderId="0" fillId="0" fontId="27" numFmtId="10" xfId="0" applyFont="1" applyNumberFormat="1"/>
    <xf borderId="0" fillId="0" fontId="16" numFmtId="49" xfId="0" applyAlignment="1" applyFont="1" applyNumberFormat="1">
      <alignment horizontal="left"/>
    </xf>
    <xf borderId="0" fillId="0" fontId="3" numFmtId="9" xfId="0" applyAlignment="1" applyFont="1" applyNumberFormat="1">
      <alignment horizontal="center"/>
    </xf>
    <xf borderId="3" fillId="0" fontId="25" numFmtId="9" xfId="0" applyAlignment="1" applyBorder="1" applyFont="1" applyNumberFormat="1">
      <alignment horizontal="center"/>
    </xf>
    <xf borderId="0" fillId="0" fontId="5" numFmtId="170" xfId="0" applyAlignment="1" applyFont="1" applyNumberFormat="1">
      <alignment horizontal="right"/>
    </xf>
    <xf borderId="0" fillId="0" fontId="25" numFmtId="9" xfId="0" applyAlignment="1" applyFont="1" applyNumberFormat="1">
      <alignment horizontal="center"/>
    </xf>
    <xf borderId="0" fillId="0" fontId="1" numFmtId="49" xfId="0" applyFont="1" applyNumberFormat="1"/>
    <xf borderId="3" fillId="0" fontId="3" numFmtId="9" xfId="0" applyAlignment="1" applyBorder="1" applyFont="1" applyNumberFormat="1">
      <alignment horizontal="center"/>
    </xf>
    <xf borderId="0" fillId="0" fontId="29" numFmtId="166" xfId="0" applyFont="1" applyNumberFormat="1"/>
    <xf borderId="21" fillId="0" fontId="19" numFmtId="0" xfId="0" applyAlignment="1" applyBorder="1" applyFont="1">
      <alignment horizontal="center"/>
    </xf>
    <xf borderId="2" fillId="5" fontId="27" numFmtId="10" xfId="0" applyBorder="1" applyFont="1" applyNumberFormat="1"/>
    <xf borderId="22" fillId="0" fontId="25" numFmtId="174" xfId="0" applyAlignment="1" applyBorder="1" applyFont="1" applyNumberFormat="1">
      <alignment horizontal="center"/>
    </xf>
    <xf borderId="0" fillId="0" fontId="3" numFmtId="170" xfId="0" applyAlignment="1" applyFont="1" applyNumberFormat="1">
      <alignment horizontal="right"/>
    </xf>
    <xf borderId="0" fillId="0" fontId="19" numFmtId="9" xfId="0" applyAlignment="1" applyFont="1" applyNumberFormat="1">
      <alignment horizontal="center"/>
    </xf>
    <xf borderId="0" fillId="0" fontId="5" numFmtId="164" xfId="0" applyFont="1" applyNumberFormat="1"/>
    <xf borderId="2" fillId="5" fontId="5" numFmtId="9" xfId="0" applyAlignment="1" applyBorder="1" applyFont="1" applyNumberFormat="1">
      <alignment horizontal="center"/>
    </xf>
    <xf borderId="2" fillId="5" fontId="1" numFmtId="9" xfId="0" applyAlignment="1" applyBorder="1" applyFont="1" applyNumberFormat="1">
      <alignment horizontal="center"/>
    </xf>
    <xf borderId="23" fillId="15" fontId="7" numFmtId="164" xfId="0" applyAlignment="1" applyBorder="1" applyFill="1" applyFont="1" applyNumberFormat="1">
      <alignment horizontal="center"/>
    </xf>
    <xf borderId="24" fillId="15" fontId="7" numFmtId="164" xfId="0" applyAlignment="1" applyBorder="1" applyFont="1" applyNumberFormat="1">
      <alignment horizontal="center"/>
    </xf>
    <xf borderId="25" fillId="0" fontId="30" numFmtId="181" xfId="0" applyAlignment="1" applyBorder="1" applyFont="1" applyNumberFormat="1">
      <alignment horizontal="center"/>
    </xf>
    <xf borderId="25" fillId="0" fontId="30" numFmtId="9" xfId="0" applyAlignment="1" applyBorder="1" applyFont="1" applyNumberFormat="1">
      <alignment horizontal="center"/>
    </xf>
    <xf borderId="0" fillId="0" fontId="4" numFmtId="0" xfId="0" applyAlignment="1" applyFont="1">
      <alignment horizontal="right" shrinkToFit="0" wrapText="1"/>
    </xf>
    <xf borderId="0" fillId="0" fontId="1" numFmtId="1" xfId="0" applyAlignment="1" applyFont="1" applyNumberFormat="1">
      <alignment horizontal="right" shrinkToFit="0" wrapText="1"/>
    </xf>
    <xf borderId="3" fillId="0" fontId="1" numFmtId="1" xfId="0" applyAlignment="1" applyBorder="1" applyFont="1" applyNumberFormat="1">
      <alignment horizontal="right"/>
    </xf>
    <xf borderId="0" fillId="0" fontId="1" numFmtId="166" xfId="0" applyAlignment="1" applyFont="1" applyNumberFormat="1">
      <alignment horizontal="right" shrinkToFit="0" wrapText="1"/>
    </xf>
    <xf borderId="0" fillId="0" fontId="1" numFmtId="3" xfId="0" applyAlignment="1" applyFont="1" applyNumberFormat="1">
      <alignment horizontal="right" shrinkToFit="0" wrapText="1"/>
    </xf>
    <xf borderId="0" fillId="0" fontId="1" numFmtId="9" xfId="0" applyAlignment="1" applyFont="1" applyNumberFormat="1">
      <alignment horizontal="right" shrinkToFit="0" wrapText="1"/>
    </xf>
    <xf borderId="0" fillId="0" fontId="26" numFmtId="9" xfId="0" applyAlignment="1" applyFont="1" applyNumberFormat="1">
      <alignment horizontal="right" shrinkToFit="0" wrapText="1"/>
    </xf>
    <xf borderId="3" fillId="0" fontId="1" numFmtId="9" xfId="0" applyAlignment="1" applyBorder="1" applyFont="1" applyNumberFormat="1">
      <alignment horizontal="right" shrinkToFit="0" wrapText="1"/>
    </xf>
    <xf borderId="0" fillId="0" fontId="4" numFmtId="1" xfId="0" applyAlignment="1" applyFont="1" applyNumberFormat="1">
      <alignment horizontal="right" shrinkToFit="0" wrapText="1"/>
    </xf>
    <xf borderId="3" fillId="0" fontId="3" numFmtId="1" xfId="0" applyBorder="1" applyFont="1" applyNumberFormat="1"/>
    <xf borderId="3" fillId="0" fontId="1" numFmtId="1" xfId="0" applyAlignment="1" applyBorder="1" applyFont="1" applyNumberFormat="1">
      <alignment horizontal="right" shrinkToFit="0" wrapText="1"/>
    </xf>
    <xf borderId="0" fillId="0" fontId="1" numFmtId="0" xfId="0" applyAlignment="1" applyFont="1">
      <alignment horizontal="right"/>
    </xf>
    <xf borderId="2" fillId="16" fontId="1" numFmtId="0" xfId="0" applyBorder="1" applyFill="1" applyFont="1"/>
    <xf borderId="2" fillId="16" fontId="4" numFmtId="0" xfId="0" applyAlignment="1" applyBorder="1" applyFont="1">
      <alignment horizontal="right" shrinkToFit="0" wrapText="1"/>
    </xf>
    <xf borderId="2" fillId="16" fontId="1" numFmtId="1" xfId="0" applyAlignment="1" applyBorder="1" applyFont="1" applyNumberFormat="1">
      <alignment horizontal="right" shrinkToFit="0" wrapText="1"/>
    </xf>
    <xf borderId="6" fillId="16" fontId="3" numFmtId="0" xfId="0" applyBorder="1" applyFont="1"/>
    <xf borderId="6" fillId="16" fontId="1" numFmtId="0" xfId="0" applyAlignment="1" applyBorder="1" applyFont="1">
      <alignment horizontal="right" shrinkToFit="0" wrapText="1"/>
    </xf>
    <xf borderId="6" fillId="16" fontId="1" numFmtId="1" xfId="0" applyAlignment="1" applyBorder="1" applyFont="1" applyNumberFormat="1">
      <alignment horizontal="right" shrinkToFit="0" wrapText="1"/>
    </xf>
    <xf borderId="6" fillId="16" fontId="1" numFmtId="1" xfId="0" applyAlignment="1" applyBorder="1" applyFont="1" applyNumberFormat="1">
      <alignment shrinkToFit="0" wrapText="1"/>
    </xf>
    <xf borderId="0" fillId="0" fontId="1" numFmtId="0" xfId="0" applyAlignment="1" applyFont="1">
      <alignment horizontal="right" shrinkToFit="0" wrapText="1"/>
    </xf>
    <xf borderId="2" fillId="16" fontId="1" numFmtId="9" xfId="0" applyBorder="1" applyFont="1" applyNumberFormat="1"/>
    <xf borderId="2" fillId="16" fontId="1" numFmtId="9" xfId="0" applyAlignment="1" applyBorder="1" applyFont="1" applyNumberFormat="1">
      <alignment horizontal="center"/>
    </xf>
    <xf borderId="2" fillId="16" fontId="1" numFmtId="9" xfId="0" applyAlignment="1" applyBorder="1" applyFont="1" applyNumberFormat="1">
      <alignment horizontal="right"/>
    </xf>
    <xf borderId="2" fillId="16" fontId="26" numFmtId="9" xfId="0" applyAlignment="1" applyBorder="1" applyFont="1" applyNumberFormat="1">
      <alignment horizontal="right" shrinkToFit="0" wrapText="1"/>
    </xf>
    <xf borderId="6" fillId="16" fontId="1" numFmtId="0" xfId="0" applyBorder="1" applyFont="1"/>
    <xf borderId="6" fillId="16" fontId="1" numFmtId="9" xfId="0" applyAlignment="1" applyBorder="1" applyFont="1" applyNumberFormat="1">
      <alignment horizontal="right" shrinkToFit="0" wrapText="1"/>
    </xf>
    <xf borderId="6" fillId="16" fontId="1" numFmtId="9" xfId="0" applyAlignment="1" applyBorder="1" applyFont="1" applyNumberFormat="1">
      <alignment shrinkToFit="0" wrapText="1"/>
    </xf>
    <xf borderId="0" fillId="0" fontId="5" numFmtId="0" xfId="0" applyAlignment="1" applyFont="1">
      <alignment horizontal="right" shrinkToFit="0" wrapText="1"/>
    </xf>
    <xf borderId="0" fillId="0" fontId="5" numFmtId="1" xfId="0" applyAlignment="1" applyFont="1" applyNumberFormat="1">
      <alignment horizontal="right" shrinkToFit="0" wrapText="1"/>
    </xf>
    <xf borderId="3" fillId="0" fontId="1" numFmtId="173" xfId="0" applyAlignment="1" applyBorder="1" applyFont="1" applyNumberFormat="1">
      <alignment horizontal="right" shrinkToFit="0" wrapText="1"/>
    </xf>
    <xf borderId="0" fillId="0" fontId="31" numFmtId="9" xfId="0" applyAlignment="1" applyFont="1" applyNumberFormat="1">
      <alignment horizontal="right"/>
    </xf>
    <xf borderId="2" fillId="15" fontId="1" numFmtId="0" xfId="0" applyBorder="1" applyFont="1"/>
    <xf borderId="2" fillId="15" fontId="4" numFmtId="1" xfId="0" applyAlignment="1" applyBorder="1" applyFont="1" applyNumberFormat="1">
      <alignment horizontal="right" shrinkToFit="0" wrapText="1"/>
    </xf>
    <xf borderId="2" fillId="15" fontId="1" numFmtId="1" xfId="0" applyAlignment="1" applyBorder="1" applyFont="1" applyNumberFormat="1">
      <alignment horizontal="right" shrinkToFit="0" wrapText="1"/>
    </xf>
    <xf borderId="6" fillId="15" fontId="3" numFmtId="0" xfId="0" applyBorder="1" applyFont="1"/>
    <xf borderId="6" fillId="15" fontId="1" numFmtId="1" xfId="0" applyAlignment="1" applyBorder="1" applyFont="1" applyNumberFormat="1">
      <alignment horizontal="right" shrinkToFit="0" wrapText="1"/>
    </xf>
    <xf borderId="2" fillId="15" fontId="4" numFmtId="0" xfId="0" applyAlignment="1" applyBorder="1" applyFont="1">
      <alignment horizontal="right" shrinkToFit="0" wrapText="1"/>
    </xf>
    <xf borderId="0" fillId="0" fontId="4" numFmtId="164" xfId="0" applyAlignment="1" applyFont="1" applyNumberFormat="1">
      <alignment horizontal="right"/>
    </xf>
    <xf borderId="0" fillId="0" fontId="5" numFmtId="164" xfId="0" applyAlignment="1" applyFont="1" applyNumberFormat="1">
      <alignment horizontal="right" shrinkToFit="0" wrapText="1"/>
    </xf>
    <xf borderId="3" fillId="0" fontId="1" numFmtId="164" xfId="0" applyAlignment="1" applyBorder="1" applyFont="1" applyNumberFormat="1">
      <alignment horizontal="right" shrinkToFit="0" wrapText="1"/>
    </xf>
    <xf borderId="0" fillId="0" fontId="32" numFmtId="9" xfId="0" applyAlignment="1" applyFont="1" applyNumberFormat="1">
      <alignment horizontal="right" shrinkToFit="0" wrapText="1"/>
    </xf>
    <xf borderId="0" fillId="0" fontId="32" numFmtId="10" xfId="0" applyAlignment="1" applyFont="1" applyNumberFormat="1">
      <alignment horizontal="right" shrinkToFit="0" wrapText="1"/>
    </xf>
    <xf borderId="0" fillId="0" fontId="32" numFmtId="166" xfId="0" applyAlignment="1" applyFont="1" applyNumberFormat="1">
      <alignment horizontal="right" shrinkToFit="0" wrapText="1"/>
    </xf>
    <xf borderId="0" fillId="0" fontId="1" numFmtId="9" xfId="0" applyAlignment="1" applyFont="1" applyNumberFormat="1">
      <alignment horizontal="center" shrinkToFit="0" wrapText="1"/>
    </xf>
    <xf borderId="0" fillId="0" fontId="1" numFmtId="164" xfId="0" applyAlignment="1" applyFont="1" applyNumberFormat="1">
      <alignment horizontal="right" shrinkToFit="0" wrapText="1"/>
    </xf>
    <xf borderId="3" fillId="0" fontId="3" numFmtId="164" xfId="0" applyBorder="1" applyFont="1" applyNumberFormat="1"/>
    <xf borderId="18" fillId="17" fontId="33" numFmtId="0" xfId="0" applyBorder="1" applyFill="1" applyFont="1"/>
    <xf borderId="2" fillId="17" fontId="33" numFmtId="0" xfId="0" applyBorder="1" applyFont="1"/>
    <xf borderId="0" fillId="0" fontId="33" numFmtId="0" xfId="0" applyFont="1"/>
    <xf borderId="0" fillId="0" fontId="34" numFmtId="0" xfId="0" applyAlignment="1" applyFont="1">
      <alignment horizontal="center"/>
    </xf>
    <xf borderId="0" fillId="0" fontId="1" numFmtId="0" xfId="0" applyAlignment="1" applyFont="1">
      <alignment horizontal="center"/>
    </xf>
    <xf borderId="0" fillId="0" fontId="1" numFmtId="173" xfId="0" applyAlignment="1" applyFont="1" applyNumberFormat="1">
      <alignment horizontal="right"/>
    </xf>
    <xf borderId="0" fillId="0" fontId="5" numFmtId="173" xfId="0" applyAlignment="1" applyFont="1" applyNumberFormat="1">
      <alignment horizontal="right"/>
    </xf>
    <xf borderId="0" fillId="0" fontId="4" numFmtId="3" xfId="0" applyFont="1" applyNumberFormat="1"/>
    <xf borderId="0" fillId="0" fontId="1" numFmtId="3" xfId="0" applyAlignment="1" applyFont="1" applyNumberFormat="1">
      <alignment horizontal="right"/>
    </xf>
    <xf borderId="0" fillId="0" fontId="5" numFmtId="166" xfId="0" applyAlignment="1" applyFont="1" applyNumberFormat="1">
      <alignment horizontal="right"/>
    </xf>
    <xf borderId="0" fillId="0" fontId="4" numFmtId="3" xfId="0" applyAlignment="1" applyFont="1" applyNumberFormat="1">
      <alignment horizontal="right"/>
    </xf>
    <xf borderId="0" fillId="0" fontId="4" numFmtId="10" xfId="0" applyAlignment="1" applyFont="1" applyNumberFormat="1">
      <alignment horizontal="right"/>
    </xf>
    <xf borderId="0" fillId="0" fontId="4" numFmtId="166" xfId="0" applyAlignment="1" applyFont="1" applyNumberFormat="1">
      <alignment horizontal="right"/>
    </xf>
    <xf borderId="3" fillId="0" fontId="3" numFmtId="164" xfId="0" applyAlignment="1" applyBorder="1" applyFont="1" applyNumberFormat="1">
      <alignment horizontal="right"/>
    </xf>
    <xf borderId="0" fillId="0" fontId="4" numFmtId="173" xfId="0" applyAlignment="1" applyFont="1" applyNumberFormat="1">
      <alignment horizontal="right"/>
    </xf>
    <xf borderId="0" fillId="0" fontId="26" numFmtId="173" xfId="0" applyAlignment="1" applyFont="1" applyNumberFormat="1">
      <alignment horizontal="right"/>
    </xf>
    <xf borderId="0" fillId="0" fontId="3" numFmtId="164" xfId="0" applyFont="1" applyNumberFormat="1"/>
    <xf borderId="6" fillId="18" fontId="3" numFmtId="164" xfId="0" applyBorder="1" applyFill="1" applyFont="1" applyNumberFormat="1"/>
    <xf borderId="6" fillId="18" fontId="3" numFmtId="164" xfId="0" applyAlignment="1" applyBorder="1" applyFont="1" applyNumberFormat="1">
      <alignment horizontal="right"/>
    </xf>
    <xf borderId="4" fillId="0" fontId="3" numFmtId="10" xfId="0" applyBorder="1" applyFont="1" applyNumberFormat="1"/>
    <xf borderId="0" fillId="0" fontId="1" numFmtId="2" xfId="0" applyFont="1" applyNumberFormat="1"/>
    <xf borderId="2" fillId="5" fontId="19" numFmtId="0" xfId="0" applyBorder="1" applyFont="1"/>
    <xf borderId="0" fillId="0" fontId="5" numFmtId="3" xfId="0" applyAlignment="1" applyFont="1" applyNumberFormat="1">
      <alignment horizontal="center"/>
    </xf>
    <xf borderId="0" fillId="0" fontId="1" numFmtId="4" xfId="0" applyAlignment="1" applyFont="1" applyNumberFormat="1">
      <alignment horizontal="center"/>
    </xf>
    <xf borderId="26" fillId="5" fontId="35" numFmtId="0" xfId="0" applyAlignment="1" applyBorder="1" applyFont="1">
      <alignment horizontal="right"/>
    </xf>
    <xf borderId="0" fillId="0" fontId="4" numFmtId="4" xfId="0" applyFont="1" applyNumberFormat="1"/>
    <xf borderId="0" fillId="0" fontId="1" numFmtId="4" xfId="0" applyFont="1" applyNumberFormat="1"/>
    <xf borderId="27" fillId="5" fontId="35" numFmtId="0" xfId="0" applyAlignment="1" applyBorder="1" applyFont="1">
      <alignment horizontal="right"/>
    </xf>
    <xf borderId="3" fillId="0" fontId="1" numFmtId="170" xfId="0" applyAlignment="1" applyBorder="1" applyFont="1" applyNumberFormat="1">
      <alignment horizontal="right" shrinkToFit="0" wrapText="1"/>
    </xf>
    <xf borderId="0" fillId="0" fontId="4" numFmtId="170" xfId="0" applyAlignment="1" applyFont="1" applyNumberFormat="1">
      <alignment horizontal="right"/>
    </xf>
    <xf borderId="2" fillId="5" fontId="4" numFmtId="170" xfId="0" applyAlignment="1" applyBorder="1" applyFont="1" applyNumberFormat="1">
      <alignment horizontal="right"/>
    </xf>
    <xf borderId="0" fillId="0" fontId="36" numFmtId="166" xfId="0" applyAlignment="1" applyFont="1" applyNumberFormat="1">
      <alignment horizontal="right"/>
    </xf>
    <xf borderId="0" fillId="0" fontId="5" numFmtId="10" xfId="0" applyAlignment="1" applyFont="1" applyNumberFormat="1">
      <alignment horizontal="right" shrinkToFit="0" wrapText="1"/>
    </xf>
    <xf borderId="0" fillId="0" fontId="7" numFmtId="166" xfId="0" applyAlignment="1" applyFont="1" applyNumberFormat="1">
      <alignment horizontal="right"/>
    </xf>
    <xf borderId="0" fillId="0" fontId="7" numFmtId="166" xfId="0" applyAlignment="1" applyFont="1" applyNumberFormat="1">
      <alignment horizontal="center"/>
    </xf>
    <xf borderId="3" fillId="0" fontId="1" numFmtId="166" xfId="0" applyAlignment="1" applyBorder="1" applyFont="1" applyNumberFormat="1">
      <alignment horizontal="right"/>
    </xf>
    <xf borderId="3" fillId="0" fontId="1" numFmtId="0" xfId="0" applyAlignment="1" applyBorder="1" applyFont="1">
      <alignment horizontal="right"/>
    </xf>
    <xf borderId="0" fillId="0" fontId="36" numFmtId="174" xfId="0" applyAlignment="1" applyFont="1" applyNumberFormat="1">
      <alignment horizontal="right"/>
    </xf>
    <xf borderId="21" fillId="0" fontId="3" numFmtId="0" xfId="0" applyAlignment="1" applyBorder="1" applyFont="1">
      <alignment horizontal="center"/>
    </xf>
    <xf borderId="0" fillId="0" fontId="5" numFmtId="4" xfId="0" applyAlignment="1" applyFont="1" applyNumberFormat="1">
      <alignment horizontal="right" shrinkToFit="0" wrapText="1"/>
    </xf>
    <xf borderId="22" fillId="0" fontId="3" numFmtId="0" xfId="0" applyAlignment="1" applyBorder="1" applyFont="1">
      <alignment horizontal="center"/>
    </xf>
    <xf borderId="0" fillId="0" fontId="36" numFmtId="0" xfId="0" applyAlignment="1" applyFont="1">
      <alignment horizontal="right"/>
    </xf>
    <xf borderId="0" fillId="0" fontId="1" numFmtId="4" xfId="0" applyAlignment="1" applyFont="1" applyNumberFormat="1">
      <alignment horizontal="right" shrinkToFit="0" wrapText="1"/>
    </xf>
    <xf borderId="3" fillId="0" fontId="1" numFmtId="10" xfId="0" applyAlignment="1" applyBorder="1" applyFont="1" applyNumberFormat="1">
      <alignment horizontal="right" shrinkToFit="0" wrapText="1"/>
    </xf>
    <xf borderId="0" fillId="0" fontId="4" numFmtId="164" xfId="0" applyAlignment="1" applyFont="1" applyNumberFormat="1">
      <alignment horizontal="right" shrinkToFit="0" wrapText="1"/>
    </xf>
    <xf borderId="0" fillId="0" fontId="16" numFmtId="164" xfId="0" applyAlignment="1" applyFont="1" applyNumberFormat="1">
      <alignment horizontal="right" shrinkToFit="0" wrapText="1"/>
    </xf>
    <xf borderId="0" fillId="0" fontId="1" numFmtId="10" xfId="0" applyAlignment="1" applyFont="1" applyNumberFormat="1">
      <alignment horizontal="right" shrinkToFit="0" wrapText="1"/>
    </xf>
    <xf borderId="3" fillId="0" fontId="1" numFmtId="3" xfId="0" applyBorder="1" applyFont="1" applyNumberFormat="1"/>
    <xf borderId="3" fillId="0" fontId="1" numFmtId="3" xfId="0" applyAlignment="1" applyBorder="1" applyFont="1" applyNumberFormat="1">
      <alignment horizontal="right"/>
    </xf>
    <xf borderId="0" fillId="0" fontId="6" numFmtId="170" xfId="0" applyAlignment="1" applyFont="1" applyNumberFormat="1">
      <alignment horizontal="right"/>
    </xf>
    <xf borderId="2" fillId="5" fontId="6" numFmtId="170" xfId="0" applyAlignment="1" applyBorder="1" applyFont="1" applyNumberFormat="1">
      <alignment horizontal="right"/>
    </xf>
    <xf borderId="0" fillId="0" fontId="16" numFmtId="170" xfId="0" applyAlignment="1" applyFont="1" applyNumberFormat="1">
      <alignment horizontal="right"/>
    </xf>
    <xf borderId="3" fillId="0" fontId="4" numFmtId="3" xfId="0" applyAlignment="1" applyBorder="1" applyFont="1" applyNumberFormat="1">
      <alignment horizontal="right"/>
    </xf>
    <xf borderId="3" fillId="0" fontId="3" numFmtId="3" xfId="0" applyBorder="1" applyFont="1" applyNumberFormat="1"/>
    <xf borderId="3" fillId="0" fontId="1" numFmtId="3" xfId="0" applyAlignment="1" applyBorder="1" applyFont="1" applyNumberFormat="1">
      <alignment horizontal="right" shrinkToFit="0" wrapText="1"/>
    </xf>
    <xf borderId="2" fillId="15" fontId="4" numFmtId="167" xfId="0" applyAlignment="1" applyBorder="1" applyFont="1" applyNumberFormat="1">
      <alignment horizontal="right"/>
    </xf>
    <xf borderId="2" fillId="15" fontId="1" numFmtId="167" xfId="0" applyAlignment="1" applyBorder="1" applyFont="1" applyNumberFormat="1">
      <alignment horizontal="right"/>
    </xf>
    <xf borderId="6" fillId="15" fontId="1" numFmtId="167" xfId="0" applyAlignment="1" applyBorder="1" applyFont="1" applyNumberFormat="1">
      <alignment horizontal="right" shrinkToFit="0" wrapText="1"/>
    </xf>
    <xf borderId="0" fillId="0" fontId="1" numFmtId="168" xfId="0" applyFont="1" applyNumberFormat="1"/>
    <xf borderId="0" fillId="0" fontId="4" numFmtId="168" xfId="0" applyAlignment="1" applyFont="1" applyNumberFormat="1">
      <alignment horizontal="right"/>
    </xf>
    <xf borderId="0" fillId="0" fontId="1" numFmtId="168" xfId="0" applyAlignment="1" applyFont="1" applyNumberFormat="1">
      <alignment horizontal="right"/>
    </xf>
    <xf borderId="3" fillId="0" fontId="1" numFmtId="168" xfId="0" applyAlignment="1" applyBorder="1" applyFont="1" applyNumberFormat="1">
      <alignment horizontal="right"/>
    </xf>
    <xf borderId="0" fillId="0" fontId="1" numFmtId="168" xfId="0" applyAlignment="1" applyFont="1" applyNumberFormat="1">
      <alignment horizontal="right" shrinkToFit="0" wrapText="1"/>
    </xf>
    <xf borderId="0" fillId="0" fontId="4" numFmtId="168" xfId="0" applyAlignment="1" applyFont="1" applyNumberFormat="1">
      <alignment horizontal="right" shrinkToFit="0" wrapText="1"/>
    </xf>
    <xf borderId="3" fillId="0" fontId="1" numFmtId="164" xfId="0" applyAlignment="1" applyBorder="1" applyFont="1" applyNumberFormat="1">
      <alignment horizontal="right"/>
    </xf>
    <xf borderId="0" fillId="0" fontId="4" numFmtId="9" xfId="0" applyAlignment="1" applyFont="1" applyNumberFormat="1">
      <alignment horizontal="right"/>
    </xf>
    <xf borderId="0" fillId="0" fontId="6" numFmtId="9" xfId="0" applyAlignment="1" applyFont="1" applyNumberFormat="1">
      <alignment horizontal="right"/>
    </xf>
    <xf borderId="0" fillId="0" fontId="4" numFmtId="9" xfId="0" applyAlignment="1" applyFont="1" applyNumberFormat="1">
      <alignment horizontal="center"/>
    </xf>
    <xf borderId="6" fillId="5" fontId="3" numFmtId="9" xfId="0" applyAlignment="1" applyBorder="1" applyFont="1" applyNumberFormat="1">
      <alignment horizontal="right"/>
    </xf>
    <xf borderId="0" fillId="0" fontId="1" numFmtId="164" xfId="0" applyAlignment="1" applyFont="1" applyNumberFormat="1">
      <alignment horizontal="center"/>
    </xf>
    <xf borderId="6" fillId="5" fontId="1" numFmtId="164" xfId="0" applyAlignment="1" applyBorder="1" applyFont="1" applyNumberFormat="1">
      <alignment horizontal="right"/>
    </xf>
    <xf borderId="3" fillId="0" fontId="1" numFmtId="164" xfId="0" applyAlignment="1" applyBorder="1" applyFont="1" applyNumberFormat="1">
      <alignment horizontal="center"/>
    </xf>
    <xf borderId="0" fillId="0" fontId="30" numFmtId="9" xfId="0" applyAlignment="1" applyFont="1" applyNumberFormat="1">
      <alignment horizontal="center"/>
    </xf>
    <xf borderId="0" fillId="0" fontId="30" numFmtId="0" xfId="0" applyFont="1"/>
    <xf borderId="2" fillId="19" fontId="1" numFmtId="0" xfId="0" applyBorder="1" applyFill="1" applyFont="1"/>
    <xf borderId="2" fillId="19" fontId="4" numFmtId="170" xfId="0" applyAlignment="1" applyBorder="1" applyFont="1" applyNumberFormat="1">
      <alignment horizontal="right"/>
    </xf>
    <xf borderId="2" fillId="19" fontId="1" numFmtId="170" xfId="0" applyAlignment="1" applyBorder="1" applyFont="1" applyNumberFormat="1">
      <alignment horizontal="right"/>
    </xf>
    <xf borderId="28" fillId="19" fontId="3" numFmtId="0" xfId="0" applyBorder="1" applyFont="1"/>
    <xf borderId="28" fillId="19" fontId="1" numFmtId="0" xfId="0" applyBorder="1" applyFont="1"/>
    <xf borderId="28" fillId="19" fontId="24" numFmtId="170" xfId="0" applyAlignment="1" applyBorder="1" applyFont="1" applyNumberFormat="1">
      <alignment horizontal="right"/>
    </xf>
    <xf borderId="28" fillId="19" fontId="3" numFmtId="170" xfId="0" applyAlignment="1" applyBorder="1" applyFont="1" applyNumberFormat="1">
      <alignment horizontal="right"/>
    </xf>
    <xf borderId="2" fillId="19" fontId="3" numFmtId="170" xfId="0" applyAlignment="1" applyBorder="1" applyFont="1" applyNumberFormat="1">
      <alignment horizontal="right"/>
    </xf>
    <xf borderId="2" fillId="19" fontId="4" numFmtId="9" xfId="0" applyAlignment="1" applyBorder="1" applyFont="1" applyNumberFormat="1">
      <alignment horizontal="right"/>
    </xf>
    <xf borderId="2" fillId="19" fontId="1" numFmtId="9" xfId="0" applyAlignment="1" applyBorder="1" applyFont="1" applyNumberFormat="1">
      <alignment horizontal="right"/>
    </xf>
    <xf borderId="0" fillId="0" fontId="37" numFmtId="3" xfId="0" applyAlignment="1" applyFont="1" applyNumberFormat="1">
      <alignment horizontal="right"/>
    </xf>
    <xf borderId="4" fillId="0" fontId="37" numFmtId="3" xfId="0" applyAlignment="1" applyBorder="1" applyFont="1" applyNumberFormat="1">
      <alignment horizontal="right"/>
    </xf>
    <xf borderId="3" fillId="0" fontId="37" numFmtId="3" xfId="0" applyAlignment="1" applyBorder="1" applyFont="1" applyNumberFormat="1">
      <alignment horizontal="right"/>
    </xf>
    <xf borderId="0" fillId="0" fontId="37" numFmtId="164" xfId="0" applyAlignment="1" applyFont="1" applyNumberFormat="1">
      <alignment horizontal="right"/>
    </xf>
    <xf borderId="21" fillId="0" fontId="5" numFmtId="0" xfId="0" applyAlignment="1" applyBorder="1" applyFont="1">
      <alignment horizontal="center"/>
    </xf>
    <xf borderId="22" fillId="0" fontId="5" numFmtId="172" xfId="0" applyAlignment="1" applyBorder="1" applyFont="1" applyNumberFormat="1">
      <alignment horizontal="right"/>
    </xf>
    <xf borderId="0" fillId="0" fontId="1" numFmtId="167" xfId="0" applyAlignment="1" applyFont="1" applyNumberFormat="1">
      <alignment horizontal="right"/>
    </xf>
    <xf borderId="29" fillId="0" fontId="5" numFmtId="0" xfId="0" applyBorder="1" applyFont="1"/>
    <xf borderId="0" fillId="0" fontId="1" numFmtId="172" xfId="0" applyFont="1" applyNumberFormat="1"/>
    <xf borderId="0" fillId="0" fontId="37" numFmtId="170" xfId="0" applyAlignment="1" applyFont="1" applyNumberFormat="1">
      <alignment horizontal="right"/>
    </xf>
    <xf borderId="18" fillId="0" fontId="5" numFmtId="9" xfId="0" applyAlignment="1" applyBorder="1" applyFont="1" applyNumberFormat="1">
      <alignment horizontal="right"/>
    </xf>
    <xf borderId="0" fillId="0" fontId="24" numFmtId="170" xfId="0" applyAlignment="1" applyFont="1" applyNumberFormat="1">
      <alignment horizontal="right"/>
    </xf>
    <xf borderId="30" fillId="0" fontId="5" numFmtId="174" xfId="0" applyBorder="1" applyFont="1" applyNumberFormat="1"/>
    <xf borderId="0" fillId="0" fontId="7" numFmtId="170" xfId="0" applyAlignment="1" applyFont="1" applyNumberFormat="1">
      <alignment horizontal="right"/>
    </xf>
    <xf borderId="0" fillId="0" fontId="1" numFmtId="1" xfId="0" applyFont="1" applyNumberFormat="1"/>
    <xf borderId="0" fillId="0" fontId="1" numFmtId="1" xfId="0" applyAlignment="1" applyFont="1" applyNumberFormat="1">
      <alignment horizontal="right"/>
    </xf>
    <xf borderId="0" fillId="0" fontId="26" numFmtId="9" xfId="0" applyAlignment="1" applyFont="1" applyNumberFormat="1">
      <alignment horizontal="right"/>
    </xf>
    <xf borderId="0" fillId="0" fontId="26" numFmtId="164" xfId="0" applyAlignment="1" applyFont="1" applyNumberFormat="1">
      <alignment horizontal="right"/>
    </xf>
    <xf borderId="0" fillId="0" fontId="3" numFmtId="164" xfId="0" applyAlignment="1" applyFont="1" applyNumberFormat="1">
      <alignment horizontal="right"/>
    </xf>
    <xf borderId="2" fillId="19" fontId="1" numFmtId="167" xfId="0" applyBorder="1" applyFont="1" applyNumberFormat="1"/>
    <xf borderId="2" fillId="19" fontId="3" numFmtId="167" xfId="0" applyBorder="1" applyFont="1" applyNumberFormat="1"/>
    <xf borderId="2" fillId="19" fontId="16" numFmtId="0" xfId="0" applyBorder="1" applyFont="1"/>
    <xf borderId="28" fillId="19" fontId="19" numFmtId="0" xfId="0" applyBorder="1" applyFont="1"/>
    <xf borderId="28" fillId="19" fontId="3" numFmtId="167" xfId="0" applyBorder="1" applyFont="1" applyNumberFormat="1"/>
    <xf borderId="0" fillId="0" fontId="1" numFmtId="182" xfId="0" applyFont="1" applyNumberFormat="1"/>
    <xf borderId="0" fillId="0" fontId="5" numFmtId="0" xfId="0" applyAlignment="1" applyFont="1">
      <alignment horizontal="center"/>
    </xf>
    <xf borderId="22" fillId="0" fontId="5" numFmtId="167" xfId="0" applyBorder="1" applyFont="1" applyNumberFormat="1"/>
    <xf borderId="2" fillId="20" fontId="7" numFmtId="167" xfId="0" applyBorder="1" applyFill="1" applyFont="1" applyNumberFormat="1"/>
    <xf borderId="0" fillId="0" fontId="27" numFmtId="167" xfId="0" applyFont="1" applyNumberFormat="1"/>
    <xf borderId="0" fillId="0" fontId="5" numFmtId="183" xfId="0" applyFont="1" applyNumberFormat="1"/>
    <xf borderId="0" fillId="0" fontId="1" numFmtId="183" xfId="0" applyFont="1" applyNumberFormat="1"/>
    <xf borderId="22" fillId="0" fontId="5" numFmtId="183" xfId="0" applyBorder="1" applyFont="1" applyNumberFormat="1"/>
    <xf borderId="22" fillId="0" fontId="5" numFmtId="164" xfId="0" applyBorder="1" applyFont="1" applyNumberFormat="1"/>
    <xf borderId="30" fillId="0" fontId="5" numFmtId="164" xfId="0" applyBorder="1" applyFont="1" applyNumberFormat="1"/>
    <xf borderId="2" fillId="14" fontId="1" numFmtId="167" xfId="0" applyBorder="1" applyFont="1" applyNumberFormat="1"/>
    <xf borderId="0" fillId="0" fontId="1" numFmtId="184" xfId="0" applyFont="1" applyNumberFormat="1"/>
    <xf borderId="22" fillId="0" fontId="5" numFmtId="184" xfId="0" applyBorder="1" applyFont="1" applyNumberFormat="1"/>
    <xf borderId="0" fillId="0" fontId="16" numFmtId="184" xfId="0" applyFont="1" applyNumberFormat="1"/>
    <xf borderId="21" fillId="0" fontId="5" numFmtId="0" xfId="0" applyBorder="1" applyFont="1"/>
    <xf borderId="0" fillId="0" fontId="38" numFmtId="183" xfId="0" applyFont="1" applyNumberFormat="1"/>
    <xf borderId="0" fillId="0" fontId="26" numFmtId="167" xfId="0" applyFont="1" applyNumberFormat="1"/>
    <xf borderId="0" fillId="0" fontId="37" numFmtId="167" xfId="0" applyFont="1" applyNumberFormat="1"/>
    <xf borderId="0" fillId="0" fontId="32" numFmtId="9" xfId="0" applyFont="1" applyNumberFormat="1"/>
    <xf borderId="18" fillId="0" fontId="5" numFmtId="164" xfId="0" applyBorder="1" applyFont="1" applyNumberFormat="1"/>
    <xf borderId="4" fillId="0" fontId="16" numFmtId="0" xfId="0" applyBorder="1" applyFont="1"/>
    <xf borderId="3" fillId="0" fontId="25" numFmtId="164" xfId="0" applyBorder="1" applyFont="1" applyNumberFormat="1"/>
    <xf borderId="3" fillId="0" fontId="3" numFmtId="167" xfId="0" applyBorder="1" applyFont="1" applyNumberFormat="1"/>
    <xf borderId="0" fillId="0" fontId="39" numFmtId="0" xfId="0" applyFont="1"/>
    <xf borderId="2" fillId="5" fontId="6" numFmtId="164" xfId="0" applyBorder="1" applyFont="1" applyNumberFormat="1"/>
    <xf borderId="0" fillId="0" fontId="5" numFmtId="185" xfId="0" applyFont="1" applyNumberFormat="1"/>
    <xf borderId="18" fillId="0" fontId="5" numFmtId="185" xfId="0" applyBorder="1" applyFont="1" applyNumberFormat="1"/>
    <xf borderId="18" fillId="0" fontId="5" numFmtId="9" xfId="0" applyBorder="1" applyFont="1" applyNumberFormat="1"/>
    <xf borderId="2" fillId="5" fontId="6" numFmtId="10" xfId="0" applyBorder="1" applyFont="1" applyNumberFormat="1"/>
    <xf borderId="3" fillId="0" fontId="1" numFmtId="4" xfId="0" applyBorder="1" applyFont="1" applyNumberFormat="1"/>
    <xf borderId="18" fillId="0" fontId="5" numFmtId="4" xfId="0" applyBorder="1" applyFont="1" applyNumberFormat="1"/>
    <xf borderId="2" fillId="5" fontId="37" numFmtId="10" xfId="0" applyBorder="1" applyFont="1" applyNumberFormat="1"/>
    <xf borderId="0" fillId="0" fontId="24" numFmtId="0" xfId="0" applyFont="1"/>
    <xf borderId="0" fillId="0" fontId="37" numFmtId="10" xfId="0" applyFont="1" applyNumberFormat="1"/>
    <xf borderId="4" fillId="0" fontId="30" numFmtId="0" xfId="0" applyBorder="1" applyFont="1"/>
    <xf borderId="0" fillId="0" fontId="4" numFmtId="0" xfId="0" applyAlignment="1" applyFont="1">
      <alignment horizontal="right"/>
    </xf>
    <xf borderId="0" fillId="0" fontId="1" numFmtId="166" xfId="0" applyAlignment="1" applyFont="1" applyNumberFormat="1">
      <alignment horizontal="right"/>
    </xf>
    <xf borderId="0" fillId="0" fontId="1" numFmtId="175" xfId="0" applyAlignment="1" applyFont="1" applyNumberFormat="1">
      <alignment horizontal="right"/>
    </xf>
    <xf borderId="3" fillId="0" fontId="1" numFmtId="186" xfId="0" applyAlignment="1" applyBorder="1" applyFont="1" applyNumberFormat="1">
      <alignment horizontal="right"/>
    </xf>
    <xf borderId="0" fillId="0" fontId="40" numFmtId="0" xfId="0" applyAlignment="1" applyFont="1">
      <alignment horizontal="right"/>
    </xf>
    <xf borderId="0" fillId="0" fontId="7" numFmtId="0" xfId="0" applyAlignment="1" applyFont="1">
      <alignment horizontal="right"/>
    </xf>
    <xf borderId="0" fillId="0" fontId="3" numFmtId="0" xfId="0" applyAlignment="1" applyFont="1">
      <alignment horizontal="right"/>
    </xf>
    <xf borderId="3" fillId="0" fontId="3" numFmtId="186" xfId="0" applyAlignment="1" applyBorder="1" applyFont="1" applyNumberFormat="1">
      <alignment horizontal="right"/>
    </xf>
    <xf borderId="3" fillId="0" fontId="24" numFmtId="167" xfId="0" applyBorder="1" applyFont="1" applyNumberFormat="1"/>
    <xf borderId="2" fillId="21" fontId="19" numFmtId="0" xfId="0" applyAlignment="1" applyBorder="1" applyFill="1" applyFont="1">
      <alignment horizontal="center"/>
    </xf>
    <xf borderId="0" fillId="0" fontId="37" numFmtId="170" xfId="0" applyFont="1" applyNumberFormat="1"/>
    <xf borderId="0" fillId="0" fontId="37" numFmtId="0" xfId="0" applyFont="1"/>
    <xf borderId="0" fillId="0" fontId="4" numFmtId="9" xfId="0" applyFont="1" applyNumberFormat="1"/>
    <xf borderId="3" fillId="0" fontId="1" numFmtId="170" xfId="0" applyBorder="1" applyFont="1" applyNumberFormat="1"/>
    <xf borderId="0" fillId="0" fontId="19" numFmtId="166" xfId="0" applyAlignment="1" applyFont="1" applyNumberFormat="1">
      <alignment horizontal="left"/>
    </xf>
    <xf borderId="0" fillId="0" fontId="23" numFmtId="166" xfId="0" applyAlignment="1" applyFont="1" applyNumberFormat="1">
      <alignment horizontal="left"/>
    </xf>
    <xf borderId="0" fillId="0" fontId="23" numFmtId="0" xfId="0" applyAlignment="1" applyFont="1">
      <alignment horizontal="left"/>
    </xf>
    <xf borderId="0" fillId="0" fontId="19" numFmtId="170" xfId="0" applyAlignment="1" applyFont="1" applyNumberFormat="1">
      <alignment horizontal="left"/>
    </xf>
    <xf borderId="0" fillId="0" fontId="21" numFmtId="9" xfId="0" applyFont="1" applyNumberFormat="1"/>
    <xf borderId="0" fillId="0" fontId="41" numFmtId="9" xfId="0" applyFont="1" applyNumberFormat="1"/>
    <xf borderId="0" fillId="0" fontId="7" numFmtId="0" xfId="0" applyAlignment="1" applyFont="1">
      <alignment horizontal="left"/>
    </xf>
    <xf borderId="29" fillId="0" fontId="1" numFmtId="0" xfId="0" applyBorder="1" applyFont="1"/>
    <xf borderId="30" fillId="0" fontId="26" numFmtId="9" xfId="0" applyBorder="1" applyFont="1" applyNumberFormat="1"/>
    <xf borderId="0" fillId="0" fontId="7" numFmtId="0" xfId="0" applyAlignment="1" applyFont="1">
      <alignment shrinkToFit="0" wrapText="1"/>
    </xf>
    <xf borderId="0" fillId="0" fontId="7" numFmtId="170" xfId="0" applyAlignment="1" applyFont="1" applyNumberFormat="1">
      <alignment vertical="center"/>
    </xf>
    <xf borderId="0" fillId="0" fontId="42" numFmtId="170" xfId="0" applyFont="1" applyNumberFormat="1"/>
    <xf borderId="0" fillId="0" fontId="1" numFmtId="187" xfId="0" applyFont="1" applyNumberFormat="1"/>
    <xf borderId="0" fillId="0" fontId="27" numFmtId="9" xfId="0" applyFont="1" applyNumberFormat="1"/>
    <xf borderId="3" fillId="0" fontId="3" numFmtId="9" xfId="0" applyBorder="1" applyFont="1" applyNumberFormat="1"/>
    <xf borderId="9" fillId="8" fontId="3" numFmtId="165" xfId="0" applyAlignment="1" applyBorder="1" applyFont="1" applyNumberFormat="1">
      <alignment horizontal="center"/>
    </xf>
    <xf borderId="2" fillId="5" fontId="4" numFmtId="164" xfId="0" applyAlignment="1" applyBorder="1" applyFont="1" applyNumberFormat="1">
      <alignment horizontal="right"/>
    </xf>
    <xf borderId="3" fillId="0" fontId="24" numFmtId="164" xfId="0" applyBorder="1" applyFont="1" applyNumberFormat="1"/>
    <xf borderId="12" fillId="0" fontId="1" numFmtId="0" xfId="0" applyBorder="1" applyFont="1"/>
    <xf borderId="31" fillId="0" fontId="26" numFmtId="0" xfId="0" applyBorder="1" applyFont="1"/>
    <xf borderId="14" fillId="0" fontId="1" numFmtId="0" xfId="0" applyBorder="1" applyFont="1"/>
    <xf borderId="13" fillId="0" fontId="5" numFmtId="9" xfId="0" applyBorder="1" applyFont="1" applyNumberFormat="1"/>
    <xf borderId="15" fillId="0" fontId="1" numFmtId="0" xfId="0" applyBorder="1" applyFont="1"/>
    <xf borderId="16" fillId="0" fontId="5" numFmtId="0" xfId="0" applyBorder="1" applyFont="1"/>
    <xf borderId="5" fillId="0" fontId="3" numFmtId="164" xfId="0" applyBorder="1" applyFont="1" applyNumberFormat="1"/>
    <xf borderId="31" fillId="0" fontId="5" numFmtId="0" xfId="0" applyBorder="1" applyFont="1"/>
    <xf borderId="13" fillId="0" fontId="5" numFmtId="166" xfId="0" applyBorder="1" applyFont="1" applyNumberFormat="1"/>
    <xf borderId="13" fillId="0" fontId="5" numFmtId="0" xfId="0" applyBorder="1" applyFont="1"/>
    <xf borderId="13" fillId="0" fontId="5" numFmtId="166" xfId="0" applyAlignment="1" applyBorder="1" applyFont="1" applyNumberFormat="1">
      <alignment horizontal="right"/>
    </xf>
    <xf borderId="16" fillId="0" fontId="5" numFmtId="166" xfId="0" applyAlignment="1" applyBorder="1" applyFont="1" applyNumberFormat="1">
      <alignment horizontal="right"/>
    </xf>
    <xf borderId="2" fillId="5" fontId="4" numFmtId="167" xfId="0" applyAlignment="1" applyBorder="1" applyFont="1" applyNumberFormat="1">
      <alignment horizontal="right"/>
    </xf>
    <xf borderId="31" fillId="0" fontId="5" numFmtId="10" xfId="0" applyBorder="1" applyFont="1" applyNumberFormat="1"/>
    <xf borderId="15" fillId="0" fontId="1" numFmtId="164" xfId="0" applyBorder="1" applyFont="1" applyNumberFormat="1"/>
    <xf borderId="16" fillId="0" fontId="5" numFmtId="1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Slides!$AL$9:$AQ$9</c:f>
              <c:numCache/>
            </c:numRef>
          </c:val>
        </c:ser>
        <c:axId val="942857082"/>
        <c:axId val="1695466622"/>
      </c:barChart>
      <c:catAx>
        <c:axId val="942857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695466622"/>
      </c:catAx>
      <c:valAx>
        <c:axId val="1695466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942857082"/>
      </c:valAx>
    </c:plotArea>
    <c:legend>
      <c:legendPos val="r"/>
      <c:legendEntry>
        <c:idx val="0"/>
        <c:txPr>
          <a:bodyPr/>
          <a:lstStyle/>
          <a:p>
            <a:pPr lvl="0">
              <a:defRPr b="1" i="0">
                <a:latin typeface="Roboto"/>
              </a:defRPr>
            </a:pPr>
          </a:p>
        </c:txPr>
      </c:legendEntry>
      <c:overlay val="0"/>
      <c:txPr>
        <a:bodyPr/>
        <a:lstStyle/>
        <a:p>
          <a:pPr lvl="0">
            <a:defRPr b="0" i="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Slides!$AL$34:$AQ$34</c:f>
            </c:strRef>
          </c:cat>
          <c:val>
            <c:numRef>
              <c:f>Slides!$AL$38:$AQ$38</c:f>
              <c:numCache/>
            </c:numRef>
          </c:val>
        </c:ser>
        <c:ser>
          <c:idx val="1"/>
          <c:order val="1"/>
          <c:cat>
            <c:strRef>
              <c:f>Slides!$AL$34:$AQ$34</c:f>
            </c:strRef>
          </c:cat>
          <c:val>
            <c:numRef>
              <c:f>Slides!$AL$41:$AQ$41</c:f>
              <c:numCache/>
            </c:numRef>
          </c:val>
        </c:ser>
        <c:axId val="2020282306"/>
        <c:axId val="522273458"/>
      </c:barChart>
      <c:catAx>
        <c:axId val="20202823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522273458"/>
      </c:catAx>
      <c:valAx>
        <c:axId val="522273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2020282306"/>
      </c:valAx>
    </c:plotArea>
    <c:legend>
      <c:legendPos val="r"/>
      <c:overlay val="0"/>
      <c:txPr>
        <a:bodyPr/>
        <a:lstStyle/>
        <a:p>
          <a:pPr lvl="0">
            <a:defRPr b="0" i="0">
              <a:solidFill>
                <a:srgbClr val="1A1A1A"/>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Slides!$AL$63:$AR$63</c:f>
            </c:strRef>
          </c:cat>
          <c:val>
            <c:numRef>
              <c:f>Slides!$AL$67:$AR$67</c:f>
              <c:numCache/>
            </c:numRef>
          </c:val>
        </c:ser>
        <c:ser>
          <c:idx val="1"/>
          <c:order val="1"/>
          <c:tx>
            <c:v>Gross Profit</c:v>
          </c:tx>
          <c:spPr>
            <a:solidFill>
              <a:srgbClr val="990000"/>
            </a:solidFill>
            <a:ln cmpd="sng">
              <a:solidFill>
                <a:srgbClr val="000000"/>
              </a:solidFill>
            </a:ln>
          </c:spPr>
          <c:dPt>
            <c:idx val="4"/>
            <c:spPr>
              <a:solidFill>
                <a:srgbClr val="85200C"/>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Slides!$AL$63:$AR$63</c:f>
            </c:strRef>
          </c:cat>
          <c:val>
            <c:numRef>
              <c:f>Slides!$AL$78:$AR$78</c:f>
              <c:numCache/>
            </c:numRef>
          </c:val>
        </c:ser>
        <c:axId val="652745029"/>
        <c:axId val="658409581"/>
      </c:barChart>
      <c:lineChart>
        <c:varyColors val="0"/>
        <c:ser>
          <c:idx val="2"/>
          <c:order val="2"/>
          <c:tx>
            <c:v>Gross Margin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Slides!$AL$63:$AR$63</c:f>
            </c:strRef>
          </c:cat>
          <c:val>
            <c:numRef>
              <c:f>Slides!$AL$79:$AR$79</c:f>
              <c:numCache/>
            </c:numRef>
          </c:val>
          <c:smooth val="0"/>
        </c:ser>
        <c:axId val="652745029"/>
        <c:axId val="658409581"/>
      </c:lineChart>
      <c:catAx>
        <c:axId val="652745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658409581"/>
      </c:catAx>
      <c:valAx>
        <c:axId val="658409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652745029"/>
      </c:valAx>
    </c:plotArea>
    <c:legend>
      <c:legendPos val="r"/>
      <c:overlay val="0"/>
      <c:txPr>
        <a:bodyPr/>
        <a:lstStyle/>
        <a:p>
          <a:pPr lvl="0">
            <a:defRPr b="0" i="0">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Slides!$AL$92:$AQ$92</c:f>
            </c:strRef>
          </c:cat>
          <c:val>
            <c:numRef>
              <c:f>Slides!$AL$96:$AQ$96</c:f>
              <c:numCache/>
            </c:numRef>
          </c:val>
        </c:ser>
        <c:ser>
          <c:idx val="1"/>
          <c:order val="1"/>
          <c:tx>
            <c:v>Gross Profit</c:v>
          </c:tx>
          <c:spPr>
            <a:solidFill>
              <a:srgbClr val="990000"/>
            </a:solidFill>
            <a:ln cmpd="sng">
              <a:solidFill>
                <a:srgbClr val="000000"/>
              </a:solidFill>
            </a:ln>
          </c:spPr>
          <c:dPt>
            <c:idx val="4"/>
            <c:spPr>
              <a:solidFill>
                <a:srgbClr val="85200C"/>
              </a:solidFill>
              <a:ln cmpd="sng">
                <a:solidFill>
                  <a:srgbClr val="000000"/>
                </a:solidFill>
              </a:ln>
            </c:spPr>
          </c:dPt>
          <c:dLbls>
            <c:numFmt formatCode="&quot;$&quot;#,##0" sourceLinked="0"/>
            <c:txPr>
              <a:bodyPr/>
              <a:lstStyle/>
              <a:p>
                <a:pPr lvl="0">
                  <a:defRPr b="1" i="0"/>
                </a:pPr>
              </a:p>
            </c:txPr>
            <c:showLegendKey val="0"/>
            <c:showVal val="1"/>
            <c:showCatName val="0"/>
            <c:showSerName val="0"/>
            <c:showPercent val="0"/>
            <c:showBubbleSize val="0"/>
          </c:dLbls>
          <c:cat>
            <c:strRef>
              <c:f>Slides!$AL$92:$AQ$92</c:f>
            </c:strRef>
          </c:cat>
          <c:val>
            <c:numRef>
              <c:f>Slides!$AL$107:$AQ$107</c:f>
              <c:numCache/>
            </c:numRef>
          </c:val>
        </c:ser>
        <c:axId val="651809602"/>
        <c:axId val="248991842"/>
      </c:barChart>
      <c:lineChart>
        <c:varyColors val="0"/>
        <c:ser>
          <c:idx val="2"/>
          <c:order val="2"/>
          <c:tx>
            <c:v>Gross Margin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Slides!$AL$92:$AQ$92</c:f>
            </c:strRef>
          </c:cat>
          <c:val>
            <c:numRef>
              <c:f>Slides!$AL$108:$AQ$108</c:f>
              <c:numCache/>
            </c:numRef>
          </c:val>
          <c:smooth val="0"/>
        </c:ser>
        <c:axId val="651809602"/>
        <c:axId val="248991842"/>
      </c:lineChart>
      <c:catAx>
        <c:axId val="651809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248991842"/>
      </c:catAx>
      <c:valAx>
        <c:axId val="248991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651809602"/>
      </c:valAx>
    </c:plotArea>
    <c:legend>
      <c:legendPos val="r"/>
      <c:overlay val="0"/>
      <c:txPr>
        <a:bodyPr/>
        <a:lstStyle/>
        <a:p>
          <a:pPr lvl="0">
            <a:defRPr b="0" i="0">
              <a:solidFill>
                <a:srgbClr val="1A1A1A"/>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Slides!$AL$151:$AQ$151</c:f>
            </c:strRef>
          </c:cat>
          <c:val>
            <c:numRef>
              <c:f>Slides!$AL$155:$AQ$155</c:f>
              <c:numCache/>
            </c:numRef>
          </c:val>
        </c:ser>
        <c:ser>
          <c:idx val="1"/>
          <c:order val="1"/>
          <c:tx>
            <c:v>Gross Profit</c:v>
          </c:tx>
          <c:spPr>
            <a:solidFill>
              <a:srgbClr val="990000"/>
            </a:solidFill>
            <a:ln cmpd="sng">
              <a:solidFill>
                <a:srgbClr val="000000"/>
              </a:solidFill>
            </a:ln>
          </c:spPr>
          <c:dPt>
            <c:idx val="4"/>
            <c:spPr>
              <a:solidFill>
                <a:srgbClr val="85200C"/>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Slides!$AL$151:$AQ$151</c:f>
            </c:strRef>
          </c:cat>
          <c:val>
            <c:numRef>
              <c:f>Slides!$AL$166:$AQ$166</c:f>
              <c:numCache/>
            </c:numRef>
          </c:val>
        </c:ser>
        <c:axId val="27802684"/>
        <c:axId val="1840716348"/>
      </c:barChart>
      <c:lineChart>
        <c:varyColors val="0"/>
        <c:ser>
          <c:idx val="2"/>
          <c:order val="2"/>
          <c:tx>
            <c:v>Gross Margin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Slides!$AL$151:$AQ$151</c:f>
            </c:strRef>
          </c:cat>
          <c:val>
            <c:numRef>
              <c:f>Slides!$AL$167:$AQ$167</c:f>
              <c:numCache/>
            </c:numRef>
          </c:val>
          <c:smooth val="0"/>
        </c:ser>
        <c:axId val="27802684"/>
        <c:axId val="1840716348"/>
      </c:lineChart>
      <c:catAx>
        <c:axId val="27802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840716348"/>
      </c:catAx>
      <c:valAx>
        <c:axId val="1840716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27802684"/>
      </c:valAx>
    </c:plotArea>
    <c:legend>
      <c:legendPos val="r"/>
      <c:overlay val="0"/>
      <c:txPr>
        <a:bodyPr/>
        <a:lstStyle/>
        <a:p>
          <a:pPr lvl="0">
            <a:defRPr b="0" i="0">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Revenue</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Slides!$AL$180:$AQ$180</c:f>
            </c:strRef>
          </c:cat>
          <c:val>
            <c:numRef>
              <c:f>Slides!$AL$183:$AQ$183</c:f>
              <c:numCache/>
            </c:numRef>
          </c:val>
        </c:ser>
        <c:ser>
          <c:idx val="1"/>
          <c:order val="1"/>
          <c:tx>
            <c:v>Gross Profit</c:v>
          </c:tx>
          <c:spPr>
            <a:solidFill>
              <a:srgbClr val="990000"/>
            </a:solidFill>
            <a:ln cmpd="sng">
              <a:solidFill>
                <a:srgbClr val="000000"/>
              </a:solidFill>
            </a:ln>
          </c:spPr>
          <c:dPt>
            <c:idx val="4"/>
            <c:spPr>
              <a:solidFill>
                <a:srgbClr val="85200C"/>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Slides!$AL$180:$AQ$180</c:f>
            </c:strRef>
          </c:cat>
          <c:val>
            <c:numRef>
              <c:f>Slides!$AL$194:$AQ$194</c:f>
              <c:numCache/>
            </c:numRef>
          </c:val>
        </c:ser>
        <c:axId val="1433266502"/>
        <c:axId val="279356318"/>
      </c:barChart>
      <c:lineChart>
        <c:varyColors val="0"/>
        <c:ser>
          <c:idx val="2"/>
          <c:order val="2"/>
          <c:tx>
            <c:v>Gross Margin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Slides!$AL$180:$AQ$180</c:f>
            </c:strRef>
          </c:cat>
          <c:val>
            <c:numRef>
              <c:f>Slides!$AL$195:$AQ$195</c:f>
              <c:numCache/>
            </c:numRef>
          </c:val>
          <c:smooth val="0"/>
        </c:ser>
        <c:axId val="1433266502"/>
        <c:axId val="279356318"/>
      </c:lineChart>
      <c:catAx>
        <c:axId val="14332665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279356318"/>
      </c:catAx>
      <c:valAx>
        <c:axId val="2793563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1433266502"/>
      </c:valAx>
    </c:plotArea>
    <c:legend>
      <c:legendPos val="r"/>
      <c:overlay val="0"/>
      <c:txPr>
        <a:bodyPr/>
        <a:lstStyle/>
        <a:p>
          <a:pPr lvl="0">
            <a:defRPr b="0" i="0">
              <a:solidFill>
                <a:srgbClr val="1A1A1A"/>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Slides!$AK$211</c:f>
            </c:strRef>
          </c:tx>
          <c:spPr>
            <a:solidFill>
              <a:srgbClr val="4472C4"/>
            </a:solidFill>
            <a:ln cmpd="sng">
              <a:solidFill>
                <a:srgbClr val="000000"/>
              </a:solidFill>
            </a:ln>
          </c:spPr>
          <c:cat>
            <c:strRef>
              <c:f>Slides!$AL$210:$AQ$210</c:f>
            </c:strRef>
          </c:cat>
          <c:val>
            <c:numRef>
              <c:f>Slides!$AL$211:$AQ$211</c:f>
              <c:numCache/>
            </c:numRef>
          </c:val>
        </c:ser>
        <c:ser>
          <c:idx val="1"/>
          <c:order val="1"/>
          <c:tx>
            <c:v>Paid Media</c:v>
          </c:tx>
          <c:spPr>
            <a:solidFill>
              <a:srgbClr val="ED7D31"/>
            </a:solidFill>
            <a:ln cmpd="sng">
              <a:solidFill>
                <a:srgbClr val="000000"/>
              </a:solidFill>
            </a:ln>
          </c:spPr>
          <c:cat>
            <c:strRef>
              <c:f>Slides!$AL$210:$AQ$210</c:f>
            </c:strRef>
          </c:cat>
          <c:val>
            <c:numRef>
              <c:f>Slides!$AN$212:$AQ$212</c:f>
              <c:numCache/>
            </c:numRef>
          </c:val>
        </c:ser>
        <c:ser>
          <c:idx val="2"/>
          <c:order val="2"/>
          <c:tx>
            <c:v>SEO</c:v>
          </c:tx>
          <c:spPr>
            <a:solidFill>
              <a:srgbClr val="A5A5A5"/>
            </a:solidFill>
            <a:ln cmpd="sng">
              <a:solidFill>
                <a:srgbClr val="000000"/>
              </a:solidFill>
            </a:ln>
          </c:spPr>
          <c:cat>
            <c:strRef>
              <c:f>Slides!$AL$210:$AQ$210</c:f>
            </c:strRef>
          </c:cat>
          <c:val>
            <c:numRef>
              <c:f>Slides!$AN$213:$AQ$213</c:f>
              <c:numCache/>
            </c:numRef>
          </c:val>
        </c:ser>
        <c:ser>
          <c:idx val="3"/>
          <c:order val="3"/>
          <c:tx>
            <c:v>Design</c:v>
          </c:tx>
          <c:spPr>
            <a:solidFill>
              <a:srgbClr val="FFC000"/>
            </a:solidFill>
            <a:ln cmpd="sng">
              <a:solidFill>
                <a:srgbClr val="000000"/>
              </a:solidFill>
            </a:ln>
          </c:spPr>
          <c:cat>
            <c:strRef>
              <c:f>Slides!$AL$210:$AQ$210</c:f>
            </c:strRef>
          </c:cat>
          <c:val>
            <c:numRef>
              <c:f>Slides!$AN$214:$AQ$214</c:f>
              <c:numCache/>
            </c:numRef>
          </c:val>
        </c:ser>
        <c:ser>
          <c:idx val="4"/>
          <c:order val="4"/>
          <c:tx>
            <c:v>Video</c:v>
          </c:tx>
          <c:spPr>
            <a:solidFill>
              <a:srgbClr val="5B9BD5"/>
            </a:solidFill>
            <a:ln cmpd="sng">
              <a:solidFill>
                <a:srgbClr val="000000"/>
              </a:solidFill>
            </a:ln>
          </c:spPr>
          <c:cat>
            <c:strRef>
              <c:f>Slides!$AL$210:$AQ$210</c:f>
            </c:strRef>
          </c:cat>
          <c:val>
            <c:numRef>
              <c:f>Slides!$AN$215:$AQ$215</c:f>
              <c:numCache/>
            </c:numRef>
          </c:val>
        </c:ser>
        <c:ser>
          <c:idx val="5"/>
          <c:order val="5"/>
          <c:tx>
            <c:v>Rev Ops</c:v>
          </c:tx>
          <c:spPr>
            <a:solidFill>
              <a:srgbClr val="70AD47"/>
            </a:solidFill>
            <a:ln cmpd="sng">
              <a:solidFill>
                <a:srgbClr val="000000"/>
              </a:solidFill>
            </a:ln>
          </c:spPr>
          <c:cat>
            <c:strRef>
              <c:f>Slides!$AL$210:$AQ$210</c:f>
            </c:strRef>
          </c:cat>
          <c:val>
            <c:numRef>
              <c:f>Slides!$AN$216:$AQ$216</c:f>
              <c:numCache/>
            </c:numRef>
          </c:val>
        </c:ser>
        <c:ser>
          <c:idx val="6"/>
          <c:order val="6"/>
          <c:tx>
            <c:strRef>
              <c:f>Slides!$AL$217</c:f>
            </c:strRef>
          </c:tx>
          <c:cat>
            <c:strRef>
              <c:f>Slides!$AL$210:$AQ$210</c:f>
            </c:strRef>
          </c:cat>
          <c:val>
            <c:numRef>
              <c:f>Slides!$AM$217:$AQ$217</c:f>
              <c:numCache/>
            </c:numRef>
          </c:val>
        </c:ser>
        <c:overlap val="100"/>
        <c:axId val="1566767672"/>
        <c:axId val="802340152"/>
      </c:barChart>
      <c:catAx>
        <c:axId val="15667676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802340152"/>
      </c:catAx>
      <c:valAx>
        <c:axId val="802340152"/>
        <c:scaling>
          <c:orientation val="minMax"/>
          <c:max val="1.5E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566767672"/>
      </c:valAx>
    </c:plotArea>
    <c:legend>
      <c:legendPos val="r"/>
      <c:overlay val="0"/>
      <c:txPr>
        <a:bodyPr/>
        <a:lstStyle/>
        <a:p>
          <a:pPr lvl="0">
            <a:defRPr b="0" i="0">
              <a:solidFill>
                <a:srgbClr val="1A1A1A"/>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Slides!$AK$235</c:f>
            </c:strRef>
          </c:tx>
          <c:cat>
            <c:strRef>
              <c:f>Slides!$AL$234:$AQ$234</c:f>
            </c:strRef>
          </c:cat>
          <c:val>
            <c:numRef>
              <c:f>Slides!$AL$235:$AQ$235</c:f>
              <c:numCache/>
            </c:numRef>
          </c:val>
        </c:ser>
        <c:axId val="1436699785"/>
        <c:axId val="1195150076"/>
      </c:barChart>
      <c:catAx>
        <c:axId val="1436699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195150076"/>
      </c:catAx>
      <c:valAx>
        <c:axId val="1195150076"/>
        <c:scaling>
          <c:orientation val="minMax"/>
        </c:scaling>
        <c:delete val="0"/>
        <c:axPos val="l"/>
        <c:tickLblPos val="nextTo"/>
        <c:spPr>
          <a:ln>
            <a:noFill/>
          </a:ln>
        </c:spPr>
        <c:crossAx val="1436699785"/>
      </c:valAx>
    </c:plotArea>
    <c:legend>
      <c:legendPos val="r"/>
      <c:overlay val="0"/>
      <c:txPr>
        <a:bodyPr/>
        <a:lstStyle/>
        <a:p>
          <a:pPr lvl="0">
            <a:defRPr b="0" i="0">
              <a:solidFill>
                <a:srgbClr val="1A1A1A"/>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Slides!$AK$258</c:f>
            </c:strRef>
          </c:tx>
          <c:cat>
            <c:strRef>
              <c:f>Slides!$AL$257:$AQ$257</c:f>
            </c:strRef>
          </c:cat>
          <c:val>
            <c:numRef>
              <c:f>Slides!$AL$258:$AQ$258</c:f>
              <c:numCache/>
            </c:numRef>
          </c:val>
        </c:ser>
        <c:axId val="1380276645"/>
        <c:axId val="491757727"/>
      </c:barChart>
      <c:catAx>
        <c:axId val="1380276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91757727"/>
      </c:catAx>
      <c:valAx>
        <c:axId val="491757727"/>
        <c:scaling>
          <c:orientation val="minMax"/>
        </c:scaling>
        <c:delete val="0"/>
        <c:axPos val="l"/>
        <c:tickLblPos val="nextTo"/>
        <c:spPr>
          <a:ln>
            <a:noFill/>
          </a:ln>
        </c:spPr>
        <c:crossAx val="1380276645"/>
      </c:valAx>
    </c:plotArea>
    <c:legend>
      <c:legendPos val="r"/>
      <c:overlay val="0"/>
      <c:txPr>
        <a:bodyPr/>
        <a:lstStyle/>
        <a:p>
          <a:pPr lvl="0">
            <a:defRPr b="0" i="0">
              <a:solidFill>
                <a:srgbClr val="1A1A1A"/>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Revenue/Strategist</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Slides!$AL$24:$AQ$24</c:f>
              <c:numCache/>
            </c:numRef>
          </c:val>
        </c:ser>
        <c:ser>
          <c:idx val="1"/>
          <c:order val="1"/>
          <c:tx>
            <c:v>New Client LTV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Slides!$AL$29:$AQ$29</c:f>
              <c:numCache/>
            </c:numRef>
          </c:val>
        </c:ser>
        <c:axId val="2030152420"/>
        <c:axId val="182528080"/>
      </c:barChart>
      <c:lineChart>
        <c:varyColors val="0"/>
        <c:ser>
          <c:idx val="2"/>
          <c:order val="2"/>
          <c:tx>
            <c:v>Average Monthly Retention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Slides!$AL$28:$AQ$28</c:f>
              <c:numCache/>
            </c:numRef>
          </c:val>
          <c:smooth val="0"/>
        </c:ser>
        <c:axId val="2030152420"/>
        <c:axId val="182528080"/>
      </c:lineChart>
      <c:catAx>
        <c:axId val="2030152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82528080"/>
      </c:catAx>
      <c:valAx>
        <c:axId val="182528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030152420"/>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Revenue/Strategist</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Slides!$AL$53:$AQ$53</c:f>
              <c:numCache/>
            </c:numRef>
          </c:val>
        </c:ser>
        <c:ser>
          <c:idx val="1"/>
          <c:order val="1"/>
          <c:tx>
            <c:v>New Client LTV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Slides!$AL$58:$AQ$58</c:f>
              <c:numCache/>
            </c:numRef>
          </c:val>
        </c:ser>
        <c:axId val="432336379"/>
        <c:axId val="2098487412"/>
      </c:barChart>
      <c:lineChart>
        <c:varyColors val="0"/>
        <c:ser>
          <c:idx val="2"/>
          <c:order val="2"/>
          <c:tx>
            <c:v>Average Monthly Retention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Slides!$AL$57:$AQ$57</c:f>
              <c:numCache/>
            </c:numRef>
          </c:val>
          <c:smooth val="0"/>
        </c:ser>
        <c:axId val="432336379"/>
        <c:axId val="2098487412"/>
      </c:lineChart>
      <c:catAx>
        <c:axId val="432336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2098487412"/>
      </c:catAx>
      <c:valAx>
        <c:axId val="2098487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432336379"/>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Revenue/Designer</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Slides!$AL$82:$AQ$82</c:f>
              <c:numCache/>
            </c:numRef>
          </c:val>
        </c:ser>
        <c:ser>
          <c:idx val="1"/>
          <c:order val="1"/>
          <c:tx>
            <c:v>New Client LTV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Slides!$AK$87:$AQ$87</c:f>
              <c:numCache/>
            </c:numRef>
          </c:val>
        </c:ser>
        <c:axId val="1763348634"/>
        <c:axId val="1965222605"/>
      </c:barChart>
      <c:lineChart>
        <c:varyColors val="0"/>
        <c:ser>
          <c:idx val="2"/>
          <c:order val="2"/>
          <c:tx>
            <c:v>Average Monthly Retention</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Slides!$AK$86:$AQ$86</c:f>
              <c:numCache/>
            </c:numRef>
          </c:val>
          <c:smooth val="0"/>
        </c:ser>
        <c:axId val="1763348634"/>
        <c:axId val="1965222605"/>
      </c:lineChart>
      <c:catAx>
        <c:axId val="17633486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965222605"/>
      </c:catAx>
      <c:valAx>
        <c:axId val="1965222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763348634"/>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Revenue/Designer</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Slides!$AL$111:$AQ$111</c:f>
              <c:numCache/>
            </c:numRef>
          </c:val>
        </c:ser>
        <c:ser>
          <c:idx val="1"/>
          <c:order val="1"/>
          <c:tx>
            <c:v>New Client AOV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Slides!$AK$114:$AQ$114</c:f>
              <c:numCache/>
            </c:numRef>
          </c:val>
        </c:ser>
        <c:axId val="1311698054"/>
        <c:axId val="1985676436"/>
      </c:barChart>
      <c:lineChart>
        <c:varyColors val="0"/>
        <c:ser>
          <c:idx val="2"/>
          <c:order val="2"/>
          <c:tx>
            <c:v>Product Deals Closed</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Slides!$AK$113:$AQ$113</c:f>
              <c:numCache/>
            </c:numRef>
          </c:val>
          <c:smooth val="0"/>
        </c:ser>
        <c:axId val="1311698054"/>
        <c:axId val="1985676436"/>
      </c:lineChart>
      <c:catAx>
        <c:axId val="1311698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985676436"/>
      </c:catAx>
      <c:valAx>
        <c:axId val="1985676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1311698054"/>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Revenue/Strategist</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Slides!$AL$170:$AQ$170</c:f>
              <c:numCache/>
            </c:numRef>
          </c:val>
        </c:ser>
        <c:ser>
          <c:idx val="1"/>
          <c:order val="1"/>
          <c:tx>
            <c:v>New Client LTV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Slides!$AL$175:$AQ$175</c:f>
              <c:numCache/>
            </c:numRef>
          </c:val>
        </c:ser>
        <c:axId val="689653567"/>
        <c:axId val="54466442"/>
      </c:barChart>
      <c:lineChart>
        <c:varyColors val="0"/>
        <c:ser>
          <c:idx val="2"/>
          <c:order val="2"/>
          <c:tx>
            <c:v>Product Deals Closed</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Slides!$AL$172:$AQ$172</c:f>
              <c:numCache/>
            </c:numRef>
          </c:val>
          <c:smooth val="0"/>
        </c:ser>
        <c:axId val="689653567"/>
        <c:axId val="54466442"/>
      </c:lineChart>
      <c:catAx>
        <c:axId val="689653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54466442"/>
      </c:catAx>
      <c:valAx>
        <c:axId val="54466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689653567"/>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Revenue/Strategist</c:v>
          </c:tx>
          <c:spPr>
            <a:solidFill>
              <a:srgbClr val="4472C4"/>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Slides!$AL$198:$AQ$198</c:f>
              <c:numCache/>
            </c:numRef>
          </c:val>
        </c:ser>
        <c:ser>
          <c:idx val="1"/>
          <c:order val="1"/>
          <c:tx>
            <c:v>New Client LTV</c:v>
          </c:tx>
          <c:spPr>
            <a:solidFill>
              <a:srgbClr val="9900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Slides!$AL$203:$AQ$203</c:f>
              <c:numCache/>
            </c:numRef>
          </c:val>
        </c:ser>
        <c:axId val="384729538"/>
        <c:axId val="517555082"/>
      </c:barChart>
      <c:lineChart>
        <c:varyColors val="0"/>
        <c:ser>
          <c:idx val="2"/>
          <c:order val="2"/>
          <c:tx>
            <c:v>Product Deals Closed</c:v>
          </c:tx>
          <c:spPr>
            <a:ln cmpd="sng">
              <a:solidFill>
                <a:srgbClr val="38761D"/>
              </a:solidFill>
            </a:ln>
          </c:spPr>
          <c:marker>
            <c:symbol val="circle"/>
            <c:size val="7"/>
            <c:spPr>
              <a:solidFill>
                <a:srgbClr val="38761D"/>
              </a:solidFill>
              <a:ln cmpd="sng">
                <a:solidFill>
                  <a:srgbClr val="38761D"/>
                </a:solidFill>
              </a:ln>
            </c:spPr>
          </c:marker>
          <c:dLbls>
            <c:numFmt formatCode="General" sourceLinked="1"/>
            <c:txPr>
              <a:bodyPr/>
              <a:lstStyle/>
              <a:p>
                <a:pPr lvl="0">
                  <a:defRPr b="1" i="0"/>
                </a:pPr>
              </a:p>
            </c:txPr>
            <c:showLegendKey val="0"/>
            <c:showVal val="1"/>
            <c:showCatName val="0"/>
            <c:showSerName val="0"/>
            <c:showPercent val="0"/>
            <c:showBubbleSize val="0"/>
          </c:dLbls>
          <c:cat>
            <c:strRef>
              <c:f>Slides!$AL$4:$AQ$4</c:f>
            </c:strRef>
          </c:cat>
          <c:val>
            <c:numRef>
              <c:f>Slides!$AL$200:$AQ$200</c:f>
              <c:numCache/>
            </c:numRef>
          </c:val>
          <c:smooth val="0"/>
        </c:ser>
        <c:axId val="384729538"/>
        <c:axId val="517555082"/>
      </c:lineChart>
      <c:catAx>
        <c:axId val="384729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517555082"/>
      </c:catAx>
      <c:valAx>
        <c:axId val="51755508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i="0">
                <a:solidFill>
                  <a:srgbClr val="000000"/>
                </a:solidFill>
                <a:latin typeface="Roboto"/>
              </a:defRPr>
            </a:pPr>
          </a:p>
        </c:txPr>
        <c:crossAx val="384729538"/>
      </c:valAx>
    </c:plotArea>
    <c:legend>
      <c:legendPos val="r"/>
      <c:legendEntry>
        <c:idx val="1"/>
        <c:txPr>
          <a:bodyPr/>
          <a:lstStyle/>
          <a:p>
            <a:pPr lvl="0">
              <a:defRPr b="0" i="0"/>
            </a:pPr>
          </a:p>
        </c:txPr>
      </c:legendEntry>
      <c:overlay val="0"/>
      <c:txPr>
        <a:bodyPr/>
        <a:lstStyle/>
        <a:p>
          <a:pPr lvl="0">
            <a:defRPr b="0" i="0">
              <a:solidFill>
                <a:srgbClr val="1A1A1A"/>
              </a:solidFill>
              <a:latin typeface="Roboto"/>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Slides!$D$235</c:f>
            </c:strRef>
          </c:tx>
          <c:cat>
            <c:strRef>
              <c:f>Slides!$E$234:$O$234</c:f>
            </c:strRef>
          </c:cat>
          <c:val>
            <c:numRef>
              <c:f>Slides!$E$235:$O$235</c:f>
              <c:numCache/>
            </c:numRef>
          </c:val>
        </c:ser>
        <c:axId val="1706036874"/>
        <c:axId val="217310712"/>
      </c:barChart>
      <c:catAx>
        <c:axId val="1706036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7310712"/>
      </c:catAx>
      <c:valAx>
        <c:axId val="217310712"/>
        <c:scaling>
          <c:orientation val="minMax"/>
        </c:scaling>
        <c:delete val="0"/>
        <c:axPos val="l"/>
        <c:tickLblPos val="nextTo"/>
        <c:spPr>
          <a:ln>
            <a:noFill/>
          </a:ln>
        </c:spPr>
        <c:crossAx val="1706036874"/>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6" Type="http://schemas.openxmlformats.org/officeDocument/2006/relationships/chart" Target="../charts/chart16.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21</xdr:row>
      <xdr:rowOff>180975</xdr:rowOff>
    </xdr:from>
    <xdr:ext cx="914400" cy="533400"/>
    <xdr:grpSp>
      <xdr:nvGrpSpPr>
        <xdr:cNvPr id="2" name="Shape 2"/>
        <xdr:cNvGrpSpPr/>
      </xdr:nvGrpSpPr>
      <xdr:grpSpPr>
        <a:xfrm>
          <a:off x="4888800" y="3518063"/>
          <a:ext cx="914400" cy="523875"/>
          <a:chOff x="4888800" y="3518063"/>
          <a:chExt cx="914400" cy="523875"/>
        </a:xfrm>
      </xdr:grpSpPr>
      <xdr:cxnSp>
        <xdr:nvCxnSpPr>
          <xdr:cNvPr id="3" name="Shape 3"/>
          <xdr:cNvCxnSpPr/>
        </xdr:nvCxnSpPr>
        <xdr:spPr>
          <a:xfrm>
            <a:off x="4888800" y="3518063"/>
            <a:ext cx="914400" cy="52387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190500</xdr:colOff>
      <xdr:row>21</xdr:row>
      <xdr:rowOff>171450</xdr:rowOff>
    </xdr:from>
    <xdr:ext cx="2828925" cy="695325"/>
    <xdr:grpSp>
      <xdr:nvGrpSpPr>
        <xdr:cNvPr id="2" name="Shape 2"/>
        <xdr:cNvGrpSpPr/>
      </xdr:nvGrpSpPr>
      <xdr:grpSpPr>
        <a:xfrm>
          <a:off x="3931538" y="3437100"/>
          <a:ext cx="2828925" cy="685800"/>
          <a:chOff x="3931538" y="3437100"/>
          <a:chExt cx="2828925" cy="685800"/>
        </a:xfrm>
      </xdr:grpSpPr>
      <xdr:cxnSp>
        <xdr:nvCxnSpPr>
          <xdr:cNvPr id="4" name="Shape 4"/>
          <xdr:cNvCxnSpPr/>
        </xdr:nvCxnSpPr>
        <xdr:spPr>
          <a:xfrm>
            <a:off x="3931538" y="3437100"/>
            <a:ext cx="2828925" cy="6858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228600</xdr:colOff>
      <xdr:row>21</xdr:row>
      <xdr:rowOff>180975</xdr:rowOff>
    </xdr:from>
    <xdr:ext cx="4572000" cy="590550"/>
    <xdr:grpSp>
      <xdr:nvGrpSpPr>
        <xdr:cNvPr id="2" name="Shape 2"/>
        <xdr:cNvGrpSpPr/>
      </xdr:nvGrpSpPr>
      <xdr:grpSpPr>
        <a:xfrm>
          <a:off x="3060000" y="3489488"/>
          <a:ext cx="4572000" cy="581025"/>
          <a:chOff x="3060000" y="3489488"/>
          <a:chExt cx="4572000" cy="581025"/>
        </a:xfrm>
      </xdr:grpSpPr>
      <xdr:cxnSp>
        <xdr:nvCxnSpPr>
          <xdr:cNvPr id="5" name="Shape 5"/>
          <xdr:cNvCxnSpPr/>
        </xdr:nvCxnSpPr>
        <xdr:spPr>
          <a:xfrm>
            <a:off x="3060000" y="3489488"/>
            <a:ext cx="4572000" cy="58102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104775</xdr:colOff>
      <xdr:row>26</xdr:row>
      <xdr:rowOff>19050</xdr:rowOff>
    </xdr:from>
    <xdr:ext cx="1000125" cy="695325"/>
    <xdr:grpSp>
      <xdr:nvGrpSpPr>
        <xdr:cNvPr id="2" name="Shape 2"/>
        <xdr:cNvGrpSpPr/>
      </xdr:nvGrpSpPr>
      <xdr:grpSpPr>
        <a:xfrm>
          <a:off x="4845938" y="3432338"/>
          <a:ext cx="1000125" cy="695325"/>
          <a:chOff x="4845938" y="3432338"/>
          <a:chExt cx="1000125" cy="695325"/>
        </a:xfrm>
      </xdr:grpSpPr>
      <xdr:cxnSp>
        <xdr:nvCxnSpPr>
          <xdr:cNvPr id="6" name="Shape 6"/>
          <xdr:cNvCxnSpPr/>
        </xdr:nvCxnSpPr>
        <xdr:spPr>
          <a:xfrm flipH="1" rot="10800000">
            <a:off x="4845938" y="3432338"/>
            <a:ext cx="1000125" cy="69532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114300</xdr:colOff>
      <xdr:row>26</xdr:row>
      <xdr:rowOff>57150</xdr:rowOff>
    </xdr:from>
    <xdr:ext cx="2886075" cy="657225"/>
    <xdr:grpSp>
      <xdr:nvGrpSpPr>
        <xdr:cNvPr id="2" name="Shape 2"/>
        <xdr:cNvGrpSpPr/>
      </xdr:nvGrpSpPr>
      <xdr:grpSpPr>
        <a:xfrm>
          <a:off x="3902963" y="3451388"/>
          <a:ext cx="2886075" cy="657225"/>
          <a:chOff x="3902963" y="3451388"/>
          <a:chExt cx="2886075" cy="657225"/>
        </a:xfrm>
      </xdr:grpSpPr>
      <xdr:cxnSp>
        <xdr:nvCxnSpPr>
          <xdr:cNvPr id="7" name="Shape 7"/>
          <xdr:cNvCxnSpPr/>
        </xdr:nvCxnSpPr>
        <xdr:spPr>
          <a:xfrm flipH="1" rot="10800000">
            <a:off x="3902963" y="3451388"/>
            <a:ext cx="2886075" cy="65722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104775</xdr:colOff>
      <xdr:row>26</xdr:row>
      <xdr:rowOff>0</xdr:rowOff>
    </xdr:from>
    <xdr:ext cx="4657725" cy="714375"/>
    <xdr:grpSp>
      <xdr:nvGrpSpPr>
        <xdr:cNvPr id="2" name="Shape 2"/>
        <xdr:cNvGrpSpPr/>
      </xdr:nvGrpSpPr>
      <xdr:grpSpPr>
        <a:xfrm>
          <a:off x="3017138" y="3422813"/>
          <a:ext cx="4657725" cy="714375"/>
          <a:chOff x="3017138" y="3422813"/>
          <a:chExt cx="4657725" cy="714375"/>
        </a:xfrm>
      </xdr:grpSpPr>
      <xdr:cxnSp>
        <xdr:nvCxnSpPr>
          <xdr:cNvPr id="8" name="Shape 8"/>
          <xdr:cNvCxnSpPr/>
        </xdr:nvCxnSpPr>
        <xdr:spPr>
          <a:xfrm flipH="1" rot="10800000">
            <a:off x="3017138" y="3422813"/>
            <a:ext cx="4657725" cy="71437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66675</xdr:colOff>
      <xdr:row>25</xdr:row>
      <xdr:rowOff>104775</xdr:rowOff>
    </xdr:from>
    <xdr:ext cx="1038225" cy="38100"/>
    <xdr:grpSp>
      <xdr:nvGrpSpPr>
        <xdr:cNvPr id="2" name="Shape 2"/>
        <xdr:cNvGrpSpPr/>
      </xdr:nvGrpSpPr>
      <xdr:grpSpPr>
        <a:xfrm>
          <a:off x="4826888" y="3780000"/>
          <a:ext cx="1038225" cy="0"/>
          <a:chOff x="4826888" y="3780000"/>
          <a:chExt cx="1038225" cy="0"/>
        </a:xfrm>
      </xdr:grpSpPr>
      <xdr:cxnSp>
        <xdr:nvCxnSpPr>
          <xdr:cNvPr id="9" name="Shape 9"/>
          <xdr:cNvCxnSpPr/>
        </xdr:nvCxnSpPr>
        <xdr:spPr>
          <a:xfrm>
            <a:off x="4826888" y="3780000"/>
            <a:ext cx="1038225"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200025</xdr:colOff>
      <xdr:row>25</xdr:row>
      <xdr:rowOff>104775</xdr:rowOff>
    </xdr:from>
    <xdr:ext cx="990600" cy="28575"/>
    <xdr:grpSp>
      <xdr:nvGrpSpPr>
        <xdr:cNvPr id="2" name="Shape 2"/>
        <xdr:cNvGrpSpPr/>
      </xdr:nvGrpSpPr>
      <xdr:grpSpPr>
        <a:xfrm>
          <a:off x="4850700" y="3775238"/>
          <a:ext cx="990600" cy="9525"/>
          <a:chOff x="4850700" y="3775238"/>
          <a:chExt cx="990600" cy="9525"/>
        </a:xfrm>
      </xdr:grpSpPr>
      <xdr:cxnSp>
        <xdr:nvCxnSpPr>
          <xdr:cNvPr id="10" name="Shape 10"/>
          <xdr:cNvCxnSpPr/>
        </xdr:nvCxnSpPr>
        <xdr:spPr>
          <a:xfrm flipH="1" rot="10800000">
            <a:off x="4850700" y="3775238"/>
            <a:ext cx="990600" cy="952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15</xdr:col>
      <xdr:colOff>571500</xdr:colOff>
      <xdr:row>25</xdr:row>
      <xdr:rowOff>104775</xdr:rowOff>
    </xdr:from>
    <xdr:ext cx="609600" cy="38100"/>
    <xdr:grpSp>
      <xdr:nvGrpSpPr>
        <xdr:cNvPr id="2" name="Shape 2"/>
        <xdr:cNvGrpSpPr/>
      </xdr:nvGrpSpPr>
      <xdr:grpSpPr>
        <a:xfrm>
          <a:off x="5041200" y="3780000"/>
          <a:ext cx="609600" cy="0"/>
          <a:chOff x="5041200" y="3780000"/>
          <a:chExt cx="609600" cy="0"/>
        </a:xfrm>
      </xdr:grpSpPr>
      <xdr:cxnSp>
        <xdr:nvCxnSpPr>
          <xdr:cNvPr id="11" name="Shape 11"/>
          <xdr:cNvCxnSpPr/>
        </xdr:nvCxnSpPr>
        <xdr:spPr>
          <a:xfrm>
            <a:off x="5041200" y="3780000"/>
            <a:ext cx="6096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11</xdr:col>
      <xdr:colOff>409575</xdr:colOff>
      <xdr:row>18</xdr:row>
      <xdr:rowOff>123825</xdr:rowOff>
    </xdr:from>
    <xdr:ext cx="923925" cy="1247775"/>
    <xdr:grpSp>
      <xdr:nvGrpSpPr>
        <xdr:cNvPr id="2" name="Shape 2"/>
        <xdr:cNvGrpSpPr/>
      </xdr:nvGrpSpPr>
      <xdr:grpSpPr>
        <a:xfrm>
          <a:off x="4888800" y="3156113"/>
          <a:ext cx="914400" cy="1247775"/>
          <a:chOff x="4888800" y="3156113"/>
          <a:chExt cx="914400" cy="1247775"/>
        </a:xfrm>
      </xdr:grpSpPr>
      <xdr:cxnSp>
        <xdr:nvCxnSpPr>
          <xdr:cNvPr id="12" name="Shape 12"/>
          <xdr:cNvCxnSpPr/>
        </xdr:nvCxnSpPr>
        <xdr:spPr>
          <a:xfrm flipH="1" rot="10800000">
            <a:off x="4888800" y="3156113"/>
            <a:ext cx="914400" cy="124777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14</xdr:col>
      <xdr:colOff>95250</xdr:colOff>
      <xdr:row>17</xdr:row>
      <xdr:rowOff>123825</xdr:rowOff>
    </xdr:from>
    <xdr:ext cx="990600" cy="28575"/>
    <xdr:grpSp>
      <xdr:nvGrpSpPr>
        <xdr:cNvPr id="2" name="Shape 2"/>
        <xdr:cNvGrpSpPr/>
      </xdr:nvGrpSpPr>
      <xdr:grpSpPr>
        <a:xfrm>
          <a:off x="4850700" y="3775238"/>
          <a:ext cx="990600" cy="9525"/>
          <a:chOff x="4850700" y="3775238"/>
          <a:chExt cx="990600" cy="9525"/>
        </a:xfrm>
      </xdr:grpSpPr>
      <xdr:cxnSp>
        <xdr:nvCxnSpPr>
          <xdr:cNvPr id="10" name="Shape 10"/>
          <xdr:cNvCxnSpPr/>
        </xdr:nvCxnSpPr>
        <xdr:spPr>
          <a:xfrm flipH="1" rot="10800000">
            <a:off x="4850700" y="3775238"/>
            <a:ext cx="990600" cy="952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14</xdr:col>
      <xdr:colOff>590550</xdr:colOff>
      <xdr:row>18</xdr:row>
      <xdr:rowOff>85725</xdr:rowOff>
    </xdr:from>
    <xdr:ext cx="647700" cy="1247775"/>
    <xdr:grpSp>
      <xdr:nvGrpSpPr>
        <xdr:cNvPr id="2" name="Shape 2"/>
        <xdr:cNvGrpSpPr/>
      </xdr:nvGrpSpPr>
      <xdr:grpSpPr>
        <a:xfrm>
          <a:off x="5026913" y="3156113"/>
          <a:ext cx="638175" cy="1247775"/>
          <a:chOff x="5026913" y="3156113"/>
          <a:chExt cx="638175" cy="1247775"/>
        </a:xfrm>
      </xdr:grpSpPr>
      <xdr:cxnSp>
        <xdr:nvCxnSpPr>
          <xdr:cNvPr id="13" name="Shape 13"/>
          <xdr:cNvCxnSpPr/>
        </xdr:nvCxnSpPr>
        <xdr:spPr>
          <a:xfrm flipH="1" rot="10800000">
            <a:off x="5026913" y="3156113"/>
            <a:ext cx="638175" cy="1247775"/>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16</xdr:col>
      <xdr:colOff>371475</xdr:colOff>
      <xdr:row>18</xdr:row>
      <xdr:rowOff>114300</xdr:rowOff>
    </xdr:from>
    <xdr:ext cx="552450" cy="1200150"/>
    <xdr:grpSp>
      <xdr:nvGrpSpPr>
        <xdr:cNvPr id="2" name="Shape 2"/>
        <xdr:cNvGrpSpPr/>
      </xdr:nvGrpSpPr>
      <xdr:grpSpPr>
        <a:xfrm>
          <a:off x="5074538" y="3179925"/>
          <a:ext cx="542925" cy="1200150"/>
          <a:chOff x="5074538" y="3179925"/>
          <a:chExt cx="542925" cy="1200150"/>
        </a:xfrm>
      </xdr:grpSpPr>
      <xdr:cxnSp>
        <xdr:nvCxnSpPr>
          <xdr:cNvPr id="14" name="Shape 14"/>
          <xdr:cNvCxnSpPr/>
        </xdr:nvCxnSpPr>
        <xdr:spPr>
          <a:xfrm rot="10800000">
            <a:off x="5074538" y="3179925"/>
            <a:ext cx="542925" cy="12001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xdr:col>
      <xdr:colOff>1104900</xdr:colOff>
      <xdr:row>24</xdr:row>
      <xdr:rowOff>142875</xdr:rowOff>
    </xdr:from>
    <xdr:ext cx="1352550" cy="161925"/>
    <xdr:grpSp>
      <xdr:nvGrpSpPr>
        <xdr:cNvPr id="2" name="Shape 2"/>
        <xdr:cNvGrpSpPr/>
      </xdr:nvGrpSpPr>
      <xdr:grpSpPr>
        <a:xfrm>
          <a:off x="4674488" y="3703800"/>
          <a:ext cx="1343025" cy="152400"/>
          <a:chOff x="4674488" y="3703800"/>
          <a:chExt cx="1343025" cy="152400"/>
        </a:xfrm>
      </xdr:grpSpPr>
      <xdr:cxnSp>
        <xdr:nvCxnSpPr>
          <xdr:cNvPr id="15" name="Shape 15"/>
          <xdr:cNvCxnSpPr/>
        </xdr:nvCxnSpPr>
        <xdr:spPr>
          <a:xfrm>
            <a:off x="4674488" y="3703800"/>
            <a:ext cx="1343025" cy="1524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xdr:col>
      <xdr:colOff>1038225</xdr:colOff>
      <xdr:row>25</xdr:row>
      <xdr:rowOff>142875</xdr:rowOff>
    </xdr:from>
    <xdr:ext cx="1400175" cy="228600"/>
    <xdr:grpSp>
      <xdr:nvGrpSpPr>
        <xdr:cNvPr id="2" name="Shape 2"/>
        <xdr:cNvGrpSpPr/>
      </xdr:nvGrpSpPr>
      <xdr:grpSpPr>
        <a:xfrm>
          <a:off x="4650675" y="3665700"/>
          <a:ext cx="1390650" cy="228600"/>
          <a:chOff x="4650675" y="3665700"/>
          <a:chExt cx="1390650" cy="228600"/>
        </a:xfrm>
      </xdr:grpSpPr>
      <xdr:cxnSp>
        <xdr:nvCxnSpPr>
          <xdr:cNvPr id="16" name="Shape 16"/>
          <xdr:cNvCxnSpPr/>
        </xdr:nvCxnSpPr>
        <xdr:spPr>
          <a:xfrm flipH="1" rot="10800000">
            <a:off x="4650675" y="3665700"/>
            <a:ext cx="1390650" cy="2286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5</xdr:col>
      <xdr:colOff>104775</xdr:colOff>
      <xdr:row>24</xdr:row>
      <xdr:rowOff>66675</xdr:rowOff>
    </xdr:from>
    <xdr:ext cx="476250" cy="180975"/>
    <xdr:grpSp>
      <xdr:nvGrpSpPr>
        <xdr:cNvPr id="2" name="Shape 2"/>
        <xdr:cNvGrpSpPr/>
      </xdr:nvGrpSpPr>
      <xdr:grpSpPr>
        <a:xfrm>
          <a:off x="5107875" y="3694275"/>
          <a:ext cx="476250" cy="171450"/>
          <a:chOff x="5107875" y="3694275"/>
          <a:chExt cx="476250" cy="171450"/>
        </a:xfrm>
      </xdr:grpSpPr>
      <xdr:cxnSp>
        <xdr:nvCxnSpPr>
          <xdr:cNvPr id="17" name="Shape 17"/>
          <xdr:cNvCxnSpPr/>
        </xdr:nvCxnSpPr>
        <xdr:spPr>
          <a:xfrm flipH="1" rot="10800000">
            <a:off x="5107875" y="3694275"/>
            <a:ext cx="476250" cy="1714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6</xdr:col>
      <xdr:colOff>571500</xdr:colOff>
      <xdr:row>22</xdr:row>
      <xdr:rowOff>9525</xdr:rowOff>
    </xdr:from>
    <xdr:ext cx="581025" cy="228600"/>
    <xdr:grpSp>
      <xdr:nvGrpSpPr>
        <xdr:cNvPr id="2" name="Shape 2"/>
        <xdr:cNvGrpSpPr/>
      </xdr:nvGrpSpPr>
      <xdr:grpSpPr>
        <a:xfrm>
          <a:off x="5060250" y="3665700"/>
          <a:ext cx="571500" cy="228600"/>
          <a:chOff x="5060250" y="3665700"/>
          <a:chExt cx="571500" cy="228600"/>
        </a:xfrm>
      </xdr:grpSpPr>
      <xdr:cxnSp>
        <xdr:nvCxnSpPr>
          <xdr:cNvPr id="18" name="Shape 18"/>
          <xdr:cNvCxnSpPr/>
        </xdr:nvCxnSpPr>
        <xdr:spPr>
          <a:xfrm flipH="1" rot="10800000">
            <a:off x="5060250" y="3665700"/>
            <a:ext cx="571500" cy="2286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7</xdr:col>
      <xdr:colOff>28575</xdr:colOff>
      <xdr:row>24</xdr:row>
      <xdr:rowOff>0</xdr:rowOff>
    </xdr:from>
    <xdr:ext cx="542925" cy="228600"/>
    <xdr:grpSp>
      <xdr:nvGrpSpPr>
        <xdr:cNvPr id="2" name="Shape 2"/>
        <xdr:cNvGrpSpPr/>
      </xdr:nvGrpSpPr>
      <xdr:grpSpPr>
        <a:xfrm>
          <a:off x="5074538" y="3665700"/>
          <a:ext cx="542925" cy="228600"/>
          <a:chOff x="5074538" y="3665700"/>
          <a:chExt cx="542925" cy="228600"/>
        </a:xfrm>
      </xdr:grpSpPr>
      <xdr:cxnSp>
        <xdr:nvCxnSpPr>
          <xdr:cNvPr id="19" name="Shape 19"/>
          <xdr:cNvCxnSpPr/>
        </xdr:nvCxnSpPr>
        <xdr:spPr>
          <a:xfrm>
            <a:off x="5074538" y="3665700"/>
            <a:ext cx="542925" cy="2286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45</xdr:col>
      <xdr:colOff>314325</xdr:colOff>
      <xdr:row>3</xdr:row>
      <xdr:rowOff>85725</xdr:rowOff>
    </xdr:from>
    <xdr:ext cx="7496175" cy="5000625"/>
    <xdr:graphicFrame>
      <xdr:nvGraphicFramePr>
        <xdr:cNvPr id="135748067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45</xdr:col>
      <xdr:colOff>314325</xdr:colOff>
      <xdr:row>33</xdr:row>
      <xdr:rowOff>85725</xdr:rowOff>
    </xdr:from>
    <xdr:ext cx="7086600" cy="5000625"/>
    <xdr:graphicFrame>
      <xdr:nvGraphicFramePr>
        <xdr:cNvPr id="764580340"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266700</xdr:colOff>
      <xdr:row>59</xdr:row>
      <xdr:rowOff>114300</xdr:rowOff>
    </xdr:from>
    <xdr:ext cx="7086600" cy="5000625"/>
    <xdr:graphicFrame>
      <xdr:nvGraphicFramePr>
        <xdr:cNvPr id="1558749527"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314325</xdr:colOff>
      <xdr:row>89</xdr:row>
      <xdr:rowOff>95250</xdr:rowOff>
    </xdr:from>
    <xdr:ext cx="7086600" cy="5000625"/>
    <xdr:graphicFrame>
      <xdr:nvGraphicFramePr>
        <xdr:cNvPr id="26568471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45</xdr:col>
      <xdr:colOff>200025</xdr:colOff>
      <xdr:row>149</xdr:row>
      <xdr:rowOff>171450</xdr:rowOff>
    </xdr:from>
    <xdr:ext cx="7086600" cy="5000625"/>
    <xdr:graphicFrame>
      <xdr:nvGraphicFramePr>
        <xdr:cNvPr id="1497507543"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45</xdr:col>
      <xdr:colOff>200025</xdr:colOff>
      <xdr:row>178</xdr:row>
      <xdr:rowOff>171450</xdr:rowOff>
    </xdr:from>
    <xdr:ext cx="7086600" cy="5000625"/>
    <xdr:graphicFrame>
      <xdr:nvGraphicFramePr>
        <xdr:cNvPr id="1404000355"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45</xdr:col>
      <xdr:colOff>428625</xdr:colOff>
      <xdr:row>203</xdr:row>
      <xdr:rowOff>152400</xdr:rowOff>
    </xdr:from>
    <xdr:ext cx="8543925" cy="4648200"/>
    <xdr:graphicFrame>
      <xdr:nvGraphicFramePr>
        <xdr:cNvPr id="452643501"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45</xdr:col>
      <xdr:colOff>133350</xdr:colOff>
      <xdr:row>227</xdr:row>
      <xdr:rowOff>0</xdr:rowOff>
    </xdr:from>
    <xdr:ext cx="10010775" cy="6181725"/>
    <xdr:graphicFrame>
      <xdr:nvGraphicFramePr>
        <xdr:cNvPr id="1114360987"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45</xdr:col>
      <xdr:colOff>133350</xdr:colOff>
      <xdr:row>258</xdr:row>
      <xdr:rowOff>19050</xdr:rowOff>
    </xdr:from>
    <xdr:ext cx="11382375" cy="5210175"/>
    <xdr:graphicFrame>
      <xdr:nvGraphicFramePr>
        <xdr:cNvPr id="87634284"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59</xdr:col>
      <xdr:colOff>485775</xdr:colOff>
      <xdr:row>3</xdr:row>
      <xdr:rowOff>85725</xdr:rowOff>
    </xdr:from>
    <xdr:ext cx="7496175" cy="5000625"/>
    <xdr:graphicFrame>
      <xdr:nvGraphicFramePr>
        <xdr:cNvPr id="738133461"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59</xdr:col>
      <xdr:colOff>552450</xdr:colOff>
      <xdr:row>32</xdr:row>
      <xdr:rowOff>171450</xdr:rowOff>
    </xdr:from>
    <xdr:ext cx="7496175" cy="5000625"/>
    <xdr:graphicFrame>
      <xdr:nvGraphicFramePr>
        <xdr:cNvPr id="212824125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59</xdr:col>
      <xdr:colOff>552450</xdr:colOff>
      <xdr:row>59</xdr:row>
      <xdr:rowOff>76200</xdr:rowOff>
    </xdr:from>
    <xdr:ext cx="7496175" cy="5000625"/>
    <xdr:graphicFrame>
      <xdr:nvGraphicFramePr>
        <xdr:cNvPr id="1766393339"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59</xdr:col>
      <xdr:colOff>552450</xdr:colOff>
      <xdr:row>89</xdr:row>
      <xdr:rowOff>95250</xdr:rowOff>
    </xdr:from>
    <xdr:ext cx="7496175" cy="5000625"/>
    <xdr:graphicFrame>
      <xdr:nvGraphicFramePr>
        <xdr:cNvPr id="1594023432"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59</xdr:col>
      <xdr:colOff>485775</xdr:colOff>
      <xdr:row>149</xdr:row>
      <xdr:rowOff>114300</xdr:rowOff>
    </xdr:from>
    <xdr:ext cx="7496175" cy="5000625"/>
    <xdr:graphicFrame>
      <xdr:nvGraphicFramePr>
        <xdr:cNvPr id="103514146"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59</xdr:col>
      <xdr:colOff>485775</xdr:colOff>
      <xdr:row>178</xdr:row>
      <xdr:rowOff>114300</xdr:rowOff>
    </xdr:from>
    <xdr:ext cx="7496175" cy="5000625"/>
    <xdr:graphicFrame>
      <xdr:nvGraphicFramePr>
        <xdr:cNvPr id="584293008"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64</xdr:col>
      <xdr:colOff>400050</xdr:colOff>
      <xdr:row>227</xdr:row>
      <xdr:rowOff>0</xdr:rowOff>
    </xdr:from>
    <xdr:ext cx="12668250" cy="6181725"/>
    <xdr:graphicFrame>
      <xdr:nvGraphicFramePr>
        <xdr:cNvPr id="242210129"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20.29"/>
    <col customWidth="1" min="3" max="17" width="9.14"/>
    <col customWidth="1" min="18" max="18" width="22.57"/>
    <col customWidth="1" min="19" max="21" width="9.14"/>
    <col customWidth="1" min="22"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3"/>
      <c r="H2" s="3"/>
      <c r="I2" s="3"/>
      <c r="J2" s="3"/>
      <c r="K2" s="3"/>
      <c r="L2" s="3"/>
      <c r="M2" s="3"/>
      <c r="N2" s="3"/>
      <c r="O2" s="3"/>
      <c r="P2" s="3"/>
      <c r="Q2" s="3"/>
      <c r="R2" s="3"/>
      <c r="S2" s="3"/>
      <c r="T2" s="3"/>
      <c r="U2" s="3"/>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1</v>
      </c>
      <c r="C4" s="4" t="s">
        <v>2</v>
      </c>
      <c r="D4" s="4"/>
      <c r="E4" s="4"/>
      <c r="F4" s="4"/>
      <c r="G4" s="4"/>
      <c r="H4" s="4"/>
      <c r="I4" s="4"/>
      <c r="J4" s="4"/>
      <c r="K4" s="4"/>
      <c r="L4" s="4"/>
      <c r="M4" s="4"/>
      <c r="N4" s="5" t="s">
        <v>3</v>
      </c>
      <c r="O4" s="4"/>
      <c r="P4" s="4"/>
      <c r="Q4" s="4"/>
      <c r="R4" s="4"/>
      <c r="S4" s="4"/>
      <c r="T4" s="4"/>
      <c r="U4" s="4"/>
      <c r="V4" s="1"/>
      <c r="W4" s="1"/>
      <c r="X4" s="1"/>
      <c r="Y4" s="1"/>
      <c r="Z4" s="1"/>
    </row>
    <row r="5">
      <c r="A5" s="1"/>
      <c r="B5" s="1" t="s">
        <v>4</v>
      </c>
      <c r="C5" s="1" t="s">
        <v>5</v>
      </c>
      <c r="D5" s="1"/>
      <c r="E5" s="1"/>
      <c r="F5" s="1"/>
      <c r="G5" s="1"/>
      <c r="H5" s="1"/>
      <c r="I5" s="1"/>
      <c r="J5" s="1"/>
      <c r="K5" s="1"/>
      <c r="L5" s="1"/>
      <c r="M5" s="1"/>
      <c r="N5" s="6" t="s">
        <v>6</v>
      </c>
      <c r="O5" s="1"/>
      <c r="P5" s="1"/>
      <c r="Q5" s="1"/>
      <c r="R5" s="1"/>
      <c r="S5" s="1"/>
      <c r="T5" s="1"/>
      <c r="U5" s="1"/>
      <c r="V5" s="1"/>
      <c r="W5" s="1"/>
      <c r="X5" s="1"/>
      <c r="Y5" s="1"/>
      <c r="Z5" s="1"/>
    </row>
    <row r="6">
      <c r="A6" s="1"/>
      <c r="B6" s="1" t="s">
        <v>2</v>
      </c>
      <c r="C6" s="1" t="s">
        <v>7</v>
      </c>
      <c r="D6" s="1"/>
      <c r="E6" s="1"/>
      <c r="F6" s="1"/>
      <c r="G6" s="1"/>
      <c r="H6" s="1"/>
      <c r="I6" s="1"/>
      <c r="J6" s="1"/>
      <c r="K6" s="1"/>
      <c r="L6" s="1"/>
      <c r="M6" s="1"/>
      <c r="N6" s="7" t="s">
        <v>8</v>
      </c>
      <c r="O6" s="1"/>
      <c r="P6" s="1"/>
      <c r="Q6" s="1"/>
      <c r="R6" s="1"/>
      <c r="S6" s="1"/>
      <c r="T6" s="1"/>
      <c r="U6" s="1"/>
      <c r="V6" s="1"/>
      <c r="W6" s="1"/>
      <c r="X6" s="1"/>
      <c r="Y6" s="1"/>
      <c r="Z6" s="1"/>
    </row>
    <row r="7">
      <c r="A7" s="1"/>
      <c r="B7" s="1" t="s">
        <v>9</v>
      </c>
      <c r="C7" s="1" t="s">
        <v>10</v>
      </c>
      <c r="D7" s="1"/>
      <c r="E7" s="1"/>
      <c r="F7" s="1"/>
      <c r="G7" s="1"/>
      <c r="H7" s="1"/>
      <c r="I7" s="1"/>
      <c r="J7" s="1"/>
      <c r="K7" s="1"/>
      <c r="L7" s="1"/>
      <c r="M7" s="1"/>
      <c r="N7" s="8" t="s">
        <v>11</v>
      </c>
      <c r="O7" s="1"/>
      <c r="P7" s="1"/>
      <c r="Q7" s="1"/>
      <c r="R7" s="1"/>
      <c r="S7" s="1"/>
      <c r="T7" s="1"/>
      <c r="U7" s="1"/>
      <c r="V7" s="1"/>
      <c r="W7" s="1"/>
      <c r="X7" s="1"/>
      <c r="Y7" s="1"/>
      <c r="Z7" s="1"/>
    </row>
    <row r="8">
      <c r="A8" s="1"/>
      <c r="B8" s="1" t="s">
        <v>12</v>
      </c>
      <c r="C8" s="1" t="s">
        <v>13</v>
      </c>
      <c r="D8" s="1"/>
      <c r="N8" s="1" t="s">
        <v>14</v>
      </c>
      <c r="U8" s="1"/>
      <c r="V8" s="1"/>
      <c r="W8" s="1"/>
      <c r="X8" s="1"/>
      <c r="Y8" s="1"/>
      <c r="Z8" s="1"/>
    </row>
    <row r="9">
      <c r="A9" s="1"/>
      <c r="B9" s="1" t="s">
        <v>15</v>
      </c>
      <c r="C9" s="1" t="s">
        <v>16</v>
      </c>
      <c r="D9" s="1"/>
      <c r="U9" s="1"/>
      <c r="V9" s="1"/>
      <c r="W9" s="1"/>
      <c r="X9" s="1"/>
      <c r="Y9" s="1"/>
      <c r="Z9" s="1"/>
    </row>
    <row r="10">
      <c r="A10" s="1"/>
      <c r="B10" s="1" t="s">
        <v>17</v>
      </c>
      <c r="C10" s="1" t="s">
        <v>18</v>
      </c>
      <c r="D10" s="1"/>
      <c r="U10" s="1"/>
      <c r="V10" s="1"/>
      <c r="W10" s="1"/>
      <c r="X10" s="1"/>
      <c r="Y10" s="1"/>
      <c r="Z10" s="1"/>
    </row>
    <row r="11">
      <c r="A11" s="1"/>
      <c r="B11" s="1" t="s">
        <v>19</v>
      </c>
      <c r="C11" s="1" t="s">
        <v>20</v>
      </c>
      <c r="D11" s="1"/>
      <c r="U11" s="1"/>
      <c r="V11" s="1"/>
      <c r="W11" s="1"/>
      <c r="X11" s="1"/>
      <c r="Y11" s="1"/>
      <c r="Z11" s="1"/>
    </row>
    <row r="12">
      <c r="A12" s="1"/>
      <c r="B12" s="1" t="s">
        <v>21</v>
      </c>
      <c r="C12" s="1" t="s">
        <v>22</v>
      </c>
      <c r="D12" s="1"/>
      <c r="U12" s="1"/>
      <c r="V12" s="1"/>
      <c r="W12" s="1"/>
      <c r="X12" s="1"/>
      <c r="Y12" s="1"/>
      <c r="Z12" s="1"/>
    </row>
    <row r="13">
      <c r="A13" s="1"/>
      <c r="B13" s="1" t="s">
        <v>23</v>
      </c>
      <c r="C13" s="1" t="s">
        <v>24</v>
      </c>
      <c r="D13" s="1"/>
      <c r="U13" s="1"/>
      <c r="V13" s="1"/>
      <c r="W13" s="1"/>
      <c r="X13" s="1"/>
      <c r="Y13" s="1"/>
      <c r="Z13" s="1"/>
    </row>
    <row r="14">
      <c r="A14" s="1"/>
      <c r="B14" s="1" t="s">
        <v>25</v>
      </c>
      <c r="C14" s="1" t="s">
        <v>26</v>
      </c>
      <c r="E14" s="1"/>
      <c r="F14" s="1"/>
      <c r="G14" s="1"/>
      <c r="H14" s="1"/>
      <c r="I14" s="1"/>
      <c r="J14" s="1"/>
      <c r="K14" s="1"/>
      <c r="L14" s="1"/>
      <c r="M14" s="1"/>
      <c r="N14" s="4"/>
      <c r="O14" s="1"/>
      <c r="P14" s="1"/>
      <c r="Q14" s="1"/>
      <c r="R14" s="1"/>
      <c r="S14" s="1"/>
      <c r="T14" s="1"/>
      <c r="U14" s="1"/>
      <c r="V14" s="1"/>
      <c r="W14" s="1"/>
      <c r="X14" s="1"/>
      <c r="Y14" s="1"/>
      <c r="Z14" s="1"/>
    </row>
    <row r="15">
      <c r="A15" s="1"/>
      <c r="B15" s="1" t="s">
        <v>27</v>
      </c>
      <c r="C15" s="1" t="s">
        <v>28</v>
      </c>
      <c r="E15" s="1"/>
      <c r="F15" s="1"/>
      <c r="G15" s="1"/>
      <c r="H15" s="1"/>
      <c r="I15" s="1"/>
      <c r="J15" s="1"/>
      <c r="K15" s="1"/>
      <c r="L15" s="1"/>
      <c r="M15" s="1"/>
      <c r="N15" s="1"/>
      <c r="O15" s="1"/>
      <c r="P15" s="1"/>
      <c r="Q15" s="1"/>
      <c r="R15" s="1"/>
      <c r="T15" s="1"/>
      <c r="U15" s="1"/>
      <c r="V15" s="1"/>
      <c r="W15" s="1"/>
      <c r="X15" s="1"/>
      <c r="Y15" s="1"/>
      <c r="Z15" s="1"/>
    </row>
    <row r="16" ht="15.75" customHeight="1">
      <c r="A16" s="1"/>
      <c r="B16" s="1" t="s">
        <v>29</v>
      </c>
      <c r="C16" s="1" t="s">
        <v>30</v>
      </c>
      <c r="E16" s="1"/>
      <c r="F16" s="1"/>
      <c r="G16" s="4"/>
      <c r="H16" s="4"/>
      <c r="I16" s="4"/>
      <c r="J16" s="4"/>
      <c r="K16" s="4"/>
      <c r="L16" s="4"/>
      <c r="M16" s="4"/>
      <c r="N16" s="4"/>
      <c r="O16" s="4"/>
      <c r="P16" s="4"/>
      <c r="Q16" s="4"/>
      <c r="R16" s="4"/>
      <c r="S16" s="4"/>
      <c r="T16" s="4"/>
      <c r="U16" s="1"/>
      <c r="V16" s="1"/>
      <c r="W16" s="1"/>
      <c r="X16" s="1"/>
      <c r="Y16" s="1"/>
      <c r="Z16" s="1"/>
    </row>
    <row r="17" ht="15.75" customHeight="1">
      <c r="A17" s="1"/>
      <c r="B17" s="1" t="s">
        <v>31</v>
      </c>
      <c r="C17" s="1" t="s">
        <v>32</v>
      </c>
      <c r="E17" s="1"/>
      <c r="F17" s="1"/>
      <c r="G17" s="4"/>
      <c r="H17" s="4"/>
      <c r="I17" s="4"/>
      <c r="J17" s="4"/>
      <c r="K17" s="4"/>
      <c r="L17" s="4"/>
      <c r="M17" s="4"/>
      <c r="N17" s="4"/>
      <c r="O17" s="4"/>
      <c r="P17" s="4"/>
      <c r="Q17" s="4"/>
      <c r="R17" s="4"/>
      <c r="S17" s="4"/>
      <c r="T17" s="4"/>
      <c r="U17" s="1"/>
      <c r="V17" s="1"/>
      <c r="W17" s="1"/>
      <c r="X17" s="1"/>
      <c r="Y17" s="1"/>
      <c r="Z17" s="1"/>
    </row>
    <row r="18" ht="15.75" customHeight="1">
      <c r="A18" s="1"/>
      <c r="E18" s="1"/>
      <c r="F18" s="4"/>
      <c r="G18" s="4"/>
      <c r="H18" s="4"/>
      <c r="I18" s="4"/>
      <c r="J18" s="4"/>
      <c r="K18" s="4"/>
      <c r="L18" s="4"/>
      <c r="M18" s="4"/>
      <c r="N18" s="4" t="s">
        <v>2</v>
      </c>
      <c r="O18" s="4"/>
      <c r="P18" s="4"/>
      <c r="Q18" s="4" t="s">
        <v>4</v>
      </c>
      <c r="R18" s="4"/>
      <c r="S18" s="4"/>
      <c r="T18" s="4"/>
      <c r="U18" s="1"/>
      <c r="V18" s="1"/>
      <c r="W18" s="1"/>
      <c r="X18" s="1"/>
      <c r="Y18" s="1"/>
      <c r="Z18" s="1"/>
    </row>
    <row r="19" ht="15.75" customHeight="1">
      <c r="A19" s="1"/>
      <c r="E19" s="1"/>
      <c r="F19" s="4"/>
      <c r="G19" s="4"/>
      <c r="H19" s="4"/>
      <c r="I19" s="4"/>
      <c r="J19" s="4"/>
      <c r="K19" s="4"/>
      <c r="L19" s="4"/>
      <c r="M19" s="4"/>
      <c r="N19" s="4"/>
      <c r="O19" s="4"/>
      <c r="P19" s="4"/>
      <c r="Q19" s="4"/>
      <c r="R19" s="4"/>
      <c r="S19" s="4"/>
      <c r="T19" s="4"/>
      <c r="U19" s="1"/>
      <c r="V19" s="1"/>
      <c r="W19" s="1"/>
      <c r="X19" s="1"/>
      <c r="Y19" s="1"/>
      <c r="Z19" s="1"/>
    </row>
    <row r="20" ht="15.75" customHeight="1">
      <c r="A20" s="1"/>
      <c r="E20" s="1"/>
      <c r="F20" s="4"/>
      <c r="G20" s="4"/>
      <c r="H20" s="4"/>
      <c r="I20" s="4"/>
      <c r="J20" s="4"/>
      <c r="K20" s="4"/>
      <c r="L20" s="4"/>
      <c r="M20" s="4"/>
      <c r="N20" s="4"/>
      <c r="O20" s="4"/>
      <c r="P20" s="4"/>
      <c r="Q20" s="4"/>
      <c r="R20" s="4"/>
      <c r="S20" s="4"/>
      <c r="T20" s="4"/>
      <c r="U20" s="1"/>
      <c r="V20" s="1"/>
      <c r="W20" s="1"/>
      <c r="X20" s="1"/>
      <c r="Y20" s="1"/>
      <c r="Z20" s="1"/>
    </row>
    <row r="21" ht="15.75" customHeight="1">
      <c r="A21" s="1"/>
      <c r="B21" s="1"/>
      <c r="C21" s="1"/>
      <c r="E21" s="1"/>
      <c r="F21" s="4"/>
      <c r="G21" s="4"/>
      <c r="H21" s="4"/>
      <c r="I21" s="4"/>
      <c r="J21" s="4"/>
      <c r="K21" s="4"/>
      <c r="L21" s="4"/>
      <c r="M21" s="4"/>
      <c r="N21" s="4"/>
      <c r="O21" s="4"/>
      <c r="P21" s="4"/>
      <c r="Q21" s="4"/>
      <c r="R21" s="4"/>
      <c r="S21" s="4"/>
      <c r="T21" s="4"/>
      <c r="U21" s="1"/>
      <c r="V21" s="1"/>
      <c r="W21" s="1"/>
      <c r="X21" s="1"/>
      <c r="Y21" s="1"/>
      <c r="Z21" s="1"/>
    </row>
    <row r="22" ht="15.75" customHeight="1">
      <c r="A22" s="1"/>
      <c r="B22" s="1"/>
      <c r="C22" s="1"/>
      <c r="F22" s="4"/>
      <c r="G22" s="4"/>
      <c r="H22" s="4"/>
      <c r="I22" s="4" t="s">
        <v>15</v>
      </c>
      <c r="J22" s="4"/>
      <c r="K22" s="4"/>
      <c r="L22" s="4"/>
      <c r="M22" s="4"/>
      <c r="N22" s="4"/>
      <c r="O22" s="4"/>
      <c r="P22" s="4"/>
      <c r="Q22" s="4"/>
      <c r="R22" s="4"/>
      <c r="S22" s="4"/>
      <c r="T22" s="4"/>
      <c r="U22" s="4"/>
      <c r="V22" s="1"/>
      <c r="W22" s="1"/>
      <c r="X22" s="1"/>
      <c r="Y22" s="1"/>
      <c r="Z22" s="1"/>
    </row>
    <row r="23" ht="15.75" customHeight="1">
      <c r="A23" s="1"/>
      <c r="B23" s="1"/>
      <c r="C23" s="1"/>
      <c r="E23" s="1"/>
      <c r="F23" s="4"/>
      <c r="G23" s="4"/>
      <c r="H23" s="4"/>
      <c r="I23" s="4"/>
      <c r="J23" s="4"/>
      <c r="K23" s="4"/>
      <c r="L23" s="4"/>
      <c r="M23" s="4"/>
      <c r="N23" s="4"/>
      <c r="O23" s="4"/>
      <c r="P23" s="4"/>
      <c r="Q23" s="4"/>
      <c r="R23" s="4"/>
      <c r="S23" s="4"/>
      <c r="T23" s="4"/>
      <c r="U23" s="4"/>
      <c r="V23" s="1"/>
      <c r="W23" s="1"/>
      <c r="X23" s="1"/>
      <c r="Y23" s="1"/>
      <c r="Z23" s="1"/>
    </row>
    <row r="24" ht="15.75" customHeight="1">
      <c r="A24" s="1"/>
      <c r="B24" s="1"/>
      <c r="F24" s="4"/>
      <c r="G24" s="4" t="s">
        <v>27</v>
      </c>
      <c r="H24" s="4"/>
      <c r="I24" s="4"/>
      <c r="J24" s="4"/>
      <c r="K24" s="4"/>
      <c r="L24" s="4"/>
      <c r="M24" s="4"/>
      <c r="N24" s="4"/>
      <c r="O24" s="4"/>
      <c r="P24" s="4"/>
      <c r="Q24" s="4"/>
      <c r="R24" s="4"/>
      <c r="S24" s="4"/>
      <c r="T24" s="4"/>
      <c r="U24" s="4"/>
      <c r="V24" s="1"/>
      <c r="W24" s="1"/>
      <c r="X24" s="1"/>
      <c r="Y24" s="1"/>
      <c r="Z24" s="1"/>
    </row>
    <row r="25" ht="15.75" customHeight="1">
      <c r="A25" s="1"/>
      <c r="B25" s="4" t="s">
        <v>19</v>
      </c>
      <c r="E25" s="4"/>
      <c r="F25" s="4"/>
      <c r="H25" s="4"/>
      <c r="I25" s="4"/>
      <c r="J25" s="4"/>
      <c r="K25" s="4"/>
      <c r="L25" s="4"/>
      <c r="M25" s="4"/>
      <c r="N25" s="4"/>
      <c r="O25" s="4"/>
      <c r="P25" s="4"/>
      <c r="Q25" s="4"/>
      <c r="R25" s="4"/>
      <c r="S25" s="4"/>
      <c r="T25" s="4"/>
      <c r="U25" s="4"/>
      <c r="V25" s="1"/>
      <c r="W25" s="1"/>
      <c r="X25" s="1"/>
      <c r="Y25" s="1"/>
      <c r="Z25" s="1"/>
    </row>
    <row r="26" ht="15.75" customHeight="1">
      <c r="A26" s="1"/>
      <c r="C26" s="1"/>
      <c r="E26" s="4" t="s">
        <v>23</v>
      </c>
      <c r="H26" s="4"/>
      <c r="I26" s="4" t="s">
        <v>25</v>
      </c>
      <c r="J26" s="4"/>
      <c r="K26" s="4"/>
      <c r="L26" s="4" t="s">
        <v>12</v>
      </c>
      <c r="M26" s="4"/>
      <c r="N26" s="4"/>
      <c r="O26" s="4" t="s">
        <v>31</v>
      </c>
      <c r="P26" s="4"/>
      <c r="Q26" s="4"/>
      <c r="R26" s="4" t="s">
        <v>29</v>
      </c>
      <c r="T26" s="4"/>
      <c r="U26" s="4"/>
      <c r="V26" s="1"/>
      <c r="W26" s="1"/>
      <c r="X26" s="1"/>
      <c r="Y26" s="1"/>
      <c r="Z26" s="1"/>
    </row>
    <row r="27" ht="15.75" customHeight="1">
      <c r="A27" s="1"/>
      <c r="B27" s="4" t="s">
        <v>21</v>
      </c>
      <c r="E27" s="4"/>
      <c r="F27" s="4"/>
      <c r="G27" s="4"/>
      <c r="H27" s="4"/>
      <c r="I27" s="4"/>
      <c r="J27" s="4"/>
      <c r="K27" s="4"/>
      <c r="L27" s="4"/>
      <c r="M27" s="4"/>
      <c r="N27" s="4"/>
      <c r="O27" s="4"/>
      <c r="P27" s="4"/>
      <c r="Q27" s="4"/>
      <c r="R27" s="4"/>
      <c r="S27" s="4"/>
      <c r="T27" s="4"/>
      <c r="U27" s="4"/>
      <c r="V27" s="1"/>
      <c r="W27" s="1"/>
      <c r="X27" s="1"/>
      <c r="Y27" s="1"/>
      <c r="Z27" s="1"/>
    </row>
    <row r="28" ht="15.75" customHeight="1">
      <c r="A28" s="1"/>
      <c r="B28" s="1"/>
      <c r="C28" s="1"/>
      <c r="E28" s="4"/>
      <c r="F28" s="4"/>
      <c r="G28" s="4"/>
      <c r="H28" s="4"/>
      <c r="I28" s="4"/>
      <c r="J28" s="4"/>
      <c r="K28" s="4"/>
      <c r="L28" s="4"/>
      <c r="M28" s="4"/>
      <c r="N28" s="4"/>
      <c r="O28" s="4"/>
      <c r="P28" s="4"/>
      <c r="Q28" s="4"/>
      <c r="R28" s="4"/>
      <c r="S28" s="4"/>
      <c r="T28" s="4"/>
      <c r="U28" s="4"/>
      <c r="V28" s="1"/>
      <c r="W28" s="1"/>
      <c r="X28" s="1"/>
      <c r="Y28" s="1"/>
      <c r="Z28" s="1"/>
    </row>
    <row r="29" ht="15.75" customHeight="1">
      <c r="A29" s="1"/>
      <c r="B29" s="1"/>
      <c r="C29" s="1"/>
      <c r="E29" s="4"/>
      <c r="F29" s="4"/>
      <c r="G29" s="4"/>
      <c r="H29" s="4"/>
      <c r="I29" s="4"/>
      <c r="J29" s="4"/>
      <c r="K29" s="4"/>
      <c r="L29" s="4"/>
      <c r="M29" s="4"/>
      <c r="N29" s="4"/>
      <c r="O29" s="4"/>
      <c r="P29" s="4"/>
      <c r="Q29" s="4"/>
      <c r="R29" s="4"/>
      <c r="S29" s="4"/>
      <c r="T29" s="4"/>
      <c r="U29" s="4"/>
      <c r="V29" s="1"/>
      <c r="W29" s="1"/>
      <c r="X29" s="1"/>
      <c r="Y29" s="1"/>
      <c r="Z29" s="1"/>
    </row>
    <row r="30" ht="15.75" customHeight="1">
      <c r="A30" s="1"/>
      <c r="B30" s="1"/>
      <c r="C30" s="1"/>
      <c r="E30" s="4"/>
      <c r="G30" s="4"/>
      <c r="H30" s="4"/>
      <c r="I30" s="4" t="s">
        <v>17</v>
      </c>
      <c r="J30" s="4"/>
      <c r="K30" s="4"/>
      <c r="L30" s="4"/>
      <c r="M30" s="4"/>
      <c r="N30" s="4"/>
      <c r="O30" s="4"/>
      <c r="P30" s="4"/>
      <c r="Q30" s="4"/>
      <c r="R30" s="4"/>
      <c r="S30" s="4"/>
      <c r="T30" s="4"/>
      <c r="U30" s="4"/>
      <c r="V30" s="1"/>
      <c r="W30" s="1"/>
      <c r="X30" s="1"/>
      <c r="Y30" s="1"/>
      <c r="Z30" s="1"/>
    </row>
    <row r="31" ht="15.75" customHeight="1">
      <c r="A31" s="1"/>
      <c r="B31" s="1"/>
      <c r="C31" s="1"/>
      <c r="E31" s="4"/>
      <c r="F31" s="4"/>
      <c r="G31" s="4"/>
      <c r="H31" s="4"/>
      <c r="I31" s="4"/>
      <c r="J31" s="4"/>
      <c r="K31" s="4"/>
      <c r="L31" s="4"/>
      <c r="M31" s="4"/>
      <c r="N31" s="4"/>
      <c r="O31" s="4"/>
      <c r="P31" s="4"/>
      <c r="Q31" s="4"/>
      <c r="R31" s="4"/>
      <c r="S31" s="4"/>
      <c r="T31" s="4"/>
      <c r="U31" s="4"/>
      <c r="V31" s="1"/>
      <c r="W31" s="1"/>
      <c r="X31" s="1"/>
      <c r="Y31" s="1"/>
      <c r="Z31" s="1"/>
    </row>
    <row r="32" ht="15.75" customHeight="1">
      <c r="A32" s="1"/>
      <c r="B32" s="1"/>
      <c r="C32" s="1"/>
      <c r="E32" s="4"/>
      <c r="F32" s="1"/>
      <c r="G32" s="1"/>
      <c r="H32" s="1"/>
      <c r="I32" s="1"/>
      <c r="J32" s="1"/>
      <c r="K32" s="1"/>
      <c r="L32" s="1"/>
      <c r="M32" s="1"/>
      <c r="N32" s="1"/>
      <c r="O32" s="1"/>
      <c r="P32" s="1"/>
      <c r="Q32" s="1"/>
      <c r="R32" s="1"/>
      <c r="S32" s="1"/>
      <c r="T32" s="1"/>
      <c r="U32" s="4"/>
      <c r="V32" s="1"/>
      <c r="W32" s="1"/>
      <c r="X32" s="1"/>
      <c r="Y32" s="1"/>
      <c r="Z32" s="1"/>
    </row>
    <row r="33" ht="15.75" customHeight="1">
      <c r="A33" s="1"/>
      <c r="B33" s="1"/>
      <c r="C33" s="1"/>
      <c r="E33" s="4"/>
      <c r="G33" s="1"/>
      <c r="H33" s="1"/>
      <c r="I33" s="1"/>
      <c r="J33" s="1"/>
      <c r="K33" s="1"/>
      <c r="L33" s="1"/>
      <c r="M33" s="4"/>
      <c r="N33" s="1"/>
      <c r="O33" s="1"/>
      <c r="P33" s="1"/>
      <c r="Q33" s="1"/>
      <c r="R33" s="4"/>
      <c r="S33" s="1"/>
      <c r="T33" s="1"/>
      <c r="U33" s="4"/>
      <c r="V33" s="1"/>
      <c r="W33" s="1"/>
      <c r="X33" s="1"/>
      <c r="Y33" s="1"/>
      <c r="Z33" s="1"/>
    </row>
    <row r="34">
      <c r="A34" s="1"/>
      <c r="B34" s="2" t="s">
        <v>33</v>
      </c>
      <c r="C34" s="3"/>
      <c r="D34" s="3"/>
      <c r="E34" s="3"/>
      <c r="F34" s="3"/>
      <c r="G34" s="3"/>
      <c r="H34" s="3"/>
      <c r="I34" s="3"/>
      <c r="J34" s="3"/>
      <c r="K34" s="3"/>
      <c r="L34" s="3"/>
      <c r="M34" s="3"/>
      <c r="N34" s="3"/>
      <c r="O34" s="3"/>
      <c r="P34" s="3"/>
      <c r="Q34" s="3"/>
      <c r="R34" s="3"/>
      <c r="S34" s="3"/>
      <c r="T34" s="3"/>
      <c r="U34" s="3"/>
      <c r="V34" s="1"/>
      <c r="W34" s="1"/>
      <c r="X34" s="1"/>
      <c r="Y34" s="1"/>
      <c r="Z34" s="1"/>
    </row>
    <row r="35" ht="15.75" customHeight="1">
      <c r="A35" s="1"/>
      <c r="B35" s="1"/>
      <c r="C35" s="1"/>
      <c r="D35" s="4"/>
      <c r="E35" s="4"/>
      <c r="F35" s="1"/>
      <c r="G35" s="1"/>
      <c r="H35" s="1"/>
      <c r="I35" s="1"/>
      <c r="J35" s="1"/>
      <c r="K35" s="1"/>
      <c r="L35" s="1"/>
      <c r="M35" s="1"/>
      <c r="N35" s="1"/>
      <c r="O35" s="1"/>
      <c r="P35" s="1"/>
      <c r="Q35" s="1"/>
      <c r="R35" s="1"/>
      <c r="S35" s="1"/>
      <c r="T35" s="1"/>
      <c r="U35" s="4"/>
      <c r="V35" s="1"/>
      <c r="W35" s="1"/>
      <c r="X35" s="1"/>
      <c r="Y35" s="1"/>
      <c r="Z35" s="1"/>
    </row>
    <row r="36" ht="15.75" customHeight="1">
      <c r="A36" s="1"/>
      <c r="B36" s="4" t="s">
        <v>1</v>
      </c>
      <c r="C36" s="4" t="s">
        <v>34</v>
      </c>
      <c r="D36" s="4"/>
      <c r="E36" s="1"/>
      <c r="F36" s="1"/>
      <c r="G36" s="1"/>
      <c r="H36" s="1"/>
      <c r="I36" s="1"/>
      <c r="J36" s="1"/>
      <c r="K36" s="1"/>
      <c r="L36" s="1"/>
      <c r="M36" s="1"/>
      <c r="N36" s="1"/>
      <c r="O36" s="1"/>
      <c r="P36" s="1"/>
      <c r="Q36" s="1"/>
      <c r="R36" s="1"/>
      <c r="S36" s="1"/>
      <c r="T36" s="4"/>
      <c r="U36" s="1"/>
      <c r="V36" s="1"/>
      <c r="W36" s="1"/>
      <c r="X36" s="1"/>
      <c r="Y36" s="1"/>
      <c r="Z36" s="1"/>
    </row>
    <row r="37">
      <c r="A37" s="1"/>
      <c r="B37" s="9" t="s">
        <v>4</v>
      </c>
      <c r="C37" s="10" t="s">
        <v>35</v>
      </c>
    </row>
    <row r="38">
      <c r="A38" s="1"/>
      <c r="B38" s="9" t="s">
        <v>2</v>
      </c>
      <c r="C38" s="10" t="s">
        <v>36</v>
      </c>
    </row>
    <row r="39">
      <c r="A39" s="1"/>
      <c r="B39" s="9" t="s">
        <v>9</v>
      </c>
      <c r="C39" s="10" t="s">
        <v>37</v>
      </c>
    </row>
    <row r="40">
      <c r="A40" s="1"/>
      <c r="B40" s="9" t="s">
        <v>12</v>
      </c>
      <c r="C40" s="10" t="s">
        <v>38</v>
      </c>
    </row>
    <row r="41">
      <c r="A41" s="1"/>
      <c r="B41" s="9" t="s">
        <v>15</v>
      </c>
      <c r="C41" s="10" t="s">
        <v>39</v>
      </c>
    </row>
    <row r="42">
      <c r="A42" s="1"/>
      <c r="B42" s="9" t="s">
        <v>17</v>
      </c>
      <c r="C42" s="10" t="s">
        <v>40</v>
      </c>
    </row>
    <row r="43">
      <c r="B43" s="1" t="s">
        <v>19</v>
      </c>
      <c r="C43" s="10" t="s">
        <v>41</v>
      </c>
    </row>
    <row r="44">
      <c r="A44" s="1"/>
      <c r="B44" s="1" t="s">
        <v>21</v>
      </c>
      <c r="C44" s="10" t="s">
        <v>42</v>
      </c>
    </row>
    <row r="45">
      <c r="A45" s="1"/>
      <c r="B45" s="1" t="s">
        <v>23</v>
      </c>
      <c r="C45" s="10" t="s">
        <v>43</v>
      </c>
    </row>
    <row r="46">
      <c r="A46" s="1"/>
      <c r="B46" s="9" t="s">
        <v>25</v>
      </c>
      <c r="C46" s="10" t="s">
        <v>44</v>
      </c>
    </row>
    <row r="47">
      <c r="A47" s="1"/>
      <c r="B47" s="9" t="s">
        <v>27</v>
      </c>
      <c r="C47" s="10" t="s">
        <v>45</v>
      </c>
    </row>
    <row r="48">
      <c r="A48" s="1"/>
      <c r="B48" s="9" t="s">
        <v>29</v>
      </c>
      <c r="C48" s="10" t="s">
        <v>46</v>
      </c>
    </row>
    <row r="49">
      <c r="A49" s="1"/>
      <c r="B49" s="9" t="s">
        <v>31</v>
      </c>
      <c r="C49" s="10" t="s">
        <v>46</v>
      </c>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f>1740/3</f>
        <v>580</v>
      </c>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3">
    <mergeCell ref="C44:Z44"/>
    <mergeCell ref="C45:Z45"/>
    <mergeCell ref="C46:Z46"/>
    <mergeCell ref="C47:Z47"/>
    <mergeCell ref="C48:Z48"/>
    <mergeCell ref="C49:Z49"/>
    <mergeCell ref="C37:Z37"/>
    <mergeCell ref="C38:Z38"/>
    <mergeCell ref="C39:Z39"/>
    <mergeCell ref="C40:Z40"/>
    <mergeCell ref="C41:Z41"/>
    <mergeCell ref="C42:Z42"/>
    <mergeCell ref="C43:Z4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Row="1"/>
  <cols>
    <col customWidth="1" min="1" max="2" width="26.43"/>
    <col customWidth="1" min="3" max="3" width="2.71"/>
    <col customWidth="1" min="4" max="4" width="23.0"/>
    <col customWidth="1" min="5" max="13" width="18.57"/>
    <col customWidth="1" min="14" max="14" width="12.71"/>
    <col customWidth="1" min="15" max="15" width="20.43"/>
    <col customWidth="1" min="16" max="17" width="12.71"/>
    <col customWidth="1" min="29" max="29" width="11.57"/>
    <col customWidth="1" min="30" max="30" width="27.14"/>
    <col customWidth="1" min="31" max="31" width="19.57"/>
    <col customWidth="1" min="32" max="32" width="14.0"/>
    <col customWidth="1" min="33" max="33" width="13.29"/>
    <col customWidth="1" min="35" max="35" width="13.29"/>
    <col customWidth="1" min="36" max="37" width="25.14"/>
    <col customWidth="1" min="38" max="43" width="11.43"/>
    <col customWidth="1" min="44" max="122" width="8.71"/>
  </cols>
  <sheetData>
    <row r="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2"/>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row>
    <row r="2">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2"/>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row>
    <row r="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2"/>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row>
    <row r="4">
      <c r="A4" s="11"/>
      <c r="B4" s="13" t="s">
        <v>47</v>
      </c>
      <c r="C4" s="11"/>
      <c r="D4" s="11"/>
      <c r="E4" s="14">
        <v>44562.0</v>
      </c>
      <c r="F4" s="14">
        <v>44593.0</v>
      </c>
      <c r="G4" s="14">
        <v>44621.0</v>
      </c>
      <c r="H4" s="14">
        <v>44652.0</v>
      </c>
      <c r="I4" s="14">
        <v>44682.0</v>
      </c>
      <c r="J4" s="14">
        <v>44713.0</v>
      </c>
      <c r="K4" s="14">
        <v>44743.0</v>
      </c>
      <c r="L4" s="14">
        <v>44774.0</v>
      </c>
      <c r="M4" s="14">
        <v>44805.0</v>
      </c>
      <c r="N4" s="14">
        <v>44835.0</v>
      </c>
      <c r="O4" s="14">
        <v>44866.0</v>
      </c>
      <c r="P4" s="14">
        <v>44896.0</v>
      </c>
      <c r="Q4" s="15">
        <v>44927.0</v>
      </c>
      <c r="R4" s="15">
        <v>44958.0</v>
      </c>
      <c r="S4" s="15">
        <v>44986.0</v>
      </c>
      <c r="T4" s="15">
        <v>45017.0</v>
      </c>
      <c r="U4" s="15">
        <v>45047.0</v>
      </c>
      <c r="V4" s="15">
        <v>45078.0</v>
      </c>
      <c r="W4" s="15">
        <v>45108.0</v>
      </c>
      <c r="X4" s="15">
        <v>45139.0</v>
      </c>
      <c r="Y4" s="15">
        <v>45170.0</v>
      </c>
      <c r="Z4" s="15">
        <v>45200.0</v>
      </c>
      <c r="AA4" s="15">
        <v>45231.0</v>
      </c>
      <c r="AB4" s="15">
        <v>45261.0</v>
      </c>
      <c r="AC4" s="11"/>
      <c r="AD4" s="11"/>
      <c r="AE4" s="16" t="s">
        <v>48</v>
      </c>
      <c r="AF4" s="17" t="s">
        <v>49</v>
      </c>
      <c r="AG4" s="18" t="s">
        <v>50</v>
      </c>
      <c r="AH4" s="16" t="s">
        <v>51</v>
      </c>
      <c r="AI4" s="11"/>
      <c r="AJ4" s="11"/>
      <c r="AK4" s="11"/>
      <c r="AL4" s="16" t="s">
        <v>52</v>
      </c>
      <c r="AM4" s="16" t="s">
        <v>53</v>
      </c>
      <c r="AN4" s="16" t="s">
        <v>48</v>
      </c>
      <c r="AO4" s="17" t="s">
        <v>49</v>
      </c>
      <c r="AP4" s="17" t="s">
        <v>54</v>
      </c>
      <c r="AQ4" s="17" t="s">
        <v>55</v>
      </c>
      <c r="AR4" s="11"/>
      <c r="AS4" s="11"/>
      <c r="AT4" s="11"/>
      <c r="AU4" s="11"/>
      <c r="AV4" s="11"/>
      <c r="AW4" s="11"/>
      <c r="AX4" s="11"/>
      <c r="AY4" s="11"/>
      <c r="AZ4" s="11"/>
      <c r="BA4" s="11"/>
      <c r="BB4" s="11"/>
      <c r="BC4" s="11"/>
      <c r="BD4" s="11"/>
      <c r="BE4" s="11"/>
      <c r="BF4" s="11"/>
      <c r="BG4" s="11"/>
      <c r="BH4" s="11"/>
      <c r="BI4" s="11"/>
      <c r="BJ4" s="11"/>
      <c r="BK4" s="11"/>
    </row>
    <row r="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2"/>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row>
    <row r="6">
      <c r="A6" s="11"/>
      <c r="B6" s="11"/>
      <c r="C6" s="11"/>
      <c r="D6" s="11" t="s">
        <v>56</v>
      </c>
      <c r="E6" s="12">
        <f>Revenue!O28</f>
        <v>186157</v>
      </c>
      <c r="F6" s="12">
        <f>Revenue!P28</f>
        <v>153018</v>
      </c>
      <c r="G6" s="12">
        <f>Revenue!Q28</f>
        <v>178634</v>
      </c>
      <c r="H6" s="12">
        <f>Revenue!R28</f>
        <v>157636</v>
      </c>
      <c r="I6" s="12">
        <f>Revenue!S28</f>
        <v>223831</v>
      </c>
      <c r="J6" s="12">
        <f>Revenue!T28</f>
        <v>145513</v>
      </c>
      <c r="K6" s="12">
        <f>Revenue!U28</f>
        <v>216724</v>
      </c>
      <c r="L6" s="12">
        <f>Revenue!V28</f>
        <v>221974</v>
      </c>
      <c r="M6" s="12">
        <f>Revenue!W28</f>
        <v>181486</v>
      </c>
      <c r="N6" s="12">
        <f>Revenue!X28</f>
        <v>141717</v>
      </c>
      <c r="O6" s="12">
        <f>Revenue!Y28</f>
        <v>232415</v>
      </c>
      <c r="P6" s="12">
        <f>Revenue!Z28</f>
        <v>339922.1377</v>
      </c>
      <c r="Q6" s="12">
        <f>Revenue!AA28</f>
        <v>396872.1732</v>
      </c>
      <c r="R6" s="12">
        <f>Revenue!AB28</f>
        <v>461134.7543</v>
      </c>
      <c r="S6" s="12">
        <f>Revenue!AC28</f>
        <v>527311.7682</v>
      </c>
      <c r="T6" s="12">
        <f>Revenue!AD28</f>
        <v>594180.7295</v>
      </c>
      <c r="U6" s="12">
        <f>Revenue!AE28</f>
        <v>662951.6649</v>
      </c>
      <c r="V6" s="12">
        <f>Revenue!AF28</f>
        <v>732581.0818</v>
      </c>
      <c r="W6" s="12">
        <f>Revenue!AG28</f>
        <v>801173.4165</v>
      </c>
      <c r="X6" s="12">
        <f>Revenue!AH28</f>
        <v>869092.604</v>
      </c>
      <c r="Y6" s="12">
        <f>Revenue!AI28</f>
        <v>938883.3464</v>
      </c>
      <c r="Z6" s="12">
        <f>Revenue!AJ28</f>
        <v>1006073.986</v>
      </c>
      <c r="AA6" s="12">
        <f>Revenue!AK28</f>
        <v>1074685.166</v>
      </c>
      <c r="AB6" s="12">
        <f>Revenue!AL28</f>
        <v>1145641.814</v>
      </c>
      <c r="AC6" s="12"/>
      <c r="AD6" s="12" t="str">
        <f t="shared" ref="AD6:AD7" si="1">D6</f>
        <v>Recurring</v>
      </c>
      <c r="AE6" s="12">
        <f t="shared" ref="AE6:AE9" si="2">SUM(M6:P6)</f>
        <v>895540.1377</v>
      </c>
      <c r="AF6" s="12">
        <f t="shared" ref="AF6:AF9" si="3">SUM(Q6:T6)</f>
        <v>1979499.425</v>
      </c>
      <c r="AG6" s="12">
        <f t="shared" ref="AG6:AG10" si="4">AF6-AE6</f>
        <v>1083959.288</v>
      </c>
      <c r="AH6" s="19">
        <f t="shared" ref="AH6:AH10" si="5">AF6/AE6-1</f>
        <v>1.210397214</v>
      </c>
      <c r="AI6" s="11"/>
      <c r="AJ6" s="12"/>
      <c r="AK6" s="12" t="s">
        <v>56</v>
      </c>
      <c r="AL6" s="12">
        <f t="shared" ref="AL6:AL11" si="6">SUM(E6:H6)</f>
        <v>675445</v>
      </c>
      <c r="AM6" s="12">
        <f t="shared" ref="AM6:AM9" si="7">SUM(I6:L6)</f>
        <v>808042</v>
      </c>
      <c r="AN6" s="12">
        <f t="shared" ref="AN6:AN9" si="8">SUM(M6:P6)</f>
        <v>895540.1377</v>
      </c>
      <c r="AO6" s="12">
        <f t="shared" ref="AO6:AO9" si="9">SUM(Q6:T6)</f>
        <v>1979499.425</v>
      </c>
      <c r="AP6" s="12">
        <f t="shared" ref="AP6:AP9" si="10">SUM(U6:X6)</f>
        <v>3065798.767</v>
      </c>
      <c r="AQ6" s="12">
        <f t="shared" ref="AQ6:AQ9" si="11">SUM(Y6:AB6)</f>
        <v>4165284.312</v>
      </c>
      <c r="AR6" s="11"/>
      <c r="AS6" s="11"/>
      <c r="AT6" s="11"/>
      <c r="AU6" s="11"/>
      <c r="AV6" s="11"/>
      <c r="AW6" s="11"/>
      <c r="AX6" s="11"/>
      <c r="AY6" s="11"/>
      <c r="AZ6" s="11"/>
      <c r="BA6" s="11"/>
      <c r="BB6" s="11"/>
      <c r="BC6" s="11"/>
      <c r="BD6" s="11"/>
      <c r="BE6" s="11"/>
      <c r="BF6" s="11"/>
      <c r="BG6" s="11"/>
      <c r="BH6" s="11"/>
      <c r="BI6" s="11"/>
      <c r="BJ6" s="11"/>
      <c r="BK6" s="11"/>
    </row>
    <row r="7">
      <c r="A7" s="11"/>
      <c r="B7" s="11"/>
      <c r="C7" s="11"/>
      <c r="D7" s="11" t="s">
        <v>57</v>
      </c>
      <c r="E7" s="20">
        <f>Revenue!O39</f>
        <v>25102</v>
      </c>
      <c r="F7" s="20">
        <f>Revenue!P39</f>
        <v>31006</v>
      </c>
      <c r="G7" s="20">
        <f>Revenue!Q39</f>
        <v>33227</v>
      </c>
      <c r="H7" s="20">
        <f>Revenue!R39</f>
        <v>36474</v>
      </c>
      <c r="I7" s="20">
        <f>Revenue!S39</f>
        <v>38396</v>
      </c>
      <c r="J7" s="20">
        <f>Revenue!T39</f>
        <v>27096</v>
      </c>
      <c r="K7" s="20">
        <f>Revenue!U39</f>
        <v>39103</v>
      </c>
      <c r="L7" s="20">
        <f>Revenue!V39</f>
        <v>37913</v>
      </c>
      <c r="M7" s="20">
        <f>Revenue!W39</f>
        <v>37351</v>
      </c>
      <c r="N7" s="20">
        <f>Revenue!X39</f>
        <v>31124</v>
      </c>
      <c r="O7" s="20">
        <f>Revenue!Y39</f>
        <v>35733</v>
      </c>
      <c r="P7" s="20">
        <f>Revenue!Z39</f>
        <v>56922.45</v>
      </c>
      <c r="Q7" s="20">
        <f>Revenue!AA39</f>
        <v>71650.8675</v>
      </c>
      <c r="R7" s="20">
        <f>Revenue!AB39</f>
        <v>80171.38013</v>
      </c>
      <c r="S7" s="20">
        <f>Revenue!AC39</f>
        <v>81449.45702</v>
      </c>
      <c r="T7" s="20">
        <f>Revenue!AD39</f>
        <v>81641.16855</v>
      </c>
      <c r="U7" s="20">
        <f>Revenue!AE39</f>
        <v>81669.92528</v>
      </c>
      <c r="V7" s="20">
        <f>Revenue!AF39</f>
        <v>83062.71379</v>
      </c>
      <c r="W7" s="20">
        <f>Revenue!AG39</f>
        <v>83271.63207</v>
      </c>
      <c r="X7" s="20">
        <f>Revenue!AH39</f>
        <v>83302.96981</v>
      </c>
      <c r="Y7" s="20">
        <f>Revenue!AI39</f>
        <v>83307.67047</v>
      </c>
      <c r="Z7" s="20">
        <f>Revenue!AJ39</f>
        <v>80475.88657</v>
      </c>
      <c r="AA7" s="20">
        <f>Revenue!AK39</f>
        <v>80051.11899</v>
      </c>
      <c r="AB7" s="20">
        <f>Revenue!AL39</f>
        <v>79987.40385</v>
      </c>
      <c r="AC7" s="11"/>
      <c r="AD7" s="11" t="str">
        <f t="shared" si="1"/>
        <v>Project</v>
      </c>
      <c r="AE7" s="20">
        <f t="shared" si="2"/>
        <v>161130.45</v>
      </c>
      <c r="AF7" s="21">
        <f t="shared" si="3"/>
        <v>314912.8732</v>
      </c>
      <c r="AG7" s="21">
        <f t="shared" si="4"/>
        <v>153782.4232</v>
      </c>
      <c r="AH7" s="19">
        <f t="shared" si="5"/>
        <v>0.9543970317</v>
      </c>
      <c r="AI7" s="11"/>
      <c r="AJ7" s="11"/>
      <c r="AK7" s="11" t="s">
        <v>57</v>
      </c>
      <c r="AL7" s="20">
        <f t="shared" si="6"/>
        <v>125809</v>
      </c>
      <c r="AM7" s="21">
        <f t="shared" si="7"/>
        <v>142508</v>
      </c>
      <c r="AN7" s="20">
        <f t="shared" si="8"/>
        <v>161130.45</v>
      </c>
      <c r="AO7" s="20">
        <f t="shared" si="9"/>
        <v>314912.8732</v>
      </c>
      <c r="AP7" s="21">
        <f t="shared" si="10"/>
        <v>331307.241</v>
      </c>
      <c r="AQ7" s="20">
        <f t="shared" si="11"/>
        <v>323822.0799</v>
      </c>
      <c r="AR7" s="11"/>
      <c r="AS7" s="11"/>
      <c r="AT7" s="11"/>
      <c r="AU7" s="11"/>
      <c r="AV7" s="11"/>
      <c r="AW7" s="11"/>
      <c r="AX7" s="11"/>
      <c r="AY7" s="11"/>
      <c r="AZ7" s="11"/>
      <c r="BA7" s="11"/>
      <c r="BB7" s="11"/>
      <c r="BC7" s="11"/>
      <c r="BD7" s="11"/>
      <c r="BE7" s="11"/>
      <c r="BF7" s="11"/>
      <c r="BG7" s="11"/>
      <c r="BH7" s="11"/>
      <c r="BI7" s="11"/>
      <c r="BJ7" s="11"/>
      <c r="BK7" s="11"/>
    </row>
    <row r="8">
      <c r="A8" s="11"/>
      <c r="B8" s="11"/>
      <c r="C8" s="11"/>
      <c r="D8" s="11" t="s">
        <v>58</v>
      </c>
      <c r="E8" s="20">
        <f>Revenue!O34</f>
        <v>13909</v>
      </c>
      <c r="F8" s="20">
        <f>Revenue!P34</f>
        <v>18960</v>
      </c>
      <c r="G8" s="20">
        <f>Revenue!Q34</f>
        <v>18276</v>
      </c>
      <c r="H8" s="20">
        <f>Revenue!R34</f>
        <v>21600</v>
      </c>
      <c r="I8" s="20">
        <f>Revenue!S34</f>
        <v>13658</v>
      </c>
      <c r="J8" s="20">
        <f>Revenue!T34</f>
        <v>23740</v>
      </c>
      <c r="K8" s="20">
        <f>Revenue!U34</f>
        <v>19142</v>
      </c>
      <c r="L8" s="20">
        <f>Revenue!V34</f>
        <v>10213</v>
      </c>
      <c r="M8" s="20">
        <f>Revenue!W34</f>
        <v>22812</v>
      </c>
      <c r="N8" s="20">
        <f>Revenue!X34</f>
        <v>22540</v>
      </c>
      <c r="O8" s="20">
        <f>Revenue!Y34</f>
        <v>22863</v>
      </c>
      <c r="P8" s="20">
        <f>Revenue!Z34</f>
        <v>27193.77101</v>
      </c>
      <c r="Q8" s="20">
        <f>Revenue!AA34</f>
        <v>35718.49559</v>
      </c>
      <c r="R8" s="20">
        <f>Revenue!AB34</f>
        <v>41502.12788</v>
      </c>
      <c r="S8" s="20">
        <f>Revenue!AC34</f>
        <v>47458.05914</v>
      </c>
      <c r="T8" s="20">
        <f>Revenue!AD34</f>
        <v>53476.26565</v>
      </c>
      <c r="U8" s="20">
        <f>Revenue!AE34</f>
        <v>66295.16649</v>
      </c>
      <c r="V8" s="20">
        <f>Revenue!AF34</f>
        <v>73258.10818</v>
      </c>
      <c r="W8" s="20">
        <f>Revenue!AG34</f>
        <v>80117.34165</v>
      </c>
      <c r="X8" s="20">
        <f>Revenue!AH34</f>
        <v>86909.2604</v>
      </c>
      <c r="Y8" s="20">
        <f>Revenue!AI34</f>
        <v>93888.33464</v>
      </c>
      <c r="Z8" s="20">
        <f>Revenue!AJ34</f>
        <v>100607.3986</v>
      </c>
      <c r="AA8" s="20">
        <f>Revenue!AK34</f>
        <v>107468.5166</v>
      </c>
      <c r="AB8" s="20">
        <f>Revenue!AL34</f>
        <v>114564.1814</v>
      </c>
      <c r="AC8" s="11"/>
      <c r="AD8" s="11" t="s">
        <v>58</v>
      </c>
      <c r="AE8" s="20">
        <f t="shared" si="2"/>
        <v>95408.77101</v>
      </c>
      <c r="AF8" s="21">
        <f t="shared" si="3"/>
        <v>178154.9483</v>
      </c>
      <c r="AG8" s="21">
        <f t="shared" si="4"/>
        <v>82746.17725</v>
      </c>
      <c r="AH8" s="19">
        <f t="shared" si="5"/>
        <v>0.8672806114</v>
      </c>
      <c r="AI8" s="11"/>
      <c r="AJ8" s="11"/>
      <c r="AK8" s="11" t="s">
        <v>58</v>
      </c>
      <c r="AL8" s="20">
        <f t="shared" si="6"/>
        <v>72745</v>
      </c>
      <c r="AM8" s="21">
        <f t="shared" si="7"/>
        <v>66753</v>
      </c>
      <c r="AN8" s="20">
        <f t="shared" si="8"/>
        <v>95408.77101</v>
      </c>
      <c r="AO8" s="20">
        <f t="shared" si="9"/>
        <v>178154.9483</v>
      </c>
      <c r="AP8" s="21">
        <f t="shared" si="10"/>
        <v>306579.8767</v>
      </c>
      <c r="AQ8" s="20">
        <f t="shared" si="11"/>
        <v>416528.4312</v>
      </c>
      <c r="AR8" s="11"/>
      <c r="AS8" s="11"/>
      <c r="AT8" s="11"/>
      <c r="AU8" s="11"/>
      <c r="AV8" s="11"/>
      <c r="AW8" s="11"/>
      <c r="AX8" s="11"/>
      <c r="AY8" s="11"/>
      <c r="AZ8" s="11"/>
      <c r="BA8" s="11"/>
      <c r="BB8" s="11"/>
      <c r="BC8" s="11"/>
      <c r="BD8" s="11"/>
      <c r="BE8" s="11"/>
      <c r="BF8" s="11"/>
      <c r="BG8" s="11"/>
      <c r="BH8" s="11"/>
      <c r="BI8" s="11"/>
      <c r="BJ8" s="11"/>
      <c r="BK8" s="11"/>
    </row>
    <row r="9">
      <c r="A9" s="11"/>
      <c r="B9" s="11"/>
      <c r="C9" s="11"/>
      <c r="D9" s="22" t="str">
        <f>CONCATENATE(B4," Revenue")</f>
        <v>Paid Media Revenue</v>
      </c>
      <c r="E9" s="23">
        <f>'Ops Departments'!P8</f>
        <v>225168</v>
      </c>
      <c r="F9" s="23">
        <f>'Ops Departments'!Q8</f>
        <v>202984</v>
      </c>
      <c r="G9" s="23">
        <f>'Ops Departments'!R8</f>
        <v>230137</v>
      </c>
      <c r="H9" s="23">
        <f>'Ops Departments'!S8</f>
        <v>215710</v>
      </c>
      <c r="I9" s="23">
        <f>'Ops Departments'!T8</f>
        <v>275885</v>
      </c>
      <c r="J9" s="23">
        <f>'Ops Departments'!U8</f>
        <v>196349</v>
      </c>
      <c r="K9" s="23">
        <f>'Ops Departments'!V8</f>
        <v>274969</v>
      </c>
      <c r="L9" s="23">
        <f>'Ops Departments'!W8</f>
        <v>1046775</v>
      </c>
      <c r="M9" s="23">
        <f>'Ops Departments'!X8</f>
        <v>1017032.33</v>
      </c>
      <c r="N9" s="23">
        <f>'Ops Departments'!Y8</f>
        <v>1028576.31</v>
      </c>
      <c r="O9" s="23">
        <f>'Ops Departments'!Z8</f>
        <v>1100382</v>
      </c>
      <c r="P9" s="23">
        <f>'Ops Departments'!AA8</f>
        <v>424038.3587</v>
      </c>
      <c r="Q9" s="23">
        <f>'Ops Departments'!AB8</f>
        <v>504241.5363</v>
      </c>
      <c r="R9" s="23">
        <f>'Ops Departments'!AC8</f>
        <v>582808.2623</v>
      </c>
      <c r="S9" s="23">
        <f>'Ops Departments'!AD8</f>
        <v>656219.2844</v>
      </c>
      <c r="T9" s="23">
        <f>'Ops Departments'!AE8</f>
        <v>729298.1637</v>
      </c>
      <c r="U9" s="23">
        <f>'Ops Departments'!AF8</f>
        <v>810916.7567</v>
      </c>
      <c r="V9" s="23">
        <f>'Ops Departments'!AG8</f>
        <v>888901.9038</v>
      </c>
      <c r="W9" s="23">
        <f>'Ops Departments'!AH8</f>
        <v>964562.3903</v>
      </c>
      <c r="X9" s="23">
        <f>'Ops Departments'!AI8</f>
        <v>1039304.834</v>
      </c>
      <c r="Y9" s="23">
        <f>'Ops Departments'!AJ8</f>
        <v>1116079.352</v>
      </c>
      <c r="Z9" s="23">
        <f>'Ops Departments'!AK8</f>
        <v>1187157.271</v>
      </c>
      <c r="AA9" s="23">
        <f>'Ops Departments'!AL8</f>
        <v>1262204.801</v>
      </c>
      <c r="AB9" s="23">
        <f>'Ops Departments'!AM8</f>
        <v>1340193.399</v>
      </c>
      <c r="AC9" s="24"/>
      <c r="AD9" s="22" t="str">
        <f t="shared" ref="AD9:AD10" si="12">D9</f>
        <v>Paid Media Revenue</v>
      </c>
      <c r="AE9" s="25">
        <f t="shared" si="2"/>
        <v>3570028.999</v>
      </c>
      <c r="AF9" s="26">
        <f t="shared" si="3"/>
        <v>2472567.247</v>
      </c>
      <c r="AG9" s="25">
        <f t="shared" si="4"/>
        <v>-1097461.752</v>
      </c>
      <c r="AH9" s="27">
        <f t="shared" si="5"/>
        <v>-0.3074097584</v>
      </c>
      <c r="AI9" s="11"/>
      <c r="AJ9" s="28"/>
      <c r="AK9" s="22" t="s">
        <v>59</v>
      </c>
      <c r="AL9" s="25">
        <f t="shared" si="6"/>
        <v>873999</v>
      </c>
      <c r="AM9" s="26">
        <f t="shared" si="7"/>
        <v>1793978</v>
      </c>
      <c r="AN9" s="25">
        <f t="shared" si="8"/>
        <v>3570028.999</v>
      </c>
      <c r="AO9" s="25">
        <f t="shared" si="9"/>
        <v>2472567.247</v>
      </c>
      <c r="AP9" s="26">
        <f t="shared" si="10"/>
        <v>3703685.885</v>
      </c>
      <c r="AQ9" s="25">
        <f t="shared" si="11"/>
        <v>4905634.823</v>
      </c>
      <c r="AR9" s="11"/>
      <c r="AS9" s="11"/>
      <c r="AT9" s="11"/>
      <c r="AU9" s="11"/>
      <c r="AV9" s="11"/>
      <c r="AW9" s="11"/>
      <c r="AX9" s="11"/>
      <c r="AY9" s="11"/>
      <c r="AZ9" s="11"/>
      <c r="BA9" s="11"/>
      <c r="BB9" s="11"/>
      <c r="BC9" s="11"/>
      <c r="BD9" s="11"/>
      <c r="BE9" s="11"/>
      <c r="BF9" s="11"/>
      <c r="BG9" s="11"/>
      <c r="BH9" s="11"/>
      <c r="BI9" s="11"/>
      <c r="BJ9" s="11"/>
      <c r="BK9" s="11"/>
    </row>
    <row r="10">
      <c r="A10" s="11"/>
      <c r="B10" s="11"/>
      <c r="C10" s="11"/>
      <c r="D10" s="11" t="s">
        <v>60</v>
      </c>
      <c r="E10" s="20">
        <f>'Ops Departments'!L8-'Ops Departments'!K8</f>
        <v>51610</v>
      </c>
      <c r="F10" s="20">
        <f>'Ops Departments'!M8-'Ops Departments'!L8</f>
        <v>27945</v>
      </c>
      <c r="G10" s="20">
        <f>'Ops Departments'!N8-'Ops Departments'!M8</f>
        <v>-8146</v>
      </c>
      <c r="H10" s="20">
        <f>'Ops Departments'!O8-'Ops Departments'!N8</f>
        <v>-33555</v>
      </c>
      <c r="I10" s="20">
        <f>'Ops Departments'!P8-'Ops Departments'!O8</f>
        <v>23998</v>
      </c>
      <c r="J10" s="20">
        <f>'Ops Departments'!Q8-'Ops Departments'!P8</f>
        <v>-22184</v>
      </c>
      <c r="K10" s="20">
        <f>'Ops Departments'!R8-'Ops Departments'!Q8</f>
        <v>27153</v>
      </c>
      <c r="L10" s="20">
        <f>'Ops Departments'!S8-'Ops Departments'!R8</f>
        <v>-14427</v>
      </c>
      <c r="M10" s="20">
        <f>'Ops Departments'!T8-'Ops Departments'!S8</f>
        <v>60175</v>
      </c>
      <c r="N10" s="20">
        <f>'Ops Departments'!U8-'Ops Departments'!T8</f>
        <v>-79536</v>
      </c>
      <c r="O10" s="20">
        <f>'Ops Departments'!V8-'Ops Departments'!U8</f>
        <v>78620</v>
      </c>
      <c r="P10" s="20">
        <f>'Ops Departments'!W8-'Ops Departments'!V8</f>
        <v>771806</v>
      </c>
      <c r="Q10" s="20">
        <f>'Ops Departments'!X8-'Ops Departments'!W8</f>
        <v>-29742.67</v>
      </c>
      <c r="R10" s="20">
        <f>'Ops Departments'!Y8-'Ops Departments'!X8</f>
        <v>11543.98</v>
      </c>
      <c r="S10" s="20">
        <f>'Ops Departments'!Z8-'Ops Departments'!Y8</f>
        <v>71805.69</v>
      </c>
      <c r="T10" s="20">
        <f>'Ops Departments'!AA8-'Ops Departments'!Z8</f>
        <v>-676343.6413</v>
      </c>
      <c r="U10" s="20">
        <f>'Ops Departments'!AB8-'Ops Departments'!AA8</f>
        <v>80203.17765</v>
      </c>
      <c r="V10" s="20">
        <f>'Ops Departments'!AC8-'Ops Departments'!AB8</f>
        <v>78566.72594</v>
      </c>
      <c r="W10" s="20">
        <f>'Ops Departments'!AD8-'Ops Departments'!AC8</f>
        <v>73411.02208</v>
      </c>
      <c r="X10" s="20">
        <f>'Ops Departments'!AE8-'Ops Departments'!AD8</f>
        <v>73078.87934</v>
      </c>
      <c r="Y10" s="20">
        <f>'Ops Departments'!AF8-'Ops Departments'!AE8</f>
        <v>81618.59303</v>
      </c>
      <c r="Z10" s="20">
        <f>'Ops Departments'!AG8-'Ops Departments'!AF8</f>
        <v>77985.14704</v>
      </c>
      <c r="AA10" s="20">
        <f>'Ops Departments'!AH8-'Ops Departments'!AG8</f>
        <v>75660.48651</v>
      </c>
      <c r="AB10" s="20">
        <f>'Ops Departments'!AI8-'Ops Departments'!AH8</f>
        <v>74742.44392</v>
      </c>
      <c r="AC10" s="20"/>
      <c r="AD10" s="11" t="str">
        <f t="shared" si="12"/>
        <v>  NNR</v>
      </c>
      <c r="AE10" s="20">
        <f>Summary!DE7-Summary!DD7</f>
        <v>134776.3587</v>
      </c>
      <c r="AF10" s="20">
        <f>AF9-AE9</f>
        <v>-1097461.752</v>
      </c>
      <c r="AG10" s="12">
        <f t="shared" si="4"/>
        <v>-1232238.111</v>
      </c>
      <c r="AH10" s="19">
        <f t="shared" si="5"/>
        <v>-9.142835753</v>
      </c>
      <c r="AI10" s="11"/>
      <c r="AJ10" s="11"/>
      <c r="AK10" s="11" t="s">
        <v>60</v>
      </c>
      <c r="AL10" s="20">
        <f t="shared" si="6"/>
        <v>37854</v>
      </c>
      <c r="AM10" s="20">
        <f t="shared" ref="AM10:AQ10" si="13">AM9-AL9</f>
        <v>919979</v>
      </c>
      <c r="AN10" s="20">
        <f t="shared" si="13"/>
        <v>1776050.999</v>
      </c>
      <c r="AO10" s="20">
        <f t="shared" si="13"/>
        <v>-1097461.752</v>
      </c>
      <c r="AP10" s="20">
        <f t="shared" si="13"/>
        <v>1231118.638</v>
      </c>
      <c r="AQ10" s="20">
        <f t="shared" si="13"/>
        <v>1201948.938</v>
      </c>
      <c r="AR10" s="11"/>
      <c r="AS10" s="11"/>
      <c r="AT10" s="11"/>
      <c r="AU10" s="11"/>
      <c r="AV10" s="11"/>
      <c r="AW10" s="11"/>
      <c r="AX10" s="11"/>
      <c r="AY10" s="11"/>
      <c r="AZ10" s="11"/>
      <c r="BA10" s="11"/>
      <c r="BB10" s="11"/>
      <c r="BC10" s="11"/>
      <c r="BD10" s="11"/>
      <c r="BE10" s="11"/>
      <c r="BF10" s="11"/>
      <c r="BG10" s="11"/>
      <c r="BH10" s="11"/>
      <c r="BI10" s="11"/>
      <c r="BJ10" s="11"/>
      <c r="BK10" s="11"/>
    </row>
    <row r="11">
      <c r="A11" s="11"/>
      <c r="B11" s="11"/>
      <c r="C11" s="11"/>
      <c r="D11" s="11" t="s">
        <v>61</v>
      </c>
      <c r="E11" s="19">
        <f t="shared" ref="E11:M11" si="14">E9/H9-1</f>
        <v>0.04384590422</v>
      </c>
      <c r="F11" s="19">
        <f t="shared" si="14"/>
        <v>-0.2642441597</v>
      </c>
      <c r="G11" s="19">
        <f t="shared" si="14"/>
        <v>0.172081345</v>
      </c>
      <c r="H11" s="19">
        <f t="shared" si="14"/>
        <v>-0.2155115668</v>
      </c>
      <c r="I11" s="19">
        <f t="shared" si="14"/>
        <v>-0.7364428841</v>
      </c>
      <c r="J11" s="19">
        <f t="shared" si="14"/>
        <v>-0.806939274</v>
      </c>
      <c r="K11" s="19">
        <f t="shared" si="14"/>
        <v>-0.7326702965</v>
      </c>
      <c r="L11" s="19">
        <f t="shared" si="14"/>
        <v>-0.04871671838</v>
      </c>
      <c r="M11" s="19">
        <f t="shared" si="14"/>
        <v>1.398444172</v>
      </c>
      <c r="N11" s="19">
        <f t="shared" ref="N11:AB11" si="15">N9/M9-1</f>
        <v>0.01135065195</v>
      </c>
      <c r="O11" s="19">
        <f t="shared" si="15"/>
        <v>0.06981075619</v>
      </c>
      <c r="P11" s="19">
        <f t="shared" si="15"/>
        <v>-0.6146444065</v>
      </c>
      <c r="Q11" s="19">
        <f t="shared" si="15"/>
        <v>0.1891413265</v>
      </c>
      <c r="R11" s="19">
        <f t="shared" si="15"/>
        <v>0.15581169</v>
      </c>
      <c r="S11" s="19">
        <f t="shared" si="15"/>
        <v>0.1259608465</v>
      </c>
      <c r="T11" s="19">
        <f t="shared" si="15"/>
        <v>0.1113635047</v>
      </c>
      <c r="U11" s="19">
        <f t="shared" si="15"/>
        <v>0.111913888</v>
      </c>
      <c r="V11" s="19">
        <f t="shared" si="15"/>
        <v>0.09616911526</v>
      </c>
      <c r="W11" s="19">
        <f t="shared" si="15"/>
        <v>0.08511680106</v>
      </c>
      <c r="X11" s="19">
        <f t="shared" si="15"/>
        <v>0.07748844935</v>
      </c>
      <c r="Y11" s="19">
        <f t="shared" si="15"/>
        <v>0.07387102884</v>
      </c>
      <c r="Z11" s="19">
        <f t="shared" si="15"/>
        <v>0.0636853638</v>
      </c>
      <c r="AA11" s="19">
        <f t="shared" si="15"/>
        <v>0.06321616507</v>
      </c>
      <c r="AB11" s="19">
        <f t="shared" si="15"/>
        <v>0.06178759434</v>
      </c>
      <c r="AC11" s="20"/>
      <c r="AD11" s="11" t="s">
        <v>62</v>
      </c>
      <c r="AE11" s="19">
        <f>AN9/AM9-1</f>
        <v>0.9900071231</v>
      </c>
      <c r="AF11" s="19">
        <f>AF9/AE9-1</f>
        <v>-0.3074097584</v>
      </c>
      <c r="AG11" s="12"/>
      <c r="AH11" s="19"/>
      <c r="AI11" s="11"/>
      <c r="AJ11" s="11"/>
      <c r="AK11" s="11" t="s">
        <v>62</v>
      </c>
      <c r="AL11" s="19">
        <f t="shared" si="6"/>
        <v>-0.2638284773</v>
      </c>
      <c r="AM11" s="19">
        <f t="shared" ref="AM11:AQ11" si="16">AM9/AL9-1</f>
        <v>1.052608756</v>
      </c>
      <c r="AN11" s="19">
        <f t="shared" si="16"/>
        <v>0.9900071231</v>
      </c>
      <c r="AO11" s="19">
        <f t="shared" si="16"/>
        <v>-0.3074097584</v>
      </c>
      <c r="AP11" s="19">
        <f t="shared" si="16"/>
        <v>0.4979110841</v>
      </c>
      <c r="AQ11" s="19">
        <f t="shared" si="16"/>
        <v>0.3245277746</v>
      </c>
      <c r="AR11" s="11"/>
      <c r="AS11" s="11"/>
      <c r="AT11" s="11"/>
      <c r="AU11" s="11"/>
      <c r="AV11" s="11"/>
      <c r="AW11" s="11"/>
      <c r="AX11" s="11"/>
      <c r="AY11" s="11"/>
      <c r="AZ11" s="11"/>
      <c r="BA11" s="11"/>
      <c r="BB11" s="11"/>
      <c r="BC11" s="11"/>
      <c r="BD11" s="11"/>
      <c r="BE11" s="11"/>
      <c r="BF11" s="11"/>
      <c r="BG11" s="11"/>
      <c r="BH11" s="11"/>
      <c r="BI11" s="11"/>
      <c r="BJ11" s="11"/>
      <c r="BK11" s="11"/>
    </row>
    <row r="12">
      <c r="A12" s="11"/>
      <c r="B12" s="11"/>
      <c r="C12" s="11"/>
      <c r="D12" s="11"/>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11"/>
      <c r="AE12" s="20"/>
      <c r="AF12" s="20"/>
      <c r="AG12" s="12"/>
      <c r="AH12" s="19"/>
      <c r="AI12" s="11"/>
      <c r="AJ12" s="11"/>
      <c r="AK12" s="11"/>
      <c r="AL12" s="20"/>
      <c r="AM12" s="20"/>
      <c r="AN12" s="20"/>
      <c r="AO12" s="20"/>
      <c r="AP12" s="20"/>
      <c r="AQ12" s="20"/>
      <c r="AR12" s="11"/>
      <c r="AS12" s="11"/>
      <c r="AT12" s="11"/>
      <c r="AU12" s="11"/>
      <c r="AV12" s="11"/>
      <c r="AW12" s="11"/>
      <c r="AX12" s="11"/>
      <c r="AY12" s="11"/>
      <c r="AZ12" s="11"/>
      <c r="BA12" s="11"/>
      <c r="BB12" s="11"/>
      <c r="BC12" s="11"/>
      <c r="BD12" s="11"/>
      <c r="BE12" s="11"/>
      <c r="BF12" s="11"/>
      <c r="BG12" s="11"/>
      <c r="BH12" s="11"/>
      <c r="BI12" s="11"/>
      <c r="BJ12" s="11"/>
      <c r="BK12" s="11"/>
    </row>
    <row r="13">
      <c r="A13" s="11" t="s">
        <v>47</v>
      </c>
      <c r="B13" s="11" t="s">
        <v>63</v>
      </c>
      <c r="C13" s="11"/>
      <c r="D13" s="11" t="s">
        <v>64</v>
      </c>
      <c r="E13" s="24">
        <f>SUMIFS('Ops Departments'!P:P,'Ops Departments'!$B:$B,$B13,'Ops Departments'!$A:$A,$A13)</f>
        <v>21879</v>
      </c>
      <c r="F13" s="24">
        <f>SUMIFS('Ops Departments'!Q:Q,'Ops Departments'!$B:$B,$B13,'Ops Departments'!$A:$A,$A13)</f>
        <v>17920</v>
      </c>
      <c r="G13" s="24">
        <f>SUMIFS('Ops Departments'!R:R,'Ops Departments'!$B:$B,$B13,'Ops Departments'!$A:$A,$A13)</f>
        <v>11831</v>
      </c>
      <c r="H13" s="24">
        <f>SUMIFS('Ops Departments'!S:S,'Ops Departments'!$B:$B,$B13,'Ops Departments'!$A:$A,$A13)</f>
        <v>22409</v>
      </c>
      <c r="I13" s="24">
        <f>SUMIFS('Ops Departments'!T:T,'Ops Departments'!$B:$B,$B13,'Ops Departments'!$A:$A,$A13)</f>
        <v>19981</v>
      </c>
      <c r="J13" s="24">
        <f>SUMIFS('Ops Departments'!U:U,'Ops Departments'!$B:$B,$B13,'Ops Departments'!$A:$A,$A13)</f>
        <v>20334</v>
      </c>
      <c r="K13" s="24">
        <f>SUMIFS('Ops Departments'!V:V,'Ops Departments'!$B:$B,$B13,'Ops Departments'!$A:$A,$A13)</f>
        <v>21656</v>
      </c>
      <c r="L13" s="24">
        <f>SUMIFS('Ops Departments'!W:W,'Ops Departments'!$B:$B,$B13,'Ops Departments'!$A:$A,$A13)</f>
        <v>14938</v>
      </c>
      <c r="M13" s="24">
        <f>SUMIFS('Ops Departments'!X:X,'Ops Departments'!$B:$B,$B13,'Ops Departments'!$A:$A,$A13)</f>
        <v>23778</v>
      </c>
      <c r="N13" s="24">
        <f>SUMIFS('Ops Departments'!Y:Y,'Ops Departments'!$B:$B,$B13,'Ops Departments'!$A:$A,$A13)</f>
        <v>18989</v>
      </c>
      <c r="O13" s="24">
        <f>SUMIFS('Ops Departments'!Z:Z,'Ops Departments'!$B:$B,$B13,'Ops Departments'!$A:$A,$A13)</f>
        <v>24501</v>
      </c>
      <c r="P13" s="24">
        <f>SUMIFS('Ops Departments'!AA:AA,'Ops Departments'!$B:$B,$B13,'Ops Departments'!$A:$A,$A13)</f>
        <v>105714.4012</v>
      </c>
      <c r="Q13" s="24">
        <f>SUMIFS('Ops Departments'!AB:AB,'Ops Departments'!$B:$B,$B13,'Ops Departments'!$A:$A,$A13)</f>
        <v>136168.6505</v>
      </c>
      <c r="R13" s="24">
        <f>SUMIFS('Ops Departments'!AC:AC,'Ops Departments'!$B:$B,$B13,'Ops Departments'!$A:$A,$A13)</f>
        <v>142933.5342</v>
      </c>
      <c r="S13" s="24">
        <f>SUMIFS('Ops Departments'!AD:AD,'Ops Departments'!$B:$B,$B13,'Ops Departments'!$A:$A,$A13)</f>
        <v>150188.0829</v>
      </c>
      <c r="T13" s="24">
        <f>SUMIFS('Ops Departments'!AE:AE,'Ops Departments'!$B:$B,$B13,'Ops Departments'!$A:$A,$A13)</f>
        <v>150650.623</v>
      </c>
      <c r="U13" s="24">
        <f>SUMIFS('Ops Departments'!AF:AF,'Ops Departments'!$B:$B,$B13,'Ops Departments'!$A:$A,$A13)</f>
        <v>156590.432</v>
      </c>
      <c r="V13" s="24">
        <f>SUMIFS('Ops Departments'!AG:AG,'Ops Departments'!$B:$B,$B13,'Ops Departments'!$A:$A,$A13)</f>
        <v>157253.5226</v>
      </c>
      <c r="W13" s="24">
        <f>SUMIFS('Ops Departments'!AH:AH,'Ops Departments'!$B:$B,$B13,'Ops Departments'!$A:$A,$A13)</f>
        <v>164225.4434</v>
      </c>
      <c r="X13" s="24">
        <f>SUMIFS('Ops Departments'!AI:AI,'Ops Departments'!$B:$B,$B13,'Ops Departments'!$A:$A,$A13)</f>
        <v>164934.1783</v>
      </c>
      <c r="Y13" s="24">
        <f>SUMIFS('Ops Departments'!AJ:AJ,'Ops Departments'!$B:$B,$B13,'Ops Departments'!$A:$A,$A13)</f>
        <v>171098.9269</v>
      </c>
      <c r="Z13" s="24">
        <f>SUMIFS('Ops Departments'!AK:AK,'Ops Departments'!$B:$B,$B13,'Ops Departments'!$A:$A,$A13)</f>
        <v>171837.8323</v>
      </c>
      <c r="AA13" s="24">
        <f>SUMIFS('Ops Departments'!AL:AL,'Ops Departments'!$B:$B,$B13,'Ops Departments'!$A:$A,$A13)</f>
        <v>172599.0989</v>
      </c>
      <c r="AB13" s="24">
        <f>SUMIFS('Ops Departments'!AM:AM,'Ops Departments'!$B:$B,$B13,'Ops Departments'!$A:$A,$A13)</f>
        <v>187106.251</v>
      </c>
      <c r="AC13" s="20"/>
      <c r="AD13" s="11" t="str">
        <f t="shared" ref="AD13:AD18" si="17">D13</f>
        <v>Payroll &amp; Related</v>
      </c>
      <c r="AE13" s="12">
        <f t="shared" ref="AE13:AE18" si="18">SUM(M13:P13)</f>
        <v>172982.4012</v>
      </c>
      <c r="AF13" s="12">
        <f t="shared" ref="AF13:AF18" si="19">SUM(Q13:T13)</f>
        <v>579940.8907</v>
      </c>
      <c r="AG13" s="12">
        <f t="shared" ref="AG13:AG18" si="20">AE13-AF13</f>
        <v>-406958.4895</v>
      </c>
      <c r="AH13" s="19">
        <f t="shared" ref="AH13:AH18" si="21">AF13/AE13-1</f>
        <v>2.352600535</v>
      </c>
      <c r="AI13" s="11"/>
      <c r="AJ13" s="11"/>
      <c r="AK13" s="11" t="s">
        <v>64</v>
      </c>
      <c r="AL13" s="12">
        <f t="shared" ref="AL13:AL18" si="22">SUM(E13:H13)</f>
        <v>74039</v>
      </c>
      <c r="AM13" s="12">
        <f t="shared" ref="AM13:AM18" si="23">SUM(I13:L13)</f>
        <v>76909</v>
      </c>
      <c r="AN13" s="12">
        <f t="shared" ref="AN13:AN18" si="24">SUM(M13:P13)</f>
        <v>172982.4012</v>
      </c>
      <c r="AO13" s="12">
        <f t="shared" ref="AO13:AO18" si="25">SUM(Q13:T13)</f>
        <v>579940.8907</v>
      </c>
      <c r="AP13" s="12">
        <f t="shared" ref="AP13:AP18" si="26">SUM(U13:X13)</f>
        <v>643003.5762</v>
      </c>
      <c r="AQ13" s="12">
        <f t="shared" ref="AQ13:AQ18" si="27">SUM(Y13:AB13)</f>
        <v>702642.1092</v>
      </c>
      <c r="AR13" s="11"/>
      <c r="AS13" s="11"/>
      <c r="AT13" s="11"/>
      <c r="AU13" s="11"/>
      <c r="AV13" s="11"/>
      <c r="AW13" s="11"/>
      <c r="AX13" s="11"/>
      <c r="AY13" s="11"/>
      <c r="AZ13" s="11"/>
      <c r="BA13" s="11"/>
      <c r="BB13" s="11"/>
      <c r="BC13" s="11"/>
      <c r="BD13" s="11"/>
      <c r="BE13" s="11"/>
      <c r="BF13" s="11"/>
      <c r="BG13" s="11"/>
      <c r="BH13" s="11"/>
      <c r="BI13" s="11"/>
      <c r="BJ13" s="11"/>
      <c r="BK13" s="11"/>
    </row>
    <row r="14">
      <c r="A14" s="11" t="s">
        <v>47</v>
      </c>
      <c r="B14" s="11" t="s">
        <v>65</v>
      </c>
      <c r="C14" s="11"/>
      <c r="D14" s="11" t="s">
        <v>66</v>
      </c>
      <c r="E14" s="24">
        <f>SUMIFS('Ops Departments'!P:P,'Ops Departments'!$B:$B,$B14,'Ops Departments'!$A:$A,$A14)</f>
        <v>3187</v>
      </c>
      <c r="F14" s="24">
        <f>SUMIFS('Ops Departments'!Q:Q,'Ops Departments'!$B:$B,$B14,'Ops Departments'!$A:$A,$A14)</f>
        <v>4807</v>
      </c>
      <c r="G14" s="24">
        <f>SUMIFS('Ops Departments'!R:R,'Ops Departments'!$B:$B,$B14,'Ops Departments'!$A:$A,$A14)</f>
        <v>2946</v>
      </c>
      <c r="H14" s="24">
        <f>SUMIFS('Ops Departments'!S:S,'Ops Departments'!$B:$B,$B14,'Ops Departments'!$A:$A,$A14)</f>
        <v>3197</v>
      </c>
      <c r="I14" s="24">
        <f>SUMIFS('Ops Departments'!T:T,'Ops Departments'!$B:$B,$B14,'Ops Departments'!$A:$A,$A14)</f>
        <v>2908</v>
      </c>
      <c r="J14" s="24">
        <f>SUMIFS('Ops Departments'!U:U,'Ops Departments'!$B:$B,$B14,'Ops Departments'!$A:$A,$A14)</f>
        <v>2933</v>
      </c>
      <c r="K14" s="24">
        <f>SUMIFS('Ops Departments'!V:V,'Ops Departments'!$B:$B,$B14,'Ops Departments'!$A:$A,$A14)</f>
        <v>4086</v>
      </c>
      <c r="L14" s="24">
        <f>SUMIFS('Ops Departments'!W:W,'Ops Departments'!$B:$B,$B14,'Ops Departments'!$A:$A,$A14)</f>
        <v>3199</v>
      </c>
      <c r="M14" s="24">
        <f>SUMIFS('Ops Departments'!X:X,'Ops Departments'!$B:$B,$B14,'Ops Departments'!$A:$A,$A14)</f>
        <v>4864</v>
      </c>
      <c r="N14" s="24">
        <f>SUMIFS('Ops Departments'!Y:Y,'Ops Departments'!$B:$B,$B14,'Ops Departments'!$A:$A,$A14)</f>
        <v>1247</v>
      </c>
      <c r="O14" s="24">
        <f>SUMIFS('Ops Departments'!Z:Z,'Ops Departments'!$B:$B,$B14,'Ops Departments'!$A:$A,$A14)</f>
        <v>3570</v>
      </c>
      <c r="P14" s="24">
        <f>SUMIFS('Ops Departments'!AA:AA,'Ops Departments'!$B:$B,$B14,'Ops Departments'!$A:$A,$A14)</f>
        <v>799.2201641</v>
      </c>
      <c r="Q14" s="24">
        <f>SUMIFS('Ops Departments'!AB:AB,'Ops Departments'!$B:$B,$B14,'Ops Departments'!$A:$A,$A14)</f>
        <v>647.1155187</v>
      </c>
      <c r="R14" s="24">
        <f>SUMIFS('Ops Departments'!AC:AC,'Ops Departments'!$B:$B,$B14,'Ops Departments'!$A:$A,$A14)</f>
        <v>748.8167738</v>
      </c>
      <c r="S14" s="24">
        <f>SUMIFS('Ops Departments'!AD:AD,'Ops Departments'!$B:$B,$B14,'Ops Departments'!$A:$A,$A14)</f>
        <v>846.0515209</v>
      </c>
      <c r="T14" s="24">
        <f>SUMIFS('Ops Departments'!AE:AE,'Ops Departments'!$B:$B,$B14,'Ops Departments'!$A:$A,$A14)</f>
        <v>943.2032263</v>
      </c>
      <c r="U14" s="24">
        <f>SUMIFS('Ops Departments'!AF:AF,'Ops Departments'!$B:$B,$B14,'Ops Departments'!$A:$A,$A14)</f>
        <v>1614.146134</v>
      </c>
      <c r="V14" s="24">
        <f>SUMIFS('Ops Departments'!AG:AG,'Ops Departments'!$B:$B,$B14,'Ops Departments'!$A:$A,$A14)</f>
        <v>1772.901505</v>
      </c>
      <c r="W14" s="24">
        <f>SUMIFS('Ops Departments'!AH:AH,'Ops Departments'!$B:$B,$B14,'Ops Departments'!$A:$A,$A14)</f>
        <v>1927.547635</v>
      </c>
      <c r="X14" s="24">
        <f>SUMIFS('Ops Departments'!AI:AI,'Ops Departments'!$B:$B,$B14,'Ops Departments'!$A:$A,$A14)</f>
        <v>2080.412814</v>
      </c>
      <c r="Y14" s="24">
        <f>SUMIFS('Ops Departments'!AJ:AJ,'Ops Departments'!$B:$B,$B14,'Ops Departments'!$A:$A,$A14)</f>
        <v>2237.449035</v>
      </c>
      <c r="Z14" s="24">
        <f>SUMIFS('Ops Departments'!AK:AK,'Ops Departments'!$B:$B,$B14,'Ops Departments'!$A:$A,$A14)</f>
        <v>2384.380298</v>
      </c>
      <c r="AA14" s="24">
        <f>SUMIFS('Ops Departments'!AL:AL,'Ops Departments'!$B:$B,$B14,'Ops Departments'!$A:$A,$A14)</f>
        <v>2538.118301</v>
      </c>
      <c r="AB14" s="24">
        <f>SUMIFS('Ops Departments'!AM:AM,'Ops Departments'!$B:$B,$B14,'Ops Departments'!$A:$A,$A14)</f>
        <v>2697.675187</v>
      </c>
      <c r="AC14" s="20"/>
      <c r="AD14" s="11" t="str">
        <f t="shared" si="17"/>
        <v>Contractors</v>
      </c>
      <c r="AE14" s="21">
        <f t="shared" si="18"/>
        <v>10480.22016</v>
      </c>
      <c r="AF14" s="21">
        <f t="shared" si="19"/>
        <v>3185.18704</v>
      </c>
      <c r="AG14" s="21">
        <f t="shared" si="20"/>
        <v>7295.033124</v>
      </c>
      <c r="AH14" s="19">
        <f t="shared" si="21"/>
        <v>-0.6960763238</v>
      </c>
      <c r="AI14" s="11"/>
      <c r="AJ14" s="11"/>
      <c r="AK14" s="11" t="s">
        <v>66</v>
      </c>
      <c r="AL14" s="21">
        <f t="shared" si="22"/>
        <v>14137</v>
      </c>
      <c r="AM14" s="21">
        <f t="shared" si="23"/>
        <v>13126</v>
      </c>
      <c r="AN14" s="21">
        <f t="shared" si="24"/>
        <v>10480.22016</v>
      </c>
      <c r="AO14" s="21">
        <f t="shared" si="25"/>
        <v>3185.18704</v>
      </c>
      <c r="AP14" s="21">
        <f t="shared" si="26"/>
        <v>7395.008088</v>
      </c>
      <c r="AQ14" s="29">
        <f t="shared" si="27"/>
        <v>9857.622822</v>
      </c>
      <c r="AR14" s="11"/>
      <c r="AS14" s="11"/>
      <c r="AT14" s="11"/>
      <c r="AU14" s="11"/>
      <c r="AV14" s="11"/>
      <c r="AW14" s="11"/>
      <c r="AX14" s="11"/>
      <c r="AY14" s="11"/>
      <c r="AZ14" s="11"/>
      <c r="BA14" s="11"/>
      <c r="BB14" s="11"/>
      <c r="BC14" s="11"/>
      <c r="BD14" s="11"/>
      <c r="BE14" s="11"/>
      <c r="BF14" s="11"/>
      <c r="BG14" s="11"/>
      <c r="BH14" s="11"/>
      <c r="BI14" s="11"/>
      <c r="BJ14" s="11"/>
      <c r="BK14" s="11"/>
    </row>
    <row r="15">
      <c r="A15" s="11" t="s">
        <v>47</v>
      </c>
      <c r="B15" s="11" t="s">
        <v>67</v>
      </c>
      <c r="C15" s="11"/>
      <c r="D15" s="11" t="s">
        <v>68</v>
      </c>
      <c r="E15" s="24">
        <f>SUMIFS('Ops Departments'!P:P,'Ops Departments'!$B:$B,$B15,'Ops Departments'!$A:$A,$A15)</f>
        <v>9828</v>
      </c>
      <c r="F15" s="24">
        <f>SUMIFS('Ops Departments'!Q:Q,'Ops Departments'!$B:$B,$B15,'Ops Departments'!$A:$A,$A15)</f>
        <v>7932</v>
      </c>
      <c r="G15" s="24">
        <f>SUMIFS('Ops Departments'!R:R,'Ops Departments'!$B:$B,$B15,'Ops Departments'!$A:$A,$A15)</f>
        <v>5824</v>
      </c>
      <c r="H15" s="24">
        <f>SUMIFS('Ops Departments'!S:S,'Ops Departments'!$B:$B,$B15,'Ops Departments'!$A:$A,$A15)</f>
        <v>4180</v>
      </c>
      <c r="I15" s="24">
        <f>SUMIFS('Ops Departments'!T:T,'Ops Departments'!$B:$B,$B15,'Ops Departments'!$A:$A,$A15)</f>
        <v>4970</v>
      </c>
      <c r="J15" s="24">
        <f>SUMIFS('Ops Departments'!U:U,'Ops Departments'!$B:$B,$B15,'Ops Departments'!$A:$A,$A15)</f>
        <v>8210</v>
      </c>
      <c r="K15" s="24">
        <f>SUMIFS('Ops Departments'!V:V,'Ops Departments'!$B:$B,$B15,'Ops Departments'!$A:$A,$A15)</f>
        <v>9606</v>
      </c>
      <c r="L15" s="24">
        <f>SUMIFS('Ops Departments'!W:W,'Ops Departments'!$B:$B,$B15,'Ops Departments'!$A:$A,$A15)</f>
        <v>10376</v>
      </c>
      <c r="M15" s="24">
        <f>SUMIFS('Ops Departments'!X:X,'Ops Departments'!$B:$B,$B15,'Ops Departments'!$A:$A,$A15)</f>
        <v>4041</v>
      </c>
      <c r="N15" s="24">
        <f>SUMIFS('Ops Departments'!Y:Y,'Ops Departments'!$B:$B,$B15,'Ops Departments'!$A:$A,$A15)</f>
        <v>8507</v>
      </c>
      <c r="O15" s="24">
        <f>SUMIFS('Ops Departments'!Z:Z,'Ops Departments'!$B:$B,$B15,'Ops Departments'!$A:$A,$A15)</f>
        <v>6169</v>
      </c>
      <c r="P15" s="24">
        <f>SUMIFS('Ops Departments'!AA:AA,'Ops Departments'!$B:$B,$B15,'Ops Departments'!$A:$A,$A15)</f>
        <v>6274.014</v>
      </c>
      <c r="Q15" s="24">
        <f>SUMIFS('Ops Departments'!AB:AB,'Ops Departments'!$B:$B,$B15,'Ops Departments'!$A:$A,$A15)</f>
        <v>6901.4154</v>
      </c>
      <c r="R15" s="24">
        <f>SUMIFS('Ops Departments'!AC:AC,'Ops Departments'!$B:$B,$B15,'Ops Departments'!$A:$A,$A15)</f>
        <v>6970.429554</v>
      </c>
      <c r="S15" s="24">
        <f>SUMIFS('Ops Departments'!AD:AD,'Ops Departments'!$B:$B,$B15,'Ops Departments'!$A:$A,$A15)</f>
        <v>7040.13385</v>
      </c>
      <c r="T15" s="24">
        <f>SUMIFS('Ops Departments'!AE:AE,'Ops Departments'!$B:$B,$B15,'Ops Departments'!$A:$A,$A15)</f>
        <v>7110.535188</v>
      </c>
      <c r="U15" s="24">
        <f>SUMIFS('Ops Departments'!AF:AF,'Ops Departments'!$B:$B,$B15,'Ops Departments'!$A:$A,$A15)</f>
        <v>7181.64054</v>
      </c>
      <c r="V15" s="24">
        <f>SUMIFS('Ops Departments'!AG:AG,'Ops Departments'!$B:$B,$B15,'Ops Departments'!$A:$A,$A15)</f>
        <v>7253.456945</v>
      </c>
      <c r="W15" s="24">
        <f>SUMIFS('Ops Departments'!AH:AH,'Ops Departments'!$B:$B,$B15,'Ops Departments'!$A:$A,$A15)</f>
        <v>7325.991515</v>
      </c>
      <c r="X15" s="24">
        <f>SUMIFS('Ops Departments'!AI:AI,'Ops Departments'!$B:$B,$B15,'Ops Departments'!$A:$A,$A15)</f>
        <v>7399.25143</v>
      </c>
      <c r="Y15" s="24">
        <f>SUMIFS('Ops Departments'!AJ:AJ,'Ops Departments'!$B:$B,$B15,'Ops Departments'!$A:$A,$A15)</f>
        <v>7473.243944</v>
      </c>
      <c r="Z15" s="24">
        <f>SUMIFS('Ops Departments'!AK:AK,'Ops Departments'!$B:$B,$B15,'Ops Departments'!$A:$A,$A15)</f>
        <v>7547.976384</v>
      </c>
      <c r="AA15" s="24">
        <f>SUMIFS('Ops Departments'!AL:AL,'Ops Departments'!$B:$B,$B15,'Ops Departments'!$A:$A,$A15)</f>
        <v>7623.456147</v>
      </c>
      <c r="AB15" s="24">
        <f>SUMIFS('Ops Departments'!AM:AM,'Ops Departments'!$B:$B,$B15,'Ops Departments'!$A:$A,$A15)</f>
        <v>7699.690709</v>
      </c>
      <c r="AC15" s="20"/>
      <c r="AD15" s="11" t="str">
        <f t="shared" si="17"/>
        <v>T&amp;E</v>
      </c>
      <c r="AE15" s="21">
        <f t="shared" si="18"/>
        <v>24991.014</v>
      </c>
      <c r="AF15" s="21">
        <f t="shared" si="19"/>
        <v>28022.51399</v>
      </c>
      <c r="AG15" s="21">
        <f t="shared" si="20"/>
        <v>-3031.499992</v>
      </c>
      <c r="AH15" s="19">
        <f t="shared" si="21"/>
        <v>0.121303601</v>
      </c>
      <c r="AI15" s="11"/>
      <c r="AJ15" s="11"/>
      <c r="AK15" s="11" t="s">
        <v>68</v>
      </c>
      <c r="AL15" s="21">
        <f t="shared" si="22"/>
        <v>27764</v>
      </c>
      <c r="AM15" s="21">
        <f t="shared" si="23"/>
        <v>33162</v>
      </c>
      <c r="AN15" s="21">
        <f t="shared" si="24"/>
        <v>24991.014</v>
      </c>
      <c r="AO15" s="21">
        <f t="shared" si="25"/>
        <v>28022.51399</v>
      </c>
      <c r="AP15" s="21">
        <f t="shared" si="26"/>
        <v>29160.34043</v>
      </c>
      <c r="AQ15" s="29">
        <f t="shared" si="27"/>
        <v>30344.36718</v>
      </c>
      <c r="AR15" s="11"/>
      <c r="AS15" s="11"/>
      <c r="AT15" s="11"/>
      <c r="AU15" s="11"/>
      <c r="AV15" s="11"/>
      <c r="AW15" s="11"/>
      <c r="AX15" s="11"/>
      <c r="AY15" s="11"/>
      <c r="AZ15" s="11"/>
      <c r="BA15" s="11"/>
      <c r="BB15" s="11"/>
      <c r="BC15" s="11"/>
      <c r="BD15" s="11"/>
      <c r="BE15" s="11"/>
      <c r="BF15" s="11"/>
      <c r="BG15" s="11"/>
      <c r="BH15" s="11"/>
      <c r="BI15" s="11"/>
      <c r="BJ15" s="11"/>
      <c r="BK15" s="11"/>
    </row>
    <row r="16">
      <c r="A16" s="11" t="s">
        <v>47</v>
      </c>
      <c r="B16" s="11" t="s">
        <v>69</v>
      </c>
      <c r="C16" s="11"/>
      <c r="D16" s="11" t="s">
        <v>70</v>
      </c>
      <c r="E16" s="24">
        <f>SUMIFS('Ops Departments'!P:P,'Ops Departments'!$B:$B,$B16,'Ops Departments'!$A:$A,$A16)</f>
        <v>2355</v>
      </c>
      <c r="F16" s="24">
        <f>SUMIFS('Ops Departments'!Q:Q,'Ops Departments'!$B:$B,$B16,'Ops Departments'!$A:$A,$A16)</f>
        <v>1746</v>
      </c>
      <c r="G16" s="24">
        <f>SUMIFS('Ops Departments'!R:R,'Ops Departments'!$B:$B,$B16,'Ops Departments'!$A:$A,$A16)</f>
        <v>1810</v>
      </c>
      <c r="H16" s="24">
        <f>SUMIFS('Ops Departments'!S:S,'Ops Departments'!$B:$B,$B16,'Ops Departments'!$A:$A,$A16)</f>
        <v>715</v>
      </c>
      <c r="I16" s="24">
        <f>SUMIFS('Ops Departments'!T:T,'Ops Departments'!$B:$B,$B16,'Ops Departments'!$A:$A,$A16)</f>
        <v>4215</v>
      </c>
      <c r="J16" s="24">
        <f>SUMIFS('Ops Departments'!U:U,'Ops Departments'!$B:$B,$B16,'Ops Departments'!$A:$A,$A16)</f>
        <v>3449</v>
      </c>
      <c r="K16" s="24">
        <f>SUMIFS('Ops Departments'!V:V,'Ops Departments'!$B:$B,$B16,'Ops Departments'!$A:$A,$A16)</f>
        <v>1835</v>
      </c>
      <c r="L16" s="24">
        <f>SUMIFS('Ops Departments'!W:W,'Ops Departments'!$B:$B,$B16,'Ops Departments'!$A:$A,$A16)</f>
        <v>1693</v>
      </c>
      <c r="M16" s="24">
        <f>SUMIFS('Ops Departments'!X:X,'Ops Departments'!$B:$B,$B16,'Ops Departments'!$A:$A,$A16)</f>
        <v>2494</v>
      </c>
      <c r="N16" s="24">
        <f>SUMIFS('Ops Departments'!Y:Y,'Ops Departments'!$B:$B,$B16,'Ops Departments'!$A:$A,$A16)</f>
        <v>3890</v>
      </c>
      <c r="O16" s="24">
        <f>SUMIFS('Ops Departments'!Z:Z,'Ops Departments'!$B:$B,$B16,'Ops Departments'!$A:$A,$A16)</f>
        <v>2906</v>
      </c>
      <c r="P16" s="24">
        <f>SUMIFS('Ops Departments'!AA:AA,'Ops Departments'!$B:$B,$B16,'Ops Departments'!$A:$A,$A16)</f>
        <v>631.864</v>
      </c>
      <c r="Q16" s="24">
        <f>SUMIFS('Ops Departments'!AB:AB,'Ops Departments'!$B:$B,$B16,'Ops Departments'!$A:$A,$A16)</f>
        <v>1391.864</v>
      </c>
      <c r="R16" s="24">
        <f>SUMIFS('Ops Departments'!AC:AC,'Ops Departments'!$B:$B,$B16,'Ops Departments'!$A:$A,$A16)</f>
        <v>1391.864</v>
      </c>
      <c r="S16" s="24">
        <f>SUMIFS('Ops Departments'!AD:AD,'Ops Departments'!$B:$B,$B16,'Ops Departments'!$A:$A,$A16)</f>
        <v>1391.864</v>
      </c>
      <c r="T16" s="24">
        <f>SUMIFS('Ops Departments'!AE:AE,'Ops Departments'!$B:$B,$B16,'Ops Departments'!$A:$A,$A16)</f>
        <v>1391.864</v>
      </c>
      <c r="U16" s="24">
        <f>SUMIFS('Ops Departments'!AF:AF,'Ops Departments'!$B:$B,$B16,'Ops Departments'!$A:$A,$A16)</f>
        <v>2151.864</v>
      </c>
      <c r="V16" s="24">
        <f>SUMIFS('Ops Departments'!AG:AG,'Ops Departments'!$B:$B,$B16,'Ops Departments'!$A:$A,$A16)</f>
        <v>2151.864</v>
      </c>
      <c r="W16" s="24">
        <f>SUMIFS('Ops Departments'!AH:AH,'Ops Departments'!$B:$B,$B16,'Ops Departments'!$A:$A,$A16)</f>
        <v>2151.864</v>
      </c>
      <c r="X16" s="24">
        <f>SUMIFS('Ops Departments'!AI:AI,'Ops Departments'!$B:$B,$B16,'Ops Departments'!$A:$A,$A16)</f>
        <v>2151.864</v>
      </c>
      <c r="Y16" s="24">
        <f>SUMIFS('Ops Departments'!AJ:AJ,'Ops Departments'!$B:$B,$B16,'Ops Departments'!$A:$A,$A16)</f>
        <v>2911.864</v>
      </c>
      <c r="Z16" s="24">
        <f>SUMIFS('Ops Departments'!AK:AK,'Ops Departments'!$B:$B,$B16,'Ops Departments'!$A:$A,$A16)</f>
        <v>2911.864</v>
      </c>
      <c r="AA16" s="24">
        <f>SUMIFS('Ops Departments'!AL:AL,'Ops Departments'!$B:$B,$B16,'Ops Departments'!$A:$A,$A16)</f>
        <v>2911.864</v>
      </c>
      <c r="AB16" s="24">
        <f>SUMIFS('Ops Departments'!AM:AM,'Ops Departments'!$B:$B,$B16,'Ops Departments'!$A:$A,$A16)</f>
        <v>2911.864</v>
      </c>
      <c r="AC16" s="20"/>
      <c r="AD16" s="11" t="str">
        <f t="shared" si="17"/>
        <v>Software</v>
      </c>
      <c r="AE16" s="21">
        <f t="shared" si="18"/>
        <v>9921.864</v>
      </c>
      <c r="AF16" s="21">
        <f t="shared" si="19"/>
        <v>5567.456</v>
      </c>
      <c r="AG16" s="21">
        <f t="shared" si="20"/>
        <v>4354.408</v>
      </c>
      <c r="AH16" s="19">
        <f t="shared" si="21"/>
        <v>-0.4388699543</v>
      </c>
      <c r="AI16" s="11"/>
      <c r="AJ16" s="11"/>
      <c r="AK16" s="11" t="s">
        <v>70</v>
      </c>
      <c r="AL16" s="21">
        <f t="shared" si="22"/>
        <v>6626</v>
      </c>
      <c r="AM16" s="21">
        <f t="shared" si="23"/>
        <v>11192</v>
      </c>
      <c r="AN16" s="21">
        <f t="shared" si="24"/>
        <v>9921.864</v>
      </c>
      <c r="AO16" s="21">
        <f t="shared" si="25"/>
        <v>5567.456</v>
      </c>
      <c r="AP16" s="21">
        <f t="shared" si="26"/>
        <v>8607.456</v>
      </c>
      <c r="AQ16" s="29">
        <f t="shared" si="27"/>
        <v>11647.456</v>
      </c>
      <c r="AR16" s="11"/>
      <c r="AS16" s="11"/>
      <c r="AT16" s="11"/>
      <c r="AU16" s="11"/>
      <c r="AV16" s="11"/>
      <c r="AW16" s="11"/>
      <c r="AX16" s="11"/>
      <c r="AY16" s="11"/>
      <c r="AZ16" s="11"/>
      <c r="BA16" s="11"/>
      <c r="BB16" s="11"/>
      <c r="BC16" s="11"/>
      <c r="BD16" s="11"/>
      <c r="BE16" s="11"/>
      <c r="BF16" s="11"/>
      <c r="BG16" s="11"/>
      <c r="BH16" s="11"/>
      <c r="BI16" s="11"/>
      <c r="BJ16" s="11"/>
      <c r="BK16" s="11"/>
    </row>
    <row r="17">
      <c r="A17" s="11" t="s">
        <v>47</v>
      </c>
      <c r="B17" s="11" t="s">
        <v>71</v>
      </c>
      <c r="C17" s="11"/>
      <c r="D17" s="11" t="s">
        <v>72</v>
      </c>
      <c r="E17" s="24">
        <f>SUMIFS('Ops Departments'!P:P,'Ops Departments'!$B:$B,$B17,'Ops Departments'!$A:$A,$A17)</f>
        <v>0</v>
      </c>
      <c r="F17" s="24">
        <f>SUMIFS('Ops Departments'!Q:Q,'Ops Departments'!$B:$B,$B17,'Ops Departments'!$A:$A,$A17)</f>
        <v>0</v>
      </c>
      <c r="G17" s="24">
        <f>SUMIFS('Ops Departments'!R:R,'Ops Departments'!$B:$B,$B17,'Ops Departments'!$A:$A,$A17)</f>
        <v>0</v>
      </c>
      <c r="H17" s="24">
        <f>SUMIFS('Ops Departments'!S:S,'Ops Departments'!$B:$B,$B17,'Ops Departments'!$A:$A,$A17)</f>
        <v>0</v>
      </c>
      <c r="I17" s="24">
        <f>SUMIFS('Ops Departments'!T:T,'Ops Departments'!$B:$B,$B17,'Ops Departments'!$A:$A,$A17)</f>
        <v>0</v>
      </c>
      <c r="J17" s="24">
        <f>SUMIFS('Ops Departments'!U:U,'Ops Departments'!$B:$B,$B17,'Ops Departments'!$A:$A,$A17)</f>
        <v>0</v>
      </c>
      <c r="K17" s="24">
        <f>SUMIFS('Ops Departments'!V:V,'Ops Departments'!$B:$B,$B17,'Ops Departments'!$A:$A,$A17)</f>
        <v>0</v>
      </c>
      <c r="L17" s="24">
        <f>SUMIFS('Ops Departments'!W:W,'Ops Departments'!$B:$B,$B17,'Ops Departments'!$A:$A,$A17)</f>
        <v>0</v>
      </c>
      <c r="M17" s="24">
        <f>SUMIFS('Ops Departments'!X:X,'Ops Departments'!$B:$B,$B17,'Ops Departments'!$A:$A,$A17)</f>
        <v>0</v>
      </c>
      <c r="N17" s="24">
        <f>SUMIFS('Ops Departments'!Y:Y,'Ops Departments'!$B:$B,$B17,'Ops Departments'!$A:$A,$A17)</f>
        <v>0</v>
      </c>
      <c r="O17" s="24">
        <f>SUMIFS('Ops Departments'!Z:Z,'Ops Departments'!$B:$B,$B17,'Ops Departments'!$A:$A,$A17)</f>
        <v>0</v>
      </c>
      <c r="P17" s="24">
        <f>SUMIFS('Ops Departments'!AA:AA,'Ops Departments'!$B:$B,$B17,'Ops Departments'!$A:$A,$A17)</f>
        <v>0</v>
      </c>
      <c r="Q17" s="24">
        <f>SUMIFS('Ops Departments'!AB:AB,'Ops Departments'!$B:$B,$B17,'Ops Departments'!$A:$A,$A17)</f>
        <v>0</v>
      </c>
      <c r="R17" s="24">
        <f>SUMIFS('Ops Departments'!AC:AC,'Ops Departments'!$B:$B,$B17,'Ops Departments'!$A:$A,$A17)</f>
        <v>0</v>
      </c>
      <c r="S17" s="24">
        <f>SUMIFS('Ops Departments'!AD:AD,'Ops Departments'!$B:$B,$B17,'Ops Departments'!$A:$A,$A17)</f>
        <v>0</v>
      </c>
      <c r="T17" s="24">
        <f>SUMIFS('Ops Departments'!AE:AE,'Ops Departments'!$B:$B,$B17,'Ops Departments'!$A:$A,$A17)</f>
        <v>0</v>
      </c>
      <c r="U17" s="24">
        <f>SUMIFS('Ops Departments'!AF:AF,'Ops Departments'!$B:$B,$B17,'Ops Departments'!$A:$A,$A17)</f>
        <v>0</v>
      </c>
      <c r="V17" s="24">
        <f>SUMIFS('Ops Departments'!AG:AG,'Ops Departments'!$B:$B,$B17,'Ops Departments'!$A:$A,$A17)</f>
        <v>0</v>
      </c>
      <c r="W17" s="24">
        <f>SUMIFS('Ops Departments'!AH:AH,'Ops Departments'!$B:$B,$B17,'Ops Departments'!$A:$A,$A17)</f>
        <v>0</v>
      </c>
      <c r="X17" s="24">
        <f>SUMIFS('Ops Departments'!AI:AI,'Ops Departments'!$B:$B,$B17,'Ops Departments'!$A:$A,$A17)</f>
        <v>0</v>
      </c>
      <c r="Y17" s="24">
        <f>SUMIFS('Ops Departments'!AJ:AJ,'Ops Departments'!$B:$B,$B17,'Ops Departments'!$A:$A,$A17)</f>
        <v>0</v>
      </c>
      <c r="Z17" s="24">
        <f>SUMIFS('Ops Departments'!AK:AK,'Ops Departments'!$B:$B,$B17,'Ops Departments'!$A:$A,$A17)</f>
        <v>0</v>
      </c>
      <c r="AA17" s="24">
        <f>SUMIFS('Ops Departments'!AL:AL,'Ops Departments'!$B:$B,$B17,'Ops Departments'!$A:$A,$A17)</f>
        <v>0</v>
      </c>
      <c r="AB17" s="24">
        <f>SUMIFS('Ops Departments'!AM:AM,'Ops Departments'!$B:$B,$B17,'Ops Departments'!$A:$A,$A17)</f>
        <v>0</v>
      </c>
      <c r="AC17" s="20"/>
      <c r="AD17" s="11" t="str">
        <f t="shared" si="17"/>
        <v>Other</v>
      </c>
      <c r="AE17" s="30">
        <f t="shared" si="18"/>
        <v>0</v>
      </c>
      <c r="AF17" s="21">
        <f t="shared" si="19"/>
        <v>0</v>
      </c>
      <c r="AG17" s="30">
        <f t="shared" si="20"/>
        <v>0</v>
      </c>
      <c r="AH17" s="31" t="str">
        <f t="shared" si="21"/>
        <v>#DIV/0!</v>
      </c>
      <c r="AI17" s="11"/>
      <c r="AJ17" s="11"/>
      <c r="AK17" s="11" t="s">
        <v>72</v>
      </c>
      <c r="AL17" s="30">
        <f t="shared" si="22"/>
        <v>0</v>
      </c>
      <c r="AM17" s="21">
        <f t="shared" si="23"/>
        <v>0</v>
      </c>
      <c r="AN17" s="30">
        <f t="shared" si="24"/>
        <v>0</v>
      </c>
      <c r="AO17" s="30">
        <f t="shared" si="25"/>
        <v>0</v>
      </c>
      <c r="AP17" s="21">
        <f t="shared" si="26"/>
        <v>0</v>
      </c>
      <c r="AQ17" s="32">
        <f t="shared" si="27"/>
        <v>0</v>
      </c>
      <c r="AR17" s="11"/>
      <c r="AS17" s="11"/>
      <c r="AT17" s="11"/>
      <c r="AU17" s="11"/>
      <c r="AV17" s="11"/>
      <c r="AW17" s="11"/>
      <c r="AX17" s="11"/>
      <c r="AY17" s="11"/>
      <c r="AZ17" s="11"/>
      <c r="BA17" s="11"/>
      <c r="BB17" s="11"/>
      <c r="BC17" s="11"/>
      <c r="BD17" s="11"/>
      <c r="BE17" s="11"/>
      <c r="BF17" s="11"/>
      <c r="BG17" s="11"/>
      <c r="BH17" s="11"/>
      <c r="BI17" s="11"/>
      <c r="BJ17" s="11"/>
      <c r="BK17" s="11"/>
    </row>
    <row r="18">
      <c r="A18" s="11"/>
      <c r="B18" s="11"/>
      <c r="C18" s="11"/>
      <c r="D18" s="33" t="s">
        <v>73</v>
      </c>
      <c r="E18" s="34">
        <f t="shared" ref="E18:AB18" si="28">SUM(E13:E17)</f>
        <v>37249</v>
      </c>
      <c r="F18" s="34">
        <f t="shared" si="28"/>
        <v>32405</v>
      </c>
      <c r="G18" s="34">
        <f t="shared" si="28"/>
        <v>22411</v>
      </c>
      <c r="H18" s="34">
        <f t="shared" si="28"/>
        <v>30501</v>
      </c>
      <c r="I18" s="34">
        <f t="shared" si="28"/>
        <v>32074</v>
      </c>
      <c r="J18" s="34">
        <f t="shared" si="28"/>
        <v>34926</v>
      </c>
      <c r="K18" s="34">
        <f t="shared" si="28"/>
        <v>37183</v>
      </c>
      <c r="L18" s="34">
        <f t="shared" si="28"/>
        <v>30206</v>
      </c>
      <c r="M18" s="34">
        <f t="shared" si="28"/>
        <v>35177</v>
      </c>
      <c r="N18" s="34">
        <f t="shared" si="28"/>
        <v>32633</v>
      </c>
      <c r="O18" s="34">
        <f t="shared" si="28"/>
        <v>37146</v>
      </c>
      <c r="P18" s="34">
        <f t="shared" si="28"/>
        <v>113419.4994</v>
      </c>
      <c r="Q18" s="34">
        <f t="shared" si="28"/>
        <v>145109.0454</v>
      </c>
      <c r="R18" s="34">
        <f t="shared" si="28"/>
        <v>152044.6446</v>
      </c>
      <c r="S18" s="34">
        <f t="shared" si="28"/>
        <v>159466.1323</v>
      </c>
      <c r="T18" s="34">
        <f t="shared" si="28"/>
        <v>160096.2255</v>
      </c>
      <c r="U18" s="34">
        <f t="shared" si="28"/>
        <v>167538.0827</v>
      </c>
      <c r="V18" s="34">
        <f t="shared" si="28"/>
        <v>168431.745</v>
      </c>
      <c r="W18" s="34">
        <f t="shared" si="28"/>
        <v>175630.8466</v>
      </c>
      <c r="X18" s="34">
        <f t="shared" si="28"/>
        <v>176565.7065</v>
      </c>
      <c r="Y18" s="34">
        <f t="shared" si="28"/>
        <v>183721.4839</v>
      </c>
      <c r="Z18" s="34">
        <f t="shared" si="28"/>
        <v>184682.053</v>
      </c>
      <c r="AA18" s="34">
        <f t="shared" si="28"/>
        <v>185672.5374</v>
      </c>
      <c r="AB18" s="34">
        <f t="shared" si="28"/>
        <v>200415.4809</v>
      </c>
      <c r="AC18" s="24"/>
      <c r="AD18" s="33" t="str">
        <f t="shared" si="17"/>
        <v>Total COGS</v>
      </c>
      <c r="AE18" s="12">
        <f t="shared" si="18"/>
        <v>218375.4994</v>
      </c>
      <c r="AF18" s="35">
        <f t="shared" si="19"/>
        <v>616716.0478</v>
      </c>
      <c r="AG18" s="12">
        <f t="shared" si="20"/>
        <v>-398340.5484</v>
      </c>
      <c r="AH18" s="19">
        <f t="shared" si="21"/>
        <v>1.824108243</v>
      </c>
      <c r="AI18" s="11"/>
      <c r="AJ18" s="11"/>
      <c r="AK18" s="33" t="s">
        <v>73</v>
      </c>
      <c r="AL18" s="12">
        <f t="shared" si="22"/>
        <v>122566</v>
      </c>
      <c r="AM18" s="35">
        <f t="shared" si="23"/>
        <v>134389</v>
      </c>
      <c r="AN18" s="12">
        <f t="shared" si="24"/>
        <v>218375.4994</v>
      </c>
      <c r="AO18" s="12">
        <f t="shared" si="25"/>
        <v>616716.0478</v>
      </c>
      <c r="AP18" s="35">
        <f t="shared" si="26"/>
        <v>688166.3807</v>
      </c>
      <c r="AQ18" s="29">
        <f t="shared" si="27"/>
        <v>754491.5552</v>
      </c>
      <c r="AR18" s="11"/>
      <c r="AS18" s="11"/>
      <c r="AT18" s="11"/>
      <c r="AU18" s="11"/>
      <c r="AV18" s="11"/>
      <c r="AW18" s="11"/>
      <c r="AX18" s="11"/>
      <c r="AY18" s="11"/>
      <c r="AZ18" s="11"/>
      <c r="BA18" s="11"/>
      <c r="BB18" s="11"/>
      <c r="BC18" s="11"/>
      <c r="BD18" s="11"/>
      <c r="BE18" s="11"/>
      <c r="BF18" s="11"/>
      <c r="BG18" s="11"/>
      <c r="BH18" s="11"/>
      <c r="BI18" s="11"/>
      <c r="BJ18" s="11"/>
      <c r="BK18" s="11"/>
    </row>
    <row r="19">
      <c r="A19" s="11"/>
      <c r="B19" s="11"/>
      <c r="C19" s="11"/>
      <c r="D19" s="11"/>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11"/>
      <c r="AE19" s="24"/>
      <c r="AF19" s="24"/>
      <c r="AG19" s="12"/>
      <c r="AH19" s="19"/>
      <c r="AI19" s="11"/>
      <c r="AJ19" s="11"/>
      <c r="AK19" s="11"/>
      <c r="AL19" s="24"/>
      <c r="AM19" s="24"/>
      <c r="AN19" s="24"/>
      <c r="AO19" s="24"/>
      <c r="AP19" s="24"/>
      <c r="AQ19" s="24"/>
      <c r="AR19" s="11"/>
      <c r="AS19" s="11"/>
      <c r="AT19" s="11"/>
      <c r="AU19" s="11"/>
      <c r="AV19" s="11"/>
      <c r="AW19" s="11"/>
      <c r="AX19" s="11"/>
      <c r="AY19" s="11"/>
      <c r="AZ19" s="11"/>
      <c r="BA19" s="11"/>
      <c r="BB19" s="11"/>
      <c r="BC19" s="11"/>
      <c r="BD19" s="11"/>
      <c r="BE19" s="11"/>
      <c r="BF19" s="11"/>
      <c r="BG19" s="11"/>
      <c r="BH19" s="11"/>
      <c r="BI19" s="11"/>
      <c r="BJ19" s="11"/>
      <c r="BK19" s="11"/>
    </row>
    <row r="20" ht="15.75" customHeight="1">
      <c r="A20" s="11"/>
      <c r="B20" s="11"/>
      <c r="C20" s="11"/>
      <c r="D20" s="36" t="str">
        <f>CONCATENATE(B4," Gross Profit")</f>
        <v>Paid Media Gross Profit</v>
      </c>
      <c r="E20" s="37">
        <f t="shared" ref="E20:AB20" si="29">E9-E18</f>
        <v>187919</v>
      </c>
      <c r="F20" s="37">
        <f t="shared" si="29"/>
        <v>170579</v>
      </c>
      <c r="G20" s="37">
        <f t="shared" si="29"/>
        <v>207726</v>
      </c>
      <c r="H20" s="37">
        <f t="shared" si="29"/>
        <v>185209</v>
      </c>
      <c r="I20" s="37">
        <f t="shared" si="29"/>
        <v>243811</v>
      </c>
      <c r="J20" s="37">
        <f t="shared" si="29"/>
        <v>161423</v>
      </c>
      <c r="K20" s="37">
        <f t="shared" si="29"/>
        <v>237786</v>
      </c>
      <c r="L20" s="37">
        <f t="shared" si="29"/>
        <v>1016569</v>
      </c>
      <c r="M20" s="37">
        <f t="shared" si="29"/>
        <v>981855.33</v>
      </c>
      <c r="N20" s="37">
        <f t="shared" si="29"/>
        <v>995943.31</v>
      </c>
      <c r="O20" s="37">
        <f t="shared" si="29"/>
        <v>1063236</v>
      </c>
      <c r="P20" s="37">
        <f t="shared" si="29"/>
        <v>310618.8593</v>
      </c>
      <c r="Q20" s="37">
        <f t="shared" si="29"/>
        <v>359132.4909</v>
      </c>
      <c r="R20" s="37">
        <f t="shared" si="29"/>
        <v>430763.6177</v>
      </c>
      <c r="S20" s="37">
        <f t="shared" si="29"/>
        <v>496753.1521</v>
      </c>
      <c r="T20" s="37">
        <f t="shared" si="29"/>
        <v>569201.9382</v>
      </c>
      <c r="U20" s="37">
        <f t="shared" si="29"/>
        <v>643378.674</v>
      </c>
      <c r="V20" s="37">
        <f t="shared" si="29"/>
        <v>720470.1588</v>
      </c>
      <c r="W20" s="37">
        <f t="shared" si="29"/>
        <v>788931.5437</v>
      </c>
      <c r="X20" s="37">
        <f t="shared" si="29"/>
        <v>862739.1277</v>
      </c>
      <c r="Y20" s="37">
        <f t="shared" si="29"/>
        <v>932357.8677</v>
      </c>
      <c r="Z20" s="37">
        <f t="shared" si="29"/>
        <v>1002475.218</v>
      </c>
      <c r="AA20" s="37">
        <f t="shared" si="29"/>
        <v>1076532.264</v>
      </c>
      <c r="AB20" s="37">
        <f t="shared" si="29"/>
        <v>1139777.918</v>
      </c>
      <c r="AC20" s="38"/>
      <c r="AD20" s="36" t="str">
        <f t="shared" ref="AD20:AD21" si="32">D20</f>
        <v>Paid Media Gross Profit</v>
      </c>
      <c r="AE20" s="39">
        <f t="shared" ref="AE20:AF20" si="30">AE9-AE18</f>
        <v>3351653.499</v>
      </c>
      <c r="AF20" s="39">
        <f t="shared" si="30"/>
        <v>1855851.199</v>
      </c>
      <c r="AG20" s="40">
        <f t="shared" ref="AG20:AG21" si="34">AF20-AE20</f>
        <v>-1495802.3</v>
      </c>
      <c r="AH20" s="41">
        <f>AF20/AE20-1</f>
        <v>-0.4462878698</v>
      </c>
      <c r="AI20" s="11"/>
      <c r="AJ20" s="28"/>
      <c r="AK20" s="36" t="s">
        <v>74</v>
      </c>
      <c r="AL20" s="37">
        <f>SUM(E20:H20)</f>
        <v>751433</v>
      </c>
      <c r="AM20" s="37">
        <f>SUM(I20:L20)</f>
        <v>1659589</v>
      </c>
      <c r="AN20" s="37">
        <f>SUM(M20:P20)</f>
        <v>3351653.499</v>
      </c>
      <c r="AO20" s="37">
        <f>SUM(Q20:T20)</f>
        <v>1855851.199</v>
      </c>
      <c r="AP20" s="37">
        <f>SUM(U20:X20)</f>
        <v>3015519.504</v>
      </c>
      <c r="AQ20" s="37">
        <f>SUM(Y20:AB20)</f>
        <v>4151143.268</v>
      </c>
      <c r="AR20" s="11"/>
      <c r="AS20" s="11"/>
      <c r="AT20" s="11"/>
      <c r="AU20" s="11"/>
      <c r="AV20" s="11"/>
      <c r="AW20" s="11"/>
      <c r="AX20" s="11"/>
      <c r="AY20" s="11"/>
      <c r="AZ20" s="11"/>
      <c r="BA20" s="11"/>
      <c r="BB20" s="11"/>
      <c r="BC20" s="11"/>
      <c r="BD20" s="11"/>
      <c r="BE20" s="11"/>
      <c r="BF20" s="11"/>
      <c r="BG20" s="11"/>
      <c r="BH20" s="11"/>
      <c r="BI20" s="11"/>
      <c r="BJ20" s="11"/>
      <c r="BK20" s="11"/>
    </row>
    <row r="21" ht="15.75" customHeight="1">
      <c r="A21" s="11"/>
      <c r="B21" s="11"/>
      <c r="C21" s="11"/>
      <c r="D21" s="42" t="s">
        <v>75</v>
      </c>
      <c r="E21" s="43">
        <f t="shared" ref="E21:AB21" si="31">E20/E9</f>
        <v>0.8345724082</v>
      </c>
      <c r="F21" s="43">
        <f t="shared" si="31"/>
        <v>0.8403568754</v>
      </c>
      <c r="G21" s="43">
        <f t="shared" si="31"/>
        <v>0.9026188748</v>
      </c>
      <c r="H21" s="43">
        <f t="shared" si="31"/>
        <v>0.8586018265</v>
      </c>
      <c r="I21" s="43">
        <f t="shared" si="31"/>
        <v>0.883741414</v>
      </c>
      <c r="J21" s="43">
        <f t="shared" si="31"/>
        <v>0.8221228527</v>
      </c>
      <c r="K21" s="43">
        <f t="shared" si="31"/>
        <v>0.8647738472</v>
      </c>
      <c r="L21" s="43">
        <f t="shared" si="31"/>
        <v>0.971143751</v>
      </c>
      <c r="M21" s="43">
        <f t="shared" si="31"/>
        <v>0.9654121123</v>
      </c>
      <c r="N21" s="43">
        <f t="shared" si="31"/>
        <v>0.9682736228</v>
      </c>
      <c r="O21" s="43">
        <f t="shared" si="31"/>
        <v>0.9662426321</v>
      </c>
      <c r="P21" s="43">
        <f t="shared" si="31"/>
        <v>0.7325253788</v>
      </c>
      <c r="Q21" s="43">
        <f t="shared" si="31"/>
        <v>0.7122231411</v>
      </c>
      <c r="R21" s="43">
        <f t="shared" si="31"/>
        <v>0.7391172116</v>
      </c>
      <c r="S21" s="43">
        <f t="shared" si="31"/>
        <v>0.756992615</v>
      </c>
      <c r="T21" s="43">
        <f t="shared" si="31"/>
        <v>0.7804790504</v>
      </c>
      <c r="U21" s="43">
        <f t="shared" si="31"/>
        <v>0.7933966942</v>
      </c>
      <c r="V21" s="43">
        <f t="shared" si="31"/>
        <v>0.8105170612</v>
      </c>
      <c r="W21" s="43">
        <f t="shared" si="31"/>
        <v>0.8179165512</v>
      </c>
      <c r="X21" s="43">
        <f t="shared" si="31"/>
        <v>0.830111724</v>
      </c>
      <c r="Y21" s="43">
        <f t="shared" si="31"/>
        <v>0.835386719</v>
      </c>
      <c r="Z21" s="43">
        <f t="shared" si="31"/>
        <v>0.8444333725</v>
      </c>
      <c r="AA21" s="43">
        <f t="shared" si="31"/>
        <v>0.8528982482</v>
      </c>
      <c r="AB21" s="43">
        <f t="shared" si="31"/>
        <v>0.8504577914</v>
      </c>
      <c r="AC21" s="43"/>
      <c r="AD21" s="42" t="str">
        <f t="shared" si="32"/>
        <v>  Gross Margin</v>
      </c>
      <c r="AE21" s="43">
        <f t="shared" ref="AE21:AF21" si="33">AE20/AE9</f>
        <v>0.9388308892</v>
      </c>
      <c r="AF21" s="43">
        <f t="shared" si="33"/>
        <v>0.750576633</v>
      </c>
      <c r="AG21" s="43">
        <f t="shared" si="34"/>
        <v>-0.1882542562</v>
      </c>
      <c r="AH21" s="43"/>
      <c r="AI21" s="11"/>
      <c r="AJ21" s="42"/>
      <c r="AK21" s="42" t="s">
        <v>75</v>
      </c>
      <c r="AL21" s="43">
        <f t="shared" ref="AL21:AQ21" si="35">AL20/AL9</f>
        <v>0.8597641416</v>
      </c>
      <c r="AM21" s="43">
        <f t="shared" si="35"/>
        <v>0.9250888249</v>
      </c>
      <c r="AN21" s="43">
        <f t="shared" si="35"/>
        <v>0.9388308892</v>
      </c>
      <c r="AO21" s="43">
        <f t="shared" si="35"/>
        <v>0.750576633</v>
      </c>
      <c r="AP21" s="43">
        <f t="shared" si="35"/>
        <v>0.8141941833</v>
      </c>
      <c r="AQ21" s="43">
        <f t="shared" si="35"/>
        <v>0.8461989972</v>
      </c>
      <c r="AR21" s="11"/>
      <c r="AS21" s="11"/>
      <c r="AT21" s="11"/>
      <c r="AU21" s="11"/>
      <c r="AV21" s="11"/>
      <c r="AW21" s="11"/>
      <c r="AX21" s="11"/>
      <c r="AY21" s="11"/>
      <c r="AZ21" s="11"/>
      <c r="BA21" s="11"/>
      <c r="BB21" s="11"/>
      <c r="BC21" s="11"/>
      <c r="BD21" s="11"/>
      <c r="BE21" s="11"/>
      <c r="BF21" s="11"/>
      <c r="BG21" s="11"/>
      <c r="BH21" s="11"/>
      <c r="BI21" s="11"/>
      <c r="BJ21" s="11"/>
      <c r="BK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2"/>
      <c r="AH22" s="19"/>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row>
    <row r="23" ht="15.75" customHeight="1">
      <c r="A23" s="11"/>
      <c r="B23" s="11"/>
      <c r="C23" s="11"/>
      <c r="D23" s="11" t="s">
        <v>15</v>
      </c>
      <c r="E23" s="20">
        <f>Headcount!H10</f>
        <v>20</v>
      </c>
      <c r="F23" s="20">
        <f>Headcount!I10</f>
        <v>20</v>
      </c>
      <c r="G23" s="20">
        <f>Headcount!J10</f>
        <v>20</v>
      </c>
      <c r="H23" s="20">
        <f>Headcount!K10</f>
        <v>20</v>
      </c>
      <c r="I23" s="20">
        <f>Headcount!L10</f>
        <v>20</v>
      </c>
      <c r="J23" s="20">
        <f>Headcount!M10</f>
        <v>20</v>
      </c>
      <c r="K23" s="20">
        <f>Headcount!N10</f>
        <v>20</v>
      </c>
      <c r="L23" s="20">
        <f>Headcount!O10</f>
        <v>20</v>
      </c>
      <c r="M23" s="20">
        <f>Headcount!P10</f>
        <v>20</v>
      </c>
      <c r="N23" s="20">
        <f>Headcount!Q10+Headcount!Q11</f>
        <v>40</v>
      </c>
      <c r="O23" s="20">
        <f>Headcount!R10+Headcount!R11</f>
        <v>40</v>
      </c>
      <c r="P23" s="20">
        <f>Headcount!S10+Headcount!S11</f>
        <v>48</v>
      </c>
      <c r="Q23" s="20">
        <f>Headcount!T10+Headcount!T11</f>
        <v>51</v>
      </c>
      <c r="R23" s="20">
        <f>Headcount!U10+Headcount!U11</f>
        <v>52</v>
      </c>
      <c r="S23" s="20">
        <f>Headcount!V10+Headcount!V11</f>
        <v>53</v>
      </c>
      <c r="T23" s="20">
        <f>Headcount!W10+Headcount!W11</f>
        <v>53</v>
      </c>
      <c r="U23" s="20">
        <f>Headcount!X10+Headcount!X11</f>
        <v>53</v>
      </c>
      <c r="V23" s="20">
        <f>Headcount!Y10+Headcount!Y11</f>
        <v>53</v>
      </c>
      <c r="W23" s="20">
        <f>Headcount!Z10+Headcount!Z11</f>
        <v>53</v>
      </c>
      <c r="X23" s="20">
        <f>Headcount!AA10+Headcount!AA11</f>
        <v>53</v>
      </c>
      <c r="Y23" s="20">
        <f>Headcount!AB10+Headcount!AB11</f>
        <v>53</v>
      </c>
      <c r="Z23" s="20">
        <f>Headcount!AC10+Headcount!AC11</f>
        <v>53</v>
      </c>
      <c r="AA23" s="20">
        <f>Headcount!AD10+Headcount!AD11</f>
        <v>53</v>
      </c>
      <c r="AB23" s="20">
        <f>Headcount!AE10+Headcount!AE11</f>
        <v>54</v>
      </c>
      <c r="AC23" s="11"/>
      <c r="AD23" s="11" t="str">
        <f t="shared" ref="AD23:AD27" si="36">D23</f>
        <v>Headcount</v>
      </c>
      <c r="AE23" s="20">
        <f>P23</f>
        <v>48</v>
      </c>
      <c r="AF23" s="20">
        <f>T23</f>
        <v>53</v>
      </c>
      <c r="AG23" s="21">
        <f t="shared" ref="AG23:AG29" si="37">AF23-AE23</f>
        <v>5</v>
      </c>
      <c r="AH23" s="19">
        <f t="shared" ref="AH23:AH29" si="38">AF23/AE23-1</f>
        <v>0.1041666667</v>
      </c>
      <c r="AI23" s="11"/>
      <c r="AJ23" s="11"/>
      <c r="AK23" s="11" t="s">
        <v>15</v>
      </c>
      <c r="AL23" s="20">
        <f>H23</f>
        <v>20</v>
      </c>
      <c r="AM23" s="20">
        <f>L23</f>
        <v>20</v>
      </c>
      <c r="AN23" s="20">
        <f>P23</f>
        <v>48</v>
      </c>
      <c r="AO23" s="20">
        <f>T23</f>
        <v>53</v>
      </c>
      <c r="AP23" s="20">
        <f>X23</f>
        <v>53</v>
      </c>
      <c r="AQ23" s="20">
        <f>AB23</f>
        <v>54</v>
      </c>
      <c r="AR23" s="11"/>
      <c r="AS23" s="11"/>
      <c r="AT23" s="11"/>
      <c r="AU23" s="11"/>
      <c r="AV23" s="11"/>
      <c r="AW23" s="11"/>
      <c r="AX23" s="11"/>
      <c r="AY23" s="11"/>
      <c r="AZ23" s="11"/>
      <c r="BA23" s="11"/>
      <c r="BB23" s="11"/>
      <c r="BC23" s="11"/>
      <c r="BD23" s="11"/>
      <c r="BE23" s="11"/>
      <c r="BF23" s="11"/>
      <c r="BG23" s="11"/>
      <c r="BH23" s="11"/>
      <c r="BI23" s="11"/>
      <c r="BJ23" s="11"/>
      <c r="BK23" s="11"/>
    </row>
    <row r="24" ht="15.75" customHeight="1">
      <c r="A24" s="11"/>
      <c r="B24" s="11"/>
      <c r="C24" s="11"/>
      <c r="D24" s="11" t="s">
        <v>76</v>
      </c>
      <c r="E24" s="12">
        <f>E9/Capacity!O34</f>
        <v>11258.4</v>
      </c>
      <c r="F24" s="12">
        <f>F9/Capacity!P34</f>
        <v>10149.2</v>
      </c>
      <c r="G24" s="12">
        <f>G9/Capacity!Q34</f>
        <v>11506.85</v>
      </c>
      <c r="H24" s="12">
        <f>H9/Capacity!R34</f>
        <v>10785.5</v>
      </c>
      <c r="I24" s="12">
        <f>I9/Capacity!S34</f>
        <v>13794.25</v>
      </c>
      <c r="J24" s="12">
        <f>J9/Capacity!T34</f>
        <v>9817.45</v>
      </c>
      <c r="K24" s="12">
        <f>K9/Capacity!U34</f>
        <v>13748.45</v>
      </c>
      <c r="L24" s="12">
        <f>L9/Capacity!V34</f>
        <v>52338.75</v>
      </c>
      <c r="M24" s="12">
        <f>M9/Capacity!W34</f>
        <v>50851.6165</v>
      </c>
      <c r="N24" s="12">
        <f>N9/Capacity!X34</f>
        <v>51428.8155</v>
      </c>
      <c r="O24" s="12">
        <f>O9/Capacity!Y34</f>
        <v>55019.1</v>
      </c>
      <c r="P24" s="12">
        <f>P9/Capacity!Z34</f>
        <v>20192.30279</v>
      </c>
      <c r="Q24" s="12">
        <f>Q9/Capacity!AA34</f>
        <v>22920.06983</v>
      </c>
      <c r="R24" s="12">
        <f>R9/Capacity!AB34</f>
        <v>26491.28465</v>
      </c>
      <c r="S24" s="12">
        <f>S9/Capacity!AC34</f>
        <v>29828.14929</v>
      </c>
      <c r="T24" s="12">
        <f>T9/Capacity!AD34</f>
        <v>33149.91653</v>
      </c>
      <c r="U24" s="12">
        <f>U9/Capacity!AE34</f>
        <v>36859.85258</v>
      </c>
      <c r="V24" s="12">
        <f>V9/Capacity!AF34</f>
        <v>40404.63199</v>
      </c>
      <c r="W24" s="12">
        <f>W9/Capacity!AG34</f>
        <v>43843.74501</v>
      </c>
      <c r="X24" s="12">
        <f>X9/Capacity!AH34</f>
        <v>47241.12883</v>
      </c>
      <c r="Y24" s="12">
        <f>Y9/Capacity!AI34</f>
        <v>50730.87962</v>
      </c>
      <c r="Z24" s="12">
        <f>Z9/Capacity!AJ34</f>
        <v>53961.69414</v>
      </c>
      <c r="AA24" s="12">
        <f>AA9/Capacity!AK34</f>
        <v>57372.94551</v>
      </c>
      <c r="AB24" s="12">
        <f>AB9/Capacity!AL34</f>
        <v>58269.27823</v>
      </c>
      <c r="AC24" s="11"/>
      <c r="AD24" s="11" t="str">
        <f t="shared" si="36"/>
        <v>Revenue/Strategist</v>
      </c>
      <c r="AE24" s="12">
        <f>AVERAGE(M24:P24)</f>
        <v>44372.9587</v>
      </c>
      <c r="AF24" s="12">
        <f>AVERAGE(Q24:T24)</f>
        <v>28097.35508</v>
      </c>
      <c r="AG24" s="12">
        <f t="shared" si="37"/>
        <v>-16275.60362</v>
      </c>
      <c r="AH24" s="19">
        <f t="shared" si="38"/>
        <v>-0.366791039</v>
      </c>
      <c r="AI24" s="11"/>
      <c r="AJ24" s="11"/>
      <c r="AK24" s="11" t="s">
        <v>76</v>
      </c>
      <c r="AL24" s="12">
        <f>AVERAGE(E24:H24)</f>
        <v>10924.9875</v>
      </c>
      <c r="AM24" s="12">
        <f>AVERAGE(I24:L24)</f>
        <v>22424.725</v>
      </c>
      <c r="AN24" s="12">
        <f>AVERAGE(M24:P24)</f>
        <v>44372.9587</v>
      </c>
      <c r="AO24" s="12">
        <f>AVERAGE(Q24:T24)</f>
        <v>28097.35508</v>
      </c>
      <c r="AP24" s="12">
        <f>AVERAGE(U24:X24)</f>
        <v>42087.3396</v>
      </c>
      <c r="AQ24" s="12">
        <f>AVERAGE(Y24:AB24)</f>
        <v>55083.69937</v>
      </c>
      <c r="AR24" s="11"/>
      <c r="AS24" s="11"/>
      <c r="AT24" s="11"/>
      <c r="AU24" s="11"/>
      <c r="AV24" s="11"/>
      <c r="AW24" s="11"/>
      <c r="AX24" s="11"/>
      <c r="AY24" s="11"/>
      <c r="AZ24" s="11"/>
      <c r="BA24" s="11"/>
      <c r="BB24" s="11"/>
      <c r="BC24" s="11"/>
      <c r="BD24" s="11"/>
      <c r="BE24" s="11"/>
      <c r="BF24" s="11"/>
      <c r="BG24" s="11"/>
      <c r="BH24" s="11"/>
      <c r="BI24" s="11"/>
      <c r="BJ24" s="11"/>
      <c r="BK24" s="11"/>
    </row>
    <row r="25" ht="15.75" customHeight="1">
      <c r="A25" s="11"/>
      <c r="B25" s="11"/>
      <c r="C25" s="11"/>
      <c r="D25" s="11" t="s">
        <v>77</v>
      </c>
      <c r="E25" s="21">
        <f>SUM('New Biz Sales'!O39)</f>
        <v>30</v>
      </c>
      <c r="F25" s="21">
        <f>SUM('New Biz Sales'!P39)</f>
        <v>30</v>
      </c>
      <c r="G25" s="21">
        <f>SUM('New Biz Sales'!Q39)</f>
        <v>30</v>
      </c>
      <c r="H25" s="21">
        <f>SUM('New Biz Sales'!R39)</f>
        <v>30</v>
      </c>
      <c r="I25" s="21">
        <f>SUM('New Biz Sales'!S39)</f>
        <v>30</v>
      </c>
      <c r="J25" s="21">
        <f>SUM('New Biz Sales'!T39)</f>
        <v>30</v>
      </c>
      <c r="K25" s="21">
        <f>SUM('New Biz Sales'!U39)</f>
        <v>30</v>
      </c>
      <c r="L25" s="21">
        <f>SUM('New Biz Sales'!V39)</f>
        <v>30</v>
      </c>
      <c r="M25" s="21">
        <f>SUM('New Biz Sales'!W39)</f>
        <v>30</v>
      </c>
      <c r="N25" s="21">
        <f>SUM('New Biz Sales'!X39)</f>
        <v>30</v>
      </c>
      <c r="O25" s="21">
        <f>SUM('New Biz Sales'!Y39)</f>
        <v>30</v>
      </c>
      <c r="P25" s="21">
        <f>SUM('New Biz Sales'!Z39)</f>
        <v>33</v>
      </c>
      <c r="Q25" s="21">
        <f>SUM('New Biz Sales'!AA39)</f>
        <v>33</v>
      </c>
      <c r="R25" s="21">
        <f>SUM('New Biz Sales'!AB39)</f>
        <v>33</v>
      </c>
      <c r="S25" s="21">
        <f>SUM('New Biz Sales'!AC39)</f>
        <v>33</v>
      </c>
      <c r="T25" s="21">
        <f>SUM('New Biz Sales'!AD39)</f>
        <v>33</v>
      </c>
      <c r="U25" s="21">
        <f>SUM('New Biz Sales'!AE39)</f>
        <v>33</v>
      </c>
      <c r="V25" s="21">
        <f>SUM('New Biz Sales'!AF39)</f>
        <v>33</v>
      </c>
      <c r="W25" s="21">
        <f>SUM('New Biz Sales'!AG39)</f>
        <v>33</v>
      </c>
      <c r="X25" s="21">
        <f>SUM('New Biz Sales'!AH39)</f>
        <v>31.68</v>
      </c>
      <c r="Y25" s="21">
        <f>SUM('New Biz Sales'!AI39)</f>
        <v>31.68</v>
      </c>
      <c r="Z25" s="21">
        <f>SUM('New Biz Sales'!AJ39)</f>
        <v>31.68</v>
      </c>
      <c r="AA25" s="21">
        <f>SUM('New Biz Sales'!AK39)</f>
        <v>31.8384</v>
      </c>
      <c r="AB25" s="21">
        <f>SUM('New Biz Sales'!AL39)</f>
        <v>22.28688</v>
      </c>
      <c r="AC25" s="11"/>
      <c r="AD25" s="11" t="str">
        <f t="shared" si="36"/>
        <v># of Product Opportunities</v>
      </c>
      <c r="AE25" s="21">
        <f t="shared" ref="AE25:AE26" si="39">SUM(M25:P25)</f>
        <v>123</v>
      </c>
      <c r="AF25" s="21">
        <f t="shared" ref="AF25:AF26" si="40">SUM(Q25:T25)</f>
        <v>132</v>
      </c>
      <c r="AG25" s="21">
        <f t="shared" si="37"/>
        <v>9</v>
      </c>
      <c r="AH25" s="19">
        <f t="shared" si="38"/>
        <v>0.07317073171</v>
      </c>
      <c r="AI25" s="11"/>
      <c r="AJ25" s="11"/>
      <c r="AK25" s="11" t="s">
        <v>77</v>
      </c>
      <c r="AL25" s="21">
        <f t="shared" ref="AL25:AL26" si="41">SUM(E25:H25)</f>
        <v>120</v>
      </c>
      <c r="AM25" s="21">
        <f t="shared" ref="AM25:AM26" si="42">SUM(I25:L25)</f>
        <v>120</v>
      </c>
      <c r="AN25" s="21">
        <f t="shared" ref="AN25:AN26" si="43">SUM(M25:P25)</f>
        <v>123</v>
      </c>
      <c r="AO25" s="21">
        <f t="shared" ref="AO25:AO26" si="44">SUM(Q25:T25)</f>
        <v>132</v>
      </c>
      <c r="AP25" s="21">
        <f t="shared" ref="AP25:AP26" si="45">SUM(U25:X25)</f>
        <v>130.68</v>
      </c>
      <c r="AQ25" s="21">
        <f t="shared" ref="AQ25:AQ26" si="46">SUM(Y25:AB25)</f>
        <v>117.48528</v>
      </c>
      <c r="AR25" s="11"/>
      <c r="AS25" s="11"/>
      <c r="AT25" s="11"/>
      <c r="AU25" s="11"/>
      <c r="AV25" s="11"/>
      <c r="AW25" s="11"/>
      <c r="AX25" s="11"/>
      <c r="AY25" s="11"/>
      <c r="AZ25" s="11"/>
      <c r="BA25" s="11"/>
      <c r="BB25" s="11"/>
      <c r="BC25" s="11"/>
      <c r="BD25" s="11"/>
      <c r="BE25" s="11"/>
      <c r="BF25" s="11"/>
      <c r="BG25" s="11"/>
      <c r="BH25" s="11"/>
      <c r="BI25" s="11"/>
      <c r="BJ25" s="11"/>
      <c r="BK25" s="11"/>
    </row>
    <row r="26" ht="15.75" customHeight="1">
      <c r="A26" s="11"/>
      <c r="B26" s="11"/>
      <c r="C26" s="11"/>
      <c r="D26" s="11" t="s">
        <v>78</v>
      </c>
      <c r="E26" s="20">
        <f>'New Biz Sales'!O88+'Portfolio Sales'!E81</f>
        <v>6</v>
      </c>
      <c r="F26" s="20">
        <f>'New Biz Sales'!P88+'Portfolio Sales'!F81</f>
        <v>6</v>
      </c>
      <c r="G26" s="20">
        <f>'New Biz Sales'!Q88+'Portfolio Sales'!G81</f>
        <v>8</v>
      </c>
      <c r="H26" s="20">
        <f>'New Biz Sales'!R88+'Portfolio Sales'!H81</f>
        <v>9</v>
      </c>
      <c r="I26" s="20">
        <f>'New Biz Sales'!S88+'Portfolio Sales'!I81</f>
        <v>8</v>
      </c>
      <c r="J26" s="20">
        <f>'New Biz Sales'!T88+'Portfolio Sales'!J81</f>
        <v>7</v>
      </c>
      <c r="K26" s="20">
        <f>'New Biz Sales'!U88+'Portfolio Sales'!K81</f>
        <v>8</v>
      </c>
      <c r="L26" s="20">
        <f>'New Biz Sales'!V88+'Portfolio Sales'!L81</f>
        <v>13</v>
      </c>
      <c r="M26" s="20">
        <f>'New Biz Sales'!W88+'Portfolio Sales'!M81</f>
        <v>5</v>
      </c>
      <c r="N26" s="20">
        <f>'New Biz Sales'!X88+'Portfolio Sales'!N81</f>
        <v>8</v>
      </c>
      <c r="O26" s="20">
        <f>'New Biz Sales'!Y88+'Portfolio Sales'!O81</f>
        <v>10</v>
      </c>
      <c r="P26" s="20">
        <f>'New Biz Sales'!Z88+'Portfolio Sales'!P81</f>
        <v>5.389790125</v>
      </c>
      <c r="Q26" s="20">
        <f>'New Biz Sales'!AA88+'Portfolio Sales'!Q81</f>
        <v>6.210698871</v>
      </c>
      <c r="R26" s="20">
        <f>'New Biz Sales'!AB88+'Portfolio Sales'!R81</f>
        <v>6.996302314</v>
      </c>
      <c r="S26" s="20">
        <f>'New Biz Sales'!AC88+'Portfolio Sales'!S81</f>
        <v>7.37710871</v>
      </c>
      <c r="T26" s="20">
        <f>'New Biz Sales'!AD88+'Portfolio Sales'!T81</f>
        <v>7.645687603</v>
      </c>
      <c r="U26" s="20">
        <f>'New Biz Sales'!AE88+'Portfolio Sales'!U81</f>
        <v>7.983240053</v>
      </c>
      <c r="V26" s="20">
        <f>'New Biz Sales'!AF88+'Portfolio Sales'!V81</f>
        <v>8.059266513</v>
      </c>
      <c r="W26" s="20">
        <f>'New Biz Sales'!AG88+'Portfolio Sales'!W81</f>
        <v>8.123588866</v>
      </c>
      <c r="X26" s="20">
        <f>'New Biz Sales'!AH88+'Portfolio Sales'!X81</f>
        <v>8.183062941</v>
      </c>
      <c r="Y26" s="20">
        <f>'New Biz Sales'!AI88+'Portfolio Sales'!Y81</f>
        <v>8.404777386</v>
      </c>
      <c r="Z26" s="20">
        <f>'New Biz Sales'!AJ88+'Portfolio Sales'!Z81</f>
        <v>8.266420992</v>
      </c>
      <c r="AA26" s="20">
        <f>'New Biz Sales'!AK88+'Portfolio Sales'!AA81</f>
        <v>8.395732012</v>
      </c>
      <c r="AB26" s="20">
        <f>'New Biz Sales'!AL88+'Portfolio Sales'!AB81</f>
        <v>8.571837649</v>
      </c>
      <c r="AC26" s="11"/>
      <c r="AD26" s="11" t="str">
        <f t="shared" si="36"/>
        <v>Product Deals Closed</v>
      </c>
      <c r="AE26" s="21">
        <f t="shared" si="39"/>
        <v>28.38979013</v>
      </c>
      <c r="AF26" s="21">
        <f t="shared" si="40"/>
        <v>28.2297975</v>
      </c>
      <c r="AG26" s="21">
        <f t="shared" si="37"/>
        <v>-0.159992627</v>
      </c>
      <c r="AH26" s="19">
        <f t="shared" si="38"/>
        <v>-0.005635569206</v>
      </c>
      <c r="AI26" s="11"/>
      <c r="AJ26" s="11"/>
      <c r="AK26" s="11" t="s">
        <v>78</v>
      </c>
      <c r="AL26" s="20">
        <f t="shared" si="41"/>
        <v>29</v>
      </c>
      <c r="AM26" s="20">
        <f t="shared" si="42"/>
        <v>36</v>
      </c>
      <c r="AN26" s="20">
        <f t="shared" si="43"/>
        <v>28.38979013</v>
      </c>
      <c r="AO26" s="20">
        <f t="shared" si="44"/>
        <v>28.2297975</v>
      </c>
      <c r="AP26" s="20">
        <f t="shared" si="45"/>
        <v>32.34915837</v>
      </c>
      <c r="AQ26" s="20">
        <f t="shared" si="46"/>
        <v>33.63876804</v>
      </c>
      <c r="AR26" s="11"/>
      <c r="AS26" s="11"/>
      <c r="AT26" s="11"/>
      <c r="AU26" s="11"/>
      <c r="AV26" s="11"/>
      <c r="AW26" s="11"/>
      <c r="AX26" s="11"/>
      <c r="AY26" s="11"/>
      <c r="AZ26" s="11"/>
      <c r="BA26" s="11"/>
      <c r="BB26" s="11"/>
      <c r="BC26" s="11"/>
      <c r="BD26" s="11"/>
      <c r="BE26" s="11"/>
      <c r="BF26" s="11"/>
      <c r="BG26" s="11"/>
      <c r="BH26" s="11"/>
      <c r="BI26" s="11"/>
      <c r="BJ26" s="11"/>
      <c r="BK26" s="11"/>
    </row>
    <row r="27" ht="15.75" customHeight="1">
      <c r="A27" s="11"/>
      <c r="B27" s="11"/>
      <c r="C27" s="11"/>
      <c r="D27" s="11" t="s">
        <v>79</v>
      </c>
      <c r="E27" s="24">
        <f>'New Biz Sales'!O96</f>
        <v>479498</v>
      </c>
      <c r="F27" s="24">
        <f>'New Biz Sales'!P96</f>
        <v>206807</v>
      </c>
      <c r="G27" s="24">
        <f>'New Biz Sales'!Q96</f>
        <v>328227</v>
      </c>
      <c r="H27" s="24">
        <f>'New Biz Sales'!R96</f>
        <v>439553</v>
      </c>
      <c r="I27" s="24">
        <f>'New Biz Sales'!S96</f>
        <v>149004</v>
      </c>
      <c r="J27" s="24">
        <f>'New Biz Sales'!T96</f>
        <v>298345</v>
      </c>
      <c r="K27" s="24">
        <f>'New Biz Sales'!U96</f>
        <v>108101</v>
      </c>
      <c r="L27" s="24">
        <f>'New Biz Sales'!V96</f>
        <v>262590</v>
      </c>
      <c r="M27" s="24">
        <f>'New Biz Sales'!W96</f>
        <v>441802</v>
      </c>
      <c r="N27" s="24">
        <f>'New Biz Sales'!X96</f>
        <v>463831</v>
      </c>
      <c r="O27" s="24">
        <f>'New Biz Sales'!Y96</f>
        <v>458258</v>
      </c>
      <c r="P27" s="24">
        <f>'New Biz Sales'!Z96</f>
        <v>165000</v>
      </c>
      <c r="Q27" s="24">
        <f>'New Biz Sales'!AA96</f>
        <v>168300</v>
      </c>
      <c r="R27" s="24">
        <f>'New Biz Sales'!AB96</f>
        <v>168300</v>
      </c>
      <c r="S27" s="24">
        <f>'New Biz Sales'!AC96</f>
        <v>168300</v>
      </c>
      <c r="T27" s="24">
        <f>'New Biz Sales'!AD96</f>
        <v>168300</v>
      </c>
      <c r="U27" s="24">
        <f>'New Biz Sales'!AE96</f>
        <v>168300</v>
      </c>
      <c r="V27" s="24">
        <f>'New Biz Sales'!AF96</f>
        <v>171666</v>
      </c>
      <c r="W27" s="24">
        <f>'New Biz Sales'!AG96</f>
        <v>171666</v>
      </c>
      <c r="X27" s="24">
        <f>'New Biz Sales'!AH96</f>
        <v>171666</v>
      </c>
      <c r="Y27" s="24">
        <f>'New Biz Sales'!AI96</f>
        <v>171666</v>
      </c>
      <c r="Z27" s="24">
        <f>'New Biz Sales'!AJ96</f>
        <v>171666</v>
      </c>
      <c r="AA27" s="24">
        <f>'New Biz Sales'!AK96</f>
        <v>171666</v>
      </c>
      <c r="AB27" s="24">
        <f>'New Biz Sales'!AL96</f>
        <v>171666</v>
      </c>
      <c r="AC27" s="11"/>
      <c r="AD27" s="11" t="str">
        <f t="shared" si="36"/>
        <v>New Client AOV</v>
      </c>
      <c r="AE27" s="12">
        <f>IFERROR(__xludf.DUMMYFUNCTION("AVERAGE.WEIGHTED(M28:P28,M27:P27)"),0.9739712089332521)</f>
        <v>0.9739712089</v>
      </c>
      <c r="AF27" s="12">
        <f>IFERROR(__xludf.DUMMYFUNCTION("AVERAGE.WEIGHTED(Q28:T28,Q27:T27)"),0.9435440261092015)</f>
        <v>0.9435440261</v>
      </c>
      <c r="AG27" s="12">
        <f t="shared" si="37"/>
        <v>-0.03042718282</v>
      </c>
      <c r="AH27" s="19">
        <f t="shared" si="38"/>
        <v>-0.03124033087</v>
      </c>
      <c r="AI27" s="11"/>
      <c r="AJ27" s="11"/>
      <c r="AK27" s="11" t="s">
        <v>79</v>
      </c>
      <c r="AL27" s="24">
        <f t="shared" ref="AL27:AL28" si="47">AVERAGE(E27:H27)</f>
        <v>363521.25</v>
      </c>
      <c r="AM27" s="24">
        <f t="shared" ref="AM27:AM29" si="48">AVERAGE(I27:L27)</f>
        <v>204510</v>
      </c>
      <c r="AN27" s="24">
        <f t="shared" ref="AN27:AN29" si="49">AVERAGE(M27:P27)</f>
        <v>382222.75</v>
      </c>
      <c r="AO27" s="24">
        <f t="shared" ref="AO27:AO29" si="50">AVERAGE(Q27:T27)</f>
        <v>168300</v>
      </c>
      <c r="AP27" s="24">
        <f t="shared" ref="AP27:AP29" si="51">AVERAGE(U27:X27)</f>
        <v>170824.5</v>
      </c>
      <c r="AQ27" s="24">
        <f t="shared" ref="AQ27:AQ29" si="52">AVERAGE(Y27:AB27)</f>
        <v>171666</v>
      </c>
      <c r="AR27" s="11"/>
      <c r="AS27" s="11"/>
      <c r="AT27" s="11"/>
      <c r="AU27" s="11"/>
      <c r="AV27" s="11"/>
      <c r="AW27" s="11"/>
      <c r="AX27" s="11"/>
      <c r="AY27" s="11"/>
      <c r="AZ27" s="11"/>
      <c r="BA27" s="11"/>
      <c r="BB27" s="11"/>
      <c r="BC27" s="11"/>
      <c r="BD27" s="11"/>
      <c r="BE27" s="11"/>
      <c r="BF27" s="11"/>
      <c r="BG27" s="11"/>
      <c r="BH27" s="11"/>
      <c r="BI27" s="11"/>
      <c r="BJ27" s="11"/>
      <c r="BK27" s="11"/>
    </row>
    <row r="28" ht="15.75" customHeight="1">
      <c r="A28" s="11"/>
      <c r="B28" s="11"/>
      <c r="C28" s="11"/>
      <c r="D28" s="11" t="s">
        <v>80</v>
      </c>
      <c r="E28" s="19">
        <f>1--SUM(Retention!O77)/AVERAGE(Retention!O40)</f>
        <v>0.9842739643</v>
      </c>
      <c r="F28" s="19">
        <f>1--SUM(Retention!P77)/AVERAGE(Retention!P40)</f>
        <v>0.9890927364</v>
      </c>
      <c r="G28" s="19">
        <f>1--SUM(Retention!Q77)/AVERAGE(Retention!Q40)</f>
        <v>0.9741284539</v>
      </c>
      <c r="H28" s="19">
        <f>1--SUM(Retention!R77)/AVERAGE(Retention!R40)</f>
        <v>0.96470261</v>
      </c>
      <c r="I28" s="19">
        <f>1--SUM(Retention!S77)/AVERAGE(Retention!S40)</f>
        <v>0.995740979</v>
      </c>
      <c r="J28" s="19">
        <f>1--SUM(Retention!T77)/AVERAGE(Retention!T40)</f>
        <v>0.9959256222</v>
      </c>
      <c r="K28" s="19">
        <f>1--SUM(Retention!U77)/AVERAGE(Retention!U40)</f>
        <v>0.9887260018</v>
      </c>
      <c r="L28" s="19">
        <f>1--SUM(Retention!V77)/AVERAGE(Retention!V40)</f>
        <v>0.9708737505</v>
      </c>
      <c r="M28" s="19">
        <f>1--SUM(Retention!W77)/AVERAGE(Retention!W40)</f>
        <v>0.9633311125</v>
      </c>
      <c r="N28" s="19">
        <f>1--SUM(Retention!X77)/AVERAGE(Retention!X40)</f>
        <v>0.9939861092</v>
      </c>
      <c r="O28" s="19">
        <f>1--SUM(Retention!Y77)/AVERAGE(Retention!Y40)</f>
        <v>0.9752517946</v>
      </c>
      <c r="P28" s="19">
        <f>1--SUM(Retention!Z77)/AVERAGE(Retention!Z40)</f>
        <v>0.942640579</v>
      </c>
      <c r="Q28" s="19">
        <f>1--SUM(Retention!AA77)/AVERAGE(Retention!AA40)</f>
        <v>0.9409013051</v>
      </c>
      <c r="R28" s="19">
        <f>1--SUM(Retention!AB77)/AVERAGE(Retention!AB40)</f>
        <v>0.9429394015</v>
      </c>
      <c r="S28" s="19">
        <f>1--SUM(Retention!AC77)/AVERAGE(Retention!AC40)</f>
        <v>0.9443817261</v>
      </c>
      <c r="T28" s="19">
        <f>1--SUM(Retention!AD77)/AVERAGE(Retention!AD40)</f>
        <v>0.9459536719</v>
      </c>
      <c r="U28" s="19">
        <f>1--SUM(Retention!AE77)/AVERAGE(Retention!AE40)</f>
        <v>0.9478373458</v>
      </c>
      <c r="V28" s="19">
        <f>1--SUM(Retention!AF77)/AVERAGE(Retention!AF40)</f>
        <v>0.949775092</v>
      </c>
      <c r="W28" s="19">
        <f>1--SUM(Retention!AG77)/AVERAGE(Retention!AG40)</f>
        <v>0.9517204636</v>
      </c>
      <c r="X28" s="19">
        <f>1--SUM(Retention!AH77)/AVERAGE(Retention!AH40)</f>
        <v>0.953815292</v>
      </c>
      <c r="Y28" s="19">
        <f>1--SUM(Retention!AI77)/AVERAGE(Retention!AI40)</f>
        <v>0.9561234209</v>
      </c>
      <c r="Z28" s="19">
        <f>1--SUM(Retention!AJ77)/AVERAGE(Retention!AJ40)</f>
        <v>0.958285289</v>
      </c>
      <c r="AA28" s="19">
        <f>1--SUM(Retention!AK77)/AVERAGE(Retention!AK40)</f>
        <v>0.9606814081</v>
      </c>
      <c r="AB28" s="19">
        <f>1--SUM(Retention!AL77)/AVERAGE(Retention!AL40)</f>
        <v>0.9631340909</v>
      </c>
      <c r="AC28" s="11"/>
      <c r="AD28" s="11" t="s">
        <v>81</v>
      </c>
      <c r="AE28" s="44">
        <f>P28</f>
        <v>0.942640579</v>
      </c>
      <c r="AF28" s="44">
        <f>T28</f>
        <v>0.9459536719</v>
      </c>
      <c r="AG28" s="45">
        <f t="shared" si="37"/>
        <v>0.00331309285</v>
      </c>
      <c r="AH28" s="44">
        <f t="shared" si="38"/>
        <v>0.003514693643</v>
      </c>
      <c r="AI28" s="11"/>
      <c r="AJ28" s="11"/>
      <c r="AK28" s="11" t="s">
        <v>82</v>
      </c>
      <c r="AL28" s="19">
        <f t="shared" si="47"/>
        <v>0.9780494412</v>
      </c>
      <c r="AM28" s="19">
        <f t="shared" si="48"/>
        <v>0.9878165884</v>
      </c>
      <c r="AN28" s="19">
        <f t="shared" si="49"/>
        <v>0.9688023988</v>
      </c>
      <c r="AO28" s="19">
        <f t="shared" si="50"/>
        <v>0.9435440261</v>
      </c>
      <c r="AP28" s="19">
        <f t="shared" si="51"/>
        <v>0.9507870484</v>
      </c>
      <c r="AQ28" s="19">
        <f t="shared" si="52"/>
        <v>0.9595560522</v>
      </c>
      <c r="AR28" s="11"/>
      <c r="AS28" s="11"/>
      <c r="AT28" s="11"/>
      <c r="AU28" s="11"/>
      <c r="AV28" s="11"/>
      <c r="AW28" s="11"/>
      <c r="AX28" s="11"/>
      <c r="AY28" s="11"/>
      <c r="AZ28" s="11"/>
      <c r="BA28" s="11"/>
      <c r="BB28" s="11"/>
      <c r="BC28" s="11"/>
      <c r="BD28" s="11"/>
      <c r="BE28" s="11"/>
      <c r="BF28" s="11"/>
      <c r="BG28" s="11"/>
      <c r="BH28" s="11"/>
      <c r="BI28" s="11"/>
      <c r="BJ28" s="11"/>
      <c r="BK28" s="11"/>
    </row>
    <row r="29" ht="15.75" customHeight="1">
      <c r="A29" s="11"/>
      <c r="B29" s="11"/>
      <c r="C29" s="11"/>
      <c r="D29" s="33" t="s">
        <v>83</v>
      </c>
      <c r="E29" s="46">
        <f>Retention!O167</f>
        <v>35052.04114</v>
      </c>
      <c r="F29" s="46">
        <f>Retention!P167</f>
        <v>53208.59616</v>
      </c>
      <c r="G29" s="46">
        <f>Retention!Q167</f>
        <v>120258.9214</v>
      </c>
      <c r="H29" s="46">
        <f>Retention!R167</f>
        <v>31610.85725</v>
      </c>
      <c r="I29" s="46">
        <f>Retention!S167</f>
        <v>80155.34625</v>
      </c>
      <c r="J29" s="46">
        <f>Retention!T167</f>
        <v>107218.522</v>
      </c>
      <c r="K29" s="46">
        <f>Retention!U167</f>
        <v>132483.3534</v>
      </c>
      <c r="L29" s="46">
        <f>Retention!V167</f>
        <v>144538.5616</v>
      </c>
      <c r="M29" s="46">
        <f>Retention!W167</f>
        <v>99260.45535</v>
      </c>
      <c r="N29" s="46">
        <f>Retention!X167</f>
        <v>147645.5896</v>
      </c>
      <c r="O29" s="46">
        <f>Retention!Y167</f>
        <v>100907.9389</v>
      </c>
      <c r="P29" s="46">
        <f>Retention!Z167</f>
        <v>138767.7239</v>
      </c>
      <c r="Q29" s="46">
        <f>Retention!AA167</f>
        <v>133631.1646</v>
      </c>
      <c r="R29" s="46">
        <f>Retention!AB167</f>
        <v>144324.6626</v>
      </c>
      <c r="S29" s="46">
        <f>Retention!AC167</f>
        <v>154090.2964</v>
      </c>
      <c r="T29" s="46">
        <f>Retention!AD167</f>
        <v>165914.6447</v>
      </c>
      <c r="U29" s="46">
        <f>Retention!AE167</f>
        <v>176485.1489</v>
      </c>
      <c r="V29" s="46">
        <f>Retention!AF167</f>
        <v>192845.7683</v>
      </c>
      <c r="W29" s="46">
        <f>Retention!AG167</f>
        <v>204557.7836</v>
      </c>
      <c r="X29" s="46">
        <f>Retention!AH167</f>
        <v>218796.191</v>
      </c>
      <c r="Y29" s="46">
        <f>Retention!AI167</f>
        <v>232728.8161</v>
      </c>
      <c r="Z29" s="46">
        <f>Retention!AJ167</f>
        <v>249458.7839</v>
      </c>
      <c r="AA29" s="46">
        <f>Retention!AK167</f>
        <v>268156.8327</v>
      </c>
      <c r="AB29" s="46">
        <f>Retention!AL167</f>
        <v>285759.8106</v>
      </c>
      <c r="AC29" s="11"/>
      <c r="AD29" s="33" t="str">
        <f>D29</f>
        <v>New Client LTV</v>
      </c>
      <c r="AE29" s="35">
        <f t="shared" ref="AE29:AF29" si="53">((AE27/12)*AE21)/(1-AE28)</f>
        <v>1.328456948</v>
      </c>
      <c r="AF29" s="35">
        <f t="shared" si="53"/>
        <v>1.091967642</v>
      </c>
      <c r="AG29" s="47">
        <f t="shared" si="37"/>
        <v>-0.2364893056</v>
      </c>
      <c r="AH29" s="48">
        <f t="shared" si="38"/>
        <v>-0.1780180426</v>
      </c>
      <c r="AI29" s="11"/>
      <c r="AJ29" s="11"/>
      <c r="AK29" s="33" t="s">
        <v>83</v>
      </c>
      <c r="AL29" s="35">
        <f>AVERAGE(F29:H29)</f>
        <v>68359.45828</v>
      </c>
      <c r="AM29" s="35">
        <f t="shared" si="48"/>
        <v>116098.9458</v>
      </c>
      <c r="AN29" s="35">
        <f t="shared" si="49"/>
        <v>121645.4269</v>
      </c>
      <c r="AO29" s="35">
        <f t="shared" si="50"/>
        <v>149490.1921</v>
      </c>
      <c r="AP29" s="35">
        <f t="shared" si="51"/>
        <v>198171.223</v>
      </c>
      <c r="AQ29" s="35">
        <f t="shared" si="52"/>
        <v>259026.0608</v>
      </c>
      <c r="AR29" s="11"/>
      <c r="AS29" s="11"/>
      <c r="AT29" s="11"/>
      <c r="AU29" s="11"/>
      <c r="AV29" s="11"/>
      <c r="AW29" s="11"/>
      <c r="AX29" s="11"/>
      <c r="AY29" s="11"/>
      <c r="AZ29" s="11"/>
      <c r="BA29" s="11"/>
      <c r="BB29" s="11"/>
      <c r="BC29" s="11"/>
      <c r="BD29" s="11"/>
      <c r="BE29" s="11"/>
      <c r="BF29" s="11"/>
      <c r="BG29" s="11"/>
      <c r="BH29" s="11"/>
      <c r="BI29" s="11"/>
      <c r="BJ29" s="11"/>
      <c r="BK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2"/>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2"/>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row>
    <row r="32" ht="15.75" customHeight="1">
      <c r="A32" s="11"/>
      <c r="B32" s="11"/>
      <c r="C32" s="11"/>
      <c r="D32" s="11" t="s">
        <v>84</v>
      </c>
      <c r="E32" s="24"/>
      <c r="F32" s="24"/>
      <c r="G32" s="24"/>
      <c r="H32" s="24"/>
      <c r="I32" s="24"/>
      <c r="J32" s="24"/>
      <c r="K32" s="24"/>
      <c r="L32" s="24"/>
      <c r="M32" s="24">
        <f>M20-'Ops Departments'!X29</f>
        <v>0</v>
      </c>
      <c r="N32" s="24">
        <f>N20-'Ops Departments'!Y29</f>
        <v>0</v>
      </c>
      <c r="O32" s="24">
        <f>O20-'Ops Departments'!Z29</f>
        <v>0</v>
      </c>
      <c r="P32" s="24">
        <f>P20-'Ops Departments'!AA29</f>
        <v>0</v>
      </c>
      <c r="Q32" s="24">
        <f>Q20-'Ops Departments'!AB29</f>
        <v>0</v>
      </c>
      <c r="R32" s="24">
        <f>R20-'Ops Departments'!AC29</f>
        <v>0</v>
      </c>
      <c r="S32" s="24">
        <f>S20-'Ops Departments'!AD29</f>
        <v>0</v>
      </c>
      <c r="T32" s="24">
        <f>T20-'Ops Departments'!AE29</f>
        <v>0</v>
      </c>
      <c r="U32" s="24">
        <f>U20-'Ops Departments'!AF29</f>
        <v>0</v>
      </c>
      <c r="V32" s="24">
        <f>V20-'Ops Departments'!AG29</f>
        <v>0</v>
      </c>
      <c r="W32" s="24">
        <f>W20-'Ops Departments'!AH29</f>
        <v>0</v>
      </c>
      <c r="X32" s="24">
        <f>X20-'Ops Departments'!AI29</f>
        <v>0</v>
      </c>
      <c r="Y32" s="24">
        <f>Y20-'Ops Departments'!AJ29</f>
        <v>0</v>
      </c>
      <c r="Z32" s="24">
        <f>Z20-'Ops Departments'!AK29</f>
        <v>0</v>
      </c>
      <c r="AA32" s="24">
        <f>AA20-'Ops Departments'!AL29</f>
        <v>0.0000000002328306437</v>
      </c>
      <c r="AB32" s="24">
        <f>AB20-'Ops Departments'!AM29</f>
        <v>0</v>
      </c>
      <c r="AC32" s="11"/>
      <c r="AD32" s="11"/>
      <c r="AE32" s="11"/>
      <c r="AF32" s="11"/>
      <c r="AG32" s="12"/>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2"/>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row>
    <row r="34" ht="15.75" customHeight="1">
      <c r="A34" s="11"/>
      <c r="B34" s="13" t="s">
        <v>85</v>
      </c>
      <c r="C34" s="11"/>
      <c r="D34" s="11"/>
      <c r="E34" s="14">
        <v>44562.0</v>
      </c>
      <c r="F34" s="14">
        <v>44593.0</v>
      </c>
      <c r="G34" s="14">
        <v>44621.0</v>
      </c>
      <c r="H34" s="14">
        <v>44652.0</v>
      </c>
      <c r="I34" s="14">
        <v>44682.0</v>
      </c>
      <c r="J34" s="14">
        <v>44713.0</v>
      </c>
      <c r="K34" s="14">
        <v>44743.0</v>
      </c>
      <c r="L34" s="14">
        <v>44774.0</v>
      </c>
      <c r="M34" s="14">
        <v>44805.0</v>
      </c>
      <c r="N34" s="14">
        <v>44835.0</v>
      </c>
      <c r="O34" s="14">
        <v>44866.0</v>
      </c>
      <c r="P34" s="14">
        <v>44896.0</v>
      </c>
      <c r="Q34" s="15">
        <v>44927.0</v>
      </c>
      <c r="R34" s="15">
        <v>44958.0</v>
      </c>
      <c r="S34" s="15">
        <v>44986.0</v>
      </c>
      <c r="T34" s="15">
        <v>45017.0</v>
      </c>
      <c r="U34" s="15">
        <v>45047.0</v>
      </c>
      <c r="V34" s="15">
        <v>45078.0</v>
      </c>
      <c r="W34" s="15">
        <v>45108.0</v>
      </c>
      <c r="X34" s="15">
        <v>45139.0</v>
      </c>
      <c r="Y34" s="15">
        <v>45170.0</v>
      </c>
      <c r="Z34" s="15">
        <v>45200.0</v>
      </c>
      <c r="AA34" s="15">
        <v>45231.0</v>
      </c>
      <c r="AB34" s="15">
        <v>45261.0</v>
      </c>
      <c r="AC34" s="11"/>
      <c r="AD34" s="11"/>
      <c r="AE34" s="16" t="s">
        <v>48</v>
      </c>
      <c r="AF34" s="17" t="s">
        <v>49</v>
      </c>
      <c r="AG34" s="18" t="s">
        <v>50</v>
      </c>
      <c r="AH34" s="16" t="s">
        <v>51</v>
      </c>
      <c r="AI34" s="11"/>
      <c r="AJ34" s="11"/>
      <c r="AK34" s="11"/>
      <c r="AL34" s="16" t="s">
        <v>52</v>
      </c>
      <c r="AM34" s="16" t="s">
        <v>53</v>
      </c>
      <c r="AN34" s="16" t="s">
        <v>48</v>
      </c>
      <c r="AO34" s="17" t="s">
        <v>49</v>
      </c>
      <c r="AP34" s="17" t="s">
        <v>54</v>
      </c>
      <c r="AQ34" s="17" t="s">
        <v>55</v>
      </c>
      <c r="AR34" s="11"/>
      <c r="AS34" s="11"/>
      <c r="AT34" s="11"/>
      <c r="AU34" s="11"/>
      <c r="AV34" s="11"/>
      <c r="AW34" s="11"/>
      <c r="AX34" s="11"/>
      <c r="AY34" s="11"/>
      <c r="AZ34" s="11"/>
      <c r="BA34" s="11"/>
      <c r="BB34" s="11"/>
      <c r="BC34" s="11"/>
      <c r="BD34" s="11"/>
      <c r="BE34" s="11"/>
      <c r="BF34" s="11"/>
      <c r="BG34" s="11"/>
      <c r="BH34" s="11"/>
      <c r="BI34" s="11"/>
      <c r="BJ34" s="11"/>
      <c r="BK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2"/>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row>
    <row r="36" ht="15.75" customHeight="1">
      <c r="A36" s="11"/>
      <c r="B36" s="11"/>
      <c r="C36" s="11"/>
      <c r="D36" s="11" t="s">
        <v>56</v>
      </c>
      <c r="E36" s="12">
        <f>Revenue!O60</f>
        <v>204056</v>
      </c>
      <c r="F36" s="12">
        <f>Revenue!P60</f>
        <v>188586</v>
      </c>
      <c r="G36" s="12">
        <f>Revenue!Q60</f>
        <v>105100</v>
      </c>
      <c r="H36" s="12">
        <f>Revenue!R60</f>
        <v>150167</v>
      </c>
      <c r="I36" s="12">
        <f>Revenue!S60</f>
        <v>139600</v>
      </c>
      <c r="J36" s="12">
        <f>Revenue!T60</f>
        <v>150378</v>
      </c>
      <c r="K36" s="12">
        <f>Revenue!U60</f>
        <v>103141</v>
      </c>
      <c r="L36" s="12">
        <f>Revenue!V60</f>
        <v>237175</v>
      </c>
      <c r="M36" s="12">
        <f>Revenue!W60</f>
        <v>236770</v>
      </c>
      <c r="N36" s="12">
        <f>Revenue!X60</f>
        <v>141767</v>
      </c>
      <c r="O36" s="12">
        <f>Revenue!Y60</f>
        <v>146751</v>
      </c>
      <c r="P36" s="12">
        <f>Revenue!Z60</f>
        <v>228575.3544</v>
      </c>
      <c r="Q36" s="12">
        <f>Revenue!AA60</f>
        <v>279227.3541</v>
      </c>
      <c r="R36" s="12">
        <f>Revenue!AB60</f>
        <v>336074.6322</v>
      </c>
      <c r="S36" s="12">
        <f>Revenue!AC60</f>
        <v>395045.1309</v>
      </c>
      <c r="T36" s="12">
        <f>Revenue!AD60</f>
        <v>455076.1482</v>
      </c>
      <c r="U36" s="12">
        <f>Revenue!AE60</f>
        <v>514708.9953</v>
      </c>
      <c r="V36" s="12">
        <f>Revenue!AF60</f>
        <v>572425.3267</v>
      </c>
      <c r="W36" s="12">
        <f>Revenue!AG60</f>
        <v>626675.7805</v>
      </c>
      <c r="X36" s="12">
        <f>Revenue!AH60</f>
        <v>678795.2285</v>
      </c>
      <c r="Y36" s="12">
        <f>Revenue!AI60</f>
        <v>729540.4684</v>
      </c>
      <c r="Z36" s="12">
        <f>Revenue!AJ60</f>
        <v>776729.9321</v>
      </c>
      <c r="AA36" s="12">
        <f>Revenue!AK60</f>
        <v>823663.8423</v>
      </c>
      <c r="AB36" s="12">
        <f>Revenue!AL60</f>
        <v>870122.7916</v>
      </c>
      <c r="AC36" s="12"/>
      <c r="AD36" s="12" t="str">
        <f t="shared" ref="AD36:AD39" si="54">D36</f>
        <v>Recurring</v>
      </c>
      <c r="AE36" s="12">
        <f t="shared" ref="AE36:AE38" si="55">SUM(M36:P36)</f>
        <v>753863.3544</v>
      </c>
      <c r="AF36" s="12">
        <f t="shared" ref="AF36:AF38" si="56">SUM(Q36:T36)</f>
        <v>1465423.265</v>
      </c>
      <c r="AG36" s="12">
        <f t="shared" ref="AG36:AG39" si="57">AF36-AE36</f>
        <v>711559.9109</v>
      </c>
      <c r="AH36" s="19">
        <f t="shared" ref="AH36:AH38" si="58">AF36/AE36-1</f>
        <v>0.9438844676</v>
      </c>
      <c r="AI36" s="11"/>
      <c r="AJ36" s="11"/>
      <c r="AK36" s="11"/>
      <c r="AL36" s="12">
        <f t="shared" ref="AL36:AL40" si="59">SUM(E36:H36)</f>
        <v>647909</v>
      </c>
      <c r="AM36" s="12">
        <f t="shared" ref="AM36:AM38" si="60">SUM(I36:L36)</f>
        <v>630294</v>
      </c>
      <c r="AN36" s="12">
        <f t="shared" ref="AN36:AN38" si="61">SUM(M36:P36)</f>
        <v>753863.3544</v>
      </c>
      <c r="AO36" s="12">
        <f t="shared" ref="AO36:AO38" si="62">SUM(Q36:T36)</f>
        <v>1465423.265</v>
      </c>
      <c r="AP36" s="12">
        <f t="shared" ref="AP36:AP38" si="63">SUM(U36:X36)</f>
        <v>2392605.331</v>
      </c>
      <c r="AQ36" s="12">
        <f t="shared" ref="AQ36:AQ38" si="64">SUM(Y36:AB36)</f>
        <v>3200057.034</v>
      </c>
      <c r="AR36" s="11"/>
      <c r="AS36" s="11"/>
      <c r="AT36" s="11"/>
      <c r="AU36" s="11"/>
      <c r="AV36" s="11"/>
      <c r="AW36" s="11"/>
      <c r="AX36" s="11"/>
      <c r="AY36" s="11"/>
      <c r="AZ36" s="11"/>
      <c r="BA36" s="11"/>
      <c r="BB36" s="11"/>
      <c r="BC36" s="11"/>
      <c r="BD36" s="11"/>
      <c r="BE36" s="11"/>
      <c r="BF36" s="11"/>
      <c r="BG36" s="11"/>
      <c r="BH36" s="11"/>
      <c r="BI36" s="11"/>
      <c r="BJ36" s="11"/>
      <c r="BK36" s="11"/>
    </row>
    <row r="37" ht="15.75" customHeight="1">
      <c r="A37" s="11"/>
      <c r="B37" s="11"/>
      <c r="C37" s="11"/>
      <c r="D37" s="11" t="s">
        <v>57</v>
      </c>
      <c r="E37" s="12">
        <f>Revenue!O66</f>
        <v>27285</v>
      </c>
      <c r="F37" s="12">
        <f>Revenue!P66</f>
        <v>31191</v>
      </c>
      <c r="G37" s="12">
        <f>Revenue!Q66</f>
        <v>35431</v>
      </c>
      <c r="H37" s="12">
        <f>Revenue!R66</f>
        <v>22355</v>
      </c>
      <c r="I37" s="12">
        <f>Revenue!S66</f>
        <v>28353</v>
      </c>
      <c r="J37" s="12">
        <f>Revenue!T66</f>
        <v>33063</v>
      </c>
      <c r="K37" s="12">
        <f>Revenue!U66</f>
        <v>25401</v>
      </c>
      <c r="L37" s="12">
        <f>Revenue!V66</f>
        <v>23793</v>
      </c>
      <c r="M37" s="12">
        <f>Revenue!W66</f>
        <v>37272</v>
      </c>
      <c r="N37" s="12">
        <f>Revenue!X66</f>
        <v>27277</v>
      </c>
      <c r="O37" s="12">
        <f>Revenue!Y66</f>
        <v>38947</v>
      </c>
      <c r="P37" s="12">
        <f>Revenue!Z66</f>
        <v>44904.55</v>
      </c>
      <c r="Q37" s="12">
        <f>Revenue!AA66</f>
        <v>54548.1825</v>
      </c>
      <c r="R37" s="12">
        <f>Revenue!AB66</f>
        <v>60775.97738</v>
      </c>
      <c r="S37" s="12">
        <f>Revenue!AC66</f>
        <v>61710.14661</v>
      </c>
      <c r="T37" s="12">
        <f>Revenue!AD66</f>
        <v>61850.27199</v>
      </c>
      <c r="U37" s="12">
        <f>Revenue!AE66</f>
        <v>61871.2908</v>
      </c>
      <c r="V37" s="12">
        <f>Revenue!AF66</f>
        <v>62926.31862</v>
      </c>
      <c r="W37" s="12">
        <f>Revenue!AG66</f>
        <v>63084.57279</v>
      </c>
      <c r="X37" s="12">
        <f>Revenue!AH66</f>
        <v>63108.31092</v>
      </c>
      <c r="Y37" s="12">
        <f>Revenue!AI66</f>
        <v>63111.87164</v>
      </c>
      <c r="Z37" s="12">
        <f>Revenue!AJ66</f>
        <v>60430.1245</v>
      </c>
      <c r="AA37" s="12">
        <f>Revenue!AK66</f>
        <v>60027.86242</v>
      </c>
      <c r="AB37" s="12">
        <f>Revenue!AL66</f>
        <v>59967.52311</v>
      </c>
      <c r="AC37" s="20"/>
      <c r="AD37" s="11" t="str">
        <f t="shared" si="54"/>
        <v>Project</v>
      </c>
      <c r="AE37" s="20">
        <f t="shared" si="55"/>
        <v>148400.55</v>
      </c>
      <c r="AF37" s="21">
        <f t="shared" si="56"/>
        <v>238884.5785</v>
      </c>
      <c r="AG37" s="21">
        <f t="shared" si="57"/>
        <v>90484.02847</v>
      </c>
      <c r="AH37" s="19">
        <f t="shared" si="58"/>
        <v>0.6097283903</v>
      </c>
      <c r="AI37" s="11"/>
      <c r="AJ37" s="11"/>
      <c r="AK37" s="11"/>
      <c r="AL37" s="20">
        <f t="shared" si="59"/>
        <v>116262</v>
      </c>
      <c r="AM37" s="21">
        <f t="shared" si="60"/>
        <v>110610</v>
      </c>
      <c r="AN37" s="20">
        <f t="shared" si="61"/>
        <v>148400.55</v>
      </c>
      <c r="AO37" s="20">
        <f t="shared" si="62"/>
        <v>238884.5785</v>
      </c>
      <c r="AP37" s="21">
        <f t="shared" si="63"/>
        <v>250990.4931</v>
      </c>
      <c r="AQ37" s="20">
        <f t="shared" si="64"/>
        <v>243537.3817</v>
      </c>
      <c r="AR37" s="11"/>
      <c r="AS37" s="11"/>
      <c r="AT37" s="11"/>
      <c r="AU37" s="11"/>
      <c r="AV37" s="11"/>
      <c r="AW37" s="11"/>
      <c r="AX37" s="11"/>
      <c r="AY37" s="11"/>
      <c r="AZ37" s="11"/>
      <c r="BA37" s="11"/>
      <c r="BB37" s="11"/>
      <c r="BC37" s="11"/>
      <c r="BD37" s="11"/>
      <c r="BE37" s="11"/>
      <c r="BF37" s="11"/>
      <c r="BG37" s="11"/>
      <c r="BH37" s="11"/>
      <c r="BI37" s="11"/>
      <c r="BJ37" s="11"/>
      <c r="BK37" s="11"/>
    </row>
    <row r="38" ht="15.75" customHeight="1">
      <c r="A38" s="11"/>
      <c r="B38" s="11"/>
      <c r="C38" s="11"/>
      <c r="D38" s="22" t="str">
        <f>CONCATENATE(B34," Revenue")</f>
        <v>SEO Revenue</v>
      </c>
      <c r="E38" s="23">
        <f>'Ops Departments'!P40</f>
        <v>231341</v>
      </c>
      <c r="F38" s="23">
        <f>'Ops Departments'!Q40</f>
        <v>219777</v>
      </c>
      <c r="G38" s="23">
        <f>'Ops Departments'!R40</f>
        <v>140531</v>
      </c>
      <c r="H38" s="23">
        <f>'Ops Departments'!S40</f>
        <v>172522</v>
      </c>
      <c r="I38" s="23">
        <f>'Ops Departments'!T40</f>
        <v>167953</v>
      </c>
      <c r="J38" s="23">
        <f>'Ops Departments'!U40</f>
        <v>183441</v>
      </c>
      <c r="K38" s="23">
        <f>'Ops Departments'!V40</f>
        <v>128542</v>
      </c>
      <c r="L38" s="23">
        <f>'Ops Departments'!W40</f>
        <v>533767</v>
      </c>
      <c r="M38" s="23">
        <f>'Ops Departments'!X40</f>
        <v>531367</v>
      </c>
      <c r="N38" s="23">
        <f>'Ops Departments'!Y40</f>
        <v>525342</v>
      </c>
      <c r="O38" s="23">
        <f>'Ops Departments'!Z40</f>
        <v>185698</v>
      </c>
      <c r="P38" s="23">
        <f>'Ops Departments'!AA40</f>
        <v>273479.9044</v>
      </c>
      <c r="Q38" s="23">
        <f>'Ops Departments'!AB40</f>
        <v>333775.5366</v>
      </c>
      <c r="R38" s="23">
        <f>'Ops Departments'!AC40</f>
        <v>396850.6096</v>
      </c>
      <c r="S38" s="23">
        <f>'Ops Departments'!AD40</f>
        <v>456755.2775</v>
      </c>
      <c r="T38" s="23">
        <f>'Ops Departments'!AE40</f>
        <v>516926.4202</v>
      </c>
      <c r="U38" s="23">
        <f>'Ops Departments'!AF40</f>
        <v>576580.2861</v>
      </c>
      <c r="V38" s="23">
        <f>'Ops Departments'!AG40</f>
        <v>635351.6453</v>
      </c>
      <c r="W38" s="23">
        <f>'Ops Departments'!AH40</f>
        <v>689760.3533</v>
      </c>
      <c r="X38" s="23">
        <f>'Ops Departments'!AI40</f>
        <v>741903.5395</v>
      </c>
      <c r="Y38" s="23">
        <f>'Ops Departments'!AJ40</f>
        <v>792652.34</v>
      </c>
      <c r="Z38" s="23">
        <f>'Ops Departments'!AK40</f>
        <v>837160.0566</v>
      </c>
      <c r="AA38" s="23">
        <f>'Ops Departments'!AL40</f>
        <v>883691.7047</v>
      </c>
      <c r="AB38" s="23">
        <f>'Ops Departments'!AM40</f>
        <v>930090.3147</v>
      </c>
      <c r="AC38" s="38"/>
      <c r="AD38" s="22" t="str">
        <f t="shared" si="54"/>
        <v>SEO Revenue</v>
      </c>
      <c r="AE38" s="25">
        <f t="shared" si="55"/>
        <v>1515886.904</v>
      </c>
      <c r="AF38" s="26">
        <f t="shared" si="56"/>
        <v>1704307.844</v>
      </c>
      <c r="AG38" s="25">
        <f t="shared" si="57"/>
        <v>188420.9394</v>
      </c>
      <c r="AH38" s="27">
        <f t="shared" si="58"/>
        <v>0.1242974914</v>
      </c>
      <c r="AI38" s="11"/>
      <c r="AJ38" s="11"/>
      <c r="AK38" s="11"/>
      <c r="AL38" s="25">
        <f t="shared" si="59"/>
        <v>764171</v>
      </c>
      <c r="AM38" s="26">
        <f t="shared" si="60"/>
        <v>1013703</v>
      </c>
      <c r="AN38" s="25">
        <f t="shared" si="61"/>
        <v>1515886.904</v>
      </c>
      <c r="AO38" s="25">
        <f t="shared" si="62"/>
        <v>1704307.844</v>
      </c>
      <c r="AP38" s="26">
        <f t="shared" si="63"/>
        <v>2643595.824</v>
      </c>
      <c r="AQ38" s="25">
        <f t="shared" si="64"/>
        <v>3443594.416</v>
      </c>
      <c r="AR38" s="11"/>
      <c r="AS38" s="11"/>
      <c r="AT38" s="11"/>
      <c r="AU38" s="11"/>
      <c r="AV38" s="11"/>
      <c r="AW38" s="11"/>
      <c r="AX38" s="11"/>
      <c r="AY38" s="11"/>
      <c r="AZ38" s="11"/>
      <c r="BA38" s="11"/>
      <c r="BB38" s="11"/>
      <c r="BC38" s="11"/>
      <c r="BD38" s="11"/>
      <c r="BE38" s="11"/>
      <c r="BF38" s="11"/>
      <c r="BG38" s="11"/>
      <c r="BH38" s="11"/>
      <c r="BI38" s="11"/>
      <c r="BJ38" s="11"/>
      <c r="BK38" s="11"/>
    </row>
    <row r="39" ht="15.75" customHeight="1">
      <c r="A39" s="11"/>
      <c r="B39" s="11"/>
      <c r="C39" s="11"/>
      <c r="D39" s="11" t="s">
        <v>60</v>
      </c>
      <c r="E39" s="20">
        <f>'Ops Departments'!L40-'Ops Departments'!K40</f>
        <v>61637</v>
      </c>
      <c r="F39" s="20">
        <f>'Ops Departments'!M40-'Ops Departments'!L40</f>
        <v>31826</v>
      </c>
      <c r="G39" s="20">
        <f>'Ops Departments'!N40-'Ops Departments'!M40</f>
        <v>-24535</v>
      </c>
      <c r="H39" s="20">
        <f>'Ops Departments'!O40-'Ops Departments'!N40</f>
        <v>31287</v>
      </c>
      <c r="I39" s="20">
        <f>'Ops Departments'!P40-'Ops Departments'!O40</f>
        <v>-34417</v>
      </c>
      <c r="J39" s="20">
        <f>'Ops Departments'!Q40-'Ops Departments'!P40</f>
        <v>-11564</v>
      </c>
      <c r="K39" s="20">
        <f>'Ops Departments'!R40-'Ops Departments'!Q40</f>
        <v>-79246</v>
      </c>
      <c r="L39" s="20">
        <f>'Ops Departments'!S40-'Ops Departments'!R40</f>
        <v>31991</v>
      </c>
      <c r="M39" s="20">
        <f>'Ops Departments'!T40-'Ops Departments'!S40</f>
        <v>-4569</v>
      </c>
      <c r="N39" s="20">
        <f>'Ops Departments'!U40-'Ops Departments'!T40</f>
        <v>15488</v>
      </c>
      <c r="O39" s="20">
        <f>'Ops Departments'!V40-'Ops Departments'!U40</f>
        <v>-54899</v>
      </c>
      <c r="P39" s="20">
        <f>'Ops Departments'!W40-'Ops Departments'!V40</f>
        <v>405225</v>
      </c>
      <c r="Q39" s="20">
        <f>'Ops Departments'!X40-'Ops Departments'!W40</f>
        <v>-2400</v>
      </c>
      <c r="R39" s="20">
        <f>'Ops Departments'!Y40-'Ops Departments'!X40</f>
        <v>-6025</v>
      </c>
      <c r="S39" s="20">
        <f>'Ops Departments'!Z40-'Ops Departments'!Y40</f>
        <v>-339644</v>
      </c>
      <c r="T39" s="20">
        <f>'Ops Departments'!AA40-'Ops Departments'!Z40</f>
        <v>87781.90444</v>
      </c>
      <c r="U39" s="20">
        <f>'Ops Departments'!AB40-'Ops Departments'!AA40</f>
        <v>60295.63213</v>
      </c>
      <c r="V39" s="20">
        <f>'Ops Departments'!AC40-'Ops Departments'!AB40</f>
        <v>63075.07303</v>
      </c>
      <c r="W39" s="20">
        <f>'Ops Departments'!AD40-'Ops Departments'!AC40</f>
        <v>59904.66792</v>
      </c>
      <c r="X39" s="20">
        <f>'Ops Departments'!AE40-'Ops Departments'!AD40</f>
        <v>60171.14267</v>
      </c>
      <c r="Y39" s="20">
        <f>'Ops Departments'!AF40-'Ops Departments'!AE40</f>
        <v>59653.86594</v>
      </c>
      <c r="Z39" s="20">
        <f>'Ops Departments'!AG40-'Ops Departments'!AF40</f>
        <v>58771.3592</v>
      </c>
      <c r="AA39" s="20">
        <f>'Ops Departments'!AH40-'Ops Departments'!AG40</f>
        <v>54408.70796</v>
      </c>
      <c r="AB39" s="20">
        <f>'Ops Departments'!AI40-'Ops Departments'!AH40</f>
        <v>52143.18617</v>
      </c>
      <c r="AC39" s="20"/>
      <c r="AD39" s="11" t="str">
        <f t="shared" si="54"/>
        <v>  NNR</v>
      </c>
      <c r="AE39" s="20">
        <f>Summary!DE8-Summary!DD8</f>
        <v>161359.9044</v>
      </c>
      <c r="AF39" s="20">
        <f>AF38-AE38</f>
        <v>188420.9394</v>
      </c>
      <c r="AG39" s="21">
        <f t="shared" si="57"/>
        <v>27061.03497</v>
      </c>
      <c r="AH39" s="19"/>
      <c r="AI39" s="11"/>
      <c r="AJ39" s="11"/>
      <c r="AK39" s="11"/>
      <c r="AL39" s="20">
        <f t="shared" si="59"/>
        <v>100215</v>
      </c>
      <c r="AM39" s="20">
        <f t="shared" ref="AM39:AQ39" si="65">AM38-AL38</f>
        <v>249532</v>
      </c>
      <c r="AN39" s="20">
        <f t="shared" si="65"/>
        <v>502183.9044</v>
      </c>
      <c r="AO39" s="20">
        <f t="shared" si="65"/>
        <v>188420.9394</v>
      </c>
      <c r="AP39" s="20">
        <f t="shared" si="65"/>
        <v>939287.9803</v>
      </c>
      <c r="AQ39" s="20">
        <f t="shared" si="65"/>
        <v>799998.5919</v>
      </c>
      <c r="AR39" s="11"/>
      <c r="AS39" s="11"/>
      <c r="AT39" s="11"/>
      <c r="AU39" s="11"/>
      <c r="AV39" s="11"/>
      <c r="AW39" s="11"/>
      <c r="AX39" s="11"/>
      <c r="AY39" s="11"/>
      <c r="AZ39" s="11"/>
      <c r="BA39" s="11"/>
      <c r="BB39" s="11"/>
      <c r="BC39" s="11"/>
      <c r="BD39" s="11"/>
      <c r="BE39" s="11"/>
      <c r="BF39" s="11"/>
      <c r="BG39" s="11"/>
      <c r="BH39" s="11"/>
      <c r="BI39" s="11"/>
      <c r="BJ39" s="11"/>
      <c r="BK39" s="11"/>
    </row>
    <row r="40" ht="15.75" customHeight="1">
      <c r="A40" s="11"/>
      <c r="B40" s="11"/>
      <c r="C40" s="11"/>
      <c r="D40" s="11" t="s">
        <v>61</v>
      </c>
      <c r="E40" s="19">
        <f>'Ops Departments'!L40/'Ops Departments'!K40-1</f>
        <v>0.3723322641</v>
      </c>
      <c r="F40" s="19">
        <f>'Ops Departments'!M40/'Ops Departments'!L40-1</f>
        <v>0.1400915574</v>
      </c>
      <c r="G40" s="19">
        <f>'Ops Departments'!N40/'Ops Departments'!M40-1</f>
        <v>-0.09472753527</v>
      </c>
      <c r="H40" s="19">
        <f>'Ops Departments'!O40/'Ops Departments'!N40-1</f>
        <v>0.1334365444</v>
      </c>
      <c r="I40" s="19">
        <f>'Ops Departments'!P40/'Ops Departments'!O40-1</f>
        <v>-0.1295050384</v>
      </c>
      <c r="J40" s="19">
        <f>'Ops Departments'!Q40/'Ops Departments'!P40-1</f>
        <v>-0.049986816</v>
      </c>
      <c r="K40" s="19">
        <f>'Ops Departments'!R40/'Ops Departments'!Q40-1</f>
        <v>-0.3605745824</v>
      </c>
      <c r="L40" s="19">
        <f>'Ops Departments'!S40/'Ops Departments'!R40-1</f>
        <v>0.2276437227</v>
      </c>
      <c r="M40" s="19">
        <f>'Ops Departments'!T40/'Ops Departments'!S40-1</f>
        <v>-0.02648357891</v>
      </c>
      <c r="N40" s="19">
        <f>'Ops Departments'!U40/'Ops Departments'!T40-1</f>
        <v>0.09221627479</v>
      </c>
      <c r="O40" s="19">
        <f>'Ops Departments'!V40/'Ops Departments'!U40-1</f>
        <v>-0.2992733358</v>
      </c>
      <c r="P40" s="19">
        <f>'Ops Departments'!W40/'Ops Departments'!V40-1</f>
        <v>3.152471566</v>
      </c>
      <c r="Q40" s="19">
        <f>'Ops Departments'!X40/'Ops Departments'!W40-1</f>
        <v>-0.00449634391</v>
      </c>
      <c r="R40" s="19">
        <f>'Ops Departments'!Y40/'Ops Departments'!X40-1</f>
        <v>-0.01133867929</v>
      </c>
      <c r="S40" s="19">
        <f>'Ops Departments'!Z40/'Ops Departments'!Y40-1</f>
        <v>-0.6465197909</v>
      </c>
      <c r="T40" s="19">
        <f>'Ops Departments'!AA40/'Ops Departments'!Z40-1</f>
        <v>0.4727132464</v>
      </c>
      <c r="U40" s="19">
        <f>'Ops Departments'!AB40/'Ops Departments'!AA40-1</f>
        <v>0.2204755492</v>
      </c>
      <c r="V40" s="19">
        <f>'Ops Departments'!AC40/'Ops Departments'!AB40-1</f>
        <v>0.1889745237</v>
      </c>
      <c r="W40" s="19">
        <f>'Ops Departments'!AD40/'Ops Departments'!AC40-1</f>
        <v>0.1509501724</v>
      </c>
      <c r="X40" s="19">
        <f>'Ops Departments'!AE40/'Ops Departments'!AD40-1</f>
        <v>0.1317360644</v>
      </c>
      <c r="Y40" s="19">
        <f>'Ops Departments'!AF40/'Ops Departments'!AE40-1</f>
        <v>0.1154010776</v>
      </c>
      <c r="Z40" s="19">
        <f>'Ops Departments'!AG40/'Ops Departments'!AF40-1</f>
        <v>0.1019309203</v>
      </c>
      <c r="AA40" s="19">
        <f>'Ops Departments'!AH40/'Ops Departments'!AG40-1</f>
        <v>0.08563558206</v>
      </c>
      <c r="AB40" s="19">
        <f>'Ops Departments'!AI40/'Ops Departments'!AH40-1</f>
        <v>0.07559609062</v>
      </c>
      <c r="AC40" s="20"/>
      <c r="AD40" s="11" t="s">
        <v>62</v>
      </c>
      <c r="AE40" s="19">
        <f>AN38/AM38-1</f>
        <v>0.4953954999</v>
      </c>
      <c r="AF40" s="19">
        <f>AF38/AE38-1</f>
        <v>0.1242974914</v>
      </c>
      <c r="AG40" s="12"/>
      <c r="AH40" s="19"/>
      <c r="AI40" s="11"/>
      <c r="AJ40" s="11"/>
      <c r="AK40" s="11"/>
      <c r="AL40" s="19">
        <f t="shared" si="59"/>
        <v>0.5511328306</v>
      </c>
      <c r="AM40" s="19">
        <f t="shared" ref="AM40:AQ40" si="66">AM38/AL38-1</f>
        <v>0.3265394787</v>
      </c>
      <c r="AN40" s="19">
        <f t="shared" si="66"/>
        <v>0.4953954999</v>
      </c>
      <c r="AO40" s="19">
        <f t="shared" si="66"/>
        <v>0.1242974914</v>
      </c>
      <c r="AP40" s="19">
        <f t="shared" si="66"/>
        <v>0.5511257744</v>
      </c>
      <c r="AQ40" s="19">
        <f t="shared" si="66"/>
        <v>0.302617588</v>
      </c>
      <c r="AR40" s="11"/>
      <c r="AS40" s="11"/>
      <c r="AT40" s="11"/>
      <c r="AU40" s="11"/>
      <c r="AV40" s="11"/>
      <c r="AW40" s="11"/>
      <c r="AX40" s="11"/>
      <c r="AY40" s="11"/>
      <c r="AZ40" s="11"/>
      <c r="BA40" s="11"/>
      <c r="BB40" s="11"/>
      <c r="BC40" s="11"/>
      <c r="BD40" s="11"/>
      <c r="BE40" s="11"/>
      <c r="BF40" s="11"/>
      <c r="BG40" s="11"/>
      <c r="BH40" s="11"/>
      <c r="BI40" s="11"/>
      <c r="BJ40" s="11"/>
      <c r="BK40" s="11"/>
    </row>
    <row r="41" ht="15.75" customHeight="1">
      <c r="A41" s="11"/>
      <c r="B41" s="11"/>
      <c r="C41" s="11"/>
      <c r="D41" s="11"/>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11"/>
      <c r="AE41" s="20"/>
      <c r="AF41" s="20"/>
      <c r="AG41" s="12"/>
      <c r="AH41" s="19"/>
      <c r="AI41" s="11"/>
      <c r="AJ41" s="11"/>
      <c r="AK41" s="11"/>
      <c r="AL41" s="20"/>
      <c r="AM41" s="20"/>
      <c r="AN41" s="20"/>
      <c r="AO41" s="20"/>
      <c r="AP41" s="20"/>
      <c r="AQ41" s="20"/>
      <c r="AR41" s="11"/>
      <c r="AS41" s="11"/>
      <c r="AT41" s="11"/>
      <c r="AU41" s="11"/>
      <c r="AV41" s="11"/>
      <c r="AW41" s="11"/>
      <c r="AX41" s="11"/>
      <c r="AY41" s="11"/>
      <c r="AZ41" s="11"/>
      <c r="BA41" s="11"/>
      <c r="BB41" s="11"/>
      <c r="BC41" s="11"/>
      <c r="BD41" s="11"/>
      <c r="BE41" s="11"/>
      <c r="BF41" s="11"/>
      <c r="BG41" s="11"/>
      <c r="BH41" s="11"/>
      <c r="BI41" s="11"/>
      <c r="BJ41" s="11"/>
      <c r="BK41" s="11"/>
    </row>
    <row r="42" ht="15.75" customHeight="1">
      <c r="A42" s="11" t="s">
        <v>85</v>
      </c>
      <c r="B42" s="11" t="s">
        <v>63</v>
      </c>
      <c r="C42" s="11"/>
      <c r="D42" s="11" t="s">
        <v>64</v>
      </c>
      <c r="E42" s="24">
        <f>SUMIFS('Ops Departments'!P:P,'Ops Departments'!$B:$B,$B42,'Ops Departments'!$A:$A,$A42)</f>
        <v>16830</v>
      </c>
      <c r="F42" s="24">
        <f>SUMIFS('Ops Departments'!Q:Q,'Ops Departments'!$B:$B,$B42,'Ops Departments'!$A:$A,$A42)</f>
        <v>12580</v>
      </c>
      <c r="G42" s="24">
        <f>SUMIFS('Ops Departments'!R:R,'Ops Departments'!$B:$B,$B42,'Ops Departments'!$A:$A,$A42)</f>
        <v>19498</v>
      </c>
      <c r="H42" s="24">
        <f>SUMIFS('Ops Departments'!S:S,'Ops Departments'!$B:$B,$B42,'Ops Departments'!$A:$A,$A42)</f>
        <v>14549</v>
      </c>
      <c r="I42" s="24">
        <f>SUMIFS('Ops Departments'!T:T,'Ops Departments'!$B:$B,$B42,'Ops Departments'!$A:$A,$A42)</f>
        <v>18154</v>
      </c>
      <c r="J42" s="24">
        <f>SUMIFS('Ops Departments'!U:U,'Ops Departments'!$B:$B,$B42,'Ops Departments'!$A:$A,$A42)</f>
        <v>15999</v>
      </c>
      <c r="K42" s="24">
        <f>SUMIFS('Ops Departments'!V:V,'Ops Departments'!$B:$B,$B42,'Ops Departments'!$A:$A,$A42)</f>
        <v>22254</v>
      </c>
      <c r="L42" s="24">
        <f>SUMIFS('Ops Departments'!W:W,'Ops Departments'!$B:$B,$B42,'Ops Departments'!$A:$A,$A42)</f>
        <v>20326</v>
      </c>
      <c r="M42" s="24">
        <f>SUMIFS('Ops Departments'!X:X,'Ops Departments'!$B:$B,$B42,'Ops Departments'!$A:$A,$A42)</f>
        <v>18769</v>
      </c>
      <c r="N42" s="24">
        <f>SUMIFS('Ops Departments'!Y:Y,'Ops Departments'!$B:$B,$B42,'Ops Departments'!$A:$A,$A42)</f>
        <v>16751</v>
      </c>
      <c r="O42" s="24">
        <f>SUMIFS('Ops Departments'!Z:Z,'Ops Departments'!$B:$B,$B42,'Ops Departments'!$A:$A,$A42)</f>
        <v>19973</v>
      </c>
      <c r="P42" s="24">
        <f>SUMIFS('Ops Departments'!AA:AA,'Ops Departments'!$B:$B,$B42,'Ops Departments'!$A:$A,$A42)</f>
        <v>39685.86393</v>
      </c>
      <c r="Q42" s="24">
        <f>SUMIFS('Ops Departments'!AB:AB,'Ops Departments'!$B:$B,$B42,'Ops Departments'!$A:$A,$A42)</f>
        <v>74084.5452</v>
      </c>
      <c r="R42" s="24">
        <f>SUMIFS('Ops Departments'!AC:AC,'Ops Departments'!$B:$B,$B42,'Ops Departments'!$A:$A,$A42)</f>
        <v>80941.65619</v>
      </c>
      <c r="S42" s="24">
        <f>SUMIFS('Ops Departments'!AD:AD,'Ops Departments'!$B:$B,$B42,'Ops Departments'!$A:$A,$A42)</f>
        <v>88153.97481</v>
      </c>
      <c r="T42" s="24">
        <f>SUMIFS('Ops Departments'!AE:AE,'Ops Departments'!$B:$B,$B42,'Ops Departments'!$A:$A,$A42)</f>
        <v>95282.44964</v>
      </c>
      <c r="U42" s="24">
        <f>SUMIFS('Ops Departments'!AF:AF,'Ops Departments'!$B:$B,$B42,'Ops Departments'!$A:$A,$A42)</f>
        <v>98708.49082</v>
      </c>
      <c r="V42" s="24">
        <f>SUMIFS('Ops Departments'!AG:AG,'Ops Departments'!$B:$B,$B42,'Ops Departments'!$A:$A,$A42)</f>
        <v>99195.53742</v>
      </c>
      <c r="W42" s="24">
        <f>SUMIFS('Ops Departments'!AH:AH,'Ops Departments'!$B:$B,$B42,'Ops Departments'!$A:$A,$A42)</f>
        <v>106020.5982</v>
      </c>
      <c r="X42" s="24">
        <f>SUMIFS('Ops Departments'!AI:AI,'Ops Departments'!$B:$B,$B42,'Ops Departments'!$A:$A,$A42)</f>
        <v>106521.658</v>
      </c>
      <c r="Y42" s="24">
        <f>SUMIFS('Ops Departments'!AJ:AJ,'Ops Departments'!$B:$B,$B42,'Ops Departments'!$A:$A,$A42)</f>
        <v>110125.601</v>
      </c>
      <c r="Z42" s="24">
        <f>SUMIFS('Ops Departments'!AK:AK,'Ops Departments'!$B:$B,$B42,'Ops Departments'!$A:$A,$A42)</f>
        <v>110589.1577</v>
      </c>
      <c r="AA42" s="24">
        <f>SUMIFS('Ops Departments'!AL:AL,'Ops Departments'!$B:$B,$B42,'Ops Departments'!$A:$A,$A42)</f>
        <v>111048.6603</v>
      </c>
      <c r="AB42" s="24">
        <f>SUMIFS('Ops Departments'!AM:AM,'Ops Departments'!$B:$B,$B42,'Ops Departments'!$A:$A,$A42)</f>
        <v>111520.4522</v>
      </c>
      <c r="AC42" s="12"/>
      <c r="AD42" s="12" t="str">
        <f t="shared" ref="AD42:AD47" si="67">D42</f>
        <v>Payroll &amp; Related</v>
      </c>
      <c r="AE42" s="12">
        <f t="shared" ref="AE42:AE47" si="68">SUM(M42:P42)</f>
        <v>95178.86393</v>
      </c>
      <c r="AF42" s="12">
        <f t="shared" ref="AF42:AF47" si="69">SUM(Q42:T42)</f>
        <v>338462.6258</v>
      </c>
      <c r="AG42" s="12">
        <f t="shared" ref="AG42:AG47" si="70">AE42-AF42</f>
        <v>-243283.7619</v>
      </c>
      <c r="AH42" s="19">
        <f t="shared" ref="AH42:AH47" si="71">AF42/AE42-1</f>
        <v>2.556069193</v>
      </c>
      <c r="AI42" s="11"/>
      <c r="AJ42" s="11"/>
      <c r="AK42" s="11"/>
      <c r="AL42" s="12">
        <f t="shared" ref="AL42:AL47" si="72">SUM(E42:H42)</f>
        <v>63457</v>
      </c>
      <c r="AM42" s="12">
        <f t="shared" ref="AM42:AM47" si="73">SUM(I42:L42)</f>
        <v>76733</v>
      </c>
      <c r="AN42" s="12">
        <f t="shared" ref="AN42:AN47" si="74">SUM(M42:P42)</f>
        <v>95178.86393</v>
      </c>
      <c r="AO42" s="12">
        <f t="shared" ref="AO42:AO47" si="75">SUM(Q42:T42)</f>
        <v>338462.6258</v>
      </c>
      <c r="AP42" s="12">
        <f t="shared" ref="AP42:AP47" si="76">SUM(U42:X42)</f>
        <v>410446.2844</v>
      </c>
      <c r="AQ42" s="12">
        <f t="shared" ref="AQ42:AQ47" si="77">SUM(Y42:AB42)</f>
        <v>443283.8713</v>
      </c>
      <c r="AR42" s="11"/>
      <c r="AS42" s="11"/>
      <c r="AT42" s="11"/>
      <c r="AU42" s="11"/>
      <c r="AV42" s="11"/>
      <c r="AW42" s="11"/>
      <c r="AX42" s="11"/>
      <c r="AY42" s="11"/>
      <c r="AZ42" s="11"/>
      <c r="BA42" s="11"/>
      <c r="BB42" s="11"/>
      <c r="BC42" s="11"/>
      <c r="BD42" s="11"/>
      <c r="BE42" s="11"/>
      <c r="BF42" s="11"/>
      <c r="BG42" s="11"/>
      <c r="BH42" s="11"/>
      <c r="BI42" s="11"/>
      <c r="BJ42" s="11"/>
      <c r="BK42" s="11"/>
    </row>
    <row r="43" ht="15.75" customHeight="1">
      <c r="A43" s="11" t="s">
        <v>85</v>
      </c>
      <c r="B43" s="11" t="s">
        <v>65</v>
      </c>
      <c r="C43" s="11"/>
      <c r="D43" s="11" t="s">
        <v>66</v>
      </c>
      <c r="E43" s="24">
        <f>SUMIFS('Ops Departments'!P:P,'Ops Departments'!$B:$B,$B43,'Ops Departments'!$A:$A,$A43)</f>
        <v>3243</v>
      </c>
      <c r="F43" s="24">
        <f>SUMIFS('Ops Departments'!Q:Q,'Ops Departments'!$B:$B,$B43,'Ops Departments'!$A:$A,$A43)</f>
        <v>2624</v>
      </c>
      <c r="G43" s="24">
        <f>SUMIFS('Ops Departments'!R:R,'Ops Departments'!$B:$B,$B43,'Ops Departments'!$A:$A,$A43)</f>
        <v>1810</v>
      </c>
      <c r="H43" s="24">
        <f>SUMIFS('Ops Departments'!S:S,'Ops Departments'!$B:$B,$B43,'Ops Departments'!$A:$A,$A43)</f>
        <v>1991</v>
      </c>
      <c r="I43" s="24">
        <f>SUMIFS('Ops Departments'!T:T,'Ops Departments'!$B:$B,$B43,'Ops Departments'!$A:$A,$A43)</f>
        <v>4873</v>
      </c>
      <c r="J43" s="24">
        <f>SUMIFS('Ops Departments'!U:U,'Ops Departments'!$B:$B,$B43,'Ops Departments'!$A:$A,$A43)</f>
        <v>4213</v>
      </c>
      <c r="K43" s="24">
        <f>SUMIFS('Ops Departments'!V:V,'Ops Departments'!$B:$B,$B43,'Ops Departments'!$A:$A,$A43)</f>
        <v>342</v>
      </c>
      <c r="L43" s="24">
        <f>SUMIFS('Ops Departments'!W:W,'Ops Departments'!$B:$B,$B43,'Ops Departments'!$A:$A,$A43)</f>
        <v>4878</v>
      </c>
      <c r="M43" s="24">
        <f>SUMIFS('Ops Departments'!X:X,'Ops Departments'!$B:$B,$B43,'Ops Departments'!$A:$A,$A43)</f>
        <v>4073</v>
      </c>
      <c r="N43" s="24">
        <f>SUMIFS('Ops Departments'!Y:Y,'Ops Departments'!$B:$B,$B43,'Ops Departments'!$A:$A,$A43)</f>
        <v>523</v>
      </c>
      <c r="O43" s="24">
        <f>SUMIFS('Ops Departments'!Z:Z,'Ops Departments'!$B:$B,$B43,'Ops Departments'!$A:$A,$A43)</f>
        <v>4191</v>
      </c>
      <c r="P43" s="24">
        <f>SUMIFS('Ops Departments'!AA:AA,'Ops Departments'!$B:$B,$B43,'Ops Departments'!$A:$A,$A43)</f>
        <v>1914.359331</v>
      </c>
      <c r="Q43" s="24">
        <f>SUMIFS('Ops Departments'!AB:AB,'Ops Departments'!$B:$B,$B43,'Ops Departments'!$A:$A,$A43)</f>
        <v>834.4388414</v>
      </c>
      <c r="R43" s="24">
        <f>SUMIFS('Ops Departments'!AC:AC,'Ops Departments'!$B:$B,$B43,'Ops Departments'!$A:$A,$A43)</f>
        <v>992.126524</v>
      </c>
      <c r="S43" s="24">
        <f>SUMIFS('Ops Departments'!AD:AD,'Ops Departments'!$B:$B,$B43,'Ops Departments'!$A:$A,$A43)</f>
        <v>1141.888194</v>
      </c>
      <c r="T43" s="24">
        <f>SUMIFS('Ops Departments'!AE:AE,'Ops Departments'!$B:$B,$B43,'Ops Departments'!$A:$A,$A43)</f>
        <v>1292.31605</v>
      </c>
      <c r="U43" s="24">
        <f>SUMIFS('Ops Departments'!AF:AF,'Ops Departments'!$B:$B,$B43,'Ops Departments'!$A:$A,$A43)</f>
        <v>864.8704292</v>
      </c>
      <c r="V43" s="24">
        <f>SUMIFS('Ops Departments'!AG:AG,'Ops Departments'!$B:$B,$B43,'Ops Departments'!$A:$A,$A43)</f>
        <v>953.027468</v>
      </c>
      <c r="W43" s="24">
        <f>SUMIFS('Ops Departments'!AH:AH,'Ops Departments'!$B:$B,$B43,'Ops Departments'!$A:$A,$A43)</f>
        <v>1034.64053</v>
      </c>
      <c r="X43" s="24">
        <f>SUMIFS('Ops Departments'!AI:AI,'Ops Departments'!$B:$B,$B43,'Ops Departments'!$A:$A,$A43)</f>
        <v>1112.855309</v>
      </c>
      <c r="Y43" s="24">
        <f>SUMIFS('Ops Departments'!AJ:AJ,'Ops Departments'!$B:$B,$B43,'Ops Departments'!$A:$A,$A43)</f>
        <v>1188.97851</v>
      </c>
      <c r="Z43" s="24">
        <f>SUMIFS('Ops Departments'!AK:AK,'Ops Departments'!$B:$B,$B43,'Ops Departments'!$A:$A,$A43)</f>
        <v>1255.740085</v>
      </c>
      <c r="AA43" s="24">
        <f>SUMIFS('Ops Departments'!AL:AL,'Ops Departments'!$B:$B,$B43,'Ops Departments'!$A:$A,$A43)</f>
        <v>1325.537557</v>
      </c>
      <c r="AB43" s="24">
        <f>SUMIFS('Ops Departments'!AM:AM,'Ops Departments'!$B:$B,$B43,'Ops Departments'!$A:$A,$A43)</f>
        <v>1395.135472</v>
      </c>
      <c r="AC43" s="20"/>
      <c r="AD43" s="12" t="str">
        <f t="shared" si="67"/>
        <v>Contractors</v>
      </c>
      <c r="AE43" s="21">
        <f t="shared" si="68"/>
        <v>10701.35933</v>
      </c>
      <c r="AF43" s="21">
        <f t="shared" si="69"/>
        <v>4260.76961</v>
      </c>
      <c r="AG43" s="21">
        <f t="shared" si="70"/>
        <v>6440.589721</v>
      </c>
      <c r="AH43" s="19">
        <f t="shared" si="71"/>
        <v>-0.6018478141</v>
      </c>
      <c r="AI43" s="11"/>
      <c r="AJ43" s="11"/>
      <c r="AK43" s="11"/>
      <c r="AL43" s="21">
        <f t="shared" si="72"/>
        <v>9668</v>
      </c>
      <c r="AM43" s="21">
        <f t="shared" si="73"/>
        <v>14306</v>
      </c>
      <c r="AN43" s="29">
        <f t="shared" si="74"/>
        <v>10701.35933</v>
      </c>
      <c r="AO43" s="21">
        <f t="shared" si="75"/>
        <v>4260.76961</v>
      </c>
      <c r="AP43" s="21">
        <f t="shared" si="76"/>
        <v>3965.393736</v>
      </c>
      <c r="AQ43" s="29">
        <f t="shared" si="77"/>
        <v>5165.391624</v>
      </c>
      <c r="AR43" s="11"/>
      <c r="AS43" s="11"/>
      <c r="AT43" s="11"/>
      <c r="AU43" s="11"/>
      <c r="AV43" s="11"/>
      <c r="AW43" s="11"/>
      <c r="AX43" s="11"/>
      <c r="AY43" s="11"/>
      <c r="AZ43" s="11"/>
      <c r="BA43" s="11"/>
      <c r="BB43" s="11"/>
      <c r="BC43" s="11"/>
      <c r="BD43" s="11"/>
      <c r="BE43" s="11"/>
      <c r="BF43" s="11"/>
      <c r="BG43" s="11"/>
      <c r="BH43" s="11"/>
      <c r="BI43" s="11"/>
      <c r="BJ43" s="11"/>
      <c r="BK43" s="11"/>
    </row>
    <row r="44" ht="15.75" customHeight="1">
      <c r="A44" s="11" t="s">
        <v>85</v>
      </c>
      <c r="B44" s="11" t="s">
        <v>67</v>
      </c>
      <c r="C44" s="11"/>
      <c r="D44" s="11" t="s">
        <v>68</v>
      </c>
      <c r="E44" s="24">
        <f>SUMIFS('Ops Departments'!P:P,'Ops Departments'!$B:$B,$B44,'Ops Departments'!$A:$A,$A44)</f>
        <v>6097</v>
      </c>
      <c r="F44" s="24">
        <f>SUMIFS('Ops Departments'!Q:Q,'Ops Departments'!$B:$B,$B44,'Ops Departments'!$A:$A,$A44)</f>
        <v>6543</v>
      </c>
      <c r="G44" s="24">
        <f>SUMIFS('Ops Departments'!R:R,'Ops Departments'!$B:$B,$B44,'Ops Departments'!$A:$A,$A44)</f>
        <v>9439</v>
      </c>
      <c r="H44" s="24">
        <f>SUMIFS('Ops Departments'!S:S,'Ops Departments'!$B:$B,$B44,'Ops Departments'!$A:$A,$A44)</f>
        <v>5164</v>
      </c>
      <c r="I44" s="24">
        <f>SUMIFS('Ops Departments'!T:T,'Ops Departments'!$B:$B,$B44,'Ops Departments'!$A:$A,$A44)</f>
        <v>9496</v>
      </c>
      <c r="J44" s="24">
        <f>SUMIFS('Ops Departments'!U:U,'Ops Departments'!$B:$B,$B44,'Ops Departments'!$A:$A,$A44)</f>
        <v>9712</v>
      </c>
      <c r="K44" s="24">
        <f>SUMIFS('Ops Departments'!V:V,'Ops Departments'!$B:$B,$B44,'Ops Departments'!$A:$A,$A44)</f>
        <v>4613</v>
      </c>
      <c r="L44" s="24">
        <f>SUMIFS('Ops Departments'!W:W,'Ops Departments'!$B:$B,$B44,'Ops Departments'!$A:$A,$A44)</f>
        <v>7737</v>
      </c>
      <c r="M44" s="24">
        <f>SUMIFS('Ops Departments'!X:X,'Ops Departments'!$B:$B,$B44,'Ops Departments'!$A:$A,$A44)</f>
        <v>8367</v>
      </c>
      <c r="N44" s="24">
        <f>SUMIFS('Ops Departments'!Y:Y,'Ops Departments'!$B:$B,$B44,'Ops Departments'!$A:$A,$A44)</f>
        <v>7815</v>
      </c>
      <c r="O44" s="24">
        <f>SUMIFS('Ops Departments'!Z:Z,'Ops Departments'!$B:$B,$B44,'Ops Departments'!$A:$A,$A44)</f>
        <v>14491</v>
      </c>
      <c r="P44" s="24">
        <f>SUMIFS('Ops Departments'!AA:AA,'Ops Departments'!$B:$B,$B44,'Ops Departments'!$A:$A,$A44)</f>
        <v>3921.25875</v>
      </c>
      <c r="Q44" s="24">
        <f>SUMIFS('Ops Departments'!AB:AB,'Ops Departments'!$B:$B,$B44,'Ops Departments'!$A:$A,$A44)</f>
        <v>4313.384625</v>
      </c>
      <c r="R44" s="24">
        <f>SUMIFS('Ops Departments'!AC:AC,'Ops Departments'!$B:$B,$B44,'Ops Departments'!$A:$A,$A44)</f>
        <v>4356.518471</v>
      </c>
      <c r="S44" s="24">
        <f>SUMIFS('Ops Departments'!AD:AD,'Ops Departments'!$B:$B,$B44,'Ops Departments'!$A:$A,$A44)</f>
        <v>4400.083656</v>
      </c>
      <c r="T44" s="24">
        <f>SUMIFS('Ops Departments'!AE:AE,'Ops Departments'!$B:$B,$B44,'Ops Departments'!$A:$A,$A44)</f>
        <v>4444.084493</v>
      </c>
      <c r="U44" s="24">
        <f>SUMIFS('Ops Departments'!AF:AF,'Ops Departments'!$B:$B,$B44,'Ops Departments'!$A:$A,$A44)</f>
        <v>4488.525337</v>
      </c>
      <c r="V44" s="24">
        <f>SUMIFS('Ops Departments'!AG:AG,'Ops Departments'!$B:$B,$B44,'Ops Departments'!$A:$A,$A44)</f>
        <v>4533.410591</v>
      </c>
      <c r="W44" s="24">
        <f>SUMIFS('Ops Departments'!AH:AH,'Ops Departments'!$B:$B,$B44,'Ops Departments'!$A:$A,$A44)</f>
        <v>4578.744697</v>
      </c>
      <c r="X44" s="24">
        <f>SUMIFS('Ops Departments'!AI:AI,'Ops Departments'!$B:$B,$B44,'Ops Departments'!$A:$A,$A44)</f>
        <v>4624.532144</v>
      </c>
      <c r="Y44" s="24">
        <f>SUMIFS('Ops Departments'!AJ:AJ,'Ops Departments'!$B:$B,$B44,'Ops Departments'!$A:$A,$A44)</f>
        <v>4670.777465</v>
      </c>
      <c r="Z44" s="24">
        <f>SUMIFS('Ops Departments'!AK:AK,'Ops Departments'!$B:$B,$B44,'Ops Departments'!$A:$A,$A44)</f>
        <v>4717.48524</v>
      </c>
      <c r="AA44" s="24">
        <f>SUMIFS('Ops Departments'!AL:AL,'Ops Departments'!$B:$B,$B44,'Ops Departments'!$A:$A,$A44)</f>
        <v>4764.660092</v>
      </c>
      <c r="AB44" s="24">
        <f>SUMIFS('Ops Departments'!AM:AM,'Ops Departments'!$B:$B,$B44,'Ops Departments'!$A:$A,$A44)</f>
        <v>4812.306693</v>
      </c>
      <c r="AC44" s="20"/>
      <c r="AD44" s="12" t="str">
        <f t="shared" si="67"/>
        <v>T&amp;E</v>
      </c>
      <c r="AE44" s="21">
        <f t="shared" si="68"/>
        <v>34594.25875</v>
      </c>
      <c r="AF44" s="21">
        <f t="shared" si="69"/>
        <v>17514.07124</v>
      </c>
      <c r="AG44" s="21">
        <f t="shared" si="70"/>
        <v>17080.18751</v>
      </c>
      <c r="AH44" s="19">
        <f t="shared" si="71"/>
        <v>-0.4937289632</v>
      </c>
      <c r="AI44" s="11"/>
      <c r="AJ44" s="11"/>
      <c r="AK44" s="11"/>
      <c r="AL44" s="21">
        <f t="shared" si="72"/>
        <v>27243</v>
      </c>
      <c r="AM44" s="21">
        <f t="shared" si="73"/>
        <v>31558</v>
      </c>
      <c r="AN44" s="29">
        <f t="shared" si="74"/>
        <v>34594.25875</v>
      </c>
      <c r="AO44" s="21">
        <f t="shared" si="75"/>
        <v>17514.07124</v>
      </c>
      <c r="AP44" s="21">
        <f t="shared" si="76"/>
        <v>18225.21277</v>
      </c>
      <c r="AQ44" s="29">
        <f t="shared" si="77"/>
        <v>18965.22949</v>
      </c>
      <c r="AR44" s="11"/>
      <c r="AS44" s="11"/>
      <c r="AT44" s="11"/>
      <c r="AU44" s="11"/>
      <c r="AV44" s="11"/>
      <c r="AW44" s="11"/>
      <c r="AX44" s="11"/>
      <c r="AY44" s="11"/>
      <c r="AZ44" s="11"/>
      <c r="BA44" s="11"/>
      <c r="BB44" s="11"/>
      <c r="BC44" s="11"/>
      <c r="BD44" s="11"/>
      <c r="BE44" s="11"/>
      <c r="BF44" s="11"/>
      <c r="BG44" s="11"/>
      <c r="BH44" s="11"/>
      <c r="BI44" s="11"/>
      <c r="BJ44" s="11"/>
      <c r="BK44" s="11"/>
    </row>
    <row r="45" ht="15.75" customHeight="1">
      <c r="A45" s="11" t="s">
        <v>85</v>
      </c>
      <c r="B45" s="11" t="s">
        <v>69</v>
      </c>
      <c r="C45" s="11"/>
      <c r="D45" s="11" t="s">
        <v>70</v>
      </c>
      <c r="E45" s="24">
        <f>SUMIFS('Ops Departments'!P:P,'Ops Departments'!$B:$B,$B45,'Ops Departments'!$A:$A,$A45)</f>
        <v>4354</v>
      </c>
      <c r="F45" s="24">
        <f>SUMIFS('Ops Departments'!Q:Q,'Ops Departments'!$B:$B,$B45,'Ops Departments'!$A:$A,$A45)</f>
        <v>252</v>
      </c>
      <c r="G45" s="24">
        <f>SUMIFS('Ops Departments'!R:R,'Ops Departments'!$B:$B,$B45,'Ops Departments'!$A:$A,$A45)</f>
        <v>4069</v>
      </c>
      <c r="H45" s="24">
        <f>SUMIFS('Ops Departments'!S:S,'Ops Departments'!$B:$B,$B45,'Ops Departments'!$A:$A,$A45)</f>
        <v>4894</v>
      </c>
      <c r="I45" s="24">
        <f>SUMIFS('Ops Departments'!T:T,'Ops Departments'!$B:$B,$B45,'Ops Departments'!$A:$A,$A45)</f>
        <v>3654</v>
      </c>
      <c r="J45" s="24">
        <f>SUMIFS('Ops Departments'!U:U,'Ops Departments'!$B:$B,$B45,'Ops Departments'!$A:$A,$A45)</f>
        <v>772</v>
      </c>
      <c r="K45" s="24">
        <f>SUMIFS('Ops Departments'!V:V,'Ops Departments'!$B:$B,$B45,'Ops Departments'!$A:$A,$A45)</f>
        <v>3916</v>
      </c>
      <c r="L45" s="24">
        <f>SUMIFS('Ops Departments'!W:W,'Ops Departments'!$B:$B,$B45,'Ops Departments'!$A:$A,$A45)</f>
        <v>2522</v>
      </c>
      <c r="M45" s="24">
        <f>SUMIFS('Ops Departments'!X:X,'Ops Departments'!$B:$B,$B45,'Ops Departments'!$A:$A,$A45)</f>
        <v>2135</v>
      </c>
      <c r="N45" s="24">
        <f>SUMIFS('Ops Departments'!Y:Y,'Ops Departments'!$B:$B,$B45,'Ops Departments'!$A:$A,$A45)</f>
        <v>2754</v>
      </c>
      <c r="O45" s="24">
        <f>SUMIFS('Ops Departments'!Z:Z,'Ops Departments'!$B:$B,$B45,'Ops Departments'!$A:$A,$A45)</f>
        <v>1715</v>
      </c>
      <c r="P45" s="24">
        <f>SUMIFS('Ops Departments'!AA:AA,'Ops Departments'!$B:$B,$B45,'Ops Departments'!$A:$A,$A45)</f>
        <v>266.048</v>
      </c>
      <c r="Q45" s="24">
        <f>SUMIFS('Ops Departments'!AB:AB,'Ops Departments'!$B:$B,$B45,'Ops Departments'!$A:$A,$A45)</f>
        <v>586.048</v>
      </c>
      <c r="R45" s="24">
        <f>SUMIFS('Ops Departments'!AC:AC,'Ops Departments'!$B:$B,$B45,'Ops Departments'!$A:$A,$A45)</f>
        <v>586.048</v>
      </c>
      <c r="S45" s="24">
        <f>SUMIFS('Ops Departments'!AD:AD,'Ops Departments'!$B:$B,$B45,'Ops Departments'!$A:$A,$A45)</f>
        <v>586.048</v>
      </c>
      <c r="T45" s="24">
        <f>SUMIFS('Ops Departments'!AE:AE,'Ops Departments'!$B:$B,$B45,'Ops Departments'!$A:$A,$A45)</f>
        <v>586.048</v>
      </c>
      <c r="U45" s="24">
        <f>SUMIFS('Ops Departments'!AF:AF,'Ops Departments'!$B:$B,$B45,'Ops Departments'!$A:$A,$A45)</f>
        <v>906.048</v>
      </c>
      <c r="V45" s="24">
        <f>SUMIFS('Ops Departments'!AG:AG,'Ops Departments'!$B:$B,$B45,'Ops Departments'!$A:$A,$A45)</f>
        <v>906.048</v>
      </c>
      <c r="W45" s="24">
        <f>SUMIFS('Ops Departments'!AH:AH,'Ops Departments'!$B:$B,$B45,'Ops Departments'!$A:$A,$A45)</f>
        <v>906.048</v>
      </c>
      <c r="X45" s="24">
        <f>SUMIFS('Ops Departments'!AI:AI,'Ops Departments'!$B:$B,$B45,'Ops Departments'!$A:$A,$A45)</f>
        <v>906.048</v>
      </c>
      <c r="Y45" s="24">
        <f>SUMIFS('Ops Departments'!AJ:AJ,'Ops Departments'!$B:$B,$B45,'Ops Departments'!$A:$A,$A45)</f>
        <v>1226.048</v>
      </c>
      <c r="Z45" s="24">
        <f>SUMIFS('Ops Departments'!AK:AK,'Ops Departments'!$B:$B,$B45,'Ops Departments'!$A:$A,$A45)</f>
        <v>1226.048</v>
      </c>
      <c r="AA45" s="24">
        <f>SUMIFS('Ops Departments'!AL:AL,'Ops Departments'!$B:$B,$B45,'Ops Departments'!$A:$A,$A45)</f>
        <v>1226.048</v>
      </c>
      <c r="AB45" s="24">
        <f>SUMIFS('Ops Departments'!AM:AM,'Ops Departments'!$B:$B,$B45,'Ops Departments'!$A:$A,$A45)</f>
        <v>1226.048</v>
      </c>
      <c r="AC45" s="20"/>
      <c r="AD45" s="12" t="str">
        <f t="shared" si="67"/>
        <v>Software</v>
      </c>
      <c r="AE45" s="21">
        <f t="shared" si="68"/>
        <v>6870.048</v>
      </c>
      <c r="AF45" s="21">
        <f t="shared" si="69"/>
        <v>2344.192</v>
      </c>
      <c r="AG45" s="21">
        <f t="shared" si="70"/>
        <v>4525.856</v>
      </c>
      <c r="AH45" s="19">
        <f t="shared" si="71"/>
        <v>-0.6587808411</v>
      </c>
      <c r="AI45" s="11"/>
      <c r="AJ45" s="11"/>
      <c r="AK45" s="11"/>
      <c r="AL45" s="21">
        <f t="shared" si="72"/>
        <v>13569</v>
      </c>
      <c r="AM45" s="21">
        <f t="shared" si="73"/>
        <v>10864</v>
      </c>
      <c r="AN45" s="29">
        <f t="shared" si="74"/>
        <v>6870.048</v>
      </c>
      <c r="AO45" s="21">
        <f t="shared" si="75"/>
        <v>2344.192</v>
      </c>
      <c r="AP45" s="21">
        <f t="shared" si="76"/>
        <v>3624.192</v>
      </c>
      <c r="AQ45" s="29">
        <f t="shared" si="77"/>
        <v>4904.192</v>
      </c>
      <c r="AR45" s="11"/>
      <c r="AS45" s="11"/>
      <c r="AT45" s="11"/>
      <c r="AU45" s="11"/>
      <c r="AV45" s="11"/>
      <c r="AW45" s="11"/>
      <c r="AX45" s="11"/>
      <c r="AY45" s="11"/>
      <c r="AZ45" s="11"/>
      <c r="BA45" s="11"/>
      <c r="BB45" s="11"/>
      <c r="BC45" s="11"/>
      <c r="BD45" s="11"/>
      <c r="BE45" s="11"/>
      <c r="BF45" s="11"/>
      <c r="BG45" s="11"/>
      <c r="BH45" s="11"/>
      <c r="BI45" s="11"/>
      <c r="BJ45" s="11"/>
      <c r="BK45" s="11"/>
    </row>
    <row r="46" ht="15.75" customHeight="1">
      <c r="A46" s="11" t="s">
        <v>85</v>
      </c>
      <c r="B46" s="11" t="s">
        <v>71</v>
      </c>
      <c r="C46" s="11"/>
      <c r="D46" s="11" t="s">
        <v>72</v>
      </c>
      <c r="E46" s="24">
        <f>SUMIFS('Ops Departments'!P:P,'Ops Departments'!$B:$B,$B46,'Ops Departments'!$A:$A,$A46)</f>
        <v>0</v>
      </c>
      <c r="F46" s="24">
        <f>SUMIFS('Ops Departments'!Q:Q,'Ops Departments'!$B:$B,$B46,'Ops Departments'!$A:$A,$A46)</f>
        <v>0</v>
      </c>
      <c r="G46" s="24">
        <f>SUMIFS('Ops Departments'!R:R,'Ops Departments'!$B:$B,$B46,'Ops Departments'!$A:$A,$A46)</f>
        <v>0</v>
      </c>
      <c r="H46" s="24">
        <f>SUMIFS('Ops Departments'!S:S,'Ops Departments'!$B:$B,$B46,'Ops Departments'!$A:$A,$A46)</f>
        <v>0</v>
      </c>
      <c r="I46" s="24">
        <f>SUMIFS('Ops Departments'!T:T,'Ops Departments'!$B:$B,$B46,'Ops Departments'!$A:$A,$A46)</f>
        <v>0</v>
      </c>
      <c r="J46" s="24">
        <f>SUMIFS('Ops Departments'!U:U,'Ops Departments'!$B:$B,$B46,'Ops Departments'!$A:$A,$A46)</f>
        <v>0</v>
      </c>
      <c r="K46" s="24">
        <f>SUMIFS('Ops Departments'!V:V,'Ops Departments'!$B:$B,$B46,'Ops Departments'!$A:$A,$A46)</f>
        <v>0</v>
      </c>
      <c r="L46" s="24">
        <f>SUMIFS('Ops Departments'!W:W,'Ops Departments'!$B:$B,$B46,'Ops Departments'!$A:$A,$A46)</f>
        <v>0</v>
      </c>
      <c r="M46" s="24">
        <f>SUMIFS('Ops Departments'!X:X,'Ops Departments'!$B:$B,$B46,'Ops Departments'!$A:$A,$A46)</f>
        <v>0</v>
      </c>
      <c r="N46" s="24">
        <f>SUMIFS('Ops Departments'!Y:Y,'Ops Departments'!$B:$B,$B46,'Ops Departments'!$A:$A,$A46)</f>
        <v>0</v>
      </c>
      <c r="O46" s="24">
        <f>SUMIFS('Ops Departments'!Z:Z,'Ops Departments'!$B:$B,$B46,'Ops Departments'!$A:$A,$A46)</f>
        <v>0</v>
      </c>
      <c r="P46" s="24">
        <f>SUMIFS('Ops Departments'!AA:AA,'Ops Departments'!$B:$B,$B46,'Ops Departments'!$A:$A,$A46)</f>
        <v>35360.56091</v>
      </c>
      <c r="Q46" s="24">
        <f>SUMIFS('Ops Departments'!AB:AB,'Ops Departments'!$B:$B,$B46,'Ops Departments'!$A:$A,$A46)</f>
        <v>41308.38657</v>
      </c>
      <c r="R46" s="24">
        <f>SUMIFS('Ops Departments'!AC:AC,'Ops Departments'!$B:$B,$B46,'Ops Departments'!$A:$A,$A46)</f>
        <v>41599.46977</v>
      </c>
      <c r="S46" s="24">
        <f>SUMIFS('Ops Departments'!AD:AD,'Ops Departments'!$B:$B,$B46,'Ops Departments'!$A:$A,$A46)</f>
        <v>41560.51361</v>
      </c>
      <c r="T46" s="24">
        <f>SUMIFS('Ops Departments'!AE:AE,'Ops Departments'!$B:$B,$B46,'Ops Departments'!$A:$A,$A46)</f>
        <v>44705.69908</v>
      </c>
      <c r="U46" s="24">
        <f>SUMIFS('Ops Departments'!AF:AF,'Ops Departments'!$B:$B,$B46,'Ops Departments'!$A:$A,$A46)</f>
        <v>49843.72355</v>
      </c>
      <c r="V46" s="24">
        <f>SUMIFS('Ops Departments'!AG:AG,'Ops Departments'!$B:$B,$B46,'Ops Departments'!$A:$A,$A46)</f>
        <v>49423.15071</v>
      </c>
      <c r="W46" s="24">
        <f>SUMIFS('Ops Departments'!AH:AH,'Ops Departments'!$B:$B,$B46,'Ops Departments'!$A:$A,$A46)</f>
        <v>48457.52277</v>
      </c>
      <c r="X46" s="24">
        <f>SUMIFS('Ops Departments'!AI:AI,'Ops Departments'!$B:$B,$B46,'Ops Departments'!$A:$A,$A46)</f>
        <v>52164.02227</v>
      </c>
      <c r="Y46" s="24">
        <f>SUMIFS('Ops Departments'!AJ:AJ,'Ops Departments'!$B:$B,$B46,'Ops Departments'!$A:$A,$A46)</f>
        <v>57241.39313</v>
      </c>
      <c r="Z46" s="24">
        <f>SUMIFS('Ops Departments'!AK:AK,'Ops Departments'!$B:$B,$B46,'Ops Departments'!$A:$A,$A46)</f>
        <v>60276.57531</v>
      </c>
      <c r="AA46" s="24">
        <f>SUMIFS('Ops Departments'!AL:AL,'Ops Departments'!$B:$B,$B46,'Ops Departments'!$A:$A,$A46)</f>
        <v>59054.51675</v>
      </c>
      <c r="AB46" s="24">
        <f>SUMIFS('Ops Departments'!AM:AM,'Ops Departments'!$B:$B,$B46,'Ops Departments'!$A:$A,$A46)</f>
        <v>62167.41801</v>
      </c>
      <c r="AC46" s="20"/>
      <c r="AD46" s="11" t="str">
        <f t="shared" si="67"/>
        <v>Other</v>
      </c>
      <c r="AE46" s="30">
        <f t="shared" si="68"/>
        <v>35360.56091</v>
      </c>
      <c r="AF46" s="21">
        <f t="shared" si="69"/>
        <v>169174.069</v>
      </c>
      <c r="AG46" s="30">
        <f t="shared" si="70"/>
        <v>-133813.5081</v>
      </c>
      <c r="AH46" s="31">
        <f t="shared" si="71"/>
        <v>3.784258639</v>
      </c>
      <c r="AI46" s="11"/>
      <c r="AJ46" s="11"/>
      <c r="AK46" s="11"/>
      <c r="AL46" s="30">
        <f t="shared" si="72"/>
        <v>0</v>
      </c>
      <c r="AM46" s="21">
        <f t="shared" si="73"/>
        <v>0</v>
      </c>
      <c r="AN46" s="32">
        <f t="shared" si="74"/>
        <v>35360.56091</v>
      </c>
      <c r="AO46" s="30">
        <f t="shared" si="75"/>
        <v>169174.069</v>
      </c>
      <c r="AP46" s="21">
        <f t="shared" si="76"/>
        <v>199888.4193</v>
      </c>
      <c r="AQ46" s="32">
        <f t="shared" si="77"/>
        <v>238739.9032</v>
      </c>
      <c r="AR46" s="11"/>
      <c r="AS46" s="11"/>
      <c r="AT46" s="11"/>
      <c r="AU46" s="11"/>
      <c r="AV46" s="11"/>
      <c r="AW46" s="11"/>
      <c r="AX46" s="11"/>
      <c r="AY46" s="11"/>
      <c r="AZ46" s="11"/>
      <c r="BA46" s="11"/>
      <c r="BB46" s="11"/>
      <c r="BC46" s="11"/>
      <c r="BD46" s="11"/>
      <c r="BE46" s="11"/>
      <c r="BF46" s="11"/>
      <c r="BG46" s="11"/>
      <c r="BH46" s="11"/>
      <c r="BI46" s="11"/>
      <c r="BJ46" s="11"/>
      <c r="BK46" s="11"/>
    </row>
    <row r="47" ht="15.75" customHeight="1">
      <c r="A47" s="11"/>
      <c r="B47" s="11"/>
      <c r="C47" s="11"/>
      <c r="D47" s="33" t="s">
        <v>73</v>
      </c>
      <c r="E47" s="35">
        <f t="shared" ref="E47:AB47" si="78">SUM(E42:E46)</f>
        <v>30524</v>
      </c>
      <c r="F47" s="35">
        <f t="shared" si="78"/>
        <v>21999</v>
      </c>
      <c r="G47" s="35">
        <f t="shared" si="78"/>
        <v>34816</v>
      </c>
      <c r="H47" s="35">
        <f t="shared" si="78"/>
        <v>26598</v>
      </c>
      <c r="I47" s="35">
        <f t="shared" si="78"/>
        <v>36177</v>
      </c>
      <c r="J47" s="35">
        <f t="shared" si="78"/>
        <v>30696</v>
      </c>
      <c r="K47" s="35">
        <f t="shared" si="78"/>
        <v>31125</v>
      </c>
      <c r="L47" s="35">
        <f t="shared" si="78"/>
        <v>35463</v>
      </c>
      <c r="M47" s="35">
        <f t="shared" si="78"/>
        <v>33344</v>
      </c>
      <c r="N47" s="35">
        <f t="shared" si="78"/>
        <v>27843</v>
      </c>
      <c r="O47" s="35">
        <f t="shared" si="78"/>
        <v>40370</v>
      </c>
      <c r="P47" s="35">
        <f t="shared" si="78"/>
        <v>81148.09093</v>
      </c>
      <c r="Q47" s="35">
        <f t="shared" si="78"/>
        <v>121126.8032</v>
      </c>
      <c r="R47" s="35">
        <f t="shared" si="78"/>
        <v>128475.819</v>
      </c>
      <c r="S47" s="35">
        <f t="shared" si="78"/>
        <v>135842.5083</v>
      </c>
      <c r="T47" s="35">
        <f t="shared" si="78"/>
        <v>146310.5973</v>
      </c>
      <c r="U47" s="35">
        <f t="shared" si="78"/>
        <v>154811.6581</v>
      </c>
      <c r="V47" s="35">
        <f t="shared" si="78"/>
        <v>155011.1742</v>
      </c>
      <c r="W47" s="35">
        <f t="shared" si="78"/>
        <v>160997.5542</v>
      </c>
      <c r="X47" s="35">
        <f t="shared" si="78"/>
        <v>165329.1157</v>
      </c>
      <c r="Y47" s="35">
        <f t="shared" si="78"/>
        <v>174452.7981</v>
      </c>
      <c r="Z47" s="35">
        <f t="shared" si="78"/>
        <v>178065.0064</v>
      </c>
      <c r="AA47" s="35">
        <f t="shared" si="78"/>
        <v>177419.4227</v>
      </c>
      <c r="AB47" s="35">
        <f t="shared" si="78"/>
        <v>181121.3604</v>
      </c>
      <c r="AC47" s="12"/>
      <c r="AD47" s="35" t="str">
        <f t="shared" si="67"/>
        <v>Total COGS</v>
      </c>
      <c r="AE47" s="12">
        <f t="shared" si="68"/>
        <v>182705.0909</v>
      </c>
      <c r="AF47" s="35">
        <f t="shared" si="69"/>
        <v>531755.7277</v>
      </c>
      <c r="AG47" s="12">
        <f t="shared" si="70"/>
        <v>-349050.6368</v>
      </c>
      <c r="AH47" s="19">
        <f t="shared" si="71"/>
        <v>1.910459282</v>
      </c>
      <c r="AI47" s="11"/>
      <c r="AJ47" s="11"/>
      <c r="AK47" s="11"/>
      <c r="AL47" s="12">
        <f t="shared" si="72"/>
        <v>113937</v>
      </c>
      <c r="AM47" s="35">
        <f t="shared" si="73"/>
        <v>133461</v>
      </c>
      <c r="AN47" s="29">
        <f t="shared" si="74"/>
        <v>182705.0909</v>
      </c>
      <c r="AO47" s="12">
        <f t="shared" si="75"/>
        <v>531755.7277</v>
      </c>
      <c r="AP47" s="35">
        <f t="shared" si="76"/>
        <v>636149.5022</v>
      </c>
      <c r="AQ47" s="29">
        <f t="shared" si="77"/>
        <v>711058.5876</v>
      </c>
      <c r="AR47" s="11"/>
      <c r="AS47" s="11"/>
      <c r="AT47" s="11"/>
      <c r="AU47" s="11"/>
      <c r="AV47" s="11"/>
      <c r="AW47" s="11"/>
      <c r="AX47" s="11"/>
      <c r="AY47" s="11"/>
      <c r="AZ47" s="11"/>
      <c r="BA47" s="11"/>
      <c r="BB47" s="11"/>
      <c r="BC47" s="11"/>
      <c r="BD47" s="11"/>
      <c r="BE47" s="11"/>
      <c r="BF47" s="11"/>
      <c r="BG47" s="11"/>
      <c r="BH47" s="11"/>
      <c r="BI47" s="11"/>
      <c r="BJ47" s="11"/>
      <c r="BK47" s="11"/>
    </row>
    <row r="48" ht="15.75" customHeight="1">
      <c r="A48" s="11"/>
      <c r="B48" s="11"/>
      <c r="C48" s="11"/>
      <c r="D48" s="11"/>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11"/>
      <c r="AE48" s="24"/>
      <c r="AF48" s="24"/>
      <c r="AG48" s="12"/>
      <c r="AH48" s="19"/>
      <c r="AI48" s="11"/>
      <c r="AJ48" s="11"/>
      <c r="AK48" s="11"/>
      <c r="AL48" s="24"/>
      <c r="AM48" s="24"/>
      <c r="AN48" s="24"/>
      <c r="AO48" s="24"/>
      <c r="AP48" s="24"/>
      <c r="AQ48" s="24"/>
      <c r="AR48" s="11"/>
      <c r="AS48" s="11"/>
      <c r="AT48" s="11"/>
      <c r="AU48" s="11"/>
      <c r="AV48" s="11"/>
      <c r="AW48" s="11"/>
      <c r="AX48" s="11"/>
      <c r="AY48" s="11"/>
      <c r="AZ48" s="11"/>
      <c r="BA48" s="11"/>
      <c r="BB48" s="11"/>
      <c r="BC48" s="11"/>
      <c r="BD48" s="11"/>
      <c r="BE48" s="11"/>
      <c r="BF48" s="11"/>
      <c r="BG48" s="11"/>
      <c r="BH48" s="11"/>
      <c r="BI48" s="11"/>
      <c r="BJ48" s="11"/>
      <c r="BK48" s="11"/>
    </row>
    <row r="49" ht="15.75" customHeight="1">
      <c r="A49" s="11"/>
      <c r="B49" s="11"/>
      <c r="C49" s="11"/>
      <c r="D49" s="36" t="str">
        <f>CONCATENATE(B34," Gross Profit")</f>
        <v>SEO Gross Profit</v>
      </c>
      <c r="E49" s="37">
        <f t="shared" ref="E49:AB49" si="79">E38-E47</f>
        <v>200817</v>
      </c>
      <c r="F49" s="37">
        <f t="shared" si="79"/>
        <v>197778</v>
      </c>
      <c r="G49" s="37">
        <f t="shared" si="79"/>
        <v>105715</v>
      </c>
      <c r="H49" s="37">
        <f t="shared" si="79"/>
        <v>145924</v>
      </c>
      <c r="I49" s="37">
        <f t="shared" si="79"/>
        <v>131776</v>
      </c>
      <c r="J49" s="37">
        <f t="shared" si="79"/>
        <v>152745</v>
      </c>
      <c r="K49" s="37">
        <f t="shared" si="79"/>
        <v>97417</v>
      </c>
      <c r="L49" s="37">
        <f t="shared" si="79"/>
        <v>498304</v>
      </c>
      <c r="M49" s="37">
        <f t="shared" si="79"/>
        <v>498023</v>
      </c>
      <c r="N49" s="37">
        <f t="shared" si="79"/>
        <v>497499</v>
      </c>
      <c r="O49" s="37">
        <f t="shared" si="79"/>
        <v>145328</v>
      </c>
      <c r="P49" s="37">
        <f t="shared" si="79"/>
        <v>192331.8135</v>
      </c>
      <c r="Q49" s="37">
        <f t="shared" si="79"/>
        <v>212648.7333</v>
      </c>
      <c r="R49" s="37">
        <f t="shared" si="79"/>
        <v>268374.7906</v>
      </c>
      <c r="S49" s="37">
        <f t="shared" si="79"/>
        <v>320912.7692</v>
      </c>
      <c r="T49" s="37">
        <f t="shared" si="79"/>
        <v>370615.8229</v>
      </c>
      <c r="U49" s="37">
        <f t="shared" si="79"/>
        <v>421768.628</v>
      </c>
      <c r="V49" s="37">
        <f t="shared" si="79"/>
        <v>480340.4711</v>
      </c>
      <c r="W49" s="37">
        <f t="shared" si="79"/>
        <v>528762.7991</v>
      </c>
      <c r="X49" s="37">
        <f t="shared" si="79"/>
        <v>576574.4238</v>
      </c>
      <c r="Y49" s="37">
        <f t="shared" si="79"/>
        <v>618199.5419</v>
      </c>
      <c r="Z49" s="37">
        <f t="shared" si="79"/>
        <v>659095.0503</v>
      </c>
      <c r="AA49" s="37">
        <f t="shared" si="79"/>
        <v>706272.282</v>
      </c>
      <c r="AB49" s="37">
        <f t="shared" si="79"/>
        <v>748968.9543</v>
      </c>
      <c r="AC49" s="38"/>
      <c r="AD49" s="36" t="str">
        <f t="shared" ref="AD49:AD50" si="82">D49</f>
        <v>SEO Gross Profit</v>
      </c>
      <c r="AE49" s="37">
        <f t="shared" ref="AE49:AF49" si="80">AE38-AE47</f>
        <v>1333181.814</v>
      </c>
      <c r="AF49" s="37">
        <f t="shared" si="80"/>
        <v>1172552.116</v>
      </c>
      <c r="AG49" s="40">
        <f t="shared" ref="AG49:AG50" si="84">AF49-AE49</f>
        <v>-160629.6974</v>
      </c>
      <c r="AH49" s="41">
        <f>AF49/AE49-1</f>
        <v>-0.1204859651</v>
      </c>
      <c r="AI49" s="11"/>
      <c r="AJ49" s="11"/>
      <c r="AK49" s="11"/>
      <c r="AL49" s="37">
        <f>SUM(E49:H49)</f>
        <v>650234</v>
      </c>
      <c r="AM49" s="37">
        <f>SUM(I49:L49)</f>
        <v>880242</v>
      </c>
      <c r="AN49" s="37">
        <f>SUM(M49:P49)</f>
        <v>1333181.814</v>
      </c>
      <c r="AO49" s="37">
        <f>SUM(Q49:T49)</f>
        <v>1172552.116</v>
      </c>
      <c r="AP49" s="37">
        <f>SUM(U49:X49)</f>
        <v>2007446.322</v>
      </c>
      <c r="AQ49" s="37">
        <f>SUM(Y49:AB49)</f>
        <v>2732535.828</v>
      </c>
      <c r="AR49" s="11"/>
      <c r="AS49" s="11"/>
      <c r="AT49" s="11"/>
      <c r="AU49" s="11"/>
      <c r="AV49" s="11"/>
      <c r="AW49" s="11"/>
      <c r="AX49" s="11"/>
      <c r="AY49" s="11"/>
      <c r="AZ49" s="11"/>
      <c r="BA49" s="11"/>
      <c r="BB49" s="11"/>
      <c r="BC49" s="11"/>
      <c r="BD49" s="11"/>
      <c r="BE49" s="11"/>
      <c r="BF49" s="11"/>
      <c r="BG49" s="11"/>
      <c r="BH49" s="11"/>
      <c r="BI49" s="11"/>
      <c r="BJ49" s="11"/>
      <c r="BK49" s="11"/>
    </row>
    <row r="50" ht="15.75" customHeight="1">
      <c r="A50" s="11"/>
      <c r="B50" s="11"/>
      <c r="C50" s="11"/>
      <c r="D50" s="42" t="s">
        <v>75</v>
      </c>
      <c r="E50" s="43">
        <f t="shared" ref="E50:AB50" si="81">E49/E38</f>
        <v>0.868056246</v>
      </c>
      <c r="F50" s="43">
        <f t="shared" si="81"/>
        <v>0.8999030836</v>
      </c>
      <c r="G50" s="43">
        <f t="shared" si="81"/>
        <v>0.7522539511</v>
      </c>
      <c r="H50" s="43">
        <f t="shared" si="81"/>
        <v>0.8458283581</v>
      </c>
      <c r="I50" s="43">
        <f t="shared" si="81"/>
        <v>0.7846004537</v>
      </c>
      <c r="J50" s="43">
        <f t="shared" si="81"/>
        <v>0.8326655437</v>
      </c>
      <c r="K50" s="43">
        <f t="shared" si="81"/>
        <v>0.7578612438</v>
      </c>
      <c r="L50" s="43">
        <f t="shared" si="81"/>
        <v>0.9335608983</v>
      </c>
      <c r="M50" s="43">
        <f t="shared" si="81"/>
        <v>0.9372486436</v>
      </c>
      <c r="N50" s="43">
        <f t="shared" si="81"/>
        <v>0.9470002398</v>
      </c>
      <c r="O50" s="43">
        <f t="shared" si="81"/>
        <v>0.782604013</v>
      </c>
      <c r="P50" s="43">
        <f t="shared" si="81"/>
        <v>0.7032758546</v>
      </c>
      <c r="Q50" s="43">
        <f t="shared" si="81"/>
        <v>0.6371010156</v>
      </c>
      <c r="R50" s="43">
        <f t="shared" si="81"/>
        <v>0.6762615053</v>
      </c>
      <c r="S50" s="43">
        <f t="shared" si="81"/>
        <v>0.7025923619</v>
      </c>
      <c r="T50" s="43">
        <f t="shared" si="81"/>
        <v>0.7169604966</v>
      </c>
      <c r="U50" s="43">
        <f t="shared" si="81"/>
        <v>0.7315002579</v>
      </c>
      <c r="V50" s="43">
        <f t="shared" si="81"/>
        <v>0.7560230223</v>
      </c>
      <c r="W50" s="43">
        <f t="shared" si="81"/>
        <v>0.7665891444</v>
      </c>
      <c r="X50" s="43">
        <f t="shared" si="81"/>
        <v>0.7771555103</v>
      </c>
      <c r="Y50" s="43">
        <f t="shared" si="81"/>
        <v>0.779912593</v>
      </c>
      <c r="Z50" s="43">
        <f t="shared" si="81"/>
        <v>0.787298731</v>
      </c>
      <c r="AA50" s="43">
        <f t="shared" si="81"/>
        <v>0.7992292767</v>
      </c>
      <c r="AB50" s="43">
        <f t="shared" si="81"/>
        <v>0.8052647603</v>
      </c>
      <c r="AC50" s="43"/>
      <c r="AD50" s="42" t="str">
        <f t="shared" si="82"/>
        <v>  Gross Margin</v>
      </c>
      <c r="AE50" s="43">
        <f t="shared" ref="AE50:AF50" si="83">AE49/AE38</f>
        <v>0.8794731385</v>
      </c>
      <c r="AF50" s="43">
        <f t="shared" si="83"/>
        <v>0.6879931465</v>
      </c>
      <c r="AG50" s="43">
        <f t="shared" si="84"/>
        <v>-0.191479992</v>
      </c>
      <c r="AH50" s="43"/>
      <c r="AI50" s="11"/>
      <c r="AJ50" s="11"/>
      <c r="AK50" s="11"/>
      <c r="AL50" s="43">
        <f t="shared" ref="AL50:AQ50" si="85">AL49/AL38</f>
        <v>0.8509011726</v>
      </c>
      <c r="AM50" s="43">
        <f t="shared" si="85"/>
        <v>0.8683430946</v>
      </c>
      <c r="AN50" s="43">
        <f t="shared" si="85"/>
        <v>0.8794731385</v>
      </c>
      <c r="AO50" s="43">
        <f t="shared" si="85"/>
        <v>0.6879931465</v>
      </c>
      <c r="AP50" s="43">
        <f t="shared" si="85"/>
        <v>0.7593620415</v>
      </c>
      <c r="AQ50" s="43">
        <f t="shared" si="85"/>
        <v>0.7935126784</v>
      </c>
      <c r="AR50" s="11"/>
      <c r="AS50" s="11"/>
      <c r="AT50" s="11"/>
      <c r="AU50" s="11"/>
      <c r="AV50" s="11"/>
      <c r="AW50" s="11"/>
      <c r="AX50" s="11"/>
      <c r="AY50" s="11"/>
      <c r="AZ50" s="11"/>
      <c r="BA50" s="11"/>
      <c r="BB50" s="11"/>
      <c r="BC50" s="11"/>
      <c r="BD50" s="11"/>
      <c r="BE50" s="11"/>
      <c r="BF50" s="11"/>
      <c r="BG50" s="11"/>
      <c r="BH50" s="11"/>
      <c r="BI50" s="11"/>
      <c r="BJ50" s="11"/>
      <c r="BK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2"/>
      <c r="AH51" s="19"/>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row>
    <row r="52" ht="15.75" customHeight="1">
      <c r="A52" s="11"/>
      <c r="B52" s="11"/>
      <c r="C52" s="11"/>
      <c r="D52" s="11" t="s">
        <v>15</v>
      </c>
      <c r="E52" s="20">
        <f>Headcount!H13</f>
        <v>20</v>
      </c>
      <c r="F52" s="20">
        <f>Headcount!I13</f>
        <v>20</v>
      </c>
      <c r="G52" s="20">
        <f>Headcount!J13</f>
        <v>20</v>
      </c>
      <c r="H52" s="20">
        <f>Headcount!K13</f>
        <v>20</v>
      </c>
      <c r="I52" s="20">
        <f>Headcount!L13</f>
        <v>20</v>
      </c>
      <c r="J52" s="20">
        <f>Headcount!M13</f>
        <v>20</v>
      </c>
      <c r="K52" s="20">
        <f>Headcount!N13</f>
        <v>20</v>
      </c>
      <c r="L52" s="20">
        <f>Headcount!O13</f>
        <v>20</v>
      </c>
      <c r="M52" s="20">
        <f>Headcount!P13</f>
        <v>20</v>
      </c>
      <c r="N52" s="20">
        <f>Headcount!Q13</f>
        <v>20</v>
      </c>
      <c r="O52" s="20">
        <f>Headcount!R13+Headcount!R14</f>
        <v>40</v>
      </c>
      <c r="P52" s="20">
        <f>Headcount!S13+Headcount!S14</f>
        <v>42</v>
      </c>
      <c r="Q52" s="20">
        <f>Headcount!T13+Headcount!T14</f>
        <v>46</v>
      </c>
      <c r="R52" s="20">
        <f>Headcount!U13+Headcount!U14</f>
        <v>47</v>
      </c>
      <c r="S52" s="20">
        <f>Headcount!V13+Headcount!V14</f>
        <v>48</v>
      </c>
      <c r="T52" s="20">
        <f>Headcount!W13+Headcount!W14</f>
        <v>49</v>
      </c>
      <c r="U52" s="20">
        <f>Headcount!X13+Headcount!X14</f>
        <v>49</v>
      </c>
      <c r="V52" s="20">
        <f>Headcount!Y13+Headcount!Y14</f>
        <v>49</v>
      </c>
      <c r="W52" s="20">
        <f>Headcount!Z13+Headcount!Z14</f>
        <v>49</v>
      </c>
      <c r="X52" s="20">
        <f>Headcount!AA13+Headcount!AA14</f>
        <v>49</v>
      </c>
      <c r="Y52" s="20">
        <f>Headcount!AB13+Headcount!AB14</f>
        <v>49</v>
      </c>
      <c r="Z52" s="20">
        <f>Headcount!AC13+Headcount!AC14</f>
        <v>49</v>
      </c>
      <c r="AA52" s="20">
        <f>Headcount!AD13+Headcount!AD14</f>
        <v>49</v>
      </c>
      <c r="AB52" s="20">
        <f>Headcount!AE13+Headcount!AE14</f>
        <v>49</v>
      </c>
      <c r="AC52" s="11"/>
      <c r="AD52" s="11" t="str">
        <f t="shared" ref="AD52:AD56" si="86">D52</f>
        <v>Headcount</v>
      </c>
      <c r="AE52" s="20">
        <f>P52</f>
        <v>42</v>
      </c>
      <c r="AF52" s="20">
        <f>T52</f>
        <v>49</v>
      </c>
      <c r="AG52" s="21">
        <f t="shared" ref="AG52:AG58" si="87">AF52-AE52</f>
        <v>7</v>
      </c>
      <c r="AH52" s="19">
        <f t="shared" ref="AH52:AH58" si="88">AF52/AE52-1</f>
        <v>0.1666666667</v>
      </c>
      <c r="AI52" s="11"/>
      <c r="AJ52" s="11"/>
      <c r="AK52" s="11" t="s">
        <v>15</v>
      </c>
      <c r="AL52" s="20">
        <f>H52</f>
        <v>20</v>
      </c>
      <c r="AM52" s="20">
        <f>L52</f>
        <v>20</v>
      </c>
      <c r="AN52" s="20">
        <f>P52</f>
        <v>42</v>
      </c>
      <c r="AO52" s="20">
        <f>T52</f>
        <v>49</v>
      </c>
      <c r="AP52" s="20">
        <f>X52</f>
        <v>49</v>
      </c>
      <c r="AQ52" s="20">
        <f>AB52</f>
        <v>49</v>
      </c>
      <c r="AR52" s="11"/>
      <c r="AS52" s="11"/>
      <c r="AT52" s="11"/>
      <c r="AU52" s="11"/>
      <c r="AV52" s="11"/>
      <c r="AW52" s="11"/>
      <c r="AX52" s="11"/>
      <c r="AY52" s="11"/>
      <c r="AZ52" s="11"/>
      <c r="BA52" s="11"/>
      <c r="BB52" s="11"/>
      <c r="BC52" s="11"/>
      <c r="BD52" s="11"/>
      <c r="BE52" s="11"/>
      <c r="BF52" s="11"/>
      <c r="BG52" s="11"/>
      <c r="BH52" s="11"/>
      <c r="BI52" s="11"/>
      <c r="BJ52" s="11"/>
      <c r="BK52" s="11"/>
    </row>
    <row r="53" ht="15.75" customHeight="1">
      <c r="A53" s="11"/>
      <c r="B53" s="11"/>
      <c r="C53" s="11"/>
      <c r="D53" s="11" t="s">
        <v>76</v>
      </c>
      <c r="E53" s="12">
        <f>E38/Capacity!O71</f>
        <v>12852.27778</v>
      </c>
      <c r="F53" s="12">
        <f>F38/Capacity!P71</f>
        <v>12209.83333</v>
      </c>
      <c r="G53" s="12">
        <f>G38/Capacity!Q71</f>
        <v>7807.277778</v>
      </c>
      <c r="H53" s="12">
        <f>H38/Capacity!R71</f>
        <v>9584.555556</v>
      </c>
      <c r="I53" s="12">
        <f>I38/Capacity!S71</f>
        <v>9330.722222</v>
      </c>
      <c r="J53" s="12">
        <f>J38/Capacity!T71</f>
        <v>10191.16667</v>
      </c>
      <c r="K53" s="12">
        <f>K38/Capacity!U71</f>
        <v>7141.222222</v>
      </c>
      <c r="L53" s="12">
        <f>L38/Capacity!V71</f>
        <v>29653.72222</v>
      </c>
      <c r="M53" s="12">
        <f>M38/Capacity!W71</f>
        <v>29520.38889</v>
      </c>
      <c r="N53" s="12">
        <f>N38/Capacity!X71</f>
        <v>29185.66667</v>
      </c>
      <c r="O53" s="12">
        <f>O38/Capacity!Y71</f>
        <v>10316.55556</v>
      </c>
      <c r="P53" s="12">
        <f>P38/Capacity!Z71</f>
        <v>14393.67918</v>
      </c>
      <c r="Q53" s="12">
        <f>Q38/Capacity!AA71</f>
        <v>17567.1335</v>
      </c>
      <c r="R53" s="12">
        <f>R38/Capacity!AB71</f>
        <v>20886.87419</v>
      </c>
      <c r="S53" s="12">
        <f>S38/Capacity!AC71</f>
        <v>24039.75145</v>
      </c>
      <c r="T53" s="12">
        <f>T38/Capacity!AD71</f>
        <v>27206.65369</v>
      </c>
      <c r="U53" s="12">
        <f>U38/Capacity!AE71</f>
        <v>30346.33085</v>
      </c>
      <c r="V53" s="12">
        <f>V38/Capacity!AF71</f>
        <v>33439.56028</v>
      </c>
      <c r="W53" s="12">
        <f>W38/Capacity!AG71</f>
        <v>36303.17649</v>
      </c>
      <c r="X53" s="12">
        <f>X38/Capacity!AH71</f>
        <v>39047.55471</v>
      </c>
      <c r="Y53" s="12">
        <f>Y38/Capacity!AI71</f>
        <v>41718.54421</v>
      </c>
      <c r="Z53" s="12">
        <f>Z38/Capacity!AJ71</f>
        <v>44061.05561</v>
      </c>
      <c r="AA53" s="12">
        <f>AA38/Capacity!AK71</f>
        <v>46510.08972</v>
      </c>
      <c r="AB53" s="12">
        <f>AB38/Capacity!AL71</f>
        <v>48952.12183</v>
      </c>
      <c r="AC53" s="11"/>
      <c r="AD53" s="11" t="str">
        <f t="shared" si="86"/>
        <v>Revenue/Strategist</v>
      </c>
      <c r="AE53" s="12">
        <f>AVERAGE(M53:P53)</f>
        <v>20854.07257</v>
      </c>
      <c r="AF53" s="12">
        <f>AVERAGE(Q53:T53)</f>
        <v>22425.10321</v>
      </c>
      <c r="AG53" s="12">
        <f t="shared" si="87"/>
        <v>1571.030636</v>
      </c>
      <c r="AH53" s="19">
        <f t="shared" si="88"/>
        <v>0.07533447628</v>
      </c>
      <c r="AI53" s="11"/>
      <c r="AJ53" s="11"/>
      <c r="AK53" s="11" t="s">
        <v>76</v>
      </c>
      <c r="AL53" s="12">
        <f>AVERAGE(E53:H53)</f>
        <v>10613.48611</v>
      </c>
      <c r="AM53" s="12">
        <f>AVERAGE(I53:L53)</f>
        <v>14079.20833</v>
      </c>
      <c r="AN53" s="12">
        <f>AVERAGE(M53:P53)</f>
        <v>20854.07257</v>
      </c>
      <c r="AO53" s="12">
        <f>AVERAGE(Q53:T53)</f>
        <v>22425.10321</v>
      </c>
      <c r="AP53" s="12">
        <f>AVERAGE(U53:X53)</f>
        <v>34784.15558</v>
      </c>
      <c r="AQ53" s="12">
        <f>AVERAGE(Y53:AB53)</f>
        <v>45310.45284</v>
      </c>
      <c r="AR53" s="11"/>
      <c r="AS53" s="11"/>
      <c r="AT53" s="11"/>
      <c r="AU53" s="11"/>
      <c r="AV53" s="11"/>
      <c r="AW53" s="11"/>
      <c r="AX53" s="11"/>
      <c r="AY53" s="11"/>
      <c r="AZ53" s="11"/>
      <c r="BA53" s="11"/>
      <c r="BB53" s="11"/>
      <c r="BC53" s="11"/>
      <c r="BD53" s="11"/>
      <c r="BE53" s="11"/>
      <c r="BF53" s="11"/>
      <c r="BG53" s="11"/>
      <c r="BH53" s="11"/>
      <c r="BI53" s="11"/>
      <c r="BJ53" s="11"/>
      <c r="BK53" s="11"/>
    </row>
    <row r="54" ht="15.75" customHeight="1">
      <c r="A54" s="11"/>
      <c r="B54" s="11"/>
      <c r="C54" s="11"/>
      <c r="D54" s="11" t="s">
        <v>77</v>
      </c>
      <c r="E54" s="21">
        <f>SUM('New Biz Sales'!O40)</f>
        <v>30</v>
      </c>
      <c r="F54" s="21">
        <f>SUM('New Biz Sales'!P40)</f>
        <v>30</v>
      </c>
      <c r="G54" s="21">
        <f>SUM('New Biz Sales'!Q40)</f>
        <v>30</v>
      </c>
      <c r="H54" s="21">
        <f>SUM('New Biz Sales'!R40)</f>
        <v>30</v>
      </c>
      <c r="I54" s="21">
        <f>SUM('New Biz Sales'!S40)</f>
        <v>30</v>
      </c>
      <c r="J54" s="21">
        <f>SUM('New Biz Sales'!T40)</f>
        <v>30</v>
      </c>
      <c r="K54" s="21">
        <f>SUM('New Biz Sales'!U40)</f>
        <v>30</v>
      </c>
      <c r="L54" s="21">
        <f>SUM('New Biz Sales'!V40)</f>
        <v>30</v>
      </c>
      <c r="M54" s="21">
        <f>SUM('New Biz Sales'!W40)</f>
        <v>30</v>
      </c>
      <c r="N54" s="21">
        <f>SUM('New Biz Sales'!X40)</f>
        <v>30</v>
      </c>
      <c r="O54" s="21">
        <f>SUM('New Biz Sales'!Y40)</f>
        <v>30</v>
      </c>
      <c r="P54" s="21">
        <f>SUM('New Biz Sales'!Z40)</f>
        <v>33</v>
      </c>
      <c r="Q54" s="21">
        <f>SUM('New Biz Sales'!AA40)</f>
        <v>33</v>
      </c>
      <c r="R54" s="21">
        <f>SUM('New Biz Sales'!AB40)</f>
        <v>33</v>
      </c>
      <c r="S54" s="21">
        <f>SUM('New Biz Sales'!AC40)</f>
        <v>33</v>
      </c>
      <c r="T54" s="21">
        <f>SUM('New Biz Sales'!AD40)</f>
        <v>33</v>
      </c>
      <c r="U54" s="21">
        <f>SUM('New Biz Sales'!AE40)</f>
        <v>33</v>
      </c>
      <c r="V54" s="21">
        <f>SUM('New Biz Sales'!AF40)</f>
        <v>33</v>
      </c>
      <c r="W54" s="21">
        <f>SUM('New Biz Sales'!AG40)</f>
        <v>33</v>
      </c>
      <c r="X54" s="21">
        <f>SUM('New Biz Sales'!AH40)</f>
        <v>31.35</v>
      </c>
      <c r="Y54" s="21">
        <f>SUM('New Biz Sales'!AI40)</f>
        <v>31.35</v>
      </c>
      <c r="Z54" s="21">
        <f>SUM('New Biz Sales'!AJ40)</f>
        <v>31.35</v>
      </c>
      <c r="AA54" s="21">
        <f>SUM('New Biz Sales'!AK40)</f>
        <v>31.50675</v>
      </c>
      <c r="AB54" s="21">
        <f>SUM('New Biz Sales'!AL40)</f>
        <v>22.054725</v>
      </c>
      <c r="AC54" s="11"/>
      <c r="AD54" s="11" t="str">
        <f t="shared" si="86"/>
        <v># of Product Opportunities</v>
      </c>
      <c r="AE54" s="21">
        <f t="shared" ref="AE54:AE55" si="89">SUM(M54:P54)</f>
        <v>123</v>
      </c>
      <c r="AF54" s="21">
        <f t="shared" ref="AF54:AF55" si="90">SUM(Q54:T54)</f>
        <v>132</v>
      </c>
      <c r="AG54" s="21">
        <f t="shared" si="87"/>
        <v>9</v>
      </c>
      <c r="AH54" s="19">
        <f t="shared" si="88"/>
        <v>0.07317073171</v>
      </c>
      <c r="AI54" s="11"/>
      <c r="AJ54" s="11"/>
      <c r="AK54" s="11" t="s">
        <v>77</v>
      </c>
      <c r="AL54" s="21">
        <f t="shared" ref="AL54:AL55" si="91">SUM(E54:H54)</f>
        <v>120</v>
      </c>
      <c r="AM54" s="21">
        <f t="shared" ref="AM54:AM55" si="92">SUM(I54:L54)</f>
        <v>120</v>
      </c>
      <c r="AN54" s="21">
        <f t="shared" ref="AN54:AN55" si="93">SUM(M54:P54)</f>
        <v>123</v>
      </c>
      <c r="AO54" s="21">
        <f t="shared" ref="AO54:AO55" si="94">SUM(Q54:T54)</f>
        <v>132</v>
      </c>
      <c r="AP54" s="21">
        <f t="shared" ref="AP54:AP55" si="95">SUM(U54:X54)</f>
        <v>130.35</v>
      </c>
      <c r="AQ54" s="21">
        <f t="shared" ref="AQ54:AQ55" si="96">SUM(Y54:AB54)</f>
        <v>116.261475</v>
      </c>
      <c r="AR54" s="11"/>
      <c r="AS54" s="11"/>
      <c r="AT54" s="11"/>
      <c r="AU54" s="11"/>
      <c r="AV54" s="11"/>
      <c r="AW54" s="11"/>
      <c r="AX54" s="11"/>
      <c r="AY54" s="11"/>
      <c r="AZ54" s="11"/>
      <c r="BA54" s="11"/>
      <c r="BB54" s="11"/>
      <c r="BC54" s="11"/>
      <c r="BD54" s="11"/>
      <c r="BE54" s="11"/>
      <c r="BF54" s="11"/>
      <c r="BG54" s="11"/>
      <c r="BH54" s="11"/>
      <c r="BI54" s="11"/>
      <c r="BJ54" s="11"/>
      <c r="BK54" s="11"/>
    </row>
    <row r="55" ht="15.75" customHeight="1">
      <c r="A55" s="11"/>
      <c r="B55" s="11"/>
      <c r="C55" s="11"/>
      <c r="D55" s="11" t="s">
        <v>78</v>
      </c>
      <c r="E55" s="20">
        <f>'New Biz Sales'!O89+'Portfolio Sales'!E82</f>
        <v>6</v>
      </c>
      <c r="F55" s="20">
        <f>'New Biz Sales'!P89+'Portfolio Sales'!F82</f>
        <v>7</v>
      </c>
      <c r="G55" s="20">
        <f>'New Biz Sales'!Q89+'Portfolio Sales'!G82</f>
        <v>7</v>
      </c>
      <c r="H55" s="20">
        <f>'New Biz Sales'!R89+'Portfolio Sales'!H82</f>
        <v>13</v>
      </c>
      <c r="I55" s="20">
        <f>'New Biz Sales'!S89+'Portfolio Sales'!I82</f>
        <v>7</v>
      </c>
      <c r="J55" s="20">
        <f>'New Biz Sales'!T89+'Portfolio Sales'!J82</f>
        <v>6</v>
      </c>
      <c r="K55" s="20">
        <f>'New Biz Sales'!U89+'Portfolio Sales'!K82</f>
        <v>9</v>
      </c>
      <c r="L55" s="20">
        <f>'New Biz Sales'!V89+'Portfolio Sales'!L82</f>
        <v>7</v>
      </c>
      <c r="M55" s="20">
        <f>'New Biz Sales'!W89+'Portfolio Sales'!M82</f>
        <v>7</v>
      </c>
      <c r="N55" s="20">
        <f>'New Biz Sales'!X89+'Portfolio Sales'!N82</f>
        <v>5</v>
      </c>
      <c r="O55" s="20">
        <f>'New Biz Sales'!Y89+'Portfolio Sales'!O82</f>
        <v>10</v>
      </c>
      <c r="P55" s="20">
        <f>'New Biz Sales'!Z89+'Portfolio Sales'!P82</f>
        <v>5.347624093</v>
      </c>
      <c r="Q55" s="20">
        <f>'New Biz Sales'!AA89+'Portfolio Sales'!Q82</f>
        <v>6.306498007</v>
      </c>
      <c r="R55" s="20">
        <f>'New Biz Sales'!AB89+'Portfolio Sales'!R82</f>
        <v>7.17842322</v>
      </c>
      <c r="S55" s="20">
        <f>'New Biz Sales'!AC89+'Portfolio Sales'!S82</f>
        <v>7.660893729</v>
      </c>
      <c r="T55" s="20">
        <f>'New Biz Sales'!AD89+'Portfolio Sales'!T82</f>
        <v>8.040109263</v>
      </c>
      <c r="U55" s="20">
        <f>'New Biz Sales'!AE89+'Portfolio Sales'!U82</f>
        <v>8.270288136</v>
      </c>
      <c r="V55" s="20">
        <f>'New Biz Sales'!AF89+'Portfolio Sales'!V82</f>
        <v>8.174753555</v>
      </c>
      <c r="W55" s="20">
        <f>'New Biz Sales'!AG89+'Portfolio Sales'!W82</f>
        <v>8.341206389</v>
      </c>
      <c r="X55" s="20">
        <f>'New Biz Sales'!AH89+'Portfolio Sales'!X82</f>
        <v>8.404758686</v>
      </c>
      <c r="Y55" s="20">
        <f>'New Biz Sales'!AI89+'Portfolio Sales'!Y82</f>
        <v>8.533097689</v>
      </c>
      <c r="Z55" s="20">
        <f>'New Biz Sales'!AJ89+'Portfolio Sales'!Z82</f>
        <v>8.43635801</v>
      </c>
      <c r="AA55" s="20">
        <f>'New Biz Sales'!AK89+'Portfolio Sales'!AA82</f>
        <v>8.573743084</v>
      </c>
      <c r="AB55" s="20">
        <f>'New Biz Sales'!AL89+'Portfolio Sales'!AB82</f>
        <v>8.760844585</v>
      </c>
      <c r="AC55" s="11"/>
      <c r="AD55" s="11" t="str">
        <f t="shared" si="86"/>
        <v>Product Deals Closed</v>
      </c>
      <c r="AE55" s="21">
        <f t="shared" si="89"/>
        <v>27.34762409</v>
      </c>
      <c r="AF55" s="21">
        <f t="shared" si="90"/>
        <v>29.18592422</v>
      </c>
      <c r="AG55" s="21">
        <f t="shared" si="87"/>
        <v>1.838300126</v>
      </c>
      <c r="AH55" s="19">
        <f t="shared" si="88"/>
        <v>0.06721973797</v>
      </c>
      <c r="AI55" s="11"/>
      <c r="AJ55" s="11"/>
      <c r="AK55" s="11" t="s">
        <v>78</v>
      </c>
      <c r="AL55" s="20">
        <f t="shared" si="91"/>
        <v>33</v>
      </c>
      <c r="AM55" s="20">
        <f t="shared" si="92"/>
        <v>29</v>
      </c>
      <c r="AN55" s="20">
        <f t="shared" si="93"/>
        <v>27.34762409</v>
      </c>
      <c r="AO55" s="20">
        <f t="shared" si="94"/>
        <v>29.18592422</v>
      </c>
      <c r="AP55" s="20">
        <f t="shared" si="95"/>
        <v>33.19100677</v>
      </c>
      <c r="AQ55" s="20">
        <f t="shared" si="96"/>
        <v>34.30404337</v>
      </c>
      <c r="AR55" s="11"/>
      <c r="AS55" s="11"/>
      <c r="AT55" s="11"/>
      <c r="AU55" s="11"/>
      <c r="AV55" s="11"/>
      <c r="AW55" s="11"/>
      <c r="AX55" s="11"/>
      <c r="AY55" s="11"/>
      <c r="AZ55" s="11"/>
      <c r="BA55" s="11"/>
      <c r="BB55" s="11"/>
      <c r="BC55" s="11"/>
      <c r="BD55" s="11"/>
      <c r="BE55" s="11"/>
      <c r="BF55" s="11"/>
      <c r="BG55" s="11"/>
      <c r="BH55" s="11"/>
      <c r="BI55" s="11"/>
      <c r="BJ55" s="11"/>
      <c r="BK55" s="11"/>
    </row>
    <row r="56" ht="15.75" customHeight="1">
      <c r="A56" s="11"/>
      <c r="B56" s="11"/>
      <c r="C56" s="11"/>
      <c r="D56" s="11" t="s">
        <v>79</v>
      </c>
      <c r="E56" s="24">
        <f>'New Biz Sales'!O97</f>
        <v>239719</v>
      </c>
      <c r="F56" s="24">
        <f>'New Biz Sales'!P97</f>
        <v>419284</v>
      </c>
      <c r="G56" s="24">
        <f>'New Biz Sales'!Q97</f>
        <v>496911</v>
      </c>
      <c r="H56" s="24">
        <f>'New Biz Sales'!R97</f>
        <v>317089</v>
      </c>
      <c r="I56" s="24">
        <f>'New Biz Sales'!S97</f>
        <v>304944</v>
      </c>
      <c r="J56" s="24">
        <f>'New Biz Sales'!T97</f>
        <v>439741</v>
      </c>
      <c r="K56" s="24">
        <f>'New Biz Sales'!U97</f>
        <v>481654</v>
      </c>
      <c r="L56" s="24">
        <f>'New Biz Sales'!V97</f>
        <v>327002</v>
      </c>
      <c r="M56" s="24">
        <f>'New Biz Sales'!W97</f>
        <v>373699</v>
      </c>
      <c r="N56" s="24">
        <f>'New Biz Sales'!X97</f>
        <v>129983</v>
      </c>
      <c r="O56" s="24">
        <f>'New Biz Sales'!Y97</f>
        <v>246044</v>
      </c>
      <c r="P56" s="24">
        <f>'New Biz Sales'!Z97</f>
        <v>125000</v>
      </c>
      <c r="Q56" s="24">
        <f>'New Biz Sales'!AA97</f>
        <v>127500</v>
      </c>
      <c r="R56" s="24">
        <f>'New Biz Sales'!AB97</f>
        <v>127500</v>
      </c>
      <c r="S56" s="24">
        <f>'New Biz Sales'!AC97</f>
        <v>127500</v>
      </c>
      <c r="T56" s="24">
        <f>'New Biz Sales'!AD97</f>
        <v>127500</v>
      </c>
      <c r="U56" s="24">
        <f>'New Biz Sales'!AE97</f>
        <v>127500</v>
      </c>
      <c r="V56" s="24">
        <f>'New Biz Sales'!AF97</f>
        <v>130050</v>
      </c>
      <c r="W56" s="24">
        <f>'New Biz Sales'!AG97</f>
        <v>130050</v>
      </c>
      <c r="X56" s="24">
        <f>'New Biz Sales'!AH97</f>
        <v>130050</v>
      </c>
      <c r="Y56" s="24">
        <f>'New Biz Sales'!AI97</f>
        <v>130050</v>
      </c>
      <c r="Z56" s="24">
        <f>'New Biz Sales'!AJ97</f>
        <v>130050</v>
      </c>
      <c r="AA56" s="24">
        <f>'New Biz Sales'!AK97</f>
        <v>130050</v>
      </c>
      <c r="AB56" s="24">
        <f>'New Biz Sales'!AL97</f>
        <v>130050</v>
      </c>
      <c r="AC56" s="11"/>
      <c r="AD56" s="11" t="str">
        <f t="shared" si="86"/>
        <v>New Client AOV</v>
      </c>
      <c r="AE56" s="12">
        <f>IFERROR(__xludf.DUMMYFUNCTION("AVERAGE.WEIGHTED(M58:P58,M57:P57)"),103341.23596908613)</f>
        <v>103341.236</v>
      </c>
      <c r="AF56" s="12">
        <f>IFERROR(__xludf.DUMMYFUNCTION("AVERAGE.WEIGHTED(Q58:T58,Q57:T57)"),138737.22459330887)</f>
        <v>138737.2246</v>
      </c>
      <c r="AG56" s="12">
        <f t="shared" si="87"/>
        <v>35395.98862</v>
      </c>
      <c r="AH56" s="19">
        <f t="shared" si="88"/>
        <v>0.3425156308</v>
      </c>
      <c r="AI56" s="11"/>
      <c r="AJ56" s="11"/>
      <c r="AK56" s="11" t="s">
        <v>79</v>
      </c>
      <c r="AL56" s="24">
        <f t="shared" ref="AL56:AL58" si="97">AVERAGE(E56:H56)</f>
        <v>368250.75</v>
      </c>
      <c r="AM56" s="24">
        <f t="shared" ref="AM56:AM58" si="98">AVERAGE(I56:L56)</f>
        <v>388335.25</v>
      </c>
      <c r="AN56" s="24">
        <f t="shared" ref="AN56:AN58" si="99">AVERAGE(M56:P56)</f>
        <v>218681.5</v>
      </c>
      <c r="AO56" s="24">
        <f t="shared" ref="AO56:AO58" si="100">AVERAGE(Q56:T56)</f>
        <v>127500</v>
      </c>
      <c r="AP56" s="24">
        <f t="shared" ref="AP56:AP58" si="101">AVERAGE(U56:X56)</f>
        <v>129412.5</v>
      </c>
      <c r="AQ56" s="24">
        <f t="shared" ref="AQ56:AQ58" si="102">AVERAGE(Y56:AB56)</f>
        <v>130050</v>
      </c>
      <c r="AR56" s="11"/>
      <c r="AS56" s="11"/>
      <c r="AT56" s="11"/>
      <c r="AU56" s="11"/>
      <c r="AV56" s="11"/>
      <c r="AW56" s="11"/>
      <c r="AX56" s="11"/>
      <c r="AY56" s="11"/>
      <c r="AZ56" s="11"/>
      <c r="BA56" s="11"/>
      <c r="BB56" s="11"/>
      <c r="BC56" s="11"/>
      <c r="BD56" s="11"/>
      <c r="BE56" s="11"/>
      <c r="BF56" s="11"/>
      <c r="BG56" s="11"/>
      <c r="BH56" s="11"/>
      <c r="BI56" s="11"/>
      <c r="BJ56" s="11"/>
      <c r="BK56" s="11"/>
    </row>
    <row r="57" ht="15.75" customHeight="1">
      <c r="A57" s="11"/>
      <c r="B57" s="11"/>
      <c r="C57" s="11"/>
      <c r="D57" s="11" t="s">
        <v>86</v>
      </c>
      <c r="E57" s="44">
        <f>1--SUM(Retention!O78)/AVERAGE(Retention!O41)</f>
        <v>0.9583688149</v>
      </c>
      <c r="F57" s="44">
        <f>1--SUM(Retention!P78)/AVERAGE(Retention!P41)</f>
        <v>0.9887704355</v>
      </c>
      <c r="G57" s="44">
        <f>1--SUM(Retention!Q78)/AVERAGE(Retention!Q41)</f>
        <v>0.9779123467</v>
      </c>
      <c r="H57" s="44">
        <f>1--SUM(Retention!R78)/AVERAGE(Retention!R41)</f>
        <v>0.9494731107</v>
      </c>
      <c r="I57" s="44">
        <f>1--SUM(Retention!S78)/AVERAGE(Retention!S41)</f>
        <v>0.9807743833</v>
      </c>
      <c r="J57" s="44">
        <f>1--SUM(Retention!T78)/AVERAGE(Retention!T41)</f>
        <v>0.9666704826</v>
      </c>
      <c r="K57" s="44">
        <f>1--SUM(Retention!U78)/AVERAGE(Retention!U41)</f>
        <v>0.9720091488</v>
      </c>
      <c r="L57" s="44">
        <f>1--SUM(Retention!V78)/AVERAGE(Retention!V41)</f>
        <v>0.994451427</v>
      </c>
      <c r="M57" s="44">
        <f>1--SUM(Retention!W78)/AVERAGE(Retention!W41)</f>
        <v>0.9864217894</v>
      </c>
      <c r="N57" s="44">
        <f>1--SUM(Retention!X78)/AVERAGE(Retention!X41)</f>
        <v>0.9505809138</v>
      </c>
      <c r="O57" s="44">
        <f>1--SUM(Retention!Y78)/AVERAGE(Retention!Y41)</f>
        <v>0.9796335986</v>
      </c>
      <c r="P57" s="44">
        <f>1--SUM(Retention!Z78)/AVERAGE(Retention!Z41)</f>
        <v>0.9626289194</v>
      </c>
      <c r="Q57" s="44">
        <f>1--SUM(Retention!AA78)/AVERAGE(Retention!AA41)</f>
        <v>0.9598886277</v>
      </c>
      <c r="R57" s="44">
        <f>1--SUM(Retention!AB78)/AVERAGE(Retention!AB41)</f>
        <v>0.9596622692</v>
      </c>
      <c r="S57" s="44">
        <f>1--SUM(Retention!AC78)/AVERAGE(Retention!AC41)</f>
        <v>0.9590801442</v>
      </c>
      <c r="T57" s="44">
        <f>1--SUM(Retention!AD78)/AVERAGE(Retention!AD41)</f>
        <v>0.9586357128</v>
      </c>
      <c r="U57" s="44">
        <f>1--SUM(Retention!AE78)/AVERAGE(Retention!AE41)</f>
        <v>0.9582684694</v>
      </c>
      <c r="V57" s="44">
        <f>1--SUM(Retention!AF78)/AVERAGE(Retention!AF41)</f>
        <v>0.9579636952</v>
      </c>
      <c r="W57" s="44">
        <f>1--SUM(Retention!AG78)/AVERAGE(Retention!AG41)</f>
        <v>0.9534149993</v>
      </c>
      <c r="X57" s="44">
        <f>1--SUM(Retention!AH78)/AVERAGE(Retention!AH41)</f>
        <v>0.9529158965</v>
      </c>
      <c r="Y57" s="44">
        <f>1--SUM(Retention!AI78)/AVERAGE(Retention!AI41)</f>
        <v>0.9525474485</v>
      </c>
      <c r="Z57" s="44">
        <f>1--SUM(Retention!AJ78)/AVERAGE(Retention!AJ41)</f>
        <v>0.9520984549</v>
      </c>
      <c r="AA57" s="44">
        <f>1--SUM(Retention!AK78)/AVERAGE(Retention!AK41)</f>
        <v>0.9528490938</v>
      </c>
      <c r="AB57" s="44">
        <f>1--SUM(Retention!AL78)/AVERAGE(Retention!AL41)</f>
        <v>0.9526696778</v>
      </c>
      <c r="AC57" s="11"/>
      <c r="AD57" s="11" t="s">
        <v>81</v>
      </c>
      <c r="AE57" s="44">
        <f>P57</f>
        <v>0.9626289194</v>
      </c>
      <c r="AF57" s="44">
        <f>T57</f>
        <v>0.9586357128</v>
      </c>
      <c r="AG57" s="45">
        <f t="shared" si="87"/>
        <v>-0.003993206564</v>
      </c>
      <c r="AH57" s="44">
        <f t="shared" si="88"/>
        <v>-0.004148230418</v>
      </c>
      <c r="AI57" s="11"/>
      <c r="AJ57" s="11"/>
      <c r="AK57" s="11" t="s">
        <v>82</v>
      </c>
      <c r="AL57" s="19">
        <f t="shared" si="97"/>
        <v>0.9686311769</v>
      </c>
      <c r="AM57" s="19">
        <f t="shared" si="98"/>
        <v>0.9784763604</v>
      </c>
      <c r="AN57" s="19">
        <f t="shared" si="99"/>
        <v>0.9698163053</v>
      </c>
      <c r="AO57" s="19">
        <f t="shared" si="100"/>
        <v>0.9593166885</v>
      </c>
      <c r="AP57" s="19">
        <f t="shared" si="101"/>
        <v>0.9556407651</v>
      </c>
      <c r="AQ57" s="19">
        <f t="shared" si="102"/>
        <v>0.9525411687</v>
      </c>
      <c r="AR57" s="11"/>
      <c r="AS57" s="11"/>
      <c r="AT57" s="11"/>
      <c r="AU57" s="11"/>
      <c r="AV57" s="11"/>
      <c r="AW57" s="11"/>
      <c r="AX57" s="11"/>
      <c r="AY57" s="11"/>
      <c r="AZ57" s="11"/>
      <c r="BA57" s="11"/>
      <c r="BB57" s="11"/>
      <c r="BC57" s="11"/>
      <c r="BD57" s="11"/>
      <c r="BE57" s="11"/>
      <c r="BF57" s="11"/>
      <c r="BG57" s="11"/>
      <c r="BH57" s="11"/>
      <c r="BI57" s="11"/>
      <c r="BJ57" s="11"/>
      <c r="BK57" s="11"/>
    </row>
    <row r="58" ht="15.75" customHeight="1">
      <c r="A58" s="11"/>
      <c r="B58" s="11"/>
      <c r="C58" s="11"/>
      <c r="D58" s="33" t="s">
        <v>83</v>
      </c>
      <c r="E58" s="46">
        <f>IFERROR(Retention!O168,0)</f>
        <v>114134.9287</v>
      </c>
      <c r="F58" s="46">
        <f>IFERROR(Retention!P168,0)</f>
        <v>57668.78927</v>
      </c>
      <c r="G58" s="46">
        <f>IFERROR(Retention!Q168,0)</f>
        <v>83111.52403</v>
      </c>
      <c r="H58" s="46">
        <f>IFERROR(Retention!R168,0)</f>
        <v>86359.07536</v>
      </c>
      <c r="I58" s="46">
        <f>IFERROR(Retention!S168,0)</f>
        <v>122332.2874</v>
      </c>
      <c r="J58" s="46">
        <f>IFERROR(Retention!T168,0)</f>
        <v>120722.6261</v>
      </c>
      <c r="K58" s="46">
        <f>IFERROR(Retention!U168,0)</f>
        <v>14513.04282</v>
      </c>
      <c r="L58" s="46">
        <f>IFERROR(Retention!V168,0)</f>
        <v>32690.19079</v>
      </c>
      <c r="M58" s="46">
        <f>IFERROR(Retention!W168,0)</f>
        <v>149803.5749</v>
      </c>
      <c r="N58" s="46">
        <f>IFERROR(Retention!X168,0)</f>
        <v>18434.938</v>
      </c>
      <c r="O58" s="46">
        <f>IFERROR(Retention!Y168,0)</f>
        <v>96038.55579</v>
      </c>
      <c r="P58" s="46">
        <f>IFERROR(Retention!Z168,0)</f>
        <v>147005.8225</v>
      </c>
      <c r="Q58" s="46">
        <f>IFERROR(Retention!AA168,0)</f>
        <v>127520.219</v>
      </c>
      <c r="R58" s="46">
        <f>IFERROR(Retention!AB168,0)</f>
        <v>136613.0744</v>
      </c>
      <c r="S58" s="46">
        <f>IFERROR(Retention!AC168,0)</f>
        <v>143260.077</v>
      </c>
      <c r="T58" s="46">
        <f>IFERROR(Retention!AD168,0)</f>
        <v>147570.3662</v>
      </c>
      <c r="U58" s="46">
        <f>IFERROR(Retention!AE168,0)</f>
        <v>151998.5053</v>
      </c>
      <c r="V58" s="46">
        <f>IFERROR(Retention!AF168,0)</f>
        <v>161778.353</v>
      </c>
      <c r="W58" s="46">
        <f>IFERROR(Retention!AG168,0)</f>
        <v>150369.4091</v>
      </c>
      <c r="X58" s="46">
        <f>IFERROR(Retention!AH168,0)</f>
        <v>152442.0424</v>
      </c>
      <c r="Y58" s="46">
        <f>IFERROR(Retention!AI168,0)</f>
        <v>152982.8548</v>
      </c>
      <c r="Z58" s="46">
        <f>IFERROR(Retention!AJ168,0)</f>
        <v>154431.6742</v>
      </c>
      <c r="AA58" s="46">
        <f>IFERROR(Retention!AK168,0)</f>
        <v>159907.3345</v>
      </c>
      <c r="AB58" s="46">
        <f>IFERROR(Retention!AL168,0)</f>
        <v>161114.8955</v>
      </c>
      <c r="AC58" s="11"/>
      <c r="AD58" s="33" t="str">
        <f>D58</f>
        <v>New Client LTV</v>
      </c>
      <c r="AE58" s="35">
        <f t="shared" ref="AE58:AF58" si="103">((AE56/12)*AE50)/(1-AE57)</f>
        <v>202665.2686</v>
      </c>
      <c r="AF58" s="35">
        <f t="shared" si="103"/>
        <v>192296.0323</v>
      </c>
      <c r="AG58" s="47">
        <f t="shared" si="87"/>
        <v>-10369.23631</v>
      </c>
      <c r="AH58" s="48">
        <f t="shared" si="88"/>
        <v>-0.0511643479</v>
      </c>
      <c r="AI58" s="11"/>
      <c r="AJ58" s="11"/>
      <c r="AK58" s="33" t="s">
        <v>83</v>
      </c>
      <c r="AL58" s="35">
        <f t="shared" si="97"/>
        <v>85318.57935</v>
      </c>
      <c r="AM58" s="35">
        <f t="shared" si="98"/>
        <v>72564.53677</v>
      </c>
      <c r="AN58" s="35">
        <f t="shared" si="99"/>
        <v>102820.7228</v>
      </c>
      <c r="AO58" s="35">
        <f t="shared" si="100"/>
        <v>138740.9341</v>
      </c>
      <c r="AP58" s="35">
        <f t="shared" si="101"/>
        <v>154147.0775</v>
      </c>
      <c r="AQ58" s="35">
        <f t="shared" si="102"/>
        <v>157109.1897</v>
      </c>
      <c r="AR58" s="11"/>
      <c r="AS58" s="11"/>
      <c r="AT58" s="11"/>
      <c r="AU58" s="11"/>
      <c r="AV58" s="11"/>
      <c r="AW58" s="11"/>
      <c r="AX58" s="11"/>
      <c r="AY58" s="11"/>
      <c r="AZ58" s="11"/>
      <c r="BA58" s="11"/>
      <c r="BB58" s="11"/>
      <c r="BC58" s="11"/>
      <c r="BD58" s="11"/>
      <c r="BE58" s="11"/>
      <c r="BF58" s="11"/>
      <c r="BG58" s="11"/>
      <c r="BH58" s="11"/>
      <c r="BI58" s="11"/>
      <c r="BJ58" s="11"/>
      <c r="BK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2"/>
      <c r="AH59" s="19"/>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2"/>
      <c r="AH60" s="19"/>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row>
    <row r="61" ht="15.75" customHeight="1">
      <c r="A61" s="11"/>
      <c r="B61" s="11"/>
      <c r="C61" s="11"/>
      <c r="D61" s="11" t="s">
        <v>84</v>
      </c>
      <c r="E61" s="24"/>
      <c r="F61" s="24"/>
      <c r="G61" s="24"/>
      <c r="H61" s="24"/>
      <c r="I61" s="24"/>
      <c r="J61" s="24"/>
      <c r="K61" s="24"/>
      <c r="L61" s="24"/>
      <c r="M61" s="24">
        <f>M49-'Ops Departments'!X61</f>
        <v>0</v>
      </c>
      <c r="N61" s="24">
        <f>N49-'Ops Departments'!Y61</f>
        <v>0</v>
      </c>
      <c r="O61" s="24">
        <f>O49-'Ops Departments'!Z61</f>
        <v>0</v>
      </c>
      <c r="P61" s="24">
        <f>P49-'Ops Departments'!AA61</f>
        <v>0</v>
      </c>
      <c r="Q61" s="24">
        <f>Q49-'Ops Departments'!AB61</f>
        <v>0</v>
      </c>
      <c r="R61" s="24">
        <f>R49-'Ops Departments'!AC61</f>
        <v>0</v>
      </c>
      <c r="S61" s="24">
        <f>S49-'Ops Departments'!AD61</f>
        <v>0</v>
      </c>
      <c r="T61" s="24">
        <f>T49-'Ops Departments'!AE61</f>
        <v>0</v>
      </c>
      <c r="U61" s="24">
        <f>U49-'Ops Departments'!AF61</f>
        <v>0</v>
      </c>
      <c r="V61" s="24">
        <f>V49-'Ops Departments'!AG61</f>
        <v>0</v>
      </c>
      <c r="W61" s="24">
        <f>W49-'Ops Departments'!AH61</f>
        <v>0</v>
      </c>
      <c r="X61" s="24">
        <f>X49-'Ops Departments'!AI61</f>
        <v>0</v>
      </c>
      <c r="Y61" s="24">
        <f>Y49-'Ops Departments'!AJ61</f>
        <v>0</v>
      </c>
      <c r="Z61" s="24">
        <f>Z49-'Ops Departments'!AK61</f>
        <v>0</v>
      </c>
      <c r="AA61" s="24">
        <f>AA49-'Ops Departments'!AL61</f>
        <v>0</v>
      </c>
      <c r="AB61" s="24">
        <f>AB49-'Ops Departments'!AM61</f>
        <v>0</v>
      </c>
      <c r="AC61" s="11"/>
      <c r="AD61" s="11"/>
      <c r="AE61" s="11"/>
      <c r="AF61" s="11"/>
      <c r="AG61" s="12"/>
      <c r="AH61" s="19"/>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2"/>
      <c r="AH62" s="19"/>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row>
    <row r="63" ht="15.75" customHeight="1">
      <c r="A63" s="11"/>
      <c r="B63" s="13" t="s">
        <v>87</v>
      </c>
      <c r="C63" s="11"/>
      <c r="D63" s="11"/>
      <c r="E63" s="14">
        <v>44562.0</v>
      </c>
      <c r="F63" s="14">
        <v>44593.0</v>
      </c>
      <c r="G63" s="14">
        <v>44621.0</v>
      </c>
      <c r="H63" s="14">
        <v>44652.0</v>
      </c>
      <c r="I63" s="14">
        <v>44682.0</v>
      </c>
      <c r="J63" s="14">
        <v>44713.0</v>
      </c>
      <c r="K63" s="14">
        <v>44743.0</v>
      </c>
      <c r="L63" s="14">
        <v>44774.0</v>
      </c>
      <c r="M63" s="14">
        <v>44805.0</v>
      </c>
      <c r="N63" s="14">
        <v>44835.0</v>
      </c>
      <c r="O63" s="14">
        <v>44866.0</v>
      </c>
      <c r="P63" s="14">
        <v>44896.0</v>
      </c>
      <c r="Q63" s="15">
        <v>44927.0</v>
      </c>
      <c r="R63" s="15">
        <v>44958.0</v>
      </c>
      <c r="S63" s="15">
        <v>44986.0</v>
      </c>
      <c r="T63" s="15">
        <v>45017.0</v>
      </c>
      <c r="U63" s="15">
        <v>45047.0</v>
      </c>
      <c r="V63" s="15">
        <v>45078.0</v>
      </c>
      <c r="W63" s="15">
        <v>45108.0</v>
      </c>
      <c r="X63" s="15">
        <v>45139.0</v>
      </c>
      <c r="Y63" s="15">
        <v>45170.0</v>
      </c>
      <c r="Z63" s="15">
        <v>45200.0</v>
      </c>
      <c r="AA63" s="15">
        <v>45231.0</v>
      </c>
      <c r="AB63" s="15">
        <v>45261.0</v>
      </c>
      <c r="AC63" s="11"/>
      <c r="AD63" s="11"/>
      <c r="AE63" s="16" t="s">
        <v>48</v>
      </c>
      <c r="AF63" s="17" t="s">
        <v>49</v>
      </c>
      <c r="AG63" s="18" t="s">
        <v>50</v>
      </c>
      <c r="AH63" s="49" t="s">
        <v>51</v>
      </c>
      <c r="AI63" s="11"/>
      <c r="AJ63" s="11"/>
      <c r="AK63" s="11"/>
      <c r="AL63" s="16" t="s">
        <v>52</v>
      </c>
      <c r="AM63" s="16" t="s">
        <v>53</v>
      </c>
      <c r="AN63" s="16" t="s">
        <v>48</v>
      </c>
      <c r="AO63" s="17" t="s">
        <v>49</v>
      </c>
      <c r="AP63" s="17" t="s">
        <v>54</v>
      </c>
      <c r="AQ63" s="17" t="s">
        <v>55</v>
      </c>
      <c r="AR63" s="11"/>
      <c r="AS63" s="11"/>
      <c r="AT63" s="11"/>
      <c r="AU63" s="11"/>
      <c r="AV63" s="11"/>
      <c r="AW63" s="11"/>
      <c r="AX63" s="11"/>
      <c r="AY63" s="11"/>
      <c r="AZ63" s="11"/>
      <c r="BA63" s="11"/>
      <c r="BB63" s="11"/>
      <c r="BC63" s="11"/>
      <c r="BD63" s="11"/>
      <c r="BE63" s="11"/>
      <c r="BF63" s="11"/>
      <c r="BG63" s="11"/>
      <c r="BH63" s="11"/>
      <c r="BI63" s="11"/>
      <c r="BJ63" s="11"/>
      <c r="BK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2"/>
      <c r="AH64" s="19"/>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row>
    <row r="65" ht="15.75" customHeight="1">
      <c r="A65" s="11"/>
      <c r="B65" s="11"/>
      <c r="C65" s="11"/>
      <c r="D65" s="11" t="s">
        <v>56</v>
      </c>
      <c r="E65" s="12">
        <f>Revenue!O88</f>
        <v>172265</v>
      </c>
      <c r="F65" s="12">
        <f>Revenue!P88</f>
        <v>164260</v>
      </c>
      <c r="G65" s="12">
        <f>Revenue!Q88</f>
        <v>175942</v>
      </c>
      <c r="H65" s="12">
        <f>Revenue!R88</f>
        <v>217789</v>
      </c>
      <c r="I65" s="12">
        <f>Revenue!S88</f>
        <v>202848</v>
      </c>
      <c r="J65" s="12">
        <f>Revenue!T88</f>
        <v>137290</v>
      </c>
      <c r="K65" s="12">
        <f>Revenue!U88</f>
        <v>171228</v>
      </c>
      <c r="L65" s="12">
        <f>Revenue!V88</f>
        <v>207007</v>
      </c>
      <c r="M65" s="12">
        <f>Revenue!W88</f>
        <v>212251</v>
      </c>
      <c r="N65" s="12">
        <f>Revenue!X88</f>
        <v>235011</v>
      </c>
      <c r="O65" s="12">
        <f>Revenue!Y88</f>
        <v>180656</v>
      </c>
      <c r="P65" s="12">
        <f>Revenue!Z88</f>
        <v>207412</v>
      </c>
      <c r="Q65" s="12">
        <f>Revenue!AA88</f>
        <v>254174.5112</v>
      </c>
      <c r="R65" s="12">
        <f>Revenue!AB88</f>
        <v>311703.7907</v>
      </c>
      <c r="S65" s="12">
        <f>Revenue!AC88</f>
        <v>374356.6057</v>
      </c>
      <c r="T65" s="12">
        <f>Revenue!AD88</f>
        <v>435990.6948</v>
      </c>
      <c r="U65" s="12">
        <f>Revenue!AE88</f>
        <v>496489.8268</v>
      </c>
      <c r="V65" s="12">
        <f>Revenue!AF88</f>
        <v>555012.1558</v>
      </c>
      <c r="W65" s="12">
        <f>Revenue!AG88</f>
        <v>613143.3465</v>
      </c>
      <c r="X65" s="12">
        <f>Revenue!AH88</f>
        <v>673926.2592</v>
      </c>
      <c r="Y65" s="12">
        <f>Revenue!AI88</f>
        <v>731927.1271</v>
      </c>
      <c r="Z65" s="12">
        <f>Revenue!AJ88</f>
        <v>788154.995</v>
      </c>
      <c r="AA65" s="12">
        <f>Revenue!AK88</f>
        <v>835141.929</v>
      </c>
      <c r="AB65" s="12">
        <f>Revenue!AL88</f>
        <v>881150.7412</v>
      </c>
      <c r="AC65" s="12"/>
      <c r="AD65" s="12" t="str">
        <f t="shared" ref="AD65:AD68" si="104">D65</f>
        <v>Recurring</v>
      </c>
      <c r="AE65" s="12">
        <f t="shared" ref="AE65:AE67" si="105">SUM(M65:P65)</f>
        <v>835330</v>
      </c>
      <c r="AF65" s="12">
        <f t="shared" ref="AF65:AF67" si="106">SUM(Q65:T65)</f>
        <v>1376225.602</v>
      </c>
      <c r="AG65" s="12">
        <f t="shared" ref="AG65:AG68" si="107">AF65-AE65</f>
        <v>540895.6024</v>
      </c>
      <c r="AH65" s="19">
        <f t="shared" ref="AH65:AH67" si="108">AF65/AE65-1</f>
        <v>0.6475232572</v>
      </c>
      <c r="AI65" s="11"/>
      <c r="AJ65" s="11"/>
      <c r="AK65" s="11"/>
      <c r="AL65" s="12">
        <f t="shared" ref="AL65:AL69" si="109">SUM(E65:H65)</f>
        <v>730256</v>
      </c>
      <c r="AM65" s="12">
        <f t="shared" ref="AM65:AM67" si="110">SUM(I65:L65)</f>
        <v>718373</v>
      </c>
      <c r="AN65" s="12">
        <f t="shared" ref="AN65:AN67" si="111">SUM(M65:P65)</f>
        <v>835330</v>
      </c>
      <c r="AO65" s="12">
        <f t="shared" ref="AO65:AO67" si="112">SUM(Q65:T65)</f>
        <v>1376225.602</v>
      </c>
      <c r="AP65" s="12">
        <f t="shared" ref="AP65:AP67" si="113">SUM(U65:X65)</f>
        <v>2338571.588</v>
      </c>
      <c r="AQ65" s="12">
        <f t="shared" ref="AQ65:AQ67" si="114">SUM(Y65:AB65)</f>
        <v>3236374.792</v>
      </c>
      <c r="AR65" s="11"/>
      <c r="AS65" s="11"/>
      <c r="AT65" s="11"/>
      <c r="AU65" s="11"/>
      <c r="AV65" s="11"/>
      <c r="AW65" s="11"/>
      <c r="AX65" s="11"/>
      <c r="AY65" s="11"/>
      <c r="AZ65" s="11"/>
      <c r="BA65" s="11"/>
      <c r="BB65" s="11"/>
      <c r="BC65" s="11"/>
      <c r="BD65" s="11"/>
      <c r="BE65" s="11"/>
      <c r="BF65" s="11"/>
      <c r="BG65" s="11"/>
      <c r="BH65" s="11"/>
      <c r="BI65" s="11"/>
      <c r="BJ65" s="11"/>
      <c r="BK65" s="11"/>
    </row>
    <row r="66" ht="15.75" customHeight="1">
      <c r="A66" s="11"/>
      <c r="B66" s="11"/>
      <c r="C66" s="11"/>
      <c r="D66" s="11" t="s">
        <v>57</v>
      </c>
      <c r="E66" s="12">
        <f>Revenue!O94</f>
        <v>21573</v>
      </c>
      <c r="F66" s="12">
        <f>Revenue!P94</f>
        <v>29318</v>
      </c>
      <c r="G66" s="12">
        <f>Revenue!Q94</f>
        <v>27299</v>
      </c>
      <c r="H66" s="12">
        <f>Revenue!R94</f>
        <v>32627</v>
      </c>
      <c r="I66" s="12">
        <f>Revenue!S94</f>
        <v>34971</v>
      </c>
      <c r="J66" s="12">
        <f>Revenue!T94</f>
        <v>20983</v>
      </c>
      <c r="K66" s="12">
        <f>Revenue!U94</f>
        <v>20405</v>
      </c>
      <c r="L66" s="12">
        <f>Revenue!V94</f>
        <v>23576</v>
      </c>
      <c r="M66" s="12">
        <f>Revenue!W94</f>
        <v>35498</v>
      </c>
      <c r="N66" s="12">
        <f>Revenue!X94</f>
        <v>23330</v>
      </c>
      <c r="O66" s="12">
        <f>Revenue!Y94</f>
        <v>26756</v>
      </c>
      <c r="P66" s="12">
        <f>Revenue!Z94</f>
        <v>68598.975</v>
      </c>
      <c r="Q66" s="12">
        <f>Revenue!AA94</f>
        <v>96512.51625</v>
      </c>
      <c r="R66" s="12">
        <f>Revenue!AB94</f>
        <v>113532.5432</v>
      </c>
      <c r="S66" s="12">
        <f>Revenue!AC94</f>
        <v>119489.5526</v>
      </c>
      <c r="T66" s="12">
        <f>Revenue!AD94</f>
        <v>121574.5059</v>
      </c>
      <c r="U66" s="12">
        <f>Revenue!AE94</f>
        <v>122304.2396</v>
      </c>
      <c r="V66" s="12">
        <f>Revenue!AF94</f>
        <v>124154.7096</v>
      </c>
      <c r="W66" s="12">
        <f>Revenue!AG94</f>
        <v>124802.3741</v>
      </c>
      <c r="X66" s="12">
        <f>Revenue!AH94</f>
        <v>125029.0567</v>
      </c>
      <c r="Y66" s="12">
        <f>Revenue!AI94</f>
        <v>125108.3956</v>
      </c>
      <c r="Z66" s="12">
        <f>Revenue!AJ94</f>
        <v>121068.7529</v>
      </c>
      <c r="AA66" s="12">
        <f>Revenue!AK94</f>
        <v>119654.878</v>
      </c>
      <c r="AB66" s="12">
        <f>Revenue!AL94</f>
        <v>119160.0218</v>
      </c>
      <c r="AC66" s="20"/>
      <c r="AD66" s="11" t="str">
        <f t="shared" si="104"/>
        <v>Project</v>
      </c>
      <c r="AE66" s="20">
        <f t="shared" si="105"/>
        <v>154182.975</v>
      </c>
      <c r="AF66" s="21">
        <f t="shared" si="106"/>
        <v>451109.118</v>
      </c>
      <c r="AG66" s="21">
        <f t="shared" si="107"/>
        <v>296926.143</v>
      </c>
      <c r="AH66" s="19">
        <f t="shared" si="108"/>
        <v>1.925803695</v>
      </c>
      <c r="AI66" s="11"/>
      <c r="AJ66" s="11"/>
      <c r="AK66" s="11"/>
      <c r="AL66" s="20">
        <f t="shared" si="109"/>
        <v>110817</v>
      </c>
      <c r="AM66" s="21">
        <f t="shared" si="110"/>
        <v>99935</v>
      </c>
      <c r="AN66" s="20">
        <f t="shared" si="111"/>
        <v>154182.975</v>
      </c>
      <c r="AO66" s="20">
        <f t="shared" si="112"/>
        <v>451109.118</v>
      </c>
      <c r="AP66" s="21">
        <f t="shared" si="113"/>
        <v>496290.38</v>
      </c>
      <c r="AQ66" s="20">
        <f t="shared" si="114"/>
        <v>484992.0483</v>
      </c>
      <c r="AR66" s="11"/>
      <c r="AS66" s="11"/>
      <c r="AT66" s="11"/>
      <c r="AU66" s="11"/>
      <c r="AV66" s="11"/>
      <c r="AW66" s="11"/>
      <c r="AX66" s="11"/>
      <c r="AY66" s="11"/>
      <c r="AZ66" s="11"/>
      <c r="BA66" s="11"/>
      <c r="BB66" s="11"/>
      <c r="BC66" s="11"/>
      <c r="BD66" s="11"/>
      <c r="BE66" s="11"/>
      <c r="BF66" s="11"/>
      <c r="BG66" s="11"/>
      <c r="BH66" s="11"/>
      <c r="BI66" s="11"/>
      <c r="BJ66" s="11"/>
      <c r="BK66" s="11"/>
    </row>
    <row r="67" ht="15.75" customHeight="1">
      <c r="A67" s="11"/>
      <c r="B67" s="11"/>
      <c r="C67" s="11"/>
      <c r="D67" s="22" t="str">
        <f>CONCATENATE(B63," Revenue")</f>
        <v>Design Revenue</v>
      </c>
      <c r="E67" s="23">
        <f>'Ops Departments'!P72</f>
        <v>193838</v>
      </c>
      <c r="F67" s="23">
        <f>'Ops Departments'!Q72</f>
        <v>193578</v>
      </c>
      <c r="G67" s="23">
        <f>'Ops Departments'!R72</f>
        <v>203241</v>
      </c>
      <c r="H67" s="23">
        <f>'Ops Departments'!S72</f>
        <v>250416</v>
      </c>
      <c r="I67" s="23">
        <f>'Ops Departments'!T72</f>
        <v>237819</v>
      </c>
      <c r="J67" s="23">
        <f>'Ops Departments'!U72</f>
        <v>158273</v>
      </c>
      <c r="K67" s="23">
        <f>'Ops Departments'!V72</f>
        <v>191633</v>
      </c>
      <c r="L67" s="23">
        <f>'Ops Departments'!W72</f>
        <v>259676</v>
      </c>
      <c r="M67" s="23">
        <f>'Ops Departments'!X72</f>
        <v>192833</v>
      </c>
      <c r="N67" s="23">
        <f>'Ops Departments'!Y72</f>
        <v>258341</v>
      </c>
      <c r="O67" s="23">
        <f>'Ops Departments'!Z72</f>
        <v>207412</v>
      </c>
      <c r="P67" s="23">
        <f>'Ops Departments'!AA72</f>
        <v>276010.975</v>
      </c>
      <c r="Q67" s="23">
        <f>'Ops Departments'!AB72</f>
        <v>350687.0274</v>
      </c>
      <c r="R67" s="23">
        <f>'Ops Departments'!AC72</f>
        <v>425236.3339</v>
      </c>
      <c r="S67" s="23">
        <f>'Ops Departments'!AD72</f>
        <v>493846.1583</v>
      </c>
      <c r="T67" s="23">
        <f>'Ops Departments'!AE72</f>
        <v>557565.2007</v>
      </c>
      <c r="U67" s="23">
        <f>'Ops Departments'!AF72</f>
        <v>618794.0664</v>
      </c>
      <c r="V67" s="23">
        <f>'Ops Departments'!AG72</f>
        <v>679166.8654</v>
      </c>
      <c r="W67" s="23">
        <f>'Ops Departments'!AH72</f>
        <v>737945.7206</v>
      </c>
      <c r="X67" s="23">
        <f>'Ops Departments'!AI72</f>
        <v>798955.3159</v>
      </c>
      <c r="Y67" s="23">
        <f>'Ops Departments'!AJ72</f>
        <v>857035.5227</v>
      </c>
      <c r="Z67" s="23">
        <f>'Ops Departments'!AK72</f>
        <v>909223.7479</v>
      </c>
      <c r="AA67" s="23">
        <f>'Ops Departments'!AL72</f>
        <v>954796.8069</v>
      </c>
      <c r="AB67" s="23">
        <f>'Ops Departments'!AM72</f>
        <v>1000310.763</v>
      </c>
      <c r="AC67" s="38"/>
      <c r="AD67" s="22" t="str">
        <f t="shared" si="104"/>
        <v>Design Revenue</v>
      </c>
      <c r="AE67" s="25">
        <f t="shared" si="105"/>
        <v>934596.975</v>
      </c>
      <c r="AF67" s="26">
        <f t="shared" si="106"/>
        <v>1827334.72</v>
      </c>
      <c r="AG67" s="25">
        <f t="shared" si="107"/>
        <v>892737.7454</v>
      </c>
      <c r="AH67" s="27">
        <f t="shared" si="108"/>
        <v>0.9552114647</v>
      </c>
      <c r="AI67" s="11"/>
      <c r="AJ67" s="11"/>
      <c r="AK67" s="11"/>
      <c r="AL67" s="25">
        <f t="shared" si="109"/>
        <v>841073</v>
      </c>
      <c r="AM67" s="26">
        <f t="shared" si="110"/>
        <v>847401</v>
      </c>
      <c r="AN67" s="25">
        <f t="shared" si="111"/>
        <v>934596.975</v>
      </c>
      <c r="AO67" s="25">
        <f t="shared" si="112"/>
        <v>1827334.72</v>
      </c>
      <c r="AP67" s="26">
        <f t="shared" si="113"/>
        <v>2834861.968</v>
      </c>
      <c r="AQ67" s="25">
        <f t="shared" si="114"/>
        <v>3721366.841</v>
      </c>
      <c r="AR67" s="11"/>
      <c r="AS67" s="11"/>
      <c r="AT67" s="11"/>
      <c r="AU67" s="11"/>
      <c r="AV67" s="11"/>
      <c r="AW67" s="11"/>
      <c r="AX67" s="11"/>
      <c r="AY67" s="11"/>
      <c r="AZ67" s="11"/>
      <c r="BA67" s="11"/>
      <c r="BB67" s="11"/>
      <c r="BC67" s="11"/>
      <c r="BD67" s="11"/>
      <c r="BE67" s="11"/>
      <c r="BF67" s="11"/>
      <c r="BG67" s="11"/>
      <c r="BH67" s="11"/>
      <c r="BI67" s="11"/>
      <c r="BJ67" s="11"/>
      <c r="BK67" s="11"/>
    </row>
    <row r="68" ht="15.75" customHeight="1">
      <c r="A68" s="11"/>
      <c r="B68" s="11"/>
      <c r="C68" s="11"/>
      <c r="D68" s="11" t="s">
        <v>60</v>
      </c>
      <c r="E68" s="20">
        <f>'Ops Departments'!L72-'Ops Departments'!K72</f>
        <v>-6675</v>
      </c>
      <c r="F68" s="20">
        <f>'Ops Departments'!M72-'Ops Departments'!L72</f>
        <v>-31439</v>
      </c>
      <c r="G68" s="20">
        <f>'Ops Departments'!N72-'Ops Departments'!M72</f>
        <v>34549</v>
      </c>
      <c r="H68" s="20">
        <f>'Ops Departments'!O72-'Ops Departments'!N72</f>
        <v>-36404</v>
      </c>
      <c r="I68" s="20">
        <f>'Ops Departments'!P72-'Ops Departments'!O72</f>
        <v>45560</v>
      </c>
      <c r="J68" s="20">
        <f>'Ops Departments'!Q72-'Ops Departments'!P72</f>
        <v>-260</v>
      </c>
      <c r="K68" s="20">
        <f>'Ops Departments'!R72-'Ops Departments'!Q72</f>
        <v>9663</v>
      </c>
      <c r="L68" s="20">
        <f>'Ops Departments'!S72-'Ops Departments'!R72</f>
        <v>47175</v>
      </c>
      <c r="M68" s="20">
        <f>'Ops Departments'!T72-'Ops Departments'!S72</f>
        <v>-12597</v>
      </c>
      <c r="N68" s="20">
        <f>'Ops Departments'!U72-'Ops Departments'!T72</f>
        <v>-79546</v>
      </c>
      <c r="O68" s="20">
        <f>'Ops Departments'!V72-'Ops Departments'!U72</f>
        <v>33360</v>
      </c>
      <c r="P68" s="20">
        <f>'Ops Departments'!W72-'Ops Departments'!V72</f>
        <v>68043</v>
      </c>
      <c r="Q68" s="20">
        <f>'Ops Departments'!X72-'Ops Departments'!W72</f>
        <v>-66843</v>
      </c>
      <c r="R68" s="20">
        <f>'Ops Departments'!Y72-'Ops Departments'!X72</f>
        <v>65508</v>
      </c>
      <c r="S68" s="20">
        <f>'Ops Departments'!Z72-'Ops Departments'!Y72</f>
        <v>-50929</v>
      </c>
      <c r="T68" s="20">
        <f>'Ops Departments'!AA72-'Ops Departments'!Z72</f>
        <v>68598.975</v>
      </c>
      <c r="U68" s="20">
        <f>'Ops Departments'!AB72-'Ops Departments'!AA72</f>
        <v>74676.05244</v>
      </c>
      <c r="V68" s="20">
        <f>'Ops Departments'!AC72-'Ops Departments'!AB72</f>
        <v>74549.30645</v>
      </c>
      <c r="W68" s="20">
        <f>'Ops Departments'!AD72-'Ops Departments'!AC72</f>
        <v>68609.82444</v>
      </c>
      <c r="X68" s="20">
        <f>'Ops Departments'!AE72-'Ops Departments'!AD72</f>
        <v>63719.04238</v>
      </c>
      <c r="Y68" s="20">
        <f>'Ops Departments'!AF72-'Ops Departments'!AE72</f>
        <v>61228.8657</v>
      </c>
      <c r="Z68" s="20">
        <f>'Ops Departments'!AG72-'Ops Departments'!AF72</f>
        <v>60372.79902</v>
      </c>
      <c r="AA68" s="20">
        <f>'Ops Departments'!AH72-'Ops Departments'!AG72</f>
        <v>58778.85518</v>
      </c>
      <c r="AB68" s="20">
        <f>'Ops Departments'!AI72-'Ops Departments'!AH72</f>
        <v>61009.59532</v>
      </c>
      <c r="AC68" s="20"/>
      <c r="AD68" s="11" t="str">
        <f t="shared" si="104"/>
        <v>  NNR</v>
      </c>
      <c r="AE68" s="20">
        <f>Summary!DE9-Summary!DD9</f>
        <v>-13003.025</v>
      </c>
      <c r="AF68" s="20">
        <f>AF67-AE67</f>
        <v>892737.7454</v>
      </c>
      <c r="AG68" s="21">
        <f t="shared" si="107"/>
        <v>905740.7704</v>
      </c>
      <c r="AH68" s="19"/>
      <c r="AI68" s="11"/>
      <c r="AJ68" s="11"/>
      <c r="AK68" s="11"/>
      <c r="AL68" s="20">
        <f t="shared" si="109"/>
        <v>-39969</v>
      </c>
      <c r="AM68" s="20">
        <f t="shared" ref="AM68:AQ68" si="115">AM67-AL67</f>
        <v>6328</v>
      </c>
      <c r="AN68" s="20">
        <f t="shared" si="115"/>
        <v>87195.975</v>
      </c>
      <c r="AO68" s="20">
        <f t="shared" si="115"/>
        <v>892737.7454</v>
      </c>
      <c r="AP68" s="20">
        <f t="shared" si="115"/>
        <v>1007527.248</v>
      </c>
      <c r="AQ68" s="20">
        <f t="shared" si="115"/>
        <v>886504.8721</v>
      </c>
      <c r="AR68" s="11"/>
      <c r="AS68" s="11"/>
      <c r="AT68" s="11"/>
      <c r="AU68" s="11"/>
      <c r="AV68" s="11"/>
      <c r="AW68" s="11"/>
      <c r="AX68" s="11"/>
      <c r="AY68" s="11"/>
      <c r="AZ68" s="11"/>
      <c r="BA68" s="11"/>
      <c r="BB68" s="11"/>
      <c r="BC68" s="11"/>
      <c r="BD68" s="11"/>
      <c r="BE68" s="11"/>
      <c r="BF68" s="11"/>
      <c r="BG68" s="11"/>
      <c r="BH68" s="11"/>
      <c r="BI68" s="11"/>
      <c r="BJ68" s="11"/>
      <c r="BK68" s="11"/>
    </row>
    <row r="69" ht="15.75" customHeight="1">
      <c r="A69" s="11"/>
      <c r="B69" s="11"/>
      <c r="C69" s="11"/>
      <c r="D69" s="11" t="s">
        <v>61</v>
      </c>
      <c r="E69" s="19">
        <f>'Ops Departments'!L72/'Ops Departments'!K72-1</f>
        <v>-0.03545873241</v>
      </c>
      <c r="F69" s="19">
        <f>'Ops Departments'!M72/'Ops Departments'!L72-1</f>
        <v>-0.1731489437</v>
      </c>
      <c r="G69" s="19">
        <f>'Ops Departments'!N72/'Ops Departments'!M72-1</f>
        <v>0.2301226246</v>
      </c>
      <c r="H69" s="19">
        <f>'Ops Departments'!O72/'Ops Departments'!N72-1</f>
        <v>-0.1971172069</v>
      </c>
      <c r="I69" s="19">
        <f>'Ops Departments'!P72/'Ops Departments'!O72-1</f>
        <v>0.307260686</v>
      </c>
      <c r="J69" s="19">
        <f>'Ops Departments'!Q72/'Ops Departments'!P72-1</f>
        <v>-0.001341326262</v>
      </c>
      <c r="K69" s="19">
        <f>'Ops Departments'!R72/'Ops Departments'!Q72-1</f>
        <v>0.04991786257</v>
      </c>
      <c r="L69" s="19">
        <f>'Ops Departments'!S72/'Ops Departments'!R72-1</f>
        <v>0.2321135991</v>
      </c>
      <c r="M69" s="19">
        <f>'Ops Departments'!T72/'Ops Departments'!S72-1</f>
        <v>-0.05030429366</v>
      </c>
      <c r="N69" s="19">
        <f>'Ops Departments'!U72/'Ops Departments'!T72-1</f>
        <v>-0.3344812652</v>
      </c>
      <c r="O69" s="19">
        <f>'Ops Departments'!V72/'Ops Departments'!U72-1</f>
        <v>0.2107750532</v>
      </c>
      <c r="P69" s="19">
        <f>'Ops Departments'!W72/'Ops Departments'!V72-1</f>
        <v>0.3550693252</v>
      </c>
      <c r="Q69" s="19">
        <f>'Ops Departments'!X72/'Ops Departments'!W72-1</f>
        <v>-0.257409233</v>
      </c>
      <c r="R69" s="19">
        <f>'Ops Departments'!Y72/'Ops Departments'!X72-1</f>
        <v>0.3397136382</v>
      </c>
      <c r="S69" s="19">
        <f>'Ops Departments'!Z72/'Ops Departments'!Y72-1</f>
        <v>-0.1971386656</v>
      </c>
      <c r="T69" s="19">
        <f>'Ops Departments'!AA72/'Ops Departments'!Z72-1</f>
        <v>0.3307377346</v>
      </c>
      <c r="U69" s="19">
        <f>'Ops Departments'!AB72/'Ops Departments'!AA72-1</f>
        <v>0.2705546489</v>
      </c>
      <c r="V69" s="19">
        <f>'Ops Departments'!AC72/'Ops Departments'!AB72-1</f>
        <v>0.2125807362</v>
      </c>
      <c r="W69" s="19">
        <f>'Ops Departments'!AD72/'Ops Departments'!AC72-1</f>
        <v>0.1613451603</v>
      </c>
      <c r="X69" s="19">
        <f>'Ops Departments'!AE72/'Ops Departments'!AD72-1</f>
        <v>0.1290260971</v>
      </c>
      <c r="Y69" s="19">
        <f>'Ops Departments'!AF72/'Ops Departments'!AE72-1</f>
        <v>0.1098147187</v>
      </c>
      <c r="Z69" s="19">
        <f>'Ops Departments'!AG72/'Ops Departments'!AF72-1</f>
        <v>0.09756525199</v>
      </c>
      <c r="AA69" s="19">
        <f>'Ops Departments'!AH72/'Ops Departments'!AG72-1</f>
        <v>0.08654552831</v>
      </c>
      <c r="AB69" s="19">
        <f>'Ops Departments'!AI72/'Ops Departments'!AH72-1</f>
        <v>0.08267490903</v>
      </c>
      <c r="AC69" s="19"/>
      <c r="AD69" s="11" t="s">
        <v>62</v>
      </c>
      <c r="AE69" s="19">
        <f>AN67/AM67-1</f>
        <v>0.1028981262</v>
      </c>
      <c r="AF69" s="19">
        <f>AF67/AE67-1</f>
        <v>0.9552114647</v>
      </c>
      <c r="AG69" s="12"/>
      <c r="AH69" s="19"/>
      <c r="AI69" s="11"/>
      <c r="AJ69" s="11"/>
      <c r="AK69" s="11"/>
      <c r="AL69" s="19">
        <f t="shared" si="109"/>
        <v>-0.1756022583</v>
      </c>
      <c r="AM69" s="19">
        <f t="shared" ref="AM69:AQ69" si="116">AM67/AL67-1</f>
        <v>0.007523722673</v>
      </c>
      <c r="AN69" s="19">
        <f t="shared" si="116"/>
        <v>0.1028981262</v>
      </c>
      <c r="AO69" s="19">
        <f t="shared" si="116"/>
        <v>0.9552114647</v>
      </c>
      <c r="AP69" s="19">
        <f t="shared" si="116"/>
        <v>0.5513643651</v>
      </c>
      <c r="AQ69" s="19">
        <f t="shared" si="116"/>
        <v>0.3127153569</v>
      </c>
      <c r="AR69" s="11"/>
      <c r="AS69" s="11"/>
      <c r="AT69" s="11"/>
      <c r="AU69" s="11"/>
      <c r="AV69" s="11"/>
      <c r="AW69" s="11"/>
      <c r="AX69" s="11"/>
      <c r="AY69" s="11"/>
      <c r="AZ69" s="11"/>
      <c r="BA69" s="11"/>
      <c r="BB69" s="11"/>
      <c r="BC69" s="11"/>
      <c r="BD69" s="11"/>
      <c r="BE69" s="11"/>
      <c r="BF69" s="11"/>
      <c r="BG69" s="11"/>
      <c r="BH69" s="11"/>
      <c r="BI69" s="11"/>
      <c r="BJ69" s="11"/>
      <c r="BK69" s="11"/>
    </row>
    <row r="70" ht="15.75" customHeight="1">
      <c r="A70" s="11"/>
      <c r="B70" s="11"/>
      <c r="C70" s="11"/>
      <c r="D70" s="11"/>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11"/>
      <c r="AE70" s="20"/>
      <c r="AF70" s="20"/>
      <c r="AG70" s="12"/>
      <c r="AH70" s="19"/>
      <c r="AI70" s="11"/>
      <c r="AJ70" s="20"/>
      <c r="AK70" s="20"/>
      <c r="AL70" s="20"/>
      <c r="AM70" s="20"/>
      <c r="AN70" s="20"/>
      <c r="AO70" s="20"/>
      <c r="AP70" s="20"/>
      <c r="AQ70" s="20"/>
      <c r="AR70" s="11"/>
      <c r="AS70" s="11"/>
      <c r="AT70" s="11"/>
      <c r="AU70" s="11"/>
      <c r="AV70" s="11"/>
      <c r="AW70" s="11"/>
      <c r="AX70" s="11"/>
      <c r="AY70" s="11"/>
      <c r="AZ70" s="11"/>
      <c r="BA70" s="11"/>
      <c r="BB70" s="11"/>
      <c r="BC70" s="11"/>
      <c r="BD70" s="11"/>
      <c r="BE70" s="11"/>
      <c r="BF70" s="11"/>
      <c r="BG70" s="11"/>
      <c r="BH70" s="11"/>
      <c r="BI70" s="11"/>
      <c r="BJ70" s="11"/>
      <c r="BK70" s="11"/>
    </row>
    <row r="71" ht="15.75" customHeight="1">
      <c r="A71" s="11" t="s">
        <v>87</v>
      </c>
      <c r="B71" s="11" t="s">
        <v>63</v>
      </c>
      <c r="C71" s="11"/>
      <c r="D71" s="11" t="s">
        <v>64</v>
      </c>
      <c r="E71" s="24">
        <f>SUMIFS('Ops Departments'!P:P,'Ops Departments'!$B:$B,$B71,'Ops Departments'!$A:$A,$A71)</f>
        <v>14255</v>
      </c>
      <c r="F71" s="24">
        <f>SUMIFS('Ops Departments'!Q:Q,'Ops Departments'!$B:$B,$B71,'Ops Departments'!$A:$A,$A71)</f>
        <v>22928</v>
      </c>
      <c r="G71" s="24">
        <f>SUMIFS('Ops Departments'!R:R,'Ops Departments'!$B:$B,$B71,'Ops Departments'!$A:$A,$A71)</f>
        <v>17298</v>
      </c>
      <c r="H71" s="24">
        <f>SUMIFS('Ops Departments'!S:S,'Ops Departments'!$B:$B,$B71,'Ops Departments'!$A:$A,$A71)</f>
        <v>17539</v>
      </c>
      <c r="I71" s="24">
        <f>SUMIFS('Ops Departments'!T:T,'Ops Departments'!$B:$B,$B71,'Ops Departments'!$A:$A,$A71)</f>
        <v>32003</v>
      </c>
      <c r="J71" s="24">
        <f>SUMIFS('Ops Departments'!U:U,'Ops Departments'!$B:$B,$B71,'Ops Departments'!$A:$A,$A71)</f>
        <v>20370</v>
      </c>
      <c r="K71" s="24">
        <f>SUMIFS('Ops Departments'!V:V,'Ops Departments'!$B:$B,$B71,'Ops Departments'!$A:$A,$A71)</f>
        <v>21291</v>
      </c>
      <c r="L71" s="24">
        <f>SUMIFS('Ops Departments'!W:W,'Ops Departments'!$B:$B,$B71,'Ops Departments'!$A:$A,$A71)</f>
        <v>19140</v>
      </c>
      <c r="M71" s="24">
        <f>SUMIFS('Ops Departments'!X:X,'Ops Departments'!$B:$B,$B71,'Ops Departments'!$A:$A,$A71)</f>
        <v>16593</v>
      </c>
      <c r="N71" s="24">
        <f>SUMIFS('Ops Departments'!Y:Y,'Ops Departments'!$B:$B,$B71,'Ops Departments'!$A:$A,$A71)</f>
        <v>20721</v>
      </c>
      <c r="O71" s="24">
        <f>SUMIFS('Ops Departments'!Z:Z,'Ops Departments'!$B:$B,$B71,'Ops Departments'!$A:$A,$A71)</f>
        <v>24104</v>
      </c>
      <c r="P71" s="24">
        <f>SUMIFS('Ops Departments'!AA:AA,'Ops Departments'!$B:$B,$B71,'Ops Departments'!$A:$A,$A71)</f>
        <v>18965.61866</v>
      </c>
      <c r="Q71" s="24">
        <f>SUMIFS('Ops Departments'!AB:AB,'Ops Departments'!$B:$B,$B71,'Ops Departments'!$A:$A,$A71)</f>
        <v>32548.67097</v>
      </c>
      <c r="R71" s="24">
        <f>SUMIFS('Ops Departments'!AC:AC,'Ops Departments'!$B:$B,$B71,'Ops Departments'!$A:$A,$A71)</f>
        <v>32611.92726</v>
      </c>
      <c r="S71" s="24">
        <f>SUMIFS('Ops Departments'!AD:AD,'Ops Departments'!$B:$B,$B71,'Ops Departments'!$A:$A,$A71)</f>
        <v>32778.44947</v>
      </c>
      <c r="T71" s="24">
        <f>SUMIFS('Ops Departments'!AE:AE,'Ops Departments'!$B:$B,$B71,'Ops Departments'!$A:$A,$A71)</f>
        <v>32955.42289</v>
      </c>
      <c r="U71" s="24">
        <f>SUMIFS('Ops Departments'!AF:AF,'Ops Departments'!$B:$B,$B71,'Ops Departments'!$A:$A,$A71)</f>
        <v>34013.00289</v>
      </c>
      <c r="V71" s="24">
        <f>SUMIFS('Ops Departments'!AG:AG,'Ops Departments'!$B:$B,$B71,'Ops Departments'!$A:$A,$A71)</f>
        <v>34233.19794</v>
      </c>
      <c r="W71" s="24">
        <f>SUMIFS('Ops Departments'!AH:AH,'Ops Departments'!$B:$B,$B71,'Ops Departments'!$A:$A,$A71)</f>
        <v>41042.9129</v>
      </c>
      <c r="X71" s="24">
        <f>SUMIFS('Ops Departments'!AI:AI,'Ops Departments'!$B:$B,$B71,'Ops Departments'!$A:$A,$A71)</f>
        <v>47897.77467</v>
      </c>
      <c r="Y71" s="24">
        <f>SUMIFS('Ops Departments'!AJ:AJ,'Ops Departments'!$B:$B,$B71,'Ops Departments'!$A:$A,$A71)</f>
        <v>56139.51519</v>
      </c>
      <c r="Z71" s="24">
        <f>SUMIFS('Ops Departments'!AK:AK,'Ops Departments'!$B:$B,$B71,'Ops Departments'!$A:$A,$A71)</f>
        <v>62983.29257</v>
      </c>
      <c r="AA71" s="24">
        <f>SUMIFS('Ops Departments'!AL:AL,'Ops Departments'!$B:$B,$B71,'Ops Departments'!$A:$A,$A71)</f>
        <v>69777.07457</v>
      </c>
      <c r="AB71" s="24">
        <f>SUMIFS('Ops Departments'!AM:AM,'Ops Departments'!$B:$B,$B71,'Ops Departments'!$A:$A,$A71)</f>
        <v>76573.19837</v>
      </c>
      <c r="AC71" s="12"/>
      <c r="AD71" s="12" t="str">
        <f t="shared" ref="AD71:AD76" si="117">D71</f>
        <v>Payroll &amp; Related</v>
      </c>
      <c r="AE71" s="12">
        <f t="shared" ref="AE71:AE76" si="118">SUM(M71:P71)</f>
        <v>80383.61866</v>
      </c>
      <c r="AF71" s="12">
        <f t="shared" ref="AF71:AF76" si="119">SUM(Q71:T71)</f>
        <v>130894.4706</v>
      </c>
      <c r="AG71" s="12">
        <f t="shared" ref="AG71:AG76" si="120">AE71-AF71</f>
        <v>-50510.85194</v>
      </c>
      <c r="AH71" s="19">
        <f t="shared" ref="AH71:AH76" si="121">AF71/AE71-1</f>
        <v>0.6283724567</v>
      </c>
      <c r="AI71" s="11"/>
      <c r="AJ71" s="11"/>
      <c r="AK71" s="11"/>
      <c r="AL71" s="12">
        <f t="shared" ref="AL71:AL76" si="122">SUM(E71:H71)</f>
        <v>72020</v>
      </c>
      <c r="AM71" s="12">
        <f t="shared" ref="AM71:AM76" si="123">SUM(I71:L71)</f>
        <v>92804</v>
      </c>
      <c r="AN71" s="12">
        <f t="shared" ref="AN71:AN76" si="124">SUM(M71:P71)</f>
        <v>80383.61866</v>
      </c>
      <c r="AO71" s="12">
        <f t="shared" ref="AO71:AO76" si="125">SUM(Q71:T71)</f>
        <v>130894.4706</v>
      </c>
      <c r="AP71" s="12">
        <f t="shared" ref="AP71:AP76" si="126">SUM(U71:X71)</f>
        <v>157186.8884</v>
      </c>
      <c r="AQ71" s="12">
        <f t="shared" ref="AQ71:AQ76" si="127">SUM(Y71:AB71)</f>
        <v>265473.0807</v>
      </c>
      <c r="AR71" s="11"/>
      <c r="AS71" s="11"/>
      <c r="AT71" s="11"/>
      <c r="AU71" s="11"/>
      <c r="AV71" s="11"/>
      <c r="AW71" s="11"/>
      <c r="AX71" s="11"/>
      <c r="AY71" s="11"/>
      <c r="AZ71" s="11"/>
      <c r="BA71" s="11"/>
      <c r="BB71" s="11"/>
      <c r="BC71" s="11"/>
      <c r="BD71" s="11"/>
      <c r="BE71" s="11"/>
      <c r="BF71" s="11"/>
      <c r="BG71" s="11"/>
      <c r="BH71" s="11"/>
      <c r="BI71" s="11"/>
      <c r="BJ71" s="11"/>
      <c r="BK71" s="11"/>
    </row>
    <row r="72" ht="15.75" customHeight="1">
      <c r="A72" s="11" t="s">
        <v>87</v>
      </c>
      <c r="B72" s="11" t="s">
        <v>65</v>
      </c>
      <c r="C72" s="11"/>
      <c r="D72" s="11" t="s">
        <v>66</v>
      </c>
      <c r="E72" s="24">
        <f>SUMIFS('Ops Departments'!P:P,'Ops Departments'!$B:$B,$B72,'Ops Departments'!$A:$A,$A72)</f>
        <v>2271</v>
      </c>
      <c r="F72" s="24">
        <f>SUMIFS('Ops Departments'!Q:Q,'Ops Departments'!$B:$B,$B72,'Ops Departments'!$A:$A,$A72)</f>
        <v>2497</v>
      </c>
      <c r="G72" s="24">
        <f>SUMIFS('Ops Departments'!R:R,'Ops Departments'!$B:$B,$B72,'Ops Departments'!$A:$A,$A72)</f>
        <v>3354</v>
      </c>
      <c r="H72" s="24">
        <f>SUMIFS('Ops Departments'!S:S,'Ops Departments'!$B:$B,$B72,'Ops Departments'!$A:$A,$A72)</f>
        <v>742</v>
      </c>
      <c r="I72" s="24">
        <f>SUMIFS('Ops Departments'!T:T,'Ops Departments'!$B:$B,$B72,'Ops Departments'!$A:$A,$A72)</f>
        <v>2596</v>
      </c>
      <c r="J72" s="24">
        <f>SUMIFS('Ops Departments'!U:U,'Ops Departments'!$B:$B,$B72,'Ops Departments'!$A:$A,$A72)</f>
        <v>1979</v>
      </c>
      <c r="K72" s="24">
        <f>SUMIFS('Ops Departments'!V:V,'Ops Departments'!$B:$B,$B72,'Ops Departments'!$A:$A,$A72)</f>
        <v>3328</v>
      </c>
      <c r="L72" s="24">
        <f>SUMIFS('Ops Departments'!W:W,'Ops Departments'!$B:$B,$B72,'Ops Departments'!$A:$A,$A72)</f>
        <v>2623</v>
      </c>
      <c r="M72" s="24">
        <f>SUMIFS('Ops Departments'!X:X,'Ops Departments'!$B:$B,$B72,'Ops Departments'!$A:$A,$A72)</f>
        <v>3545</v>
      </c>
      <c r="N72" s="24">
        <f>SUMIFS('Ops Departments'!Y:Y,'Ops Departments'!$B:$B,$B72,'Ops Departments'!$A:$A,$A72)</f>
        <v>2928</v>
      </c>
      <c r="O72" s="24">
        <f>SUMIFS('Ops Departments'!Z:Z,'Ops Departments'!$B:$B,$B72,'Ops Departments'!$A:$A,$A72)</f>
        <v>39</v>
      </c>
      <c r="P72" s="24">
        <f>SUMIFS('Ops Departments'!AA:AA,'Ops Departments'!$B:$B,$B72,'Ops Departments'!$A:$A,$A72)</f>
        <v>552.02195</v>
      </c>
      <c r="Q72" s="24">
        <f>SUMIFS('Ops Departments'!AB:AB,'Ops Departments'!$B:$B,$B72,'Ops Departments'!$A:$A,$A72)</f>
        <v>1402.74811</v>
      </c>
      <c r="R72" s="24">
        <f>SUMIFS('Ops Departments'!AC:AC,'Ops Departments'!$B:$B,$B72,'Ops Departments'!$A:$A,$A72)</f>
        <v>1700.945336</v>
      </c>
      <c r="S72" s="24">
        <f>SUMIFS('Ops Departments'!AD:AD,'Ops Departments'!$B:$B,$B72,'Ops Departments'!$A:$A,$A72)</f>
        <v>1975.384633</v>
      </c>
      <c r="T72" s="24">
        <f>SUMIFS('Ops Departments'!AE:AE,'Ops Departments'!$B:$B,$B72,'Ops Departments'!$A:$A,$A72)</f>
        <v>2230.260803</v>
      </c>
      <c r="U72" s="24">
        <f>SUMIFS('Ops Departments'!AF:AF,'Ops Departments'!$B:$B,$B72,'Ops Departments'!$A:$A,$A72)</f>
        <v>2475.176266</v>
      </c>
      <c r="V72" s="24">
        <f>SUMIFS('Ops Departments'!AG:AG,'Ops Departments'!$B:$B,$B72,'Ops Departments'!$A:$A,$A72)</f>
        <v>2716.667462</v>
      </c>
      <c r="W72" s="24">
        <f>SUMIFS('Ops Departments'!AH:AH,'Ops Departments'!$B:$B,$B72,'Ops Departments'!$A:$A,$A72)</f>
        <v>2951.782882</v>
      </c>
      <c r="X72" s="24">
        <f>SUMIFS('Ops Departments'!AI:AI,'Ops Departments'!$B:$B,$B72,'Ops Departments'!$A:$A,$A72)</f>
        <v>3195.821264</v>
      </c>
      <c r="Y72" s="24">
        <f>SUMIFS('Ops Departments'!AJ:AJ,'Ops Departments'!$B:$B,$B72,'Ops Departments'!$A:$A,$A72)</f>
        <v>3428.142091</v>
      </c>
      <c r="Z72" s="24">
        <f>SUMIFS('Ops Departments'!AK:AK,'Ops Departments'!$B:$B,$B72,'Ops Departments'!$A:$A,$A72)</f>
        <v>3636.894992</v>
      </c>
      <c r="AA72" s="24">
        <f>SUMIFS('Ops Departments'!AL:AL,'Ops Departments'!$B:$B,$B72,'Ops Departments'!$A:$A,$A72)</f>
        <v>3819.187228</v>
      </c>
      <c r="AB72" s="24">
        <f>SUMIFS('Ops Departments'!AM:AM,'Ops Departments'!$B:$B,$B72,'Ops Departments'!$A:$A,$A72)</f>
        <v>4001.243052</v>
      </c>
      <c r="AC72" s="20"/>
      <c r="AD72" s="12" t="str">
        <f t="shared" si="117"/>
        <v>Contractors</v>
      </c>
      <c r="AE72" s="21">
        <f t="shared" si="118"/>
        <v>7064.02195</v>
      </c>
      <c r="AF72" s="21">
        <f t="shared" si="119"/>
        <v>7309.338882</v>
      </c>
      <c r="AG72" s="21">
        <f t="shared" si="120"/>
        <v>-245.3169316</v>
      </c>
      <c r="AH72" s="19">
        <f t="shared" si="121"/>
        <v>0.03472765703</v>
      </c>
      <c r="AI72" s="11"/>
      <c r="AJ72" s="11"/>
      <c r="AK72" s="11"/>
      <c r="AL72" s="21">
        <f t="shared" si="122"/>
        <v>8864</v>
      </c>
      <c r="AM72" s="21">
        <f t="shared" si="123"/>
        <v>10526</v>
      </c>
      <c r="AN72" s="29">
        <f t="shared" si="124"/>
        <v>7064.02195</v>
      </c>
      <c r="AO72" s="21">
        <f t="shared" si="125"/>
        <v>7309.338882</v>
      </c>
      <c r="AP72" s="21">
        <f t="shared" si="126"/>
        <v>11339.44787</v>
      </c>
      <c r="AQ72" s="29">
        <f t="shared" si="127"/>
        <v>14885.46736</v>
      </c>
      <c r="AR72" s="11"/>
      <c r="AS72" s="11"/>
      <c r="AT72" s="11"/>
      <c r="AU72" s="11"/>
      <c r="AV72" s="11"/>
      <c r="AW72" s="11"/>
      <c r="AX72" s="11"/>
      <c r="AY72" s="11"/>
      <c r="AZ72" s="11"/>
      <c r="BA72" s="11"/>
      <c r="BB72" s="11"/>
      <c r="BC72" s="11"/>
      <c r="BD72" s="11"/>
      <c r="BE72" s="11"/>
      <c r="BF72" s="11"/>
      <c r="BG72" s="11"/>
      <c r="BH72" s="11"/>
      <c r="BI72" s="11"/>
      <c r="BJ72" s="11"/>
      <c r="BK72" s="11"/>
    </row>
    <row r="73" ht="15.75" customHeight="1">
      <c r="A73" s="11" t="s">
        <v>87</v>
      </c>
      <c r="B73" s="11" t="s">
        <v>67</v>
      </c>
      <c r="C73" s="11"/>
      <c r="D73" s="11" t="s">
        <v>68</v>
      </c>
      <c r="E73" s="24">
        <f>SUMIFS('Ops Departments'!P:P,'Ops Departments'!$B:$B,$B73,'Ops Departments'!$A:$A,$A73)</f>
        <v>9121</v>
      </c>
      <c r="F73" s="24">
        <f>SUMIFS('Ops Departments'!Q:Q,'Ops Departments'!$B:$B,$B73,'Ops Departments'!$A:$A,$A73)</f>
        <v>6590</v>
      </c>
      <c r="G73" s="24">
        <f>SUMIFS('Ops Departments'!R:R,'Ops Departments'!$B:$B,$B73,'Ops Departments'!$A:$A,$A73)</f>
        <v>6604</v>
      </c>
      <c r="H73" s="24">
        <f>SUMIFS('Ops Departments'!S:S,'Ops Departments'!$B:$B,$B73,'Ops Departments'!$A:$A,$A73)</f>
        <v>7890</v>
      </c>
      <c r="I73" s="24">
        <f>SUMIFS('Ops Departments'!T:T,'Ops Departments'!$B:$B,$B73,'Ops Departments'!$A:$A,$A73)</f>
        <v>8919</v>
      </c>
      <c r="J73" s="24">
        <f>SUMIFS('Ops Departments'!U:U,'Ops Departments'!$B:$B,$B73,'Ops Departments'!$A:$A,$A73)</f>
        <v>6888</v>
      </c>
      <c r="K73" s="24">
        <f>SUMIFS('Ops Departments'!V:V,'Ops Departments'!$B:$B,$B73,'Ops Departments'!$A:$A,$A73)</f>
        <v>8680</v>
      </c>
      <c r="L73" s="24">
        <f>SUMIFS('Ops Departments'!W:W,'Ops Departments'!$B:$B,$B73,'Ops Departments'!$A:$A,$A73)</f>
        <v>5718</v>
      </c>
      <c r="M73" s="24">
        <f>SUMIFS('Ops Departments'!X:X,'Ops Departments'!$B:$B,$B73,'Ops Departments'!$A:$A,$A73)</f>
        <v>9567</v>
      </c>
      <c r="N73" s="24">
        <f>SUMIFS('Ops Departments'!Y:Y,'Ops Departments'!$B:$B,$B73,'Ops Departments'!$A:$A,$A73)</f>
        <v>6548</v>
      </c>
      <c r="O73" s="24">
        <f>SUMIFS('Ops Departments'!Z:Z,'Ops Departments'!$B:$B,$B73,'Ops Departments'!$A:$A,$A73)</f>
        <v>8268</v>
      </c>
      <c r="P73" s="24">
        <f>SUMIFS('Ops Departments'!AA:AA,'Ops Departments'!$B:$B,$B73,'Ops Departments'!$A:$A,$A73)</f>
        <v>1254.8028</v>
      </c>
      <c r="Q73" s="24">
        <f>SUMIFS('Ops Departments'!AB:AB,'Ops Departments'!$B:$B,$B73,'Ops Departments'!$A:$A,$A73)</f>
        <v>1380.28308</v>
      </c>
      <c r="R73" s="24">
        <f>SUMIFS('Ops Departments'!AC:AC,'Ops Departments'!$B:$B,$B73,'Ops Departments'!$A:$A,$A73)</f>
        <v>1394.085911</v>
      </c>
      <c r="S73" s="24">
        <f>SUMIFS('Ops Departments'!AD:AD,'Ops Departments'!$B:$B,$B73,'Ops Departments'!$A:$A,$A73)</f>
        <v>1408.02677</v>
      </c>
      <c r="T73" s="24">
        <f>SUMIFS('Ops Departments'!AE:AE,'Ops Departments'!$B:$B,$B73,'Ops Departments'!$A:$A,$A73)</f>
        <v>1422.107038</v>
      </c>
      <c r="U73" s="24">
        <f>SUMIFS('Ops Departments'!AF:AF,'Ops Departments'!$B:$B,$B73,'Ops Departments'!$A:$A,$A73)</f>
        <v>1436.328108</v>
      </c>
      <c r="V73" s="24">
        <f>SUMIFS('Ops Departments'!AG:AG,'Ops Departments'!$B:$B,$B73,'Ops Departments'!$A:$A,$A73)</f>
        <v>1450.691389</v>
      </c>
      <c r="W73" s="24">
        <f>SUMIFS('Ops Departments'!AH:AH,'Ops Departments'!$B:$B,$B73,'Ops Departments'!$A:$A,$A73)</f>
        <v>1465.198303</v>
      </c>
      <c r="X73" s="24">
        <f>SUMIFS('Ops Departments'!AI:AI,'Ops Departments'!$B:$B,$B73,'Ops Departments'!$A:$A,$A73)</f>
        <v>1479.850286</v>
      </c>
      <c r="Y73" s="24">
        <f>SUMIFS('Ops Departments'!AJ:AJ,'Ops Departments'!$B:$B,$B73,'Ops Departments'!$A:$A,$A73)</f>
        <v>1494.648789</v>
      </c>
      <c r="Z73" s="24">
        <f>SUMIFS('Ops Departments'!AK:AK,'Ops Departments'!$B:$B,$B73,'Ops Departments'!$A:$A,$A73)</f>
        <v>1509.595277</v>
      </c>
      <c r="AA73" s="24">
        <f>SUMIFS('Ops Departments'!AL:AL,'Ops Departments'!$B:$B,$B73,'Ops Departments'!$A:$A,$A73)</f>
        <v>1524.691229</v>
      </c>
      <c r="AB73" s="24">
        <f>SUMIFS('Ops Departments'!AM:AM,'Ops Departments'!$B:$B,$B73,'Ops Departments'!$A:$A,$A73)</f>
        <v>1539.938142</v>
      </c>
      <c r="AC73" s="20"/>
      <c r="AD73" s="12" t="str">
        <f t="shared" si="117"/>
        <v>T&amp;E</v>
      </c>
      <c r="AE73" s="21">
        <f t="shared" si="118"/>
        <v>25637.8028</v>
      </c>
      <c r="AF73" s="21">
        <f t="shared" si="119"/>
        <v>5604.502798</v>
      </c>
      <c r="AG73" s="21">
        <f t="shared" si="120"/>
        <v>20033.3</v>
      </c>
      <c r="AH73" s="19">
        <f t="shared" si="121"/>
        <v>-0.7813969145</v>
      </c>
      <c r="AI73" s="11"/>
      <c r="AJ73" s="11"/>
      <c r="AK73" s="11"/>
      <c r="AL73" s="21">
        <f t="shared" si="122"/>
        <v>30205</v>
      </c>
      <c r="AM73" s="21">
        <f t="shared" si="123"/>
        <v>30205</v>
      </c>
      <c r="AN73" s="29">
        <f t="shared" si="124"/>
        <v>25637.8028</v>
      </c>
      <c r="AO73" s="21">
        <f t="shared" si="125"/>
        <v>5604.502798</v>
      </c>
      <c r="AP73" s="21">
        <f t="shared" si="126"/>
        <v>5832.068086</v>
      </c>
      <c r="AQ73" s="29">
        <f t="shared" si="127"/>
        <v>6068.873437</v>
      </c>
      <c r="AR73" s="11"/>
      <c r="AS73" s="11"/>
      <c r="AT73" s="11"/>
      <c r="AU73" s="11"/>
      <c r="AV73" s="11"/>
      <c r="AW73" s="11"/>
      <c r="AX73" s="11"/>
      <c r="AY73" s="11"/>
      <c r="AZ73" s="11"/>
      <c r="BA73" s="11"/>
      <c r="BB73" s="11"/>
      <c r="BC73" s="11"/>
      <c r="BD73" s="11"/>
      <c r="BE73" s="11"/>
      <c r="BF73" s="11"/>
      <c r="BG73" s="11"/>
      <c r="BH73" s="11"/>
      <c r="BI73" s="11"/>
      <c r="BJ73" s="11"/>
      <c r="BK73" s="11"/>
    </row>
    <row r="74" ht="15.75" customHeight="1">
      <c r="A74" s="11" t="s">
        <v>87</v>
      </c>
      <c r="B74" s="11" t="s">
        <v>69</v>
      </c>
      <c r="C74" s="11"/>
      <c r="D74" s="11" t="s">
        <v>70</v>
      </c>
      <c r="E74" s="24">
        <f>SUMIFS('Ops Departments'!P:P,'Ops Departments'!$B:$B,$B74,'Ops Departments'!$A:$A,$A74)</f>
        <v>2693</v>
      </c>
      <c r="F74" s="24">
        <f>SUMIFS('Ops Departments'!Q:Q,'Ops Departments'!$B:$B,$B74,'Ops Departments'!$A:$A,$A74)</f>
        <v>11</v>
      </c>
      <c r="G74" s="24">
        <f>SUMIFS('Ops Departments'!R:R,'Ops Departments'!$B:$B,$B74,'Ops Departments'!$A:$A,$A74)</f>
        <v>1539</v>
      </c>
      <c r="H74" s="24">
        <f>SUMIFS('Ops Departments'!S:S,'Ops Departments'!$B:$B,$B74,'Ops Departments'!$A:$A,$A74)</f>
        <v>1852</v>
      </c>
      <c r="I74" s="24">
        <f>SUMIFS('Ops Departments'!T:T,'Ops Departments'!$B:$B,$B74,'Ops Departments'!$A:$A,$A74)</f>
        <v>496</v>
      </c>
      <c r="J74" s="24">
        <f>SUMIFS('Ops Departments'!U:U,'Ops Departments'!$B:$B,$B74,'Ops Departments'!$A:$A,$A74)</f>
        <v>4435</v>
      </c>
      <c r="K74" s="24">
        <f>SUMIFS('Ops Departments'!V:V,'Ops Departments'!$B:$B,$B74,'Ops Departments'!$A:$A,$A74)</f>
        <v>453</v>
      </c>
      <c r="L74" s="24">
        <f>SUMIFS('Ops Departments'!W:W,'Ops Departments'!$B:$B,$B74,'Ops Departments'!$A:$A,$A74)</f>
        <v>1619</v>
      </c>
      <c r="M74" s="24">
        <f>SUMIFS('Ops Departments'!X:X,'Ops Departments'!$B:$B,$B74,'Ops Departments'!$A:$A,$A74)</f>
        <v>3113</v>
      </c>
      <c r="N74" s="24">
        <f>SUMIFS('Ops Departments'!Y:Y,'Ops Departments'!$B:$B,$B74,'Ops Departments'!$A:$A,$A74)</f>
        <v>4020</v>
      </c>
      <c r="O74" s="24">
        <f>SUMIFS('Ops Departments'!Z:Z,'Ops Departments'!$B:$B,$B74,'Ops Departments'!$A:$A,$A74)</f>
        <v>2914</v>
      </c>
      <c r="P74" s="24">
        <f>SUMIFS('Ops Departments'!AA:AA,'Ops Departments'!$B:$B,$B74,'Ops Departments'!$A:$A,$A74)</f>
        <v>199.536</v>
      </c>
      <c r="Q74" s="24">
        <f>SUMIFS('Ops Departments'!AB:AB,'Ops Departments'!$B:$B,$B74,'Ops Departments'!$A:$A,$A74)</f>
        <v>439.536</v>
      </c>
      <c r="R74" s="24">
        <f>SUMIFS('Ops Departments'!AC:AC,'Ops Departments'!$B:$B,$B74,'Ops Departments'!$A:$A,$A74)</f>
        <v>439.536</v>
      </c>
      <c r="S74" s="24">
        <f>SUMIFS('Ops Departments'!AD:AD,'Ops Departments'!$B:$B,$B74,'Ops Departments'!$A:$A,$A74)</f>
        <v>439.536</v>
      </c>
      <c r="T74" s="24">
        <f>SUMIFS('Ops Departments'!AE:AE,'Ops Departments'!$B:$B,$B74,'Ops Departments'!$A:$A,$A74)</f>
        <v>439.536</v>
      </c>
      <c r="U74" s="24">
        <f>SUMIFS('Ops Departments'!AF:AF,'Ops Departments'!$B:$B,$B74,'Ops Departments'!$A:$A,$A74)</f>
        <v>679.536</v>
      </c>
      <c r="V74" s="24">
        <f>SUMIFS('Ops Departments'!AG:AG,'Ops Departments'!$B:$B,$B74,'Ops Departments'!$A:$A,$A74)</f>
        <v>679.536</v>
      </c>
      <c r="W74" s="24">
        <f>SUMIFS('Ops Departments'!AH:AH,'Ops Departments'!$B:$B,$B74,'Ops Departments'!$A:$A,$A74)</f>
        <v>679.536</v>
      </c>
      <c r="X74" s="24">
        <f>SUMIFS('Ops Departments'!AI:AI,'Ops Departments'!$B:$B,$B74,'Ops Departments'!$A:$A,$A74)</f>
        <v>679.536</v>
      </c>
      <c r="Y74" s="24">
        <f>SUMIFS('Ops Departments'!AJ:AJ,'Ops Departments'!$B:$B,$B74,'Ops Departments'!$A:$A,$A74)</f>
        <v>919.536</v>
      </c>
      <c r="Z74" s="24">
        <f>SUMIFS('Ops Departments'!AK:AK,'Ops Departments'!$B:$B,$B74,'Ops Departments'!$A:$A,$A74)</f>
        <v>919.536</v>
      </c>
      <c r="AA74" s="24">
        <f>SUMIFS('Ops Departments'!AL:AL,'Ops Departments'!$B:$B,$B74,'Ops Departments'!$A:$A,$A74)</f>
        <v>919.536</v>
      </c>
      <c r="AB74" s="24">
        <f>SUMIFS('Ops Departments'!AM:AM,'Ops Departments'!$B:$B,$B74,'Ops Departments'!$A:$A,$A74)</f>
        <v>919.536</v>
      </c>
      <c r="AC74" s="20"/>
      <c r="AD74" s="12" t="str">
        <f t="shared" si="117"/>
        <v>Software</v>
      </c>
      <c r="AE74" s="21">
        <f t="shared" si="118"/>
        <v>10246.536</v>
      </c>
      <c r="AF74" s="21">
        <f t="shared" si="119"/>
        <v>1758.144</v>
      </c>
      <c r="AG74" s="21">
        <f t="shared" si="120"/>
        <v>8488.392</v>
      </c>
      <c r="AH74" s="19">
        <f t="shared" si="121"/>
        <v>-0.828415769</v>
      </c>
      <c r="AI74" s="11"/>
      <c r="AJ74" s="11"/>
      <c r="AK74" s="11"/>
      <c r="AL74" s="21">
        <f t="shared" si="122"/>
        <v>6095</v>
      </c>
      <c r="AM74" s="21">
        <f t="shared" si="123"/>
        <v>7003</v>
      </c>
      <c r="AN74" s="29">
        <f t="shared" si="124"/>
        <v>10246.536</v>
      </c>
      <c r="AO74" s="21">
        <f t="shared" si="125"/>
        <v>1758.144</v>
      </c>
      <c r="AP74" s="21">
        <f t="shared" si="126"/>
        <v>2718.144</v>
      </c>
      <c r="AQ74" s="29">
        <f t="shared" si="127"/>
        <v>3678.144</v>
      </c>
      <c r="AR74" s="11"/>
      <c r="AS74" s="11"/>
      <c r="AT74" s="11"/>
      <c r="AU74" s="11"/>
      <c r="AV74" s="11"/>
      <c r="AW74" s="11"/>
      <c r="AX74" s="11"/>
      <c r="AY74" s="11"/>
      <c r="AZ74" s="11"/>
      <c r="BA74" s="11"/>
      <c r="BB74" s="11"/>
      <c r="BC74" s="11"/>
      <c r="BD74" s="11"/>
      <c r="BE74" s="11"/>
      <c r="BF74" s="11"/>
      <c r="BG74" s="11"/>
      <c r="BH74" s="11"/>
      <c r="BI74" s="11"/>
      <c r="BJ74" s="11"/>
      <c r="BK74" s="11"/>
    </row>
    <row r="75" ht="15.75" customHeight="1">
      <c r="A75" s="11" t="s">
        <v>87</v>
      </c>
      <c r="B75" s="11" t="s">
        <v>71</v>
      </c>
      <c r="C75" s="11"/>
      <c r="D75" s="11" t="s">
        <v>72</v>
      </c>
      <c r="E75" s="24">
        <f>SUMIFS('Ops Departments'!P:P,'Ops Departments'!$B:$B,$B75,'Ops Departments'!$A:$A,$A75)</f>
        <v>0</v>
      </c>
      <c r="F75" s="24">
        <f>SUMIFS('Ops Departments'!Q:Q,'Ops Departments'!$B:$B,$B75,'Ops Departments'!$A:$A,$A75)</f>
        <v>0</v>
      </c>
      <c r="G75" s="24">
        <f>SUMIFS('Ops Departments'!R:R,'Ops Departments'!$B:$B,$B75,'Ops Departments'!$A:$A,$A75)</f>
        <v>0</v>
      </c>
      <c r="H75" s="24">
        <f>SUMIFS('Ops Departments'!S:S,'Ops Departments'!$B:$B,$B75,'Ops Departments'!$A:$A,$A75)</f>
        <v>0</v>
      </c>
      <c r="I75" s="24">
        <f>SUMIFS('Ops Departments'!T:T,'Ops Departments'!$B:$B,$B75,'Ops Departments'!$A:$A,$A75)</f>
        <v>0</v>
      </c>
      <c r="J75" s="24">
        <f>SUMIFS('Ops Departments'!U:U,'Ops Departments'!$B:$B,$B75,'Ops Departments'!$A:$A,$A75)</f>
        <v>0</v>
      </c>
      <c r="K75" s="24">
        <f>SUMIFS('Ops Departments'!V:V,'Ops Departments'!$B:$B,$B75,'Ops Departments'!$A:$A,$A75)</f>
        <v>0</v>
      </c>
      <c r="L75" s="24">
        <f>SUMIFS('Ops Departments'!W:W,'Ops Departments'!$B:$B,$B75,'Ops Departments'!$A:$A,$A75)</f>
        <v>0</v>
      </c>
      <c r="M75" s="24">
        <f>SUMIFS('Ops Departments'!X:X,'Ops Departments'!$B:$B,$B75,'Ops Departments'!$A:$A,$A75)</f>
        <v>0</v>
      </c>
      <c r="N75" s="24">
        <f>SUMIFS('Ops Departments'!Y:Y,'Ops Departments'!$B:$B,$B75,'Ops Departments'!$A:$A,$A75)</f>
        <v>0</v>
      </c>
      <c r="O75" s="24">
        <f>SUMIFS('Ops Departments'!Z:Z,'Ops Departments'!$B:$B,$B75,'Ops Departments'!$A:$A,$A75)</f>
        <v>0</v>
      </c>
      <c r="P75" s="24">
        <f>SUMIFS('Ops Departments'!AA:AA,'Ops Departments'!$B:$B,$B75,'Ops Departments'!$A:$A,$A75)</f>
        <v>35687.82472</v>
      </c>
      <c r="Q75" s="24">
        <f>SUMIFS('Ops Departments'!AB:AB,'Ops Departments'!$B:$B,$B75,'Ops Departments'!$A:$A,$A75)</f>
        <v>43401.3692</v>
      </c>
      <c r="R75" s="24">
        <f>SUMIFS('Ops Departments'!AC:AC,'Ops Departments'!$B:$B,$B75,'Ops Departments'!$A:$A,$A75)</f>
        <v>44574.97504</v>
      </c>
      <c r="S75" s="24">
        <f>SUMIFS('Ops Departments'!AD:AD,'Ops Departments'!$B:$B,$B75,'Ops Departments'!$A:$A,$A75)</f>
        <v>44935.44135</v>
      </c>
      <c r="T75" s="24">
        <f>SUMIFS('Ops Departments'!AE:AE,'Ops Departments'!$B:$B,$B75,'Ops Departments'!$A:$A,$A75)</f>
        <v>48220.29037</v>
      </c>
      <c r="U75" s="24">
        <f>SUMIFS('Ops Departments'!AF:AF,'Ops Departments'!$B:$B,$B75,'Ops Departments'!$A:$A,$A75)</f>
        <v>53492.98463</v>
      </c>
      <c r="V75" s="24">
        <f>SUMIFS('Ops Departments'!AG:AG,'Ops Departments'!$B:$B,$B75,'Ops Departments'!$A:$A,$A75)</f>
        <v>52831.4778</v>
      </c>
      <c r="W75" s="24">
        <f>SUMIFS('Ops Departments'!AH:AH,'Ops Departments'!$B:$B,$B75,'Ops Departments'!$A:$A,$A75)</f>
        <v>51842.67461</v>
      </c>
      <c r="X75" s="24">
        <f>SUMIFS('Ops Departments'!AI:AI,'Ops Departments'!$B:$B,$B75,'Ops Departments'!$A:$A,$A75)</f>
        <v>56175.393</v>
      </c>
      <c r="Y75" s="24">
        <f>SUMIFS('Ops Departments'!AJ:AJ,'Ops Departments'!$B:$B,$B75,'Ops Departments'!$A:$A,$A75)</f>
        <v>61890.82502</v>
      </c>
      <c r="Z75" s="24">
        <f>SUMIFS('Ops Departments'!AK:AK,'Ops Departments'!$B:$B,$B75,'Ops Departments'!$A:$A,$A75)</f>
        <v>65465.25157</v>
      </c>
      <c r="AA75" s="24">
        <f>SUMIFS('Ops Departments'!AL:AL,'Ops Departments'!$B:$B,$B75,'Ops Departments'!$A:$A,$A75)</f>
        <v>63806.26154</v>
      </c>
      <c r="AB75" s="24">
        <f>SUMIFS('Ops Departments'!AM:AM,'Ops Departments'!$B:$B,$B75,'Ops Departments'!$A:$A,$A75)</f>
        <v>66860.96646</v>
      </c>
      <c r="AC75" s="20"/>
      <c r="AD75" s="11" t="str">
        <f t="shared" si="117"/>
        <v>Other</v>
      </c>
      <c r="AE75" s="30">
        <f t="shared" si="118"/>
        <v>35687.82472</v>
      </c>
      <c r="AF75" s="21">
        <f t="shared" si="119"/>
        <v>181132.076</v>
      </c>
      <c r="AG75" s="30">
        <f t="shared" si="120"/>
        <v>-145444.2513</v>
      </c>
      <c r="AH75" s="31">
        <f t="shared" si="121"/>
        <v>4.075458574</v>
      </c>
      <c r="AI75" s="11"/>
      <c r="AJ75" s="11"/>
      <c r="AK75" s="11"/>
      <c r="AL75" s="30">
        <f t="shared" si="122"/>
        <v>0</v>
      </c>
      <c r="AM75" s="21">
        <f t="shared" si="123"/>
        <v>0</v>
      </c>
      <c r="AN75" s="32">
        <f t="shared" si="124"/>
        <v>35687.82472</v>
      </c>
      <c r="AO75" s="30">
        <f t="shared" si="125"/>
        <v>181132.076</v>
      </c>
      <c r="AP75" s="21">
        <f t="shared" si="126"/>
        <v>214342.53</v>
      </c>
      <c r="AQ75" s="32">
        <f t="shared" si="127"/>
        <v>258023.3046</v>
      </c>
      <c r="AR75" s="11"/>
      <c r="AS75" s="11"/>
      <c r="AT75" s="11"/>
      <c r="AU75" s="11"/>
      <c r="AV75" s="11"/>
      <c r="AW75" s="11"/>
      <c r="AX75" s="11"/>
      <c r="AY75" s="11"/>
      <c r="AZ75" s="11"/>
      <c r="BA75" s="11"/>
      <c r="BB75" s="11"/>
      <c r="BC75" s="11"/>
      <c r="BD75" s="11"/>
      <c r="BE75" s="11"/>
      <c r="BF75" s="11"/>
      <c r="BG75" s="11"/>
      <c r="BH75" s="11"/>
      <c r="BI75" s="11"/>
      <c r="BJ75" s="11"/>
      <c r="BK75" s="11"/>
    </row>
    <row r="76" ht="15.75" customHeight="1">
      <c r="A76" s="11"/>
      <c r="B76" s="11"/>
      <c r="C76" s="11"/>
      <c r="D76" s="33" t="s">
        <v>73</v>
      </c>
      <c r="E76" s="34">
        <f t="shared" ref="E76:AB76" si="128">SUM(E71:E75)</f>
        <v>28340</v>
      </c>
      <c r="F76" s="34">
        <f t="shared" si="128"/>
        <v>32026</v>
      </c>
      <c r="G76" s="34">
        <f t="shared" si="128"/>
        <v>28795</v>
      </c>
      <c r="H76" s="34">
        <f t="shared" si="128"/>
        <v>28023</v>
      </c>
      <c r="I76" s="34">
        <f t="shared" si="128"/>
        <v>44014</v>
      </c>
      <c r="J76" s="34">
        <f t="shared" si="128"/>
        <v>33672</v>
      </c>
      <c r="K76" s="34">
        <f t="shared" si="128"/>
        <v>33752</v>
      </c>
      <c r="L76" s="34">
        <f t="shared" si="128"/>
        <v>29100</v>
      </c>
      <c r="M76" s="34">
        <f t="shared" si="128"/>
        <v>32818</v>
      </c>
      <c r="N76" s="34">
        <f t="shared" si="128"/>
        <v>34217</v>
      </c>
      <c r="O76" s="34">
        <f t="shared" si="128"/>
        <v>35325</v>
      </c>
      <c r="P76" s="34">
        <f t="shared" si="128"/>
        <v>56659.80413</v>
      </c>
      <c r="Q76" s="34">
        <f t="shared" si="128"/>
        <v>79172.60737</v>
      </c>
      <c r="R76" s="34">
        <f t="shared" si="128"/>
        <v>80721.46955</v>
      </c>
      <c r="S76" s="34">
        <f t="shared" si="128"/>
        <v>81536.83822</v>
      </c>
      <c r="T76" s="34">
        <f t="shared" si="128"/>
        <v>85267.61711</v>
      </c>
      <c r="U76" s="34">
        <f t="shared" si="128"/>
        <v>92097.02789</v>
      </c>
      <c r="V76" s="34">
        <f t="shared" si="128"/>
        <v>91911.57059</v>
      </c>
      <c r="W76" s="34">
        <f t="shared" si="128"/>
        <v>97982.1047</v>
      </c>
      <c r="X76" s="34">
        <f t="shared" si="128"/>
        <v>109428.3752</v>
      </c>
      <c r="Y76" s="34">
        <f t="shared" si="128"/>
        <v>123872.6671</v>
      </c>
      <c r="Z76" s="34">
        <f t="shared" si="128"/>
        <v>134514.5704</v>
      </c>
      <c r="AA76" s="34">
        <f t="shared" si="128"/>
        <v>139846.7506</v>
      </c>
      <c r="AB76" s="34">
        <f t="shared" si="128"/>
        <v>149894.882</v>
      </c>
      <c r="AC76" s="24"/>
      <c r="AD76" s="33" t="str">
        <f t="shared" si="117"/>
        <v>Total COGS</v>
      </c>
      <c r="AE76" s="12">
        <f t="shared" si="118"/>
        <v>159019.8041</v>
      </c>
      <c r="AF76" s="35">
        <f t="shared" si="119"/>
        <v>326698.5322</v>
      </c>
      <c r="AG76" s="12">
        <f t="shared" si="120"/>
        <v>-167678.7281</v>
      </c>
      <c r="AH76" s="19">
        <f t="shared" si="121"/>
        <v>1.054451859</v>
      </c>
      <c r="AI76" s="11"/>
      <c r="AJ76" s="11"/>
      <c r="AK76" s="11"/>
      <c r="AL76" s="12">
        <f t="shared" si="122"/>
        <v>117184</v>
      </c>
      <c r="AM76" s="35">
        <f t="shared" si="123"/>
        <v>140538</v>
      </c>
      <c r="AN76" s="29">
        <f t="shared" si="124"/>
        <v>159019.8041</v>
      </c>
      <c r="AO76" s="12">
        <f t="shared" si="125"/>
        <v>326698.5322</v>
      </c>
      <c r="AP76" s="35">
        <f t="shared" si="126"/>
        <v>391419.0784</v>
      </c>
      <c r="AQ76" s="29">
        <f t="shared" si="127"/>
        <v>548128.8701</v>
      </c>
      <c r="AR76" s="11"/>
      <c r="AS76" s="11"/>
      <c r="AT76" s="11"/>
      <c r="AU76" s="11"/>
      <c r="AV76" s="11"/>
      <c r="AW76" s="11"/>
      <c r="AX76" s="11"/>
      <c r="AY76" s="11"/>
      <c r="AZ76" s="11"/>
      <c r="BA76" s="11"/>
      <c r="BB76" s="11"/>
      <c r="BC76" s="11"/>
      <c r="BD76" s="11"/>
      <c r="BE76" s="11"/>
      <c r="BF76" s="11"/>
      <c r="BG76" s="11"/>
      <c r="BH76" s="11"/>
      <c r="BI76" s="11"/>
      <c r="BJ76" s="11"/>
      <c r="BK76" s="11"/>
    </row>
    <row r="77" ht="15.75" customHeight="1">
      <c r="A77" s="11"/>
      <c r="B77" s="11"/>
      <c r="C77" s="11"/>
      <c r="D77" s="11"/>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11"/>
      <c r="AE77" s="24"/>
      <c r="AF77" s="24"/>
      <c r="AG77" s="12"/>
      <c r="AH77" s="19"/>
      <c r="AI77" s="11"/>
      <c r="AJ77" s="11"/>
      <c r="AK77" s="11"/>
      <c r="AL77" s="24"/>
      <c r="AM77" s="24"/>
      <c r="AN77" s="24"/>
      <c r="AO77" s="24"/>
      <c r="AP77" s="24"/>
      <c r="AQ77" s="24"/>
      <c r="AR77" s="11"/>
      <c r="AS77" s="11"/>
      <c r="AT77" s="11"/>
      <c r="AU77" s="11"/>
      <c r="AV77" s="11"/>
      <c r="AW77" s="11"/>
      <c r="AX77" s="11"/>
      <c r="AY77" s="11"/>
      <c r="AZ77" s="11"/>
      <c r="BA77" s="11"/>
      <c r="BB77" s="11"/>
      <c r="BC77" s="11"/>
      <c r="BD77" s="11"/>
      <c r="BE77" s="11"/>
      <c r="BF77" s="11"/>
      <c r="BG77" s="11"/>
      <c r="BH77" s="11"/>
      <c r="BI77" s="11"/>
      <c r="BJ77" s="11"/>
      <c r="BK77" s="11"/>
    </row>
    <row r="78" ht="15.75" customHeight="1">
      <c r="A78" s="11"/>
      <c r="B78" s="11"/>
      <c r="C78" s="11"/>
      <c r="D78" s="36" t="str">
        <f>CONCATENATE(B63," Gross Profit")</f>
        <v>Design Gross Profit</v>
      </c>
      <c r="E78" s="37">
        <f t="shared" ref="E78:AB78" si="129">E67-E76</f>
        <v>165498</v>
      </c>
      <c r="F78" s="37">
        <f t="shared" si="129"/>
        <v>161552</v>
      </c>
      <c r="G78" s="37">
        <f t="shared" si="129"/>
        <v>174446</v>
      </c>
      <c r="H78" s="37">
        <f t="shared" si="129"/>
        <v>222393</v>
      </c>
      <c r="I78" s="37">
        <f t="shared" si="129"/>
        <v>193805</v>
      </c>
      <c r="J78" s="37">
        <f t="shared" si="129"/>
        <v>124601</v>
      </c>
      <c r="K78" s="37">
        <f t="shared" si="129"/>
        <v>157881</v>
      </c>
      <c r="L78" s="37">
        <f t="shared" si="129"/>
        <v>230576</v>
      </c>
      <c r="M78" s="37">
        <f t="shared" si="129"/>
        <v>160015</v>
      </c>
      <c r="N78" s="37">
        <f t="shared" si="129"/>
        <v>224124</v>
      </c>
      <c r="O78" s="37">
        <f t="shared" si="129"/>
        <v>172087</v>
      </c>
      <c r="P78" s="37">
        <f t="shared" si="129"/>
        <v>219351.1709</v>
      </c>
      <c r="Q78" s="37">
        <f t="shared" si="129"/>
        <v>271514.4201</v>
      </c>
      <c r="R78" s="37">
        <f t="shared" si="129"/>
        <v>344514.8643</v>
      </c>
      <c r="S78" s="37">
        <f t="shared" si="129"/>
        <v>412309.3201</v>
      </c>
      <c r="T78" s="37">
        <f t="shared" si="129"/>
        <v>472297.5836</v>
      </c>
      <c r="U78" s="37">
        <f t="shared" si="129"/>
        <v>526697.0385</v>
      </c>
      <c r="V78" s="37">
        <f t="shared" si="129"/>
        <v>587255.2948</v>
      </c>
      <c r="W78" s="37">
        <f t="shared" si="129"/>
        <v>639963.6159</v>
      </c>
      <c r="X78" s="37">
        <f t="shared" si="129"/>
        <v>689526.9407</v>
      </c>
      <c r="Y78" s="37">
        <f t="shared" si="129"/>
        <v>733162.8556</v>
      </c>
      <c r="Z78" s="37">
        <f t="shared" si="129"/>
        <v>774709.1775</v>
      </c>
      <c r="AA78" s="37">
        <f t="shared" si="129"/>
        <v>814950.0564</v>
      </c>
      <c r="AB78" s="37">
        <f t="shared" si="129"/>
        <v>850415.8809</v>
      </c>
      <c r="AC78" s="38"/>
      <c r="AD78" s="36" t="str">
        <f t="shared" ref="AD78:AD79" si="132">D78</f>
        <v>Design Gross Profit</v>
      </c>
      <c r="AE78" s="37">
        <f t="shared" ref="AE78:AF78" si="130">AE67-AE76</f>
        <v>775577.1709</v>
      </c>
      <c r="AF78" s="37">
        <f t="shared" si="130"/>
        <v>1500636.188</v>
      </c>
      <c r="AG78" s="40">
        <f t="shared" ref="AG78:AG79" si="134">AF78-AE78</f>
        <v>725059.0173</v>
      </c>
      <c r="AH78" s="41">
        <f>AF78/AE78-1</f>
        <v>0.934863795</v>
      </c>
      <c r="AI78" s="11"/>
      <c r="AJ78" s="11"/>
      <c r="AK78" s="11"/>
      <c r="AL78" s="37">
        <f>SUM(E78:H78)</f>
        <v>723889</v>
      </c>
      <c r="AM78" s="37">
        <f>SUM(I78:L78)</f>
        <v>706863</v>
      </c>
      <c r="AN78" s="37">
        <f>SUM(M78:P78)</f>
        <v>775577.1709</v>
      </c>
      <c r="AO78" s="37">
        <f>SUM(Q78:T78)</f>
        <v>1500636.188</v>
      </c>
      <c r="AP78" s="37">
        <f>SUM(U78:X78)</f>
        <v>2443442.89</v>
      </c>
      <c r="AQ78" s="37">
        <f>SUM(Y78:AB78)</f>
        <v>3173237.97</v>
      </c>
      <c r="AR78" s="11"/>
      <c r="AS78" s="11"/>
      <c r="AT78" s="11"/>
      <c r="AU78" s="11"/>
      <c r="AV78" s="11"/>
      <c r="AW78" s="11"/>
      <c r="AX78" s="11"/>
      <c r="AY78" s="11"/>
      <c r="AZ78" s="11"/>
      <c r="BA78" s="11"/>
      <c r="BB78" s="11"/>
      <c r="BC78" s="11"/>
      <c r="BD78" s="11"/>
      <c r="BE78" s="11"/>
      <c r="BF78" s="11"/>
      <c r="BG78" s="11"/>
      <c r="BH78" s="11"/>
      <c r="BI78" s="11"/>
      <c r="BJ78" s="11"/>
      <c r="BK78" s="11"/>
    </row>
    <row r="79" ht="15.75" customHeight="1">
      <c r="A79" s="11"/>
      <c r="B79" s="11"/>
      <c r="C79" s="11"/>
      <c r="D79" s="42" t="s">
        <v>75</v>
      </c>
      <c r="E79" s="43">
        <f t="shared" ref="E79:AB79" si="131">E78/E67</f>
        <v>0.8537954374</v>
      </c>
      <c r="F79" s="43">
        <f t="shared" si="131"/>
        <v>0.834557646</v>
      </c>
      <c r="G79" s="43">
        <f t="shared" si="131"/>
        <v>0.8583209097</v>
      </c>
      <c r="H79" s="43">
        <f t="shared" si="131"/>
        <v>0.8880942112</v>
      </c>
      <c r="I79" s="43">
        <f t="shared" si="131"/>
        <v>0.8149264777</v>
      </c>
      <c r="J79" s="43">
        <f t="shared" si="131"/>
        <v>0.7872536693</v>
      </c>
      <c r="K79" s="43">
        <f t="shared" si="131"/>
        <v>0.8238716714</v>
      </c>
      <c r="L79" s="43">
        <f t="shared" si="131"/>
        <v>0.8879372757</v>
      </c>
      <c r="M79" s="43">
        <f t="shared" si="131"/>
        <v>0.8298112875</v>
      </c>
      <c r="N79" s="43">
        <f t="shared" si="131"/>
        <v>0.8675510275</v>
      </c>
      <c r="O79" s="43">
        <f t="shared" si="131"/>
        <v>0.8296868069</v>
      </c>
      <c r="P79" s="43">
        <f t="shared" si="131"/>
        <v>0.7947190175</v>
      </c>
      <c r="Q79" s="43">
        <f t="shared" si="131"/>
        <v>0.7742357111</v>
      </c>
      <c r="R79" s="43">
        <f t="shared" si="131"/>
        <v>0.8101726896</v>
      </c>
      <c r="S79" s="43">
        <f t="shared" si="131"/>
        <v>0.8348942543</v>
      </c>
      <c r="T79" s="43">
        <f t="shared" si="131"/>
        <v>0.8470714869</v>
      </c>
      <c r="U79" s="43">
        <f t="shared" si="131"/>
        <v>0.8511669182</v>
      </c>
      <c r="V79" s="43">
        <f t="shared" si="131"/>
        <v>0.8646701197</v>
      </c>
      <c r="W79" s="43">
        <f t="shared" si="131"/>
        <v>0.8672231548</v>
      </c>
      <c r="X79" s="43">
        <f t="shared" si="131"/>
        <v>0.8630356754</v>
      </c>
      <c r="Y79" s="43">
        <f t="shared" si="131"/>
        <v>0.8554637891</v>
      </c>
      <c r="Z79" s="43">
        <f t="shared" si="131"/>
        <v>0.8520555906</v>
      </c>
      <c r="AA79" s="43">
        <f t="shared" si="131"/>
        <v>0.8535324484</v>
      </c>
      <c r="AB79" s="43">
        <f t="shared" si="131"/>
        <v>0.8501516853</v>
      </c>
      <c r="AC79" s="43"/>
      <c r="AD79" s="42" t="str">
        <f t="shared" si="132"/>
        <v>  Gross Margin</v>
      </c>
      <c r="AE79" s="43">
        <f t="shared" ref="AE79:AF79" si="133">AE78/AE67</f>
        <v>0.8298520021</v>
      </c>
      <c r="AF79" s="43">
        <f t="shared" si="133"/>
        <v>0.821215824</v>
      </c>
      <c r="AG79" s="43">
        <f t="shared" si="134"/>
        <v>-0.008636178103</v>
      </c>
      <c r="AH79" s="43"/>
      <c r="AI79" s="11"/>
      <c r="AJ79" s="11"/>
      <c r="AK79" s="11"/>
      <c r="AL79" s="43">
        <f t="shared" ref="AL79:AQ79" si="135">AL78/AL67</f>
        <v>0.8606732115</v>
      </c>
      <c r="AM79" s="43">
        <f t="shared" si="135"/>
        <v>0.8341540782</v>
      </c>
      <c r="AN79" s="43">
        <f t="shared" si="135"/>
        <v>0.8298520021</v>
      </c>
      <c r="AO79" s="43">
        <f t="shared" si="135"/>
        <v>0.821215824</v>
      </c>
      <c r="AP79" s="43">
        <f t="shared" si="135"/>
        <v>0.8619265831</v>
      </c>
      <c r="AQ79" s="43">
        <f t="shared" si="135"/>
        <v>0.8527076492</v>
      </c>
      <c r="AR79" s="11"/>
      <c r="AS79" s="11"/>
      <c r="AT79" s="11"/>
      <c r="AU79" s="11"/>
      <c r="AV79" s="11"/>
      <c r="AW79" s="11"/>
      <c r="AX79" s="11"/>
      <c r="AY79" s="11"/>
      <c r="AZ79" s="11"/>
      <c r="BA79" s="11"/>
      <c r="BB79" s="11"/>
      <c r="BC79" s="11"/>
      <c r="BD79" s="11"/>
      <c r="BE79" s="11"/>
      <c r="BF79" s="11"/>
      <c r="BG79" s="11"/>
      <c r="BH79" s="11"/>
      <c r="BI79" s="11"/>
      <c r="BJ79" s="11"/>
      <c r="BK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2"/>
      <c r="AH80" s="19"/>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row>
    <row r="81" ht="15.75" customHeight="1">
      <c r="A81" s="11"/>
      <c r="B81" s="11"/>
      <c r="C81" s="11"/>
      <c r="D81" s="11" t="s">
        <v>15</v>
      </c>
      <c r="E81" s="20">
        <f>Headcount!H9</f>
        <v>10</v>
      </c>
      <c r="F81" s="20">
        <f>Headcount!I9</f>
        <v>10</v>
      </c>
      <c r="G81" s="20">
        <f>Headcount!J9</f>
        <v>10</v>
      </c>
      <c r="H81" s="20">
        <f>Headcount!K9</f>
        <v>10</v>
      </c>
      <c r="I81" s="20">
        <f>Headcount!L9</f>
        <v>10</v>
      </c>
      <c r="J81" s="20">
        <f>Headcount!M9</f>
        <v>10</v>
      </c>
      <c r="K81" s="20">
        <f>Headcount!N9</f>
        <v>10</v>
      </c>
      <c r="L81" s="20">
        <f>Headcount!O9</f>
        <v>10</v>
      </c>
      <c r="M81" s="20">
        <f>Headcount!P9</f>
        <v>10</v>
      </c>
      <c r="N81" s="20">
        <f>Headcount!Q9</f>
        <v>10</v>
      </c>
      <c r="O81" s="20">
        <f>Headcount!R9</f>
        <v>10</v>
      </c>
      <c r="P81" s="20">
        <f>Headcount!S9</f>
        <v>10</v>
      </c>
      <c r="Q81" s="20">
        <f>Headcount!T9</f>
        <v>11</v>
      </c>
      <c r="R81" s="20">
        <f>Headcount!U9</f>
        <v>11</v>
      </c>
      <c r="S81" s="20">
        <f>Headcount!V9</f>
        <v>11</v>
      </c>
      <c r="T81" s="20">
        <f>Headcount!W9</f>
        <v>11</v>
      </c>
      <c r="U81" s="20">
        <f>Headcount!X9</f>
        <v>11</v>
      </c>
      <c r="V81" s="20">
        <f>Headcount!Y9</f>
        <v>11</v>
      </c>
      <c r="W81" s="20">
        <f>Headcount!Z9</f>
        <v>12</v>
      </c>
      <c r="X81" s="20">
        <f>Headcount!AA9</f>
        <v>13</v>
      </c>
      <c r="Y81" s="20">
        <f>Headcount!AB9</f>
        <v>14</v>
      </c>
      <c r="Z81" s="20">
        <f>Headcount!AC9</f>
        <v>15</v>
      </c>
      <c r="AA81" s="20">
        <f>Headcount!AD9</f>
        <v>16</v>
      </c>
      <c r="AB81" s="20">
        <f>Headcount!AE9</f>
        <v>17</v>
      </c>
      <c r="AC81" s="11"/>
      <c r="AD81" s="11" t="str">
        <f t="shared" ref="AD81:AD85" si="136">D81</f>
        <v>Headcount</v>
      </c>
      <c r="AE81" s="20">
        <f>P81</f>
        <v>10</v>
      </c>
      <c r="AF81" s="20">
        <f>T81</f>
        <v>11</v>
      </c>
      <c r="AG81" s="21">
        <f t="shared" ref="AG81:AG87" si="137">AF81-AE81</f>
        <v>1</v>
      </c>
      <c r="AH81" s="19">
        <f t="shared" ref="AH81:AH87" si="138">AF81/AE81-1</f>
        <v>0.1</v>
      </c>
      <c r="AI81" s="11"/>
      <c r="AJ81" s="11"/>
      <c r="AK81" s="11" t="s">
        <v>15</v>
      </c>
      <c r="AL81" s="20">
        <f>H81</f>
        <v>10</v>
      </c>
      <c r="AM81" s="20">
        <f>L81</f>
        <v>10</v>
      </c>
      <c r="AN81" s="20">
        <f>P81</f>
        <v>10</v>
      </c>
      <c r="AO81" s="20">
        <f>T81</f>
        <v>11</v>
      </c>
      <c r="AP81" s="20">
        <f>X81</f>
        <v>13</v>
      </c>
      <c r="AQ81" s="20">
        <f>AB81</f>
        <v>17</v>
      </c>
      <c r="AR81" s="11"/>
      <c r="AS81" s="11"/>
      <c r="AT81" s="11"/>
      <c r="AU81" s="11"/>
      <c r="AV81" s="11"/>
      <c r="AW81" s="11"/>
      <c r="AX81" s="11"/>
      <c r="AY81" s="11"/>
      <c r="AZ81" s="11"/>
      <c r="BA81" s="11"/>
      <c r="BB81" s="11"/>
      <c r="BC81" s="11"/>
      <c r="BD81" s="11"/>
      <c r="BE81" s="11"/>
      <c r="BF81" s="11"/>
      <c r="BG81" s="11"/>
      <c r="BH81" s="11"/>
      <c r="BI81" s="11"/>
      <c r="BJ81" s="11"/>
      <c r="BK81" s="11"/>
    </row>
    <row r="82" ht="15.75" customHeight="1">
      <c r="A82" s="11"/>
      <c r="B82" s="11"/>
      <c r="C82" s="11"/>
      <c r="D82" s="11" t="s">
        <v>88</v>
      </c>
      <c r="E82" s="12">
        <f>E67/Capacity!O107</f>
        <v>27691.14286</v>
      </c>
      <c r="F82" s="12">
        <f>F67/Capacity!P107</f>
        <v>27654</v>
      </c>
      <c r="G82" s="12">
        <f>G67/Capacity!Q107</f>
        <v>29034.42857</v>
      </c>
      <c r="H82" s="12">
        <f>H67/Capacity!R107</f>
        <v>35773.71429</v>
      </c>
      <c r="I82" s="12">
        <f>I67/Capacity!S107</f>
        <v>33974.14286</v>
      </c>
      <c r="J82" s="12">
        <f>J67/Capacity!T107</f>
        <v>22610.42857</v>
      </c>
      <c r="K82" s="12">
        <f>K67/Capacity!U107</f>
        <v>23954.125</v>
      </c>
      <c r="L82" s="12">
        <f>L67/Capacity!V107</f>
        <v>30550.11765</v>
      </c>
      <c r="M82" s="12">
        <f>M67/Capacity!W107</f>
        <v>22686.23529</v>
      </c>
      <c r="N82" s="12">
        <f>N67/Capacity!X107</f>
        <v>30393.05882</v>
      </c>
      <c r="O82" s="12">
        <f>O67/Capacity!Y107</f>
        <v>24401.41176</v>
      </c>
      <c r="P82" s="12">
        <f>P67/Capacity!Z107</f>
        <v>32471.87941</v>
      </c>
      <c r="Q82" s="12">
        <f>Q67/Capacity!AA107</f>
        <v>41257.29735</v>
      </c>
      <c r="R82" s="12">
        <f>R67/Capacity!AB107</f>
        <v>50027.80399</v>
      </c>
      <c r="S82" s="12">
        <f>S67/Capacity!AC107</f>
        <v>58099.54804</v>
      </c>
      <c r="T82" s="12">
        <f>T67/Capacity!AD107</f>
        <v>65595.90597</v>
      </c>
      <c r="U82" s="12">
        <f>U67/Capacity!AE107</f>
        <v>72799.30193</v>
      </c>
      <c r="V82" s="12">
        <f>V67/Capacity!AF107</f>
        <v>79901.98417</v>
      </c>
      <c r="W82" s="12">
        <f>W67/Capacity!AG107</f>
        <v>77678.49691</v>
      </c>
      <c r="X82" s="12">
        <f>X67/Capacity!AH107</f>
        <v>76090.98247</v>
      </c>
      <c r="Y82" s="12">
        <f>Y67/Capacity!AI107</f>
        <v>74524.82806</v>
      </c>
      <c r="Z82" s="12">
        <f>Z67/Capacity!AJ107</f>
        <v>79062.9346</v>
      </c>
      <c r="AA82" s="12">
        <f>AA67/Capacity!AK107</f>
        <v>76383.74456</v>
      </c>
      <c r="AB82" s="12">
        <f>AB67/Capacity!AL107</f>
        <v>74097.09355</v>
      </c>
      <c r="AC82" s="11"/>
      <c r="AD82" s="11" t="str">
        <f t="shared" si="136"/>
        <v>Revenue/Designer</v>
      </c>
      <c r="AE82" s="12">
        <f>AVERAGE(M82:P82)</f>
        <v>27488.14632</v>
      </c>
      <c r="AF82" s="12">
        <f>AVERAGE(Q82:T82)</f>
        <v>53745.13884</v>
      </c>
      <c r="AG82" s="12">
        <f t="shared" si="137"/>
        <v>26256.99251</v>
      </c>
      <c r="AH82" s="19">
        <f t="shared" si="138"/>
        <v>0.9552114647</v>
      </c>
      <c r="AI82" s="11"/>
      <c r="AJ82" s="11"/>
      <c r="AK82" s="11" t="s">
        <v>76</v>
      </c>
      <c r="AL82" s="12">
        <f>AVERAGE(E82:H82)</f>
        <v>30038.32143</v>
      </c>
      <c r="AM82" s="12">
        <f>AVERAGE(I82:L82)</f>
        <v>27772.20352</v>
      </c>
      <c r="AN82" s="12">
        <f>AVERAGE(M82:P82)</f>
        <v>27488.14632</v>
      </c>
      <c r="AO82" s="12">
        <f>AVERAGE(Q82:T82)</f>
        <v>53745.13884</v>
      </c>
      <c r="AP82" s="12">
        <f>AVERAGE(U82:X82)</f>
        <v>76617.69137</v>
      </c>
      <c r="AQ82" s="12">
        <f>AVERAGE(Y82:AB82)</f>
        <v>76017.15019</v>
      </c>
      <c r="AR82" s="11"/>
      <c r="AS82" s="11"/>
      <c r="AT82" s="11"/>
      <c r="AU82" s="11"/>
      <c r="AV82" s="11"/>
      <c r="AW82" s="11"/>
      <c r="AX82" s="11"/>
      <c r="AY82" s="11"/>
      <c r="AZ82" s="11"/>
      <c r="BA82" s="11"/>
      <c r="BB82" s="11"/>
      <c r="BC82" s="11"/>
      <c r="BD82" s="11"/>
      <c r="BE82" s="11"/>
      <c r="BF82" s="11"/>
      <c r="BG82" s="11"/>
      <c r="BH82" s="11"/>
      <c r="BI82" s="11"/>
      <c r="BJ82" s="11"/>
      <c r="BK82" s="11"/>
    </row>
    <row r="83" ht="15.75" customHeight="1">
      <c r="A83" s="11"/>
      <c r="B83" s="11"/>
      <c r="C83" s="11"/>
      <c r="D83" s="11" t="s">
        <v>77</v>
      </c>
      <c r="E83" s="50">
        <f>SUM('New Biz Sales'!O41)</f>
        <v>30</v>
      </c>
      <c r="F83" s="50">
        <f>SUM('New Biz Sales'!P41)</f>
        <v>30</v>
      </c>
      <c r="G83" s="50">
        <f>SUM('New Biz Sales'!Q41)</f>
        <v>30</v>
      </c>
      <c r="H83" s="50">
        <f>SUM('New Biz Sales'!R41)</f>
        <v>30</v>
      </c>
      <c r="I83" s="50">
        <f>SUM('New Biz Sales'!S41)</f>
        <v>30</v>
      </c>
      <c r="J83" s="50">
        <f>SUM('New Biz Sales'!T41)</f>
        <v>30</v>
      </c>
      <c r="K83" s="50">
        <f>SUM('New Biz Sales'!U41)</f>
        <v>30</v>
      </c>
      <c r="L83" s="50">
        <f>SUM('New Biz Sales'!V41)</f>
        <v>30</v>
      </c>
      <c r="M83" s="50">
        <f>SUM('New Biz Sales'!W41)</f>
        <v>30</v>
      </c>
      <c r="N83" s="50">
        <f>SUM('New Biz Sales'!X41)</f>
        <v>30</v>
      </c>
      <c r="O83" s="50">
        <f>SUM('New Biz Sales'!Y41)</f>
        <v>30</v>
      </c>
      <c r="P83" s="50">
        <f>SUM('New Biz Sales'!Z41)</f>
        <v>33</v>
      </c>
      <c r="Q83" s="50">
        <f>SUM('New Biz Sales'!AA41)</f>
        <v>33</v>
      </c>
      <c r="R83" s="50">
        <f>SUM('New Biz Sales'!AB41)</f>
        <v>33</v>
      </c>
      <c r="S83" s="50">
        <f>SUM('New Biz Sales'!AC41)</f>
        <v>33</v>
      </c>
      <c r="T83" s="50">
        <f>SUM('New Biz Sales'!AD41)</f>
        <v>33</v>
      </c>
      <c r="U83" s="50">
        <f>SUM('New Biz Sales'!AE41)</f>
        <v>33</v>
      </c>
      <c r="V83" s="50">
        <f>SUM('New Biz Sales'!AF41)</f>
        <v>33</v>
      </c>
      <c r="W83" s="50">
        <f>SUM('New Biz Sales'!AG41)</f>
        <v>33</v>
      </c>
      <c r="X83" s="50">
        <f>SUM('New Biz Sales'!AH41)</f>
        <v>31.35</v>
      </c>
      <c r="Y83" s="50">
        <f>SUM('New Biz Sales'!AI41)</f>
        <v>31.35</v>
      </c>
      <c r="Z83" s="50">
        <f>SUM('New Biz Sales'!AJ41)</f>
        <v>31.35</v>
      </c>
      <c r="AA83" s="50">
        <f>SUM('New Biz Sales'!AK41)</f>
        <v>31.50675</v>
      </c>
      <c r="AB83" s="50">
        <f>SUM('New Biz Sales'!AL41)</f>
        <v>22.054725</v>
      </c>
      <c r="AC83" s="11"/>
      <c r="AD83" s="11" t="str">
        <f t="shared" si="136"/>
        <v># of Product Opportunities</v>
      </c>
      <c r="AE83" s="21">
        <f t="shared" ref="AE83:AE84" si="139">SUM(M83:P83)</f>
        <v>123</v>
      </c>
      <c r="AF83" s="21">
        <f t="shared" ref="AF83:AF84" si="140">SUM(Q83:T83)</f>
        <v>132</v>
      </c>
      <c r="AG83" s="21">
        <f t="shared" si="137"/>
        <v>9</v>
      </c>
      <c r="AH83" s="19">
        <f t="shared" si="138"/>
        <v>0.07317073171</v>
      </c>
      <c r="AI83" s="11"/>
      <c r="AJ83" s="11"/>
      <c r="AK83" s="11" t="s">
        <v>77</v>
      </c>
      <c r="AL83" s="20">
        <f t="shared" ref="AL83:AL84" si="141">SUM(E83:H83)</f>
        <v>120</v>
      </c>
      <c r="AM83" s="20">
        <f t="shared" ref="AM83:AM84" si="142">SUM(I83:L83)</f>
        <v>120</v>
      </c>
      <c r="AN83" s="20">
        <f t="shared" ref="AN83:AN84" si="143">SUM(M83:P83)</f>
        <v>123</v>
      </c>
      <c r="AO83" s="20">
        <f t="shared" ref="AO83:AO84" si="144">SUM(Q83:T83)</f>
        <v>132</v>
      </c>
      <c r="AP83" s="20">
        <f t="shared" ref="AP83:AP84" si="145">SUM(U83:X83)</f>
        <v>130.35</v>
      </c>
      <c r="AQ83" s="20">
        <f t="shared" ref="AQ83:AQ84" si="146">SUM(Y83:AB83)</f>
        <v>116.261475</v>
      </c>
      <c r="AR83" s="11"/>
      <c r="AS83" s="11"/>
      <c r="AT83" s="11"/>
      <c r="AU83" s="11"/>
      <c r="AV83" s="11"/>
      <c r="AW83" s="11"/>
      <c r="AX83" s="11"/>
      <c r="AY83" s="11"/>
      <c r="AZ83" s="11"/>
      <c r="BA83" s="11"/>
      <c r="BB83" s="11"/>
      <c r="BC83" s="11"/>
      <c r="BD83" s="11"/>
      <c r="BE83" s="11"/>
      <c r="BF83" s="11"/>
      <c r="BG83" s="11"/>
      <c r="BH83" s="11"/>
      <c r="BI83" s="11"/>
      <c r="BJ83" s="11"/>
      <c r="BK83" s="11"/>
    </row>
    <row r="84" ht="15.75" customHeight="1">
      <c r="A84" s="11"/>
      <c r="B84" s="11"/>
      <c r="C84" s="11"/>
      <c r="D84" s="11" t="s">
        <v>78</v>
      </c>
      <c r="E84" s="51">
        <f>'New Biz Sales'!O90+'Portfolio Sales'!E83</f>
        <v>6</v>
      </c>
      <c r="F84" s="51">
        <f>'New Biz Sales'!P90+'Portfolio Sales'!F83</f>
        <v>5</v>
      </c>
      <c r="G84" s="51">
        <f>'New Biz Sales'!Q90+'Portfolio Sales'!G83</f>
        <v>6</v>
      </c>
      <c r="H84" s="51">
        <f>'New Biz Sales'!R90+'Portfolio Sales'!H83</f>
        <v>7</v>
      </c>
      <c r="I84" s="51">
        <f>'New Biz Sales'!S90+'Portfolio Sales'!I83</f>
        <v>7</v>
      </c>
      <c r="J84" s="51">
        <f>'New Biz Sales'!T90+'Portfolio Sales'!J83</f>
        <v>7</v>
      </c>
      <c r="K84" s="51">
        <f>'New Biz Sales'!U90+'Portfolio Sales'!K83</f>
        <v>8</v>
      </c>
      <c r="L84" s="51">
        <f>'New Biz Sales'!V90+'Portfolio Sales'!L83</f>
        <v>9</v>
      </c>
      <c r="M84" s="51">
        <f>'New Biz Sales'!W90+'Portfolio Sales'!M83</f>
        <v>6</v>
      </c>
      <c r="N84" s="51">
        <f>'New Biz Sales'!X90+'Portfolio Sales'!N83</f>
        <v>5</v>
      </c>
      <c r="O84" s="51">
        <f>'New Biz Sales'!Y90+'Portfolio Sales'!O83</f>
        <v>8</v>
      </c>
      <c r="P84" s="51">
        <f>'New Biz Sales'!Z90+'Portfolio Sales'!P83</f>
        <v>4.259788919</v>
      </c>
      <c r="Q84" s="51">
        <f>'New Biz Sales'!AA90+'Portfolio Sales'!Q83</f>
        <v>5.132881869</v>
      </c>
      <c r="R84" s="51">
        <f>'New Biz Sales'!AB90+'Portfolio Sales'!R83</f>
        <v>5.707040094</v>
      </c>
      <c r="S84" s="51">
        <f>'New Biz Sales'!AC90+'Portfolio Sales'!S83</f>
        <v>5.870945009</v>
      </c>
      <c r="T84" s="51">
        <f>'New Biz Sales'!AD90+'Portfolio Sales'!T83</f>
        <v>5.999772137</v>
      </c>
      <c r="U84" s="51">
        <f>'New Biz Sales'!AE90+'Portfolio Sales'!U83</f>
        <v>6.044792975</v>
      </c>
      <c r="V84" s="51">
        <f>'New Biz Sales'!AF90+'Portfolio Sales'!V83</f>
        <v>6.045513506</v>
      </c>
      <c r="W84" s="51">
        <f>'New Biz Sales'!AG90+'Portfolio Sales'!W83</f>
        <v>6.068176731</v>
      </c>
      <c r="X84" s="51">
        <f>'New Biz Sales'!AH90+'Portfolio Sales'!X83</f>
        <v>6.089131722</v>
      </c>
      <c r="Y84" s="51">
        <f>'New Biz Sales'!AI90+'Portfolio Sales'!Y83</f>
        <v>6.1672502</v>
      </c>
      <c r="Z84" s="51">
        <f>'New Biz Sales'!AJ90+'Portfolio Sales'!Z83</f>
        <v>5.747119476</v>
      </c>
      <c r="AA84" s="51">
        <f>'New Biz Sales'!AK90+'Portfolio Sales'!AA83</f>
        <v>5.785555626</v>
      </c>
      <c r="AB84" s="51">
        <f>'New Biz Sales'!AL90+'Portfolio Sales'!AB83</f>
        <v>5.837900913</v>
      </c>
      <c r="AC84" s="11"/>
      <c r="AD84" s="11" t="str">
        <f t="shared" si="136"/>
        <v>Product Deals Closed</v>
      </c>
      <c r="AE84" s="21">
        <f t="shared" si="139"/>
        <v>23.25978892</v>
      </c>
      <c r="AF84" s="21">
        <f t="shared" si="140"/>
        <v>22.71063911</v>
      </c>
      <c r="AG84" s="21">
        <f t="shared" si="137"/>
        <v>-0.5491498094</v>
      </c>
      <c r="AH84" s="19">
        <f t="shared" si="138"/>
        <v>-0.0236094064</v>
      </c>
      <c r="AI84" s="11"/>
      <c r="AJ84" s="11"/>
      <c r="AK84" s="11" t="s">
        <v>78</v>
      </c>
      <c r="AL84" s="20">
        <f t="shared" si="141"/>
        <v>24</v>
      </c>
      <c r="AM84" s="20">
        <f t="shared" si="142"/>
        <v>31</v>
      </c>
      <c r="AN84" s="20">
        <f t="shared" si="143"/>
        <v>23.25978892</v>
      </c>
      <c r="AO84" s="20">
        <f t="shared" si="144"/>
        <v>22.71063911</v>
      </c>
      <c r="AP84" s="20">
        <f t="shared" si="145"/>
        <v>24.24761493</v>
      </c>
      <c r="AQ84" s="20">
        <f t="shared" si="146"/>
        <v>23.53782622</v>
      </c>
      <c r="AR84" s="11"/>
      <c r="AS84" s="11"/>
      <c r="AT84" s="11"/>
      <c r="AU84" s="11"/>
      <c r="AV84" s="11"/>
      <c r="AW84" s="11"/>
      <c r="AX84" s="11"/>
      <c r="AY84" s="11"/>
      <c r="AZ84" s="11"/>
      <c r="BA84" s="11"/>
      <c r="BB84" s="11"/>
      <c r="BC84" s="11"/>
      <c r="BD84" s="11"/>
      <c r="BE84" s="11"/>
      <c r="BF84" s="11"/>
      <c r="BG84" s="11"/>
      <c r="BH84" s="11"/>
      <c r="BI84" s="11"/>
      <c r="BJ84" s="11"/>
      <c r="BK84" s="11"/>
    </row>
    <row r="85" ht="15.75" customHeight="1">
      <c r="A85" s="11"/>
      <c r="B85" s="11"/>
      <c r="C85" s="11"/>
      <c r="D85" s="11" t="s">
        <v>79</v>
      </c>
      <c r="E85" s="24">
        <f>'New Biz Sales'!O98</f>
        <v>212819</v>
      </c>
      <c r="F85" s="24">
        <f>'New Biz Sales'!P98</f>
        <v>451250</v>
      </c>
      <c r="G85" s="24">
        <f>'New Biz Sales'!Q98</f>
        <v>493204</v>
      </c>
      <c r="H85" s="24">
        <f>'New Biz Sales'!R98</f>
        <v>284410</v>
      </c>
      <c r="I85" s="24">
        <f>'New Biz Sales'!S98</f>
        <v>194468</v>
      </c>
      <c r="J85" s="24">
        <f>'New Biz Sales'!T98</f>
        <v>222217</v>
      </c>
      <c r="K85" s="24">
        <f>'New Biz Sales'!U98</f>
        <v>179415</v>
      </c>
      <c r="L85" s="24">
        <f>'New Biz Sales'!V98</f>
        <v>285607</v>
      </c>
      <c r="M85" s="24">
        <f>'New Biz Sales'!W98</f>
        <v>415595</v>
      </c>
      <c r="N85" s="24">
        <f>'New Biz Sales'!X98</f>
        <v>140953</v>
      </c>
      <c r="O85" s="24">
        <f>'New Biz Sales'!Y98</f>
        <v>189550</v>
      </c>
      <c r="P85" s="24">
        <f>'New Biz Sales'!Z98</f>
        <v>189550</v>
      </c>
      <c r="Q85" s="24">
        <f>'New Biz Sales'!AA98</f>
        <v>193341</v>
      </c>
      <c r="R85" s="24">
        <f>'New Biz Sales'!AB98</f>
        <v>193341</v>
      </c>
      <c r="S85" s="24">
        <f>'New Biz Sales'!AC98</f>
        <v>193341</v>
      </c>
      <c r="T85" s="24">
        <f>'New Biz Sales'!AD98</f>
        <v>193341</v>
      </c>
      <c r="U85" s="24">
        <f>'New Biz Sales'!AE98</f>
        <v>193341</v>
      </c>
      <c r="V85" s="24">
        <f>'New Biz Sales'!AF98</f>
        <v>197207.82</v>
      </c>
      <c r="W85" s="24">
        <f>'New Biz Sales'!AG98</f>
        <v>197207.82</v>
      </c>
      <c r="X85" s="24">
        <f>'New Biz Sales'!AH98</f>
        <v>197207.82</v>
      </c>
      <c r="Y85" s="24">
        <f>'New Biz Sales'!AI98</f>
        <v>197207.82</v>
      </c>
      <c r="Z85" s="24">
        <f>'New Biz Sales'!AJ98</f>
        <v>197207.82</v>
      </c>
      <c r="AA85" s="24">
        <f>'New Biz Sales'!AK98</f>
        <v>197207.82</v>
      </c>
      <c r="AB85" s="24">
        <f>'New Biz Sales'!AL98</f>
        <v>197207.82</v>
      </c>
      <c r="AC85" s="52"/>
      <c r="AD85" s="11" t="str">
        <f t="shared" si="136"/>
        <v>New Client AOV</v>
      </c>
      <c r="AE85" s="12" t="str">
        <f>IFERROR(__xludf.DUMMYFUNCTION("AVERAGE.WEIGHTED(M88:P88,M87:P87)"),"#VALUE!")</f>
        <v>#VALUE!</v>
      </c>
      <c r="AF85" s="12" t="str">
        <f>IFERROR(__xludf.DUMMYFUNCTION("AVERAGE.WEIGHTED(Q88:T88,Q87:T87)"),"#VALUE!")</f>
        <v>#VALUE!</v>
      </c>
      <c r="AG85" s="12" t="str">
        <f t="shared" si="137"/>
        <v>#VALUE!</v>
      </c>
      <c r="AH85" s="19" t="str">
        <f t="shared" si="138"/>
        <v>#VALUE!</v>
      </c>
      <c r="AI85" s="11"/>
      <c r="AJ85" s="11"/>
      <c r="AK85" s="11" t="s">
        <v>79</v>
      </c>
      <c r="AL85" s="24">
        <f t="shared" ref="AL85:AL87" si="147">AVERAGE(E85:H85)</f>
        <v>360420.75</v>
      </c>
      <c r="AM85" s="24">
        <f t="shared" ref="AM85:AM87" si="148">AVERAGE(I85:L85)</f>
        <v>220426.75</v>
      </c>
      <c r="AN85" s="24">
        <f t="shared" ref="AN85:AN87" si="149">AVERAGE(M85:P85)</f>
        <v>233912</v>
      </c>
      <c r="AO85" s="24">
        <f t="shared" ref="AO85:AO87" si="150">AVERAGE(Q85:T85)</f>
        <v>193341</v>
      </c>
      <c r="AP85" s="24">
        <f t="shared" ref="AP85:AP87" si="151">AVERAGE(U85:X85)</f>
        <v>196241.115</v>
      </c>
      <c r="AQ85" s="24">
        <f t="shared" ref="AQ85:AQ87" si="152">AVERAGE(Y85:AB85)</f>
        <v>197207.82</v>
      </c>
      <c r="AR85" s="11"/>
      <c r="AS85" s="11"/>
      <c r="AT85" s="11"/>
      <c r="AU85" s="11"/>
      <c r="AV85" s="11"/>
      <c r="AW85" s="11"/>
      <c r="AX85" s="11"/>
      <c r="AY85" s="11"/>
      <c r="AZ85" s="11"/>
      <c r="BA85" s="11"/>
      <c r="BB85" s="11"/>
      <c r="BC85" s="11"/>
      <c r="BD85" s="11"/>
      <c r="BE85" s="11"/>
      <c r="BF85" s="11"/>
      <c r="BG85" s="11"/>
      <c r="BH85" s="11"/>
      <c r="BI85" s="11"/>
      <c r="BJ85" s="11"/>
      <c r="BK85" s="11"/>
    </row>
    <row r="86" ht="15.75" customHeight="1">
      <c r="A86" s="11"/>
      <c r="B86" s="11"/>
      <c r="C86" s="11"/>
      <c r="D86" s="11" t="s">
        <v>86</v>
      </c>
      <c r="E86" s="44">
        <f>1--SUM(Retention!O79)/AVERAGE(Retention!O42)</f>
        <v>0.9911266109</v>
      </c>
      <c r="F86" s="44">
        <f>1--SUM(Retention!P79)/AVERAGE(Retention!P42)</f>
        <v>0.9750126564</v>
      </c>
      <c r="G86" s="44">
        <f>1--SUM(Retention!Q79)/AVERAGE(Retention!Q42)</f>
        <v>0.951215552</v>
      </c>
      <c r="H86" s="44">
        <f>1--SUM(Retention!R79)/AVERAGE(Retention!R42)</f>
        <v>0.9791786467</v>
      </c>
      <c r="I86" s="44">
        <f>1--SUM(Retention!S79)/AVERAGE(Retention!S42)</f>
        <v>0.9981456486</v>
      </c>
      <c r="J86" s="44">
        <f>1--SUM(Retention!T79)/AVERAGE(Retention!T42)</f>
        <v>0.9415945866</v>
      </c>
      <c r="K86" s="44">
        <f>1--SUM(Retention!U79)/AVERAGE(Retention!U42)</f>
        <v>0.9935553897</v>
      </c>
      <c r="L86" s="44">
        <f>1--SUM(Retention!V79)/AVERAGE(Retention!V42)</f>
        <v>0.9567877944</v>
      </c>
      <c r="M86" s="44">
        <f>1--SUM(Retention!W79)/AVERAGE(Retention!W42)</f>
        <v>0.9966901985</v>
      </c>
      <c r="N86" s="44">
        <f>1--SUM(Retention!X79)/AVERAGE(Retention!X42)</f>
        <v>0.9765116648</v>
      </c>
      <c r="O86" s="44">
        <f>1--SUM(Retention!Y79)/AVERAGE(Retention!Y42)</f>
        <v>0.995250998</v>
      </c>
      <c r="P86" s="44">
        <f>1--SUM(Retention!Z79)/AVERAGE(Retention!Z42)</f>
        <v>0.93961437</v>
      </c>
      <c r="Q86" s="44">
        <f>1--SUM(Retention!AA79)/AVERAGE(Retention!AA42)</f>
        <v>0.9396577315</v>
      </c>
      <c r="R86" s="44">
        <f>1--SUM(Retention!AB79)/AVERAGE(Retention!AB42)</f>
        <v>0.940632862</v>
      </c>
      <c r="S86" s="44">
        <f>1--SUM(Retention!AC79)/AVERAGE(Retention!AC42)</f>
        <v>0.9410976806</v>
      </c>
      <c r="T86" s="44">
        <f>1--SUM(Retention!AD79)/AVERAGE(Retention!AD42)</f>
        <v>0.9421301601</v>
      </c>
      <c r="U86" s="44">
        <f>1--SUM(Retention!AE79)/AVERAGE(Retention!AE42)</f>
        <v>0.9434640184</v>
      </c>
      <c r="V86" s="44">
        <f>1--SUM(Retention!AF79)/AVERAGE(Retention!AF42)</f>
        <v>0.9452359132</v>
      </c>
      <c r="W86" s="44">
        <f>1--SUM(Retention!AG79)/AVERAGE(Retention!AG42)</f>
        <v>0.9535998038</v>
      </c>
      <c r="X86" s="44">
        <f>1--SUM(Retention!AH79)/AVERAGE(Retention!AH42)</f>
        <v>0.9530414464</v>
      </c>
      <c r="Y86" s="44">
        <f>1--SUM(Retention!AI79)/AVERAGE(Retention!AI42)</f>
        <v>0.9526383976</v>
      </c>
      <c r="Z86" s="44">
        <f>1--SUM(Retention!AJ79)/AVERAGE(Retention!AJ42)</f>
        <v>0.9518693729</v>
      </c>
      <c r="AA86" s="44">
        <f>1--SUM(Retention!AK79)/AVERAGE(Retention!AK42)</f>
        <v>0.9526107231</v>
      </c>
      <c r="AB86" s="44">
        <f>1--SUM(Retention!AL79)/AVERAGE(Retention!AL42)</f>
        <v>0.9524038399</v>
      </c>
      <c r="AC86" s="52"/>
      <c r="AD86" s="11" t="s">
        <v>81</v>
      </c>
      <c r="AE86" s="44">
        <f>P86</f>
        <v>0.93961437</v>
      </c>
      <c r="AF86" s="44">
        <f>T86</f>
        <v>0.9421301601</v>
      </c>
      <c r="AG86" s="45">
        <f t="shared" si="137"/>
        <v>0.002515790154</v>
      </c>
      <c r="AH86" s="44">
        <f t="shared" si="138"/>
        <v>0.002677470922</v>
      </c>
      <c r="AI86" s="11"/>
      <c r="AJ86" s="11"/>
      <c r="AK86" s="11" t="s">
        <v>82</v>
      </c>
      <c r="AL86" s="19">
        <f t="shared" si="147"/>
        <v>0.9741333665</v>
      </c>
      <c r="AM86" s="19">
        <f t="shared" si="148"/>
        <v>0.9725208548</v>
      </c>
      <c r="AN86" s="19">
        <f t="shared" si="149"/>
        <v>0.9770168078</v>
      </c>
      <c r="AO86" s="19">
        <f t="shared" si="150"/>
        <v>0.9408796086</v>
      </c>
      <c r="AP86" s="19">
        <f t="shared" si="151"/>
        <v>0.9488352954</v>
      </c>
      <c r="AQ86" s="19">
        <f t="shared" si="152"/>
        <v>0.9523805834</v>
      </c>
      <c r="AR86" s="11"/>
      <c r="AS86" s="11"/>
      <c r="AT86" s="11"/>
      <c r="AU86" s="11"/>
      <c r="AV86" s="11"/>
      <c r="AW86" s="11"/>
      <c r="AX86" s="11"/>
      <c r="AY86" s="11"/>
      <c r="AZ86" s="11"/>
      <c r="BA86" s="11"/>
      <c r="BB86" s="11"/>
      <c r="BC86" s="11"/>
      <c r="BD86" s="11"/>
      <c r="BE86" s="11"/>
      <c r="BF86" s="11"/>
      <c r="BG86" s="11"/>
      <c r="BH86" s="11"/>
      <c r="BI86" s="11"/>
      <c r="BJ86" s="11"/>
      <c r="BK86" s="11"/>
    </row>
    <row r="87" ht="15.75" customHeight="1">
      <c r="A87" s="11"/>
      <c r="B87" s="11"/>
      <c r="C87" s="11"/>
      <c r="D87" s="33" t="s">
        <v>83</v>
      </c>
      <c r="E87" s="46">
        <f>IFERROR(Retention!O169,0)</f>
        <v>105244.5176</v>
      </c>
      <c r="F87" s="46">
        <f>IFERROR(Retention!P169,0)</f>
        <v>93999.00953</v>
      </c>
      <c r="G87" s="46">
        <f>IFERROR(Retention!Q169,0)</f>
        <v>86175.41933</v>
      </c>
      <c r="H87" s="46">
        <f>IFERROR(Retention!R169,0)</f>
        <v>68768.09509</v>
      </c>
      <c r="I87" s="46">
        <f>IFERROR(Retention!S169,0)</f>
        <v>102069.5413</v>
      </c>
      <c r="J87" s="46">
        <f>IFERROR(Retention!T169,0)</f>
        <v>26661.6576</v>
      </c>
      <c r="K87" s="46">
        <f>IFERROR(Retention!U169,0)</f>
        <v>103945.1425</v>
      </c>
      <c r="L87" s="46">
        <f>IFERROR(Retention!V169,0)</f>
        <v>54001.38532</v>
      </c>
      <c r="M87" s="46">
        <f>IFERROR(Retention!W169,0)</f>
        <v>137015.6738</v>
      </c>
      <c r="N87" s="46">
        <f>IFERROR(Retention!X169,0)</f>
        <v>110453.705</v>
      </c>
      <c r="O87" s="46">
        <f>IFERROR(Retention!Y169,0)</f>
        <v>116902.8711</v>
      </c>
      <c r="P87" s="46">
        <f>IFERROR(Retention!Z169,0)</f>
        <v>156589.3865</v>
      </c>
      <c r="Q87" s="46">
        <f>IFERROR(Retention!AA169,0)</f>
        <v>155604.4767</v>
      </c>
      <c r="R87" s="46">
        <f>IFERROR(Retention!AB169,0)</f>
        <v>168992.9852</v>
      </c>
      <c r="S87" s="46">
        <f>IFERROR(Retention!AC169,0)</f>
        <v>181003.9135</v>
      </c>
      <c r="T87" s="46">
        <f>IFERROR(Retention!AD169,0)</f>
        <v>191168.0266</v>
      </c>
      <c r="U87" s="46">
        <f>IFERROR(Retention!AE169,0)</f>
        <v>200298.7623</v>
      </c>
      <c r="V87" s="46">
        <f>IFERROR(Retention!AF169,0)</f>
        <v>216808.2763</v>
      </c>
      <c r="W87" s="46">
        <f>IFERROR(Retention!AG169,0)</f>
        <v>257953.5261</v>
      </c>
      <c r="X87" s="46">
        <f>IFERROR(Retention!AH169,0)</f>
        <v>256707.97</v>
      </c>
      <c r="Y87" s="46">
        <f>IFERROR(Retention!AI169,0)</f>
        <v>254455.7299</v>
      </c>
      <c r="Z87" s="46">
        <f>IFERROR(Retention!AJ169,0)</f>
        <v>253441.9691</v>
      </c>
      <c r="AA87" s="46">
        <f>IFERROR(Retention!AK169,0)</f>
        <v>258958.8822</v>
      </c>
      <c r="AB87" s="46">
        <f>IFERROR(Retention!AL169,0)</f>
        <v>257933.17</v>
      </c>
      <c r="AC87" s="11"/>
      <c r="AD87" s="33" t="str">
        <f>D87</f>
        <v>New Client LTV</v>
      </c>
      <c r="AE87" s="35" t="str">
        <f t="shared" ref="AE87:AF87" si="153">((AE85/12)*AE79)/(1-AE86)</f>
        <v>#VALUE!</v>
      </c>
      <c r="AF87" s="35" t="str">
        <f t="shared" si="153"/>
        <v>#VALUE!</v>
      </c>
      <c r="AG87" s="47" t="str">
        <f t="shared" si="137"/>
        <v>#VALUE!</v>
      </c>
      <c r="AH87" s="48" t="str">
        <f t="shared" si="138"/>
        <v>#VALUE!</v>
      </c>
      <c r="AI87" s="11"/>
      <c r="AJ87" s="11"/>
      <c r="AK87" s="33" t="s">
        <v>83</v>
      </c>
      <c r="AL87" s="35">
        <f t="shared" si="147"/>
        <v>88546.76038</v>
      </c>
      <c r="AM87" s="35">
        <f t="shared" si="148"/>
        <v>71669.4317</v>
      </c>
      <c r="AN87" s="35">
        <f t="shared" si="149"/>
        <v>130240.4091</v>
      </c>
      <c r="AO87" s="35">
        <f t="shared" si="150"/>
        <v>174192.3505</v>
      </c>
      <c r="AP87" s="35">
        <f t="shared" si="151"/>
        <v>232942.1337</v>
      </c>
      <c r="AQ87" s="35">
        <f t="shared" si="152"/>
        <v>256197.4378</v>
      </c>
      <c r="AR87" s="11"/>
      <c r="AS87" s="11"/>
      <c r="AT87" s="11"/>
      <c r="AU87" s="11"/>
      <c r="AV87" s="11"/>
      <c r="AW87" s="11"/>
      <c r="AX87" s="11"/>
      <c r="AY87" s="11"/>
      <c r="AZ87" s="11"/>
      <c r="BA87" s="11"/>
      <c r="BB87" s="11"/>
      <c r="BC87" s="11"/>
      <c r="BD87" s="11"/>
      <c r="BE87" s="11"/>
      <c r="BF87" s="11"/>
      <c r="BG87" s="11"/>
      <c r="BH87" s="11"/>
      <c r="BI87" s="11"/>
      <c r="BJ87" s="11"/>
      <c r="BK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2"/>
      <c r="AH88" s="19"/>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2"/>
      <c r="AH89" s="19"/>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row>
    <row r="90" ht="15.75" customHeight="1">
      <c r="A90" s="11"/>
      <c r="B90" s="11"/>
      <c r="C90" s="11"/>
      <c r="D90" s="11" t="s">
        <v>84</v>
      </c>
      <c r="E90" s="24"/>
      <c r="F90" s="24"/>
      <c r="G90" s="24"/>
      <c r="H90" s="24"/>
      <c r="I90" s="24"/>
      <c r="J90" s="24"/>
      <c r="K90" s="24"/>
      <c r="L90" s="24"/>
      <c r="M90" s="24">
        <f>M78-'Ops Departments'!X93</f>
        <v>0</v>
      </c>
      <c r="N90" s="24">
        <f>N78-'Ops Departments'!Y93</f>
        <v>0</v>
      </c>
      <c r="O90" s="24">
        <f>O78-'Ops Departments'!Z93</f>
        <v>0</v>
      </c>
      <c r="P90" s="24">
        <f>P78-'Ops Departments'!AA93</f>
        <v>0</v>
      </c>
      <c r="Q90" s="24">
        <f>Q78-'Ops Departments'!AB93</f>
        <v>0</v>
      </c>
      <c r="R90" s="24">
        <f>R78-'Ops Departments'!AC93</f>
        <v>0</v>
      </c>
      <c r="S90" s="24">
        <f>S78-'Ops Departments'!AD93</f>
        <v>0</v>
      </c>
      <c r="T90" s="24">
        <f>T78-'Ops Departments'!AE93</f>
        <v>0</v>
      </c>
      <c r="U90" s="24"/>
      <c r="V90" s="24"/>
      <c r="W90" s="24"/>
      <c r="X90" s="24"/>
      <c r="Y90" s="24"/>
      <c r="Z90" s="24"/>
      <c r="AA90" s="24"/>
      <c r="AB90" s="24"/>
      <c r="AC90" s="11"/>
      <c r="AD90" s="11"/>
      <c r="AE90" s="11"/>
      <c r="AF90" s="11"/>
      <c r="AG90" s="12"/>
      <c r="AH90" s="19"/>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2"/>
      <c r="AH91" s="19"/>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row>
    <row r="92" ht="15.75" customHeight="1">
      <c r="A92" s="11"/>
      <c r="B92" s="13" t="s">
        <v>89</v>
      </c>
      <c r="C92" s="11"/>
      <c r="D92" s="11"/>
      <c r="E92" s="14">
        <v>44562.0</v>
      </c>
      <c r="F92" s="14">
        <v>44593.0</v>
      </c>
      <c r="G92" s="14">
        <v>44621.0</v>
      </c>
      <c r="H92" s="14">
        <v>44652.0</v>
      </c>
      <c r="I92" s="14">
        <v>44682.0</v>
      </c>
      <c r="J92" s="14">
        <v>44713.0</v>
      </c>
      <c r="K92" s="14">
        <v>44743.0</v>
      </c>
      <c r="L92" s="14">
        <v>44774.0</v>
      </c>
      <c r="M92" s="14">
        <v>44805.0</v>
      </c>
      <c r="N92" s="14">
        <v>44835.0</v>
      </c>
      <c r="O92" s="14">
        <v>44866.0</v>
      </c>
      <c r="P92" s="14">
        <v>44896.0</v>
      </c>
      <c r="Q92" s="15">
        <v>44927.0</v>
      </c>
      <c r="R92" s="15">
        <v>44958.0</v>
      </c>
      <c r="S92" s="15">
        <v>44986.0</v>
      </c>
      <c r="T92" s="15">
        <v>45017.0</v>
      </c>
      <c r="U92" s="15">
        <v>45047.0</v>
      </c>
      <c r="V92" s="15">
        <v>45078.0</v>
      </c>
      <c r="W92" s="15">
        <v>45108.0</v>
      </c>
      <c r="X92" s="15">
        <v>45139.0</v>
      </c>
      <c r="Y92" s="15">
        <v>45170.0</v>
      </c>
      <c r="Z92" s="15">
        <v>45200.0</v>
      </c>
      <c r="AA92" s="15">
        <v>45231.0</v>
      </c>
      <c r="AB92" s="15">
        <v>45261.0</v>
      </c>
      <c r="AC92" s="11"/>
      <c r="AD92" s="11"/>
      <c r="AE92" s="16" t="s">
        <v>48</v>
      </c>
      <c r="AF92" s="17" t="s">
        <v>49</v>
      </c>
      <c r="AG92" s="18" t="s">
        <v>50</v>
      </c>
      <c r="AH92" s="49" t="s">
        <v>51</v>
      </c>
      <c r="AI92" s="11"/>
      <c r="AJ92" s="11"/>
      <c r="AK92" s="11"/>
      <c r="AL92" s="16" t="s">
        <v>52</v>
      </c>
      <c r="AM92" s="16" t="s">
        <v>53</v>
      </c>
      <c r="AN92" s="16" t="s">
        <v>48</v>
      </c>
      <c r="AO92" s="17" t="s">
        <v>49</v>
      </c>
      <c r="AP92" s="17" t="s">
        <v>54</v>
      </c>
      <c r="AQ92" s="17" t="s">
        <v>55</v>
      </c>
      <c r="AR92" s="11"/>
      <c r="AS92" s="11"/>
      <c r="AT92" s="11"/>
      <c r="AU92" s="11"/>
      <c r="AV92" s="11"/>
      <c r="AW92" s="11"/>
      <c r="AX92" s="11"/>
      <c r="AY92" s="11"/>
      <c r="AZ92" s="11"/>
      <c r="BA92" s="11"/>
      <c r="BB92" s="11"/>
      <c r="BC92" s="11"/>
      <c r="BD92" s="11"/>
      <c r="BE92" s="11"/>
      <c r="BF92" s="11"/>
      <c r="BG92" s="11"/>
      <c r="BH92" s="11"/>
      <c r="BI92" s="11"/>
      <c r="BJ92" s="11"/>
      <c r="BK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2"/>
      <c r="AH93" s="19"/>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row>
    <row r="94" ht="15.75" customHeight="1">
      <c r="A94" s="11"/>
      <c r="B94" s="11"/>
      <c r="C94" s="11"/>
      <c r="D94" s="11" t="s">
        <v>56</v>
      </c>
      <c r="E94" s="12">
        <f>Revenue!O116</f>
        <v>226884</v>
      </c>
      <c r="F94" s="12">
        <f>Revenue!P116</f>
        <v>146787</v>
      </c>
      <c r="G94" s="12">
        <f>Revenue!Q116</f>
        <v>203460</v>
      </c>
      <c r="H94" s="12">
        <f>Revenue!R116</f>
        <v>215821</v>
      </c>
      <c r="I94" s="12">
        <f>Revenue!S116</f>
        <v>177446</v>
      </c>
      <c r="J94" s="12">
        <f>Revenue!T116</f>
        <v>238987</v>
      </c>
      <c r="K94" s="12">
        <f>Revenue!U116</f>
        <v>235624</v>
      </c>
      <c r="L94" s="12">
        <f>Revenue!V116</f>
        <v>206309</v>
      </c>
      <c r="M94" s="12">
        <f>Revenue!W116</f>
        <v>135630</v>
      </c>
      <c r="N94" s="12">
        <f>Revenue!X116</f>
        <v>187158</v>
      </c>
      <c r="O94" s="12">
        <f>Revenue!Y116</f>
        <v>106005</v>
      </c>
      <c r="P94" s="12">
        <f>Revenue!Z116</f>
        <v>106005</v>
      </c>
      <c r="Q94" s="12">
        <f>Revenue!AA116</f>
        <v>106505</v>
      </c>
      <c r="R94" s="12">
        <f>Revenue!AB116</f>
        <v>107005</v>
      </c>
      <c r="S94" s="12">
        <f>Revenue!AC116</f>
        <v>107505</v>
      </c>
      <c r="T94" s="12">
        <f>Revenue!AD116</f>
        <v>108005</v>
      </c>
      <c r="U94" s="12">
        <f>Revenue!AE116</f>
        <v>108505</v>
      </c>
      <c r="V94" s="12">
        <f>Revenue!AF116</f>
        <v>109005</v>
      </c>
      <c r="W94" s="12">
        <f>Revenue!AG116</f>
        <v>109505</v>
      </c>
      <c r="X94" s="12">
        <f>Revenue!AH116</f>
        <v>110005</v>
      </c>
      <c r="Y94" s="12">
        <f>Revenue!AI116</f>
        <v>110505</v>
      </c>
      <c r="Z94" s="12">
        <f>Revenue!AJ116</f>
        <v>111005</v>
      </c>
      <c r="AA94" s="12">
        <f>Revenue!AK116</f>
        <v>111505</v>
      </c>
      <c r="AB94" s="12">
        <f>Revenue!AL116</f>
        <v>112005</v>
      </c>
      <c r="AC94" s="20"/>
      <c r="AD94" s="11" t="str">
        <f t="shared" ref="AD94:AD97" si="154">D94</f>
        <v>Recurring</v>
      </c>
      <c r="AE94" s="12">
        <f t="shared" ref="AE94:AE96" si="155">SUM(M94:P94)</f>
        <v>534798</v>
      </c>
      <c r="AF94" s="12">
        <f t="shared" ref="AF94:AF96" si="156">SUM(Q94:T94)</f>
        <v>429020</v>
      </c>
      <c r="AG94" s="12">
        <f t="shared" ref="AG94:AG97" si="157">AF94-AE94</f>
        <v>-105778</v>
      </c>
      <c r="AH94" s="19">
        <f t="shared" ref="AH94:AH96" si="158">AF94/AE94-1</f>
        <v>-0.1977905677</v>
      </c>
      <c r="AI94" s="11"/>
      <c r="AJ94" s="11"/>
      <c r="AK94" s="11"/>
      <c r="AL94" s="12">
        <f t="shared" ref="AL94:AL98" si="159">SUM(E94:H94)</f>
        <v>792952</v>
      </c>
      <c r="AM94" s="12">
        <f t="shared" ref="AM94:AM96" si="160">SUM(I94:L94)</f>
        <v>858366</v>
      </c>
      <c r="AN94" s="12">
        <f t="shared" ref="AN94:AN96" si="161">SUM(M94:P94)</f>
        <v>534798</v>
      </c>
      <c r="AO94" s="12">
        <f t="shared" ref="AO94:AO96" si="162">SUM(Q94:T94)</f>
        <v>429020</v>
      </c>
      <c r="AP94" s="12">
        <f t="shared" ref="AP94:AP96" si="163">SUM(U94:X94)</f>
        <v>437020</v>
      </c>
      <c r="AQ94" s="12">
        <f t="shared" ref="AQ94:AQ96" si="164">SUM(Y94:AB94)</f>
        <v>445020</v>
      </c>
      <c r="AR94" s="11"/>
      <c r="AS94" s="11"/>
      <c r="AT94" s="11"/>
      <c r="AU94" s="11"/>
      <c r="AV94" s="11"/>
      <c r="AW94" s="11"/>
      <c r="AX94" s="11"/>
      <c r="AY94" s="11"/>
      <c r="AZ94" s="11"/>
      <c r="BA94" s="11"/>
      <c r="BB94" s="11"/>
      <c r="BC94" s="11"/>
      <c r="BD94" s="11"/>
      <c r="BE94" s="11"/>
      <c r="BF94" s="11"/>
      <c r="BG94" s="11"/>
      <c r="BH94" s="11"/>
      <c r="BI94" s="11"/>
      <c r="BJ94" s="11"/>
      <c r="BK94" s="11"/>
    </row>
    <row r="95" ht="15.75" customHeight="1">
      <c r="A95" s="11"/>
      <c r="B95" s="11"/>
      <c r="C95" s="11"/>
      <c r="D95" s="11" t="s">
        <v>57</v>
      </c>
      <c r="E95" s="12">
        <f>Revenue!O122</f>
        <v>39925</v>
      </c>
      <c r="F95" s="12">
        <f>Revenue!P122</f>
        <v>24531</v>
      </c>
      <c r="G95" s="12">
        <f>Revenue!Q122</f>
        <v>38302</v>
      </c>
      <c r="H95" s="12">
        <f>Revenue!R122</f>
        <v>39790</v>
      </c>
      <c r="I95" s="12">
        <f>Revenue!S122</f>
        <v>27795</v>
      </c>
      <c r="J95" s="12">
        <f>Revenue!T122</f>
        <v>32523</v>
      </c>
      <c r="K95" s="12">
        <f>Revenue!U122</f>
        <v>20739</v>
      </c>
      <c r="L95" s="12">
        <f>Revenue!V122</f>
        <v>26143</v>
      </c>
      <c r="M95" s="12">
        <f>Revenue!W122</f>
        <v>20732</v>
      </c>
      <c r="N95" s="12">
        <f>Revenue!X122</f>
        <v>21674</v>
      </c>
      <c r="O95" s="12">
        <f>Revenue!Y122</f>
        <v>39390</v>
      </c>
      <c r="P95" s="12">
        <f>Revenue!Z122</f>
        <v>57486.35237</v>
      </c>
      <c r="Q95" s="12">
        <f>Revenue!AA122</f>
        <v>76539.73884</v>
      </c>
      <c r="R95" s="12">
        <f>Revenue!AB122</f>
        <v>93454.03351</v>
      </c>
      <c r="S95" s="12">
        <f>Revenue!AC122</f>
        <v>105718.6562</v>
      </c>
      <c r="T95" s="12">
        <f>Revenue!AD122</f>
        <v>114668.5289</v>
      </c>
      <c r="U95" s="12">
        <f>Revenue!AE122</f>
        <v>122176.7352</v>
      </c>
      <c r="V95" s="12">
        <f>Revenue!AF122</f>
        <v>127378.8968</v>
      </c>
      <c r="W95" s="12">
        <f>Revenue!AG122</f>
        <v>131025.91</v>
      </c>
      <c r="X95" s="12">
        <f>Revenue!AH122</f>
        <v>132296.9064</v>
      </c>
      <c r="Y95" s="12">
        <f>Revenue!AI122</f>
        <v>130880.1234</v>
      </c>
      <c r="Z95" s="12">
        <f>Revenue!AJ122</f>
        <v>133326.6618</v>
      </c>
      <c r="AA95" s="12">
        <f>Revenue!AK122</f>
        <v>135281.6721</v>
      </c>
      <c r="AB95" s="12">
        <f>Revenue!AL122</f>
        <v>137021.6499</v>
      </c>
      <c r="AC95" s="20"/>
      <c r="AD95" s="11" t="str">
        <f t="shared" si="154"/>
        <v>Project</v>
      </c>
      <c r="AE95" s="20">
        <f t="shared" si="155"/>
        <v>139282.3524</v>
      </c>
      <c r="AF95" s="21">
        <f t="shared" si="156"/>
        <v>390380.9575</v>
      </c>
      <c r="AG95" s="21">
        <f t="shared" si="157"/>
        <v>251098.6052</v>
      </c>
      <c r="AH95" s="19">
        <f t="shared" si="158"/>
        <v>1.802802731</v>
      </c>
      <c r="AI95" s="11"/>
      <c r="AJ95" s="11"/>
      <c r="AK95" s="11"/>
      <c r="AL95" s="20">
        <f t="shared" si="159"/>
        <v>142548</v>
      </c>
      <c r="AM95" s="21">
        <f t="shared" si="160"/>
        <v>107200</v>
      </c>
      <c r="AN95" s="20">
        <f t="shared" si="161"/>
        <v>139282.3524</v>
      </c>
      <c r="AO95" s="20">
        <f t="shared" si="162"/>
        <v>390380.9575</v>
      </c>
      <c r="AP95" s="21">
        <f t="shared" si="163"/>
        <v>512878.4484</v>
      </c>
      <c r="AQ95" s="20">
        <f t="shared" si="164"/>
        <v>536510.1073</v>
      </c>
      <c r="AR95" s="11"/>
      <c r="AS95" s="11"/>
      <c r="AT95" s="11"/>
      <c r="AU95" s="11"/>
      <c r="AV95" s="11"/>
      <c r="AW95" s="11"/>
      <c r="AX95" s="11"/>
      <c r="AY95" s="11"/>
      <c r="AZ95" s="11"/>
      <c r="BA95" s="11"/>
      <c r="BB95" s="11"/>
      <c r="BC95" s="11"/>
      <c r="BD95" s="11"/>
      <c r="BE95" s="11"/>
      <c r="BF95" s="11"/>
      <c r="BG95" s="11"/>
      <c r="BH95" s="11"/>
      <c r="BI95" s="11"/>
      <c r="BJ95" s="11"/>
      <c r="BK95" s="11"/>
    </row>
    <row r="96" ht="15.75" customHeight="1">
      <c r="A96" s="11"/>
      <c r="B96" s="11"/>
      <c r="C96" s="11"/>
      <c r="D96" s="22" t="str">
        <f>CONCATENATE(B92," Revenue")</f>
        <v>Video Revenue</v>
      </c>
      <c r="E96" s="23">
        <f>'Ops Departments'!P104</f>
        <v>266809</v>
      </c>
      <c r="F96" s="23">
        <f>'Ops Departments'!Q104</f>
        <v>171318</v>
      </c>
      <c r="G96" s="23">
        <f>'Ops Departments'!R104</f>
        <v>241762</v>
      </c>
      <c r="H96" s="23">
        <f>'Ops Departments'!S104</f>
        <v>255611</v>
      </c>
      <c r="I96" s="23">
        <f>'Ops Departments'!T104</f>
        <v>205241</v>
      </c>
      <c r="J96" s="23">
        <f>'Ops Departments'!U104</f>
        <v>271510</v>
      </c>
      <c r="K96" s="23">
        <f>'Ops Departments'!V104</f>
        <v>256363</v>
      </c>
      <c r="L96" s="23">
        <f>'Ops Departments'!W104</f>
        <v>76757</v>
      </c>
      <c r="M96" s="23">
        <f>'Ops Departments'!X104</f>
        <v>67231</v>
      </c>
      <c r="N96" s="23">
        <f>'Ops Departments'!Y104</f>
        <v>208832</v>
      </c>
      <c r="O96" s="23">
        <f>'Ops Departments'!Z104</f>
        <v>145395</v>
      </c>
      <c r="P96" s="23">
        <f>'Ops Departments'!AA104</f>
        <v>163491.3524</v>
      </c>
      <c r="Q96" s="23">
        <f>'Ops Departments'!AB104</f>
        <v>183044.7388</v>
      </c>
      <c r="R96" s="23">
        <f>'Ops Departments'!AC104</f>
        <v>200459.0335</v>
      </c>
      <c r="S96" s="23">
        <f>'Ops Departments'!AD104</f>
        <v>213223.6562</v>
      </c>
      <c r="T96" s="23">
        <f>'Ops Departments'!AE104</f>
        <v>222673.5289</v>
      </c>
      <c r="U96" s="23">
        <f>'Ops Departments'!AF104</f>
        <v>230681.7352</v>
      </c>
      <c r="V96" s="23">
        <f>'Ops Departments'!AG104</f>
        <v>236383.8968</v>
      </c>
      <c r="W96" s="23">
        <f>'Ops Departments'!AH104</f>
        <v>240530.91</v>
      </c>
      <c r="X96" s="23">
        <f>'Ops Departments'!AI104</f>
        <v>242301.9064</v>
      </c>
      <c r="Y96" s="23">
        <f>'Ops Departments'!AJ104</f>
        <v>241385.1234</v>
      </c>
      <c r="Z96" s="23">
        <f>'Ops Departments'!AK104</f>
        <v>244331.6618</v>
      </c>
      <c r="AA96" s="23">
        <f>'Ops Departments'!AL104</f>
        <v>246786.6721</v>
      </c>
      <c r="AB96" s="23">
        <f>'Ops Departments'!AM104</f>
        <v>249026.6499</v>
      </c>
      <c r="AC96" s="38"/>
      <c r="AD96" s="22" t="str">
        <f t="shared" si="154"/>
        <v>Video Revenue</v>
      </c>
      <c r="AE96" s="25">
        <f t="shared" si="155"/>
        <v>584949.3524</v>
      </c>
      <c r="AF96" s="26">
        <f t="shared" si="156"/>
        <v>819400.9575</v>
      </c>
      <c r="AG96" s="25">
        <f t="shared" si="157"/>
        <v>234451.6052</v>
      </c>
      <c r="AH96" s="27">
        <f t="shared" si="158"/>
        <v>0.4008066754</v>
      </c>
      <c r="AI96" s="11"/>
      <c r="AJ96" s="11"/>
      <c r="AK96" s="11"/>
      <c r="AL96" s="25">
        <f t="shared" si="159"/>
        <v>935500</v>
      </c>
      <c r="AM96" s="26">
        <f t="shared" si="160"/>
        <v>809871</v>
      </c>
      <c r="AN96" s="25">
        <f t="shared" si="161"/>
        <v>584949.3524</v>
      </c>
      <c r="AO96" s="25">
        <f t="shared" si="162"/>
        <v>819400.9575</v>
      </c>
      <c r="AP96" s="26">
        <f t="shared" si="163"/>
        <v>949898.4484</v>
      </c>
      <c r="AQ96" s="25">
        <f t="shared" si="164"/>
        <v>981530.1073</v>
      </c>
      <c r="AR96" s="11"/>
      <c r="AS96" s="11"/>
      <c r="AT96" s="11"/>
      <c r="AU96" s="11"/>
      <c r="AV96" s="11"/>
      <c r="AW96" s="11"/>
      <c r="AX96" s="11"/>
      <c r="AY96" s="11"/>
      <c r="AZ96" s="11"/>
      <c r="BA96" s="11"/>
      <c r="BB96" s="11"/>
      <c r="BC96" s="11"/>
      <c r="BD96" s="11"/>
      <c r="BE96" s="11"/>
      <c r="BF96" s="11"/>
      <c r="BG96" s="11"/>
      <c r="BH96" s="11"/>
      <c r="BI96" s="11"/>
      <c r="BJ96" s="11"/>
      <c r="BK96" s="11"/>
    </row>
    <row r="97" ht="15.75" customHeight="1">
      <c r="A97" s="11"/>
      <c r="B97" s="11"/>
      <c r="C97" s="11"/>
      <c r="D97" s="11" t="s">
        <v>60</v>
      </c>
      <c r="E97" s="20">
        <f>'Ops Departments'!L104-'Ops Departments'!K104</f>
        <v>-43320</v>
      </c>
      <c r="F97" s="20">
        <f>'Ops Departments'!M104-'Ops Departments'!L104</f>
        <v>28047</v>
      </c>
      <c r="G97" s="20">
        <f>'Ops Departments'!N104-'Ops Departments'!M104</f>
        <v>-11319</v>
      </c>
      <c r="H97" s="20">
        <f>'Ops Departments'!O104-'Ops Departments'!N104</f>
        <v>20529</v>
      </c>
      <c r="I97" s="20">
        <f>'Ops Departments'!P104-'Ops Departments'!O104</f>
        <v>76305</v>
      </c>
      <c r="J97" s="20">
        <f>'Ops Departments'!Q104-'Ops Departments'!P104</f>
        <v>-95491</v>
      </c>
      <c r="K97" s="20">
        <f>'Ops Departments'!R104-'Ops Departments'!Q104</f>
        <v>70444</v>
      </c>
      <c r="L97" s="20">
        <f>'Ops Departments'!S104-'Ops Departments'!R104</f>
        <v>13849</v>
      </c>
      <c r="M97" s="20">
        <f>'Ops Departments'!T104-'Ops Departments'!S104</f>
        <v>-50370</v>
      </c>
      <c r="N97" s="20">
        <f>'Ops Departments'!U104-'Ops Departments'!T104</f>
        <v>66269</v>
      </c>
      <c r="O97" s="20">
        <f>'Ops Departments'!V104-'Ops Departments'!U104</f>
        <v>-15147</v>
      </c>
      <c r="P97" s="20">
        <f>'Ops Departments'!W104-'Ops Departments'!V104</f>
        <v>-179606</v>
      </c>
      <c r="Q97" s="20">
        <f>'Ops Departments'!X104-'Ops Departments'!W104</f>
        <v>-9526</v>
      </c>
      <c r="R97" s="20">
        <f>'Ops Departments'!Y104-'Ops Departments'!X104</f>
        <v>141601</v>
      </c>
      <c r="S97" s="20">
        <f>'Ops Departments'!Z104-'Ops Departments'!Y104</f>
        <v>-63437</v>
      </c>
      <c r="T97" s="20">
        <f>'Ops Departments'!AA104-'Ops Departments'!Z104</f>
        <v>18096.35237</v>
      </c>
      <c r="U97" s="20">
        <f>'Ops Departments'!AB104-'Ops Departments'!AA104</f>
        <v>19553.38647</v>
      </c>
      <c r="V97" s="20">
        <f>'Ops Departments'!AC104-'Ops Departments'!AB104</f>
        <v>17414.29468</v>
      </c>
      <c r="W97" s="20">
        <f>'Ops Departments'!AD104-'Ops Departments'!AC104</f>
        <v>12764.62274</v>
      </c>
      <c r="X97" s="20">
        <f>'Ops Departments'!AE104-'Ops Departments'!AD104</f>
        <v>9449.872696</v>
      </c>
      <c r="Y97" s="20">
        <f>'Ops Departments'!AF104-'Ops Departments'!AE104</f>
        <v>8008.206239</v>
      </c>
      <c r="Z97" s="20">
        <f>'Ops Departments'!AG104-'Ops Departments'!AF104</f>
        <v>5702.161659</v>
      </c>
      <c r="AA97" s="20">
        <f>'Ops Departments'!AH104-'Ops Departments'!AG104</f>
        <v>4147.013192</v>
      </c>
      <c r="AB97" s="20">
        <f>'Ops Departments'!AI104-'Ops Departments'!AH104</f>
        <v>1770.996344</v>
      </c>
      <c r="AC97" s="20"/>
      <c r="AD97" s="11" t="str">
        <f t="shared" si="154"/>
        <v>  NNR</v>
      </c>
      <c r="AE97" s="20">
        <f>Summary!DE10-Summary!DD10</f>
        <v>-291485.6476</v>
      </c>
      <c r="AF97" s="20">
        <f>AF96-AE96</f>
        <v>234451.6052</v>
      </c>
      <c r="AG97" s="21">
        <f t="shared" si="157"/>
        <v>525937.2528</v>
      </c>
      <c r="AH97" s="19"/>
      <c r="AI97" s="11"/>
      <c r="AJ97" s="11"/>
      <c r="AK97" s="11"/>
      <c r="AL97" s="20">
        <f t="shared" si="159"/>
        <v>-6063</v>
      </c>
      <c r="AM97" s="20">
        <f t="shared" ref="AM97:AQ97" si="165">AM96-AL96</f>
        <v>-125629</v>
      </c>
      <c r="AN97" s="20">
        <f t="shared" si="165"/>
        <v>-224921.6476</v>
      </c>
      <c r="AO97" s="20">
        <f t="shared" si="165"/>
        <v>234451.6052</v>
      </c>
      <c r="AP97" s="20">
        <f t="shared" si="165"/>
        <v>130497.4909</v>
      </c>
      <c r="AQ97" s="20">
        <f t="shared" si="165"/>
        <v>31631.65884</v>
      </c>
      <c r="AR97" s="11"/>
      <c r="AS97" s="11"/>
      <c r="AT97" s="11"/>
      <c r="AU97" s="11"/>
      <c r="AV97" s="11"/>
      <c r="AW97" s="11"/>
      <c r="AX97" s="11"/>
      <c r="AY97" s="11"/>
      <c r="AZ97" s="11"/>
      <c r="BA97" s="11"/>
      <c r="BB97" s="11"/>
      <c r="BC97" s="11"/>
      <c r="BD97" s="11"/>
      <c r="BE97" s="11"/>
      <c r="BF97" s="11"/>
      <c r="BG97" s="11"/>
      <c r="BH97" s="11"/>
      <c r="BI97" s="11"/>
      <c r="BJ97" s="11"/>
      <c r="BK97" s="11"/>
    </row>
    <row r="98" ht="15.75" customHeight="1">
      <c r="A98" s="11"/>
      <c r="B98" s="11"/>
      <c r="C98" s="11"/>
      <c r="D98" s="11" t="s">
        <v>61</v>
      </c>
      <c r="E98" s="19">
        <f>'Ops Departments'!L104/'Ops Departments'!K104-1</f>
        <v>-0.220382872</v>
      </c>
      <c r="F98" s="19">
        <f>'Ops Departments'!M104/'Ops Departments'!L104-1</f>
        <v>0.1830182646</v>
      </c>
      <c r="G98" s="19">
        <f>'Ops Departments'!N104/'Ops Departments'!M104-1</f>
        <v>-0.06243449866</v>
      </c>
      <c r="H98" s="19">
        <f>'Ops Departments'!O104/'Ops Departments'!N104-1</f>
        <v>0.1207765848</v>
      </c>
      <c r="I98" s="19">
        <f>'Ops Departments'!P104/'Ops Departments'!O104-1</f>
        <v>0.4005427708</v>
      </c>
      <c r="J98" s="19">
        <f>'Ops Departments'!Q104/'Ops Departments'!P104-1</f>
        <v>-0.3579002208</v>
      </c>
      <c r="K98" s="19">
        <f>'Ops Departments'!R104/'Ops Departments'!Q104-1</f>
        <v>0.4111885499</v>
      </c>
      <c r="L98" s="19">
        <f>'Ops Departments'!S104/'Ops Departments'!R104-1</f>
        <v>0.0572836095</v>
      </c>
      <c r="M98" s="19">
        <f>'Ops Departments'!T104/'Ops Departments'!S104-1</f>
        <v>-0.1970572471</v>
      </c>
      <c r="N98" s="19">
        <f>'Ops Departments'!U104/'Ops Departments'!T104-1</f>
        <v>0.3228838293</v>
      </c>
      <c r="O98" s="19">
        <f>'Ops Departments'!V104/'Ops Departments'!U104-1</f>
        <v>-0.05578800044</v>
      </c>
      <c r="P98" s="19">
        <f>'Ops Departments'!W104/'Ops Departments'!V104-1</f>
        <v>-0.7005925192</v>
      </c>
      <c r="Q98" s="19">
        <f>'Ops Departments'!X104/'Ops Departments'!W104-1</f>
        <v>-0.1241059447</v>
      </c>
      <c r="R98" s="19">
        <f>'Ops Departments'!Y104/'Ops Departments'!X104-1</f>
        <v>2.106186134</v>
      </c>
      <c r="S98" s="19">
        <f>'Ops Departments'!Z104/'Ops Departments'!Y104-1</f>
        <v>-0.3037704949</v>
      </c>
      <c r="T98" s="19">
        <f>'Ops Departments'!AA104/'Ops Departments'!Z104-1</f>
        <v>0.1244633747</v>
      </c>
      <c r="U98" s="19">
        <f>'Ops Departments'!AB104/'Ops Departments'!AA104-1</f>
        <v>0.1195989035</v>
      </c>
      <c r="V98" s="19">
        <f>'Ops Departments'!AC104/'Ops Departments'!AB104-1</f>
        <v>0.09513682167</v>
      </c>
      <c r="W98" s="19">
        <f>'Ops Departments'!AD104/'Ops Departments'!AC104-1</f>
        <v>0.06367696437</v>
      </c>
      <c r="X98" s="19">
        <f>'Ops Departments'!AE104/'Ops Departments'!AD104-1</f>
        <v>0.04431906319</v>
      </c>
      <c r="Y98" s="19">
        <f>'Ops Departments'!AF104/'Ops Departments'!AE104-1</f>
        <v>0.03596388972</v>
      </c>
      <c r="Z98" s="19">
        <f>'Ops Departments'!AG104/'Ops Departments'!AF104-1</f>
        <v>0.02471873924</v>
      </c>
      <c r="AA98" s="19">
        <f>'Ops Departments'!AH104/'Ops Departments'!AG104-1</f>
        <v>0.01754355203</v>
      </c>
      <c r="AB98" s="19">
        <f>'Ops Departments'!AI104/'Ops Departments'!AH104-1</f>
        <v>0.007362863858</v>
      </c>
      <c r="AC98" s="19"/>
      <c r="AD98" s="11" t="s">
        <v>62</v>
      </c>
      <c r="AE98" s="19">
        <f>AN96/AM96-1</f>
        <v>-0.2777252768</v>
      </c>
      <c r="AF98" s="19">
        <f>AF96/AE96-1</f>
        <v>0.4008066754</v>
      </c>
      <c r="AG98" s="12"/>
      <c r="AH98" s="19"/>
      <c r="AI98" s="11"/>
      <c r="AJ98" s="11"/>
      <c r="AK98" s="11"/>
      <c r="AL98" s="19">
        <f t="shared" si="159"/>
        <v>0.02097747877</v>
      </c>
      <c r="AM98" s="19">
        <f t="shared" ref="AM98:AQ98" si="166">AM96/AL96-1</f>
        <v>-0.1342907536</v>
      </c>
      <c r="AN98" s="19">
        <f t="shared" si="166"/>
        <v>-0.2777252768</v>
      </c>
      <c r="AO98" s="19">
        <f t="shared" si="166"/>
        <v>0.4008066754</v>
      </c>
      <c r="AP98" s="19">
        <f t="shared" si="166"/>
        <v>0.159259627</v>
      </c>
      <c r="AQ98" s="19">
        <f t="shared" si="166"/>
        <v>0.03330004264</v>
      </c>
      <c r="AR98" s="11"/>
      <c r="AS98" s="11"/>
      <c r="AT98" s="11"/>
      <c r="AU98" s="11"/>
      <c r="AV98" s="11"/>
      <c r="AW98" s="11"/>
      <c r="AX98" s="11"/>
      <c r="AY98" s="11"/>
      <c r="AZ98" s="11"/>
      <c r="BA98" s="11"/>
      <c r="BB98" s="11"/>
      <c r="BC98" s="11"/>
      <c r="BD98" s="11"/>
      <c r="BE98" s="11"/>
      <c r="BF98" s="11"/>
      <c r="BG98" s="11"/>
      <c r="BH98" s="11"/>
      <c r="BI98" s="11"/>
      <c r="BJ98" s="11"/>
      <c r="BK98" s="11"/>
    </row>
    <row r="99" ht="15.75" customHeight="1">
      <c r="A99" s="11"/>
      <c r="B99" s="11"/>
      <c r="C99" s="11"/>
      <c r="D99" s="11"/>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11"/>
      <c r="AE99" s="20"/>
      <c r="AF99" s="20"/>
      <c r="AG99" s="12"/>
      <c r="AH99" s="19"/>
      <c r="AI99" s="11"/>
      <c r="AJ99" s="11"/>
      <c r="AK99" s="11"/>
      <c r="AL99" s="20"/>
      <c r="AM99" s="20"/>
      <c r="AN99" s="20"/>
      <c r="AO99" s="20"/>
      <c r="AP99" s="20"/>
      <c r="AQ99" s="20"/>
      <c r="AR99" s="11"/>
      <c r="AS99" s="11"/>
      <c r="AT99" s="11"/>
      <c r="AU99" s="11"/>
      <c r="AV99" s="11"/>
      <c r="AW99" s="11"/>
      <c r="AX99" s="11"/>
      <c r="AY99" s="11"/>
      <c r="AZ99" s="11"/>
      <c r="BA99" s="11"/>
      <c r="BB99" s="11"/>
      <c r="BC99" s="11"/>
      <c r="BD99" s="11"/>
      <c r="BE99" s="11"/>
      <c r="BF99" s="11"/>
      <c r="BG99" s="11"/>
      <c r="BH99" s="11"/>
      <c r="BI99" s="11"/>
      <c r="BJ99" s="11"/>
      <c r="BK99" s="11"/>
    </row>
    <row r="100" ht="15.75" customHeight="1">
      <c r="A100" s="11" t="s">
        <v>89</v>
      </c>
      <c r="B100" s="11" t="s">
        <v>63</v>
      </c>
      <c r="C100" s="11"/>
      <c r="D100" s="11" t="s">
        <v>64</v>
      </c>
      <c r="E100" s="53">
        <f>SUMIFS('Ops Departments'!P:P,'Ops Departments'!$B:$B,$B100,'Ops Departments'!$A:$A,$A100)</f>
        <v>23175</v>
      </c>
      <c r="F100" s="53">
        <f>SUMIFS('Ops Departments'!Q:Q,'Ops Departments'!$B:$B,$B100,'Ops Departments'!$A:$A,$A100)</f>
        <v>21367</v>
      </c>
      <c r="G100" s="53">
        <f>SUMIFS('Ops Departments'!R:R,'Ops Departments'!$B:$B,$B100,'Ops Departments'!$A:$A,$A100)</f>
        <v>23758</v>
      </c>
      <c r="H100" s="53">
        <f>SUMIFS('Ops Departments'!S:S,'Ops Departments'!$B:$B,$B100,'Ops Departments'!$A:$A,$A100)</f>
        <v>27331</v>
      </c>
      <c r="I100" s="53">
        <f>SUMIFS('Ops Departments'!T:T,'Ops Departments'!$B:$B,$B100,'Ops Departments'!$A:$A,$A100)</f>
        <v>29064</v>
      </c>
      <c r="J100" s="53">
        <f>SUMIFS('Ops Departments'!U:U,'Ops Departments'!$B:$B,$B100,'Ops Departments'!$A:$A,$A100)</f>
        <v>19718</v>
      </c>
      <c r="K100" s="53">
        <f>SUMIFS('Ops Departments'!V:V,'Ops Departments'!$B:$B,$B100,'Ops Departments'!$A:$A,$A100)</f>
        <v>13290</v>
      </c>
      <c r="L100" s="53">
        <f>SUMIFS('Ops Departments'!W:W,'Ops Departments'!$B:$B,$B100,'Ops Departments'!$A:$A,$A100)</f>
        <v>21450</v>
      </c>
      <c r="M100" s="53">
        <f>SUMIFS('Ops Departments'!X:X,'Ops Departments'!$B:$B,$B100,'Ops Departments'!$A:$A,$A100)</f>
        <v>20782</v>
      </c>
      <c r="N100" s="53">
        <f>SUMIFS('Ops Departments'!Y:Y,'Ops Departments'!$B:$B,$B100,'Ops Departments'!$A:$A,$A100)</f>
        <v>19757</v>
      </c>
      <c r="O100" s="53">
        <f>SUMIFS('Ops Departments'!Z:Z,'Ops Departments'!$B:$B,$B100,'Ops Departments'!$A:$A,$A100)</f>
        <v>18880</v>
      </c>
      <c r="P100" s="53">
        <f>SUMIFS('Ops Departments'!AA:AA,'Ops Departments'!$B:$B,$B100,'Ops Departments'!$A:$A,$A100)</f>
        <v>10533.33669</v>
      </c>
      <c r="Q100" s="53">
        <f>SUMIFS('Ops Departments'!AB:AB,'Ops Departments'!$B:$B,$B100,'Ops Departments'!$A:$A,$A100)</f>
        <v>10810.09434</v>
      </c>
      <c r="R100" s="53">
        <f>SUMIFS('Ops Departments'!AC:AC,'Ops Departments'!$B:$B,$B100,'Ops Departments'!$A:$A,$A100)</f>
        <v>10907.90744</v>
      </c>
      <c r="S100" s="53">
        <f>SUMIFS('Ops Departments'!AD:AD,'Ops Departments'!$B:$B,$B100,'Ops Departments'!$A:$A,$A100)</f>
        <v>11062.77001</v>
      </c>
      <c r="T100" s="53">
        <f>SUMIFS('Ops Departments'!AE:AE,'Ops Departments'!$B:$B,$B100,'Ops Departments'!$A:$A,$A100)</f>
        <v>11189.81197</v>
      </c>
      <c r="U100" s="53">
        <f>SUMIFS('Ops Departments'!AF:AF,'Ops Departments'!$B:$B,$B100,'Ops Departments'!$A:$A,$A100)</f>
        <v>11413.46386</v>
      </c>
      <c r="V100" s="53">
        <f>SUMIFS('Ops Departments'!AG:AG,'Ops Departments'!$B:$B,$B100,'Ops Departments'!$A:$A,$A100)</f>
        <v>11471.34912</v>
      </c>
      <c r="W100" s="53">
        <f>SUMIFS('Ops Departments'!AH:AH,'Ops Departments'!$B:$B,$B100,'Ops Departments'!$A:$A,$A100)</f>
        <v>17865.88114</v>
      </c>
      <c r="X100" s="53">
        <f>SUMIFS('Ops Departments'!AI:AI,'Ops Departments'!$B:$B,$B100,'Ops Departments'!$A:$A,$A100)</f>
        <v>17887.59392</v>
      </c>
      <c r="Y100" s="53">
        <f>SUMIFS('Ops Departments'!AJ:AJ,'Ops Departments'!$B:$B,$B100,'Ops Departments'!$A:$A,$A100)</f>
        <v>18060.89216</v>
      </c>
      <c r="Z100" s="53">
        <f>SUMIFS('Ops Departments'!AK:AK,'Ops Departments'!$B:$B,$B100,'Ops Departments'!$A:$A,$A100)</f>
        <v>18245.00703</v>
      </c>
      <c r="AA100" s="53">
        <f>SUMIFS('Ops Departments'!AL:AL,'Ops Departments'!$B:$B,$B100,'Ops Departments'!$A:$A,$A100)</f>
        <v>18388.15479</v>
      </c>
      <c r="AB100" s="53">
        <f>SUMIFS('Ops Departments'!AM:AM,'Ops Departments'!$B:$B,$B100,'Ops Departments'!$A:$A,$A100)</f>
        <v>18512.77375</v>
      </c>
      <c r="AC100" s="12"/>
      <c r="AD100" s="12" t="str">
        <f t="shared" ref="AD100:AD105" si="167">D100</f>
        <v>Payroll &amp; Related</v>
      </c>
      <c r="AE100" s="12">
        <f t="shared" ref="AE100:AE105" si="168">SUM(M100:P100)</f>
        <v>69952.33669</v>
      </c>
      <c r="AF100" s="12">
        <f t="shared" ref="AF100:AF105" si="169">SUM(Q100:T100)</f>
        <v>43970.58376</v>
      </c>
      <c r="AG100" s="12">
        <f t="shared" ref="AG100:AG105" si="170">AE100-AF100</f>
        <v>25981.75293</v>
      </c>
      <c r="AH100" s="19">
        <f t="shared" ref="AH100:AH105" si="171">AF100/AE100-1</f>
        <v>-0.371420801</v>
      </c>
      <c r="AI100" s="11"/>
      <c r="AJ100" s="11"/>
      <c r="AK100" s="11"/>
      <c r="AL100" s="12">
        <f t="shared" ref="AL100:AL105" si="172">SUM(E100:H100)</f>
        <v>95631</v>
      </c>
      <c r="AM100" s="12">
        <f t="shared" ref="AM100:AM105" si="173">SUM(I100:L100)</f>
        <v>83522</v>
      </c>
      <c r="AN100" s="12">
        <f t="shared" ref="AN100:AN105" si="174">SUM(M100:P100)</f>
        <v>69952.33669</v>
      </c>
      <c r="AO100" s="12">
        <f t="shared" ref="AO100:AO105" si="175">SUM(Q100:T100)</f>
        <v>43970.58376</v>
      </c>
      <c r="AP100" s="12">
        <f t="shared" ref="AP100:AP105" si="176">SUM(U100:X100)</f>
        <v>58638.28804</v>
      </c>
      <c r="AQ100" s="12">
        <f t="shared" ref="AQ100:AQ105" si="177">SUM(Y100:AB100)</f>
        <v>73206.82773</v>
      </c>
      <c r="AR100" s="11"/>
      <c r="AS100" s="11"/>
      <c r="AT100" s="11"/>
      <c r="AU100" s="11"/>
      <c r="AV100" s="11"/>
      <c r="AW100" s="11"/>
      <c r="AX100" s="11"/>
      <c r="AY100" s="11"/>
      <c r="AZ100" s="11"/>
      <c r="BA100" s="11"/>
      <c r="BB100" s="11"/>
      <c r="BC100" s="11"/>
      <c r="BD100" s="11"/>
      <c r="BE100" s="11"/>
      <c r="BF100" s="11"/>
      <c r="BG100" s="11"/>
      <c r="BH100" s="11"/>
      <c r="BI100" s="11"/>
      <c r="BJ100" s="11"/>
      <c r="BK100" s="11"/>
    </row>
    <row r="101" ht="15.75" customHeight="1">
      <c r="A101" s="11" t="s">
        <v>89</v>
      </c>
      <c r="B101" s="11" t="s">
        <v>65</v>
      </c>
      <c r="C101" s="11"/>
      <c r="D101" s="11" t="s">
        <v>66</v>
      </c>
      <c r="E101" s="53">
        <f>SUMIFS('Ops Departments'!P:P,'Ops Departments'!$B:$B,$B101,'Ops Departments'!$A:$A,$A101)</f>
        <v>839</v>
      </c>
      <c r="F101" s="53">
        <f>SUMIFS('Ops Departments'!Q:Q,'Ops Departments'!$B:$B,$B101,'Ops Departments'!$A:$A,$A101)</f>
        <v>4125</v>
      </c>
      <c r="G101" s="53">
        <f>SUMIFS('Ops Departments'!R:R,'Ops Departments'!$B:$B,$B101,'Ops Departments'!$A:$A,$A101)</f>
        <v>1997</v>
      </c>
      <c r="H101" s="53">
        <f>SUMIFS('Ops Departments'!S:S,'Ops Departments'!$B:$B,$B101,'Ops Departments'!$A:$A,$A101)</f>
        <v>646</v>
      </c>
      <c r="I101" s="53">
        <f>SUMIFS('Ops Departments'!T:T,'Ops Departments'!$B:$B,$B101,'Ops Departments'!$A:$A,$A101)</f>
        <v>348</v>
      </c>
      <c r="J101" s="53">
        <f>SUMIFS('Ops Departments'!U:U,'Ops Departments'!$B:$B,$B101,'Ops Departments'!$A:$A,$A101)</f>
        <v>2714</v>
      </c>
      <c r="K101" s="53">
        <f>SUMIFS('Ops Departments'!V:V,'Ops Departments'!$B:$B,$B101,'Ops Departments'!$A:$A,$A101)</f>
        <v>4220</v>
      </c>
      <c r="L101" s="53">
        <f>SUMIFS('Ops Departments'!W:W,'Ops Departments'!$B:$B,$B101,'Ops Departments'!$A:$A,$A101)</f>
        <v>1646</v>
      </c>
      <c r="M101" s="53">
        <f>SUMIFS('Ops Departments'!X:X,'Ops Departments'!$B:$B,$B101,'Ops Departments'!$A:$A,$A101)</f>
        <v>1350</v>
      </c>
      <c r="N101" s="53">
        <f>SUMIFS('Ops Departments'!Y:Y,'Ops Departments'!$B:$B,$B101,'Ops Departments'!$A:$A,$A101)</f>
        <v>482</v>
      </c>
      <c r="O101" s="53">
        <f>SUMIFS('Ops Departments'!Z:Z,'Ops Departments'!$B:$B,$B101,'Ops Departments'!$A:$A,$A101)</f>
        <v>4572</v>
      </c>
      <c r="P101" s="53">
        <f>SUMIFS('Ops Departments'!AA:AA,'Ops Departments'!$B:$B,$B101,'Ops Departments'!$A:$A,$A101)</f>
        <v>0</v>
      </c>
      <c r="Q101" s="53">
        <f>SUMIFS('Ops Departments'!AB:AB,'Ops Departments'!$B:$B,$B101,'Ops Departments'!$A:$A,$A101)</f>
        <v>0</v>
      </c>
      <c r="R101" s="53">
        <f>SUMIFS('Ops Departments'!AC:AC,'Ops Departments'!$B:$B,$B101,'Ops Departments'!$A:$A,$A101)</f>
        <v>0</v>
      </c>
      <c r="S101" s="53">
        <f>SUMIFS('Ops Departments'!AD:AD,'Ops Departments'!$B:$B,$B101,'Ops Departments'!$A:$A,$A101)</f>
        <v>0</v>
      </c>
      <c r="T101" s="53">
        <f>SUMIFS('Ops Departments'!AE:AE,'Ops Departments'!$B:$B,$B101,'Ops Departments'!$A:$A,$A101)</f>
        <v>0</v>
      </c>
      <c r="U101" s="53">
        <f>SUMIFS('Ops Departments'!AF:AF,'Ops Departments'!$B:$B,$B101,'Ops Departments'!$A:$A,$A101)</f>
        <v>0</v>
      </c>
      <c r="V101" s="53">
        <f>SUMIFS('Ops Departments'!AG:AG,'Ops Departments'!$B:$B,$B101,'Ops Departments'!$A:$A,$A101)</f>
        <v>0</v>
      </c>
      <c r="W101" s="53">
        <f>SUMIFS('Ops Departments'!AH:AH,'Ops Departments'!$B:$B,$B101,'Ops Departments'!$A:$A,$A101)</f>
        <v>0</v>
      </c>
      <c r="X101" s="53">
        <f>SUMIFS('Ops Departments'!AI:AI,'Ops Departments'!$B:$B,$B101,'Ops Departments'!$A:$A,$A101)</f>
        <v>0</v>
      </c>
      <c r="Y101" s="53">
        <f>SUMIFS('Ops Departments'!AJ:AJ,'Ops Departments'!$B:$B,$B101,'Ops Departments'!$A:$A,$A101)</f>
        <v>0</v>
      </c>
      <c r="Z101" s="53">
        <f>SUMIFS('Ops Departments'!AK:AK,'Ops Departments'!$B:$B,$B101,'Ops Departments'!$A:$A,$A101)</f>
        <v>0</v>
      </c>
      <c r="AA101" s="53">
        <f>SUMIFS('Ops Departments'!AL:AL,'Ops Departments'!$B:$B,$B101,'Ops Departments'!$A:$A,$A101)</f>
        <v>0</v>
      </c>
      <c r="AB101" s="53">
        <f>SUMIFS('Ops Departments'!AM:AM,'Ops Departments'!$B:$B,$B101,'Ops Departments'!$A:$A,$A101)</f>
        <v>0</v>
      </c>
      <c r="AC101" s="20"/>
      <c r="AD101" s="12" t="str">
        <f t="shared" si="167"/>
        <v>Contractors</v>
      </c>
      <c r="AE101" s="21">
        <f t="shared" si="168"/>
        <v>6404</v>
      </c>
      <c r="AF101" s="21">
        <f t="shared" si="169"/>
        <v>0</v>
      </c>
      <c r="AG101" s="21">
        <f t="shared" si="170"/>
        <v>6404</v>
      </c>
      <c r="AH101" s="19">
        <f t="shared" si="171"/>
        <v>-1</v>
      </c>
      <c r="AI101" s="11"/>
      <c r="AJ101" s="11"/>
      <c r="AK101" s="11"/>
      <c r="AL101" s="21">
        <f t="shared" si="172"/>
        <v>7607</v>
      </c>
      <c r="AM101" s="21">
        <f t="shared" si="173"/>
        <v>8928</v>
      </c>
      <c r="AN101" s="29">
        <f t="shared" si="174"/>
        <v>6404</v>
      </c>
      <c r="AO101" s="21">
        <f t="shared" si="175"/>
        <v>0</v>
      </c>
      <c r="AP101" s="21">
        <f t="shared" si="176"/>
        <v>0</v>
      </c>
      <c r="AQ101" s="29">
        <f t="shared" si="177"/>
        <v>0</v>
      </c>
      <c r="AR101" s="11"/>
      <c r="AS101" s="11"/>
      <c r="AT101" s="11"/>
      <c r="AU101" s="11"/>
      <c r="AV101" s="11"/>
      <c r="AW101" s="11"/>
      <c r="AX101" s="11"/>
      <c r="AY101" s="11"/>
      <c r="AZ101" s="11"/>
      <c r="BA101" s="11"/>
      <c r="BB101" s="11"/>
      <c r="BC101" s="11"/>
      <c r="BD101" s="11"/>
      <c r="BE101" s="11"/>
      <c r="BF101" s="11"/>
      <c r="BG101" s="11"/>
      <c r="BH101" s="11"/>
      <c r="BI101" s="11"/>
      <c r="BJ101" s="11"/>
      <c r="BK101" s="11"/>
    </row>
    <row r="102" ht="15.75" customHeight="1">
      <c r="A102" s="11" t="s">
        <v>89</v>
      </c>
      <c r="B102" s="11" t="s">
        <v>67</v>
      </c>
      <c r="C102" s="11"/>
      <c r="D102" s="11" t="s">
        <v>68</v>
      </c>
      <c r="E102" s="53">
        <f>SUMIFS('Ops Departments'!P:P,'Ops Departments'!$B:$B,$B102,'Ops Departments'!$A:$A,$A102)</f>
        <v>6517</v>
      </c>
      <c r="F102" s="53">
        <f>SUMIFS('Ops Departments'!Q:Q,'Ops Departments'!$B:$B,$B102,'Ops Departments'!$A:$A,$A102)</f>
        <v>6589</v>
      </c>
      <c r="G102" s="53">
        <f>SUMIFS('Ops Departments'!R:R,'Ops Departments'!$B:$B,$B102,'Ops Departments'!$A:$A,$A102)</f>
        <v>6769</v>
      </c>
      <c r="H102" s="53">
        <f>SUMIFS('Ops Departments'!S:S,'Ops Departments'!$B:$B,$B102,'Ops Departments'!$A:$A,$A102)</f>
        <v>8565</v>
      </c>
      <c r="I102" s="53">
        <f>SUMIFS('Ops Departments'!T:T,'Ops Departments'!$B:$B,$B102,'Ops Departments'!$A:$A,$A102)</f>
        <v>3784</v>
      </c>
      <c r="J102" s="53">
        <f>SUMIFS('Ops Departments'!U:U,'Ops Departments'!$B:$B,$B102,'Ops Departments'!$A:$A,$A102)</f>
        <v>9148</v>
      </c>
      <c r="K102" s="53">
        <f>SUMIFS('Ops Departments'!V:V,'Ops Departments'!$B:$B,$B102,'Ops Departments'!$A:$A,$A102)</f>
        <v>7220</v>
      </c>
      <c r="L102" s="53">
        <f>SUMIFS('Ops Departments'!W:W,'Ops Departments'!$B:$B,$B102,'Ops Departments'!$A:$A,$A102)</f>
        <v>3931</v>
      </c>
      <c r="M102" s="53">
        <f>SUMIFS('Ops Departments'!X:X,'Ops Departments'!$B:$B,$B102,'Ops Departments'!$A:$A,$A102)</f>
        <v>8572</v>
      </c>
      <c r="N102" s="53">
        <f>SUMIFS('Ops Departments'!Y:Y,'Ops Departments'!$B:$B,$B102,'Ops Departments'!$A:$A,$A102)</f>
        <v>7644</v>
      </c>
      <c r="O102" s="53">
        <f>SUMIFS('Ops Departments'!Z:Z,'Ops Departments'!$B:$B,$B102,'Ops Departments'!$A:$A,$A102)</f>
        <v>3279</v>
      </c>
      <c r="P102" s="53">
        <f>SUMIFS('Ops Departments'!AA:AA,'Ops Departments'!$B:$B,$B102,'Ops Departments'!$A:$A,$A102)</f>
        <v>784.25175</v>
      </c>
      <c r="Q102" s="53">
        <f>SUMIFS('Ops Departments'!AB:AB,'Ops Departments'!$B:$B,$B102,'Ops Departments'!$A:$A,$A102)</f>
        <v>862.676925</v>
      </c>
      <c r="R102" s="53">
        <f>SUMIFS('Ops Departments'!AC:AC,'Ops Departments'!$B:$B,$B102,'Ops Departments'!$A:$A,$A102)</f>
        <v>871.3036943</v>
      </c>
      <c r="S102" s="53">
        <f>SUMIFS('Ops Departments'!AD:AD,'Ops Departments'!$B:$B,$B102,'Ops Departments'!$A:$A,$A102)</f>
        <v>880.0167312</v>
      </c>
      <c r="T102" s="53">
        <f>SUMIFS('Ops Departments'!AE:AE,'Ops Departments'!$B:$B,$B102,'Ops Departments'!$A:$A,$A102)</f>
        <v>888.8168985</v>
      </c>
      <c r="U102" s="53">
        <f>SUMIFS('Ops Departments'!AF:AF,'Ops Departments'!$B:$B,$B102,'Ops Departments'!$A:$A,$A102)</f>
        <v>897.7050675</v>
      </c>
      <c r="V102" s="53">
        <f>SUMIFS('Ops Departments'!AG:AG,'Ops Departments'!$B:$B,$B102,'Ops Departments'!$A:$A,$A102)</f>
        <v>906.6821182</v>
      </c>
      <c r="W102" s="53">
        <f>SUMIFS('Ops Departments'!AH:AH,'Ops Departments'!$B:$B,$B102,'Ops Departments'!$A:$A,$A102)</f>
        <v>915.7489393</v>
      </c>
      <c r="X102" s="53">
        <f>SUMIFS('Ops Departments'!AI:AI,'Ops Departments'!$B:$B,$B102,'Ops Departments'!$A:$A,$A102)</f>
        <v>924.9064287</v>
      </c>
      <c r="Y102" s="53">
        <f>SUMIFS('Ops Departments'!AJ:AJ,'Ops Departments'!$B:$B,$B102,'Ops Departments'!$A:$A,$A102)</f>
        <v>934.155493</v>
      </c>
      <c r="Z102" s="53">
        <f>SUMIFS('Ops Departments'!AK:AK,'Ops Departments'!$B:$B,$B102,'Ops Departments'!$A:$A,$A102)</f>
        <v>943.497048</v>
      </c>
      <c r="AA102" s="53">
        <f>SUMIFS('Ops Departments'!AL:AL,'Ops Departments'!$B:$B,$B102,'Ops Departments'!$A:$A,$A102)</f>
        <v>952.9320184</v>
      </c>
      <c r="AB102" s="53">
        <f>SUMIFS('Ops Departments'!AM:AM,'Ops Departments'!$B:$B,$B102,'Ops Departments'!$A:$A,$A102)</f>
        <v>962.4613386</v>
      </c>
      <c r="AC102" s="20"/>
      <c r="AD102" s="12" t="str">
        <f t="shared" si="167"/>
        <v>T&amp;E</v>
      </c>
      <c r="AE102" s="21">
        <f t="shared" si="168"/>
        <v>20279.25175</v>
      </c>
      <c r="AF102" s="21">
        <f t="shared" si="169"/>
        <v>3502.814249</v>
      </c>
      <c r="AG102" s="21">
        <f t="shared" si="170"/>
        <v>16776.4375</v>
      </c>
      <c r="AH102" s="19">
        <f t="shared" si="171"/>
        <v>-0.8272710309</v>
      </c>
      <c r="AI102" s="11"/>
      <c r="AJ102" s="11"/>
      <c r="AK102" s="11"/>
      <c r="AL102" s="21">
        <f t="shared" si="172"/>
        <v>28440</v>
      </c>
      <c r="AM102" s="21">
        <f t="shared" si="173"/>
        <v>24083</v>
      </c>
      <c r="AN102" s="29">
        <f t="shared" si="174"/>
        <v>20279.25175</v>
      </c>
      <c r="AO102" s="21">
        <f t="shared" si="175"/>
        <v>3502.814249</v>
      </c>
      <c r="AP102" s="21">
        <f t="shared" si="176"/>
        <v>3645.042554</v>
      </c>
      <c r="AQ102" s="29">
        <f t="shared" si="177"/>
        <v>3793.045898</v>
      </c>
      <c r="AR102" s="11"/>
      <c r="AS102" s="11"/>
      <c r="AT102" s="11"/>
      <c r="AU102" s="11"/>
      <c r="AV102" s="11"/>
      <c r="AW102" s="11"/>
      <c r="AX102" s="11"/>
      <c r="AY102" s="11"/>
      <c r="AZ102" s="11"/>
      <c r="BA102" s="11"/>
      <c r="BB102" s="11"/>
      <c r="BC102" s="11"/>
      <c r="BD102" s="11"/>
      <c r="BE102" s="11"/>
      <c r="BF102" s="11"/>
      <c r="BG102" s="11"/>
      <c r="BH102" s="11"/>
      <c r="BI102" s="11"/>
      <c r="BJ102" s="11"/>
      <c r="BK102" s="11"/>
    </row>
    <row r="103" ht="15.75" customHeight="1">
      <c r="A103" s="11" t="s">
        <v>89</v>
      </c>
      <c r="B103" s="11" t="s">
        <v>69</v>
      </c>
      <c r="C103" s="11"/>
      <c r="D103" s="11" t="s">
        <v>70</v>
      </c>
      <c r="E103" s="53">
        <f>SUMIFS('Ops Departments'!P:P,'Ops Departments'!$B:$B,$B103,'Ops Departments'!$A:$A,$A103)</f>
        <v>4667</v>
      </c>
      <c r="F103" s="53">
        <f>SUMIFS('Ops Departments'!Q:Q,'Ops Departments'!$B:$B,$B103,'Ops Departments'!$A:$A,$A103)</f>
        <v>2716</v>
      </c>
      <c r="G103" s="53">
        <f>SUMIFS('Ops Departments'!R:R,'Ops Departments'!$B:$B,$B103,'Ops Departments'!$A:$A,$A103)</f>
        <v>4042</v>
      </c>
      <c r="H103" s="53">
        <f>SUMIFS('Ops Departments'!S:S,'Ops Departments'!$B:$B,$B103,'Ops Departments'!$A:$A,$A103)</f>
        <v>1657</v>
      </c>
      <c r="I103" s="53">
        <f>SUMIFS('Ops Departments'!T:T,'Ops Departments'!$B:$B,$B103,'Ops Departments'!$A:$A,$A103)</f>
        <v>2146</v>
      </c>
      <c r="J103" s="53">
        <f>SUMIFS('Ops Departments'!U:U,'Ops Departments'!$B:$B,$B103,'Ops Departments'!$A:$A,$A103)</f>
        <v>2403</v>
      </c>
      <c r="K103" s="53">
        <f>SUMIFS('Ops Departments'!V:V,'Ops Departments'!$B:$B,$B103,'Ops Departments'!$A:$A,$A103)</f>
        <v>22</v>
      </c>
      <c r="L103" s="53">
        <f>SUMIFS('Ops Departments'!W:W,'Ops Departments'!$B:$B,$B103,'Ops Departments'!$A:$A,$A103)</f>
        <v>4985</v>
      </c>
      <c r="M103" s="53">
        <f>SUMIFS('Ops Departments'!X:X,'Ops Departments'!$B:$B,$B103,'Ops Departments'!$A:$A,$A103)</f>
        <v>1585</v>
      </c>
      <c r="N103" s="53">
        <f>SUMIFS('Ops Departments'!Y:Y,'Ops Departments'!$B:$B,$B103,'Ops Departments'!$A:$A,$A103)</f>
        <v>767</v>
      </c>
      <c r="O103" s="53">
        <f>SUMIFS('Ops Departments'!Z:Z,'Ops Departments'!$B:$B,$B103,'Ops Departments'!$A:$A,$A103)</f>
        <v>4298</v>
      </c>
      <c r="P103" s="53">
        <f>SUMIFS('Ops Departments'!AA:AA,'Ops Departments'!$B:$B,$B103,'Ops Departments'!$A:$A,$A103)</f>
        <v>166.28</v>
      </c>
      <c r="Q103" s="53">
        <f>SUMIFS('Ops Departments'!AB:AB,'Ops Departments'!$B:$B,$B103,'Ops Departments'!$A:$A,$A103)</f>
        <v>366.28</v>
      </c>
      <c r="R103" s="53">
        <f>SUMIFS('Ops Departments'!AC:AC,'Ops Departments'!$B:$B,$B103,'Ops Departments'!$A:$A,$A103)</f>
        <v>366.28</v>
      </c>
      <c r="S103" s="53">
        <f>SUMIFS('Ops Departments'!AD:AD,'Ops Departments'!$B:$B,$B103,'Ops Departments'!$A:$A,$A103)</f>
        <v>366.28</v>
      </c>
      <c r="T103" s="53">
        <f>SUMIFS('Ops Departments'!AE:AE,'Ops Departments'!$B:$B,$B103,'Ops Departments'!$A:$A,$A103)</f>
        <v>366.28</v>
      </c>
      <c r="U103" s="53">
        <f>SUMIFS('Ops Departments'!AF:AF,'Ops Departments'!$B:$B,$B103,'Ops Departments'!$A:$A,$A103)</f>
        <v>566.28</v>
      </c>
      <c r="V103" s="53">
        <f>SUMIFS('Ops Departments'!AG:AG,'Ops Departments'!$B:$B,$B103,'Ops Departments'!$A:$A,$A103)</f>
        <v>566.28</v>
      </c>
      <c r="W103" s="53">
        <f>SUMIFS('Ops Departments'!AH:AH,'Ops Departments'!$B:$B,$B103,'Ops Departments'!$A:$A,$A103)</f>
        <v>566.28</v>
      </c>
      <c r="X103" s="53">
        <f>SUMIFS('Ops Departments'!AI:AI,'Ops Departments'!$B:$B,$B103,'Ops Departments'!$A:$A,$A103)</f>
        <v>566.28</v>
      </c>
      <c r="Y103" s="53">
        <f>SUMIFS('Ops Departments'!AJ:AJ,'Ops Departments'!$B:$B,$B103,'Ops Departments'!$A:$A,$A103)</f>
        <v>766.28</v>
      </c>
      <c r="Z103" s="53">
        <f>SUMIFS('Ops Departments'!AK:AK,'Ops Departments'!$B:$B,$B103,'Ops Departments'!$A:$A,$A103)</f>
        <v>766.28</v>
      </c>
      <c r="AA103" s="53">
        <f>SUMIFS('Ops Departments'!AL:AL,'Ops Departments'!$B:$B,$B103,'Ops Departments'!$A:$A,$A103)</f>
        <v>766.28</v>
      </c>
      <c r="AB103" s="53">
        <f>SUMIFS('Ops Departments'!AM:AM,'Ops Departments'!$B:$B,$B103,'Ops Departments'!$A:$A,$A103)</f>
        <v>766.28</v>
      </c>
      <c r="AC103" s="20"/>
      <c r="AD103" s="12" t="str">
        <f t="shared" si="167"/>
        <v>Software</v>
      </c>
      <c r="AE103" s="21">
        <f t="shared" si="168"/>
        <v>6816.28</v>
      </c>
      <c r="AF103" s="21">
        <f t="shared" si="169"/>
        <v>1465.12</v>
      </c>
      <c r="AG103" s="21">
        <f t="shared" si="170"/>
        <v>5351.16</v>
      </c>
      <c r="AH103" s="19">
        <f t="shared" si="171"/>
        <v>-0.7850557782</v>
      </c>
      <c r="AI103" s="11"/>
      <c r="AJ103" s="11"/>
      <c r="AK103" s="11"/>
      <c r="AL103" s="21">
        <f t="shared" si="172"/>
        <v>13082</v>
      </c>
      <c r="AM103" s="21">
        <f t="shared" si="173"/>
        <v>9556</v>
      </c>
      <c r="AN103" s="29">
        <f t="shared" si="174"/>
        <v>6816.28</v>
      </c>
      <c r="AO103" s="21">
        <f t="shared" si="175"/>
        <v>1465.12</v>
      </c>
      <c r="AP103" s="21">
        <f t="shared" si="176"/>
        <v>2265.12</v>
      </c>
      <c r="AQ103" s="29">
        <f t="shared" si="177"/>
        <v>3065.12</v>
      </c>
      <c r="AR103" s="11"/>
      <c r="AS103" s="11"/>
      <c r="AT103" s="11"/>
      <c r="AU103" s="11"/>
      <c r="AV103" s="11"/>
      <c r="AW103" s="11"/>
      <c r="AX103" s="11"/>
      <c r="AY103" s="11"/>
      <c r="AZ103" s="11"/>
      <c r="BA103" s="11"/>
      <c r="BB103" s="11"/>
      <c r="BC103" s="11"/>
      <c r="BD103" s="11"/>
      <c r="BE103" s="11"/>
      <c r="BF103" s="11"/>
      <c r="BG103" s="11"/>
      <c r="BH103" s="11"/>
      <c r="BI103" s="11"/>
      <c r="BJ103" s="11"/>
      <c r="BK103" s="11"/>
    </row>
    <row r="104" ht="15.75" customHeight="1">
      <c r="A104" s="11" t="s">
        <v>89</v>
      </c>
      <c r="B104" s="11" t="s">
        <v>71</v>
      </c>
      <c r="C104" s="11"/>
      <c r="D104" s="54" t="s">
        <v>72</v>
      </c>
      <c r="E104" s="53">
        <f>SUMIFS('Ops Departments'!P:P,'Ops Departments'!$B:$B,$B104,'Ops Departments'!$A:$A,$A104)</f>
        <v>0</v>
      </c>
      <c r="F104" s="53">
        <f>SUMIFS('Ops Departments'!Q:Q,'Ops Departments'!$B:$B,$B104,'Ops Departments'!$A:$A,$A104)</f>
        <v>0</v>
      </c>
      <c r="G104" s="53">
        <f>SUMIFS('Ops Departments'!R:R,'Ops Departments'!$B:$B,$B104,'Ops Departments'!$A:$A,$A104)</f>
        <v>0</v>
      </c>
      <c r="H104" s="53">
        <f>SUMIFS('Ops Departments'!S:S,'Ops Departments'!$B:$B,$B104,'Ops Departments'!$A:$A,$A104)</f>
        <v>0</v>
      </c>
      <c r="I104" s="53">
        <f>SUMIFS('Ops Departments'!T:T,'Ops Departments'!$B:$B,$B104,'Ops Departments'!$A:$A,$A104)</f>
        <v>0</v>
      </c>
      <c r="J104" s="53">
        <f>SUMIFS('Ops Departments'!U:U,'Ops Departments'!$B:$B,$B104,'Ops Departments'!$A:$A,$A104)</f>
        <v>0</v>
      </c>
      <c r="K104" s="53">
        <f>SUMIFS('Ops Departments'!V:V,'Ops Departments'!$B:$B,$B104,'Ops Departments'!$A:$A,$A104)</f>
        <v>0</v>
      </c>
      <c r="L104" s="53">
        <f>SUMIFS('Ops Departments'!W:W,'Ops Departments'!$B:$B,$B104,'Ops Departments'!$A:$A,$A104)</f>
        <v>0</v>
      </c>
      <c r="M104" s="53">
        <f>SUMIFS('Ops Departments'!X:X,'Ops Departments'!$B:$B,$B104,'Ops Departments'!$A:$A,$A104)</f>
        <v>0</v>
      </c>
      <c r="N104" s="53">
        <f>SUMIFS('Ops Departments'!Y:Y,'Ops Departments'!$B:$B,$B104,'Ops Departments'!$A:$A,$A104)</f>
        <v>0</v>
      </c>
      <c r="O104" s="53">
        <f>SUMIFS('Ops Departments'!Z:Z,'Ops Departments'!$B:$B,$B104,'Ops Departments'!$A:$A,$A104)</f>
        <v>0</v>
      </c>
      <c r="P104" s="53">
        <f>SUMIFS('Ops Departments'!AA:AA,'Ops Departments'!$B:$B,$B104,'Ops Departments'!$A:$A,$A104)</f>
        <v>21139.19828</v>
      </c>
      <c r="Q104" s="53">
        <f>SUMIFS('Ops Departments'!AB:AB,'Ops Departments'!$B:$B,$B104,'Ops Departments'!$A:$A,$A104)</f>
        <v>22653.79575</v>
      </c>
      <c r="R104" s="53">
        <f>SUMIFS('Ops Departments'!AC:AC,'Ops Departments'!$B:$B,$B104,'Ops Departments'!$A:$A,$A104)</f>
        <v>21012.91847</v>
      </c>
      <c r="S104" s="53">
        <f>SUMIFS('Ops Departments'!AD:AD,'Ops Departments'!$B:$B,$B104,'Ops Departments'!$A:$A,$A104)</f>
        <v>19401.38429</v>
      </c>
      <c r="T104" s="53">
        <f>SUMIFS('Ops Departments'!AE:AE,'Ops Departments'!$B:$B,$B104,'Ops Departments'!$A:$A,$A104)</f>
        <v>19257.62621</v>
      </c>
      <c r="U104" s="53">
        <f>SUMIFS('Ops Departments'!AF:AF,'Ops Departments'!$B:$B,$B104,'Ops Departments'!$A:$A,$A104)</f>
        <v>19941.77899</v>
      </c>
      <c r="V104" s="53">
        <f>SUMIFS('Ops Departments'!AG:AG,'Ops Departments'!$B:$B,$B104,'Ops Departments'!$A:$A,$A104)</f>
        <v>18387.98568</v>
      </c>
      <c r="W104" s="53">
        <f>SUMIFS('Ops Departments'!AH:AH,'Ops Departments'!$B:$B,$B104,'Ops Departments'!$A:$A,$A104)</f>
        <v>16897.94433</v>
      </c>
      <c r="X104" s="53">
        <f>SUMIFS('Ops Departments'!AI:AI,'Ops Departments'!$B:$B,$B104,'Ops Departments'!$A:$A,$A104)</f>
        <v>17036.50322</v>
      </c>
      <c r="Y104" s="53">
        <f>SUMIFS('Ops Departments'!AJ:AJ,'Ops Departments'!$B:$B,$B104,'Ops Departments'!$A:$A,$A104)</f>
        <v>17431.62802</v>
      </c>
      <c r="Z104" s="53">
        <f>SUMIFS('Ops Departments'!AK:AK,'Ops Departments'!$B:$B,$B104,'Ops Departments'!$A:$A,$A104)</f>
        <v>17592.18646</v>
      </c>
      <c r="AA104" s="53">
        <f>SUMIFS('Ops Departments'!AL:AL,'Ops Departments'!$B:$B,$B104,'Ops Departments'!$A:$A,$A104)</f>
        <v>16492.02724</v>
      </c>
      <c r="AB104" s="53">
        <f>SUMIFS('Ops Departments'!AM:AM,'Ops Departments'!$B:$B,$B104,'Ops Departments'!$A:$A,$A104)</f>
        <v>16644.98984</v>
      </c>
      <c r="AC104" s="20"/>
      <c r="AD104" s="11" t="str">
        <f t="shared" si="167"/>
        <v>Other</v>
      </c>
      <c r="AE104" s="30">
        <f t="shared" si="168"/>
        <v>21139.19828</v>
      </c>
      <c r="AF104" s="21">
        <f t="shared" si="169"/>
        <v>82325.72473</v>
      </c>
      <c r="AG104" s="30">
        <f t="shared" si="170"/>
        <v>-61186.52645</v>
      </c>
      <c r="AH104" s="31">
        <f t="shared" si="171"/>
        <v>2.894458231</v>
      </c>
      <c r="AI104" s="11"/>
      <c r="AJ104" s="11"/>
      <c r="AK104" s="11"/>
      <c r="AL104" s="30">
        <f t="shared" si="172"/>
        <v>0</v>
      </c>
      <c r="AM104" s="21">
        <f t="shared" si="173"/>
        <v>0</v>
      </c>
      <c r="AN104" s="32">
        <f t="shared" si="174"/>
        <v>21139.19828</v>
      </c>
      <c r="AO104" s="30">
        <f t="shared" si="175"/>
        <v>82325.72473</v>
      </c>
      <c r="AP104" s="21">
        <f t="shared" si="176"/>
        <v>72264.21222</v>
      </c>
      <c r="AQ104" s="32">
        <f t="shared" si="177"/>
        <v>68160.83157</v>
      </c>
      <c r="AR104" s="11"/>
      <c r="AS104" s="11"/>
      <c r="AT104" s="11"/>
      <c r="AU104" s="11"/>
      <c r="AV104" s="11"/>
      <c r="AW104" s="11"/>
      <c r="AX104" s="11"/>
      <c r="AY104" s="11"/>
      <c r="AZ104" s="11"/>
      <c r="BA104" s="11"/>
      <c r="BB104" s="11"/>
      <c r="BC104" s="11"/>
      <c r="BD104" s="11"/>
      <c r="BE104" s="11"/>
      <c r="BF104" s="11"/>
      <c r="BG104" s="11"/>
      <c r="BH104" s="11"/>
      <c r="BI104" s="11"/>
      <c r="BJ104" s="11"/>
      <c r="BK104" s="11"/>
    </row>
    <row r="105" ht="15.75" customHeight="1">
      <c r="A105" s="11"/>
      <c r="B105" s="11"/>
      <c r="C105" s="11"/>
      <c r="D105" s="33" t="s">
        <v>73</v>
      </c>
      <c r="E105" s="34">
        <f t="shared" ref="E105:AB105" si="178">SUM(E100:E104)</f>
        <v>35198</v>
      </c>
      <c r="F105" s="34">
        <f t="shared" si="178"/>
        <v>34797</v>
      </c>
      <c r="G105" s="34">
        <f t="shared" si="178"/>
        <v>36566</v>
      </c>
      <c r="H105" s="34">
        <f t="shared" si="178"/>
        <v>38199</v>
      </c>
      <c r="I105" s="34">
        <f t="shared" si="178"/>
        <v>35342</v>
      </c>
      <c r="J105" s="34">
        <f t="shared" si="178"/>
        <v>33983</v>
      </c>
      <c r="K105" s="34">
        <f t="shared" si="178"/>
        <v>24752</v>
      </c>
      <c r="L105" s="34">
        <f t="shared" si="178"/>
        <v>32012</v>
      </c>
      <c r="M105" s="34">
        <f t="shared" si="178"/>
        <v>32289</v>
      </c>
      <c r="N105" s="34">
        <f t="shared" si="178"/>
        <v>28650</v>
      </c>
      <c r="O105" s="34">
        <f t="shared" si="178"/>
        <v>31029</v>
      </c>
      <c r="P105" s="34">
        <f t="shared" si="178"/>
        <v>32623.06672</v>
      </c>
      <c r="Q105" s="34">
        <f t="shared" si="178"/>
        <v>34692.84702</v>
      </c>
      <c r="R105" s="34">
        <f t="shared" si="178"/>
        <v>33158.40961</v>
      </c>
      <c r="S105" s="34">
        <f t="shared" si="178"/>
        <v>31710.45104</v>
      </c>
      <c r="T105" s="34">
        <f t="shared" si="178"/>
        <v>31702.53508</v>
      </c>
      <c r="U105" s="34">
        <f t="shared" si="178"/>
        <v>32819.22792</v>
      </c>
      <c r="V105" s="34">
        <f t="shared" si="178"/>
        <v>31332.29692</v>
      </c>
      <c r="W105" s="34">
        <f t="shared" si="178"/>
        <v>36245.85441</v>
      </c>
      <c r="X105" s="34">
        <f t="shared" si="178"/>
        <v>36415.28357</v>
      </c>
      <c r="Y105" s="34">
        <f t="shared" si="178"/>
        <v>37192.95568</v>
      </c>
      <c r="Z105" s="34">
        <f t="shared" si="178"/>
        <v>37546.97054</v>
      </c>
      <c r="AA105" s="34">
        <f t="shared" si="178"/>
        <v>36599.39404</v>
      </c>
      <c r="AB105" s="34">
        <f t="shared" si="178"/>
        <v>36886.50493</v>
      </c>
      <c r="AC105" s="24"/>
      <c r="AD105" s="33" t="str">
        <f t="shared" si="167"/>
        <v>Total COGS</v>
      </c>
      <c r="AE105" s="12">
        <f t="shared" si="168"/>
        <v>124591.0667</v>
      </c>
      <c r="AF105" s="35">
        <f t="shared" si="169"/>
        <v>131264.2427</v>
      </c>
      <c r="AG105" s="12">
        <f t="shared" si="170"/>
        <v>-6673.176023</v>
      </c>
      <c r="AH105" s="19">
        <f t="shared" si="171"/>
        <v>0.05356062998</v>
      </c>
      <c r="AI105" s="11"/>
      <c r="AJ105" s="11"/>
      <c r="AK105" s="11"/>
      <c r="AL105" s="12">
        <f t="shared" si="172"/>
        <v>144760</v>
      </c>
      <c r="AM105" s="35">
        <f t="shared" si="173"/>
        <v>126089</v>
      </c>
      <c r="AN105" s="29">
        <f t="shared" si="174"/>
        <v>124591.0667</v>
      </c>
      <c r="AO105" s="12">
        <f t="shared" si="175"/>
        <v>131264.2427</v>
      </c>
      <c r="AP105" s="35">
        <f t="shared" si="176"/>
        <v>136812.6628</v>
      </c>
      <c r="AQ105" s="29">
        <f t="shared" si="177"/>
        <v>148225.8252</v>
      </c>
      <c r="AR105" s="11"/>
      <c r="AS105" s="11"/>
      <c r="AT105" s="11"/>
      <c r="AU105" s="11"/>
      <c r="AV105" s="11"/>
      <c r="AW105" s="11"/>
      <c r="AX105" s="11"/>
      <c r="AY105" s="11"/>
      <c r="AZ105" s="11"/>
      <c r="BA105" s="11"/>
      <c r="BB105" s="11"/>
      <c r="BC105" s="11"/>
      <c r="BD105" s="11"/>
      <c r="BE105" s="11"/>
      <c r="BF105" s="11"/>
      <c r="BG105" s="11"/>
      <c r="BH105" s="11"/>
      <c r="BI105" s="11"/>
      <c r="BJ105" s="11"/>
      <c r="BK105" s="11"/>
    </row>
    <row r="106" ht="15.75" customHeight="1">
      <c r="A106" s="11"/>
      <c r="B106" s="11"/>
      <c r="C106" s="11"/>
      <c r="D106" s="11"/>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11"/>
      <c r="AE106" s="24"/>
      <c r="AF106" s="24"/>
      <c r="AG106" s="12"/>
      <c r="AH106" s="19"/>
      <c r="AI106" s="11"/>
      <c r="AJ106" s="11"/>
      <c r="AK106" s="11"/>
      <c r="AL106" s="24"/>
      <c r="AM106" s="24"/>
      <c r="AN106" s="24"/>
      <c r="AO106" s="24"/>
      <c r="AP106" s="24"/>
      <c r="AQ106" s="24"/>
      <c r="AR106" s="11"/>
      <c r="AS106" s="11"/>
      <c r="AT106" s="11"/>
      <c r="AU106" s="11"/>
      <c r="AV106" s="11"/>
      <c r="AW106" s="11"/>
      <c r="AX106" s="11"/>
      <c r="AY106" s="11"/>
      <c r="AZ106" s="11"/>
      <c r="BA106" s="11"/>
      <c r="BB106" s="11"/>
      <c r="BC106" s="11"/>
      <c r="BD106" s="11"/>
      <c r="BE106" s="11"/>
      <c r="BF106" s="11"/>
      <c r="BG106" s="11"/>
      <c r="BH106" s="11"/>
      <c r="BI106" s="11"/>
      <c r="BJ106" s="11"/>
      <c r="BK106" s="11"/>
    </row>
    <row r="107" ht="15.75" customHeight="1">
      <c r="A107" s="11"/>
      <c r="B107" s="11"/>
      <c r="C107" s="11"/>
      <c r="D107" s="36" t="str">
        <f>CONCATENATE(B92," Gross Profit")</f>
        <v>Video Gross Profit</v>
      </c>
      <c r="E107" s="55">
        <f t="shared" ref="E107:AB107" si="179">E96-E105</f>
        <v>231611</v>
      </c>
      <c r="F107" s="55">
        <f t="shared" si="179"/>
        <v>136521</v>
      </c>
      <c r="G107" s="55">
        <f t="shared" si="179"/>
        <v>205196</v>
      </c>
      <c r="H107" s="55">
        <f t="shared" si="179"/>
        <v>217412</v>
      </c>
      <c r="I107" s="55">
        <f t="shared" si="179"/>
        <v>169899</v>
      </c>
      <c r="J107" s="55">
        <f t="shared" si="179"/>
        <v>237527</v>
      </c>
      <c r="K107" s="55">
        <f t="shared" si="179"/>
        <v>231611</v>
      </c>
      <c r="L107" s="55">
        <f t="shared" si="179"/>
        <v>44745</v>
      </c>
      <c r="M107" s="55">
        <f t="shared" si="179"/>
        <v>34942</v>
      </c>
      <c r="N107" s="55">
        <f t="shared" si="179"/>
        <v>180182</v>
      </c>
      <c r="O107" s="55">
        <f t="shared" si="179"/>
        <v>114366</v>
      </c>
      <c r="P107" s="55">
        <f t="shared" si="179"/>
        <v>130868.2857</v>
      </c>
      <c r="Q107" s="55">
        <f t="shared" si="179"/>
        <v>148351.8918</v>
      </c>
      <c r="R107" s="55">
        <f t="shared" si="179"/>
        <v>167300.6239</v>
      </c>
      <c r="S107" s="55">
        <f t="shared" si="179"/>
        <v>181513.2052</v>
      </c>
      <c r="T107" s="55">
        <f t="shared" si="179"/>
        <v>190970.9939</v>
      </c>
      <c r="U107" s="55">
        <f t="shared" si="179"/>
        <v>197862.5073</v>
      </c>
      <c r="V107" s="55">
        <f t="shared" si="179"/>
        <v>205051.5999</v>
      </c>
      <c r="W107" s="55">
        <f t="shared" si="179"/>
        <v>204285.0556</v>
      </c>
      <c r="X107" s="55">
        <f t="shared" si="179"/>
        <v>205886.6228</v>
      </c>
      <c r="Y107" s="55">
        <f t="shared" si="179"/>
        <v>204192.1677</v>
      </c>
      <c r="Z107" s="55">
        <f t="shared" si="179"/>
        <v>206784.6913</v>
      </c>
      <c r="AA107" s="55">
        <f t="shared" si="179"/>
        <v>210187.2781</v>
      </c>
      <c r="AB107" s="55">
        <f t="shared" si="179"/>
        <v>212140.1449</v>
      </c>
      <c r="AC107" s="38"/>
      <c r="AD107" s="40" t="str">
        <f t="shared" ref="AD107:AD108" si="182">D107</f>
        <v>Video Gross Profit</v>
      </c>
      <c r="AE107" s="37">
        <f t="shared" ref="AE107:AF107" si="180">AE96-AE105</f>
        <v>460358.2857</v>
      </c>
      <c r="AF107" s="37">
        <f t="shared" si="180"/>
        <v>688136.7148</v>
      </c>
      <c r="AG107" s="40">
        <f t="shared" ref="AG107:AG108" si="184">AF107-AE107</f>
        <v>227778.4292</v>
      </c>
      <c r="AH107" s="41">
        <f>AF107/AE107-1</f>
        <v>0.494785119</v>
      </c>
      <c r="AI107" s="11"/>
      <c r="AJ107" s="11"/>
      <c r="AK107" s="11"/>
      <c r="AL107" s="56">
        <f>SUM(E107:H107)</f>
        <v>790740</v>
      </c>
      <c r="AM107" s="37">
        <f>SUM(I107:L107)</f>
        <v>683782</v>
      </c>
      <c r="AN107" s="37">
        <f>SUM(M107:P107)</f>
        <v>460358.2857</v>
      </c>
      <c r="AO107" s="37">
        <f>SUM(Q107:T107)</f>
        <v>688136.7148</v>
      </c>
      <c r="AP107" s="37">
        <f>SUM(U107:X107)</f>
        <v>813085.7856</v>
      </c>
      <c r="AQ107" s="37">
        <f>SUM(Y107:AB107)</f>
        <v>833304.2821</v>
      </c>
      <c r="AR107" s="11"/>
      <c r="AS107" s="11"/>
      <c r="AT107" s="11"/>
      <c r="AU107" s="11"/>
      <c r="AV107" s="11"/>
      <c r="AW107" s="11"/>
      <c r="AX107" s="11"/>
      <c r="AY107" s="11"/>
      <c r="AZ107" s="11"/>
      <c r="BA107" s="11"/>
      <c r="BB107" s="11"/>
      <c r="BC107" s="11"/>
      <c r="BD107" s="11"/>
      <c r="BE107" s="11"/>
      <c r="BF107" s="11"/>
      <c r="BG107" s="11"/>
      <c r="BH107" s="11"/>
      <c r="BI107" s="11"/>
      <c r="BJ107" s="11"/>
      <c r="BK107" s="11"/>
    </row>
    <row r="108" ht="15.75" customHeight="1">
      <c r="A108" s="11"/>
      <c r="B108" s="11"/>
      <c r="C108" s="11"/>
      <c r="D108" s="42" t="s">
        <v>75</v>
      </c>
      <c r="E108" s="43">
        <f t="shared" ref="E108:AB108" si="181">E107/E96</f>
        <v>0.8680779134</v>
      </c>
      <c r="F108" s="43">
        <f t="shared" si="181"/>
        <v>0.7968864918</v>
      </c>
      <c r="G108" s="43">
        <f t="shared" si="181"/>
        <v>0.8487520785</v>
      </c>
      <c r="H108" s="43">
        <f t="shared" si="181"/>
        <v>0.8505580746</v>
      </c>
      <c r="I108" s="43">
        <f t="shared" si="181"/>
        <v>0.8278024371</v>
      </c>
      <c r="J108" s="43">
        <f t="shared" si="181"/>
        <v>0.8748370226</v>
      </c>
      <c r="K108" s="43">
        <f t="shared" si="181"/>
        <v>0.9034494057</v>
      </c>
      <c r="L108" s="43">
        <f t="shared" si="181"/>
        <v>0.5829435752</v>
      </c>
      <c r="M108" s="43">
        <f t="shared" si="181"/>
        <v>0.5197304815</v>
      </c>
      <c r="N108" s="43">
        <f t="shared" si="181"/>
        <v>0.8628083819</v>
      </c>
      <c r="O108" s="43">
        <f t="shared" si="181"/>
        <v>0.7865882596</v>
      </c>
      <c r="P108" s="43">
        <f t="shared" si="181"/>
        <v>0.8004599861</v>
      </c>
      <c r="Q108" s="43">
        <f t="shared" si="181"/>
        <v>0.8104679368</v>
      </c>
      <c r="R108" s="43">
        <f t="shared" si="181"/>
        <v>0.8345876011</v>
      </c>
      <c r="S108" s="43">
        <f t="shared" si="181"/>
        <v>0.8512808025</v>
      </c>
      <c r="T108" s="43">
        <f t="shared" si="181"/>
        <v>0.8576277332</v>
      </c>
      <c r="U108" s="43">
        <f t="shared" si="181"/>
        <v>0.8577294041</v>
      </c>
      <c r="V108" s="43">
        <f t="shared" si="181"/>
        <v>0.8674516439</v>
      </c>
      <c r="W108" s="43">
        <f t="shared" si="181"/>
        <v>0.8493089541</v>
      </c>
      <c r="X108" s="43">
        <f t="shared" si="181"/>
        <v>0.8497111141</v>
      </c>
      <c r="Y108" s="43">
        <f t="shared" si="181"/>
        <v>0.8459186086</v>
      </c>
      <c r="Z108" s="43">
        <f t="shared" si="181"/>
        <v>0.8463278551</v>
      </c>
      <c r="AA108" s="43">
        <f t="shared" si="181"/>
        <v>0.8516962293</v>
      </c>
      <c r="AB108" s="43">
        <f t="shared" si="181"/>
        <v>0.8518772792</v>
      </c>
      <c r="AC108" s="43"/>
      <c r="AD108" s="42" t="str">
        <f t="shared" si="182"/>
        <v>  Gross Margin</v>
      </c>
      <c r="AE108" s="43">
        <f t="shared" ref="AE108:AF108" si="183">AE107/AE96</f>
        <v>0.7870053771</v>
      </c>
      <c r="AF108" s="43">
        <f t="shared" si="183"/>
        <v>0.8398046261</v>
      </c>
      <c r="AG108" s="43">
        <f t="shared" si="184"/>
        <v>0.05279924902</v>
      </c>
      <c r="AH108" s="43"/>
      <c r="AI108" s="11"/>
      <c r="AJ108" s="11"/>
      <c r="AK108" s="11"/>
      <c r="AL108" s="43">
        <f t="shared" ref="AL108:AQ108" si="185">AL107/AL96</f>
        <v>0.8452592197</v>
      </c>
      <c r="AM108" s="43">
        <f t="shared" si="185"/>
        <v>0.8443097728</v>
      </c>
      <c r="AN108" s="43">
        <f t="shared" si="185"/>
        <v>0.7870053771</v>
      </c>
      <c r="AO108" s="43">
        <f t="shared" si="185"/>
        <v>0.8398046261</v>
      </c>
      <c r="AP108" s="43">
        <f t="shared" si="185"/>
        <v>0.8559712746</v>
      </c>
      <c r="AQ108" s="43">
        <f t="shared" si="185"/>
        <v>0.8489849429</v>
      </c>
      <c r="AR108" s="11"/>
      <c r="AS108" s="11"/>
      <c r="AT108" s="11"/>
      <c r="AU108" s="11"/>
      <c r="AV108" s="11"/>
      <c r="AW108" s="11"/>
      <c r="AX108" s="11"/>
      <c r="AY108" s="11"/>
      <c r="AZ108" s="11"/>
      <c r="BA108" s="11"/>
      <c r="BB108" s="11"/>
      <c r="BC108" s="11"/>
      <c r="BD108" s="11"/>
      <c r="BE108" s="11"/>
      <c r="BF108" s="11"/>
      <c r="BG108" s="11"/>
      <c r="BH108" s="11"/>
      <c r="BI108" s="11"/>
      <c r="BJ108" s="11"/>
      <c r="BK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2"/>
      <c r="AH109" s="19"/>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row>
    <row r="110" ht="15.75" customHeight="1">
      <c r="A110" s="11"/>
      <c r="B110" s="11"/>
      <c r="C110" s="11"/>
      <c r="D110" s="11" t="s">
        <v>15</v>
      </c>
      <c r="E110" s="20">
        <f>Headcount!H8</f>
        <v>10</v>
      </c>
      <c r="F110" s="20">
        <f>Headcount!I8</f>
        <v>10</v>
      </c>
      <c r="G110" s="20">
        <f>Headcount!J8</f>
        <v>10</v>
      </c>
      <c r="H110" s="20">
        <f>Headcount!K8</f>
        <v>10</v>
      </c>
      <c r="I110" s="20">
        <f>Headcount!L8</f>
        <v>10</v>
      </c>
      <c r="J110" s="20">
        <f>Headcount!M8</f>
        <v>10</v>
      </c>
      <c r="K110" s="20">
        <f>Headcount!N8</f>
        <v>10</v>
      </c>
      <c r="L110" s="20">
        <f>Headcount!O8</f>
        <v>10</v>
      </c>
      <c r="M110" s="20">
        <f>Headcount!P8</f>
        <v>10</v>
      </c>
      <c r="N110" s="20">
        <f>Headcount!Q8</f>
        <v>10</v>
      </c>
      <c r="O110" s="20">
        <f>Headcount!R8</f>
        <v>10</v>
      </c>
      <c r="P110" s="20">
        <f>Headcount!S8</f>
        <v>10</v>
      </c>
      <c r="Q110" s="20">
        <f>Headcount!T8</f>
        <v>10</v>
      </c>
      <c r="R110" s="20">
        <f>Headcount!U8</f>
        <v>10</v>
      </c>
      <c r="S110" s="20">
        <f>Headcount!V8</f>
        <v>10</v>
      </c>
      <c r="T110" s="20">
        <f>Headcount!W8</f>
        <v>10</v>
      </c>
      <c r="U110" s="20">
        <f>Headcount!X8</f>
        <v>10</v>
      </c>
      <c r="V110" s="20">
        <f>Headcount!Y8</f>
        <v>10</v>
      </c>
      <c r="W110" s="20">
        <f>Headcount!Z8</f>
        <v>10</v>
      </c>
      <c r="X110" s="20">
        <f>Headcount!AA8</f>
        <v>10</v>
      </c>
      <c r="Y110" s="20">
        <f>Headcount!AB8</f>
        <v>10</v>
      </c>
      <c r="Z110" s="20">
        <f>Headcount!AC8</f>
        <v>10</v>
      </c>
      <c r="AA110" s="20">
        <f>Headcount!AD8</f>
        <v>10</v>
      </c>
      <c r="AB110" s="20">
        <f>Headcount!AE8</f>
        <v>10</v>
      </c>
      <c r="AC110" s="11"/>
      <c r="AD110" s="11" t="str">
        <f t="shared" ref="AD110:AD114" si="186">D110</f>
        <v>Headcount</v>
      </c>
      <c r="AE110" s="20">
        <f>P110</f>
        <v>10</v>
      </c>
      <c r="AF110" s="20">
        <f>T110</f>
        <v>10</v>
      </c>
      <c r="AG110" s="21">
        <f t="shared" ref="AG110:AG116" si="187">AF110-AE110</f>
        <v>0</v>
      </c>
      <c r="AH110" s="19">
        <f t="shared" ref="AH110:AH116" si="188">AF110/AE110-1</f>
        <v>0</v>
      </c>
      <c r="AI110" s="11"/>
      <c r="AJ110" s="11"/>
      <c r="AK110" s="11" t="s">
        <v>15</v>
      </c>
      <c r="AL110" s="20">
        <f>H110</f>
        <v>10</v>
      </c>
      <c r="AM110" s="20">
        <f>L110</f>
        <v>10</v>
      </c>
      <c r="AN110" s="20">
        <f>P110</f>
        <v>10</v>
      </c>
      <c r="AO110" s="20">
        <f>T110</f>
        <v>10</v>
      </c>
      <c r="AP110" s="20">
        <f>X110</f>
        <v>10</v>
      </c>
      <c r="AQ110" s="20">
        <f>AB110</f>
        <v>10</v>
      </c>
      <c r="AR110" s="11"/>
      <c r="AS110" s="11"/>
      <c r="AT110" s="11"/>
      <c r="AU110" s="11"/>
      <c r="AV110" s="11"/>
      <c r="AW110" s="11"/>
      <c r="AX110" s="11"/>
      <c r="AY110" s="11"/>
      <c r="AZ110" s="11"/>
      <c r="BA110" s="11"/>
      <c r="BB110" s="11"/>
      <c r="BC110" s="11"/>
      <c r="BD110" s="11"/>
      <c r="BE110" s="11"/>
      <c r="BF110" s="11"/>
      <c r="BG110" s="11"/>
      <c r="BH110" s="11"/>
      <c r="BI110" s="11"/>
      <c r="BJ110" s="11"/>
      <c r="BK110" s="11"/>
    </row>
    <row r="111" ht="15.75" customHeight="1">
      <c r="A111" s="11"/>
      <c r="B111" s="11"/>
      <c r="C111" s="11"/>
      <c r="D111" s="11" t="s">
        <v>88</v>
      </c>
      <c r="E111" s="12">
        <f>E96/Capacity!O141</f>
        <v>76231.14286</v>
      </c>
      <c r="F111" s="12">
        <f>F96/Capacity!P141</f>
        <v>48948</v>
      </c>
      <c r="G111" s="12">
        <f>G96/Capacity!Q141</f>
        <v>69074.85714</v>
      </c>
      <c r="H111" s="12">
        <f>H96/Capacity!R141</f>
        <v>73031.71429</v>
      </c>
      <c r="I111" s="12">
        <f>I96/Capacity!S141</f>
        <v>58640.28571</v>
      </c>
      <c r="J111" s="12">
        <f>J96/Capacity!T141</f>
        <v>77574.28571</v>
      </c>
      <c r="K111" s="12">
        <f>K96/Capacity!U141</f>
        <v>56969.55556</v>
      </c>
      <c r="L111" s="12">
        <f>L96/Capacity!V141</f>
        <v>17057.11111</v>
      </c>
      <c r="M111" s="12">
        <f>M96/Capacity!W141</f>
        <v>14940.22222</v>
      </c>
      <c r="N111" s="12">
        <f>N96/Capacity!X141</f>
        <v>46407.11111</v>
      </c>
      <c r="O111" s="12">
        <f>O96/Capacity!Y141</f>
        <v>32310</v>
      </c>
      <c r="P111" s="12">
        <f>P96/Capacity!Z141</f>
        <v>36331.41164</v>
      </c>
      <c r="Q111" s="12">
        <f>Q96/Capacity!AA141</f>
        <v>40676.60863</v>
      </c>
      <c r="R111" s="12">
        <f>R96/Capacity!AB141</f>
        <v>44546.45189</v>
      </c>
      <c r="S111" s="12">
        <f>S96/Capacity!AC141</f>
        <v>47383.03472</v>
      </c>
      <c r="T111" s="12">
        <f>T96/Capacity!AD141</f>
        <v>49483.00643</v>
      </c>
      <c r="U111" s="12">
        <f>U96/Capacity!AE141</f>
        <v>51262.60782</v>
      </c>
      <c r="V111" s="12">
        <f>V96/Capacity!AF141</f>
        <v>52529.75485</v>
      </c>
      <c r="W111" s="12">
        <f>W96/Capacity!AG141</f>
        <v>53451.31334</v>
      </c>
      <c r="X111" s="12">
        <f>X96/Capacity!AH141</f>
        <v>53844.86808</v>
      </c>
      <c r="Y111" s="12">
        <f>Y96/Capacity!AI141</f>
        <v>53641.13854</v>
      </c>
      <c r="Z111" s="12">
        <f>Z96/Capacity!AJ141</f>
        <v>54295.92485</v>
      </c>
      <c r="AA111" s="12">
        <f>AA96/Capacity!AK141</f>
        <v>54841.4827</v>
      </c>
      <c r="AB111" s="12">
        <f>AB96/Capacity!AL141</f>
        <v>55339.25553</v>
      </c>
      <c r="AC111" s="11"/>
      <c r="AD111" s="11" t="str">
        <f t="shared" si="186"/>
        <v>Revenue/Designer</v>
      </c>
      <c r="AE111" s="12">
        <f>AVERAGE(M111:P111)</f>
        <v>32497.18624</v>
      </c>
      <c r="AF111" s="12">
        <f>AVERAGE(Q111:T111)</f>
        <v>45522.27542</v>
      </c>
      <c r="AG111" s="12">
        <f t="shared" si="187"/>
        <v>13025.08918</v>
      </c>
      <c r="AH111" s="19">
        <f t="shared" si="188"/>
        <v>0.4008066754</v>
      </c>
      <c r="AI111" s="11"/>
      <c r="AJ111" s="11"/>
      <c r="AK111" s="11" t="s">
        <v>76</v>
      </c>
      <c r="AL111" s="12">
        <f>AVERAGE(E111:H111)</f>
        <v>66821.42857</v>
      </c>
      <c r="AM111" s="12">
        <f>AVERAGE(I111:L111)</f>
        <v>52560.30952</v>
      </c>
      <c r="AN111" s="12">
        <f>AVERAGE(M111:P111)</f>
        <v>32497.18624</v>
      </c>
      <c r="AO111" s="12">
        <f>AVERAGE(Q111:T111)</f>
        <v>45522.27542</v>
      </c>
      <c r="AP111" s="12">
        <f>AVERAGE(U111:X111)</f>
        <v>52772.13602</v>
      </c>
      <c r="AQ111" s="12">
        <f>AVERAGE(Y111:AB111)</f>
        <v>54529.4504</v>
      </c>
      <c r="AR111" s="11"/>
      <c r="AS111" s="11"/>
      <c r="AT111" s="11"/>
      <c r="AU111" s="11"/>
      <c r="AV111" s="11"/>
      <c r="AW111" s="11"/>
      <c r="AX111" s="11"/>
      <c r="AY111" s="11"/>
      <c r="AZ111" s="11"/>
      <c r="BA111" s="11"/>
      <c r="BB111" s="11"/>
      <c r="BC111" s="11"/>
      <c r="BD111" s="11"/>
      <c r="BE111" s="11"/>
      <c r="BF111" s="11"/>
      <c r="BG111" s="11"/>
      <c r="BH111" s="11"/>
      <c r="BI111" s="11"/>
      <c r="BJ111" s="11"/>
      <c r="BK111" s="11"/>
    </row>
    <row r="112" ht="15.75" customHeight="1">
      <c r="A112" s="11"/>
      <c r="B112" s="11"/>
      <c r="C112" s="11"/>
      <c r="D112" s="11" t="s">
        <v>90</v>
      </c>
      <c r="E112" s="50">
        <f>SUM('New Biz Sales'!O42)</f>
        <v>30</v>
      </c>
      <c r="F112" s="50">
        <f>SUM('New Biz Sales'!P42)</f>
        <v>30</v>
      </c>
      <c r="G112" s="50">
        <f>SUM('New Biz Sales'!Q42)</f>
        <v>30</v>
      </c>
      <c r="H112" s="50">
        <f>SUM('New Biz Sales'!R42)</f>
        <v>30</v>
      </c>
      <c r="I112" s="50">
        <f>SUM('New Biz Sales'!S42)</f>
        <v>30</v>
      </c>
      <c r="J112" s="50">
        <f>SUM('New Biz Sales'!T42)</f>
        <v>30</v>
      </c>
      <c r="K112" s="50">
        <f>SUM('New Biz Sales'!U42)</f>
        <v>30</v>
      </c>
      <c r="L112" s="50">
        <f>SUM('New Biz Sales'!V42)</f>
        <v>30</v>
      </c>
      <c r="M112" s="50">
        <f>SUM('New Biz Sales'!W42)</f>
        <v>30</v>
      </c>
      <c r="N112" s="50">
        <f>SUM('New Biz Sales'!X42)</f>
        <v>30</v>
      </c>
      <c r="O112" s="50">
        <f>SUM('New Biz Sales'!Y42)</f>
        <v>30</v>
      </c>
      <c r="P112" s="50">
        <f>SUM('New Biz Sales'!Z42)</f>
        <v>33</v>
      </c>
      <c r="Q112" s="50">
        <f>SUM('New Biz Sales'!AA42)</f>
        <v>33</v>
      </c>
      <c r="R112" s="50">
        <f>SUM('New Biz Sales'!AB42)</f>
        <v>33</v>
      </c>
      <c r="S112" s="50">
        <f>SUM('New Biz Sales'!AC42)</f>
        <v>33</v>
      </c>
      <c r="T112" s="50">
        <f>SUM('New Biz Sales'!AD42)</f>
        <v>33</v>
      </c>
      <c r="U112" s="50">
        <f>SUM('New Biz Sales'!AE42)</f>
        <v>33</v>
      </c>
      <c r="V112" s="50">
        <f>SUM('New Biz Sales'!AF42)</f>
        <v>33</v>
      </c>
      <c r="W112" s="50">
        <f>SUM('New Biz Sales'!AG42)</f>
        <v>33</v>
      </c>
      <c r="X112" s="50">
        <f>SUM('New Biz Sales'!AH42)</f>
        <v>31.35</v>
      </c>
      <c r="Y112" s="50">
        <f>SUM('New Biz Sales'!AI42)</f>
        <v>31.35</v>
      </c>
      <c r="Z112" s="50">
        <f>SUM('New Biz Sales'!AJ42)</f>
        <v>31.35</v>
      </c>
      <c r="AA112" s="50">
        <f>SUM('New Biz Sales'!AK42)</f>
        <v>31.50675</v>
      </c>
      <c r="AB112" s="50">
        <f>SUM('New Biz Sales'!AL42)</f>
        <v>22.054725</v>
      </c>
      <c r="AC112" s="11"/>
      <c r="AD112" s="11" t="str">
        <f t="shared" si="186"/>
        <v># of Opportunities</v>
      </c>
      <c r="AE112" s="21">
        <f t="shared" ref="AE112:AE113" si="189">SUM(M112:P112)</f>
        <v>123</v>
      </c>
      <c r="AF112" s="21">
        <f t="shared" ref="AF112:AF113" si="190">SUM(Q112:T112)</f>
        <v>132</v>
      </c>
      <c r="AG112" s="21">
        <f t="shared" si="187"/>
        <v>9</v>
      </c>
      <c r="AH112" s="19">
        <f t="shared" si="188"/>
        <v>0.07317073171</v>
      </c>
      <c r="AI112" s="11"/>
      <c r="AJ112" s="11"/>
      <c r="AK112" s="11" t="s">
        <v>77</v>
      </c>
      <c r="AL112" s="20">
        <f t="shared" ref="AL112:AL113" si="191">SUM(E112:H112)</f>
        <v>120</v>
      </c>
      <c r="AM112" s="20">
        <f t="shared" ref="AM112:AM113" si="192">SUM(I112:L112)</f>
        <v>120</v>
      </c>
      <c r="AN112" s="20">
        <f t="shared" ref="AN112:AN113" si="193">SUM(M112:P112)</f>
        <v>123</v>
      </c>
      <c r="AO112" s="20">
        <f t="shared" ref="AO112:AO113" si="194">SUM(Q112:T112)</f>
        <v>132</v>
      </c>
      <c r="AP112" s="20">
        <f t="shared" ref="AP112:AP113" si="195">SUM(U112:X112)</f>
        <v>130.35</v>
      </c>
      <c r="AQ112" s="20">
        <f t="shared" ref="AQ112:AQ113" si="196">SUM(Y112:AB112)</f>
        <v>116.261475</v>
      </c>
      <c r="AR112" s="11"/>
      <c r="AS112" s="11"/>
      <c r="AT112" s="11"/>
      <c r="AU112" s="11"/>
      <c r="AV112" s="11"/>
      <c r="AW112" s="11"/>
      <c r="AX112" s="11"/>
      <c r="AY112" s="11"/>
      <c r="AZ112" s="11"/>
      <c r="BA112" s="11"/>
      <c r="BB112" s="11"/>
      <c r="BC112" s="11"/>
      <c r="BD112" s="11"/>
      <c r="BE112" s="11"/>
      <c r="BF112" s="11"/>
      <c r="BG112" s="11"/>
      <c r="BH112" s="11"/>
      <c r="BI112" s="11"/>
      <c r="BJ112" s="11"/>
      <c r="BK112" s="11"/>
    </row>
    <row r="113" ht="15.75" customHeight="1">
      <c r="A113" s="11"/>
      <c r="B113" s="11"/>
      <c r="C113" s="11"/>
      <c r="D113" s="11" t="s">
        <v>91</v>
      </c>
      <c r="E113" s="51">
        <f>'New Biz Sales'!O91+'Portfolio Sales'!E84</f>
        <v>5</v>
      </c>
      <c r="F113" s="51">
        <f>'New Biz Sales'!P91+'Portfolio Sales'!F84</f>
        <v>8</v>
      </c>
      <c r="G113" s="51">
        <f>'New Biz Sales'!Q91+'Portfolio Sales'!G84</f>
        <v>6</v>
      </c>
      <c r="H113" s="51">
        <f>'New Biz Sales'!R91+'Portfolio Sales'!H84</f>
        <v>8</v>
      </c>
      <c r="I113" s="51">
        <f>'New Biz Sales'!S91+'Portfolio Sales'!I84</f>
        <v>6</v>
      </c>
      <c r="J113" s="51">
        <f>'New Biz Sales'!T91+'Portfolio Sales'!J84</f>
        <v>6</v>
      </c>
      <c r="K113" s="51">
        <f>'New Biz Sales'!U91+'Portfolio Sales'!K84</f>
        <v>8</v>
      </c>
      <c r="L113" s="51">
        <f>'New Biz Sales'!V91+'Portfolio Sales'!L84</f>
        <v>5</v>
      </c>
      <c r="M113" s="51">
        <f>'New Biz Sales'!W91+'Portfolio Sales'!M84</f>
        <v>8</v>
      </c>
      <c r="N113" s="51">
        <f>'New Biz Sales'!X91+'Portfolio Sales'!N84</f>
        <v>7</v>
      </c>
      <c r="O113" s="51">
        <f>'New Biz Sales'!Y91+'Portfolio Sales'!O84</f>
        <v>6</v>
      </c>
      <c r="P113" s="51">
        <f>'New Biz Sales'!Z91+'Portfolio Sales'!P84</f>
        <v>5.754187931</v>
      </c>
      <c r="Q113" s="51">
        <f>'New Biz Sales'!AA91+'Portfolio Sales'!Q84</f>
        <v>6.381768758</v>
      </c>
      <c r="R113" s="51">
        <f>'New Biz Sales'!AB91+'Portfolio Sales'!R84</f>
        <v>7.200932545</v>
      </c>
      <c r="S113" s="51">
        <f>'New Biz Sales'!AC91+'Portfolio Sales'!S84</f>
        <v>7.688276494</v>
      </c>
      <c r="T113" s="51">
        <f>'New Biz Sales'!AD91+'Portfolio Sales'!T84</f>
        <v>8.071322488</v>
      </c>
      <c r="U113" s="51">
        <f>'New Biz Sales'!AE91+'Portfolio Sales'!U84</f>
        <v>7.662653706</v>
      </c>
      <c r="V113" s="51">
        <f>'New Biz Sales'!AF91+'Portfolio Sales'!V84</f>
        <v>7.638085243</v>
      </c>
      <c r="W113" s="51">
        <f>'New Biz Sales'!AG91+'Portfolio Sales'!W84</f>
        <v>7.693694489</v>
      </c>
      <c r="X113" s="51">
        <f>'New Biz Sales'!AH91+'Portfolio Sales'!X84</f>
        <v>7.745112205</v>
      </c>
      <c r="Y113" s="51">
        <f>'New Biz Sales'!AI91+'Portfolio Sales'!Y84</f>
        <v>7.936793209</v>
      </c>
      <c r="Z113" s="51">
        <f>'New Biz Sales'!AJ91+'Portfolio Sales'!Z84</f>
        <v>9.059949281</v>
      </c>
      <c r="AA113" s="51">
        <f>'New Biz Sales'!AK91+'Portfolio Sales'!AA84</f>
        <v>9.220279024</v>
      </c>
      <c r="AB113" s="51">
        <f>'New Biz Sales'!AL91+'Portfolio Sales'!AB84</f>
        <v>9.438628328</v>
      </c>
      <c r="AC113" s="11"/>
      <c r="AD113" s="11" t="str">
        <f t="shared" si="186"/>
        <v>Deals Closed</v>
      </c>
      <c r="AE113" s="21">
        <f t="shared" si="189"/>
        <v>26.75418793</v>
      </c>
      <c r="AF113" s="21">
        <f t="shared" si="190"/>
        <v>29.34230028</v>
      </c>
      <c r="AG113" s="21">
        <f t="shared" si="187"/>
        <v>2.588112354</v>
      </c>
      <c r="AH113" s="19">
        <f t="shared" si="188"/>
        <v>0.09673671878</v>
      </c>
      <c r="AI113" s="11"/>
      <c r="AJ113" s="11"/>
      <c r="AK113" s="11" t="s">
        <v>78</v>
      </c>
      <c r="AL113" s="20">
        <f t="shared" si="191"/>
        <v>27</v>
      </c>
      <c r="AM113" s="20">
        <f t="shared" si="192"/>
        <v>25</v>
      </c>
      <c r="AN113" s="20">
        <f t="shared" si="193"/>
        <v>26.75418793</v>
      </c>
      <c r="AO113" s="20">
        <f t="shared" si="194"/>
        <v>29.34230028</v>
      </c>
      <c r="AP113" s="20">
        <f t="shared" si="195"/>
        <v>30.73954564</v>
      </c>
      <c r="AQ113" s="20">
        <f t="shared" si="196"/>
        <v>35.65564984</v>
      </c>
      <c r="AR113" s="11"/>
      <c r="AS113" s="11"/>
      <c r="AT113" s="11"/>
      <c r="AU113" s="11"/>
      <c r="AV113" s="11"/>
      <c r="AW113" s="11"/>
      <c r="AX113" s="11"/>
      <c r="AY113" s="11"/>
      <c r="AZ113" s="11"/>
      <c r="BA113" s="11"/>
      <c r="BB113" s="11"/>
      <c r="BC113" s="11"/>
      <c r="BD113" s="11"/>
      <c r="BE113" s="11"/>
      <c r="BF113" s="11"/>
      <c r="BG113" s="11"/>
      <c r="BH113" s="11"/>
      <c r="BI113" s="11"/>
      <c r="BJ113" s="11"/>
      <c r="BK113" s="11"/>
    </row>
    <row r="114" ht="15.75" customHeight="1">
      <c r="A114" s="11"/>
      <c r="B114" s="11"/>
      <c r="C114" s="11"/>
      <c r="D114" s="11" t="s">
        <v>79</v>
      </c>
      <c r="E114" s="24">
        <f>'New Biz Sales'!O99</f>
        <v>208508</v>
      </c>
      <c r="F114" s="24">
        <f>'New Biz Sales'!P99</f>
        <v>329458</v>
      </c>
      <c r="G114" s="24">
        <f>'New Biz Sales'!Q99</f>
        <v>432189</v>
      </c>
      <c r="H114" s="24">
        <f>'New Biz Sales'!R99</f>
        <v>424553</v>
      </c>
      <c r="I114" s="24">
        <f>'New Biz Sales'!S99</f>
        <v>108659</v>
      </c>
      <c r="J114" s="24">
        <f>'New Biz Sales'!T99</f>
        <v>465660</v>
      </c>
      <c r="K114" s="24">
        <f>'New Biz Sales'!U99</f>
        <v>297991</v>
      </c>
      <c r="L114" s="24">
        <f>'New Biz Sales'!V99</f>
        <v>223591</v>
      </c>
      <c r="M114" s="24">
        <f>'New Biz Sales'!W99</f>
        <v>392857</v>
      </c>
      <c r="N114" s="24">
        <f>'New Biz Sales'!X99</f>
        <v>268265</v>
      </c>
      <c r="O114" s="24">
        <f>'New Biz Sales'!Y99</f>
        <v>325194</v>
      </c>
      <c r="P114" s="24">
        <f>'New Biz Sales'!Z99</f>
        <v>22500</v>
      </c>
      <c r="Q114" s="24">
        <f>'New Biz Sales'!AA99</f>
        <v>22950</v>
      </c>
      <c r="R114" s="24">
        <f>'New Biz Sales'!AB99</f>
        <v>22950</v>
      </c>
      <c r="S114" s="24">
        <f>'New Biz Sales'!AC99</f>
        <v>22950</v>
      </c>
      <c r="T114" s="24">
        <f>'New Biz Sales'!AD99</f>
        <v>22950</v>
      </c>
      <c r="U114" s="24">
        <f>'New Biz Sales'!AE99</f>
        <v>22950</v>
      </c>
      <c r="V114" s="24">
        <f>'New Biz Sales'!AF99</f>
        <v>23638.5</v>
      </c>
      <c r="W114" s="24">
        <f>'New Biz Sales'!AG99</f>
        <v>23638.5</v>
      </c>
      <c r="X114" s="24">
        <f>'New Biz Sales'!AH99</f>
        <v>23638.5</v>
      </c>
      <c r="Y114" s="24">
        <f>'New Biz Sales'!AI99</f>
        <v>23638.5</v>
      </c>
      <c r="Z114" s="24">
        <f>'New Biz Sales'!AJ99</f>
        <v>23638.5</v>
      </c>
      <c r="AA114" s="24">
        <f>'New Biz Sales'!AK99</f>
        <v>23638.5</v>
      </c>
      <c r="AB114" s="24">
        <f>'New Biz Sales'!AL99</f>
        <v>23638.5</v>
      </c>
      <c r="AC114" s="11"/>
      <c r="AD114" s="11" t="str">
        <f t="shared" si="186"/>
        <v>New Client AOV</v>
      </c>
      <c r="AE114" s="12" t="str">
        <f>IFERROR(__xludf.DUMMYFUNCTION("AVERAGE.WEIGHTED(M118:P118,M117:P117)"),"#DIV/0!")</f>
        <v>#DIV/0!</v>
      </c>
      <c r="AF114" s="12" t="str">
        <f>IFERROR(__xludf.DUMMYFUNCTION("AVERAGE.WEIGHTED(Q118:T118,Q117:T117)"),"#DIV/0!")</f>
        <v>#DIV/0!</v>
      </c>
      <c r="AG114" s="12" t="str">
        <f t="shared" si="187"/>
        <v>#DIV/0!</v>
      </c>
      <c r="AH114" s="19" t="str">
        <f t="shared" si="188"/>
        <v>#DIV/0!</v>
      </c>
      <c r="AI114" s="11"/>
      <c r="AJ114" s="11"/>
      <c r="AK114" s="11" t="s">
        <v>79</v>
      </c>
      <c r="AL114" s="24">
        <f t="shared" ref="AL114:AL116" si="197">AVERAGE(E114:H114)</f>
        <v>348677</v>
      </c>
      <c r="AM114" s="24">
        <f t="shared" ref="AM114:AM116" si="198">AVERAGE(I114:L114)</f>
        <v>273975.25</v>
      </c>
      <c r="AN114" s="24">
        <f t="shared" ref="AN114:AN116" si="199">AVERAGE(M114:P114)</f>
        <v>252204</v>
      </c>
      <c r="AO114" s="24">
        <f t="shared" ref="AO114:AO116" si="200">AVERAGE(Q114:T114)</f>
        <v>22950</v>
      </c>
      <c r="AP114" s="24">
        <f t="shared" ref="AP114:AP116" si="201">AVERAGE(U114:X114)</f>
        <v>23466.375</v>
      </c>
      <c r="AQ114" s="24">
        <f t="shared" ref="AQ114:AQ116" si="202">AVERAGE(Y114:AB114)</f>
        <v>23638.5</v>
      </c>
      <c r="AR114" s="11"/>
      <c r="AS114" s="11"/>
      <c r="AT114" s="11"/>
      <c r="AU114" s="11"/>
      <c r="AV114" s="11"/>
      <c r="AW114" s="11"/>
      <c r="AX114" s="11"/>
      <c r="AY114" s="11"/>
      <c r="AZ114" s="11"/>
      <c r="BA114" s="11"/>
      <c r="BB114" s="11"/>
      <c r="BC114" s="11"/>
      <c r="BD114" s="11"/>
      <c r="BE114" s="11"/>
      <c r="BF114" s="11"/>
      <c r="BG114" s="11"/>
      <c r="BH114" s="11"/>
      <c r="BI114" s="11"/>
      <c r="BJ114" s="11"/>
      <c r="BK114" s="11"/>
    </row>
    <row r="115" ht="15.75" customHeight="1">
      <c r="A115" s="11"/>
      <c r="B115" s="11"/>
      <c r="C115" s="11"/>
      <c r="D115" s="11" t="s">
        <v>81</v>
      </c>
      <c r="E115" s="57">
        <f>1-Retention!O64</f>
        <v>0.94</v>
      </c>
      <c r="F115" s="57">
        <f>1-Retention!P64</f>
        <v>0.94</v>
      </c>
      <c r="G115" s="57">
        <f>1-Retention!Q64</f>
        <v>0.94</v>
      </c>
      <c r="H115" s="57">
        <f>1-Retention!R64</f>
        <v>0.94</v>
      </c>
      <c r="I115" s="57">
        <f>1-Retention!S64</f>
        <v>0.94</v>
      </c>
      <c r="J115" s="57">
        <f>1-Retention!T64</f>
        <v>0.94</v>
      </c>
      <c r="K115" s="57">
        <f>1-Retention!U64</f>
        <v>0.94</v>
      </c>
      <c r="L115" s="57">
        <f>1-Retention!V64</f>
        <v>0.94</v>
      </c>
      <c r="M115" s="57">
        <f>1-Retention!W64</f>
        <v>0.94</v>
      </c>
      <c r="N115" s="57">
        <f>1-Retention!X64</f>
        <v>0.94</v>
      </c>
      <c r="O115" s="57">
        <f>1-Retention!Y64</f>
        <v>0.94</v>
      </c>
      <c r="P115" s="57">
        <f>1-Retention!Z64</f>
        <v>0.65</v>
      </c>
      <c r="Q115" s="57">
        <f>1-Retention!AA64</f>
        <v>0.67</v>
      </c>
      <c r="R115" s="57">
        <f>1-Retention!AB64</f>
        <v>0.67</v>
      </c>
      <c r="S115" s="57">
        <f>1-Retention!AC64</f>
        <v>0.67</v>
      </c>
      <c r="T115" s="57">
        <f>1-Retention!AD64</f>
        <v>0.67</v>
      </c>
      <c r="U115" s="57">
        <f>1-Retention!AE64</f>
        <v>0.69</v>
      </c>
      <c r="V115" s="57">
        <f>1-Retention!AF64</f>
        <v>0.68</v>
      </c>
      <c r="W115" s="57">
        <f>1-Retention!AG64</f>
        <v>0.68</v>
      </c>
      <c r="X115" s="57">
        <f>1-Retention!AH64</f>
        <v>0.67</v>
      </c>
      <c r="Y115" s="57">
        <f>1-Retention!AI64</f>
        <v>0.65</v>
      </c>
      <c r="Z115" s="57">
        <f>1-Retention!AJ64</f>
        <v>0.67</v>
      </c>
      <c r="AA115" s="57">
        <f>1-Retention!AK64</f>
        <v>0.67</v>
      </c>
      <c r="AB115" s="57">
        <f>1-Retention!AL64</f>
        <v>0.67</v>
      </c>
      <c r="AC115" s="11"/>
      <c r="AD115" s="11" t="s">
        <v>81</v>
      </c>
      <c r="AE115" s="44">
        <f>P115</f>
        <v>0.65</v>
      </c>
      <c r="AF115" s="44">
        <f>T115</f>
        <v>0.67</v>
      </c>
      <c r="AG115" s="45">
        <f t="shared" si="187"/>
        <v>0.02</v>
      </c>
      <c r="AH115" s="44">
        <f t="shared" si="188"/>
        <v>0.03076923077</v>
      </c>
      <c r="AI115" s="11"/>
      <c r="AJ115" s="11"/>
      <c r="AK115" s="11" t="s">
        <v>82</v>
      </c>
      <c r="AL115" s="19">
        <f t="shared" si="197"/>
        <v>0.94</v>
      </c>
      <c r="AM115" s="19">
        <f t="shared" si="198"/>
        <v>0.94</v>
      </c>
      <c r="AN115" s="19">
        <f t="shared" si="199"/>
        <v>0.8675</v>
      </c>
      <c r="AO115" s="19">
        <f t="shared" si="200"/>
        <v>0.67</v>
      </c>
      <c r="AP115" s="19">
        <f t="shared" si="201"/>
        <v>0.68</v>
      </c>
      <c r="AQ115" s="19">
        <f t="shared" si="202"/>
        <v>0.665</v>
      </c>
      <c r="AR115" s="11"/>
      <c r="AS115" s="11"/>
      <c r="AT115" s="11"/>
      <c r="AU115" s="11"/>
      <c r="AV115" s="11"/>
      <c r="AW115" s="11"/>
      <c r="AX115" s="11"/>
      <c r="AY115" s="11"/>
      <c r="AZ115" s="11"/>
      <c r="BA115" s="11"/>
      <c r="BB115" s="11"/>
      <c r="BC115" s="11"/>
      <c r="BD115" s="11"/>
      <c r="BE115" s="11"/>
      <c r="BF115" s="11"/>
      <c r="BG115" s="11"/>
      <c r="BH115" s="11"/>
      <c r="BI115" s="11"/>
      <c r="BJ115" s="11"/>
      <c r="BK115" s="11"/>
    </row>
    <row r="116" ht="15.75" customHeight="1">
      <c r="A116" s="11"/>
      <c r="B116" s="11"/>
      <c r="C116" s="11"/>
      <c r="D116" s="33" t="s">
        <v>83</v>
      </c>
      <c r="E116" s="46">
        <f>IFERROR(Retention!O170,0)</f>
        <v>98685.99079</v>
      </c>
      <c r="F116" s="46">
        <f>IFERROR(Retention!P170,0)</f>
        <v>62303.24222</v>
      </c>
      <c r="G116" s="46">
        <f>IFERROR(Retention!Q170,0)</f>
        <v>97931.84399</v>
      </c>
      <c r="H116" s="46">
        <f>IFERROR(Retention!R170,0)</f>
        <v>57880.47697</v>
      </c>
      <c r="I116" s="46">
        <f>IFERROR(Retention!S170,0)</f>
        <v>24654.71592</v>
      </c>
      <c r="J116" s="46">
        <f>IFERROR(Retention!T170,0)</f>
        <v>46468.42652</v>
      </c>
      <c r="K116" s="46">
        <f>IFERROR(Retention!U170,0)</f>
        <v>43470.97391</v>
      </c>
      <c r="L116" s="46">
        <f>IFERROR(Retention!V170,0)</f>
        <v>83302.63689</v>
      </c>
      <c r="M116" s="46">
        <f>IFERROR(Retention!W170,0)</f>
        <v>45632.33627</v>
      </c>
      <c r="N116" s="46">
        <f>IFERROR(Retention!X170,0)</f>
        <v>95124.6241</v>
      </c>
      <c r="O116" s="46">
        <f>IFERROR(Retention!Y170,0)</f>
        <v>126666.9294</v>
      </c>
      <c r="P116" s="46">
        <f>IFERROR(Retention!Z170,0)</f>
        <v>18010.34969</v>
      </c>
      <c r="Q116" s="46">
        <f>IFERROR(Retention!AA170,0)</f>
        <v>18600.23915</v>
      </c>
      <c r="R116" s="46">
        <f>IFERROR(Retention!AB170,0)</f>
        <v>19153.78545</v>
      </c>
      <c r="S116" s="46">
        <f>IFERROR(Retention!AC170,0)</f>
        <v>19536.89442</v>
      </c>
      <c r="T116" s="46">
        <f>IFERROR(Retention!AD170,0)</f>
        <v>19682.55648</v>
      </c>
      <c r="U116" s="46">
        <f>IFERROR(Retention!AE170,0)</f>
        <v>19684.88982</v>
      </c>
      <c r="V116" s="46">
        <f>IFERROR(Retention!AF170,0)</f>
        <v>20505.25569</v>
      </c>
      <c r="W116" s="46">
        <f>IFERROR(Retention!AG170,0)</f>
        <v>20076.38971</v>
      </c>
      <c r="X116" s="46">
        <f>IFERROR(Retention!AH170,0)</f>
        <v>20085.89617</v>
      </c>
      <c r="Y116" s="46">
        <f>IFERROR(Retention!AI170,0)</f>
        <v>19996.24703</v>
      </c>
      <c r="Z116" s="46">
        <f>IFERROR(Retention!AJ170,0)</f>
        <v>20005.921</v>
      </c>
      <c r="AA116" s="46">
        <f>IFERROR(Retention!AK170,0)</f>
        <v>20132.82132</v>
      </c>
      <c r="AB116" s="46">
        <f>IFERROR(Retention!AL170,0)</f>
        <v>20137.10106</v>
      </c>
      <c r="AC116" s="11"/>
      <c r="AD116" s="33" t="str">
        <f>D116</f>
        <v>New Client LTV</v>
      </c>
      <c r="AE116" s="35" t="str">
        <f t="shared" ref="AE116:AF116" si="203">((AE114/3)*AE108)/(1-AE115)</f>
        <v>#DIV/0!</v>
      </c>
      <c r="AF116" s="35" t="str">
        <f t="shared" si="203"/>
        <v>#DIV/0!</v>
      </c>
      <c r="AG116" s="47" t="str">
        <f t="shared" si="187"/>
        <v>#DIV/0!</v>
      </c>
      <c r="AH116" s="48" t="str">
        <f t="shared" si="188"/>
        <v>#DIV/0!</v>
      </c>
      <c r="AI116" s="11"/>
      <c r="AJ116" s="11"/>
      <c r="AK116" s="33" t="s">
        <v>83</v>
      </c>
      <c r="AL116" s="35">
        <f t="shared" si="197"/>
        <v>79200.38849</v>
      </c>
      <c r="AM116" s="35">
        <f t="shared" si="198"/>
        <v>49474.18831</v>
      </c>
      <c r="AN116" s="35">
        <f t="shared" si="199"/>
        <v>71358.55987</v>
      </c>
      <c r="AO116" s="35">
        <f t="shared" si="200"/>
        <v>19243.36887</v>
      </c>
      <c r="AP116" s="35">
        <f t="shared" si="201"/>
        <v>20088.10785</v>
      </c>
      <c r="AQ116" s="35">
        <f t="shared" si="202"/>
        <v>20068.0226</v>
      </c>
      <c r="AR116" s="11"/>
      <c r="AS116" s="11"/>
      <c r="AT116" s="11"/>
      <c r="AU116" s="11"/>
      <c r="AV116" s="11"/>
      <c r="AW116" s="11"/>
      <c r="AX116" s="11"/>
      <c r="AY116" s="11"/>
      <c r="AZ116" s="11"/>
      <c r="BA116" s="11"/>
      <c r="BB116" s="11"/>
      <c r="BC116" s="11"/>
      <c r="BD116" s="11"/>
      <c r="BE116" s="11"/>
      <c r="BF116" s="11"/>
      <c r="BG116" s="11"/>
      <c r="BH116" s="11"/>
      <c r="BI116" s="11"/>
      <c r="BJ116" s="11"/>
      <c r="BK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2"/>
      <c r="AH117" s="19"/>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2"/>
      <c r="AH118" s="19"/>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row>
    <row r="119" ht="15.75" customHeight="1">
      <c r="A119" s="11"/>
      <c r="B119" s="11"/>
      <c r="C119" s="11"/>
      <c r="D119" s="11" t="s">
        <v>84</v>
      </c>
      <c r="E119" s="24"/>
      <c r="F119" s="24"/>
      <c r="G119" s="24"/>
      <c r="H119" s="24"/>
      <c r="I119" s="24"/>
      <c r="J119" s="24"/>
      <c r="K119" s="24"/>
      <c r="L119" s="24"/>
      <c r="M119" s="24">
        <f>M107-'Ops Departments'!X125</f>
        <v>0</v>
      </c>
      <c r="N119" s="24">
        <f>N107-'Ops Departments'!Y125</f>
        <v>0</v>
      </c>
      <c r="O119" s="24">
        <f>O107-'Ops Departments'!Z125</f>
        <v>0</v>
      </c>
      <c r="P119" s="24">
        <f>P107-'Ops Departments'!AA125</f>
        <v>0</v>
      </c>
      <c r="Q119" s="24">
        <f>Q107-'Ops Departments'!AB125</f>
        <v>0</v>
      </c>
      <c r="R119" s="24">
        <f>R107-'Ops Departments'!AC125</f>
        <v>0</v>
      </c>
      <c r="S119" s="24">
        <f>S107-'Ops Departments'!AD125</f>
        <v>0</v>
      </c>
      <c r="T119" s="24">
        <f>T107-'Ops Departments'!AE125</f>
        <v>0</v>
      </c>
      <c r="U119" s="24"/>
      <c r="V119" s="24"/>
      <c r="W119" s="24"/>
      <c r="X119" s="24"/>
      <c r="Y119" s="24"/>
      <c r="Z119" s="24"/>
      <c r="AA119" s="24"/>
      <c r="AB119" s="24"/>
      <c r="AC119" s="11"/>
      <c r="AD119" s="11"/>
      <c r="AE119" s="11"/>
      <c r="AF119" s="11"/>
      <c r="AG119" s="12"/>
      <c r="AH119" s="19"/>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2"/>
      <c r="AH120" s="19"/>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row>
    <row r="121" ht="15.75" customHeight="1">
      <c r="A121" s="11"/>
      <c r="B121" s="13" t="s">
        <v>92</v>
      </c>
      <c r="C121" s="11"/>
      <c r="D121" s="11"/>
      <c r="E121" s="14">
        <v>44562.0</v>
      </c>
      <c r="F121" s="14">
        <v>44593.0</v>
      </c>
      <c r="G121" s="14">
        <v>44621.0</v>
      </c>
      <c r="H121" s="14">
        <v>44652.0</v>
      </c>
      <c r="I121" s="14">
        <v>44682.0</v>
      </c>
      <c r="J121" s="14">
        <v>44713.0</v>
      </c>
      <c r="K121" s="14">
        <v>44743.0</v>
      </c>
      <c r="L121" s="14">
        <v>44774.0</v>
      </c>
      <c r="M121" s="14">
        <v>44805.0</v>
      </c>
      <c r="N121" s="14">
        <v>44835.0</v>
      </c>
      <c r="O121" s="14">
        <v>44866.0</v>
      </c>
      <c r="P121" s="14">
        <v>44896.0</v>
      </c>
      <c r="Q121" s="15">
        <v>44927.0</v>
      </c>
      <c r="R121" s="15">
        <v>44958.0</v>
      </c>
      <c r="S121" s="15">
        <v>44986.0</v>
      </c>
      <c r="T121" s="15">
        <v>45017.0</v>
      </c>
      <c r="U121" s="15">
        <v>45047.0</v>
      </c>
      <c r="V121" s="15">
        <v>45078.0</v>
      </c>
      <c r="W121" s="15">
        <v>45108.0</v>
      </c>
      <c r="X121" s="15">
        <v>45139.0</v>
      </c>
      <c r="Y121" s="15">
        <v>45170.0</v>
      </c>
      <c r="Z121" s="15">
        <v>45200.0</v>
      </c>
      <c r="AA121" s="15">
        <v>45231.0</v>
      </c>
      <c r="AB121" s="15">
        <v>45261.0</v>
      </c>
      <c r="AC121" s="11"/>
      <c r="AD121" s="11"/>
      <c r="AE121" s="16" t="s">
        <v>48</v>
      </c>
      <c r="AF121" s="17" t="s">
        <v>49</v>
      </c>
      <c r="AG121" s="18" t="s">
        <v>50</v>
      </c>
      <c r="AH121" s="49" t="s">
        <v>51</v>
      </c>
      <c r="AI121" s="11"/>
      <c r="AJ121" s="11"/>
      <c r="AK121" s="11"/>
      <c r="AL121" s="16" t="s">
        <v>52</v>
      </c>
      <c r="AM121" s="16" t="s">
        <v>53</v>
      </c>
      <c r="AN121" s="16" t="s">
        <v>48</v>
      </c>
      <c r="AO121" s="17" t="s">
        <v>49</v>
      </c>
      <c r="AP121" s="17" t="s">
        <v>54</v>
      </c>
      <c r="AQ121" s="17" t="s">
        <v>55</v>
      </c>
      <c r="AR121" s="11"/>
      <c r="AS121" s="11"/>
      <c r="AT121" s="11"/>
      <c r="AU121" s="11"/>
      <c r="AV121" s="11"/>
      <c r="AW121" s="11"/>
      <c r="AX121" s="11"/>
      <c r="AY121" s="11"/>
      <c r="AZ121" s="11"/>
      <c r="BA121" s="11"/>
      <c r="BB121" s="11"/>
      <c r="BC121" s="11"/>
      <c r="BD121" s="11"/>
      <c r="BE121" s="11"/>
      <c r="BF121" s="11"/>
      <c r="BG121" s="11"/>
      <c r="BH121" s="11"/>
      <c r="BI121" s="11"/>
      <c r="BJ121" s="11"/>
      <c r="BK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2"/>
      <c r="AH122" s="19"/>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row>
    <row r="123" ht="15.75" customHeight="1">
      <c r="A123" s="11"/>
      <c r="B123" s="11"/>
      <c r="C123" s="11"/>
      <c r="D123" s="11" t="s">
        <v>56</v>
      </c>
      <c r="E123" s="12">
        <f t="shared" ref="E123:AB123" si="204">E65+E94</f>
        <v>399149</v>
      </c>
      <c r="F123" s="12">
        <f t="shared" si="204"/>
        <v>311047</v>
      </c>
      <c r="G123" s="12">
        <f t="shared" si="204"/>
        <v>379402</v>
      </c>
      <c r="H123" s="12">
        <f t="shared" si="204"/>
        <v>433610</v>
      </c>
      <c r="I123" s="12">
        <f t="shared" si="204"/>
        <v>380294</v>
      </c>
      <c r="J123" s="12">
        <f t="shared" si="204"/>
        <v>376277</v>
      </c>
      <c r="K123" s="12">
        <f t="shared" si="204"/>
        <v>406852</v>
      </c>
      <c r="L123" s="12">
        <f t="shared" si="204"/>
        <v>413316</v>
      </c>
      <c r="M123" s="12">
        <f t="shared" si="204"/>
        <v>347881</v>
      </c>
      <c r="N123" s="12">
        <f t="shared" si="204"/>
        <v>422169</v>
      </c>
      <c r="O123" s="12">
        <f t="shared" si="204"/>
        <v>286661</v>
      </c>
      <c r="P123" s="12">
        <f t="shared" si="204"/>
        <v>313417</v>
      </c>
      <c r="Q123" s="12">
        <f t="shared" si="204"/>
        <v>360679.5112</v>
      </c>
      <c r="R123" s="12">
        <f t="shared" si="204"/>
        <v>418708.7907</v>
      </c>
      <c r="S123" s="12">
        <f t="shared" si="204"/>
        <v>481861.6057</v>
      </c>
      <c r="T123" s="12">
        <f t="shared" si="204"/>
        <v>543995.6948</v>
      </c>
      <c r="U123" s="12">
        <f t="shared" si="204"/>
        <v>604994.8268</v>
      </c>
      <c r="V123" s="12">
        <f t="shared" si="204"/>
        <v>664017.1558</v>
      </c>
      <c r="W123" s="12">
        <f t="shared" si="204"/>
        <v>722648.3465</v>
      </c>
      <c r="X123" s="12">
        <f t="shared" si="204"/>
        <v>783931.2592</v>
      </c>
      <c r="Y123" s="12">
        <f t="shared" si="204"/>
        <v>842432.1271</v>
      </c>
      <c r="Z123" s="12">
        <f t="shared" si="204"/>
        <v>899159.995</v>
      </c>
      <c r="AA123" s="12">
        <f t="shared" si="204"/>
        <v>946646.929</v>
      </c>
      <c r="AB123" s="12">
        <f t="shared" si="204"/>
        <v>993155.7412</v>
      </c>
      <c r="AC123" s="11"/>
      <c r="AD123" s="11" t="str">
        <f t="shared" ref="AD123:AD126" si="206">D123</f>
        <v>Recurring</v>
      </c>
      <c r="AE123" s="12">
        <f t="shared" ref="AE123:AE125" si="207">SUM(M123:P123)</f>
        <v>1370128</v>
      </c>
      <c r="AF123" s="12">
        <f t="shared" ref="AF123:AF125" si="208">SUM(Q123:T123)</f>
        <v>1805245.602</v>
      </c>
      <c r="AG123" s="12">
        <f t="shared" ref="AG123:AG126" si="209">AF123-AE123</f>
        <v>435117.6024</v>
      </c>
      <c r="AH123" s="19">
        <f t="shared" ref="AH123:AH125" si="210">AF123/AE123-1</f>
        <v>0.3175744182</v>
      </c>
      <c r="AI123" s="11"/>
      <c r="AJ123" s="11"/>
      <c r="AK123" s="11"/>
      <c r="AL123" s="12">
        <f t="shared" ref="AL123:AL127" si="211">SUM(E123:H123)</f>
        <v>1523208</v>
      </c>
      <c r="AM123" s="12">
        <f t="shared" ref="AM123:AM125" si="212">SUM(I123:L123)</f>
        <v>1576739</v>
      </c>
      <c r="AN123" s="12">
        <f t="shared" ref="AN123:AN125" si="213">SUM(M123:P123)</f>
        <v>1370128</v>
      </c>
      <c r="AO123" s="12">
        <f t="shared" ref="AO123:AO125" si="214">SUM(Q123:T123)</f>
        <v>1805245.602</v>
      </c>
      <c r="AP123" s="12">
        <f t="shared" ref="AP123:AP125" si="215">SUM(U123:X123)</f>
        <v>2775591.588</v>
      </c>
      <c r="AQ123" s="12">
        <f t="shared" ref="AQ123:AQ125" si="216">SUM(Y123:AB123)</f>
        <v>3681394.792</v>
      </c>
      <c r="AR123" s="11"/>
      <c r="AS123" s="11"/>
      <c r="AT123" s="11"/>
      <c r="AU123" s="11"/>
      <c r="AV123" s="11"/>
      <c r="AW123" s="11"/>
      <c r="AX123" s="11"/>
      <c r="AY123" s="11"/>
      <c r="AZ123" s="11"/>
      <c r="BA123" s="11"/>
      <c r="BB123" s="11"/>
      <c r="BC123" s="11"/>
      <c r="BD123" s="11"/>
      <c r="BE123" s="11"/>
      <c r="BF123" s="11"/>
      <c r="BG123" s="11"/>
      <c r="BH123" s="11"/>
      <c r="BI123" s="11"/>
      <c r="BJ123" s="11"/>
      <c r="BK123" s="11"/>
    </row>
    <row r="124" ht="15.75" customHeight="1">
      <c r="A124" s="11"/>
      <c r="B124" s="11"/>
      <c r="C124" s="11"/>
      <c r="D124" s="11" t="s">
        <v>57</v>
      </c>
      <c r="E124" s="12">
        <f t="shared" ref="E124:AB124" si="205">E66+E95</f>
        <v>61498</v>
      </c>
      <c r="F124" s="12">
        <f t="shared" si="205"/>
        <v>53849</v>
      </c>
      <c r="G124" s="12">
        <f t="shared" si="205"/>
        <v>65601</v>
      </c>
      <c r="H124" s="12">
        <f t="shared" si="205"/>
        <v>72417</v>
      </c>
      <c r="I124" s="12">
        <f t="shared" si="205"/>
        <v>62766</v>
      </c>
      <c r="J124" s="12">
        <f t="shared" si="205"/>
        <v>53506</v>
      </c>
      <c r="K124" s="12">
        <f t="shared" si="205"/>
        <v>41144</v>
      </c>
      <c r="L124" s="12">
        <f t="shared" si="205"/>
        <v>49719</v>
      </c>
      <c r="M124" s="12">
        <f t="shared" si="205"/>
        <v>56230</v>
      </c>
      <c r="N124" s="12">
        <f t="shared" si="205"/>
        <v>45004</v>
      </c>
      <c r="O124" s="12">
        <f t="shared" si="205"/>
        <v>66146</v>
      </c>
      <c r="P124" s="12">
        <f t="shared" si="205"/>
        <v>126085.3274</v>
      </c>
      <c r="Q124" s="12">
        <f t="shared" si="205"/>
        <v>173052.2551</v>
      </c>
      <c r="R124" s="12">
        <f t="shared" si="205"/>
        <v>206986.5767</v>
      </c>
      <c r="S124" s="12">
        <f t="shared" si="205"/>
        <v>225208.2089</v>
      </c>
      <c r="T124" s="12">
        <f t="shared" si="205"/>
        <v>236243.0349</v>
      </c>
      <c r="U124" s="12">
        <f t="shared" si="205"/>
        <v>244480.9748</v>
      </c>
      <c r="V124" s="12">
        <f t="shared" si="205"/>
        <v>251533.6064</v>
      </c>
      <c r="W124" s="12">
        <f t="shared" si="205"/>
        <v>255828.2841</v>
      </c>
      <c r="X124" s="12">
        <f t="shared" si="205"/>
        <v>257325.9631</v>
      </c>
      <c r="Y124" s="12">
        <f t="shared" si="205"/>
        <v>255988.519</v>
      </c>
      <c r="Z124" s="12">
        <f t="shared" si="205"/>
        <v>254395.4148</v>
      </c>
      <c r="AA124" s="12">
        <f t="shared" si="205"/>
        <v>254936.5501</v>
      </c>
      <c r="AB124" s="12">
        <f t="shared" si="205"/>
        <v>256181.6716</v>
      </c>
      <c r="AC124" s="11"/>
      <c r="AD124" s="11" t="str">
        <f t="shared" si="206"/>
        <v>Project</v>
      </c>
      <c r="AE124" s="20">
        <f t="shared" si="207"/>
        <v>293465.3274</v>
      </c>
      <c r="AF124" s="21">
        <f t="shared" si="208"/>
        <v>841490.0755</v>
      </c>
      <c r="AG124" s="21">
        <f t="shared" si="209"/>
        <v>548024.7481</v>
      </c>
      <c r="AH124" s="19">
        <f t="shared" si="210"/>
        <v>1.867425883</v>
      </c>
      <c r="AI124" s="11"/>
      <c r="AJ124" s="11"/>
      <c r="AK124" s="11"/>
      <c r="AL124" s="20">
        <f t="shared" si="211"/>
        <v>253365</v>
      </c>
      <c r="AM124" s="21">
        <f t="shared" si="212"/>
        <v>207135</v>
      </c>
      <c r="AN124" s="20">
        <f t="shared" si="213"/>
        <v>293465.3274</v>
      </c>
      <c r="AO124" s="20">
        <f t="shared" si="214"/>
        <v>841490.0755</v>
      </c>
      <c r="AP124" s="21">
        <f t="shared" si="215"/>
        <v>1009168.828</v>
      </c>
      <c r="AQ124" s="20">
        <f t="shared" si="216"/>
        <v>1021502.156</v>
      </c>
      <c r="AR124" s="11"/>
      <c r="AS124" s="11"/>
      <c r="AT124" s="11"/>
      <c r="AU124" s="11"/>
      <c r="AV124" s="11"/>
      <c r="AW124" s="11"/>
      <c r="AX124" s="11"/>
      <c r="AY124" s="11"/>
      <c r="AZ124" s="11"/>
      <c r="BA124" s="11"/>
      <c r="BB124" s="11"/>
      <c r="BC124" s="11"/>
      <c r="BD124" s="11"/>
      <c r="BE124" s="11"/>
      <c r="BF124" s="11"/>
      <c r="BG124" s="11"/>
      <c r="BH124" s="11"/>
      <c r="BI124" s="11"/>
      <c r="BJ124" s="11"/>
      <c r="BK124" s="11"/>
    </row>
    <row r="125" ht="15.75" customHeight="1">
      <c r="A125" s="11"/>
      <c r="B125" s="11"/>
      <c r="C125" s="11"/>
      <c r="D125" s="22" t="str">
        <f>CONCATENATE(B121," Revenue")</f>
        <v>Creative Revenue</v>
      </c>
      <c r="E125" s="26">
        <f t="shared" ref="E125:AB125" si="217">E67+E96</f>
        <v>460647</v>
      </c>
      <c r="F125" s="26">
        <f t="shared" si="217"/>
        <v>364896</v>
      </c>
      <c r="G125" s="26">
        <f t="shared" si="217"/>
        <v>445003</v>
      </c>
      <c r="H125" s="26">
        <f t="shared" si="217"/>
        <v>506027</v>
      </c>
      <c r="I125" s="26">
        <f t="shared" si="217"/>
        <v>443060</v>
      </c>
      <c r="J125" s="26">
        <f t="shared" si="217"/>
        <v>429783</v>
      </c>
      <c r="K125" s="26">
        <f t="shared" si="217"/>
        <v>447996</v>
      </c>
      <c r="L125" s="26">
        <f t="shared" si="217"/>
        <v>336433</v>
      </c>
      <c r="M125" s="26">
        <f t="shared" si="217"/>
        <v>260064</v>
      </c>
      <c r="N125" s="26">
        <f t="shared" si="217"/>
        <v>467173</v>
      </c>
      <c r="O125" s="26">
        <f t="shared" si="217"/>
        <v>352807</v>
      </c>
      <c r="P125" s="26">
        <f t="shared" si="217"/>
        <v>439502.3274</v>
      </c>
      <c r="Q125" s="26">
        <f t="shared" si="217"/>
        <v>533731.7663</v>
      </c>
      <c r="R125" s="26">
        <f t="shared" si="217"/>
        <v>625695.3674</v>
      </c>
      <c r="S125" s="26">
        <f t="shared" si="217"/>
        <v>707069.8146</v>
      </c>
      <c r="T125" s="26">
        <f t="shared" si="217"/>
        <v>780238.7297</v>
      </c>
      <c r="U125" s="26">
        <f t="shared" si="217"/>
        <v>849475.8016</v>
      </c>
      <c r="V125" s="26">
        <f t="shared" si="217"/>
        <v>915550.7623</v>
      </c>
      <c r="W125" s="26">
        <f t="shared" si="217"/>
        <v>978476.6306</v>
      </c>
      <c r="X125" s="26">
        <f t="shared" si="217"/>
        <v>1041257.222</v>
      </c>
      <c r="Y125" s="26">
        <f t="shared" si="217"/>
        <v>1098420.646</v>
      </c>
      <c r="Z125" s="26">
        <f t="shared" si="217"/>
        <v>1153555.41</v>
      </c>
      <c r="AA125" s="26">
        <f t="shared" si="217"/>
        <v>1201583.479</v>
      </c>
      <c r="AB125" s="26">
        <f t="shared" si="217"/>
        <v>1249337.413</v>
      </c>
      <c r="AC125" s="11"/>
      <c r="AD125" s="22" t="str">
        <f t="shared" si="206"/>
        <v>Creative Revenue</v>
      </c>
      <c r="AE125" s="25">
        <f t="shared" si="207"/>
        <v>1519546.327</v>
      </c>
      <c r="AF125" s="26">
        <f t="shared" si="208"/>
        <v>2646735.678</v>
      </c>
      <c r="AG125" s="25">
        <f t="shared" si="209"/>
        <v>1127189.351</v>
      </c>
      <c r="AH125" s="27">
        <f t="shared" si="210"/>
        <v>0.7417933434</v>
      </c>
      <c r="AI125" s="11"/>
      <c r="AJ125" s="11"/>
      <c r="AK125" s="11"/>
      <c r="AL125" s="25">
        <f t="shared" si="211"/>
        <v>1776573</v>
      </c>
      <c r="AM125" s="26">
        <f t="shared" si="212"/>
        <v>1657272</v>
      </c>
      <c r="AN125" s="25">
        <f t="shared" si="213"/>
        <v>1519546.327</v>
      </c>
      <c r="AO125" s="25">
        <f t="shared" si="214"/>
        <v>2646735.678</v>
      </c>
      <c r="AP125" s="26">
        <f t="shared" si="215"/>
        <v>3784760.417</v>
      </c>
      <c r="AQ125" s="25">
        <f t="shared" si="216"/>
        <v>4702896.948</v>
      </c>
      <c r="AR125" s="11"/>
      <c r="AS125" s="11"/>
      <c r="AT125" s="11"/>
      <c r="AU125" s="11"/>
      <c r="AV125" s="11"/>
      <c r="AW125" s="11"/>
      <c r="AX125" s="11"/>
      <c r="AY125" s="11"/>
      <c r="AZ125" s="11"/>
      <c r="BA125" s="11"/>
      <c r="BB125" s="11"/>
      <c r="BC125" s="11"/>
      <c r="BD125" s="11"/>
      <c r="BE125" s="11"/>
      <c r="BF125" s="11"/>
      <c r="BG125" s="11"/>
      <c r="BH125" s="11"/>
      <c r="BI125" s="11"/>
      <c r="BJ125" s="11"/>
      <c r="BK125" s="11"/>
    </row>
    <row r="126" ht="15.75" customHeight="1">
      <c r="A126" s="11"/>
      <c r="B126" s="11"/>
      <c r="C126" s="11"/>
      <c r="D126" s="11" t="s">
        <v>60</v>
      </c>
      <c r="E126" s="20">
        <f>'Ops Departments'!L130-'Ops Departments'!K130</f>
        <v>-45643.18344</v>
      </c>
      <c r="F126" s="20">
        <f>'Ops Departments'!M130-'Ops Departments'!L130</f>
        <v>32994.98134</v>
      </c>
      <c r="G126" s="20">
        <f>'Ops Departments'!N130-'Ops Departments'!M130</f>
        <v>-3876.792451</v>
      </c>
      <c r="H126" s="20">
        <f>'Ops Departments'!O130-'Ops Departments'!N130</f>
        <v>16561.40403</v>
      </c>
      <c r="I126" s="20">
        <f>'Ops Departments'!P130-'Ops Departments'!O130</f>
        <v>72983.89003</v>
      </c>
      <c r="J126" s="20">
        <f>'Ops Departments'!Q130-'Ops Departments'!P130</f>
        <v>-92468.86449</v>
      </c>
      <c r="K126" s="20">
        <f>'Ops Departments'!R130-'Ops Departments'!Q130</f>
        <v>66612.82187</v>
      </c>
      <c r="L126" s="20">
        <f>'Ops Departments'!S130-'Ops Departments'!R130</f>
        <v>11115.11971</v>
      </c>
      <c r="M126" s="20">
        <f>'Ops Departments'!T130-'Ops Departments'!S130</f>
        <v>-44535.59703</v>
      </c>
      <c r="N126" s="20">
        <f>'Ops Departments'!U130-'Ops Departments'!T130</f>
        <v>62429.76107</v>
      </c>
      <c r="O126" s="20">
        <f>'Ops Departments'!V130-'Ops Departments'!U130</f>
        <v>-3534.679005</v>
      </c>
      <c r="P126" s="20">
        <f>'Ops Departments'!W130-'Ops Departments'!V130</f>
        <v>-183284.6642</v>
      </c>
      <c r="Q126" s="20">
        <f>'Ops Departments'!X130-'Ops Departments'!W130</f>
        <v>-7615.318141</v>
      </c>
      <c r="R126" s="20">
        <f>'Ops Departments'!Y130-'Ops Departments'!X130</f>
        <v>142173.7123</v>
      </c>
      <c r="S126" s="20">
        <f>'Ops Departments'!Z130-'Ops Departments'!Y130</f>
        <v>-63042.01367</v>
      </c>
      <c r="T126" s="20">
        <f>'Ops Departments'!AA130-'Ops Departments'!Z130</f>
        <v>-3520.660859</v>
      </c>
      <c r="U126" s="20">
        <f>'Ops Departments'!AB130-'Ops Departments'!AA130</f>
        <v>11030.41825</v>
      </c>
      <c r="V126" s="20">
        <f>'Ops Departments'!AC130-'Ops Departments'!AB130</f>
        <v>8318.717255</v>
      </c>
      <c r="W126" s="20">
        <f>'Ops Departments'!AD130-'Ops Departments'!AC130</f>
        <v>25390.23917</v>
      </c>
      <c r="X126" s="20">
        <f>'Ops Departments'!AE130-'Ops Departments'!AD130</f>
        <v>9236.157373</v>
      </c>
      <c r="Y126" s="20">
        <f>'Ops Departments'!AF130-'Ops Departments'!AE130</f>
        <v>-2752.185199</v>
      </c>
      <c r="Z126" s="20">
        <f>'Ops Departments'!AG130-'Ops Departments'!AF130</f>
        <v>18012.41614</v>
      </c>
      <c r="AA126" s="20">
        <f>'Ops Departments'!AH130-'Ops Departments'!AG130</f>
        <v>-9618.81874</v>
      </c>
      <c r="AB126" s="20">
        <f>'Ops Departments'!AI130-'Ops Departments'!AH130</f>
        <v>10335.12</v>
      </c>
      <c r="AC126" s="11"/>
      <c r="AD126" s="11" t="str">
        <f t="shared" si="206"/>
        <v>  NNR</v>
      </c>
      <c r="AE126" s="20">
        <f>Summary!DE39-Summary!DD39</f>
        <v>46678</v>
      </c>
      <c r="AF126" s="20">
        <f>AF125-AE125</f>
        <v>1127189.351</v>
      </c>
      <c r="AG126" s="21">
        <f t="shared" si="209"/>
        <v>1080511.351</v>
      </c>
      <c r="AH126" s="19"/>
      <c r="AI126" s="11"/>
      <c r="AJ126" s="11"/>
      <c r="AK126" s="11"/>
      <c r="AL126" s="20">
        <f t="shared" si="211"/>
        <v>36.40948756</v>
      </c>
      <c r="AM126" s="20">
        <f t="shared" ref="AM126:AQ126" si="218">AM125-AL125</f>
        <v>-119301</v>
      </c>
      <c r="AN126" s="20">
        <f t="shared" si="218"/>
        <v>-137725.6726</v>
      </c>
      <c r="AO126" s="20">
        <f t="shared" si="218"/>
        <v>1127189.351</v>
      </c>
      <c r="AP126" s="20">
        <f t="shared" si="218"/>
        <v>1138024.739</v>
      </c>
      <c r="AQ126" s="20">
        <f t="shared" si="218"/>
        <v>918136.5309</v>
      </c>
      <c r="AR126" s="11"/>
      <c r="AS126" s="11"/>
      <c r="AT126" s="11"/>
      <c r="AU126" s="11"/>
      <c r="AV126" s="11"/>
      <c r="AW126" s="11"/>
      <c r="AX126" s="11"/>
      <c r="AY126" s="11"/>
      <c r="AZ126" s="11"/>
      <c r="BA126" s="11"/>
      <c r="BB126" s="11"/>
      <c r="BC126" s="11"/>
      <c r="BD126" s="11"/>
      <c r="BE126" s="11"/>
      <c r="BF126" s="11"/>
      <c r="BG126" s="11"/>
      <c r="BH126" s="11"/>
      <c r="BI126" s="11"/>
      <c r="BJ126" s="11"/>
      <c r="BK126" s="11"/>
    </row>
    <row r="127" ht="15.75" customHeight="1">
      <c r="A127" s="11"/>
      <c r="B127" s="11"/>
      <c r="C127" s="11"/>
      <c r="D127" s="11" t="s">
        <v>61</v>
      </c>
      <c r="E127" s="19">
        <f>'Ops Departments'!L130/'Ops Departments'!K130-1</f>
        <v>-0.3143058598</v>
      </c>
      <c r="F127" s="19">
        <f>'Ops Departments'!M130/'Ops Departments'!L130-1</f>
        <v>0.3313553597</v>
      </c>
      <c r="G127" s="19">
        <f>'Ops Departments'!N130/'Ops Departments'!M130-1</f>
        <v>-0.02924318507</v>
      </c>
      <c r="H127" s="19">
        <f>'Ops Departments'!O130/'Ops Departments'!N130-1</f>
        <v>0.1286882295</v>
      </c>
      <c r="I127" s="19">
        <f>'Ops Departments'!P130/'Ops Departments'!O130-1</f>
        <v>0.5024521224</v>
      </c>
      <c r="J127" s="19">
        <f>'Ops Departments'!Q130/'Ops Departments'!P130-1</f>
        <v>-0.4237039966</v>
      </c>
      <c r="K127" s="19">
        <f>'Ops Departments'!R130/'Ops Departments'!Q130-1</f>
        <v>0.5296381501</v>
      </c>
      <c r="L127" s="19">
        <f>'Ops Departments'!S130/'Ops Departments'!R130-1</f>
        <v>0.05777591952</v>
      </c>
      <c r="M127" s="19">
        <f>'Ops Departments'!T130/'Ops Departments'!S130-1</f>
        <v>-0.2188498858</v>
      </c>
      <c r="N127" s="19">
        <f>'Ops Departments'!U130/'Ops Departments'!T130-1</f>
        <v>0.3927319355</v>
      </c>
      <c r="O127" s="19">
        <f>'Ops Departments'!V130/'Ops Departments'!U130-1</f>
        <v>-0.01596566422</v>
      </c>
      <c r="P127" s="19">
        <f>'Ops Departments'!W130/'Ops Departments'!V130-1</f>
        <v>-0.8413038701</v>
      </c>
      <c r="Q127" s="19">
        <f>'Ops Departments'!X130/'Ops Departments'!W130-1</f>
        <v>-0.2202665117</v>
      </c>
      <c r="R127" s="19">
        <f>'Ops Departments'!Y130/'Ops Departments'!X130-1</f>
        <v>5.273920017</v>
      </c>
      <c r="S127" s="19">
        <f>'Ops Departments'!Z130/'Ops Departments'!Y130-1</f>
        <v>-0.3727394283</v>
      </c>
      <c r="T127" s="19">
        <f>'Ops Departments'!AA130/'Ops Departments'!Z130-1</f>
        <v>-0.03318573649</v>
      </c>
      <c r="U127" s="19">
        <f>'Ops Departments'!AB130/'Ops Departments'!AA130-1</f>
        <v>0.1075415272</v>
      </c>
      <c r="V127" s="19">
        <f>'Ops Departments'!AC130/'Ops Departments'!AB130-1</f>
        <v>0.07322857173</v>
      </c>
      <c r="W127" s="19">
        <f>'Ops Departments'!AD130/'Ops Departments'!AC130-1</f>
        <v>0.2082565963</v>
      </c>
      <c r="X127" s="19">
        <f>'Ops Departments'!AE130/'Ops Departments'!AD130-1</f>
        <v>0.06269950666</v>
      </c>
      <c r="Y127" s="19">
        <f>'Ops Departments'!AF130/'Ops Departments'!AE130-1</f>
        <v>-0.01758085433</v>
      </c>
      <c r="Z127" s="19">
        <f>'Ops Departments'!AG130/'Ops Departments'!AF130-1</f>
        <v>0.117121729</v>
      </c>
      <c r="AA127" s="19">
        <f>'Ops Departments'!AH130/'Ops Departments'!AG130-1</f>
        <v>-0.05598694168</v>
      </c>
      <c r="AB127" s="19">
        <f>'Ops Departments'!AI130/'Ops Departments'!AH130-1</f>
        <v>0.06372392609</v>
      </c>
      <c r="AC127" s="11"/>
      <c r="AD127" s="11" t="s">
        <v>62</v>
      </c>
      <c r="AE127" s="19">
        <f>AN125/AM125-1</f>
        <v>-0.08310384332</v>
      </c>
      <c r="AF127" s="19">
        <f>AF125/AE125-1</f>
        <v>0.7417933434</v>
      </c>
      <c r="AG127" s="12"/>
      <c r="AH127" s="19"/>
      <c r="AI127" s="11"/>
      <c r="AJ127" s="11"/>
      <c r="AK127" s="11"/>
      <c r="AL127" s="19">
        <f t="shared" si="211"/>
        <v>0.1164945444</v>
      </c>
      <c r="AM127" s="19">
        <f t="shared" ref="AM127:AQ127" si="219">AM125/AL125-1</f>
        <v>-0.06715232079</v>
      </c>
      <c r="AN127" s="19">
        <f t="shared" si="219"/>
        <v>-0.08310384332</v>
      </c>
      <c r="AO127" s="19">
        <f t="shared" si="219"/>
        <v>0.7417933434</v>
      </c>
      <c r="AP127" s="19">
        <f t="shared" si="219"/>
        <v>0.4299729468</v>
      </c>
      <c r="AQ127" s="19">
        <f t="shared" si="219"/>
        <v>0.2425877545</v>
      </c>
      <c r="AR127" s="11"/>
      <c r="AS127" s="11"/>
      <c r="AT127" s="11"/>
      <c r="AU127" s="11"/>
      <c r="AV127" s="11"/>
      <c r="AW127" s="11"/>
      <c r="AX127" s="11"/>
      <c r="AY127" s="11"/>
      <c r="AZ127" s="11"/>
      <c r="BA127" s="11"/>
      <c r="BB127" s="11"/>
      <c r="BC127" s="11"/>
      <c r="BD127" s="11"/>
      <c r="BE127" s="11"/>
      <c r="BF127" s="11"/>
      <c r="BG127" s="11"/>
      <c r="BH127" s="11"/>
      <c r="BI127" s="11"/>
      <c r="BJ127" s="11"/>
      <c r="BK127" s="11"/>
    </row>
    <row r="128" ht="15.75" customHeight="1">
      <c r="A128" s="11"/>
      <c r="B128" s="11"/>
      <c r="C128" s="11"/>
      <c r="D128" s="11"/>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11"/>
      <c r="AD128" s="11"/>
      <c r="AE128" s="20"/>
      <c r="AF128" s="20"/>
      <c r="AG128" s="12"/>
      <c r="AH128" s="19"/>
      <c r="AI128" s="11"/>
      <c r="AJ128" s="11"/>
      <c r="AK128" s="11"/>
      <c r="AL128" s="20"/>
      <c r="AM128" s="20"/>
      <c r="AN128" s="20"/>
      <c r="AO128" s="20"/>
      <c r="AP128" s="20"/>
      <c r="AQ128" s="20"/>
      <c r="AR128" s="11"/>
      <c r="AS128" s="11"/>
      <c r="AT128" s="11"/>
      <c r="AU128" s="11"/>
      <c r="AV128" s="11"/>
      <c r="AW128" s="11"/>
      <c r="AX128" s="11"/>
      <c r="AY128" s="11"/>
      <c r="AZ128" s="11"/>
      <c r="BA128" s="11"/>
      <c r="BB128" s="11"/>
      <c r="BC128" s="11"/>
      <c r="BD128" s="11"/>
      <c r="BE128" s="11"/>
      <c r="BF128" s="11"/>
      <c r="BG128" s="11"/>
      <c r="BH128" s="11"/>
      <c r="BI128" s="11"/>
      <c r="BJ128" s="11"/>
      <c r="BK128" s="11"/>
    </row>
    <row r="129" ht="15.75" customHeight="1">
      <c r="A129" s="11"/>
      <c r="B129" s="11"/>
      <c r="C129" s="11"/>
      <c r="D129" s="11" t="s">
        <v>64</v>
      </c>
      <c r="E129" s="12">
        <f t="shared" ref="E129:AB129" si="220">E71+E100</f>
        <v>37430</v>
      </c>
      <c r="F129" s="12">
        <f t="shared" si="220"/>
        <v>44295</v>
      </c>
      <c r="G129" s="12">
        <f t="shared" si="220"/>
        <v>41056</v>
      </c>
      <c r="H129" s="12">
        <f t="shared" si="220"/>
        <v>44870</v>
      </c>
      <c r="I129" s="12">
        <f t="shared" si="220"/>
        <v>61067</v>
      </c>
      <c r="J129" s="12">
        <f t="shared" si="220"/>
        <v>40088</v>
      </c>
      <c r="K129" s="12">
        <f t="shared" si="220"/>
        <v>34581</v>
      </c>
      <c r="L129" s="12">
        <f t="shared" si="220"/>
        <v>40590</v>
      </c>
      <c r="M129" s="12">
        <f t="shared" si="220"/>
        <v>37375</v>
      </c>
      <c r="N129" s="12">
        <f t="shared" si="220"/>
        <v>40478</v>
      </c>
      <c r="O129" s="12">
        <f t="shared" si="220"/>
        <v>42984</v>
      </c>
      <c r="P129" s="12">
        <f t="shared" si="220"/>
        <v>29498.95535</v>
      </c>
      <c r="Q129" s="12">
        <f t="shared" si="220"/>
        <v>43358.76532</v>
      </c>
      <c r="R129" s="12">
        <f t="shared" si="220"/>
        <v>43519.8347</v>
      </c>
      <c r="S129" s="12">
        <f t="shared" si="220"/>
        <v>43841.21948</v>
      </c>
      <c r="T129" s="12">
        <f t="shared" si="220"/>
        <v>44145.23486</v>
      </c>
      <c r="U129" s="12">
        <f t="shared" si="220"/>
        <v>45426.46675</v>
      </c>
      <c r="V129" s="12">
        <f t="shared" si="220"/>
        <v>45704.54706</v>
      </c>
      <c r="W129" s="12">
        <f t="shared" si="220"/>
        <v>58908.79404</v>
      </c>
      <c r="X129" s="12">
        <f t="shared" si="220"/>
        <v>65785.36858</v>
      </c>
      <c r="Y129" s="12">
        <f t="shared" si="220"/>
        <v>74200.40736</v>
      </c>
      <c r="Z129" s="12">
        <f t="shared" si="220"/>
        <v>81228.2996</v>
      </c>
      <c r="AA129" s="12">
        <f t="shared" si="220"/>
        <v>88165.22936</v>
      </c>
      <c r="AB129" s="12">
        <f t="shared" si="220"/>
        <v>95085.97213</v>
      </c>
      <c r="AC129" s="11"/>
      <c r="AD129" s="12" t="str">
        <f t="shared" ref="AD129:AD134" si="222">D129</f>
        <v>Payroll &amp; Related</v>
      </c>
      <c r="AE129" s="12">
        <f t="shared" ref="AE129:AE134" si="223">SUM(M129:P129)</f>
        <v>150335.9553</v>
      </c>
      <c r="AF129" s="12">
        <f t="shared" ref="AF129:AF134" si="224">SUM(Q129:T129)</f>
        <v>174865.0544</v>
      </c>
      <c r="AG129" s="12">
        <f t="shared" ref="AG129:AG134" si="225">AE129-AF129</f>
        <v>-24529.09901</v>
      </c>
      <c r="AH129" s="19">
        <f t="shared" ref="AH129:AH134" si="226">AF129/AE129-1</f>
        <v>0.1631618926</v>
      </c>
      <c r="AI129" s="11"/>
      <c r="AJ129" s="11"/>
      <c r="AK129" s="11"/>
      <c r="AL129" s="12">
        <f t="shared" ref="AL129:AL134" si="227">SUM(E129:H129)</f>
        <v>167651</v>
      </c>
      <c r="AM129" s="12">
        <f t="shared" ref="AM129:AM134" si="228">SUM(I129:L129)</f>
        <v>176326</v>
      </c>
      <c r="AN129" s="12">
        <f t="shared" ref="AN129:AN134" si="229">SUM(M129:P129)</f>
        <v>150335.9553</v>
      </c>
      <c r="AO129" s="12">
        <f t="shared" ref="AO129:AO134" si="230">SUM(Q129:T129)</f>
        <v>174865.0544</v>
      </c>
      <c r="AP129" s="12">
        <f t="shared" ref="AP129:AP134" si="231">SUM(U129:X129)</f>
        <v>215825.1764</v>
      </c>
      <c r="AQ129" s="12">
        <f t="shared" ref="AQ129:AQ134" si="232">SUM(Y129:AB129)</f>
        <v>338679.9084</v>
      </c>
      <c r="AR129" s="11"/>
      <c r="AS129" s="11"/>
      <c r="AT129" s="11"/>
      <c r="AU129" s="11"/>
      <c r="AV129" s="11"/>
      <c r="AW129" s="11"/>
      <c r="AX129" s="11"/>
      <c r="AY129" s="11"/>
      <c r="AZ129" s="11"/>
      <c r="BA129" s="11"/>
      <c r="BB129" s="11"/>
      <c r="BC129" s="11"/>
      <c r="BD129" s="11"/>
      <c r="BE129" s="11"/>
      <c r="BF129" s="11"/>
      <c r="BG129" s="11"/>
      <c r="BH129" s="11"/>
      <c r="BI129" s="11"/>
      <c r="BJ129" s="11"/>
      <c r="BK129" s="11"/>
    </row>
    <row r="130" ht="15.75" customHeight="1">
      <c r="A130" s="11"/>
      <c r="B130" s="11"/>
      <c r="C130" s="11"/>
      <c r="D130" s="11" t="s">
        <v>66</v>
      </c>
      <c r="E130" s="12">
        <f t="shared" ref="E130:AB130" si="221">E72+E101</f>
        <v>3110</v>
      </c>
      <c r="F130" s="12">
        <f t="shared" si="221"/>
        <v>6622</v>
      </c>
      <c r="G130" s="12">
        <f t="shared" si="221"/>
        <v>5351</v>
      </c>
      <c r="H130" s="12">
        <f t="shared" si="221"/>
        <v>1388</v>
      </c>
      <c r="I130" s="12">
        <f t="shared" si="221"/>
        <v>2944</v>
      </c>
      <c r="J130" s="12">
        <f t="shared" si="221"/>
        <v>4693</v>
      </c>
      <c r="K130" s="12">
        <f t="shared" si="221"/>
        <v>7548</v>
      </c>
      <c r="L130" s="12">
        <f t="shared" si="221"/>
        <v>4269</v>
      </c>
      <c r="M130" s="12">
        <f t="shared" si="221"/>
        <v>4895</v>
      </c>
      <c r="N130" s="12">
        <f t="shared" si="221"/>
        <v>3410</v>
      </c>
      <c r="O130" s="12">
        <f t="shared" si="221"/>
        <v>4611</v>
      </c>
      <c r="P130" s="12">
        <f t="shared" si="221"/>
        <v>552.02195</v>
      </c>
      <c r="Q130" s="12">
        <f t="shared" si="221"/>
        <v>1402.74811</v>
      </c>
      <c r="R130" s="12">
        <f t="shared" si="221"/>
        <v>1700.945336</v>
      </c>
      <c r="S130" s="12">
        <f t="shared" si="221"/>
        <v>1975.384633</v>
      </c>
      <c r="T130" s="12">
        <f t="shared" si="221"/>
        <v>2230.260803</v>
      </c>
      <c r="U130" s="12">
        <f t="shared" si="221"/>
        <v>2475.176266</v>
      </c>
      <c r="V130" s="12">
        <f t="shared" si="221"/>
        <v>2716.667462</v>
      </c>
      <c r="W130" s="12">
        <f t="shared" si="221"/>
        <v>2951.782882</v>
      </c>
      <c r="X130" s="12">
        <f t="shared" si="221"/>
        <v>3195.821264</v>
      </c>
      <c r="Y130" s="12">
        <f t="shared" si="221"/>
        <v>3428.142091</v>
      </c>
      <c r="Z130" s="12">
        <f t="shared" si="221"/>
        <v>3636.894992</v>
      </c>
      <c r="AA130" s="12">
        <f t="shared" si="221"/>
        <v>3819.187228</v>
      </c>
      <c r="AB130" s="12">
        <f t="shared" si="221"/>
        <v>4001.243052</v>
      </c>
      <c r="AC130" s="11"/>
      <c r="AD130" s="12" t="str">
        <f t="shared" si="222"/>
        <v>Contractors</v>
      </c>
      <c r="AE130" s="21">
        <f t="shared" si="223"/>
        <v>13468.02195</v>
      </c>
      <c r="AF130" s="21">
        <f t="shared" si="224"/>
        <v>7309.338882</v>
      </c>
      <c r="AG130" s="21">
        <f t="shared" si="225"/>
        <v>6158.683068</v>
      </c>
      <c r="AH130" s="19">
        <f t="shared" si="226"/>
        <v>-0.4572819298</v>
      </c>
      <c r="AI130" s="11"/>
      <c r="AJ130" s="11"/>
      <c r="AK130" s="11"/>
      <c r="AL130" s="21">
        <f t="shared" si="227"/>
        <v>16471</v>
      </c>
      <c r="AM130" s="21">
        <f t="shared" si="228"/>
        <v>19454</v>
      </c>
      <c r="AN130" s="29">
        <f t="shared" si="229"/>
        <v>13468.02195</v>
      </c>
      <c r="AO130" s="21">
        <f t="shared" si="230"/>
        <v>7309.338882</v>
      </c>
      <c r="AP130" s="21">
        <f t="shared" si="231"/>
        <v>11339.44787</v>
      </c>
      <c r="AQ130" s="29">
        <f t="shared" si="232"/>
        <v>14885.46736</v>
      </c>
      <c r="AR130" s="11"/>
      <c r="AS130" s="11"/>
      <c r="AT130" s="11"/>
      <c r="AU130" s="11"/>
      <c r="AV130" s="11"/>
      <c r="AW130" s="11"/>
      <c r="AX130" s="11"/>
      <c r="AY130" s="11"/>
      <c r="AZ130" s="11"/>
      <c r="BA130" s="11"/>
      <c r="BB130" s="11"/>
      <c r="BC130" s="11"/>
      <c r="BD130" s="11"/>
      <c r="BE130" s="11"/>
      <c r="BF130" s="11"/>
      <c r="BG130" s="11"/>
      <c r="BH130" s="11"/>
      <c r="BI130" s="11"/>
      <c r="BJ130" s="11"/>
      <c r="BK130" s="11"/>
    </row>
    <row r="131" ht="15.75" customHeight="1">
      <c r="A131" s="11"/>
      <c r="B131" s="11"/>
      <c r="C131" s="11"/>
      <c r="D131" s="11" t="s">
        <v>68</v>
      </c>
      <c r="E131" s="12">
        <f t="shared" ref="E131:AB131" si="233">E73+E102</f>
        <v>15638</v>
      </c>
      <c r="F131" s="12">
        <f t="shared" si="233"/>
        <v>13179</v>
      </c>
      <c r="G131" s="12">
        <f t="shared" si="233"/>
        <v>13373</v>
      </c>
      <c r="H131" s="12">
        <f t="shared" si="233"/>
        <v>16455</v>
      </c>
      <c r="I131" s="12">
        <f t="shared" si="233"/>
        <v>12703</v>
      </c>
      <c r="J131" s="12">
        <f t="shared" si="233"/>
        <v>16036</v>
      </c>
      <c r="K131" s="12">
        <f t="shared" si="233"/>
        <v>15900</v>
      </c>
      <c r="L131" s="12">
        <f t="shared" si="233"/>
        <v>9649</v>
      </c>
      <c r="M131" s="12">
        <f t="shared" si="233"/>
        <v>18139</v>
      </c>
      <c r="N131" s="12">
        <f t="shared" si="233"/>
        <v>14192</v>
      </c>
      <c r="O131" s="12">
        <f t="shared" si="233"/>
        <v>11547</v>
      </c>
      <c r="P131" s="12">
        <f t="shared" si="233"/>
        <v>2039.05455</v>
      </c>
      <c r="Q131" s="12">
        <f t="shared" si="233"/>
        <v>2242.960005</v>
      </c>
      <c r="R131" s="12">
        <f t="shared" si="233"/>
        <v>2265.389605</v>
      </c>
      <c r="S131" s="12">
        <f t="shared" si="233"/>
        <v>2288.043501</v>
      </c>
      <c r="T131" s="12">
        <f t="shared" si="233"/>
        <v>2310.923936</v>
      </c>
      <c r="U131" s="12">
        <f t="shared" si="233"/>
        <v>2334.033175</v>
      </c>
      <c r="V131" s="12">
        <f t="shared" si="233"/>
        <v>2357.373507</v>
      </c>
      <c r="W131" s="12">
        <f t="shared" si="233"/>
        <v>2380.947242</v>
      </c>
      <c r="X131" s="12">
        <f t="shared" si="233"/>
        <v>2404.756715</v>
      </c>
      <c r="Y131" s="12">
        <f t="shared" si="233"/>
        <v>2428.804282</v>
      </c>
      <c r="Z131" s="12">
        <f t="shared" si="233"/>
        <v>2453.092325</v>
      </c>
      <c r="AA131" s="12">
        <f t="shared" si="233"/>
        <v>2477.623248</v>
      </c>
      <c r="AB131" s="12">
        <f t="shared" si="233"/>
        <v>2502.39948</v>
      </c>
      <c r="AC131" s="11"/>
      <c r="AD131" s="12" t="str">
        <f t="shared" si="222"/>
        <v>T&amp;E</v>
      </c>
      <c r="AE131" s="21">
        <f t="shared" si="223"/>
        <v>45917.05455</v>
      </c>
      <c r="AF131" s="21">
        <f t="shared" si="224"/>
        <v>9107.317047</v>
      </c>
      <c r="AG131" s="21">
        <f t="shared" si="225"/>
        <v>36809.7375</v>
      </c>
      <c r="AH131" s="19">
        <f t="shared" si="226"/>
        <v>-0.8016572026</v>
      </c>
      <c r="AI131" s="11"/>
      <c r="AJ131" s="11"/>
      <c r="AK131" s="11"/>
      <c r="AL131" s="21">
        <f t="shared" si="227"/>
        <v>58645</v>
      </c>
      <c r="AM131" s="21">
        <f t="shared" si="228"/>
        <v>54288</v>
      </c>
      <c r="AN131" s="29">
        <f t="shared" si="229"/>
        <v>45917.05455</v>
      </c>
      <c r="AO131" s="21">
        <f t="shared" si="230"/>
        <v>9107.317047</v>
      </c>
      <c r="AP131" s="21">
        <f t="shared" si="231"/>
        <v>9477.11064</v>
      </c>
      <c r="AQ131" s="29">
        <f t="shared" si="232"/>
        <v>9861.919335</v>
      </c>
      <c r="AR131" s="11"/>
      <c r="AS131" s="11"/>
      <c r="AT131" s="11"/>
      <c r="AU131" s="11"/>
      <c r="AV131" s="11"/>
      <c r="AW131" s="11"/>
      <c r="AX131" s="11"/>
      <c r="AY131" s="11"/>
      <c r="AZ131" s="11"/>
      <c r="BA131" s="11"/>
      <c r="BB131" s="11"/>
      <c r="BC131" s="11"/>
      <c r="BD131" s="11"/>
      <c r="BE131" s="11"/>
      <c r="BF131" s="11"/>
      <c r="BG131" s="11"/>
      <c r="BH131" s="11"/>
      <c r="BI131" s="11"/>
      <c r="BJ131" s="11"/>
      <c r="BK131" s="11"/>
    </row>
    <row r="132" ht="15.75" customHeight="1">
      <c r="A132" s="11"/>
      <c r="B132" s="11"/>
      <c r="C132" s="11"/>
      <c r="D132" s="11" t="s">
        <v>70</v>
      </c>
      <c r="E132" s="12">
        <f t="shared" ref="E132:AB132" si="234">E74+E103</f>
        <v>7360</v>
      </c>
      <c r="F132" s="12">
        <f t="shared" si="234"/>
        <v>2727</v>
      </c>
      <c r="G132" s="12">
        <f t="shared" si="234"/>
        <v>5581</v>
      </c>
      <c r="H132" s="12">
        <f t="shared" si="234"/>
        <v>3509</v>
      </c>
      <c r="I132" s="12">
        <f t="shared" si="234"/>
        <v>2642</v>
      </c>
      <c r="J132" s="12">
        <f t="shared" si="234"/>
        <v>6838</v>
      </c>
      <c r="K132" s="12">
        <f t="shared" si="234"/>
        <v>475</v>
      </c>
      <c r="L132" s="12">
        <f t="shared" si="234"/>
        <v>6604</v>
      </c>
      <c r="M132" s="12">
        <f t="shared" si="234"/>
        <v>4698</v>
      </c>
      <c r="N132" s="12">
        <f t="shared" si="234"/>
        <v>4787</v>
      </c>
      <c r="O132" s="12">
        <f t="shared" si="234"/>
        <v>7212</v>
      </c>
      <c r="P132" s="12">
        <f t="shared" si="234"/>
        <v>365.816</v>
      </c>
      <c r="Q132" s="12">
        <f t="shared" si="234"/>
        <v>805.816</v>
      </c>
      <c r="R132" s="12">
        <f t="shared" si="234"/>
        <v>805.816</v>
      </c>
      <c r="S132" s="12">
        <f t="shared" si="234"/>
        <v>805.816</v>
      </c>
      <c r="T132" s="12">
        <f t="shared" si="234"/>
        <v>805.816</v>
      </c>
      <c r="U132" s="12">
        <f t="shared" si="234"/>
        <v>1245.816</v>
      </c>
      <c r="V132" s="12">
        <f t="shared" si="234"/>
        <v>1245.816</v>
      </c>
      <c r="W132" s="12">
        <f t="shared" si="234"/>
        <v>1245.816</v>
      </c>
      <c r="X132" s="12">
        <f t="shared" si="234"/>
        <v>1245.816</v>
      </c>
      <c r="Y132" s="12">
        <f t="shared" si="234"/>
        <v>1685.816</v>
      </c>
      <c r="Z132" s="12">
        <f t="shared" si="234"/>
        <v>1685.816</v>
      </c>
      <c r="AA132" s="12">
        <f t="shared" si="234"/>
        <v>1685.816</v>
      </c>
      <c r="AB132" s="12">
        <f t="shared" si="234"/>
        <v>1685.816</v>
      </c>
      <c r="AC132" s="11"/>
      <c r="AD132" s="12" t="str">
        <f t="shared" si="222"/>
        <v>Software</v>
      </c>
      <c r="AE132" s="21">
        <f t="shared" si="223"/>
        <v>17062.816</v>
      </c>
      <c r="AF132" s="21">
        <f t="shared" si="224"/>
        <v>3223.264</v>
      </c>
      <c r="AG132" s="21">
        <f t="shared" si="225"/>
        <v>13839.552</v>
      </c>
      <c r="AH132" s="19">
        <f t="shared" si="226"/>
        <v>-0.8110942531</v>
      </c>
      <c r="AI132" s="11"/>
      <c r="AJ132" s="11"/>
      <c r="AK132" s="11"/>
      <c r="AL132" s="21">
        <f t="shared" si="227"/>
        <v>19177</v>
      </c>
      <c r="AM132" s="21">
        <f t="shared" si="228"/>
        <v>16559</v>
      </c>
      <c r="AN132" s="29">
        <f t="shared" si="229"/>
        <v>17062.816</v>
      </c>
      <c r="AO132" s="21">
        <f t="shared" si="230"/>
        <v>3223.264</v>
      </c>
      <c r="AP132" s="21">
        <f t="shared" si="231"/>
        <v>4983.264</v>
      </c>
      <c r="AQ132" s="29">
        <f t="shared" si="232"/>
        <v>6743.264</v>
      </c>
      <c r="AR132" s="11"/>
      <c r="AS132" s="11"/>
      <c r="AT132" s="11"/>
      <c r="AU132" s="11"/>
      <c r="AV132" s="11"/>
      <c r="AW132" s="11"/>
      <c r="AX132" s="11"/>
      <c r="AY132" s="11"/>
      <c r="AZ132" s="11"/>
      <c r="BA132" s="11"/>
      <c r="BB132" s="11"/>
      <c r="BC132" s="11"/>
      <c r="BD132" s="11"/>
      <c r="BE132" s="11"/>
      <c r="BF132" s="11"/>
      <c r="BG132" s="11"/>
      <c r="BH132" s="11"/>
      <c r="BI132" s="11"/>
      <c r="BJ132" s="11"/>
      <c r="BK132" s="11"/>
    </row>
    <row r="133" ht="15.75" customHeight="1">
      <c r="A133" s="11"/>
      <c r="B133" s="11"/>
      <c r="C133" s="11"/>
      <c r="D133" s="11" t="s">
        <v>72</v>
      </c>
      <c r="E133" s="12">
        <f t="shared" ref="E133:AB133" si="235">E75+E104</f>
        <v>0</v>
      </c>
      <c r="F133" s="12">
        <f t="shared" si="235"/>
        <v>0</v>
      </c>
      <c r="G133" s="12">
        <f t="shared" si="235"/>
        <v>0</v>
      </c>
      <c r="H133" s="12">
        <f t="shared" si="235"/>
        <v>0</v>
      </c>
      <c r="I133" s="12">
        <f t="shared" si="235"/>
        <v>0</v>
      </c>
      <c r="J133" s="12">
        <f t="shared" si="235"/>
        <v>0</v>
      </c>
      <c r="K133" s="12">
        <f t="shared" si="235"/>
        <v>0</v>
      </c>
      <c r="L133" s="12">
        <f t="shared" si="235"/>
        <v>0</v>
      </c>
      <c r="M133" s="12">
        <f t="shared" si="235"/>
        <v>0</v>
      </c>
      <c r="N133" s="12">
        <f t="shared" si="235"/>
        <v>0</v>
      </c>
      <c r="O133" s="12">
        <f t="shared" si="235"/>
        <v>0</v>
      </c>
      <c r="P133" s="12">
        <f t="shared" si="235"/>
        <v>56827.023</v>
      </c>
      <c r="Q133" s="12">
        <f t="shared" si="235"/>
        <v>66055.16495</v>
      </c>
      <c r="R133" s="12">
        <f t="shared" si="235"/>
        <v>65587.89352</v>
      </c>
      <c r="S133" s="12">
        <f t="shared" si="235"/>
        <v>64336.82564</v>
      </c>
      <c r="T133" s="12">
        <f t="shared" si="235"/>
        <v>67477.91659</v>
      </c>
      <c r="U133" s="12">
        <f t="shared" si="235"/>
        <v>73434.76362</v>
      </c>
      <c r="V133" s="12">
        <f t="shared" si="235"/>
        <v>71219.46348</v>
      </c>
      <c r="W133" s="12">
        <f t="shared" si="235"/>
        <v>68740.61894</v>
      </c>
      <c r="X133" s="12">
        <f t="shared" si="235"/>
        <v>73211.89622</v>
      </c>
      <c r="Y133" s="12">
        <f t="shared" si="235"/>
        <v>79322.45305</v>
      </c>
      <c r="Z133" s="12">
        <f t="shared" si="235"/>
        <v>83057.43804</v>
      </c>
      <c r="AA133" s="12">
        <f t="shared" si="235"/>
        <v>80298.28878</v>
      </c>
      <c r="AB133" s="12">
        <f t="shared" si="235"/>
        <v>83505.9563</v>
      </c>
      <c r="AC133" s="11"/>
      <c r="AD133" s="11" t="str">
        <f t="shared" si="222"/>
        <v>Other</v>
      </c>
      <c r="AE133" s="30">
        <f t="shared" si="223"/>
        <v>56827.023</v>
      </c>
      <c r="AF133" s="21">
        <f t="shared" si="224"/>
        <v>263457.8007</v>
      </c>
      <c r="AG133" s="30">
        <f t="shared" si="225"/>
        <v>-206630.7777</v>
      </c>
      <c r="AH133" s="31">
        <f t="shared" si="226"/>
        <v>3.636135888</v>
      </c>
      <c r="AI133" s="11"/>
      <c r="AJ133" s="11"/>
      <c r="AK133" s="11"/>
      <c r="AL133" s="30">
        <f t="shared" si="227"/>
        <v>0</v>
      </c>
      <c r="AM133" s="21">
        <f t="shared" si="228"/>
        <v>0</v>
      </c>
      <c r="AN133" s="32">
        <f t="shared" si="229"/>
        <v>56827.023</v>
      </c>
      <c r="AO133" s="30">
        <f t="shared" si="230"/>
        <v>263457.8007</v>
      </c>
      <c r="AP133" s="21">
        <f t="shared" si="231"/>
        <v>286606.7423</v>
      </c>
      <c r="AQ133" s="32">
        <f t="shared" si="232"/>
        <v>326184.1362</v>
      </c>
      <c r="AR133" s="11"/>
      <c r="AS133" s="11"/>
      <c r="AT133" s="11"/>
      <c r="AU133" s="11"/>
      <c r="AV133" s="11"/>
      <c r="AW133" s="11"/>
      <c r="AX133" s="11"/>
      <c r="AY133" s="11"/>
      <c r="AZ133" s="11"/>
      <c r="BA133" s="11"/>
      <c r="BB133" s="11"/>
      <c r="BC133" s="11"/>
      <c r="BD133" s="11"/>
      <c r="BE133" s="11"/>
      <c r="BF133" s="11"/>
      <c r="BG133" s="11"/>
      <c r="BH133" s="11"/>
      <c r="BI133" s="11"/>
      <c r="BJ133" s="11"/>
      <c r="BK133" s="11"/>
    </row>
    <row r="134" ht="15.75" customHeight="1">
      <c r="A134" s="11"/>
      <c r="B134" s="11"/>
      <c r="C134" s="11"/>
      <c r="D134" s="33" t="s">
        <v>73</v>
      </c>
      <c r="E134" s="34">
        <f t="shared" ref="E134:AB134" si="236">SUM(E129:E133)</f>
        <v>63538</v>
      </c>
      <c r="F134" s="34">
        <f t="shared" si="236"/>
        <v>66823</v>
      </c>
      <c r="G134" s="34">
        <f t="shared" si="236"/>
        <v>65361</v>
      </c>
      <c r="H134" s="34">
        <f t="shared" si="236"/>
        <v>66222</v>
      </c>
      <c r="I134" s="34">
        <f t="shared" si="236"/>
        <v>79356</v>
      </c>
      <c r="J134" s="34">
        <f t="shared" si="236"/>
        <v>67655</v>
      </c>
      <c r="K134" s="34">
        <f t="shared" si="236"/>
        <v>58504</v>
      </c>
      <c r="L134" s="34">
        <f t="shared" si="236"/>
        <v>61112</v>
      </c>
      <c r="M134" s="34">
        <f t="shared" si="236"/>
        <v>65107</v>
      </c>
      <c r="N134" s="34">
        <f t="shared" si="236"/>
        <v>62867</v>
      </c>
      <c r="O134" s="34">
        <f t="shared" si="236"/>
        <v>66354</v>
      </c>
      <c r="P134" s="34">
        <f t="shared" si="236"/>
        <v>89282.87085</v>
      </c>
      <c r="Q134" s="34">
        <f t="shared" si="236"/>
        <v>113865.4544</v>
      </c>
      <c r="R134" s="34">
        <f t="shared" si="236"/>
        <v>113879.8792</v>
      </c>
      <c r="S134" s="34">
        <f t="shared" si="236"/>
        <v>113247.2893</v>
      </c>
      <c r="T134" s="34">
        <f t="shared" si="236"/>
        <v>116970.1522</v>
      </c>
      <c r="U134" s="34">
        <f t="shared" si="236"/>
        <v>124916.2558</v>
      </c>
      <c r="V134" s="34">
        <f t="shared" si="236"/>
        <v>123243.8675</v>
      </c>
      <c r="W134" s="34">
        <f t="shared" si="236"/>
        <v>134227.9591</v>
      </c>
      <c r="X134" s="34">
        <f t="shared" si="236"/>
        <v>145843.6588</v>
      </c>
      <c r="Y134" s="34">
        <f t="shared" si="236"/>
        <v>161065.6228</v>
      </c>
      <c r="Z134" s="34">
        <f t="shared" si="236"/>
        <v>172061.541</v>
      </c>
      <c r="AA134" s="34">
        <f t="shared" si="236"/>
        <v>176446.1446</v>
      </c>
      <c r="AB134" s="34">
        <f t="shared" si="236"/>
        <v>186781.387</v>
      </c>
      <c r="AC134" s="11"/>
      <c r="AD134" s="33" t="str">
        <f t="shared" si="222"/>
        <v>Total COGS</v>
      </c>
      <c r="AE134" s="12">
        <f t="shared" si="223"/>
        <v>283610.8708</v>
      </c>
      <c r="AF134" s="35">
        <f t="shared" si="224"/>
        <v>457962.775</v>
      </c>
      <c r="AG134" s="12">
        <f t="shared" si="225"/>
        <v>-174351.9041</v>
      </c>
      <c r="AH134" s="19">
        <f t="shared" si="226"/>
        <v>0.6147574796</v>
      </c>
      <c r="AI134" s="11"/>
      <c r="AJ134" s="11"/>
      <c r="AK134" s="11"/>
      <c r="AL134" s="12">
        <f t="shared" si="227"/>
        <v>261944</v>
      </c>
      <c r="AM134" s="35">
        <f t="shared" si="228"/>
        <v>266627</v>
      </c>
      <c r="AN134" s="29">
        <f t="shared" si="229"/>
        <v>283610.8708</v>
      </c>
      <c r="AO134" s="12">
        <f t="shared" si="230"/>
        <v>457962.775</v>
      </c>
      <c r="AP134" s="35">
        <f t="shared" si="231"/>
        <v>528231.7412</v>
      </c>
      <c r="AQ134" s="29">
        <f t="shared" si="232"/>
        <v>696354.6953</v>
      </c>
      <c r="AR134" s="11"/>
      <c r="AS134" s="11"/>
      <c r="AT134" s="11"/>
      <c r="AU134" s="11"/>
      <c r="AV134" s="11"/>
      <c r="AW134" s="11"/>
      <c r="AX134" s="11"/>
      <c r="AY134" s="11"/>
      <c r="AZ134" s="11"/>
      <c r="BA134" s="11"/>
      <c r="BB134" s="11"/>
      <c r="BC134" s="11"/>
      <c r="BD134" s="11"/>
      <c r="BE134" s="11"/>
      <c r="BF134" s="11"/>
      <c r="BG134" s="11"/>
      <c r="BH134" s="11"/>
      <c r="BI134" s="11"/>
      <c r="BJ134" s="11"/>
      <c r="BK134" s="11"/>
    </row>
    <row r="135" ht="15.75" customHeight="1">
      <c r="A135" s="11"/>
      <c r="B135" s="11"/>
      <c r="C135" s="11"/>
      <c r="D135" s="11"/>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11"/>
      <c r="AD135" s="11"/>
      <c r="AE135" s="24"/>
      <c r="AF135" s="24"/>
      <c r="AG135" s="12"/>
      <c r="AH135" s="19"/>
      <c r="AI135" s="11"/>
      <c r="AJ135" s="11"/>
      <c r="AK135" s="11"/>
      <c r="AL135" s="24"/>
      <c r="AM135" s="24"/>
      <c r="AN135" s="24"/>
      <c r="AO135" s="24"/>
      <c r="AP135" s="24"/>
      <c r="AQ135" s="24"/>
      <c r="AR135" s="11"/>
      <c r="AS135" s="11"/>
      <c r="AT135" s="11"/>
      <c r="AU135" s="11"/>
      <c r="AV135" s="11"/>
      <c r="AW135" s="11"/>
      <c r="AX135" s="11"/>
      <c r="AY135" s="11"/>
      <c r="AZ135" s="11"/>
      <c r="BA135" s="11"/>
      <c r="BB135" s="11"/>
      <c r="BC135" s="11"/>
      <c r="BD135" s="11"/>
      <c r="BE135" s="11"/>
      <c r="BF135" s="11"/>
      <c r="BG135" s="11"/>
      <c r="BH135" s="11"/>
      <c r="BI135" s="11"/>
      <c r="BJ135" s="11"/>
      <c r="BK135" s="11"/>
    </row>
    <row r="136" ht="15.75" customHeight="1">
      <c r="A136" s="11"/>
      <c r="B136" s="11"/>
      <c r="C136" s="11"/>
      <c r="D136" s="36" t="str">
        <f>CONCATENATE(B121," Gross Profit")</f>
        <v>Creative Gross Profit</v>
      </c>
      <c r="E136" s="37">
        <f t="shared" ref="E136:AB136" si="237">E125-E134</f>
        <v>397109</v>
      </c>
      <c r="F136" s="37">
        <f t="shared" si="237"/>
        <v>298073</v>
      </c>
      <c r="G136" s="37">
        <f t="shared" si="237"/>
        <v>379642</v>
      </c>
      <c r="H136" s="37">
        <f t="shared" si="237"/>
        <v>439805</v>
      </c>
      <c r="I136" s="37">
        <f t="shared" si="237"/>
        <v>363704</v>
      </c>
      <c r="J136" s="37">
        <f t="shared" si="237"/>
        <v>362128</v>
      </c>
      <c r="K136" s="37">
        <f t="shared" si="237"/>
        <v>389492</v>
      </c>
      <c r="L136" s="37">
        <f t="shared" si="237"/>
        <v>275321</v>
      </c>
      <c r="M136" s="37">
        <f t="shared" si="237"/>
        <v>194957</v>
      </c>
      <c r="N136" s="37">
        <f t="shared" si="237"/>
        <v>404306</v>
      </c>
      <c r="O136" s="37">
        <f t="shared" si="237"/>
        <v>286453</v>
      </c>
      <c r="P136" s="37">
        <f t="shared" si="237"/>
        <v>350219.4565</v>
      </c>
      <c r="Q136" s="37">
        <f t="shared" si="237"/>
        <v>419866.3119</v>
      </c>
      <c r="R136" s="37">
        <f t="shared" si="237"/>
        <v>511815.4883</v>
      </c>
      <c r="S136" s="37">
        <f t="shared" si="237"/>
        <v>593822.5253</v>
      </c>
      <c r="T136" s="37">
        <f t="shared" si="237"/>
        <v>663268.5775</v>
      </c>
      <c r="U136" s="37">
        <f t="shared" si="237"/>
        <v>724559.5458</v>
      </c>
      <c r="V136" s="37">
        <f t="shared" si="237"/>
        <v>792306.8948</v>
      </c>
      <c r="W136" s="37">
        <f t="shared" si="237"/>
        <v>844248.6715</v>
      </c>
      <c r="X136" s="37">
        <f t="shared" si="237"/>
        <v>895413.5635</v>
      </c>
      <c r="Y136" s="37">
        <f t="shared" si="237"/>
        <v>937355.0234</v>
      </c>
      <c r="Z136" s="37">
        <f t="shared" si="237"/>
        <v>981493.8688</v>
      </c>
      <c r="AA136" s="37">
        <f t="shared" si="237"/>
        <v>1025137.334</v>
      </c>
      <c r="AB136" s="37">
        <f t="shared" si="237"/>
        <v>1062556.026</v>
      </c>
      <c r="AC136" s="11"/>
      <c r="AD136" s="40" t="str">
        <f t="shared" ref="AD136:AD137" si="240">D136</f>
        <v>Creative Gross Profit</v>
      </c>
      <c r="AE136" s="37">
        <f t="shared" ref="AE136:AF136" si="238">AE125-AE134</f>
        <v>1235935.457</v>
      </c>
      <c r="AF136" s="37">
        <f t="shared" si="238"/>
        <v>2188772.903</v>
      </c>
      <c r="AG136" s="40">
        <f t="shared" ref="AG136:AG137" si="242">AF136-AE136</f>
        <v>952837.4464</v>
      </c>
      <c r="AH136" s="41">
        <f>AF136/AE136-1</f>
        <v>0.7709443413</v>
      </c>
      <c r="AI136" s="11"/>
      <c r="AJ136" s="11"/>
      <c r="AK136" s="11"/>
      <c r="AL136" s="56">
        <f>SUM(E136:H136)</f>
        <v>1514629</v>
      </c>
      <c r="AM136" s="37">
        <f>SUM(I136:L136)</f>
        <v>1390645</v>
      </c>
      <c r="AN136" s="37">
        <f>SUM(M136:P136)</f>
        <v>1235935.457</v>
      </c>
      <c r="AO136" s="37">
        <f>SUM(Q136:T136)</f>
        <v>2188772.903</v>
      </c>
      <c r="AP136" s="37">
        <f>SUM(U136:X136)</f>
        <v>3256528.676</v>
      </c>
      <c r="AQ136" s="37">
        <f>SUM(Y136:AB136)</f>
        <v>4006542.252</v>
      </c>
      <c r="AR136" s="11"/>
      <c r="AS136" s="11"/>
      <c r="AT136" s="11"/>
      <c r="AU136" s="11"/>
      <c r="AV136" s="11"/>
      <c r="AW136" s="11"/>
      <c r="AX136" s="11"/>
      <c r="AY136" s="11"/>
      <c r="AZ136" s="11"/>
      <c r="BA136" s="11"/>
      <c r="BB136" s="11"/>
      <c r="BC136" s="11"/>
      <c r="BD136" s="11"/>
      <c r="BE136" s="11"/>
      <c r="BF136" s="11"/>
      <c r="BG136" s="11"/>
      <c r="BH136" s="11"/>
      <c r="BI136" s="11"/>
      <c r="BJ136" s="11"/>
      <c r="BK136" s="11"/>
    </row>
    <row r="137" ht="15.75" customHeight="1">
      <c r="A137" s="11"/>
      <c r="B137" s="11"/>
      <c r="C137" s="11"/>
      <c r="D137" s="42" t="s">
        <v>75</v>
      </c>
      <c r="E137" s="43">
        <f t="shared" ref="E137:AB137" si="239">E136/E125</f>
        <v>0.8620679175</v>
      </c>
      <c r="F137" s="43">
        <f t="shared" si="239"/>
        <v>0.8168711085</v>
      </c>
      <c r="G137" s="43">
        <f t="shared" si="239"/>
        <v>0.8531223385</v>
      </c>
      <c r="H137" s="43">
        <f t="shared" si="239"/>
        <v>0.8691334652</v>
      </c>
      <c r="I137" s="43">
        <f t="shared" si="239"/>
        <v>0.8208910757</v>
      </c>
      <c r="J137" s="43">
        <f t="shared" si="239"/>
        <v>0.8425833502</v>
      </c>
      <c r="K137" s="43">
        <f t="shared" si="239"/>
        <v>0.8694095483</v>
      </c>
      <c r="L137" s="43">
        <f t="shared" si="239"/>
        <v>0.8183531342</v>
      </c>
      <c r="M137" s="43">
        <f t="shared" si="239"/>
        <v>0.7496500861</v>
      </c>
      <c r="N137" s="43">
        <f t="shared" si="239"/>
        <v>0.8654310074</v>
      </c>
      <c r="O137" s="43">
        <f t="shared" si="239"/>
        <v>0.8119255003</v>
      </c>
      <c r="P137" s="43">
        <f t="shared" si="239"/>
        <v>0.7968546119</v>
      </c>
      <c r="Q137" s="43">
        <f t="shared" si="239"/>
        <v>0.78666165</v>
      </c>
      <c r="R137" s="43">
        <f t="shared" si="239"/>
        <v>0.8179946902</v>
      </c>
      <c r="S137" s="43">
        <f t="shared" si="239"/>
        <v>0.8398357745</v>
      </c>
      <c r="T137" s="43">
        <f t="shared" si="239"/>
        <v>0.8500841502</v>
      </c>
      <c r="U137" s="43">
        <f t="shared" si="239"/>
        <v>0.8529490121</v>
      </c>
      <c r="V137" s="43">
        <f t="shared" si="239"/>
        <v>0.8653882749</v>
      </c>
      <c r="W137" s="43">
        <f t="shared" si="239"/>
        <v>0.8628194533</v>
      </c>
      <c r="X137" s="43">
        <f t="shared" si="239"/>
        <v>0.8599350327</v>
      </c>
      <c r="Y137" s="43">
        <f t="shared" si="239"/>
        <v>0.8533661732</v>
      </c>
      <c r="Z137" s="43">
        <f t="shared" si="239"/>
        <v>0.8508424134</v>
      </c>
      <c r="AA137" s="43">
        <f t="shared" si="239"/>
        <v>0.8531553174</v>
      </c>
      <c r="AB137" s="43">
        <f t="shared" si="239"/>
        <v>0.8504956427</v>
      </c>
      <c r="AC137" s="11"/>
      <c r="AD137" s="42" t="str">
        <f t="shared" si="240"/>
        <v>  Gross Margin</v>
      </c>
      <c r="AE137" s="43">
        <f t="shared" ref="AE137:AF137" si="241">AE136/AE125</f>
        <v>0.813358194</v>
      </c>
      <c r="AF137" s="43">
        <f t="shared" si="241"/>
        <v>0.8269707176</v>
      </c>
      <c r="AG137" s="43">
        <f t="shared" si="242"/>
        <v>0.01361252363</v>
      </c>
      <c r="AH137" s="43"/>
      <c r="AI137" s="11"/>
      <c r="AJ137" s="11"/>
      <c r="AK137" s="11"/>
      <c r="AL137" s="43">
        <f t="shared" ref="AL137:AQ137" si="243">AL136/AL125</f>
        <v>0.8525565794</v>
      </c>
      <c r="AM137" s="43">
        <f t="shared" si="243"/>
        <v>0.8391169343</v>
      </c>
      <c r="AN137" s="43">
        <f t="shared" si="243"/>
        <v>0.813358194</v>
      </c>
      <c r="AO137" s="43">
        <f t="shared" si="243"/>
        <v>0.8269707176</v>
      </c>
      <c r="AP137" s="43">
        <f t="shared" si="243"/>
        <v>0.8604319209</v>
      </c>
      <c r="AQ137" s="43">
        <f t="shared" si="243"/>
        <v>0.8519306923</v>
      </c>
      <c r="AR137" s="11"/>
      <c r="AS137" s="11"/>
      <c r="AT137" s="11"/>
      <c r="AU137" s="11"/>
      <c r="AV137" s="11"/>
      <c r="AW137" s="11"/>
      <c r="AX137" s="11"/>
      <c r="AY137" s="11"/>
      <c r="AZ137" s="11"/>
      <c r="BA137" s="11"/>
      <c r="BB137" s="11"/>
      <c r="BC137" s="11"/>
      <c r="BD137" s="11"/>
      <c r="BE137" s="11"/>
      <c r="BF137" s="11"/>
      <c r="BG137" s="11"/>
      <c r="BH137" s="11"/>
      <c r="BI137" s="11"/>
      <c r="BJ137" s="11"/>
      <c r="BK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2"/>
      <c r="AH138" s="19"/>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row>
    <row r="139" ht="15.75" customHeight="1">
      <c r="A139" s="11"/>
      <c r="B139" s="11"/>
      <c r="C139" s="11"/>
      <c r="D139" s="11" t="s">
        <v>15</v>
      </c>
      <c r="E139" s="21">
        <f t="shared" ref="E139:AB139" si="244">E81+E110</f>
        <v>20</v>
      </c>
      <c r="F139" s="21">
        <f t="shared" si="244"/>
        <v>20</v>
      </c>
      <c r="G139" s="21">
        <f t="shared" si="244"/>
        <v>20</v>
      </c>
      <c r="H139" s="21">
        <f t="shared" si="244"/>
        <v>20</v>
      </c>
      <c r="I139" s="21">
        <f t="shared" si="244"/>
        <v>20</v>
      </c>
      <c r="J139" s="21">
        <f t="shared" si="244"/>
        <v>20</v>
      </c>
      <c r="K139" s="21">
        <f t="shared" si="244"/>
        <v>20</v>
      </c>
      <c r="L139" s="21">
        <f t="shared" si="244"/>
        <v>20</v>
      </c>
      <c r="M139" s="21">
        <f t="shared" si="244"/>
        <v>20</v>
      </c>
      <c r="N139" s="21">
        <f t="shared" si="244"/>
        <v>20</v>
      </c>
      <c r="O139" s="21">
        <f t="shared" si="244"/>
        <v>20</v>
      </c>
      <c r="P139" s="21">
        <f t="shared" si="244"/>
        <v>20</v>
      </c>
      <c r="Q139" s="21">
        <f t="shared" si="244"/>
        <v>21</v>
      </c>
      <c r="R139" s="21">
        <f t="shared" si="244"/>
        <v>21</v>
      </c>
      <c r="S139" s="21">
        <f t="shared" si="244"/>
        <v>21</v>
      </c>
      <c r="T139" s="21">
        <f t="shared" si="244"/>
        <v>21</v>
      </c>
      <c r="U139" s="21">
        <f t="shared" si="244"/>
        <v>21</v>
      </c>
      <c r="V139" s="21">
        <f t="shared" si="244"/>
        <v>21</v>
      </c>
      <c r="W139" s="21">
        <f t="shared" si="244"/>
        <v>22</v>
      </c>
      <c r="X139" s="21">
        <f t="shared" si="244"/>
        <v>23</v>
      </c>
      <c r="Y139" s="21">
        <f t="shared" si="244"/>
        <v>24</v>
      </c>
      <c r="Z139" s="21">
        <f t="shared" si="244"/>
        <v>25</v>
      </c>
      <c r="AA139" s="21">
        <f t="shared" si="244"/>
        <v>26</v>
      </c>
      <c r="AB139" s="21">
        <f t="shared" si="244"/>
        <v>27</v>
      </c>
      <c r="AC139" s="11"/>
      <c r="AD139" s="11" t="str">
        <f t="shared" ref="AD139:AD143" si="245">D139</f>
        <v>Headcount</v>
      </c>
      <c r="AE139" s="20">
        <f>P139</f>
        <v>20</v>
      </c>
      <c r="AF139" s="20">
        <f>T139</f>
        <v>21</v>
      </c>
      <c r="AG139" s="21">
        <f t="shared" ref="AG139:AG145" si="246">AF139-AE139</f>
        <v>1</v>
      </c>
      <c r="AH139" s="19">
        <f t="shared" ref="AH139:AH145" si="247">AF139/AE139-1</f>
        <v>0.05</v>
      </c>
      <c r="AI139" s="11"/>
      <c r="AJ139" s="11"/>
      <c r="AK139" s="11"/>
      <c r="AL139" s="21">
        <f>H139</f>
        <v>20</v>
      </c>
      <c r="AM139" s="21">
        <f>L139</f>
        <v>20</v>
      </c>
      <c r="AN139" s="21">
        <f>P139</f>
        <v>20</v>
      </c>
      <c r="AO139" s="21">
        <f>T139</f>
        <v>21</v>
      </c>
      <c r="AP139" s="21">
        <f>X139</f>
        <v>23</v>
      </c>
      <c r="AQ139" s="21">
        <f>AB139</f>
        <v>27</v>
      </c>
      <c r="AR139" s="11"/>
      <c r="AS139" s="11"/>
      <c r="AT139" s="11"/>
      <c r="AU139" s="11"/>
      <c r="AV139" s="11"/>
      <c r="AW139" s="11"/>
      <c r="AX139" s="11"/>
      <c r="AY139" s="11"/>
      <c r="AZ139" s="11"/>
      <c r="BA139" s="11"/>
      <c r="BB139" s="11"/>
      <c r="BC139" s="11"/>
      <c r="BD139" s="11"/>
      <c r="BE139" s="11"/>
      <c r="BF139" s="11"/>
      <c r="BG139" s="11"/>
      <c r="BH139" s="11"/>
      <c r="BI139" s="11"/>
      <c r="BJ139" s="11"/>
      <c r="BK139" s="11"/>
    </row>
    <row r="140" ht="15.75" customHeight="1">
      <c r="A140" s="11"/>
      <c r="B140" s="11"/>
      <c r="C140" s="11"/>
      <c r="D140" s="11" t="s">
        <v>88</v>
      </c>
      <c r="E140" s="12">
        <f>E125/(Capacity!O107+Capacity!O145)</f>
        <v>65806.71429</v>
      </c>
      <c r="F140" s="12">
        <f>F125/(Capacity!P107+Capacity!P145)</f>
        <v>52128</v>
      </c>
      <c r="G140" s="12">
        <f>G125/(Capacity!Q107+Capacity!Q145)</f>
        <v>63571.85714</v>
      </c>
      <c r="H140" s="12">
        <f>H125/(Capacity!R107+Capacity!R145)</f>
        <v>72289.57143</v>
      </c>
      <c r="I140" s="12">
        <f>I125/(Capacity!S107+Capacity!S145)</f>
        <v>63294.28571</v>
      </c>
      <c r="J140" s="12">
        <f>J125/(Capacity!T107+Capacity!T145)</f>
        <v>53722.875</v>
      </c>
      <c r="K140" s="12">
        <f>K125/(Capacity!U107+Capacity!U145)</f>
        <v>55999.5</v>
      </c>
      <c r="L140" s="12">
        <f>L125/(Capacity!V107+Capacity!V145)</f>
        <v>39580.35294</v>
      </c>
      <c r="M140" s="12">
        <f>M125/(Capacity!W107+Capacity!W145)</f>
        <v>30595.76471</v>
      </c>
      <c r="N140" s="12">
        <f>N125/(Capacity!X107+Capacity!X145)</f>
        <v>54961.52941</v>
      </c>
      <c r="O140" s="12">
        <f>O125/(Capacity!Y107+Capacity!Y145)</f>
        <v>41506.70588</v>
      </c>
      <c r="P140" s="12">
        <f>P125/(Capacity!Z107+Capacity!Z145)</f>
        <v>51706.15616</v>
      </c>
      <c r="Q140" s="12">
        <f>Q125/(Capacity!AA107+Capacity!AA145)</f>
        <v>62791.9725</v>
      </c>
      <c r="R140" s="12">
        <f>R125/(Capacity!AB107+Capacity!AB145)</f>
        <v>73611.2197</v>
      </c>
      <c r="S140" s="12">
        <f>S125/(Capacity!AC107+Capacity!AC145)</f>
        <v>83184.68407</v>
      </c>
      <c r="T140" s="12">
        <f>T125/(Capacity!AD107+Capacity!AD145)</f>
        <v>91792.79172</v>
      </c>
      <c r="U140" s="12">
        <f>U125/(Capacity!AE107+Capacity!AE145)</f>
        <v>99938.3296</v>
      </c>
      <c r="V140" s="12">
        <f>V125/(Capacity!AF107+Capacity!AF145)</f>
        <v>107711.8544</v>
      </c>
      <c r="W140" s="12">
        <f>W125/(Capacity!AG107+Capacity!AG145)</f>
        <v>102997.5401</v>
      </c>
      <c r="X140" s="12">
        <f>X125/(Capacity!AH107+Capacity!AH145)</f>
        <v>99167.35451</v>
      </c>
      <c r="Y140" s="12">
        <f>Y125/(Capacity!AI107+Capacity!AI145)</f>
        <v>95514.8388</v>
      </c>
      <c r="Z140" s="12">
        <f>Z125/(Capacity!AJ107+Capacity!AJ145)</f>
        <v>100309.1661</v>
      </c>
      <c r="AA140" s="12">
        <f>AA125/(Capacity!AK107+Capacity!AK145)</f>
        <v>96126.67833</v>
      </c>
      <c r="AB140" s="12">
        <f>AB125/(Capacity!AL107+Capacity!AL145)</f>
        <v>92543.51206</v>
      </c>
      <c r="AC140" s="11"/>
      <c r="AD140" s="11" t="str">
        <f t="shared" si="245"/>
        <v>Revenue/Designer</v>
      </c>
      <c r="AE140" s="12">
        <f>AVERAGE(M140:P140)</f>
        <v>44692.53904</v>
      </c>
      <c r="AF140" s="12">
        <f>AVERAGE(Q140:T140)</f>
        <v>77845.167</v>
      </c>
      <c r="AG140" s="12">
        <f t="shared" si="246"/>
        <v>33152.62796</v>
      </c>
      <c r="AH140" s="19">
        <f t="shared" si="247"/>
        <v>0.7417933434</v>
      </c>
      <c r="AI140" s="11"/>
      <c r="AJ140" s="11"/>
      <c r="AK140" s="11"/>
      <c r="AL140" s="12">
        <f>AVERAGE(E140:H140)</f>
        <v>63449.03571</v>
      </c>
      <c r="AM140" s="12">
        <f>AVERAGE(I140:L140)</f>
        <v>53149.25341</v>
      </c>
      <c r="AN140" s="12">
        <f>AVERAGE(M140:P140)</f>
        <v>44692.53904</v>
      </c>
      <c r="AO140" s="12">
        <f>AVERAGE(Q140:T140)</f>
        <v>77845.167</v>
      </c>
      <c r="AP140" s="12">
        <f>AVERAGE(U140:X140)</f>
        <v>102453.7696</v>
      </c>
      <c r="AQ140" s="12">
        <f>AVERAGE(Y140:AB140)</f>
        <v>96123.54881</v>
      </c>
      <c r="AR140" s="11"/>
      <c r="AS140" s="11"/>
      <c r="AT140" s="11"/>
      <c r="AU140" s="11"/>
      <c r="AV140" s="11"/>
      <c r="AW140" s="11"/>
      <c r="AX140" s="11"/>
      <c r="AY140" s="11"/>
      <c r="AZ140" s="11"/>
      <c r="BA140" s="11"/>
      <c r="BB140" s="11"/>
      <c r="BC140" s="11"/>
      <c r="BD140" s="11"/>
      <c r="BE140" s="11"/>
      <c r="BF140" s="11"/>
      <c r="BG140" s="11"/>
      <c r="BH140" s="11"/>
      <c r="BI140" s="11"/>
      <c r="BJ140" s="11"/>
      <c r="BK140" s="11"/>
    </row>
    <row r="141" ht="15.75" customHeight="1">
      <c r="A141" s="11"/>
      <c r="B141" s="11"/>
      <c r="C141" s="11"/>
      <c r="D141" s="11" t="s">
        <v>77</v>
      </c>
      <c r="E141" s="50">
        <f t="shared" ref="E141:AB141" si="248">E83+E112</f>
        <v>60</v>
      </c>
      <c r="F141" s="50">
        <f t="shared" si="248"/>
        <v>60</v>
      </c>
      <c r="G141" s="50">
        <f t="shared" si="248"/>
        <v>60</v>
      </c>
      <c r="H141" s="50">
        <f t="shared" si="248"/>
        <v>60</v>
      </c>
      <c r="I141" s="50">
        <f t="shared" si="248"/>
        <v>60</v>
      </c>
      <c r="J141" s="50">
        <f t="shared" si="248"/>
        <v>60</v>
      </c>
      <c r="K141" s="50">
        <f t="shared" si="248"/>
        <v>60</v>
      </c>
      <c r="L141" s="50">
        <f t="shared" si="248"/>
        <v>60</v>
      </c>
      <c r="M141" s="50">
        <f t="shared" si="248"/>
        <v>60</v>
      </c>
      <c r="N141" s="50">
        <f t="shared" si="248"/>
        <v>60</v>
      </c>
      <c r="O141" s="50">
        <f t="shared" si="248"/>
        <v>60</v>
      </c>
      <c r="P141" s="50">
        <f t="shared" si="248"/>
        <v>66</v>
      </c>
      <c r="Q141" s="50">
        <f t="shared" si="248"/>
        <v>66</v>
      </c>
      <c r="R141" s="50">
        <f t="shared" si="248"/>
        <v>66</v>
      </c>
      <c r="S141" s="50">
        <f t="shared" si="248"/>
        <v>66</v>
      </c>
      <c r="T141" s="50">
        <f t="shared" si="248"/>
        <v>66</v>
      </c>
      <c r="U141" s="50">
        <f t="shared" si="248"/>
        <v>66</v>
      </c>
      <c r="V141" s="50">
        <f t="shared" si="248"/>
        <v>66</v>
      </c>
      <c r="W141" s="50">
        <f t="shared" si="248"/>
        <v>66</v>
      </c>
      <c r="X141" s="50">
        <f t="shared" si="248"/>
        <v>62.7</v>
      </c>
      <c r="Y141" s="50">
        <f t="shared" si="248"/>
        <v>62.7</v>
      </c>
      <c r="Z141" s="50">
        <f t="shared" si="248"/>
        <v>62.7</v>
      </c>
      <c r="AA141" s="50">
        <f t="shared" si="248"/>
        <v>63.0135</v>
      </c>
      <c r="AB141" s="50">
        <f t="shared" si="248"/>
        <v>44.10945</v>
      </c>
      <c r="AC141" s="11"/>
      <c r="AD141" s="11" t="str">
        <f t="shared" si="245"/>
        <v># of Product Opportunities</v>
      </c>
      <c r="AE141" s="21">
        <f t="shared" ref="AE141:AE142" si="250">SUM(M141:P141)</f>
        <v>246</v>
      </c>
      <c r="AF141" s="21">
        <f t="shared" ref="AF141:AF142" si="251">SUM(Q141:T141)</f>
        <v>264</v>
      </c>
      <c r="AG141" s="21">
        <f t="shared" si="246"/>
        <v>18</v>
      </c>
      <c r="AH141" s="19">
        <f t="shared" si="247"/>
        <v>0.07317073171</v>
      </c>
      <c r="AI141" s="11"/>
      <c r="AJ141" s="11"/>
      <c r="AK141" s="11"/>
      <c r="AL141" s="20">
        <f t="shared" ref="AL141:AL142" si="252">SUM(E141:H141)</f>
        <v>240</v>
      </c>
      <c r="AM141" s="20">
        <f t="shared" ref="AM141:AM142" si="253">SUM(I141:L141)</f>
        <v>240</v>
      </c>
      <c r="AN141" s="20">
        <f t="shared" ref="AN141:AN142" si="254">SUM(M141:P141)</f>
        <v>246</v>
      </c>
      <c r="AO141" s="20">
        <f t="shared" ref="AO141:AO142" si="255">SUM(Q141:T141)</f>
        <v>264</v>
      </c>
      <c r="AP141" s="20">
        <f t="shared" ref="AP141:AP142" si="256">SUM(U141:X141)</f>
        <v>260.7</v>
      </c>
      <c r="AQ141" s="20">
        <f t="shared" ref="AQ141:AQ142" si="257">SUM(Y141:AB141)</f>
        <v>232.52295</v>
      </c>
      <c r="AR141" s="11"/>
      <c r="AS141" s="11"/>
      <c r="AT141" s="11"/>
      <c r="AU141" s="11"/>
      <c r="AV141" s="11"/>
      <c r="AW141" s="11"/>
      <c r="AX141" s="11"/>
      <c r="AY141" s="11"/>
      <c r="AZ141" s="11"/>
      <c r="BA141" s="11"/>
      <c r="BB141" s="11"/>
      <c r="BC141" s="11"/>
      <c r="BD141" s="11"/>
      <c r="BE141" s="11"/>
      <c r="BF141" s="11"/>
      <c r="BG141" s="11"/>
      <c r="BH141" s="11"/>
      <c r="BI141" s="11"/>
      <c r="BJ141" s="11"/>
      <c r="BK141" s="11"/>
    </row>
    <row r="142" ht="15.75" customHeight="1">
      <c r="A142" s="11"/>
      <c r="B142" s="11"/>
      <c r="C142" s="11"/>
      <c r="D142" s="11" t="s">
        <v>78</v>
      </c>
      <c r="E142" s="51">
        <f t="shared" ref="E142:AB142" si="249">E84+E113</f>
        <v>11</v>
      </c>
      <c r="F142" s="51">
        <f t="shared" si="249"/>
        <v>13</v>
      </c>
      <c r="G142" s="51">
        <f t="shared" si="249"/>
        <v>12</v>
      </c>
      <c r="H142" s="51">
        <f t="shared" si="249"/>
        <v>15</v>
      </c>
      <c r="I142" s="51">
        <f t="shared" si="249"/>
        <v>13</v>
      </c>
      <c r="J142" s="51">
        <f t="shared" si="249"/>
        <v>13</v>
      </c>
      <c r="K142" s="51">
        <f t="shared" si="249"/>
        <v>16</v>
      </c>
      <c r="L142" s="51">
        <f t="shared" si="249"/>
        <v>14</v>
      </c>
      <c r="M142" s="51">
        <f t="shared" si="249"/>
        <v>14</v>
      </c>
      <c r="N142" s="51">
        <f t="shared" si="249"/>
        <v>12</v>
      </c>
      <c r="O142" s="51">
        <f t="shared" si="249"/>
        <v>14</v>
      </c>
      <c r="P142" s="51">
        <f t="shared" si="249"/>
        <v>10.01397685</v>
      </c>
      <c r="Q142" s="51">
        <f t="shared" si="249"/>
        <v>11.51465063</v>
      </c>
      <c r="R142" s="51">
        <f t="shared" si="249"/>
        <v>12.90797264</v>
      </c>
      <c r="S142" s="51">
        <f t="shared" si="249"/>
        <v>13.5592215</v>
      </c>
      <c r="T142" s="51">
        <f t="shared" si="249"/>
        <v>14.07109462</v>
      </c>
      <c r="U142" s="51">
        <f t="shared" si="249"/>
        <v>13.70744668</v>
      </c>
      <c r="V142" s="51">
        <f t="shared" si="249"/>
        <v>13.68359875</v>
      </c>
      <c r="W142" s="51">
        <f t="shared" si="249"/>
        <v>13.76187122</v>
      </c>
      <c r="X142" s="51">
        <f t="shared" si="249"/>
        <v>13.83424393</v>
      </c>
      <c r="Y142" s="51">
        <f t="shared" si="249"/>
        <v>14.10404341</v>
      </c>
      <c r="Z142" s="51">
        <f t="shared" si="249"/>
        <v>14.80706876</v>
      </c>
      <c r="AA142" s="51">
        <f t="shared" si="249"/>
        <v>15.00583465</v>
      </c>
      <c r="AB142" s="51">
        <f t="shared" si="249"/>
        <v>15.27652924</v>
      </c>
      <c r="AC142" s="11"/>
      <c r="AD142" s="11" t="str">
        <f t="shared" si="245"/>
        <v>Product Deals Closed</v>
      </c>
      <c r="AE142" s="21">
        <f t="shared" si="250"/>
        <v>50.01397685</v>
      </c>
      <c r="AF142" s="21">
        <f t="shared" si="251"/>
        <v>52.05293939</v>
      </c>
      <c r="AG142" s="21">
        <f t="shared" si="246"/>
        <v>2.038962545</v>
      </c>
      <c r="AH142" s="19">
        <f t="shared" si="247"/>
        <v>0.04076785477</v>
      </c>
      <c r="AI142" s="11"/>
      <c r="AJ142" s="11"/>
      <c r="AK142" s="11"/>
      <c r="AL142" s="20">
        <f t="shared" si="252"/>
        <v>51</v>
      </c>
      <c r="AM142" s="20">
        <f t="shared" si="253"/>
        <v>56</v>
      </c>
      <c r="AN142" s="20">
        <f t="shared" si="254"/>
        <v>50.01397685</v>
      </c>
      <c r="AO142" s="20">
        <f t="shared" si="255"/>
        <v>52.05293939</v>
      </c>
      <c r="AP142" s="20">
        <f t="shared" si="256"/>
        <v>54.98716058</v>
      </c>
      <c r="AQ142" s="20">
        <f t="shared" si="257"/>
        <v>59.19347606</v>
      </c>
      <c r="AR142" s="11"/>
      <c r="AS142" s="11"/>
      <c r="AT142" s="11"/>
      <c r="AU142" s="11"/>
      <c r="AV142" s="11"/>
      <c r="AW142" s="11"/>
      <c r="AX142" s="11"/>
      <c r="AY142" s="11"/>
      <c r="AZ142" s="11"/>
      <c r="BA142" s="11"/>
      <c r="BB142" s="11"/>
      <c r="BC142" s="11"/>
      <c r="BD142" s="11"/>
      <c r="BE142" s="11"/>
      <c r="BF142" s="11"/>
      <c r="BG142" s="11"/>
      <c r="BH142" s="11"/>
      <c r="BI142" s="11"/>
      <c r="BJ142" s="11"/>
      <c r="BK142" s="11"/>
    </row>
    <row r="143" ht="15.75" customHeight="1">
      <c r="A143" s="11"/>
      <c r="B143" s="11"/>
      <c r="C143" s="11"/>
      <c r="D143" s="11" t="s">
        <v>79</v>
      </c>
      <c r="E143" s="24" t="str">
        <f>IFERROR(__xludf.DUMMYFUNCTION("AVERAGE.WEIGHTED(E88,E87,E118,E117)"),"#VALUE!")</f>
        <v>#VALUE!</v>
      </c>
      <c r="F143" s="24" t="str">
        <f>IFERROR(__xludf.DUMMYFUNCTION("AVERAGE.WEIGHTED(F88,F87,F118,F117)"),"#VALUE!")</f>
        <v>#VALUE!</v>
      </c>
      <c r="G143" s="24" t="str">
        <f>IFERROR(__xludf.DUMMYFUNCTION("AVERAGE.WEIGHTED(G88,G87,G118,G117)"),"#VALUE!")</f>
        <v>#VALUE!</v>
      </c>
      <c r="H143" s="24" t="str">
        <f>IFERROR(__xludf.DUMMYFUNCTION("AVERAGE.WEIGHTED(H88,H87,H118,H117)"),"#VALUE!")</f>
        <v>#VALUE!</v>
      </c>
      <c r="I143" s="24" t="str">
        <f>IFERROR(__xludf.DUMMYFUNCTION("AVERAGE.WEIGHTED(I88,I87,I118,I117)"),"#VALUE!")</f>
        <v>#VALUE!</v>
      </c>
      <c r="J143" s="24" t="str">
        <f>IFERROR(__xludf.DUMMYFUNCTION("AVERAGE.WEIGHTED(J88,J87,J118,J117)"),"#VALUE!")</f>
        <v>#VALUE!</v>
      </c>
      <c r="K143" s="24" t="str">
        <f>IFERROR(__xludf.DUMMYFUNCTION("AVERAGE.WEIGHTED(K88,K87,K118,K117)"),"#VALUE!")</f>
        <v>#VALUE!</v>
      </c>
      <c r="L143" s="24" t="str">
        <f>IFERROR(__xludf.DUMMYFUNCTION("AVERAGE.WEIGHTED(L88,L87,L118,L117)"),"#VALUE!")</f>
        <v>#VALUE!</v>
      </c>
      <c r="M143" s="24" t="str">
        <f>IFERROR(__xludf.DUMMYFUNCTION("AVERAGE.WEIGHTED(M88,M87,M118,M117)"),"#VALUE!")</f>
        <v>#VALUE!</v>
      </c>
      <c r="N143" s="24" t="str">
        <f>IFERROR(__xludf.DUMMYFUNCTION("AVERAGE.WEIGHTED(N88,N87,N118,N117)"),"#VALUE!")</f>
        <v>#VALUE!</v>
      </c>
      <c r="O143" s="24" t="str">
        <f>IFERROR(__xludf.DUMMYFUNCTION("AVERAGE.WEIGHTED(O88,O87,O118,O117)"),"#VALUE!")</f>
        <v>#VALUE!</v>
      </c>
      <c r="P143" s="24" t="str">
        <f>IFERROR(__xludf.DUMMYFUNCTION("AVERAGE.WEIGHTED(P88,P87,P118,P117)"),"#VALUE!")</f>
        <v>#VALUE!</v>
      </c>
      <c r="Q143" s="24" t="str">
        <f>IFERROR(__xludf.DUMMYFUNCTION("AVERAGE.WEIGHTED(Q88,Q87,Q118,Q117)"),"#VALUE!")</f>
        <v>#VALUE!</v>
      </c>
      <c r="R143" s="24" t="str">
        <f>IFERROR(__xludf.DUMMYFUNCTION("AVERAGE.WEIGHTED(R88,R87,R118,R117)"),"#VALUE!")</f>
        <v>#VALUE!</v>
      </c>
      <c r="S143" s="24" t="str">
        <f>IFERROR(__xludf.DUMMYFUNCTION("AVERAGE.WEIGHTED(S88,S87,S118,S117)"),"#VALUE!")</f>
        <v>#VALUE!</v>
      </c>
      <c r="T143" s="24" t="str">
        <f>IFERROR(__xludf.DUMMYFUNCTION("AVERAGE.WEIGHTED(T88,T87,T118,T117)"),"#VALUE!")</f>
        <v>#VALUE!</v>
      </c>
      <c r="U143" s="24" t="str">
        <f>IFERROR(__xludf.DUMMYFUNCTION("AVERAGE.WEIGHTED(U88,U87,U118,U117)"),"#VALUE!")</f>
        <v>#VALUE!</v>
      </c>
      <c r="V143" s="24" t="str">
        <f>IFERROR(__xludf.DUMMYFUNCTION("AVERAGE.WEIGHTED(V88,V87,V118,V117)"),"#VALUE!")</f>
        <v>#VALUE!</v>
      </c>
      <c r="W143" s="24" t="str">
        <f>IFERROR(__xludf.DUMMYFUNCTION("AVERAGE.WEIGHTED(W88,W87,W118,W117)"),"#VALUE!")</f>
        <v>#VALUE!</v>
      </c>
      <c r="X143" s="24" t="str">
        <f>IFERROR(__xludf.DUMMYFUNCTION("AVERAGE.WEIGHTED(X88,X87,X118,X117)"),"#VALUE!")</f>
        <v>#VALUE!</v>
      </c>
      <c r="Y143" s="24" t="str">
        <f>IFERROR(__xludf.DUMMYFUNCTION("AVERAGE.WEIGHTED(Y88,Y87,Y118,Y117)"),"#VALUE!")</f>
        <v>#VALUE!</v>
      </c>
      <c r="Z143" s="24" t="str">
        <f>IFERROR(__xludf.DUMMYFUNCTION("AVERAGE.WEIGHTED(Z88,Z87,Z118,Z117)"),"#VALUE!")</f>
        <v>#VALUE!</v>
      </c>
      <c r="AA143" s="24" t="str">
        <f>IFERROR(__xludf.DUMMYFUNCTION("AVERAGE.WEIGHTED(AA88,AA87,AA118,AA117)"),"#VALUE!")</f>
        <v>#VALUE!</v>
      </c>
      <c r="AB143" s="24" t="str">
        <f>IFERROR(__xludf.DUMMYFUNCTION("AVERAGE.WEIGHTED(AB88,AB87,AB118,AB117)"),"#VALUE!")</f>
        <v>#VALUE!</v>
      </c>
      <c r="AC143" s="11"/>
      <c r="AD143" s="11" t="str">
        <f t="shared" si="245"/>
        <v>New Client AOV</v>
      </c>
      <c r="AE143" s="12" t="str">
        <f>IFERROR(__xludf.DUMMYFUNCTION("AVERAGE.WEIGHTED(M148:P148,M147:P147)"),"#DIV/0!")</f>
        <v>#DIV/0!</v>
      </c>
      <c r="AF143" s="12" t="str">
        <f>IFERROR(__xludf.DUMMYFUNCTION("AVERAGE.WEIGHTED(Q148:T148,Q147:T147)"),"#DIV/0!")</f>
        <v>#DIV/0!</v>
      </c>
      <c r="AG143" s="12" t="str">
        <f t="shared" si="246"/>
        <v>#DIV/0!</v>
      </c>
      <c r="AH143" s="19" t="str">
        <f t="shared" si="247"/>
        <v>#DIV/0!</v>
      </c>
      <c r="AI143" s="11"/>
      <c r="AJ143" s="11"/>
      <c r="AK143" s="11"/>
      <c r="AL143" s="24" t="str">
        <f t="shared" ref="AL143:AL145" si="258">AVERAGE(E143:H143)</f>
        <v>#VALUE!</v>
      </c>
      <c r="AM143" s="24" t="str">
        <f t="shared" ref="AM143:AM145" si="259">AVERAGE(I143:L143)</f>
        <v>#VALUE!</v>
      </c>
      <c r="AN143" s="24" t="str">
        <f t="shared" ref="AN143:AN145" si="260">AVERAGE(M143:P143)</f>
        <v>#VALUE!</v>
      </c>
      <c r="AO143" s="24" t="str">
        <f t="shared" ref="AO143:AO145" si="261">AVERAGE(Q143:T143)</f>
        <v>#VALUE!</v>
      </c>
      <c r="AP143" s="24" t="str">
        <f t="shared" ref="AP143:AP145" si="262">AVERAGE(U143:X143)</f>
        <v>#VALUE!</v>
      </c>
      <c r="AQ143" s="24" t="str">
        <f t="shared" ref="AQ143:AQ145" si="263">AVERAGE(Y143:AB143)</f>
        <v>#VALUE!</v>
      </c>
      <c r="AR143" s="11"/>
      <c r="AS143" s="11"/>
      <c r="AT143" s="11"/>
      <c r="AU143" s="11"/>
      <c r="AV143" s="11"/>
      <c r="AW143" s="11"/>
      <c r="AX143" s="11"/>
      <c r="AY143" s="11"/>
      <c r="AZ143" s="11"/>
      <c r="BA143" s="11"/>
      <c r="BB143" s="11"/>
      <c r="BC143" s="11"/>
      <c r="BD143" s="11"/>
      <c r="BE143" s="11"/>
      <c r="BF143" s="11"/>
      <c r="BG143" s="11"/>
      <c r="BH143" s="11"/>
      <c r="BI143" s="11"/>
      <c r="BJ143" s="11"/>
      <c r="BK143" s="11"/>
    </row>
    <row r="144" ht="15.75" customHeight="1">
      <c r="A144" s="11"/>
      <c r="B144" s="11"/>
      <c r="C144" s="11"/>
      <c r="D144" s="11" t="s">
        <v>81</v>
      </c>
      <c r="E144" s="44">
        <f>1--SUM(Retention!O123)/AVERAGE(Retention!O86)</f>
        <v>0.9999960957</v>
      </c>
      <c r="F144" s="44">
        <f>1--SUM(Retention!P123)/AVERAGE(Retention!P86)</f>
        <v>0.9999956308</v>
      </c>
      <c r="G144" s="44">
        <f>1--(SUM(Retention!Q79:Q80)/SUM(Retention!P42:P43))</f>
        <v>0.9335928366</v>
      </c>
      <c r="H144" s="44">
        <f>1--(SUM(Retention!R79:R80)/SUM(Retention!Q42:Q43))</f>
        <v>0.9522610881</v>
      </c>
      <c r="I144" s="44">
        <f>1--(SUM(Retention!S79:S80)/SUM(Retention!R42:R43))</f>
        <v>0.9826743761</v>
      </c>
      <c r="J144" s="44">
        <f>1--(SUM(Retention!T79:T80)/SUM(Retention!S42:S43))</f>
        <v>0.9543246967</v>
      </c>
      <c r="K144" s="44">
        <f>1--(SUM(Retention!U79:U80)/SUM(Retention!T42:T43))</f>
        <v>0.9441340489</v>
      </c>
      <c r="L144" s="44">
        <f>1--(SUM(Retention!V79:V80)/SUM(Retention!U42:U43))</f>
        <v>0.9520934963</v>
      </c>
      <c r="M144" s="44">
        <f>1--(SUM(Retention!W79:W80)/SUM(Retention!V42:V43))</f>
        <v>0.9827403535</v>
      </c>
      <c r="N144" s="44">
        <f>1--(SUM(Retention!X79:X80)/SUM(Retention!W42:W43))</f>
        <v>0.9462680786</v>
      </c>
      <c r="O144" s="44">
        <f>1--(SUM(Retention!Y79:Y80)/SUM(Retention!X42:X43))</f>
        <v>0.9811831509</v>
      </c>
      <c r="P144" s="44">
        <f>1--(SUM(Retention!Z79:Z80)/SUM(Retention!Y42:Y43))</f>
        <v>0.8819499518</v>
      </c>
      <c r="Q144" s="44">
        <f>1--(SUM(Retention!AA79:AA80)/SUM(Retention!Z42:Z43))</f>
        <v>0.8787803843</v>
      </c>
      <c r="R144" s="44">
        <f>1--(SUM(Retention!AB79:AB80)/SUM(Retention!AA42:AA43))</f>
        <v>0.8776989429</v>
      </c>
      <c r="S144" s="44">
        <f>1--(SUM(Retention!AC79:AC80)/SUM(Retention!AB42:AB43))</f>
        <v>0.8791804002</v>
      </c>
      <c r="T144" s="44">
        <f>1--(SUM(Retention!AD79:AD80)/SUM(Retention!AC42:AC43))</f>
        <v>0.8825588976</v>
      </c>
      <c r="U144" s="44">
        <f>1--(SUM(Retention!AE79:AE80)/SUM(Retention!AD42:AD43))</f>
        <v>0.8904941732</v>
      </c>
      <c r="V144" s="44">
        <f>1--(SUM(Retention!AF79:AF80)/SUM(Retention!AE42:AE43))</f>
        <v>0.8926816555</v>
      </c>
      <c r="W144" s="44">
        <f>1--(SUM(Retention!AG79:AG80)/SUM(Retention!AF42:AF43))</f>
        <v>0.9027287049</v>
      </c>
      <c r="X144" s="44">
        <f>1--(SUM(Retention!AH79:AH80)/SUM(Retention!AG42:AG43))</f>
        <v>0.9035858372</v>
      </c>
      <c r="Y144" s="44">
        <f>1--(SUM(Retention!AI79:AI80)/SUM(Retention!AH42:AH43))</f>
        <v>0.903228564</v>
      </c>
      <c r="Z144" s="44">
        <f>1--(SUM(Retention!AJ79:AJ80)/SUM(Retention!AI42:AI43))</f>
        <v>0.9092675091</v>
      </c>
      <c r="AA144" s="44">
        <f>1--(SUM(Retention!AK79:AK80)/SUM(Retention!AJ42:AJ43))</f>
        <v>0.9114530965</v>
      </c>
      <c r="AB144" s="44">
        <f>1--(SUM(Retention!AL79:AL80)/SUM(Retention!AK42:AK43))</f>
        <v>0.9127335102</v>
      </c>
      <c r="AC144" s="11"/>
      <c r="AD144" s="11" t="s">
        <v>81</v>
      </c>
      <c r="AE144" s="44">
        <f>P144</f>
        <v>0.8819499518</v>
      </c>
      <c r="AF144" s="44">
        <f>T144</f>
        <v>0.8825588976</v>
      </c>
      <c r="AG144" s="45">
        <f t="shared" si="246"/>
        <v>0.0006089458503</v>
      </c>
      <c r="AH144" s="44">
        <f t="shared" si="247"/>
        <v>0.0006904539754</v>
      </c>
      <c r="AI144" s="11"/>
      <c r="AJ144" s="11"/>
      <c r="AK144" s="11"/>
      <c r="AL144" s="19">
        <f t="shared" si="258"/>
        <v>0.9714614128</v>
      </c>
      <c r="AM144" s="19">
        <f t="shared" si="259"/>
        <v>0.9583066545</v>
      </c>
      <c r="AN144" s="19">
        <f t="shared" si="260"/>
        <v>0.9480353837</v>
      </c>
      <c r="AO144" s="19">
        <f t="shared" si="261"/>
        <v>0.8795546562</v>
      </c>
      <c r="AP144" s="19">
        <f t="shared" si="262"/>
        <v>0.8973725927</v>
      </c>
      <c r="AQ144" s="19">
        <f t="shared" si="263"/>
        <v>0.90917067</v>
      </c>
      <c r="AR144" s="11"/>
      <c r="AS144" s="11"/>
      <c r="AT144" s="11"/>
      <c r="AU144" s="11"/>
      <c r="AV144" s="11"/>
      <c r="AW144" s="11"/>
      <c r="AX144" s="11"/>
      <c r="AY144" s="11"/>
      <c r="AZ144" s="11"/>
      <c r="BA144" s="11"/>
      <c r="BB144" s="11"/>
      <c r="BC144" s="11"/>
      <c r="BD144" s="11"/>
      <c r="BE144" s="11"/>
      <c r="BF144" s="11"/>
      <c r="BG144" s="11"/>
      <c r="BH144" s="11"/>
      <c r="BI144" s="11"/>
      <c r="BJ144" s="11"/>
      <c r="BK144" s="11"/>
    </row>
    <row r="145" ht="15.75" customHeight="1">
      <c r="A145" s="11"/>
      <c r="B145" s="11"/>
      <c r="C145" s="11"/>
      <c r="D145" s="33" t="s">
        <v>83</v>
      </c>
      <c r="E145" s="46" t="str">
        <f>IFERROR(__xludf.DUMMYFUNCTION("AVERAGE.WEIGHTED(E120,E117,E90,E87)"),"#VALUE!")</f>
        <v>#VALUE!</v>
      </c>
      <c r="F145" s="46" t="str">
        <f>IFERROR(__xludf.DUMMYFUNCTION("AVERAGE.WEIGHTED(F120,F117,F90,F87)"),"#VALUE!")</f>
        <v>#VALUE!</v>
      </c>
      <c r="G145" s="46" t="str">
        <f>IFERROR(__xludf.DUMMYFUNCTION("AVERAGE.WEIGHTED(G120,G117,G90,G87)"),"#VALUE!")</f>
        <v>#VALUE!</v>
      </c>
      <c r="H145" s="46" t="str">
        <f>IFERROR(__xludf.DUMMYFUNCTION("AVERAGE.WEIGHTED(H120,H117,H90,H87)"),"#VALUE!")</f>
        <v>#VALUE!</v>
      </c>
      <c r="I145" s="46" t="str">
        <f>IFERROR(__xludf.DUMMYFUNCTION("AVERAGE.WEIGHTED(I120,I117,I90,I87)"),"#VALUE!")</f>
        <v>#VALUE!</v>
      </c>
      <c r="J145" s="46" t="str">
        <f>IFERROR(__xludf.DUMMYFUNCTION("AVERAGE.WEIGHTED(J120,J117,J90,J87)"),"#VALUE!")</f>
        <v>#VALUE!</v>
      </c>
      <c r="K145" s="46" t="str">
        <f>IFERROR(__xludf.DUMMYFUNCTION("AVERAGE.WEIGHTED(K120,K117,K90,K87)"),"#VALUE!")</f>
        <v>#VALUE!</v>
      </c>
      <c r="L145" s="46" t="str">
        <f>IFERROR(__xludf.DUMMYFUNCTION("AVERAGE.WEIGHTED(L120,L117,L90,L87)"),"#VALUE!")</f>
        <v>#VALUE!</v>
      </c>
      <c r="M145" s="46">
        <f>IFERROR(__xludf.DUMMYFUNCTION("AVERAGE.WEIGHTED(M120,M117,M90,M87)"),0.0)</f>
        <v>0</v>
      </c>
      <c r="N145" s="46">
        <f>IFERROR(__xludf.DUMMYFUNCTION("AVERAGE.WEIGHTED(N120,N117,N90,N87)"),0.0)</f>
        <v>0</v>
      </c>
      <c r="O145" s="46">
        <f>IFERROR(__xludf.DUMMYFUNCTION("AVERAGE.WEIGHTED(O120,O117,O90,O87)"),0.0)</f>
        <v>0</v>
      </c>
      <c r="P145" s="46">
        <f>IFERROR(__xludf.DUMMYFUNCTION("AVERAGE.WEIGHTED(P120,P117,P90,P87)"),0.0)</f>
        <v>0</v>
      </c>
      <c r="Q145" s="46">
        <f>IFERROR(__xludf.DUMMYFUNCTION("AVERAGE.WEIGHTED(Q120,Q117,Q90,Q87)"),0.0)</f>
        <v>0</v>
      </c>
      <c r="R145" s="46">
        <f>IFERROR(__xludf.DUMMYFUNCTION("AVERAGE.WEIGHTED(R120,R117,R90,R87)"),0.0)</f>
        <v>0</v>
      </c>
      <c r="S145" s="46">
        <f>IFERROR(__xludf.DUMMYFUNCTION("AVERAGE.WEIGHTED(S120,S117,S90,S87)"),0.0)</f>
        <v>0</v>
      </c>
      <c r="T145" s="46">
        <f>IFERROR(__xludf.DUMMYFUNCTION("AVERAGE.WEIGHTED(T120,T117,T90,T87)"),-5.820766091346741E-11)</f>
        <v>0</v>
      </c>
      <c r="U145" s="46" t="str">
        <f>IFERROR(__xludf.DUMMYFUNCTION("AVERAGE.WEIGHTED(U120,U117,U90,U87)"),"#VALUE!")</f>
        <v>#VALUE!</v>
      </c>
      <c r="V145" s="46" t="str">
        <f>IFERROR(__xludf.DUMMYFUNCTION("AVERAGE.WEIGHTED(V120,V117,V90,V87)"),"#VALUE!")</f>
        <v>#VALUE!</v>
      </c>
      <c r="W145" s="46" t="str">
        <f>IFERROR(__xludf.DUMMYFUNCTION("AVERAGE.WEIGHTED(W120,W117,W90,W87)"),"#VALUE!")</f>
        <v>#VALUE!</v>
      </c>
      <c r="X145" s="46" t="str">
        <f>IFERROR(__xludf.DUMMYFUNCTION("AVERAGE.WEIGHTED(X120,X117,X90,X87)"),"#VALUE!")</f>
        <v>#VALUE!</v>
      </c>
      <c r="Y145" s="46" t="str">
        <f>IFERROR(__xludf.DUMMYFUNCTION("AVERAGE.WEIGHTED(Y120,Y117,Y90,Y87)"),"#VALUE!")</f>
        <v>#VALUE!</v>
      </c>
      <c r="Z145" s="46" t="str">
        <f>IFERROR(__xludf.DUMMYFUNCTION("AVERAGE.WEIGHTED(Z120,Z117,Z90,Z87)"),"#VALUE!")</f>
        <v>#VALUE!</v>
      </c>
      <c r="AA145" s="46" t="str">
        <f>IFERROR(__xludf.DUMMYFUNCTION("AVERAGE.WEIGHTED(AA120,AA117,AA90,AA87)"),"#VALUE!")</f>
        <v>#VALUE!</v>
      </c>
      <c r="AB145" s="46" t="str">
        <f>IFERROR(__xludf.DUMMYFUNCTION("AVERAGE.WEIGHTED(AB120,AB117,AB90,AB87)"),"#VALUE!")</f>
        <v>#VALUE!</v>
      </c>
      <c r="AC145" s="11"/>
      <c r="AD145" s="33" t="str">
        <f>D145</f>
        <v>New Client LTV</v>
      </c>
      <c r="AE145" s="35" t="str">
        <f t="shared" ref="AE145:AF145" si="264">((AE143/3)*AE137)/(1-AE144)</f>
        <v>#DIV/0!</v>
      </c>
      <c r="AF145" s="35" t="str">
        <f t="shared" si="264"/>
        <v>#DIV/0!</v>
      </c>
      <c r="AG145" s="47" t="str">
        <f t="shared" si="246"/>
        <v>#DIV/0!</v>
      </c>
      <c r="AH145" s="48" t="str">
        <f t="shared" si="247"/>
        <v>#DIV/0!</v>
      </c>
      <c r="AI145" s="11"/>
      <c r="AJ145" s="11"/>
      <c r="AK145" s="11"/>
      <c r="AL145" s="35" t="str">
        <f t="shared" si="258"/>
        <v>#VALUE!</v>
      </c>
      <c r="AM145" s="35" t="str">
        <f t="shared" si="259"/>
        <v>#VALUE!</v>
      </c>
      <c r="AN145" s="35">
        <f t="shared" si="260"/>
        <v>0</v>
      </c>
      <c r="AO145" s="35">
        <f t="shared" si="261"/>
        <v>0</v>
      </c>
      <c r="AP145" s="35" t="str">
        <f t="shared" si="262"/>
        <v>#VALUE!</v>
      </c>
      <c r="AQ145" s="35" t="str">
        <f t="shared" si="263"/>
        <v>#VALUE!</v>
      </c>
      <c r="AR145" s="11"/>
      <c r="AS145" s="11"/>
      <c r="AT145" s="11"/>
      <c r="AU145" s="11"/>
      <c r="AV145" s="11"/>
      <c r="AW145" s="11"/>
      <c r="AX145" s="11"/>
      <c r="AY145" s="11"/>
      <c r="AZ145" s="11"/>
      <c r="BA145" s="11"/>
      <c r="BB145" s="11"/>
      <c r="BC145" s="11"/>
      <c r="BD145" s="11"/>
      <c r="BE145" s="11"/>
      <c r="BF145" s="11"/>
      <c r="BG145" s="11"/>
      <c r="BH145" s="11"/>
      <c r="BI145" s="11"/>
      <c r="BJ145" s="11"/>
      <c r="BK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2"/>
      <c r="AH146" s="19"/>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2"/>
      <c r="AH147" s="19"/>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2"/>
      <c r="AH148" s="19"/>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2"/>
      <c r="AH149" s="19"/>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row>
    <row r="150" ht="15.75" customHeight="1">
      <c r="A150" s="11"/>
      <c r="B150" s="11"/>
      <c r="C150" s="11"/>
      <c r="D150" s="11"/>
      <c r="E150" s="11"/>
      <c r="F150" s="11"/>
      <c r="G150" s="11"/>
      <c r="H150" s="11"/>
      <c r="I150" s="11"/>
      <c r="J150" s="11"/>
      <c r="K150" s="11"/>
      <c r="L150" s="11"/>
      <c r="M150" s="11" t="s">
        <v>93</v>
      </c>
      <c r="N150" s="11"/>
      <c r="O150" s="11"/>
      <c r="P150" s="11"/>
      <c r="Q150" s="11"/>
      <c r="R150" s="11"/>
      <c r="S150" s="11"/>
      <c r="T150" s="11"/>
      <c r="U150" s="11"/>
      <c r="V150" s="11"/>
      <c r="W150" s="11"/>
      <c r="X150" s="11"/>
      <c r="Y150" s="11"/>
      <c r="Z150" s="11"/>
      <c r="AA150" s="11"/>
      <c r="AB150" s="11"/>
      <c r="AC150" s="11"/>
      <c r="AD150" s="11"/>
      <c r="AE150" s="11"/>
      <c r="AF150" s="11"/>
      <c r="AG150" s="12"/>
      <c r="AH150" s="19"/>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row>
    <row r="151" ht="15.75" customHeight="1">
      <c r="A151" s="11"/>
      <c r="B151" s="13" t="s">
        <v>94</v>
      </c>
      <c r="C151" s="11"/>
      <c r="D151" s="11"/>
      <c r="E151" s="14">
        <v>44562.0</v>
      </c>
      <c r="F151" s="14">
        <v>44593.0</v>
      </c>
      <c r="G151" s="14">
        <v>44621.0</v>
      </c>
      <c r="H151" s="14">
        <v>44652.0</v>
      </c>
      <c r="I151" s="14">
        <v>44682.0</v>
      </c>
      <c r="J151" s="14">
        <v>44713.0</v>
      </c>
      <c r="K151" s="14">
        <v>44743.0</v>
      </c>
      <c r="L151" s="14">
        <v>44774.0</v>
      </c>
      <c r="M151" s="14">
        <v>44805.0</v>
      </c>
      <c r="N151" s="14">
        <v>44835.0</v>
      </c>
      <c r="O151" s="14">
        <v>44866.0</v>
      </c>
      <c r="P151" s="14">
        <v>44896.0</v>
      </c>
      <c r="Q151" s="15">
        <v>44927.0</v>
      </c>
      <c r="R151" s="15">
        <v>44958.0</v>
      </c>
      <c r="S151" s="15">
        <v>44986.0</v>
      </c>
      <c r="T151" s="15">
        <v>45017.0</v>
      </c>
      <c r="U151" s="15">
        <v>45047.0</v>
      </c>
      <c r="V151" s="15">
        <v>45078.0</v>
      </c>
      <c r="W151" s="15">
        <v>45108.0</v>
      </c>
      <c r="X151" s="15">
        <v>45139.0</v>
      </c>
      <c r="Y151" s="15">
        <v>45170.0</v>
      </c>
      <c r="Z151" s="15">
        <v>45200.0</v>
      </c>
      <c r="AA151" s="15">
        <v>45231.0</v>
      </c>
      <c r="AB151" s="15">
        <v>45261.0</v>
      </c>
      <c r="AC151" s="11"/>
      <c r="AD151" s="11"/>
      <c r="AE151" s="16" t="s">
        <v>48</v>
      </c>
      <c r="AF151" s="17" t="s">
        <v>49</v>
      </c>
      <c r="AG151" s="18" t="s">
        <v>50</v>
      </c>
      <c r="AH151" s="49" t="s">
        <v>51</v>
      </c>
      <c r="AI151" s="11"/>
      <c r="AJ151" s="11"/>
      <c r="AK151" s="11"/>
      <c r="AL151" s="16" t="s">
        <v>52</v>
      </c>
      <c r="AM151" s="16" t="s">
        <v>53</v>
      </c>
      <c r="AN151" s="16" t="s">
        <v>48</v>
      </c>
      <c r="AO151" s="17" t="s">
        <v>49</v>
      </c>
      <c r="AP151" s="17" t="s">
        <v>54</v>
      </c>
      <c r="AQ151" s="17" t="s">
        <v>55</v>
      </c>
      <c r="AR151" s="11"/>
      <c r="AS151" s="11"/>
      <c r="AT151" s="11"/>
      <c r="AU151" s="11"/>
      <c r="AV151" s="11"/>
      <c r="AW151" s="11"/>
      <c r="AX151" s="11"/>
      <c r="AY151" s="11"/>
      <c r="AZ151" s="11"/>
      <c r="BA151" s="11"/>
      <c r="BB151" s="11"/>
      <c r="BC151" s="11"/>
      <c r="BD151" s="11"/>
      <c r="BE151" s="11"/>
      <c r="BF151" s="11"/>
      <c r="BG151" s="11"/>
      <c r="BH151" s="11"/>
      <c r="BI151" s="11"/>
      <c r="BJ151" s="11"/>
      <c r="BK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2"/>
      <c r="AH152" s="19"/>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row>
    <row r="153" ht="15.75" customHeight="1">
      <c r="A153" s="11"/>
      <c r="B153" s="11"/>
      <c r="C153" s="11"/>
      <c r="D153" s="11" t="s">
        <v>56</v>
      </c>
      <c r="E153" s="12">
        <f>Revenue!O143</f>
        <v>159476</v>
      </c>
      <c r="F153" s="12">
        <f>Revenue!P143</f>
        <v>137941</v>
      </c>
      <c r="G153" s="12">
        <f>Revenue!Q143</f>
        <v>187531</v>
      </c>
      <c r="H153" s="12">
        <f>Revenue!R143</f>
        <v>218267</v>
      </c>
      <c r="I153" s="12">
        <f>Revenue!S143</f>
        <v>194947</v>
      </c>
      <c r="J153" s="12">
        <f>Revenue!T143</f>
        <v>147623</v>
      </c>
      <c r="K153" s="12">
        <f>Revenue!U143</f>
        <v>164585</v>
      </c>
      <c r="L153" s="12">
        <f>Revenue!V143</f>
        <v>230501</v>
      </c>
      <c r="M153" s="12">
        <f>Revenue!W143</f>
        <v>221862</v>
      </c>
      <c r="N153" s="12">
        <f>Revenue!X143</f>
        <v>203650</v>
      </c>
      <c r="O153" s="12">
        <f>Revenue!Y143</f>
        <v>196694</v>
      </c>
      <c r="P153" s="12">
        <f>Revenue!Z143</f>
        <v>196694</v>
      </c>
      <c r="Q153" s="12">
        <f>Revenue!AA143</f>
        <v>198194</v>
      </c>
      <c r="R153" s="12">
        <f>Revenue!AB143</f>
        <v>199694</v>
      </c>
      <c r="S153" s="12">
        <f>Revenue!AC143</f>
        <v>201194</v>
      </c>
      <c r="T153" s="12">
        <f>Revenue!AD143</f>
        <v>202694</v>
      </c>
      <c r="U153" s="12">
        <f>Revenue!AE143</f>
        <v>204194</v>
      </c>
      <c r="V153" s="12">
        <f>Revenue!AF143</f>
        <v>205694</v>
      </c>
      <c r="W153" s="12">
        <f>Revenue!AG143</f>
        <v>207194</v>
      </c>
      <c r="X153" s="12">
        <f>Revenue!AH143</f>
        <v>208694</v>
      </c>
      <c r="Y153" s="12">
        <f>Revenue!AI143</f>
        <v>210194</v>
      </c>
      <c r="Z153" s="12">
        <f>Revenue!AJ143</f>
        <v>211694</v>
      </c>
      <c r="AA153" s="12">
        <f>Revenue!AK143</f>
        <v>213194</v>
      </c>
      <c r="AB153" s="12">
        <f>Revenue!AL143</f>
        <v>214694</v>
      </c>
      <c r="AC153" s="12"/>
      <c r="AD153" s="12" t="str">
        <f t="shared" ref="AD153:AD156" si="265">D153</f>
        <v>Recurring</v>
      </c>
      <c r="AE153" s="12">
        <f t="shared" ref="AE153:AE155" si="266">SUM(M153:P153)</f>
        <v>818900</v>
      </c>
      <c r="AF153" s="12">
        <f t="shared" ref="AF153:AF155" si="267">SUM(Q153:T153)</f>
        <v>801776</v>
      </c>
      <c r="AG153" s="12">
        <f t="shared" ref="AG153:AG156" si="268">AF153-AE153</f>
        <v>-17124</v>
      </c>
      <c r="AH153" s="19">
        <f t="shared" ref="AH153:AH155" si="269">AF153/AE153-1</f>
        <v>-0.02091097814</v>
      </c>
      <c r="AI153" s="11"/>
      <c r="AJ153" s="11"/>
      <c r="AK153" s="11"/>
      <c r="AL153" s="12">
        <f t="shared" ref="AL153:AL157" si="270">SUM(E153:H153)</f>
        <v>703215</v>
      </c>
      <c r="AM153" s="12">
        <f t="shared" ref="AM153:AM155" si="271">SUM(I153:L153)</f>
        <v>737656</v>
      </c>
      <c r="AN153" s="12">
        <f t="shared" ref="AN153:AN155" si="272">SUM(M153:P153)</f>
        <v>818900</v>
      </c>
      <c r="AO153" s="12">
        <f t="shared" ref="AO153:AO155" si="273">SUM(Q153:T153)</f>
        <v>801776</v>
      </c>
      <c r="AP153" s="12">
        <f t="shared" ref="AP153:AP155" si="274">SUM(U153:X153)</f>
        <v>825776</v>
      </c>
      <c r="AQ153" s="12">
        <f t="shared" ref="AQ153:AQ155" si="275">SUM(Y153:AB153)</f>
        <v>849776</v>
      </c>
      <c r="AR153" s="11"/>
      <c r="AS153" s="11"/>
      <c r="AT153" s="11"/>
      <c r="AU153" s="11"/>
      <c r="AV153" s="11"/>
      <c r="AW153" s="11"/>
      <c r="AX153" s="11"/>
      <c r="AY153" s="11"/>
      <c r="AZ153" s="11"/>
      <c r="BA153" s="11"/>
      <c r="BB153" s="11"/>
      <c r="BC153" s="11"/>
      <c r="BD153" s="11"/>
      <c r="BE153" s="11"/>
      <c r="BF153" s="11"/>
      <c r="BG153" s="11"/>
      <c r="BH153" s="11"/>
      <c r="BI153" s="11"/>
      <c r="BJ153" s="11"/>
      <c r="BK153" s="11"/>
    </row>
    <row r="154" ht="15.75" customHeight="1">
      <c r="A154" s="11"/>
      <c r="B154" s="11"/>
      <c r="C154" s="11"/>
      <c r="D154" s="11" t="s">
        <v>57</v>
      </c>
      <c r="E154" s="12">
        <f>Revenue!O148</f>
        <v>23676</v>
      </c>
      <c r="F154" s="12">
        <f>Revenue!P148</f>
        <v>26413</v>
      </c>
      <c r="G154" s="12">
        <f>Revenue!Q148</f>
        <v>32776</v>
      </c>
      <c r="H154" s="12">
        <f>Revenue!R148</f>
        <v>21590</v>
      </c>
      <c r="I154" s="12">
        <f>Revenue!S148</f>
        <v>33814</v>
      </c>
      <c r="J154" s="12">
        <f>Revenue!T148</f>
        <v>34386</v>
      </c>
      <c r="K154" s="12">
        <f>Revenue!U148</f>
        <v>22249</v>
      </c>
      <c r="L154" s="12">
        <f>Revenue!V148</f>
        <v>34970</v>
      </c>
      <c r="M154" s="12">
        <f>Revenue!W148</f>
        <v>34511</v>
      </c>
      <c r="N154" s="12">
        <f>Revenue!X148</f>
        <v>25370</v>
      </c>
      <c r="O154" s="12">
        <f>Revenue!Y148</f>
        <v>25892</v>
      </c>
      <c r="P154" s="12">
        <f>Revenue!Z148</f>
        <v>40594.26026</v>
      </c>
      <c r="Q154" s="12">
        <f>Revenue!AA148</f>
        <v>55988.82155</v>
      </c>
      <c r="R154" s="12">
        <f>Revenue!AB148</f>
        <v>69546.66694</v>
      </c>
      <c r="S154" s="12">
        <f>Revenue!AC148</f>
        <v>81073.6617</v>
      </c>
      <c r="T154" s="12">
        <f>Revenue!AD148</f>
        <v>91209.03892</v>
      </c>
      <c r="U154" s="12">
        <f>Revenue!AE148</f>
        <v>95852.45893</v>
      </c>
      <c r="V154" s="12">
        <f>Revenue!AF148</f>
        <v>99857.83476</v>
      </c>
      <c r="W154" s="12">
        <f>Revenue!AG148</f>
        <v>101806.5918</v>
      </c>
      <c r="X154" s="12">
        <f>Revenue!AH148</f>
        <v>103289.1866</v>
      </c>
      <c r="Y154" s="12">
        <f>Revenue!AI148</f>
        <v>105714.0636</v>
      </c>
      <c r="Z154" s="12">
        <f>Revenue!AJ148</f>
        <v>108821.9767</v>
      </c>
      <c r="AA154" s="12">
        <f>Revenue!AK148</f>
        <v>111347.4248</v>
      </c>
      <c r="AB154" s="12">
        <f>Revenue!AL148</f>
        <v>113523.4857</v>
      </c>
      <c r="AC154" s="20"/>
      <c r="AD154" s="11" t="str">
        <f t="shared" si="265"/>
        <v>Project</v>
      </c>
      <c r="AE154" s="20">
        <f t="shared" si="266"/>
        <v>126367.2603</v>
      </c>
      <c r="AF154" s="21">
        <f t="shared" si="267"/>
        <v>297818.1891</v>
      </c>
      <c r="AG154" s="21">
        <f t="shared" si="268"/>
        <v>171450.9289</v>
      </c>
      <c r="AH154" s="19">
        <f t="shared" si="269"/>
        <v>1.356767002</v>
      </c>
      <c r="AI154" s="11"/>
      <c r="AJ154" s="11"/>
      <c r="AK154" s="11"/>
      <c r="AL154" s="20">
        <f t="shared" si="270"/>
        <v>104455</v>
      </c>
      <c r="AM154" s="21">
        <f t="shared" si="271"/>
        <v>125419</v>
      </c>
      <c r="AN154" s="20">
        <f t="shared" si="272"/>
        <v>126367.2603</v>
      </c>
      <c r="AO154" s="20">
        <f t="shared" si="273"/>
        <v>297818.1891</v>
      </c>
      <c r="AP154" s="21">
        <f t="shared" si="274"/>
        <v>400806.0721</v>
      </c>
      <c r="AQ154" s="20">
        <f t="shared" si="275"/>
        <v>439406.9508</v>
      </c>
      <c r="AR154" s="11"/>
      <c r="AS154" s="11"/>
      <c r="AT154" s="11"/>
      <c r="AU154" s="11"/>
      <c r="AV154" s="11"/>
      <c r="AW154" s="11"/>
      <c r="AX154" s="11"/>
      <c r="AY154" s="11"/>
      <c r="AZ154" s="11"/>
      <c r="BA154" s="11"/>
      <c r="BB154" s="11"/>
      <c r="BC154" s="11"/>
      <c r="BD154" s="11"/>
      <c r="BE154" s="11"/>
      <c r="BF154" s="11"/>
      <c r="BG154" s="11"/>
      <c r="BH154" s="11"/>
      <c r="BI154" s="11"/>
      <c r="BJ154" s="11"/>
      <c r="BK154" s="11"/>
    </row>
    <row r="155" ht="15.75" customHeight="1">
      <c r="A155" s="11"/>
      <c r="B155" s="11"/>
      <c r="C155" s="11"/>
      <c r="D155" s="22" t="str">
        <f>CONCATENATE(B151," Revenue")</f>
        <v>Rev Ops Revenue</v>
      </c>
      <c r="E155" s="23">
        <f>'Ops Departments'!P170</f>
        <v>183152</v>
      </c>
      <c r="F155" s="23">
        <f>'Ops Departments'!Q170</f>
        <v>164354</v>
      </c>
      <c r="G155" s="23">
        <f>'Ops Departments'!R170</f>
        <v>220307</v>
      </c>
      <c r="H155" s="23">
        <f>'Ops Departments'!S170</f>
        <v>239857</v>
      </c>
      <c r="I155" s="23">
        <f>'Ops Departments'!T170</f>
        <v>228761</v>
      </c>
      <c r="J155" s="23">
        <f>'Ops Departments'!U170</f>
        <v>182009</v>
      </c>
      <c r="K155" s="23">
        <f>'Ops Departments'!V170</f>
        <v>186834</v>
      </c>
      <c r="L155" s="23">
        <f>'Ops Departments'!W170</f>
        <v>132167</v>
      </c>
      <c r="M155" s="23">
        <f>'Ops Departments'!X170</f>
        <v>137376</v>
      </c>
      <c r="N155" s="23">
        <f>'Ops Departments'!Y170</f>
        <v>229020</v>
      </c>
      <c r="O155" s="23">
        <f>'Ops Departments'!Z170</f>
        <v>222586</v>
      </c>
      <c r="P155" s="23">
        <f>'Ops Departments'!AA170</f>
        <v>237288.2603</v>
      </c>
      <c r="Q155" s="23">
        <f>'Ops Departments'!AB170</f>
        <v>254182.8216</v>
      </c>
      <c r="R155" s="23">
        <f>'Ops Departments'!AC170</f>
        <v>269240.6669</v>
      </c>
      <c r="S155" s="23">
        <f>'Ops Departments'!AD170</f>
        <v>282267.6617</v>
      </c>
      <c r="T155" s="23">
        <f>'Ops Departments'!AE170</f>
        <v>293903.0389</v>
      </c>
      <c r="U155" s="23">
        <f>'Ops Departments'!AF170</f>
        <v>300046.4589</v>
      </c>
      <c r="V155" s="23">
        <f>'Ops Departments'!AG170</f>
        <v>305551.8348</v>
      </c>
      <c r="W155" s="23">
        <f>'Ops Departments'!AH170</f>
        <v>309000.5918</v>
      </c>
      <c r="X155" s="23">
        <f>'Ops Departments'!AI170</f>
        <v>311983.1866</v>
      </c>
      <c r="Y155" s="23">
        <f>'Ops Departments'!AJ170</f>
        <v>315908.0636</v>
      </c>
      <c r="Z155" s="23">
        <f>'Ops Departments'!AK170</f>
        <v>320515.9767</v>
      </c>
      <c r="AA155" s="23">
        <f>'Ops Departments'!AL170</f>
        <v>324541.4248</v>
      </c>
      <c r="AB155" s="23">
        <f>'Ops Departments'!AM170</f>
        <v>328217.4857</v>
      </c>
      <c r="AC155" s="38"/>
      <c r="AD155" s="22" t="str">
        <f t="shared" si="265"/>
        <v>Rev Ops Revenue</v>
      </c>
      <c r="AE155" s="25">
        <f t="shared" si="266"/>
        <v>826270.2603</v>
      </c>
      <c r="AF155" s="26">
        <f t="shared" si="267"/>
        <v>1099594.189</v>
      </c>
      <c r="AG155" s="25">
        <f t="shared" si="268"/>
        <v>273323.9289</v>
      </c>
      <c r="AH155" s="27">
        <f t="shared" si="269"/>
        <v>0.3307924078</v>
      </c>
      <c r="AI155" s="11"/>
      <c r="AJ155" s="11"/>
      <c r="AK155" s="11"/>
      <c r="AL155" s="25">
        <f t="shared" si="270"/>
        <v>807670</v>
      </c>
      <c r="AM155" s="26">
        <f t="shared" si="271"/>
        <v>729771</v>
      </c>
      <c r="AN155" s="25">
        <f t="shared" si="272"/>
        <v>826270.2603</v>
      </c>
      <c r="AO155" s="25">
        <f t="shared" si="273"/>
        <v>1099594.189</v>
      </c>
      <c r="AP155" s="26">
        <f t="shared" si="274"/>
        <v>1226582.072</v>
      </c>
      <c r="AQ155" s="25">
        <f t="shared" si="275"/>
        <v>1289182.951</v>
      </c>
      <c r="AR155" s="11"/>
      <c r="AS155" s="11"/>
      <c r="AT155" s="11"/>
      <c r="AU155" s="11"/>
      <c r="AV155" s="11"/>
      <c r="AW155" s="11"/>
      <c r="AX155" s="11"/>
      <c r="AY155" s="11"/>
      <c r="AZ155" s="11"/>
      <c r="BA155" s="11"/>
      <c r="BB155" s="11"/>
      <c r="BC155" s="11"/>
      <c r="BD155" s="11"/>
      <c r="BE155" s="11"/>
      <c r="BF155" s="11"/>
      <c r="BG155" s="11"/>
      <c r="BH155" s="11"/>
      <c r="BI155" s="11"/>
      <c r="BJ155" s="11"/>
      <c r="BK155" s="11"/>
    </row>
    <row r="156" ht="15.75" customHeight="1">
      <c r="A156" s="11"/>
      <c r="B156" s="11"/>
      <c r="C156" s="11"/>
      <c r="D156" s="11" t="s">
        <v>60</v>
      </c>
      <c r="E156" s="20">
        <f>'Ops Departments'!L170-'Ops Departments'!K170</f>
        <v>3070</v>
      </c>
      <c r="F156" s="20">
        <f>'Ops Departments'!M170-'Ops Departments'!L170</f>
        <v>-12742</v>
      </c>
      <c r="G156" s="20">
        <f>'Ops Departments'!N170-'Ops Departments'!M170</f>
        <v>-1043</v>
      </c>
      <c r="H156" s="20">
        <f>'Ops Departments'!O170-'Ops Departments'!N170</f>
        <v>149420</v>
      </c>
      <c r="I156" s="20">
        <f>'Ops Departments'!P170-'Ops Departments'!O170</f>
        <v>8529</v>
      </c>
      <c r="J156" s="20">
        <f>'Ops Departments'!Q170-'Ops Departments'!P170</f>
        <v>-18798</v>
      </c>
      <c r="K156" s="20">
        <f>'Ops Departments'!R170-'Ops Departments'!Q170</f>
        <v>55953</v>
      </c>
      <c r="L156" s="20">
        <f>'Ops Departments'!S170-'Ops Departments'!R170</f>
        <v>19550</v>
      </c>
      <c r="M156" s="20">
        <f>'Ops Departments'!T170-'Ops Departments'!S170</f>
        <v>-11096</v>
      </c>
      <c r="N156" s="20">
        <f>'Ops Departments'!U170-'Ops Departments'!T170</f>
        <v>-46752</v>
      </c>
      <c r="O156" s="20">
        <f>'Ops Departments'!V170-'Ops Departments'!U170</f>
        <v>4825</v>
      </c>
      <c r="P156" s="20">
        <f>'Ops Departments'!W170-'Ops Departments'!V170</f>
        <v>-54667</v>
      </c>
      <c r="Q156" s="20">
        <f>'Ops Departments'!X170-'Ops Departments'!W170</f>
        <v>5209</v>
      </c>
      <c r="R156" s="20">
        <f>'Ops Departments'!Y170-'Ops Departments'!X170</f>
        <v>91644</v>
      </c>
      <c r="S156" s="20">
        <f>'Ops Departments'!Z170-'Ops Departments'!Y170</f>
        <v>-6434</v>
      </c>
      <c r="T156" s="20">
        <f>'Ops Departments'!AA170-'Ops Departments'!Z170</f>
        <v>14702.26026</v>
      </c>
      <c r="U156" s="20">
        <f>'Ops Departments'!AB170-'Ops Departments'!AA170</f>
        <v>16894.56129</v>
      </c>
      <c r="V156" s="20">
        <f>'Ops Departments'!AC170-'Ops Departments'!AB170</f>
        <v>15057.84539</v>
      </c>
      <c r="W156" s="20">
        <f>'Ops Departments'!AD170-'Ops Departments'!AC170</f>
        <v>13026.99476</v>
      </c>
      <c r="X156" s="20">
        <f>'Ops Departments'!AE170-'Ops Departments'!AD170</f>
        <v>11635.37722</v>
      </c>
      <c r="Y156" s="20">
        <f>'Ops Departments'!AF170-'Ops Departments'!AE170</f>
        <v>6143.420009</v>
      </c>
      <c r="Z156" s="20">
        <f>'Ops Departments'!AG170-'Ops Departments'!AF170</f>
        <v>5505.37583</v>
      </c>
      <c r="AA156" s="20">
        <f>'Ops Departments'!AH170-'Ops Departments'!AG170</f>
        <v>3448.757036</v>
      </c>
      <c r="AB156" s="20">
        <f>'Ops Departments'!AI170-'Ops Departments'!AH170</f>
        <v>2982.594796</v>
      </c>
      <c r="AC156" s="20"/>
      <c r="AD156" s="11" t="str">
        <f t="shared" si="265"/>
        <v>  NNR</v>
      </c>
      <c r="AE156" s="20">
        <f>Summary!DE11-Summary!DD11</f>
        <v>82192.26026</v>
      </c>
      <c r="AF156" s="20">
        <f>AF155-AE155</f>
        <v>273323.9289</v>
      </c>
      <c r="AG156" s="21">
        <f t="shared" si="268"/>
        <v>191131.6686</v>
      </c>
      <c r="AH156" s="19"/>
      <c r="AI156" s="11"/>
      <c r="AJ156" s="11"/>
      <c r="AK156" s="11"/>
      <c r="AL156" s="20">
        <f t="shared" si="270"/>
        <v>138705</v>
      </c>
      <c r="AM156" s="20">
        <f t="shared" ref="AM156:AQ156" si="276">AM155-AL155</f>
        <v>-77899</v>
      </c>
      <c r="AN156" s="20">
        <f t="shared" si="276"/>
        <v>96499.26026</v>
      </c>
      <c r="AO156" s="20">
        <f t="shared" si="276"/>
        <v>273323.9289</v>
      </c>
      <c r="AP156" s="20">
        <f t="shared" si="276"/>
        <v>126987.8829</v>
      </c>
      <c r="AQ156" s="20">
        <f t="shared" si="276"/>
        <v>62600.87875</v>
      </c>
      <c r="AR156" s="11"/>
      <c r="AS156" s="11"/>
      <c r="AT156" s="11"/>
      <c r="AU156" s="11"/>
      <c r="AV156" s="11"/>
      <c r="AW156" s="11"/>
      <c r="AX156" s="11"/>
      <c r="AY156" s="11"/>
      <c r="AZ156" s="11"/>
      <c r="BA156" s="11"/>
      <c r="BB156" s="11"/>
      <c r="BC156" s="11"/>
      <c r="BD156" s="11"/>
      <c r="BE156" s="11"/>
      <c r="BF156" s="11"/>
      <c r="BG156" s="11"/>
      <c r="BH156" s="11"/>
      <c r="BI156" s="11"/>
      <c r="BJ156" s="11"/>
      <c r="BK156" s="11"/>
    </row>
    <row r="157" ht="15.75" customHeight="1">
      <c r="A157" s="11"/>
      <c r="B157" s="11"/>
      <c r="C157" s="11"/>
      <c r="D157" s="11" t="s">
        <v>61</v>
      </c>
      <c r="E157" s="19">
        <f>'Ops Departments'!L170/'Ops Departments'!K170-1</f>
        <v>0.08547246506</v>
      </c>
      <c r="F157" s="19">
        <f>'Ops Departments'!M170/'Ops Departments'!L170-1</f>
        <v>-0.3268185083</v>
      </c>
      <c r="G157" s="19">
        <f>'Ops Departments'!N170/'Ops Departments'!M170-1</f>
        <v>-0.03973938886</v>
      </c>
      <c r="H157" s="19">
        <f>'Ops Departments'!O170/'Ops Departments'!N170-1</f>
        <v>5.928659287</v>
      </c>
      <c r="I157" s="19">
        <f>'Ops Departments'!P170/'Ops Departments'!O170-1</f>
        <v>0.04884236326</v>
      </c>
      <c r="J157" s="19">
        <f>'Ops Departments'!Q170/'Ops Departments'!P170-1</f>
        <v>-0.1026360619</v>
      </c>
      <c r="K157" s="19">
        <f>'Ops Departments'!R170/'Ops Departments'!Q170-1</f>
        <v>0.3404419728</v>
      </c>
      <c r="L157" s="19">
        <f>'Ops Departments'!S170/'Ops Departments'!R170-1</f>
        <v>0.088739804</v>
      </c>
      <c r="M157" s="19">
        <f>'Ops Departments'!T170/'Ops Departments'!S170-1</f>
        <v>-0.04626089712</v>
      </c>
      <c r="N157" s="19">
        <f>'Ops Departments'!U170/'Ops Departments'!T170-1</f>
        <v>-0.2043705002</v>
      </c>
      <c r="O157" s="19">
        <f>'Ops Departments'!V170/'Ops Departments'!U170-1</f>
        <v>0.02650967809</v>
      </c>
      <c r="P157" s="19">
        <f>'Ops Departments'!W170/'Ops Departments'!V170-1</f>
        <v>-0.2925966366</v>
      </c>
      <c r="Q157" s="19">
        <f>'Ops Departments'!X170/'Ops Departments'!W170-1</f>
        <v>0.03941225873</v>
      </c>
      <c r="R157" s="19">
        <f>'Ops Departments'!Y170/'Ops Departments'!X170-1</f>
        <v>0.6671034242</v>
      </c>
      <c r="S157" s="19">
        <f>'Ops Departments'!Z170/'Ops Departments'!Y170-1</f>
        <v>-0.02809361628</v>
      </c>
      <c r="T157" s="19">
        <f>'Ops Departments'!AA170/'Ops Departments'!Z170-1</f>
        <v>0.06605204399</v>
      </c>
      <c r="U157" s="19">
        <f>'Ops Departments'!AB170/'Ops Departments'!AA170-1</f>
        <v>0.07119847088</v>
      </c>
      <c r="V157" s="19">
        <f>'Ops Departments'!AC170/'Ops Departments'!AB170-1</f>
        <v>0.05924021655</v>
      </c>
      <c r="W157" s="19">
        <f>'Ops Departments'!AD170/'Ops Departments'!AC170-1</f>
        <v>0.04838420178</v>
      </c>
      <c r="X157" s="19">
        <f>'Ops Departments'!AE170/'Ops Departments'!AD170-1</f>
        <v>0.0412210777</v>
      </c>
      <c r="Y157" s="19">
        <f>'Ops Departments'!AF170/'Ops Departments'!AE170-1</f>
        <v>0.02090288019</v>
      </c>
      <c r="Z157" s="19">
        <f>'Ops Departments'!AG170/'Ops Departments'!AF170-1</f>
        <v>0.01834841127</v>
      </c>
      <c r="AA157" s="19">
        <f>'Ops Departments'!AH170/'Ops Departments'!AG170-1</f>
        <v>0.01128697865</v>
      </c>
      <c r="AB157" s="19">
        <f>'Ops Departments'!AI170/'Ops Departments'!AH170-1</f>
        <v>0.009652391858</v>
      </c>
      <c r="AC157" s="19"/>
      <c r="AD157" s="11" t="s">
        <v>62</v>
      </c>
      <c r="AE157" s="19">
        <f>AN155/AM155-1</f>
        <v>0.1322322486</v>
      </c>
      <c r="AF157" s="19">
        <f>AF155/AE155-1</f>
        <v>0.3307924078</v>
      </c>
      <c r="AG157" s="12"/>
      <c r="AH157" s="19"/>
      <c r="AI157" s="11"/>
      <c r="AJ157" s="11"/>
      <c r="AK157" s="11"/>
      <c r="AL157" s="19">
        <f t="shared" si="270"/>
        <v>5.647573855</v>
      </c>
      <c r="AM157" s="19">
        <f t="shared" ref="AM157:AQ157" si="277">AM155/AL155-1</f>
        <v>-0.09644904478</v>
      </c>
      <c r="AN157" s="19">
        <f t="shared" si="277"/>
        <v>0.1322322486</v>
      </c>
      <c r="AO157" s="19">
        <f t="shared" si="277"/>
        <v>0.3307924078</v>
      </c>
      <c r="AP157" s="19">
        <f t="shared" si="277"/>
        <v>0.115486135</v>
      </c>
      <c r="AQ157" s="19">
        <f t="shared" si="277"/>
        <v>0.05103684472</v>
      </c>
      <c r="AR157" s="11"/>
      <c r="AS157" s="11"/>
      <c r="AT157" s="11"/>
      <c r="AU157" s="11"/>
      <c r="AV157" s="11"/>
      <c r="AW157" s="11"/>
      <c r="AX157" s="11"/>
      <c r="AY157" s="11"/>
      <c r="AZ157" s="11"/>
      <c r="BA157" s="11"/>
      <c r="BB157" s="11"/>
      <c r="BC157" s="11"/>
      <c r="BD157" s="11"/>
      <c r="BE157" s="11"/>
      <c r="BF157" s="11"/>
      <c r="BG157" s="11"/>
      <c r="BH157" s="11"/>
      <c r="BI157" s="11"/>
      <c r="BJ157" s="11"/>
      <c r="BK157" s="11"/>
    </row>
    <row r="158" ht="15.75" customHeight="1">
      <c r="A158" s="11"/>
      <c r="B158" s="11"/>
      <c r="C158" s="11"/>
      <c r="D158" s="11"/>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11"/>
      <c r="AE158" s="20"/>
      <c r="AF158" s="20"/>
      <c r="AG158" s="12"/>
      <c r="AH158" s="19"/>
      <c r="AI158" s="11"/>
      <c r="AJ158" s="11"/>
      <c r="AK158" s="11"/>
      <c r="AL158" s="20"/>
      <c r="AM158" s="20"/>
      <c r="AN158" s="20"/>
      <c r="AO158" s="20"/>
      <c r="AP158" s="20"/>
      <c r="AQ158" s="20"/>
      <c r="AR158" s="11"/>
      <c r="AS158" s="11"/>
      <c r="AT158" s="11"/>
      <c r="AU158" s="11"/>
      <c r="AV158" s="11"/>
      <c r="AW158" s="11"/>
      <c r="AX158" s="11"/>
      <c r="AY158" s="11"/>
      <c r="AZ158" s="11"/>
      <c r="BA158" s="11"/>
      <c r="BB158" s="11"/>
      <c r="BC158" s="11"/>
      <c r="BD158" s="11"/>
      <c r="BE158" s="11"/>
      <c r="BF158" s="11"/>
      <c r="BG158" s="11"/>
      <c r="BH158" s="11"/>
      <c r="BI158" s="11"/>
      <c r="BJ158" s="11"/>
      <c r="BK158" s="11"/>
    </row>
    <row r="159" ht="15.75" customHeight="1">
      <c r="A159" s="11" t="s">
        <v>94</v>
      </c>
      <c r="B159" s="11" t="s">
        <v>63</v>
      </c>
      <c r="C159" s="11"/>
      <c r="D159" s="11" t="s">
        <v>64</v>
      </c>
      <c r="E159" s="53">
        <f>SUMIFS('Ops Departments'!P:P,'Ops Departments'!$B:$B,$B159,'Ops Departments'!$A:$A,$A159)</f>
        <v>19620</v>
      </c>
      <c r="F159" s="53">
        <f>SUMIFS('Ops Departments'!Q:Q,'Ops Departments'!$B:$B,$B159,'Ops Departments'!$A:$A,$A159)</f>
        <v>21287</v>
      </c>
      <c r="G159" s="53">
        <f>SUMIFS('Ops Departments'!R:R,'Ops Departments'!$B:$B,$B159,'Ops Departments'!$A:$A,$A159)</f>
        <v>16422</v>
      </c>
      <c r="H159" s="53">
        <f>SUMIFS('Ops Departments'!S:S,'Ops Departments'!$B:$B,$B159,'Ops Departments'!$A:$A,$A159)</f>
        <v>25190</v>
      </c>
      <c r="I159" s="53">
        <f>SUMIFS('Ops Departments'!T:T,'Ops Departments'!$B:$B,$B159,'Ops Departments'!$A:$A,$A159)</f>
        <v>18698</v>
      </c>
      <c r="J159" s="53">
        <f>SUMIFS('Ops Departments'!U:U,'Ops Departments'!$B:$B,$B159,'Ops Departments'!$A:$A,$A159)</f>
        <v>22728</v>
      </c>
      <c r="K159" s="53">
        <f>SUMIFS('Ops Departments'!V:V,'Ops Departments'!$B:$B,$B159,'Ops Departments'!$A:$A,$A159)</f>
        <v>18613</v>
      </c>
      <c r="L159" s="53">
        <f>SUMIFS('Ops Departments'!W:W,'Ops Departments'!$B:$B,$B159,'Ops Departments'!$A:$A,$A159)</f>
        <v>18314</v>
      </c>
      <c r="M159" s="53">
        <f>SUMIFS('Ops Departments'!X:X,'Ops Departments'!$B:$B,$B159,'Ops Departments'!$A:$A,$A159)</f>
        <v>16311</v>
      </c>
      <c r="N159" s="53">
        <f>SUMIFS('Ops Departments'!Y:Y,'Ops Departments'!$B:$B,$B159,'Ops Departments'!$A:$A,$A159)</f>
        <v>25261</v>
      </c>
      <c r="O159" s="53">
        <f>SUMIFS('Ops Departments'!Z:Z,'Ops Departments'!$B:$B,$B159,'Ops Departments'!$A:$A,$A159)</f>
        <v>28074</v>
      </c>
      <c r="P159" s="53">
        <f>SUMIFS('Ops Departments'!AA:AA,'Ops Departments'!$B:$B,$B159,'Ops Departments'!$A:$A,$A159)</f>
        <v>26140.97033</v>
      </c>
      <c r="Q159" s="53">
        <f>SUMIFS('Ops Departments'!AB:AB,'Ops Departments'!$B:$B,$B159,'Ops Departments'!$A:$A,$A159)</f>
        <v>27167.91364</v>
      </c>
      <c r="R159" s="53">
        <f>SUMIFS('Ops Departments'!AC:AC,'Ops Departments'!$B:$B,$B159,'Ops Departments'!$A:$A,$A159)</f>
        <v>27272.43863</v>
      </c>
      <c r="S159" s="53">
        <f>SUMIFS('Ops Departments'!AD:AD,'Ops Departments'!$B:$B,$B159,'Ops Departments'!$A:$A,$A159)</f>
        <v>27471.08815</v>
      </c>
      <c r="T159" s="53">
        <f>SUMIFS('Ops Departments'!AE:AE,'Ops Departments'!$B:$B,$B159,'Ops Departments'!$A:$A,$A159)</f>
        <v>27690.74819</v>
      </c>
      <c r="U159" s="53">
        <f>SUMIFS('Ops Departments'!AF:AF,'Ops Departments'!$B:$B,$B159,'Ops Departments'!$A:$A,$A159)</f>
        <v>28591.93459</v>
      </c>
      <c r="V159" s="53">
        <f>SUMIFS('Ops Departments'!AG:AG,'Ops Departments'!$B:$B,$B159,'Ops Departments'!$A:$A,$A159)</f>
        <v>28622.61441</v>
      </c>
      <c r="W159" s="53">
        <f>SUMIFS('Ops Departments'!AH:AH,'Ops Departments'!$B:$B,$B159,'Ops Departments'!$A:$A,$A159)</f>
        <v>28597.90968</v>
      </c>
      <c r="X159" s="53">
        <f>SUMIFS('Ops Departments'!AI:AI,'Ops Departments'!$B:$B,$B159,'Ops Departments'!$A:$A,$A159)</f>
        <v>28592.24532</v>
      </c>
      <c r="Y159" s="53">
        <f>SUMIFS('Ops Departments'!AJ:AJ,'Ops Departments'!$B:$B,$B159,'Ops Departments'!$A:$A,$A159)</f>
        <v>35927.95432</v>
      </c>
      <c r="Z159" s="53">
        <f>SUMIFS('Ops Departments'!AK:AK,'Ops Departments'!$B:$B,$B159,'Ops Departments'!$A:$A,$A159)</f>
        <v>36123.10289</v>
      </c>
      <c r="AA159" s="53">
        <f>SUMIFS('Ops Departments'!AL:AL,'Ops Departments'!$B:$B,$B159,'Ops Departments'!$A:$A,$A159)</f>
        <v>36284.63369</v>
      </c>
      <c r="AB159" s="53">
        <f>SUMIFS('Ops Departments'!AM:AM,'Ops Departments'!$B:$B,$B159,'Ops Departments'!$A:$A,$A159)</f>
        <v>36428.75666</v>
      </c>
      <c r="AC159" s="20"/>
      <c r="AD159" s="11" t="str">
        <f t="shared" ref="AD159:AD164" si="278">D159</f>
        <v>Payroll &amp; Related</v>
      </c>
      <c r="AE159" s="12">
        <f t="shared" ref="AE159:AE164" si="279">SUM(M159:P159)</f>
        <v>95786.97033</v>
      </c>
      <c r="AF159" s="12">
        <f t="shared" ref="AF159:AF164" si="280">SUM(Q159:T159)</f>
        <v>109602.1886</v>
      </c>
      <c r="AG159" s="12">
        <f t="shared" ref="AG159:AG164" si="281">AE159-AF159</f>
        <v>-13815.21827</v>
      </c>
      <c r="AH159" s="19">
        <f t="shared" ref="AH159:AH164" si="282">AF159/AE159-1</f>
        <v>0.1442285753</v>
      </c>
      <c r="AI159" s="11"/>
      <c r="AJ159" s="11"/>
      <c r="AK159" s="11"/>
      <c r="AL159" s="12">
        <f t="shared" ref="AL159:AL164" si="283">SUM(E159:H159)</f>
        <v>82519</v>
      </c>
      <c r="AM159" s="12">
        <f t="shared" ref="AM159:AM164" si="284">SUM(I159:L159)</f>
        <v>78353</v>
      </c>
      <c r="AN159" s="12">
        <f t="shared" ref="AN159:AN164" si="285">SUM(M159:P159)</f>
        <v>95786.97033</v>
      </c>
      <c r="AO159" s="12">
        <f t="shared" ref="AO159:AO164" si="286">SUM(Q159:T159)</f>
        <v>109602.1886</v>
      </c>
      <c r="AP159" s="12">
        <f t="shared" ref="AP159:AP164" si="287">SUM(U159:X159)</f>
        <v>114404.704</v>
      </c>
      <c r="AQ159" s="12">
        <f t="shared" ref="AQ159:AQ164" si="288">SUM(Y159:AB159)</f>
        <v>144764.4475</v>
      </c>
      <c r="AR159" s="11"/>
      <c r="AS159" s="11"/>
      <c r="AT159" s="11"/>
      <c r="AU159" s="11"/>
      <c r="AV159" s="11"/>
      <c r="AW159" s="11"/>
      <c r="AX159" s="11"/>
      <c r="AY159" s="11"/>
      <c r="AZ159" s="11"/>
      <c r="BA159" s="11"/>
      <c r="BB159" s="11"/>
      <c r="BC159" s="11"/>
      <c r="BD159" s="11"/>
      <c r="BE159" s="11"/>
      <c r="BF159" s="11"/>
      <c r="BG159" s="11"/>
      <c r="BH159" s="11"/>
      <c r="BI159" s="11"/>
      <c r="BJ159" s="11"/>
      <c r="BK159" s="11"/>
    </row>
    <row r="160" ht="15.75" customHeight="1">
      <c r="A160" s="11" t="s">
        <v>94</v>
      </c>
      <c r="B160" s="11" t="s">
        <v>65</v>
      </c>
      <c r="C160" s="11"/>
      <c r="D160" s="11" t="s">
        <v>66</v>
      </c>
      <c r="E160" s="53">
        <f>SUMIFS('Ops Departments'!P:P,'Ops Departments'!$B:$B,$B160,'Ops Departments'!$A:$A,$A160)</f>
        <v>251</v>
      </c>
      <c r="F160" s="53">
        <f>SUMIFS('Ops Departments'!Q:Q,'Ops Departments'!$B:$B,$B160,'Ops Departments'!$A:$A,$A160)</f>
        <v>2037</v>
      </c>
      <c r="G160" s="53">
        <f>SUMIFS('Ops Departments'!R:R,'Ops Departments'!$B:$B,$B160,'Ops Departments'!$A:$A,$A160)</f>
        <v>245</v>
      </c>
      <c r="H160" s="53">
        <f>SUMIFS('Ops Departments'!S:S,'Ops Departments'!$B:$B,$B160,'Ops Departments'!$A:$A,$A160)</f>
        <v>4482</v>
      </c>
      <c r="I160" s="53">
        <f>SUMIFS('Ops Departments'!T:T,'Ops Departments'!$B:$B,$B160,'Ops Departments'!$A:$A,$A160)</f>
        <v>930</v>
      </c>
      <c r="J160" s="53">
        <f>SUMIFS('Ops Departments'!U:U,'Ops Departments'!$B:$B,$B160,'Ops Departments'!$A:$A,$A160)</f>
        <v>2317</v>
      </c>
      <c r="K160" s="53">
        <f>SUMIFS('Ops Departments'!V:V,'Ops Departments'!$B:$B,$B160,'Ops Departments'!$A:$A,$A160)</f>
        <v>2638</v>
      </c>
      <c r="L160" s="53">
        <f>SUMIFS('Ops Departments'!W:W,'Ops Departments'!$B:$B,$B160,'Ops Departments'!$A:$A,$A160)</f>
        <v>3372</v>
      </c>
      <c r="M160" s="53">
        <f>SUMIFS('Ops Departments'!X:X,'Ops Departments'!$B:$B,$B160,'Ops Departments'!$A:$A,$A160)</f>
        <v>4165</v>
      </c>
      <c r="N160" s="53">
        <f>SUMIFS('Ops Departments'!Y:Y,'Ops Departments'!$B:$B,$B160,'Ops Departments'!$A:$A,$A160)</f>
        <v>2241</v>
      </c>
      <c r="O160" s="53">
        <f>SUMIFS('Ops Departments'!Z:Z,'Ops Departments'!$B:$B,$B160,'Ops Departments'!$A:$A,$A160)</f>
        <v>1013</v>
      </c>
      <c r="P160" s="53">
        <f>SUMIFS('Ops Departments'!AA:AA,'Ops Departments'!$B:$B,$B160,'Ops Departments'!$A:$A,$A160)</f>
        <v>4745.765205</v>
      </c>
      <c r="Q160" s="53">
        <f>SUMIFS('Ops Departments'!AB:AB,'Ops Departments'!$B:$B,$B160,'Ops Departments'!$A:$A,$A160)</f>
        <v>1270.914108</v>
      </c>
      <c r="R160" s="53">
        <f>SUMIFS('Ops Departments'!AC:AC,'Ops Departments'!$B:$B,$B160,'Ops Departments'!$A:$A,$A160)</f>
        <v>1346.203335</v>
      </c>
      <c r="S160" s="53">
        <f>SUMIFS('Ops Departments'!AD:AD,'Ops Departments'!$B:$B,$B160,'Ops Departments'!$A:$A,$A160)</f>
        <v>1411.338309</v>
      </c>
      <c r="T160" s="53">
        <f>SUMIFS('Ops Departments'!AE:AE,'Ops Departments'!$B:$B,$B160,'Ops Departments'!$A:$A,$A160)</f>
        <v>1469.515195</v>
      </c>
      <c r="U160" s="53">
        <f>SUMIFS('Ops Departments'!AF:AF,'Ops Departments'!$B:$B,$B160,'Ops Departments'!$A:$A,$A160)</f>
        <v>1500.232295</v>
      </c>
      <c r="V160" s="53">
        <f>SUMIFS('Ops Departments'!AG:AG,'Ops Departments'!$B:$B,$B160,'Ops Departments'!$A:$A,$A160)</f>
        <v>1527.759174</v>
      </c>
      <c r="W160" s="53">
        <f>SUMIFS('Ops Departments'!AH:AH,'Ops Departments'!$B:$B,$B160,'Ops Departments'!$A:$A,$A160)</f>
        <v>1545.002959</v>
      </c>
      <c r="X160" s="53">
        <f>SUMIFS('Ops Departments'!AI:AI,'Ops Departments'!$B:$B,$B160,'Ops Departments'!$A:$A,$A160)</f>
        <v>1559.915933</v>
      </c>
      <c r="Y160" s="53">
        <f>SUMIFS('Ops Departments'!AJ:AJ,'Ops Departments'!$B:$B,$B160,'Ops Departments'!$A:$A,$A160)</f>
        <v>1579.540318</v>
      </c>
      <c r="Z160" s="53">
        <f>SUMIFS('Ops Departments'!AK:AK,'Ops Departments'!$B:$B,$B160,'Ops Departments'!$A:$A,$A160)</f>
        <v>1602.579883</v>
      </c>
      <c r="AA160" s="53">
        <f>SUMIFS('Ops Departments'!AL:AL,'Ops Departments'!$B:$B,$B160,'Ops Departments'!$A:$A,$A160)</f>
        <v>1622.707124</v>
      </c>
      <c r="AB160" s="53">
        <f>SUMIFS('Ops Departments'!AM:AM,'Ops Departments'!$B:$B,$B160,'Ops Departments'!$A:$A,$A160)</f>
        <v>1641.087428</v>
      </c>
      <c r="AC160" s="20"/>
      <c r="AD160" s="11" t="str">
        <f t="shared" si="278"/>
        <v>Contractors</v>
      </c>
      <c r="AE160" s="21">
        <f t="shared" si="279"/>
        <v>12164.76521</v>
      </c>
      <c r="AF160" s="21">
        <f t="shared" si="280"/>
        <v>5497.970946</v>
      </c>
      <c r="AG160" s="21">
        <f t="shared" si="281"/>
        <v>6666.79426</v>
      </c>
      <c r="AH160" s="19">
        <f t="shared" si="282"/>
        <v>-0.5480413429</v>
      </c>
      <c r="AI160" s="11"/>
      <c r="AJ160" s="11"/>
      <c r="AK160" s="11"/>
      <c r="AL160" s="21">
        <f t="shared" si="283"/>
        <v>7015</v>
      </c>
      <c r="AM160" s="21">
        <f t="shared" si="284"/>
        <v>9257</v>
      </c>
      <c r="AN160" s="29">
        <f t="shared" si="285"/>
        <v>12164.76521</v>
      </c>
      <c r="AO160" s="21">
        <f t="shared" si="286"/>
        <v>5497.970946</v>
      </c>
      <c r="AP160" s="21">
        <f t="shared" si="287"/>
        <v>6132.91036</v>
      </c>
      <c r="AQ160" s="29">
        <f t="shared" si="288"/>
        <v>6445.914754</v>
      </c>
      <c r="AR160" s="11"/>
      <c r="AS160" s="11"/>
      <c r="AT160" s="11"/>
      <c r="AU160" s="11"/>
      <c r="AV160" s="11"/>
      <c r="AW160" s="11"/>
      <c r="AX160" s="11"/>
      <c r="AY160" s="11"/>
      <c r="AZ160" s="11"/>
      <c r="BA160" s="11"/>
      <c r="BB160" s="11"/>
      <c r="BC160" s="11"/>
      <c r="BD160" s="11"/>
      <c r="BE160" s="11"/>
      <c r="BF160" s="11"/>
      <c r="BG160" s="11"/>
      <c r="BH160" s="11"/>
      <c r="BI160" s="11"/>
      <c r="BJ160" s="11"/>
      <c r="BK160" s="11"/>
    </row>
    <row r="161" ht="15.75" customHeight="1">
      <c r="A161" s="11" t="s">
        <v>94</v>
      </c>
      <c r="B161" s="11" t="s">
        <v>67</v>
      </c>
      <c r="C161" s="11"/>
      <c r="D161" s="11" t="s">
        <v>68</v>
      </c>
      <c r="E161" s="53">
        <f>SUMIFS('Ops Departments'!P:P,'Ops Departments'!$B:$B,$B161,'Ops Departments'!$A:$A,$A161)</f>
        <v>6011</v>
      </c>
      <c r="F161" s="53">
        <f>SUMIFS('Ops Departments'!Q:Q,'Ops Departments'!$B:$B,$B161,'Ops Departments'!$A:$A,$A161)</f>
        <v>7542</v>
      </c>
      <c r="G161" s="53">
        <f>SUMIFS('Ops Departments'!R:R,'Ops Departments'!$B:$B,$B161,'Ops Departments'!$A:$A,$A161)</f>
        <v>2453</v>
      </c>
      <c r="H161" s="53">
        <f>SUMIFS('Ops Departments'!S:S,'Ops Departments'!$B:$B,$B161,'Ops Departments'!$A:$A,$A161)</f>
        <v>7149</v>
      </c>
      <c r="I161" s="53">
        <f>SUMIFS('Ops Departments'!T:T,'Ops Departments'!$B:$B,$B161,'Ops Departments'!$A:$A,$A161)</f>
        <v>7563</v>
      </c>
      <c r="J161" s="53">
        <f>SUMIFS('Ops Departments'!U:U,'Ops Departments'!$B:$B,$B161,'Ops Departments'!$A:$A,$A161)</f>
        <v>9014</v>
      </c>
      <c r="K161" s="53">
        <f>SUMIFS('Ops Departments'!V:V,'Ops Departments'!$B:$B,$B161,'Ops Departments'!$A:$A,$A161)</f>
        <v>10162</v>
      </c>
      <c r="L161" s="53">
        <f>SUMIFS('Ops Departments'!W:W,'Ops Departments'!$B:$B,$B161,'Ops Departments'!$A:$A,$A161)</f>
        <v>3653</v>
      </c>
      <c r="M161" s="53">
        <f>SUMIFS('Ops Departments'!X:X,'Ops Departments'!$B:$B,$B161,'Ops Departments'!$A:$A,$A161)</f>
        <v>5697</v>
      </c>
      <c r="N161" s="53">
        <f>SUMIFS('Ops Departments'!Y:Y,'Ops Departments'!$B:$B,$B161,'Ops Departments'!$A:$A,$A161)</f>
        <v>6765</v>
      </c>
      <c r="O161" s="53">
        <f>SUMIFS('Ops Departments'!Z:Z,'Ops Departments'!$B:$B,$B161,'Ops Departments'!$A:$A,$A161)</f>
        <v>7038</v>
      </c>
      <c r="P161" s="53">
        <f>SUMIFS('Ops Departments'!AA:AA,'Ops Departments'!$B:$B,$B161,'Ops Departments'!$A:$A,$A161)</f>
        <v>470.55105</v>
      </c>
      <c r="Q161" s="53">
        <f>SUMIFS('Ops Departments'!AB:AB,'Ops Departments'!$B:$B,$B161,'Ops Departments'!$A:$A,$A161)</f>
        <v>517.606155</v>
      </c>
      <c r="R161" s="53">
        <f>SUMIFS('Ops Departments'!AC:AC,'Ops Departments'!$B:$B,$B161,'Ops Departments'!$A:$A,$A161)</f>
        <v>522.7822166</v>
      </c>
      <c r="S161" s="53">
        <f>SUMIFS('Ops Departments'!AD:AD,'Ops Departments'!$B:$B,$B161,'Ops Departments'!$A:$A,$A161)</f>
        <v>528.0100387</v>
      </c>
      <c r="T161" s="53">
        <f>SUMIFS('Ops Departments'!AE:AE,'Ops Departments'!$B:$B,$B161,'Ops Departments'!$A:$A,$A161)</f>
        <v>533.2901391</v>
      </c>
      <c r="U161" s="53">
        <f>SUMIFS('Ops Departments'!AF:AF,'Ops Departments'!$B:$B,$B161,'Ops Departments'!$A:$A,$A161)</f>
        <v>538.6230405</v>
      </c>
      <c r="V161" s="53">
        <f>SUMIFS('Ops Departments'!AG:AG,'Ops Departments'!$B:$B,$B161,'Ops Departments'!$A:$A,$A161)</f>
        <v>544.0092709</v>
      </c>
      <c r="W161" s="53">
        <f>SUMIFS('Ops Departments'!AH:AH,'Ops Departments'!$B:$B,$B161,'Ops Departments'!$A:$A,$A161)</f>
        <v>549.4493636</v>
      </c>
      <c r="X161" s="53">
        <f>SUMIFS('Ops Departments'!AI:AI,'Ops Departments'!$B:$B,$B161,'Ops Departments'!$A:$A,$A161)</f>
        <v>554.9438572</v>
      </c>
      <c r="Y161" s="53">
        <f>SUMIFS('Ops Departments'!AJ:AJ,'Ops Departments'!$B:$B,$B161,'Ops Departments'!$A:$A,$A161)</f>
        <v>560.4932958</v>
      </c>
      <c r="Z161" s="53">
        <f>SUMIFS('Ops Departments'!AK:AK,'Ops Departments'!$B:$B,$B161,'Ops Departments'!$A:$A,$A161)</f>
        <v>566.0982288</v>
      </c>
      <c r="AA161" s="53">
        <f>SUMIFS('Ops Departments'!AL:AL,'Ops Departments'!$B:$B,$B161,'Ops Departments'!$A:$A,$A161)</f>
        <v>571.7592111</v>
      </c>
      <c r="AB161" s="53">
        <f>SUMIFS('Ops Departments'!AM:AM,'Ops Departments'!$B:$B,$B161,'Ops Departments'!$A:$A,$A161)</f>
        <v>577.4768032</v>
      </c>
      <c r="AC161" s="20"/>
      <c r="AD161" s="11" t="str">
        <f t="shared" si="278"/>
        <v>T&amp;E</v>
      </c>
      <c r="AE161" s="21">
        <f t="shared" si="279"/>
        <v>19970.55105</v>
      </c>
      <c r="AF161" s="21">
        <f t="shared" si="280"/>
        <v>2101.688549</v>
      </c>
      <c r="AG161" s="21">
        <f t="shared" si="281"/>
        <v>17868.8625</v>
      </c>
      <c r="AH161" s="19">
        <f t="shared" si="282"/>
        <v>-0.8947606131</v>
      </c>
      <c r="AI161" s="11"/>
      <c r="AJ161" s="11"/>
      <c r="AK161" s="11"/>
      <c r="AL161" s="21">
        <f t="shared" si="283"/>
        <v>23155</v>
      </c>
      <c r="AM161" s="21">
        <f t="shared" si="284"/>
        <v>30392</v>
      </c>
      <c r="AN161" s="29">
        <f t="shared" si="285"/>
        <v>19970.55105</v>
      </c>
      <c r="AO161" s="21">
        <f t="shared" si="286"/>
        <v>2101.688549</v>
      </c>
      <c r="AP161" s="21">
        <f t="shared" si="287"/>
        <v>2187.025532</v>
      </c>
      <c r="AQ161" s="29">
        <f t="shared" si="288"/>
        <v>2275.827539</v>
      </c>
      <c r="AR161" s="11"/>
      <c r="AS161" s="11"/>
      <c r="AT161" s="11"/>
      <c r="AU161" s="11"/>
      <c r="AV161" s="11"/>
      <c r="AW161" s="11"/>
      <c r="AX161" s="11"/>
      <c r="AY161" s="11"/>
      <c r="AZ161" s="11"/>
      <c r="BA161" s="11"/>
      <c r="BB161" s="11"/>
      <c r="BC161" s="11"/>
      <c r="BD161" s="11"/>
      <c r="BE161" s="11"/>
      <c r="BF161" s="11"/>
      <c r="BG161" s="11"/>
      <c r="BH161" s="11"/>
      <c r="BI161" s="11"/>
      <c r="BJ161" s="11"/>
      <c r="BK161" s="11"/>
    </row>
    <row r="162" ht="15.75" customHeight="1">
      <c r="A162" s="11" t="s">
        <v>94</v>
      </c>
      <c r="B162" s="11" t="s">
        <v>69</v>
      </c>
      <c r="C162" s="11"/>
      <c r="D162" s="11" t="s">
        <v>70</v>
      </c>
      <c r="E162" s="53">
        <f>SUMIFS('Ops Departments'!P:P,'Ops Departments'!$B:$B,$B162,'Ops Departments'!$A:$A,$A162)</f>
        <v>1921</v>
      </c>
      <c r="F162" s="53">
        <f>SUMIFS('Ops Departments'!Q:Q,'Ops Departments'!$B:$B,$B162,'Ops Departments'!$A:$A,$A162)</f>
        <v>4646</v>
      </c>
      <c r="G162" s="53">
        <f>SUMIFS('Ops Departments'!R:R,'Ops Departments'!$B:$B,$B162,'Ops Departments'!$A:$A,$A162)</f>
        <v>975</v>
      </c>
      <c r="H162" s="53">
        <f>SUMIFS('Ops Departments'!S:S,'Ops Departments'!$B:$B,$B162,'Ops Departments'!$A:$A,$A162)</f>
        <v>2540</v>
      </c>
      <c r="I162" s="53">
        <f>SUMIFS('Ops Departments'!T:T,'Ops Departments'!$B:$B,$B162,'Ops Departments'!$A:$A,$A162)</f>
        <v>2446</v>
      </c>
      <c r="J162" s="53">
        <f>SUMIFS('Ops Departments'!U:U,'Ops Departments'!$B:$B,$B162,'Ops Departments'!$A:$A,$A162)</f>
        <v>3946</v>
      </c>
      <c r="K162" s="53">
        <f>SUMIFS('Ops Departments'!V:V,'Ops Departments'!$B:$B,$B162,'Ops Departments'!$A:$A,$A162)</f>
        <v>1262</v>
      </c>
      <c r="L162" s="53">
        <f>SUMIFS('Ops Departments'!W:W,'Ops Departments'!$B:$B,$B162,'Ops Departments'!$A:$A,$A162)</f>
        <v>113</v>
      </c>
      <c r="M162" s="53">
        <f>SUMIFS('Ops Departments'!X:X,'Ops Departments'!$B:$B,$B162,'Ops Departments'!$A:$A,$A162)</f>
        <v>1673</v>
      </c>
      <c r="N162" s="53">
        <f>SUMIFS('Ops Departments'!Y:Y,'Ops Departments'!$B:$B,$B162,'Ops Departments'!$A:$A,$A162)</f>
        <v>24</v>
      </c>
      <c r="O162" s="53">
        <f>SUMIFS('Ops Departments'!Z:Z,'Ops Departments'!$B:$B,$B162,'Ops Departments'!$A:$A,$A162)</f>
        <v>4345</v>
      </c>
      <c r="P162" s="53">
        <f>SUMIFS('Ops Departments'!AA:AA,'Ops Departments'!$B:$B,$B162,'Ops Departments'!$A:$A,$A162)</f>
        <v>0</v>
      </c>
      <c r="Q162" s="53">
        <f>SUMIFS('Ops Departments'!AB:AB,'Ops Departments'!$B:$B,$B162,'Ops Departments'!$A:$A,$A162)</f>
        <v>0</v>
      </c>
      <c r="R162" s="53">
        <f>SUMIFS('Ops Departments'!AC:AC,'Ops Departments'!$B:$B,$B162,'Ops Departments'!$A:$A,$A162)</f>
        <v>0</v>
      </c>
      <c r="S162" s="53">
        <f>SUMIFS('Ops Departments'!AD:AD,'Ops Departments'!$B:$B,$B162,'Ops Departments'!$A:$A,$A162)</f>
        <v>0</v>
      </c>
      <c r="T162" s="53">
        <f>SUMIFS('Ops Departments'!AE:AE,'Ops Departments'!$B:$B,$B162,'Ops Departments'!$A:$A,$A162)</f>
        <v>0</v>
      </c>
      <c r="U162" s="53">
        <f>SUMIFS('Ops Departments'!AF:AF,'Ops Departments'!$B:$B,$B162,'Ops Departments'!$A:$A,$A162)</f>
        <v>0</v>
      </c>
      <c r="V162" s="53">
        <f>SUMIFS('Ops Departments'!AG:AG,'Ops Departments'!$B:$B,$B162,'Ops Departments'!$A:$A,$A162)</f>
        <v>0</v>
      </c>
      <c r="W162" s="53">
        <f>SUMIFS('Ops Departments'!AH:AH,'Ops Departments'!$B:$B,$B162,'Ops Departments'!$A:$A,$A162)</f>
        <v>0</v>
      </c>
      <c r="X162" s="53">
        <f>SUMIFS('Ops Departments'!AI:AI,'Ops Departments'!$B:$B,$B162,'Ops Departments'!$A:$A,$A162)</f>
        <v>0</v>
      </c>
      <c r="Y162" s="53">
        <f>SUMIFS('Ops Departments'!AJ:AJ,'Ops Departments'!$B:$B,$B162,'Ops Departments'!$A:$A,$A162)</f>
        <v>0</v>
      </c>
      <c r="Z162" s="53">
        <f>SUMIFS('Ops Departments'!AK:AK,'Ops Departments'!$B:$B,$B162,'Ops Departments'!$A:$A,$A162)</f>
        <v>0</v>
      </c>
      <c r="AA162" s="53">
        <f>SUMIFS('Ops Departments'!AL:AL,'Ops Departments'!$B:$B,$B162,'Ops Departments'!$A:$A,$A162)</f>
        <v>0</v>
      </c>
      <c r="AB162" s="53">
        <f>SUMIFS('Ops Departments'!AM:AM,'Ops Departments'!$B:$B,$B162,'Ops Departments'!$A:$A,$A162)</f>
        <v>0</v>
      </c>
      <c r="AC162" s="20"/>
      <c r="AD162" s="11" t="str">
        <f t="shared" si="278"/>
        <v>Software</v>
      </c>
      <c r="AE162" s="21">
        <f t="shared" si="279"/>
        <v>6042</v>
      </c>
      <c r="AF162" s="21">
        <f t="shared" si="280"/>
        <v>0</v>
      </c>
      <c r="AG162" s="21">
        <f t="shared" si="281"/>
        <v>6042</v>
      </c>
      <c r="AH162" s="19">
        <f t="shared" si="282"/>
        <v>-1</v>
      </c>
      <c r="AI162" s="11"/>
      <c r="AJ162" s="11"/>
      <c r="AK162" s="11"/>
      <c r="AL162" s="21">
        <f t="shared" si="283"/>
        <v>10082</v>
      </c>
      <c r="AM162" s="21">
        <f t="shared" si="284"/>
        <v>7767</v>
      </c>
      <c r="AN162" s="29">
        <f t="shared" si="285"/>
        <v>6042</v>
      </c>
      <c r="AO162" s="21">
        <f t="shared" si="286"/>
        <v>0</v>
      </c>
      <c r="AP162" s="21">
        <f t="shared" si="287"/>
        <v>0</v>
      </c>
      <c r="AQ162" s="29">
        <f t="shared" si="288"/>
        <v>0</v>
      </c>
      <c r="AR162" s="11"/>
      <c r="AS162" s="11"/>
      <c r="AT162" s="11"/>
      <c r="AU162" s="11"/>
      <c r="AV162" s="11"/>
      <c r="AW162" s="11"/>
      <c r="AX162" s="11"/>
      <c r="AY162" s="11"/>
      <c r="AZ162" s="11"/>
      <c r="BA162" s="11"/>
      <c r="BB162" s="11"/>
      <c r="BC162" s="11"/>
      <c r="BD162" s="11"/>
      <c r="BE162" s="11"/>
      <c r="BF162" s="11"/>
      <c r="BG162" s="11"/>
      <c r="BH162" s="11"/>
      <c r="BI162" s="11"/>
      <c r="BJ162" s="11"/>
      <c r="BK162" s="11"/>
    </row>
    <row r="163" ht="15.75" customHeight="1">
      <c r="A163" s="11" t="s">
        <v>94</v>
      </c>
      <c r="B163" s="11" t="s">
        <v>71</v>
      </c>
      <c r="C163" s="11"/>
      <c r="D163" s="54" t="s">
        <v>72</v>
      </c>
      <c r="E163" s="53">
        <f>SUMIFS('Ops Departments'!P:P,'Ops Departments'!$B:$B,$B163,'Ops Departments'!$A:$A,$A163)</f>
        <v>0</v>
      </c>
      <c r="F163" s="53">
        <f>SUMIFS('Ops Departments'!Q:Q,'Ops Departments'!$B:$B,$B163,'Ops Departments'!$A:$A,$A163)</f>
        <v>0</v>
      </c>
      <c r="G163" s="53">
        <f>SUMIFS('Ops Departments'!R:R,'Ops Departments'!$B:$B,$B163,'Ops Departments'!$A:$A,$A163)</f>
        <v>0</v>
      </c>
      <c r="H163" s="53">
        <f>SUMIFS('Ops Departments'!S:S,'Ops Departments'!$B:$B,$B163,'Ops Departments'!$A:$A,$A163)</f>
        <v>0</v>
      </c>
      <c r="I163" s="53">
        <f>SUMIFS('Ops Departments'!T:T,'Ops Departments'!$B:$B,$B163,'Ops Departments'!$A:$A,$A163)</f>
        <v>0</v>
      </c>
      <c r="J163" s="53">
        <f>SUMIFS('Ops Departments'!U:U,'Ops Departments'!$B:$B,$B163,'Ops Departments'!$A:$A,$A163)</f>
        <v>0</v>
      </c>
      <c r="K163" s="53">
        <f>SUMIFS('Ops Departments'!V:V,'Ops Departments'!$B:$B,$B163,'Ops Departments'!$A:$A,$A163)</f>
        <v>0</v>
      </c>
      <c r="L163" s="53">
        <f>SUMIFS('Ops Departments'!W:W,'Ops Departments'!$B:$B,$B163,'Ops Departments'!$A:$A,$A163)</f>
        <v>0</v>
      </c>
      <c r="M163" s="53">
        <f>SUMIFS('Ops Departments'!X:X,'Ops Departments'!$B:$B,$B163,'Ops Departments'!$A:$A,$A163)</f>
        <v>0</v>
      </c>
      <c r="N163" s="53">
        <f>SUMIFS('Ops Departments'!Y:Y,'Ops Departments'!$B:$B,$B163,'Ops Departments'!$A:$A,$A163)</f>
        <v>0</v>
      </c>
      <c r="O163" s="53">
        <f>SUMIFS('Ops Departments'!Z:Z,'Ops Departments'!$B:$B,$B163,'Ops Departments'!$A:$A,$A163)</f>
        <v>0</v>
      </c>
      <c r="P163" s="53">
        <f>SUMIFS('Ops Departments'!AA:AA,'Ops Departments'!$B:$B,$B163,'Ops Departments'!$A:$A,$A163)</f>
        <v>30681.03303</v>
      </c>
      <c r="Q163" s="53">
        <f>SUMIFS('Ops Departments'!AB:AB,'Ops Departments'!$B:$B,$B163,'Ops Departments'!$A:$A,$A163)</f>
        <v>31457.91438</v>
      </c>
      <c r="R163" s="53">
        <f>SUMIFS('Ops Departments'!AC:AC,'Ops Departments'!$B:$B,$B163,'Ops Departments'!$A:$A,$A163)</f>
        <v>28222.88467</v>
      </c>
      <c r="S163" s="53">
        <f>SUMIFS('Ops Departments'!AD:AD,'Ops Departments'!$B:$B,$B163,'Ops Departments'!$A:$A,$A163)</f>
        <v>25683.75139</v>
      </c>
      <c r="T163" s="53">
        <f>SUMIFS('Ops Departments'!AE:AE,'Ops Departments'!$B:$B,$B163,'Ops Departments'!$A:$A,$A163)</f>
        <v>25417.81636</v>
      </c>
      <c r="U163" s="53">
        <f>SUMIFS('Ops Departments'!AF:AF,'Ops Departments'!$B:$B,$B163,'Ops Departments'!$A:$A,$A163)</f>
        <v>25938.1618</v>
      </c>
      <c r="V163" s="53">
        <f>SUMIFS('Ops Departments'!AG:AG,'Ops Departments'!$B:$B,$B163,'Ops Departments'!$A:$A,$A163)</f>
        <v>23768.46663</v>
      </c>
      <c r="W163" s="53">
        <f>SUMIFS('Ops Departments'!AH:AH,'Ops Departments'!$B:$B,$B163,'Ops Departments'!$A:$A,$A163)</f>
        <v>21708.1239</v>
      </c>
      <c r="X163" s="53">
        <f>SUMIFS('Ops Departments'!AI:AI,'Ops Departments'!$B:$B,$B163,'Ops Departments'!$A:$A,$A163)</f>
        <v>21935.86771</v>
      </c>
      <c r="Y163" s="53">
        <f>SUMIFS('Ops Departments'!AJ:AJ,'Ops Departments'!$B:$B,$B163,'Ops Departments'!$A:$A,$A163)</f>
        <v>22813.30257</v>
      </c>
      <c r="Z163" s="53">
        <f>SUMIFS('Ops Departments'!AK:AK,'Ops Departments'!$B:$B,$B163,'Ops Departments'!$A:$A,$A163)</f>
        <v>23077.5528</v>
      </c>
      <c r="AA163" s="53">
        <f>SUMIFS('Ops Departments'!AL:AL,'Ops Departments'!$B:$B,$B163,'Ops Departments'!$A:$A,$A163)</f>
        <v>21688.1486</v>
      </c>
      <c r="AB163" s="53">
        <f>SUMIFS('Ops Departments'!AM:AM,'Ops Departments'!$B:$B,$B163,'Ops Departments'!$A:$A,$A163)</f>
        <v>21938.12075</v>
      </c>
      <c r="AC163" s="20"/>
      <c r="AD163" s="11" t="str">
        <f t="shared" si="278"/>
        <v>Other</v>
      </c>
      <c r="AE163" s="30">
        <f t="shared" si="279"/>
        <v>30681.03303</v>
      </c>
      <c r="AF163" s="21">
        <f t="shared" si="280"/>
        <v>110782.3668</v>
      </c>
      <c r="AG163" s="30">
        <f t="shared" si="281"/>
        <v>-80101.33377</v>
      </c>
      <c r="AH163" s="31">
        <f t="shared" si="282"/>
        <v>2.610776948</v>
      </c>
      <c r="AI163" s="11"/>
      <c r="AJ163" s="11"/>
      <c r="AK163" s="11"/>
      <c r="AL163" s="30">
        <f t="shared" si="283"/>
        <v>0</v>
      </c>
      <c r="AM163" s="21">
        <f t="shared" si="284"/>
        <v>0</v>
      </c>
      <c r="AN163" s="32">
        <f t="shared" si="285"/>
        <v>30681.03303</v>
      </c>
      <c r="AO163" s="30">
        <f t="shared" si="286"/>
        <v>110782.3668</v>
      </c>
      <c r="AP163" s="21">
        <f t="shared" si="287"/>
        <v>93350.62003</v>
      </c>
      <c r="AQ163" s="32">
        <f t="shared" si="288"/>
        <v>89517.12471</v>
      </c>
      <c r="AR163" s="11"/>
      <c r="AS163" s="11"/>
      <c r="AT163" s="11"/>
      <c r="AU163" s="11"/>
      <c r="AV163" s="11"/>
      <c r="AW163" s="11"/>
      <c r="AX163" s="11"/>
      <c r="AY163" s="11"/>
      <c r="AZ163" s="11"/>
      <c r="BA163" s="11"/>
      <c r="BB163" s="11"/>
      <c r="BC163" s="11"/>
      <c r="BD163" s="11"/>
      <c r="BE163" s="11"/>
      <c r="BF163" s="11"/>
      <c r="BG163" s="11"/>
      <c r="BH163" s="11"/>
      <c r="BI163" s="11"/>
      <c r="BJ163" s="11"/>
      <c r="BK163" s="11"/>
    </row>
    <row r="164" ht="15.75" customHeight="1">
      <c r="A164" s="11"/>
      <c r="B164" s="11"/>
      <c r="C164" s="11"/>
      <c r="D164" s="33" t="s">
        <v>73</v>
      </c>
      <c r="E164" s="34">
        <f t="shared" ref="E164:AB164" si="289">SUM(E159:E163)</f>
        <v>27803</v>
      </c>
      <c r="F164" s="34">
        <f t="shared" si="289"/>
        <v>35512</v>
      </c>
      <c r="G164" s="34">
        <f t="shared" si="289"/>
        <v>20095</v>
      </c>
      <c r="H164" s="34">
        <f t="shared" si="289"/>
        <v>39361</v>
      </c>
      <c r="I164" s="34">
        <f t="shared" si="289"/>
        <v>29637</v>
      </c>
      <c r="J164" s="34">
        <f t="shared" si="289"/>
        <v>38005</v>
      </c>
      <c r="K164" s="34">
        <f t="shared" si="289"/>
        <v>32675</v>
      </c>
      <c r="L164" s="34">
        <f t="shared" si="289"/>
        <v>25452</v>
      </c>
      <c r="M164" s="34">
        <f t="shared" si="289"/>
        <v>27846</v>
      </c>
      <c r="N164" s="34">
        <f t="shared" si="289"/>
        <v>34291</v>
      </c>
      <c r="O164" s="34">
        <f t="shared" si="289"/>
        <v>40470</v>
      </c>
      <c r="P164" s="34">
        <f t="shared" si="289"/>
        <v>62038.31962</v>
      </c>
      <c r="Q164" s="34">
        <f t="shared" si="289"/>
        <v>60414.34828</v>
      </c>
      <c r="R164" s="34">
        <f t="shared" si="289"/>
        <v>57364.30885</v>
      </c>
      <c r="S164" s="34">
        <f t="shared" si="289"/>
        <v>55094.18789</v>
      </c>
      <c r="T164" s="34">
        <f t="shared" si="289"/>
        <v>55111.36988</v>
      </c>
      <c r="U164" s="34">
        <f t="shared" si="289"/>
        <v>56568.95172</v>
      </c>
      <c r="V164" s="34">
        <f t="shared" si="289"/>
        <v>54462.84948</v>
      </c>
      <c r="W164" s="34">
        <f t="shared" si="289"/>
        <v>52400.48591</v>
      </c>
      <c r="X164" s="34">
        <f t="shared" si="289"/>
        <v>52642.97282</v>
      </c>
      <c r="Y164" s="34">
        <f t="shared" si="289"/>
        <v>60881.2905</v>
      </c>
      <c r="Z164" s="34">
        <f t="shared" si="289"/>
        <v>61369.33379</v>
      </c>
      <c r="AA164" s="34">
        <f t="shared" si="289"/>
        <v>60167.24863</v>
      </c>
      <c r="AB164" s="34">
        <f t="shared" si="289"/>
        <v>60585.44164</v>
      </c>
      <c r="AC164" s="24"/>
      <c r="AD164" s="33" t="str">
        <f t="shared" si="278"/>
        <v>Total COGS</v>
      </c>
      <c r="AE164" s="12">
        <f t="shared" si="279"/>
        <v>164645.3196</v>
      </c>
      <c r="AF164" s="35">
        <f t="shared" si="280"/>
        <v>227984.2149</v>
      </c>
      <c r="AG164" s="12">
        <f t="shared" si="281"/>
        <v>-63338.89528</v>
      </c>
      <c r="AH164" s="19">
        <f t="shared" si="282"/>
        <v>0.3846990332</v>
      </c>
      <c r="AI164" s="11"/>
      <c r="AJ164" s="11"/>
      <c r="AK164" s="11"/>
      <c r="AL164" s="12">
        <f t="shared" si="283"/>
        <v>122771</v>
      </c>
      <c r="AM164" s="35">
        <f t="shared" si="284"/>
        <v>125769</v>
      </c>
      <c r="AN164" s="29">
        <f t="shared" si="285"/>
        <v>164645.3196</v>
      </c>
      <c r="AO164" s="12">
        <f t="shared" si="286"/>
        <v>227984.2149</v>
      </c>
      <c r="AP164" s="35">
        <f t="shared" si="287"/>
        <v>216075.2599</v>
      </c>
      <c r="AQ164" s="29">
        <f t="shared" si="288"/>
        <v>243003.3146</v>
      </c>
      <c r="AR164" s="11"/>
      <c r="AS164" s="11"/>
      <c r="AT164" s="11"/>
      <c r="AU164" s="11"/>
      <c r="AV164" s="11"/>
      <c r="AW164" s="11"/>
      <c r="AX164" s="11"/>
      <c r="AY164" s="11"/>
      <c r="AZ164" s="11"/>
      <c r="BA164" s="11"/>
      <c r="BB164" s="11"/>
      <c r="BC164" s="11"/>
      <c r="BD164" s="11"/>
      <c r="BE164" s="11"/>
      <c r="BF164" s="11"/>
      <c r="BG164" s="11"/>
      <c r="BH164" s="11"/>
      <c r="BI164" s="11"/>
      <c r="BJ164" s="11"/>
      <c r="BK164" s="11"/>
    </row>
    <row r="165" ht="15.75" customHeight="1">
      <c r="A165" s="11"/>
      <c r="B165" s="11"/>
      <c r="C165" s="11"/>
      <c r="D165" s="11"/>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11"/>
      <c r="AE165" s="24"/>
      <c r="AF165" s="24"/>
      <c r="AG165" s="12"/>
      <c r="AH165" s="19"/>
      <c r="AI165" s="11"/>
      <c r="AJ165" s="11"/>
      <c r="AK165" s="11"/>
      <c r="AL165" s="24"/>
      <c r="AM165" s="24"/>
      <c r="AN165" s="24"/>
      <c r="AO165" s="24"/>
      <c r="AP165" s="24"/>
      <c r="AQ165" s="24"/>
      <c r="AR165" s="11"/>
      <c r="AS165" s="11"/>
      <c r="AT165" s="11"/>
      <c r="AU165" s="11"/>
      <c r="AV165" s="11"/>
      <c r="AW165" s="11"/>
      <c r="AX165" s="11"/>
      <c r="AY165" s="11"/>
      <c r="AZ165" s="11"/>
      <c r="BA165" s="11"/>
      <c r="BB165" s="11"/>
      <c r="BC165" s="11"/>
      <c r="BD165" s="11"/>
      <c r="BE165" s="11"/>
      <c r="BF165" s="11"/>
      <c r="BG165" s="11"/>
      <c r="BH165" s="11"/>
      <c r="BI165" s="11"/>
      <c r="BJ165" s="11"/>
      <c r="BK165" s="11"/>
    </row>
    <row r="166" ht="15.75" customHeight="1">
      <c r="A166" s="11"/>
      <c r="B166" s="11"/>
      <c r="C166" s="11"/>
      <c r="D166" s="36" t="str">
        <f>CONCATENATE(B151," Gross Profit")</f>
        <v>Rev Ops Gross Profit</v>
      </c>
      <c r="E166" s="55">
        <f t="shared" ref="E166:AB166" si="290">E155-E164</f>
        <v>155349</v>
      </c>
      <c r="F166" s="55">
        <f t="shared" si="290"/>
        <v>128842</v>
      </c>
      <c r="G166" s="55">
        <f t="shared" si="290"/>
        <v>200212</v>
      </c>
      <c r="H166" s="55">
        <f t="shared" si="290"/>
        <v>200496</v>
      </c>
      <c r="I166" s="55">
        <f t="shared" si="290"/>
        <v>199124</v>
      </c>
      <c r="J166" s="55">
        <f t="shared" si="290"/>
        <v>144004</v>
      </c>
      <c r="K166" s="55">
        <f t="shared" si="290"/>
        <v>154159</v>
      </c>
      <c r="L166" s="55">
        <f t="shared" si="290"/>
        <v>106715</v>
      </c>
      <c r="M166" s="55">
        <f t="shared" si="290"/>
        <v>109530</v>
      </c>
      <c r="N166" s="55">
        <f t="shared" si="290"/>
        <v>194729</v>
      </c>
      <c r="O166" s="55">
        <f t="shared" si="290"/>
        <v>182116</v>
      </c>
      <c r="P166" s="55">
        <f t="shared" si="290"/>
        <v>175249.9406</v>
      </c>
      <c r="Q166" s="55">
        <f t="shared" si="290"/>
        <v>193768.4733</v>
      </c>
      <c r="R166" s="55">
        <f t="shared" si="290"/>
        <v>211876.3581</v>
      </c>
      <c r="S166" s="55">
        <f t="shared" si="290"/>
        <v>227173.4738</v>
      </c>
      <c r="T166" s="55">
        <f t="shared" si="290"/>
        <v>238791.669</v>
      </c>
      <c r="U166" s="55">
        <f t="shared" si="290"/>
        <v>243477.5072</v>
      </c>
      <c r="V166" s="55">
        <f t="shared" si="290"/>
        <v>251088.9853</v>
      </c>
      <c r="W166" s="55">
        <f t="shared" si="290"/>
        <v>256600.1059</v>
      </c>
      <c r="X166" s="55">
        <f t="shared" si="290"/>
        <v>259340.2138</v>
      </c>
      <c r="Y166" s="55">
        <f t="shared" si="290"/>
        <v>255026.7731</v>
      </c>
      <c r="Z166" s="55">
        <f t="shared" si="290"/>
        <v>259146.6429</v>
      </c>
      <c r="AA166" s="55">
        <f t="shared" si="290"/>
        <v>264374.1762</v>
      </c>
      <c r="AB166" s="55">
        <f t="shared" si="290"/>
        <v>267632.044</v>
      </c>
      <c r="AC166" s="38"/>
      <c r="AD166" s="36" t="str">
        <f t="shared" ref="AD166:AD167" si="293">D166</f>
        <v>Rev Ops Gross Profit</v>
      </c>
      <c r="AE166" s="37">
        <f t="shared" ref="AE166:AF166" si="291">AE155-AE164</f>
        <v>661624.9406</v>
      </c>
      <c r="AF166" s="37">
        <f t="shared" si="291"/>
        <v>871609.9742</v>
      </c>
      <c r="AG166" s="40">
        <f t="shared" ref="AG166:AG167" si="295">AF166-AE166</f>
        <v>209985.0336</v>
      </c>
      <c r="AH166" s="41">
        <f>AF166/AE166-1</f>
        <v>0.3173777478</v>
      </c>
      <c r="AI166" s="11"/>
      <c r="AJ166" s="11"/>
      <c r="AK166" s="11"/>
      <c r="AL166" s="37">
        <f>SUM(E166:H166)</f>
        <v>684899</v>
      </c>
      <c r="AM166" s="37">
        <f>SUM(I166:L166)</f>
        <v>604002</v>
      </c>
      <c r="AN166" s="37">
        <f>SUM(M166:P166)</f>
        <v>661624.9406</v>
      </c>
      <c r="AO166" s="37">
        <f>SUM(Q166:T166)</f>
        <v>871609.9742</v>
      </c>
      <c r="AP166" s="37">
        <f>SUM(U166:X166)</f>
        <v>1010506.812</v>
      </c>
      <c r="AQ166" s="37">
        <f>SUM(Y166:AB166)</f>
        <v>1046179.636</v>
      </c>
      <c r="AR166" s="11"/>
      <c r="AS166" s="11"/>
      <c r="AT166" s="11"/>
      <c r="AU166" s="11"/>
      <c r="AV166" s="11"/>
      <c r="AW166" s="11"/>
      <c r="AX166" s="11"/>
      <c r="AY166" s="11"/>
      <c r="AZ166" s="11"/>
      <c r="BA166" s="11"/>
      <c r="BB166" s="11"/>
      <c r="BC166" s="11"/>
      <c r="BD166" s="11"/>
      <c r="BE166" s="11"/>
      <c r="BF166" s="11"/>
      <c r="BG166" s="11"/>
      <c r="BH166" s="11"/>
      <c r="BI166" s="11"/>
      <c r="BJ166" s="11"/>
      <c r="BK166" s="11"/>
    </row>
    <row r="167" ht="15.75" customHeight="1">
      <c r="A167" s="11"/>
      <c r="B167" s="11"/>
      <c r="C167" s="11"/>
      <c r="D167" s="42" t="s">
        <v>75</v>
      </c>
      <c r="E167" s="43">
        <f t="shared" ref="E167:AB167" si="292">IFERROR(E166/E155,"")</f>
        <v>0.8481971259</v>
      </c>
      <c r="F167" s="43">
        <f t="shared" si="292"/>
        <v>0.78392981</v>
      </c>
      <c r="G167" s="43">
        <f t="shared" si="292"/>
        <v>0.9087863754</v>
      </c>
      <c r="H167" s="43">
        <f t="shared" si="292"/>
        <v>0.8358980559</v>
      </c>
      <c r="I167" s="43">
        <f t="shared" si="292"/>
        <v>0.8704455742</v>
      </c>
      <c r="J167" s="43">
        <f t="shared" si="292"/>
        <v>0.7911916444</v>
      </c>
      <c r="K167" s="43">
        <f t="shared" si="292"/>
        <v>0.8251121316</v>
      </c>
      <c r="L167" s="43">
        <f t="shared" si="292"/>
        <v>0.8074254542</v>
      </c>
      <c r="M167" s="43">
        <f t="shared" si="292"/>
        <v>0.7973008386</v>
      </c>
      <c r="N167" s="43">
        <f t="shared" si="292"/>
        <v>0.8502707187</v>
      </c>
      <c r="O167" s="43">
        <f t="shared" si="292"/>
        <v>0.818182635</v>
      </c>
      <c r="P167" s="43">
        <f t="shared" si="292"/>
        <v>0.7385529332</v>
      </c>
      <c r="Q167" s="43">
        <f t="shared" si="292"/>
        <v>0.7623193105</v>
      </c>
      <c r="R167" s="43">
        <f t="shared" si="292"/>
        <v>0.7869403998</v>
      </c>
      <c r="S167" s="43">
        <f t="shared" si="292"/>
        <v>0.8048157995</v>
      </c>
      <c r="T167" s="43">
        <f t="shared" si="292"/>
        <v>0.8124845184</v>
      </c>
      <c r="U167" s="43">
        <f t="shared" si="292"/>
        <v>0.8114660245</v>
      </c>
      <c r="V167" s="43">
        <f t="shared" si="292"/>
        <v>0.8217557766</v>
      </c>
      <c r="W167" s="43">
        <f t="shared" si="292"/>
        <v>0.8304194642</v>
      </c>
      <c r="X167" s="43">
        <f t="shared" si="292"/>
        <v>0.8312634299</v>
      </c>
      <c r="Y167" s="43">
        <f t="shared" si="292"/>
        <v>0.8072816192</v>
      </c>
      <c r="Z167" s="43">
        <f t="shared" si="292"/>
        <v>0.808529564</v>
      </c>
      <c r="AA167" s="43">
        <f t="shared" si="292"/>
        <v>0.8146084166</v>
      </c>
      <c r="AB167" s="43">
        <f t="shared" si="292"/>
        <v>0.8154106826</v>
      </c>
      <c r="AC167" s="43"/>
      <c r="AD167" s="42" t="str">
        <f t="shared" si="293"/>
        <v>  Gross Margin</v>
      </c>
      <c r="AE167" s="43">
        <f t="shared" ref="AE167:AF167" si="294">AE166/AE155</f>
        <v>0.8007367232</v>
      </c>
      <c r="AF167" s="43">
        <f t="shared" si="294"/>
        <v>0.7926651331</v>
      </c>
      <c r="AG167" s="43">
        <f t="shared" si="295"/>
        <v>-0.008071590103</v>
      </c>
      <c r="AH167" s="43"/>
      <c r="AI167" s="11"/>
      <c r="AJ167" s="11"/>
      <c r="AK167" s="11"/>
      <c r="AL167" s="43">
        <f t="shared" ref="AL167:AQ167" si="296">AL166/AL155</f>
        <v>0.8479936113</v>
      </c>
      <c r="AM167" s="43">
        <f t="shared" si="296"/>
        <v>0.8276596357</v>
      </c>
      <c r="AN167" s="43">
        <f t="shared" si="296"/>
        <v>0.8007367232</v>
      </c>
      <c r="AO167" s="43">
        <f t="shared" si="296"/>
        <v>0.7926651331</v>
      </c>
      <c r="AP167" s="43">
        <f t="shared" si="296"/>
        <v>0.8238395417</v>
      </c>
      <c r="AQ167" s="43">
        <f t="shared" si="296"/>
        <v>0.8115059508</v>
      </c>
      <c r="AR167" s="11"/>
      <c r="AS167" s="11"/>
      <c r="AT167" s="11"/>
      <c r="AU167" s="11"/>
      <c r="AV167" s="11"/>
      <c r="AW167" s="11"/>
      <c r="AX167" s="11"/>
      <c r="AY167" s="11"/>
      <c r="AZ167" s="11"/>
      <c r="BA167" s="11"/>
      <c r="BB167" s="11"/>
      <c r="BC167" s="11"/>
      <c r="BD167" s="11"/>
      <c r="BE167" s="11"/>
      <c r="BF167" s="11"/>
      <c r="BG167" s="11"/>
      <c r="BH167" s="11"/>
      <c r="BI167" s="11"/>
      <c r="BJ167" s="11"/>
      <c r="BK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2"/>
      <c r="AH168" s="19"/>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row>
    <row r="169" ht="15.75" customHeight="1">
      <c r="A169" s="11"/>
      <c r="B169" s="11"/>
      <c r="C169" s="11"/>
      <c r="D169" s="11" t="s">
        <v>15</v>
      </c>
      <c r="E169" s="20">
        <f>Headcount!H12</f>
        <v>10</v>
      </c>
      <c r="F169" s="20">
        <f>Headcount!I12</f>
        <v>10</v>
      </c>
      <c r="G169" s="20">
        <f>Headcount!J12</f>
        <v>10</v>
      </c>
      <c r="H169" s="20">
        <f>Headcount!K12</f>
        <v>10</v>
      </c>
      <c r="I169" s="20">
        <f>Headcount!L12</f>
        <v>10</v>
      </c>
      <c r="J169" s="20">
        <f>Headcount!M12</f>
        <v>10</v>
      </c>
      <c r="K169" s="20">
        <f>Headcount!N12</f>
        <v>10</v>
      </c>
      <c r="L169" s="20">
        <f>Headcount!O12</f>
        <v>10</v>
      </c>
      <c r="M169" s="20">
        <f>Headcount!P12</f>
        <v>10</v>
      </c>
      <c r="N169" s="20">
        <f>Headcount!Q12</f>
        <v>10</v>
      </c>
      <c r="O169" s="20">
        <f>Headcount!R12</f>
        <v>10</v>
      </c>
      <c r="P169" s="20">
        <f>Headcount!S12</f>
        <v>11</v>
      </c>
      <c r="Q169" s="20">
        <f>Headcount!T12</f>
        <v>11</v>
      </c>
      <c r="R169" s="20">
        <f>Headcount!U12</f>
        <v>11</v>
      </c>
      <c r="S169" s="20">
        <f>Headcount!V12</f>
        <v>11</v>
      </c>
      <c r="T169" s="20">
        <f>Headcount!W12</f>
        <v>11</v>
      </c>
      <c r="U169" s="20">
        <f>Headcount!X12</f>
        <v>11</v>
      </c>
      <c r="V169" s="20">
        <f>Headcount!Y12</f>
        <v>11</v>
      </c>
      <c r="W169" s="20">
        <f>Headcount!Z12</f>
        <v>11</v>
      </c>
      <c r="X169" s="20">
        <f>Headcount!AA12</f>
        <v>11</v>
      </c>
      <c r="Y169" s="20">
        <f>Headcount!AB12</f>
        <v>11</v>
      </c>
      <c r="Z169" s="20">
        <f>Headcount!AC12</f>
        <v>11</v>
      </c>
      <c r="AA169" s="20">
        <f>Headcount!AD12</f>
        <v>11</v>
      </c>
      <c r="AB169" s="20">
        <f>Headcount!AE12</f>
        <v>11</v>
      </c>
      <c r="AC169" s="11"/>
      <c r="AD169" s="11" t="str">
        <f t="shared" ref="AD169:AD173" si="297">D169</f>
        <v>Headcount</v>
      </c>
      <c r="AE169" s="20">
        <f>P169</f>
        <v>11</v>
      </c>
      <c r="AF169" s="20">
        <f>T169</f>
        <v>11</v>
      </c>
      <c r="AG169" s="21">
        <f t="shared" ref="AG169:AG175" si="298">AF169-AE169</f>
        <v>0</v>
      </c>
      <c r="AH169" s="19">
        <f t="shared" ref="AH169:AH175" si="299">AF169/AE169-1</f>
        <v>0</v>
      </c>
      <c r="AI169" s="11"/>
      <c r="AJ169" s="11"/>
      <c r="AK169" s="11" t="s">
        <v>15</v>
      </c>
      <c r="AL169" s="20">
        <f>H169</f>
        <v>10</v>
      </c>
      <c r="AM169" s="20">
        <f>L169</f>
        <v>10</v>
      </c>
      <c r="AN169" s="20">
        <f>P169</f>
        <v>11</v>
      </c>
      <c r="AO169" s="20">
        <f>T169</f>
        <v>11</v>
      </c>
      <c r="AP169" s="20">
        <f>X169</f>
        <v>11</v>
      </c>
      <c r="AQ169" s="20">
        <f>AB169</f>
        <v>11</v>
      </c>
      <c r="AR169" s="11"/>
      <c r="AS169" s="11"/>
      <c r="AT169" s="11"/>
      <c r="AU169" s="11"/>
      <c r="AV169" s="11"/>
      <c r="AW169" s="11"/>
      <c r="AX169" s="11"/>
      <c r="AY169" s="11"/>
      <c r="AZ169" s="11"/>
      <c r="BA169" s="11"/>
      <c r="BB169" s="11"/>
      <c r="BC169" s="11"/>
      <c r="BD169" s="11"/>
      <c r="BE169" s="11"/>
      <c r="BF169" s="11"/>
      <c r="BG169" s="11"/>
      <c r="BH169" s="11"/>
      <c r="BI169" s="11"/>
      <c r="BJ169" s="11"/>
      <c r="BK169" s="11"/>
    </row>
    <row r="170" ht="15.75" customHeight="1">
      <c r="A170" s="11"/>
      <c r="B170" s="11"/>
      <c r="C170" s="11"/>
      <c r="D170" s="11" t="s">
        <v>95</v>
      </c>
      <c r="E170" s="12">
        <f>E155/Capacity!O172</f>
        <v>183152</v>
      </c>
      <c r="F170" s="12">
        <f>F155/Capacity!P172</f>
        <v>82177</v>
      </c>
      <c r="G170" s="12">
        <f>G155/Capacity!Q172</f>
        <v>110153.5</v>
      </c>
      <c r="H170" s="12">
        <f>H155/Capacity!R172</f>
        <v>119928.5</v>
      </c>
      <c r="I170" s="12">
        <f>I155/Capacity!S172</f>
        <v>114380.5</v>
      </c>
      <c r="J170" s="12">
        <f>J155/Capacity!T172</f>
        <v>91004.5</v>
      </c>
      <c r="K170" s="12">
        <f>K155/Capacity!U172</f>
        <v>93417</v>
      </c>
      <c r="L170" s="12">
        <f>L155/Capacity!V172</f>
        <v>66083.5</v>
      </c>
      <c r="M170" s="12">
        <f>M155/Capacity!W172</f>
        <v>68688</v>
      </c>
      <c r="N170" s="12">
        <f>N155/Capacity!X172</f>
        <v>76340</v>
      </c>
      <c r="O170" s="12">
        <f>O155/Capacity!Y172</f>
        <v>55646.5</v>
      </c>
      <c r="P170" s="12">
        <f>P155/Capacity!Z172</f>
        <v>47457.65205</v>
      </c>
      <c r="Q170" s="12">
        <f>Q155/Capacity!AA172</f>
        <v>50836.56431</v>
      </c>
      <c r="R170" s="12">
        <f>R155/Capacity!AB172</f>
        <v>53848.13339</v>
      </c>
      <c r="S170" s="12">
        <f>S155/Capacity!AC172</f>
        <v>56453.53234</v>
      </c>
      <c r="T170" s="12">
        <f>T155/Capacity!AD172</f>
        <v>58780.60778</v>
      </c>
      <c r="U170" s="12">
        <f>U155/Capacity!AE172</f>
        <v>60009.29179</v>
      </c>
      <c r="V170" s="12">
        <f>V155/Capacity!AF172</f>
        <v>61110.36695</v>
      </c>
      <c r="W170" s="12">
        <f>W155/Capacity!AG172</f>
        <v>61800.11836</v>
      </c>
      <c r="X170" s="12">
        <f>X155/Capacity!AH172</f>
        <v>62396.63732</v>
      </c>
      <c r="Y170" s="12">
        <f>Y155/Capacity!AI172</f>
        <v>63181.61273</v>
      </c>
      <c r="Z170" s="12">
        <f>Z155/Capacity!AJ172</f>
        <v>64103.19533</v>
      </c>
      <c r="AA170" s="12">
        <f>AA155/Capacity!AK172</f>
        <v>64908.28497</v>
      </c>
      <c r="AB170" s="12">
        <f>AB155/Capacity!AL172</f>
        <v>65643.49713</v>
      </c>
      <c r="AC170" s="11"/>
      <c r="AD170" s="11" t="str">
        <f t="shared" si="297"/>
        <v>Revenue/Analyst</v>
      </c>
      <c r="AE170" s="12">
        <f>AVERAGE(M170:P170)</f>
        <v>62033.03801</v>
      </c>
      <c r="AF170" s="12">
        <f>AVERAGE(Q170:T170)</f>
        <v>54979.70946</v>
      </c>
      <c r="AG170" s="12">
        <f t="shared" si="298"/>
        <v>-7053.328557</v>
      </c>
      <c r="AH170" s="19">
        <f t="shared" si="299"/>
        <v>-0.1137027749</v>
      </c>
      <c r="AI170" s="11"/>
      <c r="AJ170" s="11"/>
      <c r="AK170" s="11" t="s">
        <v>76</v>
      </c>
      <c r="AL170" s="12">
        <f>AVERAGE(E170:H170)</f>
        <v>123852.75</v>
      </c>
      <c r="AM170" s="12">
        <f>AVERAGE(I170:L170)</f>
        <v>91221.375</v>
      </c>
      <c r="AN170" s="12">
        <f>AVERAGE(M170:P170)</f>
        <v>62033.03801</v>
      </c>
      <c r="AO170" s="12">
        <f>AVERAGE(Q170:T170)</f>
        <v>54979.70946</v>
      </c>
      <c r="AP170" s="12">
        <f>AVERAGE(U170:X170)</f>
        <v>61329.1036</v>
      </c>
      <c r="AQ170" s="12">
        <f>AVERAGE(Y170:AB170)</f>
        <v>64459.14754</v>
      </c>
      <c r="AR170" s="11"/>
      <c r="AS170" s="11"/>
      <c r="AT170" s="11"/>
      <c r="AU170" s="11"/>
      <c r="AV170" s="11"/>
      <c r="AW170" s="11"/>
      <c r="AX170" s="11"/>
      <c r="AY170" s="11"/>
      <c r="AZ170" s="11"/>
      <c r="BA170" s="11"/>
      <c r="BB170" s="11"/>
      <c r="BC170" s="11"/>
      <c r="BD170" s="11"/>
      <c r="BE170" s="11"/>
      <c r="BF170" s="11"/>
      <c r="BG170" s="11"/>
      <c r="BH170" s="11"/>
      <c r="BI170" s="11"/>
      <c r="BJ170" s="11"/>
      <c r="BK170" s="11"/>
    </row>
    <row r="171" ht="15.75" customHeight="1">
      <c r="A171" s="11"/>
      <c r="B171" s="11"/>
      <c r="C171" s="11"/>
      <c r="D171" s="11" t="s">
        <v>90</v>
      </c>
      <c r="E171" s="50">
        <f>SUM('New Biz Sales'!O43)</f>
        <v>30</v>
      </c>
      <c r="F171" s="50">
        <f>SUM('New Biz Sales'!P43)</f>
        <v>30</v>
      </c>
      <c r="G171" s="50">
        <f>SUM('New Biz Sales'!Q43)</f>
        <v>30</v>
      </c>
      <c r="H171" s="50">
        <f>SUM('New Biz Sales'!R43)</f>
        <v>30</v>
      </c>
      <c r="I171" s="50">
        <f>SUM('New Biz Sales'!S43)</f>
        <v>30</v>
      </c>
      <c r="J171" s="50">
        <f>SUM('New Biz Sales'!T43)</f>
        <v>30</v>
      </c>
      <c r="K171" s="50">
        <f>SUM('New Biz Sales'!U43)</f>
        <v>30</v>
      </c>
      <c r="L171" s="50">
        <f>SUM('New Biz Sales'!V43)</f>
        <v>30</v>
      </c>
      <c r="M171" s="50">
        <f>SUM('New Biz Sales'!W43)</f>
        <v>30</v>
      </c>
      <c r="N171" s="50">
        <f>SUM('New Biz Sales'!X43)</f>
        <v>30</v>
      </c>
      <c r="O171" s="50">
        <f>SUM('New Biz Sales'!Y43)</f>
        <v>30</v>
      </c>
      <c r="P171" s="50">
        <f>SUM('New Biz Sales'!Z43)</f>
        <v>33</v>
      </c>
      <c r="Q171" s="50">
        <f>SUM('New Biz Sales'!AA43)</f>
        <v>33</v>
      </c>
      <c r="R171" s="50">
        <f>SUM('New Biz Sales'!AB43)</f>
        <v>33</v>
      </c>
      <c r="S171" s="50">
        <f>SUM('New Biz Sales'!AC43)</f>
        <v>33</v>
      </c>
      <c r="T171" s="50">
        <f>SUM('New Biz Sales'!AD43)</f>
        <v>33</v>
      </c>
      <c r="U171" s="50">
        <f>SUM('New Biz Sales'!AE43)</f>
        <v>33</v>
      </c>
      <c r="V171" s="50">
        <f>SUM('New Biz Sales'!AF43)</f>
        <v>33</v>
      </c>
      <c r="W171" s="50">
        <f>SUM('New Biz Sales'!AG43)</f>
        <v>33</v>
      </c>
      <c r="X171" s="50">
        <f>SUM('New Biz Sales'!AH43)</f>
        <v>31.35</v>
      </c>
      <c r="Y171" s="50">
        <f>SUM('New Biz Sales'!AI43)</f>
        <v>31.35</v>
      </c>
      <c r="Z171" s="50">
        <f>SUM('New Biz Sales'!AJ43)</f>
        <v>31.35</v>
      </c>
      <c r="AA171" s="50">
        <f>SUM('New Biz Sales'!AK43)</f>
        <v>31.50675</v>
      </c>
      <c r="AB171" s="50">
        <f>SUM('New Biz Sales'!AL43)</f>
        <v>31.8218175</v>
      </c>
      <c r="AC171" s="11"/>
      <c r="AD171" s="11" t="str">
        <f t="shared" si="297"/>
        <v># of Opportunities</v>
      </c>
      <c r="AE171" s="21">
        <f t="shared" ref="AE171:AE172" si="300">SUM(M171:P171)</f>
        <v>123</v>
      </c>
      <c r="AF171" s="21">
        <f t="shared" ref="AF171:AF172" si="301">SUM(Q171:T171)</f>
        <v>132</v>
      </c>
      <c r="AG171" s="21">
        <f t="shared" si="298"/>
        <v>9</v>
      </c>
      <c r="AH171" s="19">
        <f t="shared" si="299"/>
        <v>0.07317073171</v>
      </c>
      <c r="AI171" s="11"/>
      <c r="AJ171" s="11"/>
      <c r="AK171" s="11" t="s">
        <v>77</v>
      </c>
      <c r="AL171" s="20">
        <f t="shared" ref="AL171:AL172" si="302">SUM(E171:H171)</f>
        <v>120</v>
      </c>
      <c r="AM171" s="20">
        <f t="shared" ref="AM171:AM172" si="303">SUM(I171:L171)</f>
        <v>120</v>
      </c>
      <c r="AN171" s="20">
        <f t="shared" ref="AN171:AN172" si="304">SUM(M171:P171)</f>
        <v>123</v>
      </c>
      <c r="AO171" s="20">
        <f t="shared" ref="AO171:AO172" si="305">SUM(Q171:T171)</f>
        <v>132</v>
      </c>
      <c r="AP171" s="20">
        <f t="shared" ref="AP171:AP172" si="306">SUM(U171:X171)</f>
        <v>130.35</v>
      </c>
      <c r="AQ171" s="20">
        <f t="shared" ref="AQ171:AQ172" si="307">SUM(Y171:AB171)</f>
        <v>126.0285675</v>
      </c>
      <c r="AR171" s="11"/>
      <c r="AS171" s="11"/>
      <c r="AT171" s="11"/>
      <c r="AU171" s="11"/>
      <c r="AV171" s="11"/>
      <c r="AW171" s="11"/>
      <c r="AX171" s="11"/>
      <c r="AY171" s="11"/>
      <c r="AZ171" s="11"/>
      <c r="BA171" s="11"/>
      <c r="BB171" s="11"/>
      <c r="BC171" s="11"/>
      <c r="BD171" s="11"/>
      <c r="BE171" s="11"/>
      <c r="BF171" s="11"/>
      <c r="BG171" s="11"/>
      <c r="BH171" s="11"/>
      <c r="BI171" s="11"/>
      <c r="BJ171" s="11"/>
      <c r="BK171" s="11"/>
    </row>
    <row r="172" ht="15.75" customHeight="1">
      <c r="A172" s="11"/>
      <c r="B172" s="11"/>
      <c r="C172" s="11"/>
      <c r="D172" s="11" t="s">
        <v>91</v>
      </c>
      <c r="E172" s="51">
        <f>'New Biz Sales'!O92+'Portfolio Sales'!E85</f>
        <v>6</v>
      </c>
      <c r="F172" s="51">
        <f>'New Biz Sales'!P92+'Portfolio Sales'!F85</f>
        <v>8</v>
      </c>
      <c r="G172" s="51">
        <f>'New Biz Sales'!Q92+'Portfolio Sales'!G85</f>
        <v>10</v>
      </c>
      <c r="H172" s="51">
        <f>'New Biz Sales'!R92+'Portfolio Sales'!H85</f>
        <v>11</v>
      </c>
      <c r="I172" s="51">
        <f>'New Biz Sales'!S92+'Portfolio Sales'!I85</f>
        <v>6</v>
      </c>
      <c r="J172" s="51">
        <f>'New Biz Sales'!T92+'Portfolio Sales'!J85</f>
        <v>9</v>
      </c>
      <c r="K172" s="51">
        <f>'New Biz Sales'!U92+'Portfolio Sales'!K85</f>
        <v>8</v>
      </c>
      <c r="L172" s="51">
        <f>'New Biz Sales'!V92+'Portfolio Sales'!L85</f>
        <v>8</v>
      </c>
      <c r="M172" s="51">
        <f>'New Biz Sales'!W92+'Portfolio Sales'!M85</f>
        <v>6</v>
      </c>
      <c r="N172" s="51">
        <f>'New Biz Sales'!X92+'Portfolio Sales'!N85</f>
        <v>7</v>
      </c>
      <c r="O172" s="51">
        <f>'New Biz Sales'!Y92+'Portfolio Sales'!O85</f>
        <v>6</v>
      </c>
      <c r="P172" s="51">
        <f>'New Biz Sales'!Z92+'Portfolio Sales'!P85</f>
        <v>5.897344211</v>
      </c>
      <c r="Q172" s="51">
        <f>'New Biz Sales'!AA92+'Portfolio Sales'!Q85</f>
        <v>6.852210947</v>
      </c>
      <c r="R172" s="51">
        <f>'New Biz Sales'!AB92+'Portfolio Sales'!R85</f>
        <v>7.200932545</v>
      </c>
      <c r="S172" s="51">
        <f>'New Biz Sales'!AC92+'Portfolio Sales'!S85</f>
        <v>8.372845617</v>
      </c>
      <c r="T172" s="51">
        <f>'New Biz Sales'!AD92+'Portfolio Sales'!T85</f>
        <v>9.631983732</v>
      </c>
      <c r="U172" s="51">
        <f>'New Biz Sales'!AE92+'Portfolio Sales'!U85</f>
        <v>7.391388335</v>
      </c>
      <c r="V172" s="51">
        <f>'New Biz Sales'!AF92+'Portfolio Sales'!V85</f>
        <v>7.392995118</v>
      </c>
      <c r="W172" s="51">
        <f>'New Biz Sales'!AG92+'Portfolio Sales'!W85</f>
        <v>6.612356073</v>
      </c>
      <c r="X172" s="51">
        <f>'New Biz Sales'!AH92+'Portfolio Sales'!X85</f>
        <v>6.64350916</v>
      </c>
      <c r="Y172" s="51">
        <f>'New Biz Sales'!AI92+'Portfolio Sales'!Y85</f>
        <v>7.664467946</v>
      </c>
      <c r="Z172" s="51">
        <f>'New Biz Sales'!AJ92+'Portfolio Sales'!Z85</f>
        <v>9.416967184</v>
      </c>
      <c r="AA172" s="51">
        <f>'New Biz Sales'!AK92+'Portfolio Sales'!AA85</f>
        <v>9.590433187</v>
      </c>
      <c r="AB172" s="51">
        <f>'New Biz Sales'!AL92+'Portfolio Sales'!AB85</f>
        <v>9.826672456</v>
      </c>
      <c r="AC172" s="11"/>
      <c r="AD172" s="11" t="str">
        <f t="shared" si="297"/>
        <v>Deals Closed</v>
      </c>
      <c r="AE172" s="21">
        <f t="shared" si="300"/>
        <v>24.89734421</v>
      </c>
      <c r="AF172" s="21">
        <f t="shared" si="301"/>
        <v>32.05797284</v>
      </c>
      <c r="AG172" s="21">
        <f t="shared" si="298"/>
        <v>7.16062863</v>
      </c>
      <c r="AH172" s="19">
        <f t="shared" si="299"/>
        <v>0.2876061225</v>
      </c>
      <c r="AI172" s="11"/>
      <c r="AJ172" s="11"/>
      <c r="AK172" s="11" t="s">
        <v>78</v>
      </c>
      <c r="AL172" s="20">
        <f t="shared" si="302"/>
        <v>35</v>
      </c>
      <c r="AM172" s="20">
        <f t="shared" si="303"/>
        <v>31</v>
      </c>
      <c r="AN172" s="20">
        <f t="shared" si="304"/>
        <v>24.89734421</v>
      </c>
      <c r="AO172" s="20">
        <f t="shared" si="305"/>
        <v>32.05797284</v>
      </c>
      <c r="AP172" s="20">
        <f t="shared" si="306"/>
        <v>28.04024869</v>
      </c>
      <c r="AQ172" s="20">
        <f t="shared" si="307"/>
        <v>36.49854077</v>
      </c>
      <c r="AR172" s="11"/>
      <c r="AS172" s="11"/>
      <c r="AT172" s="11"/>
      <c r="AU172" s="11"/>
      <c r="AV172" s="11"/>
      <c r="AW172" s="11"/>
      <c r="AX172" s="11"/>
      <c r="AY172" s="11"/>
      <c r="AZ172" s="11"/>
      <c r="BA172" s="11"/>
      <c r="BB172" s="11"/>
      <c r="BC172" s="11"/>
      <c r="BD172" s="11"/>
      <c r="BE172" s="11"/>
      <c r="BF172" s="11"/>
      <c r="BG172" s="11"/>
      <c r="BH172" s="11"/>
      <c r="BI172" s="11"/>
      <c r="BJ172" s="11"/>
      <c r="BK172" s="11"/>
    </row>
    <row r="173" ht="15.75" customHeight="1">
      <c r="A173" s="11"/>
      <c r="B173" s="11"/>
      <c r="C173" s="11"/>
      <c r="D173" s="11" t="s">
        <v>79</v>
      </c>
      <c r="E173" s="24">
        <f>'New Biz Sales'!O100</f>
        <v>275586</v>
      </c>
      <c r="F173" s="24">
        <f>'New Biz Sales'!P100</f>
        <v>232621</v>
      </c>
      <c r="G173" s="24">
        <f>'New Biz Sales'!Q100</f>
        <v>256601</v>
      </c>
      <c r="H173" s="24">
        <f>'New Biz Sales'!R100</f>
        <v>395774</v>
      </c>
      <c r="I173" s="24">
        <f>'New Biz Sales'!S100</f>
        <v>458057</v>
      </c>
      <c r="J173" s="24">
        <f>'New Biz Sales'!T100</f>
        <v>384341</v>
      </c>
      <c r="K173" s="24">
        <f>'New Biz Sales'!U100</f>
        <v>299408</v>
      </c>
      <c r="L173" s="24">
        <f>'New Biz Sales'!V100</f>
        <v>185686</v>
      </c>
      <c r="M173" s="24">
        <f>'New Biz Sales'!W100</f>
        <v>319966</v>
      </c>
      <c r="N173" s="24">
        <f>'New Biz Sales'!X100</f>
        <v>144475</v>
      </c>
      <c r="O173" s="24">
        <f>'New Biz Sales'!Y100</f>
        <v>358700</v>
      </c>
      <c r="P173" s="24">
        <f>'New Biz Sales'!Z100</f>
        <v>15000</v>
      </c>
      <c r="Q173" s="24">
        <f>'New Biz Sales'!AA100</f>
        <v>15300</v>
      </c>
      <c r="R173" s="24">
        <f>'New Biz Sales'!AB100</f>
        <v>15300</v>
      </c>
      <c r="S173" s="24">
        <f>'New Biz Sales'!AC100</f>
        <v>15300</v>
      </c>
      <c r="T173" s="24">
        <f>'New Biz Sales'!AD100</f>
        <v>15300</v>
      </c>
      <c r="U173" s="24">
        <f>'New Biz Sales'!AE100</f>
        <v>15300</v>
      </c>
      <c r="V173" s="24">
        <f>'New Biz Sales'!AF100</f>
        <v>15606</v>
      </c>
      <c r="W173" s="24">
        <f>'New Biz Sales'!AG100</f>
        <v>15606</v>
      </c>
      <c r="X173" s="24">
        <f>'New Biz Sales'!AH100</f>
        <v>15606</v>
      </c>
      <c r="Y173" s="24">
        <f>'New Biz Sales'!AI100</f>
        <v>15606</v>
      </c>
      <c r="Z173" s="24">
        <f>'New Biz Sales'!AJ100</f>
        <v>15606</v>
      </c>
      <c r="AA173" s="24">
        <f>'New Biz Sales'!AK100</f>
        <v>15606</v>
      </c>
      <c r="AB173" s="24">
        <f>'New Biz Sales'!AL100</f>
        <v>15606</v>
      </c>
      <c r="AC173" s="11"/>
      <c r="AD173" s="11" t="str">
        <f t="shared" si="297"/>
        <v>New Client AOV</v>
      </c>
      <c r="AE173" s="12" t="str">
        <f>IFERROR(__xludf.DUMMYFUNCTION("AVERAGE.WEIGHTED(M179:P179,M178:P178)"),"#VALUE!")</f>
        <v>#VALUE!</v>
      </c>
      <c r="AF173" s="12" t="str">
        <f>IFERROR(__xludf.DUMMYFUNCTION("AVERAGE.WEIGHTED(Q179:T179,Q178:T178)"),"#VALUE!")</f>
        <v>#VALUE!</v>
      </c>
      <c r="AG173" s="12" t="str">
        <f t="shared" si="298"/>
        <v>#VALUE!</v>
      </c>
      <c r="AH173" s="19" t="str">
        <f t="shared" si="299"/>
        <v>#VALUE!</v>
      </c>
      <c r="AI173" s="11"/>
      <c r="AJ173" s="11"/>
      <c r="AK173" s="11" t="s">
        <v>79</v>
      </c>
      <c r="AL173" s="24">
        <f t="shared" ref="AL173:AL175" si="308">AVERAGE(E173:H173)</f>
        <v>290145.5</v>
      </c>
      <c r="AM173" s="24">
        <f t="shared" ref="AM173:AM175" si="309">AVERAGE(I173:L173)</f>
        <v>331873</v>
      </c>
      <c r="AN173" s="24">
        <f t="shared" ref="AN173:AN175" si="310">AVERAGE(M173:P173)</f>
        <v>209535.25</v>
      </c>
      <c r="AO173" s="24">
        <f t="shared" ref="AO173:AO175" si="311">AVERAGE(Q173:T173)</f>
        <v>15300</v>
      </c>
      <c r="AP173" s="24">
        <f t="shared" ref="AP173:AP175" si="312">AVERAGE(U173:X173)</f>
        <v>15529.5</v>
      </c>
      <c r="AQ173" s="24">
        <f t="shared" ref="AQ173:AQ175" si="313">AVERAGE(Y173:AB173)</f>
        <v>15606</v>
      </c>
      <c r="AR173" s="11"/>
      <c r="AS173" s="11"/>
      <c r="AT173" s="11"/>
      <c r="AU173" s="11"/>
      <c r="AV173" s="11"/>
      <c r="AW173" s="11"/>
      <c r="AX173" s="11"/>
      <c r="AY173" s="11"/>
      <c r="AZ173" s="11"/>
      <c r="BA173" s="11"/>
      <c r="BB173" s="11"/>
      <c r="BC173" s="11"/>
      <c r="BD173" s="11"/>
      <c r="BE173" s="11"/>
      <c r="BF173" s="11"/>
      <c r="BG173" s="11"/>
      <c r="BH173" s="11"/>
      <c r="BI173" s="11"/>
      <c r="BJ173" s="11"/>
      <c r="BK173" s="11"/>
    </row>
    <row r="174" ht="15.75" customHeight="1">
      <c r="A174" s="11"/>
      <c r="B174" s="11"/>
      <c r="C174" s="11"/>
      <c r="D174" s="11" t="s">
        <v>81</v>
      </c>
      <c r="E174" s="57">
        <f>1-Retention!O65</f>
        <v>0.94</v>
      </c>
      <c r="F174" s="57">
        <f>1-Retention!P65</f>
        <v>0.94</v>
      </c>
      <c r="G174" s="57">
        <f>1-Retention!Q65</f>
        <v>0.94</v>
      </c>
      <c r="H174" s="57">
        <f>1-Retention!R65</f>
        <v>0.94</v>
      </c>
      <c r="I174" s="57">
        <f>1-Retention!S65</f>
        <v>0.94</v>
      </c>
      <c r="J174" s="57">
        <f>1-Retention!T65</f>
        <v>0.94</v>
      </c>
      <c r="K174" s="57">
        <f>1-Retention!U65</f>
        <v>0.94</v>
      </c>
      <c r="L174" s="57">
        <f>1-Retention!V65</f>
        <v>0.94</v>
      </c>
      <c r="M174" s="57">
        <f>1-Retention!W65</f>
        <v>0.94</v>
      </c>
      <c r="N174" s="57">
        <f>1-Retention!X65</f>
        <v>0.94</v>
      </c>
      <c r="O174" s="57">
        <f>1-Retention!Y65</f>
        <v>0.94</v>
      </c>
      <c r="P174" s="57">
        <f>1-Retention!Z65</f>
        <v>0.74</v>
      </c>
      <c r="Q174" s="57">
        <f>1-Retention!AA65</f>
        <v>0.74</v>
      </c>
      <c r="R174" s="57">
        <f>1-Retention!AB65</f>
        <v>0.74</v>
      </c>
      <c r="S174" s="57">
        <f>1-Retention!AC65</f>
        <v>0.74</v>
      </c>
      <c r="T174" s="57">
        <f>1-Retention!AD65</f>
        <v>0.74</v>
      </c>
      <c r="U174" s="57">
        <f>1-Retention!AE65</f>
        <v>0.74</v>
      </c>
      <c r="V174" s="57">
        <f>1-Retention!AF65</f>
        <v>0.74</v>
      </c>
      <c r="W174" s="57">
        <f>1-Retention!AG65</f>
        <v>0.74</v>
      </c>
      <c r="X174" s="57">
        <f>1-Retention!AH65</f>
        <v>0.74</v>
      </c>
      <c r="Y174" s="57">
        <f>1-Retention!AI65</f>
        <v>0.74</v>
      </c>
      <c r="Z174" s="57">
        <f>1-Retention!AJ65</f>
        <v>0.74</v>
      </c>
      <c r="AA174" s="57">
        <f>1-Retention!AK65</f>
        <v>0.74</v>
      </c>
      <c r="AB174" s="57">
        <f>1-Retention!AL65</f>
        <v>0.74</v>
      </c>
      <c r="AC174" s="11"/>
      <c r="AD174" s="11" t="s">
        <v>81</v>
      </c>
      <c r="AE174" s="44">
        <f>P174</f>
        <v>0.74</v>
      </c>
      <c r="AF174" s="44">
        <f>T174</f>
        <v>0.74</v>
      </c>
      <c r="AG174" s="45">
        <f t="shared" si="298"/>
        <v>0</v>
      </c>
      <c r="AH174" s="44">
        <f t="shared" si="299"/>
        <v>0</v>
      </c>
      <c r="AI174" s="11"/>
      <c r="AJ174" s="11"/>
      <c r="AK174" s="11" t="s">
        <v>82</v>
      </c>
      <c r="AL174" s="19">
        <f t="shared" si="308"/>
        <v>0.94</v>
      </c>
      <c r="AM174" s="19">
        <f t="shared" si="309"/>
        <v>0.94</v>
      </c>
      <c r="AN174" s="19">
        <f t="shared" si="310"/>
        <v>0.89</v>
      </c>
      <c r="AO174" s="19">
        <f t="shared" si="311"/>
        <v>0.74</v>
      </c>
      <c r="AP174" s="19">
        <f t="shared" si="312"/>
        <v>0.74</v>
      </c>
      <c r="AQ174" s="19">
        <f t="shared" si="313"/>
        <v>0.74</v>
      </c>
      <c r="AR174" s="11"/>
      <c r="AS174" s="11"/>
      <c r="AT174" s="11"/>
      <c r="AU174" s="11"/>
      <c r="AV174" s="11"/>
      <c r="AW174" s="11"/>
      <c r="AX174" s="11"/>
      <c r="AY174" s="11"/>
      <c r="AZ174" s="11"/>
      <c r="BA174" s="11"/>
      <c r="BB174" s="11"/>
      <c r="BC174" s="11"/>
      <c r="BD174" s="11"/>
      <c r="BE174" s="11"/>
      <c r="BF174" s="11"/>
      <c r="BG174" s="11"/>
      <c r="BH174" s="11"/>
      <c r="BI174" s="11"/>
      <c r="BJ174" s="11"/>
      <c r="BK174" s="11"/>
    </row>
    <row r="175" ht="15.75" customHeight="1">
      <c r="A175" s="11"/>
      <c r="B175" s="11"/>
      <c r="C175" s="11"/>
      <c r="D175" s="33" t="s">
        <v>83</v>
      </c>
      <c r="E175" s="46">
        <f>IFERROR(Retention!O171,0)</f>
        <v>64053.01962</v>
      </c>
      <c r="F175" s="46">
        <f>IFERROR(Retention!P171,0)</f>
        <v>23818.40073</v>
      </c>
      <c r="G175" s="46">
        <f>IFERROR(Retention!Q171,0)</f>
        <v>147193.0999</v>
      </c>
      <c r="H175" s="46">
        <f>IFERROR(Retention!R171,0)</f>
        <v>99012.12472</v>
      </c>
      <c r="I175" s="46">
        <f>IFERROR(Retention!S171,0)</f>
        <v>44436.24656</v>
      </c>
      <c r="J175" s="46">
        <f>IFERROR(Retention!T171,0)</f>
        <v>74991.78136</v>
      </c>
      <c r="K175" s="46">
        <f>IFERROR(Retention!U171,0)</f>
        <v>101200.0029</v>
      </c>
      <c r="L175" s="46">
        <f>IFERROR(Retention!V171,0)</f>
        <v>103673.4283</v>
      </c>
      <c r="M175" s="46">
        <f>IFERROR(Retention!W171,0)</f>
        <v>108300.0306</v>
      </c>
      <c r="N175" s="46">
        <f>IFERROR(Retention!X171,0)</f>
        <v>85395.52252</v>
      </c>
      <c r="O175" s="46">
        <f>IFERROR(Retention!Y171,0)</f>
        <v>23263.65959</v>
      </c>
      <c r="P175" s="46">
        <f>IFERROR(Retention!Z171,0)</f>
        <v>11078.294</v>
      </c>
      <c r="Q175" s="46">
        <f>IFERROR(Retention!AA171,0)</f>
        <v>11663.48545</v>
      </c>
      <c r="R175" s="46">
        <f>IFERROR(Retention!AB171,0)</f>
        <v>12040.18812</v>
      </c>
      <c r="S175" s="46">
        <f>IFERROR(Retention!AC171,0)</f>
        <v>12313.68173</v>
      </c>
      <c r="T175" s="46">
        <f>IFERROR(Retention!AD171,0)</f>
        <v>12431.01313</v>
      </c>
      <c r="U175" s="46">
        <f>IFERROR(Retention!AE171,0)</f>
        <v>12415.43018</v>
      </c>
      <c r="V175" s="46">
        <f>IFERROR(Retention!AF171,0)</f>
        <v>12824.32065</v>
      </c>
      <c r="W175" s="46">
        <f>IFERROR(Retention!AG171,0)</f>
        <v>12959.52616</v>
      </c>
      <c r="X175" s="46">
        <f>IFERROR(Retention!AH171,0)</f>
        <v>12972.69709</v>
      </c>
      <c r="Y175" s="46">
        <f>IFERROR(Retention!AI171,0)</f>
        <v>12598.43695</v>
      </c>
      <c r="Z175" s="46">
        <f>IFERROR(Retention!AJ171,0)</f>
        <v>12617.91238</v>
      </c>
      <c r="AA175" s="46">
        <f>IFERROR(Retention!AK171,0)</f>
        <v>12712.77895</v>
      </c>
      <c r="AB175" s="46">
        <f>IFERROR(Retention!AL171,0)</f>
        <v>12725.29911</v>
      </c>
      <c r="AC175" s="11"/>
      <c r="AD175" s="33" t="str">
        <f>D175</f>
        <v>New Client LTV</v>
      </c>
      <c r="AE175" s="35" t="str">
        <f t="shared" ref="AE175:AF175" si="314">((AE173/3)*AE167)/(1-AE174)</f>
        <v>#VALUE!</v>
      </c>
      <c r="AF175" s="35" t="str">
        <f t="shared" si="314"/>
        <v>#VALUE!</v>
      </c>
      <c r="AG175" s="47" t="str">
        <f t="shared" si="298"/>
        <v>#VALUE!</v>
      </c>
      <c r="AH175" s="48" t="str">
        <f t="shared" si="299"/>
        <v>#VALUE!</v>
      </c>
      <c r="AI175" s="11"/>
      <c r="AJ175" s="11"/>
      <c r="AK175" s="33" t="s">
        <v>83</v>
      </c>
      <c r="AL175" s="35">
        <f t="shared" si="308"/>
        <v>83519.16125</v>
      </c>
      <c r="AM175" s="35">
        <f t="shared" si="309"/>
        <v>81075.36479</v>
      </c>
      <c r="AN175" s="35">
        <f t="shared" si="310"/>
        <v>57009.37667</v>
      </c>
      <c r="AO175" s="35">
        <f t="shared" si="311"/>
        <v>12112.09211</v>
      </c>
      <c r="AP175" s="35">
        <f t="shared" si="312"/>
        <v>12792.99352</v>
      </c>
      <c r="AQ175" s="35">
        <f t="shared" si="313"/>
        <v>12663.60685</v>
      </c>
      <c r="AR175" s="11"/>
      <c r="AS175" s="11"/>
      <c r="AT175" s="11"/>
      <c r="AU175" s="11"/>
      <c r="AV175" s="11"/>
      <c r="AW175" s="11"/>
      <c r="AX175" s="11"/>
      <c r="AY175" s="11"/>
      <c r="AZ175" s="11"/>
      <c r="BA175" s="11"/>
      <c r="BB175" s="11"/>
      <c r="BC175" s="11"/>
      <c r="BD175" s="11"/>
      <c r="BE175" s="11"/>
      <c r="BF175" s="11"/>
      <c r="BG175" s="11"/>
      <c r="BH175" s="11"/>
      <c r="BI175" s="11"/>
      <c r="BJ175" s="11"/>
      <c r="BK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2"/>
      <c r="AH176" s="19"/>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2"/>
      <c r="AH177" s="19"/>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row>
    <row r="178" ht="15.75" customHeight="1">
      <c r="A178" s="11"/>
      <c r="B178" s="11"/>
      <c r="C178" s="11"/>
      <c r="D178" s="11" t="s">
        <v>84</v>
      </c>
      <c r="E178" s="24"/>
      <c r="F178" s="24"/>
      <c r="G178" s="24"/>
      <c r="H178" s="24"/>
      <c r="I178" s="24"/>
      <c r="J178" s="24"/>
      <c r="K178" s="24"/>
      <c r="L178" s="24"/>
      <c r="M178" s="24">
        <f>M166-'Ops Departments'!X191</f>
        <v>0</v>
      </c>
      <c r="N178" s="24">
        <f>N166-'Ops Departments'!Y191</f>
        <v>0</v>
      </c>
      <c r="O178" s="24">
        <f>O166-'Ops Departments'!Z191</f>
        <v>0</v>
      </c>
      <c r="P178" s="24">
        <f>P166-'Ops Departments'!AA191</f>
        <v>0</v>
      </c>
      <c r="Q178" s="24">
        <f>Q166-'Ops Departments'!AB191</f>
        <v>0</v>
      </c>
      <c r="R178" s="24">
        <f>R166-'Ops Departments'!AC191</f>
        <v>0</v>
      </c>
      <c r="S178" s="24">
        <f>S166-'Ops Departments'!AD191</f>
        <v>0</v>
      </c>
      <c r="T178" s="24">
        <f>T166-'Ops Departments'!AE191</f>
        <v>0</v>
      </c>
      <c r="U178" s="24"/>
      <c r="V178" s="24"/>
      <c r="W178" s="24"/>
      <c r="X178" s="24"/>
      <c r="Y178" s="24"/>
      <c r="Z178" s="24"/>
      <c r="AA178" s="24"/>
      <c r="AB178" s="24"/>
      <c r="AC178" s="11"/>
      <c r="AD178" s="11"/>
      <c r="AE178" s="11"/>
      <c r="AF178" s="11"/>
      <c r="AG178" s="12"/>
      <c r="AH178" s="19"/>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2"/>
      <c r="AH179" s="19"/>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row>
    <row r="180" ht="15.75" customHeight="1">
      <c r="A180" s="11"/>
      <c r="B180" s="13" t="s">
        <v>96</v>
      </c>
      <c r="C180" s="11"/>
      <c r="D180" s="11"/>
      <c r="E180" s="14">
        <v>44562.0</v>
      </c>
      <c r="F180" s="14">
        <v>44593.0</v>
      </c>
      <c r="G180" s="14">
        <v>44621.0</v>
      </c>
      <c r="H180" s="14">
        <v>44652.0</v>
      </c>
      <c r="I180" s="14">
        <v>44682.0</v>
      </c>
      <c r="J180" s="14">
        <v>44713.0</v>
      </c>
      <c r="K180" s="14">
        <v>44743.0</v>
      </c>
      <c r="L180" s="14">
        <v>44774.0</v>
      </c>
      <c r="M180" s="14">
        <v>44805.0</v>
      </c>
      <c r="N180" s="14">
        <v>44835.0</v>
      </c>
      <c r="O180" s="14">
        <v>44866.0</v>
      </c>
      <c r="P180" s="14">
        <v>44896.0</v>
      </c>
      <c r="Q180" s="15">
        <v>44927.0</v>
      </c>
      <c r="R180" s="15">
        <v>44958.0</v>
      </c>
      <c r="S180" s="15">
        <v>44986.0</v>
      </c>
      <c r="T180" s="15">
        <v>45017.0</v>
      </c>
      <c r="U180" s="15">
        <v>45047.0</v>
      </c>
      <c r="V180" s="15">
        <v>45078.0</v>
      </c>
      <c r="W180" s="15">
        <v>45108.0</v>
      </c>
      <c r="X180" s="15">
        <v>45139.0</v>
      </c>
      <c r="Y180" s="15">
        <v>45170.0</v>
      </c>
      <c r="Z180" s="15">
        <v>45200.0</v>
      </c>
      <c r="AA180" s="15">
        <v>45231.0</v>
      </c>
      <c r="AB180" s="15">
        <v>45261.0</v>
      </c>
      <c r="AC180" s="11"/>
      <c r="AD180" s="11"/>
      <c r="AE180" s="16" t="s">
        <v>48</v>
      </c>
      <c r="AF180" s="17" t="s">
        <v>49</v>
      </c>
      <c r="AG180" s="18" t="s">
        <v>50</v>
      </c>
      <c r="AH180" s="49" t="s">
        <v>51</v>
      </c>
      <c r="AI180" s="11"/>
      <c r="AJ180" s="11"/>
      <c r="AK180" s="11"/>
      <c r="AL180" s="16" t="s">
        <v>52</v>
      </c>
      <c r="AM180" s="16" t="s">
        <v>53</v>
      </c>
      <c r="AN180" s="16" t="s">
        <v>48</v>
      </c>
      <c r="AO180" s="17" t="s">
        <v>49</v>
      </c>
      <c r="AP180" s="17" t="s">
        <v>54</v>
      </c>
      <c r="AQ180" s="17" t="s">
        <v>55</v>
      </c>
      <c r="AR180" s="11"/>
      <c r="AS180" s="11"/>
      <c r="AT180" s="11"/>
      <c r="AU180" s="11"/>
      <c r="AV180" s="11"/>
      <c r="AW180" s="11"/>
      <c r="AX180" s="11"/>
      <c r="AY180" s="11"/>
      <c r="AZ180" s="11"/>
      <c r="BA180" s="11"/>
      <c r="BB180" s="11"/>
      <c r="BC180" s="11"/>
      <c r="BD180" s="11"/>
      <c r="BE180" s="11"/>
      <c r="BF180" s="11"/>
      <c r="BG180" s="11"/>
      <c r="BH180" s="11"/>
      <c r="BI180" s="11"/>
      <c r="BJ180" s="11"/>
      <c r="BK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2"/>
      <c r="AH181" s="19"/>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row>
    <row r="182" ht="15.75" customHeight="1">
      <c r="A182" s="11"/>
      <c r="B182" s="11"/>
      <c r="C182" s="11"/>
      <c r="D182" s="11" t="s">
        <v>57</v>
      </c>
      <c r="E182" s="12">
        <f>Revenue!O170</f>
        <v>35731</v>
      </c>
      <c r="F182" s="12">
        <f>Revenue!P170</f>
        <v>22841</v>
      </c>
      <c r="G182" s="12">
        <f>Revenue!Q170</f>
        <v>24132</v>
      </c>
      <c r="H182" s="12">
        <f>Revenue!R170</f>
        <v>24634</v>
      </c>
      <c r="I182" s="12">
        <f>Revenue!S170</f>
        <v>24667</v>
      </c>
      <c r="J182" s="12">
        <f>Revenue!T170</f>
        <v>35176</v>
      </c>
      <c r="K182" s="12">
        <f>Revenue!U170</f>
        <v>37262</v>
      </c>
      <c r="L182" s="12">
        <f>Revenue!V170</f>
        <v>25313</v>
      </c>
      <c r="M182" s="12">
        <f>Revenue!W170</f>
        <v>36298</v>
      </c>
      <c r="N182" s="12">
        <f>Revenue!X170</f>
        <v>23322</v>
      </c>
      <c r="O182" s="12">
        <f>Revenue!Y170</f>
        <v>35512</v>
      </c>
      <c r="P182" s="12">
        <f>Revenue!Z170</f>
        <v>50000</v>
      </c>
      <c r="Q182" s="12">
        <f>Revenue!AA170</f>
        <v>50000</v>
      </c>
      <c r="R182" s="12">
        <f>Revenue!AB170</f>
        <v>50000</v>
      </c>
      <c r="S182" s="12">
        <f>Revenue!AC170</f>
        <v>50000</v>
      </c>
      <c r="T182" s="12">
        <f>Revenue!AD170</f>
        <v>50000</v>
      </c>
      <c r="U182" s="12">
        <f>Revenue!AE170</f>
        <v>50000</v>
      </c>
      <c r="V182" s="12">
        <f>Revenue!AF170</f>
        <v>50000</v>
      </c>
      <c r="W182" s="12">
        <f>Revenue!AG170</f>
        <v>50000</v>
      </c>
      <c r="X182" s="12">
        <f>Revenue!AH170</f>
        <v>50000</v>
      </c>
      <c r="Y182" s="12">
        <f>Revenue!AI170</f>
        <v>50000</v>
      </c>
      <c r="Z182" s="12">
        <f>Revenue!AJ170</f>
        <v>50000</v>
      </c>
      <c r="AA182" s="12">
        <f>Revenue!AK170</f>
        <v>50000</v>
      </c>
      <c r="AB182" s="12">
        <f>Revenue!AL170</f>
        <v>50000</v>
      </c>
      <c r="AC182" s="12"/>
      <c r="AD182" s="12" t="str">
        <f t="shared" ref="AD182:AD184" si="315">D182</f>
        <v>Project</v>
      </c>
      <c r="AE182" s="12">
        <f t="shared" ref="AE182:AE183" si="316">SUM(M182:P182)</f>
        <v>145132</v>
      </c>
      <c r="AF182" s="12">
        <f t="shared" ref="AF182:AF183" si="317">SUM(Q182:T182)</f>
        <v>200000</v>
      </c>
      <c r="AG182" s="12">
        <f t="shared" ref="AG182:AG184" si="318">AF182-AE182</f>
        <v>54868</v>
      </c>
      <c r="AH182" s="19">
        <f t="shared" ref="AH182:AH183" si="319">AF182/AE182-1</f>
        <v>0.3780558388</v>
      </c>
      <c r="AI182" s="11"/>
      <c r="AJ182" s="11"/>
      <c r="AK182" s="11"/>
      <c r="AL182" s="12">
        <f t="shared" ref="AL182:AL184" si="320">SUM(E182:H182)</f>
        <v>107338</v>
      </c>
      <c r="AM182" s="12">
        <f t="shared" ref="AM182:AM183" si="321">SUM(I182:L182)</f>
        <v>122418</v>
      </c>
      <c r="AN182" s="12">
        <f t="shared" ref="AN182:AN183" si="322">SUM(M182:P182)</f>
        <v>145132</v>
      </c>
      <c r="AO182" s="12">
        <f t="shared" ref="AO182:AO183" si="323">SUM(Q182:T182)</f>
        <v>200000</v>
      </c>
      <c r="AP182" s="12">
        <f t="shared" ref="AP182:AP183" si="324">SUM(U182:X182)</f>
        <v>200000</v>
      </c>
      <c r="AQ182" s="12">
        <f t="shared" ref="AQ182:AQ183" si="325">SUM(Y182:AB182)</f>
        <v>200000</v>
      </c>
      <c r="AR182" s="11"/>
      <c r="AS182" s="11"/>
      <c r="AT182" s="11"/>
      <c r="AU182" s="11"/>
      <c r="AV182" s="11"/>
      <c r="AW182" s="11"/>
      <c r="AX182" s="11"/>
      <c r="AY182" s="11"/>
      <c r="AZ182" s="11"/>
      <c r="BA182" s="11"/>
      <c r="BB182" s="11"/>
      <c r="BC182" s="11"/>
      <c r="BD182" s="11"/>
      <c r="BE182" s="11"/>
      <c r="BF182" s="11"/>
      <c r="BG182" s="11"/>
      <c r="BH182" s="11"/>
      <c r="BI182" s="11"/>
      <c r="BJ182" s="11"/>
      <c r="BK182" s="11"/>
    </row>
    <row r="183" ht="15.75" customHeight="1">
      <c r="A183" s="11"/>
      <c r="B183" s="11"/>
      <c r="C183" s="11"/>
      <c r="D183" s="22" t="str">
        <f>CONCATENATE(B180," Revenue")</f>
        <v>Strategy Revenue</v>
      </c>
      <c r="E183" s="23">
        <f>'Ops Departments'!P202</f>
        <v>35731</v>
      </c>
      <c r="F183" s="23">
        <f>'Ops Departments'!Q202</f>
        <v>22841</v>
      </c>
      <c r="G183" s="23">
        <f>'Ops Departments'!R202</f>
        <v>24132</v>
      </c>
      <c r="H183" s="23">
        <f>'Ops Departments'!S202</f>
        <v>24634</v>
      </c>
      <c r="I183" s="23">
        <f>'Ops Departments'!T202</f>
        <v>24667</v>
      </c>
      <c r="J183" s="23">
        <f>'Ops Departments'!U202</f>
        <v>35176</v>
      </c>
      <c r="K183" s="23">
        <f>'Ops Departments'!V202</f>
        <v>37262</v>
      </c>
      <c r="L183" s="23">
        <f>'Ops Departments'!W202</f>
        <v>82917</v>
      </c>
      <c r="M183" s="23">
        <f>'Ops Departments'!X202</f>
        <v>55833</v>
      </c>
      <c r="N183" s="23">
        <f>'Ops Departments'!Y202</f>
        <v>23322</v>
      </c>
      <c r="O183" s="23">
        <f>'Ops Departments'!Z202</f>
        <v>35512</v>
      </c>
      <c r="P183" s="23">
        <f>'Ops Departments'!AA202</f>
        <v>50000</v>
      </c>
      <c r="Q183" s="23">
        <f>'Ops Departments'!AB202</f>
        <v>50000</v>
      </c>
      <c r="R183" s="23">
        <f>'Ops Departments'!AC202</f>
        <v>50000</v>
      </c>
      <c r="S183" s="23">
        <f>'Ops Departments'!AD202</f>
        <v>50000</v>
      </c>
      <c r="T183" s="23">
        <f>'Ops Departments'!AE202</f>
        <v>50000</v>
      </c>
      <c r="U183" s="23">
        <f>'Ops Departments'!AF202</f>
        <v>50000</v>
      </c>
      <c r="V183" s="23">
        <f>'Ops Departments'!AG202</f>
        <v>50000</v>
      </c>
      <c r="W183" s="23">
        <f>'Ops Departments'!AH202</f>
        <v>50000</v>
      </c>
      <c r="X183" s="23">
        <f>'Ops Departments'!AI202</f>
        <v>50000</v>
      </c>
      <c r="Y183" s="23">
        <f>'Ops Departments'!AJ202</f>
        <v>50000</v>
      </c>
      <c r="Z183" s="23">
        <f>'Ops Departments'!AK202</f>
        <v>50000</v>
      </c>
      <c r="AA183" s="23">
        <f>'Ops Departments'!AL202</f>
        <v>50000</v>
      </c>
      <c r="AB183" s="23">
        <f>'Ops Departments'!AM202</f>
        <v>50000</v>
      </c>
      <c r="AC183" s="38"/>
      <c r="AD183" s="22" t="str">
        <f t="shared" si="315"/>
        <v>Strategy Revenue</v>
      </c>
      <c r="AE183" s="26">
        <f t="shared" si="316"/>
        <v>164667</v>
      </c>
      <c r="AF183" s="26">
        <f t="shared" si="317"/>
        <v>200000</v>
      </c>
      <c r="AG183" s="26">
        <f t="shared" si="318"/>
        <v>35333</v>
      </c>
      <c r="AH183" s="27">
        <f t="shared" si="319"/>
        <v>0.2145724401</v>
      </c>
      <c r="AI183" s="11"/>
      <c r="AJ183" s="11"/>
      <c r="AK183" s="11"/>
      <c r="AL183" s="26">
        <f t="shared" si="320"/>
        <v>107338</v>
      </c>
      <c r="AM183" s="26">
        <f t="shared" si="321"/>
        <v>180022</v>
      </c>
      <c r="AN183" s="26">
        <f t="shared" si="322"/>
        <v>164667</v>
      </c>
      <c r="AO183" s="26">
        <f t="shared" si="323"/>
        <v>200000</v>
      </c>
      <c r="AP183" s="26">
        <f t="shared" si="324"/>
        <v>200000</v>
      </c>
      <c r="AQ183" s="26">
        <f t="shared" si="325"/>
        <v>200000</v>
      </c>
      <c r="AR183" s="11"/>
      <c r="AS183" s="11"/>
      <c r="AT183" s="11"/>
      <c r="AU183" s="11"/>
      <c r="AV183" s="11"/>
      <c r="AW183" s="11"/>
      <c r="AX183" s="11"/>
      <c r="AY183" s="11"/>
      <c r="AZ183" s="11"/>
      <c r="BA183" s="11"/>
      <c r="BB183" s="11"/>
      <c r="BC183" s="11"/>
      <c r="BD183" s="11"/>
      <c r="BE183" s="11"/>
      <c r="BF183" s="11"/>
      <c r="BG183" s="11"/>
      <c r="BH183" s="11"/>
      <c r="BI183" s="11"/>
      <c r="BJ183" s="11"/>
      <c r="BK183" s="11"/>
    </row>
    <row r="184" ht="15.75" customHeight="1">
      <c r="A184" s="11"/>
      <c r="B184" s="11"/>
      <c r="C184" s="11"/>
      <c r="D184" s="11" t="s">
        <v>60</v>
      </c>
      <c r="E184" s="20">
        <f>'Ops Departments'!L202-'Ops Departments'!K202</f>
        <v>-5876</v>
      </c>
      <c r="F184" s="20">
        <f>'Ops Departments'!M202-'Ops Departments'!L202</f>
        <v>18365</v>
      </c>
      <c r="G184" s="20">
        <f>'Ops Departments'!N202-'Ops Departments'!M202</f>
        <v>-8298</v>
      </c>
      <c r="H184" s="20">
        <f>'Ops Departments'!O202-'Ops Departments'!N202</f>
        <v>-10172</v>
      </c>
      <c r="I184" s="20">
        <f>'Ops Departments'!P202-'Ops Departments'!O202</f>
        <v>15185</v>
      </c>
      <c r="J184" s="20">
        <f>'Ops Departments'!Q202-'Ops Departments'!P202</f>
        <v>-12890</v>
      </c>
      <c r="K184" s="20">
        <f>'Ops Departments'!R202-'Ops Departments'!Q202</f>
        <v>1291</v>
      </c>
      <c r="L184" s="20">
        <f>'Ops Departments'!S202-'Ops Departments'!R202</f>
        <v>502</v>
      </c>
      <c r="M184" s="20">
        <f>'Ops Departments'!T202-'Ops Departments'!S202</f>
        <v>33</v>
      </c>
      <c r="N184" s="20">
        <f>'Ops Departments'!U202-'Ops Departments'!T202</f>
        <v>10509</v>
      </c>
      <c r="O184" s="20">
        <f>'Ops Departments'!V202-'Ops Departments'!U202</f>
        <v>2086</v>
      </c>
      <c r="P184" s="20">
        <f>'Ops Departments'!W202-'Ops Departments'!V202</f>
        <v>45655</v>
      </c>
      <c r="Q184" s="20">
        <f>'Ops Departments'!X202-'Ops Departments'!W202</f>
        <v>-27084</v>
      </c>
      <c r="R184" s="20">
        <f>'Ops Departments'!Y202-'Ops Departments'!X202</f>
        <v>-32511</v>
      </c>
      <c r="S184" s="20">
        <f>'Ops Departments'!Z202-'Ops Departments'!Y202</f>
        <v>12190</v>
      </c>
      <c r="T184" s="20">
        <f>'Ops Departments'!AA202-'Ops Departments'!Z202</f>
        <v>14488</v>
      </c>
      <c r="U184" s="20">
        <f>'Ops Departments'!AB202-'Ops Departments'!AA202</f>
        <v>0</v>
      </c>
      <c r="V184" s="20">
        <f>'Ops Departments'!AC202-'Ops Departments'!AB202</f>
        <v>0</v>
      </c>
      <c r="W184" s="20">
        <f>'Ops Departments'!AD202-'Ops Departments'!AC202</f>
        <v>0</v>
      </c>
      <c r="X184" s="20">
        <f>'Ops Departments'!AE202-'Ops Departments'!AD202</f>
        <v>0</v>
      </c>
      <c r="Y184" s="20">
        <f>'Ops Departments'!AF202-'Ops Departments'!AE202</f>
        <v>0</v>
      </c>
      <c r="Z184" s="20">
        <f>'Ops Departments'!AG202-'Ops Departments'!AF202</f>
        <v>0</v>
      </c>
      <c r="AA184" s="20">
        <f>'Ops Departments'!AH202-'Ops Departments'!AG202</f>
        <v>0</v>
      </c>
      <c r="AB184" s="20">
        <f>'Ops Departments'!AI202-'Ops Departments'!AH202</f>
        <v>0</v>
      </c>
      <c r="AC184" s="20"/>
      <c r="AD184" s="11" t="str">
        <f t="shared" si="315"/>
        <v>  NNR</v>
      </c>
      <c r="AE184" s="20">
        <f>AN183-AM183</f>
        <v>-15355</v>
      </c>
      <c r="AF184" s="20">
        <f>AF183-AE183</f>
        <v>35333</v>
      </c>
      <c r="AG184" s="21">
        <f t="shared" si="318"/>
        <v>50688</v>
      </c>
      <c r="AH184" s="19"/>
      <c r="AI184" s="11"/>
      <c r="AJ184" s="11"/>
      <c r="AK184" s="11"/>
      <c r="AL184" s="20">
        <f t="shared" si="320"/>
        <v>-5981</v>
      </c>
      <c r="AM184" s="20">
        <f t="shared" ref="AM184:AQ184" si="326">AM183-AL183</f>
        <v>72684</v>
      </c>
      <c r="AN184" s="20">
        <f t="shared" si="326"/>
        <v>-15355</v>
      </c>
      <c r="AO184" s="20">
        <f t="shared" si="326"/>
        <v>35333</v>
      </c>
      <c r="AP184" s="20">
        <f t="shared" si="326"/>
        <v>0</v>
      </c>
      <c r="AQ184" s="20">
        <f t="shared" si="326"/>
        <v>0</v>
      </c>
      <c r="AR184" s="58"/>
      <c r="AS184" s="11"/>
      <c r="AT184" s="11"/>
      <c r="AU184" s="11"/>
      <c r="AV184" s="11"/>
      <c r="AW184" s="11"/>
      <c r="AX184" s="11"/>
      <c r="AY184" s="11"/>
      <c r="AZ184" s="11"/>
      <c r="BA184" s="11"/>
      <c r="BB184" s="11"/>
      <c r="BC184" s="11"/>
      <c r="BD184" s="11"/>
      <c r="BE184" s="11"/>
      <c r="BF184" s="11"/>
      <c r="BG184" s="11"/>
      <c r="BH184" s="11"/>
      <c r="BI184" s="11"/>
      <c r="BJ184" s="11"/>
      <c r="BK184" s="11"/>
    </row>
    <row r="185" ht="15.75" customHeight="1">
      <c r="A185" s="11"/>
      <c r="B185" s="11"/>
      <c r="C185" s="11"/>
      <c r="D185" s="11" t="s">
        <v>61</v>
      </c>
      <c r="E185" s="19">
        <f>'Ops Departments'!L202/'Ops Departments'!K202-1</f>
        <v>-0.2215101595</v>
      </c>
      <c r="F185" s="19">
        <f>'Ops Departments'!M202/'Ops Departments'!L202-1</f>
        <v>0.8893031814</v>
      </c>
      <c r="G185" s="19">
        <f>'Ops Departments'!N202/'Ops Departments'!M202-1</f>
        <v>-0.2126819766</v>
      </c>
      <c r="H185" s="19">
        <f>'Ops Departments'!O202/'Ops Departments'!N202-1</f>
        <v>-0.3311413503</v>
      </c>
      <c r="I185" s="19">
        <f>'Ops Departments'!P202/'Ops Departments'!O202-1</f>
        <v>0.7390732989</v>
      </c>
      <c r="J185" s="19">
        <f>'Ops Departments'!Q202/'Ops Departments'!P202-1</f>
        <v>-0.3607511685</v>
      </c>
      <c r="K185" s="19">
        <f>'Ops Departments'!R202/'Ops Departments'!Q202-1</f>
        <v>0.05652116807</v>
      </c>
      <c r="L185" s="19">
        <f>'Ops Departments'!S202/'Ops Departments'!R202-1</f>
        <v>0.02080225427</v>
      </c>
      <c r="M185" s="19">
        <f>'Ops Departments'!T202/'Ops Departments'!S202-1</f>
        <v>0.001339611918</v>
      </c>
      <c r="N185" s="19">
        <f>'Ops Departments'!U202/'Ops Departments'!T202-1</f>
        <v>0.4260347833</v>
      </c>
      <c r="O185" s="19">
        <f>'Ops Departments'!V202/'Ops Departments'!U202-1</f>
        <v>0.05930179668</v>
      </c>
      <c r="P185" s="19">
        <f>'Ops Departments'!W202/'Ops Departments'!V202-1</f>
        <v>1.225242875</v>
      </c>
      <c r="Q185" s="19">
        <f>'Ops Departments'!X202/'Ops Departments'!W202-1</f>
        <v>-0.3266398929</v>
      </c>
      <c r="R185" s="19">
        <f>'Ops Departments'!Y202/'Ops Departments'!X202-1</f>
        <v>-0.5822900435</v>
      </c>
      <c r="S185" s="19">
        <f>'Ops Departments'!Z202/'Ops Departments'!Y202-1</f>
        <v>0.5226824458</v>
      </c>
      <c r="T185" s="19">
        <f>'Ops Departments'!AA202/'Ops Departments'!Z202-1</f>
        <v>0.4079747691</v>
      </c>
      <c r="U185" s="19">
        <f>'Ops Departments'!AB202/'Ops Departments'!AA202-1</f>
        <v>0</v>
      </c>
      <c r="V185" s="19">
        <f>'Ops Departments'!AC202/'Ops Departments'!AB202-1</f>
        <v>0</v>
      </c>
      <c r="W185" s="19">
        <f>'Ops Departments'!AD202/'Ops Departments'!AC202-1</f>
        <v>0</v>
      </c>
      <c r="X185" s="19">
        <f>'Ops Departments'!AE202/'Ops Departments'!AD202-1</f>
        <v>0</v>
      </c>
      <c r="Y185" s="19">
        <f>'Ops Departments'!AF202/'Ops Departments'!AE202-1</f>
        <v>0</v>
      </c>
      <c r="Z185" s="19">
        <f>'Ops Departments'!AG202/'Ops Departments'!AF202-1</f>
        <v>0</v>
      </c>
      <c r="AA185" s="19">
        <f>'Ops Departments'!AH202/'Ops Departments'!AG202-1</f>
        <v>0</v>
      </c>
      <c r="AB185" s="19">
        <f>'Ops Departments'!AI202/'Ops Departments'!AH202-1</f>
        <v>0</v>
      </c>
      <c r="AC185" s="19"/>
      <c r="AD185" s="11" t="s">
        <v>62</v>
      </c>
      <c r="AE185" s="19">
        <f>AN183/AM183-1</f>
        <v>-0.0852951306</v>
      </c>
      <c r="AF185" s="19">
        <f>AF183/AE183-1</f>
        <v>0.2145724401</v>
      </c>
      <c r="AG185" s="12"/>
      <c r="AH185" s="19"/>
      <c r="AI185" s="11"/>
      <c r="AJ185" s="11"/>
      <c r="AK185" s="11"/>
      <c r="AL185" s="19"/>
      <c r="AM185" s="19">
        <f t="shared" ref="AM185:AQ185" si="327">AM183/AL183-1</f>
        <v>0.6771506829</v>
      </c>
      <c r="AN185" s="19">
        <f t="shared" si="327"/>
        <v>-0.0852951306</v>
      </c>
      <c r="AO185" s="19">
        <f t="shared" si="327"/>
        <v>0.2145724401</v>
      </c>
      <c r="AP185" s="19">
        <f t="shared" si="327"/>
        <v>0</v>
      </c>
      <c r="AQ185" s="19">
        <f t="shared" si="327"/>
        <v>0</v>
      </c>
      <c r="AR185" s="58"/>
      <c r="AS185" s="11"/>
      <c r="AT185" s="11"/>
      <c r="AU185" s="11"/>
      <c r="AV185" s="11"/>
      <c r="AW185" s="11"/>
      <c r="AX185" s="11"/>
      <c r="AY185" s="11"/>
      <c r="AZ185" s="11"/>
      <c r="BA185" s="11"/>
      <c r="BB185" s="11"/>
      <c r="BC185" s="11"/>
      <c r="BD185" s="11"/>
      <c r="BE185" s="11"/>
      <c r="BF185" s="11"/>
      <c r="BG185" s="11"/>
      <c r="BH185" s="11"/>
      <c r="BI185" s="11"/>
      <c r="BJ185" s="11"/>
      <c r="BK185" s="11"/>
    </row>
    <row r="186" ht="15.75" customHeight="1">
      <c r="A186" s="11"/>
      <c r="B186" s="11"/>
      <c r="C186" s="11"/>
      <c r="D186" s="11"/>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11"/>
      <c r="AE186" s="20"/>
      <c r="AF186" s="20"/>
      <c r="AG186" s="12"/>
      <c r="AH186" s="19"/>
      <c r="AI186" s="11"/>
      <c r="AJ186" s="11"/>
      <c r="AK186" s="11"/>
      <c r="AL186" s="20"/>
      <c r="AM186" s="20"/>
      <c r="AN186" s="20"/>
      <c r="AO186" s="20"/>
      <c r="AP186" s="20"/>
      <c r="AQ186" s="20"/>
      <c r="AR186" s="58"/>
      <c r="AS186" s="11"/>
      <c r="AT186" s="11"/>
      <c r="AU186" s="11"/>
      <c r="AV186" s="11"/>
      <c r="AW186" s="11"/>
      <c r="AX186" s="11"/>
      <c r="AY186" s="11"/>
      <c r="AZ186" s="11"/>
      <c r="BA186" s="11"/>
      <c r="BB186" s="11"/>
      <c r="BC186" s="11"/>
      <c r="BD186" s="11"/>
      <c r="BE186" s="11"/>
      <c r="BF186" s="11"/>
      <c r="BG186" s="11"/>
      <c r="BH186" s="11"/>
      <c r="BI186" s="11"/>
      <c r="BJ186" s="11"/>
      <c r="BK186" s="11"/>
    </row>
    <row r="187" ht="15.75" customHeight="1">
      <c r="A187" s="11" t="s">
        <v>96</v>
      </c>
      <c r="B187" s="11" t="s">
        <v>63</v>
      </c>
      <c r="C187" s="11"/>
      <c r="D187" s="11" t="s">
        <v>64</v>
      </c>
      <c r="E187" s="53">
        <f>SUMIFS('Ops Departments'!P:P,'Ops Departments'!$B:$B,$B187,'Ops Departments'!$A:$A,$A187)</f>
        <v>20971</v>
      </c>
      <c r="F187" s="53">
        <f>SUMIFS('Ops Departments'!Q:Q,'Ops Departments'!$B:$B,$B187,'Ops Departments'!$A:$A,$A187)</f>
        <v>16404</v>
      </c>
      <c r="G187" s="53">
        <f>SUMIFS('Ops Departments'!R:R,'Ops Departments'!$B:$B,$B187,'Ops Departments'!$A:$A,$A187)</f>
        <v>19331</v>
      </c>
      <c r="H187" s="53">
        <f>SUMIFS('Ops Departments'!S:S,'Ops Departments'!$B:$B,$B187,'Ops Departments'!$A:$A,$A187)</f>
        <v>16169</v>
      </c>
      <c r="I187" s="53">
        <f>SUMIFS('Ops Departments'!T:T,'Ops Departments'!$B:$B,$B187,'Ops Departments'!$A:$A,$A187)</f>
        <v>24931</v>
      </c>
      <c r="J187" s="53">
        <f>SUMIFS('Ops Departments'!U:U,'Ops Departments'!$B:$B,$B187,'Ops Departments'!$A:$A,$A187)</f>
        <v>15559</v>
      </c>
      <c r="K187" s="53">
        <f>SUMIFS('Ops Departments'!V:V,'Ops Departments'!$B:$B,$B187,'Ops Departments'!$A:$A,$A187)</f>
        <v>12965</v>
      </c>
      <c r="L187" s="53">
        <f>SUMIFS('Ops Departments'!W:W,'Ops Departments'!$B:$B,$B187,'Ops Departments'!$A:$A,$A187)</f>
        <v>21523</v>
      </c>
      <c r="M187" s="53">
        <f>SUMIFS('Ops Departments'!X:X,'Ops Departments'!$B:$B,$B187,'Ops Departments'!$A:$A,$A187)</f>
        <v>19982</v>
      </c>
      <c r="N187" s="53">
        <f>SUMIFS('Ops Departments'!Y:Y,'Ops Departments'!$B:$B,$B187,'Ops Departments'!$A:$A,$A187)</f>
        <v>19754</v>
      </c>
      <c r="O187" s="53">
        <f>SUMIFS('Ops Departments'!Z:Z,'Ops Departments'!$B:$B,$B187,'Ops Departments'!$A:$A,$A187)</f>
        <v>24574</v>
      </c>
      <c r="P187" s="53">
        <f>SUMIFS('Ops Departments'!AA:AA,'Ops Departments'!$B:$B,$B187,'Ops Departments'!$A:$A,$A187)</f>
        <v>3962.890044</v>
      </c>
      <c r="Q187" s="53">
        <f>SUMIFS('Ops Departments'!AB:AB,'Ops Departments'!$B:$B,$B187,'Ops Departments'!$A:$A,$A187)</f>
        <v>4101.135894</v>
      </c>
      <c r="R187" s="53">
        <f>SUMIFS('Ops Departments'!AC:AC,'Ops Departments'!$B:$B,$B187,'Ops Departments'!$A:$A,$A187)</f>
        <v>4101.135894</v>
      </c>
      <c r="S187" s="53">
        <f>SUMIFS('Ops Departments'!AD:AD,'Ops Departments'!$B:$B,$B187,'Ops Departments'!$A:$A,$A187)</f>
        <v>4101.135894</v>
      </c>
      <c r="T187" s="53">
        <f>SUMIFS('Ops Departments'!AE:AE,'Ops Departments'!$B:$B,$B187,'Ops Departments'!$A:$A,$A187)</f>
        <v>4101.135894</v>
      </c>
      <c r="U187" s="53">
        <f>SUMIFS('Ops Departments'!AF:AF,'Ops Departments'!$B:$B,$B187,'Ops Departments'!$A:$A,$A187)</f>
        <v>4245.602808</v>
      </c>
      <c r="V187" s="53">
        <f>SUMIFS('Ops Departments'!AG:AG,'Ops Departments'!$B:$B,$B187,'Ops Departments'!$A:$A,$A187)</f>
        <v>4245.602808</v>
      </c>
      <c r="W187" s="53">
        <f>SUMIFS('Ops Departments'!AH:AH,'Ops Departments'!$B:$B,$B187,'Ops Departments'!$A:$A,$A187)</f>
        <v>4245.602808</v>
      </c>
      <c r="X187" s="53">
        <f>SUMIFS('Ops Departments'!AI:AI,'Ops Departments'!$B:$B,$B187,'Ops Departments'!$A:$A,$A187)</f>
        <v>4245.602808</v>
      </c>
      <c r="Y187" s="53">
        <f>SUMIFS('Ops Departments'!AJ:AJ,'Ops Departments'!$B:$B,$B187,'Ops Departments'!$A:$A,$A187)</f>
        <v>4396.570732</v>
      </c>
      <c r="Z187" s="53">
        <f>SUMIFS('Ops Departments'!AK:AK,'Ops Departments'!$B:$B,$B187,'Ops Departments'!$A:$A,$A187)</f>
        <v>4396.570732</v>
      </c>
      <c r="AA187" s="53">
        <f>SUMIFS('Ops Departments'!AL:AL,'Ops Departments'!$B:$B,$B187,'Ops Departments'!$A:$A,$A187)</f>
        <v>4396.570732</v>
      </c>
      <c r="AB187" s="53">
        <f>SUMIFS('Ops Departments'!AM:AM,'Ops Departments'!$B:$B,$B187,'Ops Departments'!$A:$A,$A187)</f>
        <v>4396.570732</v>
      </c>
      <c r="AC187" s="12"/>
      <c r="AD187" s="12" t="str">
        <f t="shared" ref="AD187:AD192" si="328">D187</f>
        <v>Payroll &amp; Related</v>
      </c>
      <c r="AE187" s="12">
        <f t="shared" ref="AE187:AE192" si="329">SUM(M187:P187)</f>
        <v>68272.89004</v>
      </c>
      <c r="AF187" s="12">
        <f t="shared" ref="AF187:AF192" si="330">SUM(Q187:T187)</f>
        <v>16404.54358</v>
      </c>
      <c r="AG187" s="12">
        <f t="shared" ref="AG187:AG192" si="331">AE187-AF187</f>
        <v>51868.34647</v>
      </c>
      <c r="AH187" s="19">
        <f>AF187/AE187-1</f>
        <v>-0.7597209732</v>
      </c>
      <c r="AI187" s="11"/>
      <c r="AJ187" s="11"/>
      <c r="AK187" s="11"/>
      <c r="AL187" s="12">
        <f t="shared" ref="AL187:AL194" si="332">SUM(E187:H187)</f>
        <v>72875</v>
      </c>
      <c r="AM187" s="12">
        <f t="shared" ref="AM187:AM194" si="333">SUM(I187:L187)</f>
        <v>74978</v>
      </c>
      <c r="AN187" s="12">
        <f t="shared" ref="AN187:AN194" si="334">SUM(M187:P187)</f>
        <v>68272.89004</v>
      </c>
      <c r="AO187" s="12">
        <f t="shared" ref="AO187:AO194" si="335">SUM(Q187:T187)</f>
        <v>16404.54358</v>
      </c>
      <c r="AP187" s="12">
        <f t="shared" ref="AP187:AP194" si="336">SUM(U187:X187)</f>
        <v>16982.41123</v>
      </c>
      <c r="AQ187" s="12">
        <f t="shared" ref="AQ187:AQ194" si="337">SUM(Y187:AB187)</f>
        <v>17586.28293</v>
      </c>
      <c r="AR187" s="58"/>
      <c r="AS187" s="11"/>
      <c r="AT187" s="11"/>
      <c r="AU187" s="11"/>
      <c r="AV187" s="11"/>
      <c r="AW187" s="11"/>
      <c r="AX187" s="11"/>
      <c r="AY187" s="11"/>
      <c r="AZ187" s="11"/>
      <c r="BA187" s="11"/>
      <c r="BB187" s="11"/>
      <c r="BC187" s="11"/>
      <c r="BD187" s="11"/>
      <c r="BE187" s="11"/>
      <c r="BF187" s="11"/>
      <c r="BG187" s="11"/>
      <c r="BH187" s="11"/>
      <c r="BI187" s="11"/>
      <c r="BJ187" s="11"/>
      <c r="BK187" s="11"/>
    </row>
    <row r="188" ht="15.75" customHeight="1">
      <c r="A188" s="11" t="s">
        <v>96</v>
      </c>
      <c r="B188" s="11" t="s">
        <v>65</v>
      </c>
      <c r="C188" s="11"/>
      <c r="D188" s="11" t="s">
        <v>66</v>
      </c>
      <c r="E188" s="53">
        <f>SUMIFS('Ops Departments'!P:P,'Ops Departments'!$B:$B,$B188,'Ops Departments'!$A:$A,$A188)</f>
        <v>30</v>
      </c>
      <c r="F188" s="53">
        <f>SUMIFS('Ops Departments'!Q:Q,'Ops Departments'!$B:$B,$B188,'Ops Departments'!$A:$A,$A188)</f>
        <v>3735</v>
      </c>
      <c r="G188" s="53">
        <f>SUMIFS('Ops Departments'!R:R,'Ops Departments'!$B:$B,$B188,'Ops Departments'!$A:$A,$A188)</f>
        <v>336</v>
      </c>
      <c r="H188" s="53">
        <f>SUMIFS('Ops Departments'!S:S,'Ops Departments'!$B:$B,$B188,'Ops Departments'!$A:$A,$A188)</f>
        <v>2614</v>
      </c>
      <c r="I188" s="53">
        <f>SUMIFS('Ops Departments'!T:T,'Ops Departments'!$B:$B,$B188,'Ops Departments'!$A:$A,$A188)</f>
        <v>3054</v>
      </c>
      <c r="J188" s="53">
        <f>SUMIFS('Ops Departments'!U:U,'Ops Departments'!$B:$B,$B188,'Ops Departments'!$A:$A,$A188)</f>
        <v>1136</v>
      </c>
      <c r="K188" s="53">
        <f>SUMIFS('Ops Departments'!V:V,'Ops Departments'!$B:$B,$B188,'Ops Departments'!$A:$A,$A188)</f>
        <v>2772</v>
      </c>
      <c r="L188" s="53">
        <f>SUMIFS('Ops Departments'!W:W,'Ops Departments'!$B:$B,$B188,'Ops Departments'!$A:$A,$A188)</f>
        <v>969</v>
      </c>
      <c r="M188" s="53">
        <f>SUMIFS('Ops Departments'!X:X,'Ops Departments'!$B:$B,$B188,'Ops Departments'!$A:$A,$A188)</f>
        <v>3069</v>
      </c>
      <c r="N188" s="53">
        <f>SUMIFS('Ops Departments'!Y:Y,'Ops Departments'!$B:$B,$B188,'Ops Departments'!$A:$A,$A188)</f>
        <v>1127</v>
      </c>
      <c r="O188" s="53">
        <f>SUMIFS('Ops Departments'!Z:Z,'Ops Departments'!$B:$B,$B188,'Ops Departments'!$A:$A,$A188)</f>
        <v>3273</v>
      </c>
      <c r="P188" s="53">
        <f>SUMIFS('Ops Departments'!AA:AA,'Ops Departments'!$B:$B,$B188,'Ops Departments'!$A:$A,$A188)</f>
        <v>0</v>
      </c>
      <c r="Q188" s="53">
        <f>SUMIFS('Ops Departments'!AB:AB,'Ops Departments'!$B:$B,$B188,'Ops Departments'!$A:$A,$A188)</f>
        <v>0</v>
      </c>
      <c r="R188" s="53">
        <f>SUMIFS('Ops Departments'!AC:AC,'Ops Departments'!$B:$B,$B188,'Ops Departments'!$A:$A,$A188)</f>
        <v>0</v>
      </c>
      <c r="S188" s="53">
        <f>SUMIFS('Ops Departments'!AD:AD,'Ops Departments'!$B:$B,$B188,'Ops Departments'!$A:$A,$A188)</f>
        <v>0</v>
      </c>
      <c r="T188" s="53">
        <f>SUMIFS('Ops Departments'!AE:AE,'Ops Departments'!$B:$B,$B188,'Ops Departments'!$A:$A,$A188)</f>
        <v>0</v>
      </c>
      <c r="U188" s="53">
        <f>SUMIFS('Ops Departments'!AF:AF,'Ops Departments'!$B:$B,$B188,'Ops Departments'!$A:$A,$A188)</f>
        <v>0</v>
      </c>
      <c r="V188" s="53">
        <f>SUMIFS('Ops Departments'!AG:AG,'Ops Departments'!$B:$B,$B188,'Ops Departments'!$A:$A,$A188)</f>
        <v>0</v>
      </c>
      <c r="W188" s="53">
        <f>SUMIFS('Ops Departments'!AH:AH,'Ops Departments'!$B:$B,$B188,'Ops Departments'!$A:$A,$A188)</f>
        <v>0</v>
      </c>
      <c r="X188" s="53">
        <f>SUMIFS('Ops Departments'!AI:AI,'Ops Departments'!$B:$B,$B188,'Ops Departments'!$A:$A,$A188)</f>
        <v>0</v>
      </c>
      <c r="Y188" s="53">
        <f>SUMIFS('Ops Departments'!AJ:AJ,'Ops Departments'!$B:$B,$B188,'Ops Departments'!$A:$A,$A188)</f>
        <v>0</v>
      </c>
      <c r="Z188" s="53">
        <f>SUMIFS('Ops Departments'!AK:AK,'Ops Departments'!$B:$B,$B188,'Ops Departments'!$A:$A,$A188)</f>
        <v>0</v>
      </c>
      <c r="AA188" s="53">
        <f>SUMIFS('Ops Departments'!AL:AL,'Ops Departments'!$B:$B,$B188,'Ops Departments'!$A:$A,$A188)</f>
        <v>0</v>
      </c>
      <c r="AB188" s="53">
        <f>SUMIFS('Ops Departments'!AM:AM,'Ops Departments'!$B:$B,$B188,'Ops Departments'!$A:$A,$A188)</f>
        <v>0</v>
      </c>
      <c r="AC188" s="20"/>
      <c r="AD188" s="12" t="str">
        <f t="shared" si="328"/>
        <v>Contractors</v>
      </c>
      <c r="AE188" s="21">
        <f t="shared" si="329"/>
        <v>7469</v>
      </c>
      <c r="AF188" s="21">
        <f t="shared" si="330"/>
        <v>0</v>
      </c>
      <c r="AG188" s="12">
        <f t="shared" si="331"/>
        <v>7469</v>
      </c>
      <c r="AH188" s="19"/>
      <c r="AI188" s="11"/>
      <c r="AJ188" s="11"/>
      <c r="AK188" s="11"/>
      <c r="AL188" s="21">
        <f t="shared" si="332"/>
        <v>6715</v>
      </c>
      <c r="AM188" s="21">
        <f t="shared" si="333"/>
        <v>7931</v>
      </c>
      <c r="AN188" s="29">
        <f t="shared" si="334"/>
        <v>7469</v>
      </c>
      <c r="AO188" s="21">
        <f t="shared" si="335"/>
        <v>0</v>
      </c>
      <c r="AP188" s="21">
        <f t="shared" si="336"/>
        <v>0</v>
      </c>
      <c r="AQ188" s="29">
        <f t="shared" si="337"/>
        <v>0</v>
      </c>
      <c r="AR188" s="58"/>
      <c r="AS188" s="11"/>
      <c r="AT188" s="11"/>
      <c r="AU188" s="11"/>
      <c r="AV188" s="11"/>
      <c r="AW188" s="11"/>
      <c r="AX188" s="11"/>
      <c r="AY188" s="11"/>
      <c r="AZ188" s="11"/>
      <c r="BA188" s="11"/>
      <c r="BB188" s="11"/>
      <c r="BC188" s="11"/>
      <c r="BD188" s="11"/>
      <c r="BE188" s="11"/>
      <c r="BF188" s="11"/>
      <c r="BG188" s="11"/>
      <c r="BH188" s="11"/>
      <c r="BI188" s="11"/>
      <c r="BJ188" s="11"/>
      <c r="BK188" s="11"/>
    </row>
    <row r="189" ht="15.75" customHeight="1">
      <c r="A189" s="11" t="s">
        <v>96</v>
      </c>
      <c r="B189" s="11" t="s">
        <v>67</v>
      </c>
      <c r="C189" s="11"/>
      <c r="D189" s="11" t="s">
        <v>68</v>
      </c>
      <c r="E189" s="53">
        <f>SUMIFS('Ops Departments'!P:P,'Ops Departments'!$B:$B,$B189,'Ops Departments'!$A:$A,$A189)</f>
        <v>8376</v>
      </c>
      <c r="F189" s="53">
        <f>SUMIFS('Ops Departments'!Q:Q,'Ops Departments'!$B:$B,$B189,'Ops Departments'!$A:$A,$A189)</f>
        <v>6609</v>
      </c>
      <c r="G189" s="53">
        <f>SUMIFS('Ops Departments'!R:R,'Ops Departments'!$B:$B,$B189,'Ops Departments'!$A:$A,$A189)</f>
        <v>10203</v>
      </c>
      <c r="H189" s="53">
        <f>SUMIFS('Ops Departments'!S:S,'Ops Departments'!$B:$B,$B189,'Ops Departments'!$A:$A,$A189)</f>
        <v>10441</v>
      </c>
      <c r="I189" s="53">
        <f>SUMIFS('Ops Departments'!T:T,'Ops Departments'!$B:$B,$B189,'Ops Departments'!$A:$A,$A189)</f>
        <v>5114</v>
      </c>
      <c r="J189" s="53">
        <f>SUMIFS('Ops Departments'!U:U,'Ops Departments'!$B:$B,$B189,'Ops Departments'!$A:$A,$A189)</f>
        <v>6717</v>
      </c>
      <c r="K189" s="53">
        <f>SUMIFS('Ops Departments'!V:V,'Ops Departments'!$B:$B,$B189,'Ops Departments'!$A:$A,$A189)</f>
        <v>8747</v>
      </c>
      <c r="L189" s="53">
        <f>SUMIFS('Ops Departments'!W:W,'Ops Departments'!$B:$B,$B189,'Ops Departments'!$A:$A,$A189)</f>
        <v>5307</v>
      </c>
      <c r="M189" s="53">
        <f>SUMIFS('Ops Departments'!X:X,'Ops Departments'!$B:$B,$B189,'Ops Departments'!$A:$A,$A189)</f>
        <v>11906</v>
      </c>
      <c r="N189" s="53">
        <f>SUMIFS('Ops Departments'!Y:Y,'Ops Departments'!$B:$B,$B189,'Ops Departments'!$A:$A,$A189)</f>
        <v>12247</v>
      </c>
      <c r="O189" s="53">
        <f>SUMIFS('Ops Departments'!Z:Z,'Ops Departments'!$B:$B,$B189,'Ops Departments'!$A:$A,$A189)</f>
        <v>5864</v>
      </c>
      <c r="P189" s="53">
        <f>SUMIFS('Ops Departments'!AA:AA,'Ops Departments'!$B:$B,$B189,'Ops Departments'!$A:$A,$A189)</f>
        <v>470.55105</v>
      </c>
      <c r="Q189" s="53">
        <f>SUMIFS('Ops Departments'!AB:AB,'Ops Departments'!$B:$B,$B189,'Ops Departments'!$A:$A,$A189)</f>
        <v>517.606155</v>
      </c>
      <c r="R189" s="53">
        <f>SUMIFS('Ops Departments'!AC:AC,'Ops Departments'!$B:$B,$B189,'Ops Departments'!$A:$A,$A189)</f>
        <v>522.7822166</v>
      </c>
      <c r="S189" s="53">
        <f>SUMIFS('Ops Departments'!AD:AD,'Ops Departments'!$B:$B,$B189,'Ops Departments'!$A:$A,$A189)</f>
        <v>528.0100387</v>
      </c>
      <c r="T189" s="53">
        <f>SUMIFS('Ops Departments'!AE:AE,'Ops Departments'!$B:$B,$B189,'Ops Departments'!$A:$A,$A189)</f>
        <v>533.2901391</v>
      </c>
      <c r="U189" s="53">
        <f>SUMIFS('Ops Departments'!AF:AF,'Ops Departments'!$B:$B,$B189,'Ops Departments'!$A:$A,$A189)</f>
        <v>538.6230405</v>
      </c>
      <c r="V189" s="53">
        <f>SUMIFS('Ops Departments'!AG:AG,'Ops Departments'!$B:$B,$B189,'Ops Departments'!$A:$A,$A189)</f>
        <v>544.0092709</v>
      </c>
      <c r="W189" s="53">
        <f>SUMIFS('Ops Departments'!AH:AH,'Ops Departments'!$B:$B,$B189,'Ops Departments'!$A:$A,$A189)</f>
        <v>549.4493636</v>
      </c>
      <c r="X189" s="53">
        <f>SUMIFS('Ops Departments'!AI:AI,'Ops Departments'!$B:$B,$B189,'Ops Departments'!$A:$A,$A189)</f>
        <v>554.9438572</v>
      </c>
      <c r="Y189" s="53">
        <f>SUMIFS('Ops Departments'!AJ:AJ,'Ops Departments'!$B:$B,$B189,'Ops Departments'!$A:$A,$A189)</f>
        <v>560.4932958</v>
      </c>
      <c r="Z189" s="53">
        <f>SUMIFS('Ops Departments'!AK:AK,'Ops Departments'!$B:$B,$B189,'Ops Departments'!$A:$A,$A189)</f>
        <v>566.0982288</v>
      </c>
      <c r="AA189" s="53">
        <f>SUMIFS('Ops Departments'!AL:AL,'Ops Departments'!$B:$B,$B189,'Ops Departments'!$A:$A,$A189)</f>
        <v>571.7592111</v>
      </c>
      <c r="AB189" s="53">
        <f>SUMIFS('Ops Departments'!AM:AM,'Ops Departments'!$B:$B,$B189,'Ops Departments'!$A:$A,$A189)</f>
        <v>577.4768032</v>
      </c>
      <c r="AC189" s="20"/>
      <c r="AD189" s="12" t="str">
        <f t="shared" si="328"/>
        <v>T&amp;E</v>
      </c>
      <c r="AE189" s="21">
        <f t="shared" si="329"/>
        <v>30487.55105</v>
      </c>
      <c r="AF189" s="21">
        <f t="shared" si="330"/>
        <v>2101.688549</v>
      </c>
      <c r="AG189" s="12">
        <f t="shared" si="331"/>
        <v>28385.8625</v>
      </c>
      <c r="AH189" s="19">
        <f t="shared" ref="AH189:AH192" si="338">AF189/AE189-1</f>
        <v>-0.9310640417</v>
      </c>
      <c r="AI189" s="11"/>
      <c r="AJ189" s="11"/>
      <c r="AK189" s="11"/>
      <c r="AL189" s="21">
        <f t="shared" si="332"/>
        <v>35629</v>
      </c>
      <c r="AM189" s="21">
        <f t="shared" si="333"/>
        <v>25885</v>
      </c>
      <c r="AN189" s="29">
        <f t="shared" si="334"/>
        <v>30487.55105</v>
      </c>
      <c r="AO189" s="21">
        <f t="shared" si="335"/>
        <v>2101.688549</v>
      </c>
      <c r="AP189" s="21">
        <f t="shared" si="336"/>
        <v>2187.025532</v>
      </c>
      <c r="AQ189" s="29">
        <f t="shared" si="337"/>
        <v>2275.827539</v>
      </c>
      <c r="AR189" s="58"/>
      <c r="AS189" s="11"/>
      <c r="AT189" s="11"/>
      <c r="AU189" s="11"/>
      <c r="AV189" s="11"/>
      <c r="AW189" s="11"/>
      <c r="AX189" s="11"/>
      <c r="AY189" s="11"/>
      <c r="AZ189" s="11"/>
      <c r="BA189" s="11"/>
      <c r="BB189" s="11"/>
      <c r="BC189" s="11"/>
      <c r="BD189" s="11"/>
      <c r="BE189" s="11"/>
      <c r="BF189" s="11"/>
      <c r="BG189" s="11"/>
      <c r="BH189" s="11"/>
      <c r="BI189" s="11"/>
      <c r="BJ189" s="11"/>
      <c r="BK189" s="11"/>
    </row>
    <row r="190" ht="15.75" customHeight="1">
      <c r="A190" s="11" t="s">
        <v>96</v>
      </c>
      <c r="B190" s="11" t="s">
        <v>69</v>
      </c>
      <c r="C190" s="11"/>
      <c r="D190" s="11" t="s">
        <v>70</v>
      </c>
      <c r="E190" s="53">
        <f>SUMIFS('Ops Departments'!P:P,'Ops Departments'!$B:$B,$B190,'Ops Departments'!$A:$A,$A190)</f>
        <v>2611</v>
      </c>
      <c r="F190" s="53">
        <f>SUMIFS('Ops Departments'!Q:Q,'Ops Departments'!$B:$B,$B190,'Ops Departments'!$A:$A,$A190)</f>
        <v>1149</v>
      </c>
      <c r="G190" s="53">
        <f>SUMIFS('Ops Departments'!R:R,'Ops Departments'!$B:$B,$B190,'Ops Departments'!$A:$A,$A190)</f>
        <v>832</v>
      </c>
      <c r="H190" s="53">
        <f>SUMIFS('Ops Departments'!S:S,'Ops Departments'!$B:$B,$B190,'Ops Departments'!$A:$A,$A190)</f>
        <v>1604</v>
      </c>
      <c r="I190" s="53">
        <f>SUMIFS('Ops Departments'!T:T,'Ops Departments'!$B:$B,$B190,'Ops Departments'!$A:$A,$A190)</f>
        <v>143</v>
      </c>
      <c r="J190" s="53">
        <f>SUMIFS('Ops Departments'!U:U,'Ops Departments'!$B:$B,$B190,'Ops Departments'!$A:$A,$A190)</f>
        <v>3196</v>
      </c>
      <c r="K190" s="53">
        <f>SUMIFS('Ops Departments'!V:V,'Ops Departments'!$B:$B,$B190,'Ops Departments'!$A:$A,$A190)</f>
        <v>3804</v>
      </c>
      <c r="L190" s="53">
        <f>SUMIFS('Ops Departments'!W:W,'Ops Departments'!$B:$B,$B190,'Ops Departments'!$A:$A,$A190)</f>
        <v>4061</v>
      </c>
      <c r="M190" s="53">
        <f>SUMIFS('Ops Departments'!X:X,'Ops Departments'!$B:$B,$B190,'Ops Departments'!$A:$A,$A190)</f>
        <v>4245</v>
      </c>
      <c r="N190" s="53">
        <f>SUMIFS('Ops Departments'!Y:Y,'Ops Departments'!$B:$B,$B190,'Ops Departments'!$A:$A,$A190)</f>
        <v>4449</v>
      </c>
      <c r="O190" s="53">
        <f>SUMIFS('Ops Departments'!Z:Z,'Ops Departments'!$B:$B,$B190,'Ops Departments'!$A:$A,$A190)</f>
        <v>1064</v>
      </c>
      <c r="P190" s="53">
        <f>SUMIFS('Ops Departments'!AA:AA,'Ops Departments'!$B:$B,$B190,'Ops Departments'!$A:$A,$A190)</f>
        <v>0</v>
      </c>
      <c r="Q190" s="53">
        <f>SUMIFS('Ops Departments'!AB:AB,'Ops Departments'!$B:$B,$B190,'Ops Departments'!$A:$A,$A190)</f>
        <v>0</v>
      </c>
      <c r="R190" s="53">
        <f>SUMIFS('Ops Departments'!AC:AC,'Ops Departments'!$B:$B,$B190,'Ops Departments'!$A:$A,$A190)</f>
        <v>0</v>
      </c>
      <c r="S190" s="53">
        <f>SUMIFS('Ops Departments'!AD:AD,'Ops Departments'!$B:$B,$B190,'Ops Departments'!$A:$A,$A190)</f>
        <v>0</v>
      </c>
      <c r="T190" s="53">
        <f>SUMIFS('Ops Departments'!AE:AE,'Ops Departments'!$B:$B,$B190,'Ops Departments'!$A:$A,$A190)</f>
        <v>0</v>
      </c>
      <c r="U190" s="53">
        <f>SUMIFS('Ops Departments'!AF:AF,'Ops Departments'!$B:$B,$B190,'Ops Departments'!$A:$A,$A190)</f>
        <v>0</v>
      </c>
      <c r="V190" s="53">
        <f>SUMIFS('Ops Departments'!AG:AG,'Ops Departments'!$B:$B,$B190,'Ops Departments'!$A:$A,$A190)</f>
        <v>0</v>
      </c>
      <c r="W190" s="53">
        <f>SUMIFS('Ops Departments'!AH:AH,'Ops Departments'!$B:$B,$B190,'Ops Departments'!$A:$A,$A190)</f>
        <v>0</v>
      </c>
      <c r="X190" s="53">
        <f>SUMIFS('Ops Departments'!AI:AI,'Ops Departments'!$B:$B,$B190,'Ops Departments'!$A:$A,$A190)</f>
        <v>0</v>
      </c>
      <c r="Y190" s="53">
        <f>SUMIFS('Ops Departments'!AJ:AJ,'Ops Departments'!$B:$B,$B190,'Ops Departments'!$A:$A,$A190)</f>
        <v>0</v>
      </c>
      <c r="Z190" s="53">
        <f>SUMIFS('Ops Departments'!AK:AK,'Ops Departments'!$B:$B,$B190,'Ops Departments'!$A:$A,$A190)</f>
        <v>0</v>
      </c>
      <c r="AA190" s="53">
        <f>SUMIFS('Ops Departments'!AL:AL,'Ops Departments'!$B:$B,$B190,'Ops Departments'!$A:$A,$A190)</f>
        <v>0</v>
      </c>
      <c r="AB190" s="53">
        <f>SUMIFS('Ops Departments'!AM:AM,'Ops Departments'!$B:$B,$B190,'Ops Departments'!$A:$A,$A190)</f>
        <v>0</v>
      </c>
      <c r="AC190" s="20"/>
      <c r="AD190" s="12" t="str">
        <f t="shared" si="328"/>
        <v>Software</v>
      </c>
      <c r="AE190" s="21">
        <f t="shared" si="329"/>
        <v>9758</v>
      </c>
      <c r="AF190" s="21">
        <f t="shared" si="330"/>
        <v>0</v>
      </c>
      <c r="AG190" s="12">
        <f t="shared" si="331"/>
        <v>9758</v>
      </c>
      <c r="AH190" s="19">
        <f t="shared" si="338"/>
        <v>-1</v>
      </c>
      <c r="AI190" s="11"/>
      <c r="AJ190" s="11"/>
      <c r="AK190" s="11"/>
      <c r="AL190" s="21">
        <f t="shared" si="332"/>
        <v>6196</v>
      </c>
      <c r="AM190" s="21">
        <f t="shared" si="333"/>
        <v>11204</v>
      </c>
      <c r="AN190" s="29">
        <f t="shared" si="334"/>
        <v>9758</v>
      </c>
      <c r="AO190" s="21">
        <f t="shared" si="335"/>
        <v>0</v>
      </c>
      <c r="AP190" s="21">
        <f t="shared" si="336"/>
        <v>0</v>
      </c>
      <c r="AQ190" s="29">
        <f t="shared" si="337"/>
        <v>0</v>
      </c>
      <c r="AR190" s="11"/>
      <c r="AS190" s="11"/>
      <c r="AT190" s="11"/>
      <c r="AU190" s="11"/>
      <c r="AV190" s="11"/>
      <c r="AW190" s="11"/>
      <c r="AX190" s="11"/>
      <c r="AY190" s="11"/>
      <c r="AZ190" s="11"/>
      <c r="BA190" s="11"/>
      <c r="BB190" s="11"/>
      <c r="BC190" s="11"/>
      <c r="BD190" s="11"/>
      <c r="BE190" s="11"/>
      <c r="BF190" s="11"/>
      <c r="BG190" s="11"/>
      <c r="BH190" s="11"/>
      <c r="BI190" s="11"/>
      <c r="BJ190" s="11"/>
      <c r="BK190" s="11"/>
    </row>
    <row r="191" ht="15.75" customHeight="1">
      <c r="A191" s="11" t="s">
        <v>96</v>
      </c>
      <c r="B191" s="11" t="s">
        <v>71</v>
      </c>
      <c r="C191" s="11"/>
      <c r="D191" s="54" t="s">
        <v>72</v>
      </c>
      <c r="E191" s="53">
        <f>SUMIFS('Ops Departments'!P:P,'Ops Departments'!$B:$B,$B191,'Ops Departments'!$A:$A,$A191)</f>
        <v>0</v>
      </c>
      <c r="F191" s="53">
        <f>SUMIFS('Ops Departments'!Q:Q,'Ops Departments'!$B:$B,$B191,'Ops Departments'!$A:$A,$A191)</f>
        <v>0</v>
      </c>
      <c r="G191" s="53">
        <f>SUMIFS('Ops Departments'!R:R,'Ops Departments'!$B:$B,$B191,'Ops Departments'!$A:$A,$A191)</f>
        <v>0</v>
      </c>
      <c r="H191" s="53">
        <f>SUMIFS('Ops Departments'!S:S,'Ops Departments'!$B:$B,$B191,'Ops Departments'!$A:$A,$A191)</f>
        <v>0</v>
      </c>
      <c r="I191" s="53">
        <f>SUMIFS('Ops Departments'!T:T,'Ops Departments'!$B:$B,$B191,'Ops Departments'!$A:$A,$A191)</f>
        <v>0</v>
      </c>
      <c r="J191" s="53">
        <f>SUMIFS('Ops Departments'!U:U,'Ops Departments'!$B:$B,$B191,'Ops Departments'!$A:$A,$A191)</f>
        <v>0</v>
      </c>
      <c r="K191" s="53">
        <f>SUMIFS('Ops Departments'!V:V,'Ops Departments'!$B:$B,$B191,'Ops Departments'!$A:$A,$A191)</f>
        <v>0</v>
      </c>
      <c r="L191" s="53">
        <f>SUMIFS('Ops Departments'!W:W,'Ops Departments'!$B:$B,$B191,'Ops Departments'!$A:$A,$A191)</f>
        <v>0</v>
      </c>
      <c r="M191" s="53">
        <f>SUMIFS('Ops Departments'!X:X,'Ops Departments'!$B:$B,$B191,'Ops Departments'!$A:$A,$A191)</f>
        <v>0</v>
      </c>
      <c r="N191" s="53">
        <f>SUMIFS('Ops Departments'!Y:Y,'Ops Departments'!$B:$B,$B191,'Ops Departments'!$A:$A,$A191)</f>
        <v>0</v>
      </c>
      <c r="O191" s="53">
        <f>SUMIFS('Ops Departments'!Z:Z,'Ops Departments'!$B:$B,$B191,'Ops Departments'!$A:$A,$A191)</f>
        <v>0</v>
      </c>
      <c r="P191" s="53">
        <f>SUMIFS('Ops Departments'!AA:AA,'Ops Departments'!$B:$B,$B191,'Ops Departments'!$A:$A,$A191)</f>
        <v>6464.928563</v>
      </c>
      <c r="Q191" s="53">
        <f>SUMIFS('Ops Departments'!AB:AB,'Ops Departments'!$B:$B,$B191,'Ops Departments'!$A:$A,$A191)</f>
        <v>6188.04886</v>
      </c>
      <c r="R191" s="53">
        <f>SUMIFS('Ops Departments'!AC:AC,'Ops Departments'!$B:$B,$B191,'Ops Departments'!$A:$A,$A191)</f>
        <v>5241.200186</v>
      </c>
      <c r="S191" s="53">
        <f>SUMIFS('Ops Departments'!AD:AD,'Ops Departments'!$B:$B,$B191,'Ops Departments'!$A:$A,$A191)</f>
        <v>4549.538413</v>
      </c>
      <c r="T191" s="53">
        <f>SUMIFS('Ops Departments'!AE:AE,'Ops Departments'!$B:$B,$B191,'Ops Departments'!$A:$A,$A191)</f>
        <v>4324.183998</v>
      </c>
      <c r="U191" s="53">
        <f>SUMIFS('Ops Departments'!AF:AF,'Ops Departments'!$B:$B,$B191,'Ops Departments'!$A:$A,$A191)</f>
        <v>4322.357593</v>
      </c>
      <c r="V191" s="53">
        <f>SUMIFS('Ops Departments'!AG:AG,'Ops Departments'!$B:$B,$B191,'Ops Departments'!$A:$A,$A191)</f>
        <v>3889.43281</v>
      </c>
      <c r="W191" s="53">
        <f>SUMIFS('Ops Departments'!AH:AH,'Ops Departments'!$B:$B,$B191,'Ops Departments'!$A:$A,$A191)</f>
        <v>3512.634681</v>
      </c>
      <c r="X191" s="53">
        <f>SUMIFS('Ops Departments'!AI:AI,'Ops Departments'!$B:$B,$B191,'Ops Departments'!$A:$A,$A191)</f>
        <v>3515.552865</v>
      </c>
      <c r="Y191" s="53">
        <f>SUMIFS('Ops Departments'!AJ:AJ,'Ops Departments'!$B:$B,$B191,'Ops Departments'!$A:$A,$A191)</f>
        <v>3610.750277</v>
      </c>
      <c r="Z191" s="53">
        <f>SUMIFS('Ops Departments'!AK:AK,'Ops Departments'!$B:$B,$B191,'Ops Departments'!$A:$A,$A191)</f>
        <v>3600.062786</v>
      </c>
      <c r="AA191" s="53">
        <f>SUMIFS('Ops Departments'!AL:AL,'Ops Departments'!$B:$B,$B191,'Ops Departments'!$A:$A,$A191)</f>
        <v>3341.352897</v>
      </c>
      <c r="AB191" s="53">
        <f>SUMIFS('Ops Departments'!AM:AM,'Ops Departments'!$B:$B,$B191,'Ops Departments'!$A:$A,$A191)</f>
        <v>3342.00975</v>
      </c>
      <c r="AC191" s="20"/>
      <c r="AD191" s="11" t="str">
        <f t="shared" si="328"/>
        <v>Other</v>
      </c>
      <c r="AE191" s="30">
        <f t="shared" si="329"/>
        <v>6464.928563</v>
      </c>
      <c r="AF191" s="21">
        <f t="shared" si="330"/>
        <v>20302.97146</v>
      </c>
      <c r="AG191" s="59">
        <f t="shared" si="331"/>
        <v>-13838.04289</v>
      </c>
      <c r="AH191" s="31">
        <f t="shared" si="338"/>
        <v>2.140478856</v>
      </c>
      <c r="AI191" s="11"/>
      <c r="AJ191" s="11"/>
      <c r="AK191" s="11"/>
      <c r="AL191" s="30">
        <f t="shared" si="332"/>
        <v>0</v>
      </c>
      <c r="AM191" s="21">
        <f t="shared" si="333"/>
        <v>0</v>
      </c>
      <c r="AN191" s="32">
        <f t="shared" si="334"/>
        <v>6464.928563</v>
      </c>
      <c r="AO191" s="30">
        <f t="shared" si="335"/>
        <v>20302.97146</v>
      </c>
      <c r="AP191" s="21">
        <f t="shared" si="336"/>
        <v>15239.97795</v>
      </c>
      <c r="AQ191" s="32">
        <f t="shared" si="337"/>
        <v>13894.17571</v>
      </c>
      <c r="AR191" s="11"/>
      <c r="AS191" s="11"/>
      <c r="AT191" s="11"/>
      <c r="AU191" s="11"/>
      <c r="AV191" s="11"/>
      <c r="AW191" s="11"/>
      <c r="AX191" s="11"/>
      <c r="AY191" s="11"/>
      <c r="AZ191" s="11"/>
      <c r="BA191" s="11"/>
      <c r="BB191" s="11"/>
      <c r="BC191" s="11"/>
      <c r="BD191" s="11"/>
      <c r="BE191" s="11"/>
      <c r="BF191" s="11"/>
      <c r="BG191" s="11"/>
      <c r="BH191" s="11"/>
      <c r="BI191" s="11"/>
      <c r="BJ191" s="11"/>
      <c r="BK191" s="11"/>
    </row>
    <row r="192" ht="15.75" customHeight="1">
      <c r="A192" s="11"/>
      <c r="B192" s="11"/>
      <c r="C192" s="11"/>
      <c r="D192" s="33" t="s">
        <v>73</v>
      </c>
      <c r="E192" s="35">
        <f t="shared" ref="E192:AB192" si="339">SUM(E187:E191)</f>
        <v>31988</v>
      </c>
      <c r="F192" s="35">
        <f t="shared" si="339"/>
        <v>27897</v>
      </c>
      <c r="G192" s="35">
        <f t="shared" si="339"/>
        <v>30702</v>
      </c>
      <c r="H192" s="35">
        <f t="shared" si="339"/>
        <v>30828</v>
      </c>
      <c r="I192" s="35">
        <f t="shared" si="339"/>
        <v>33242</v>
      </c>
      <c r="J192" s="35">
        <f t="shared" si="339"/>
        <v>26608</v>
      </c>
      <c r="K192" s="35">
        <f t="shared" si="339"/>
        <v>28288</v>
      </c>
      <c r="L192" s="35">
        <f t="shared" si="339"/>
        <v>31860</v>
      </c>
      <c r="M192" s="35">
        <f t="shared" si="339"/>
        <v>39202</v>
      </c>
      <c r="N192" s="35">
        <f t="shared" si="339"/>
        <v>37577</v>
      </c>
      <c r="O192" s="35">
        <f t="shared" si="339"/>
        <v>34775</v>
      </c>
      <c r="P192" s="35">
        <f t="shared" si="339"/>
        <v>10898.36966</v>
      </c>
      <c r="Q192" s="35">
        <f t="shared" si="339"/>
        <v>10806.79091</v>
      </c>
      <c r="R192" s="35">
        <f t="shared" si="339"/>
        <v>9865.118297</v>
      </c>
      <c r="S192" s="35">
        <f t="shared" si="339"/>
        <v>9178.684346</v>
      </c>
      <c r="T192" s="35">
        <f t="shared" si="339"/>
        <v>8958.610031</v>
      </c>
      <c r="U192" s="35">
        <f t="shared" si="339"/>
        <v>9106.583441</v>
      </c>
      <c r="V192" s="35">
        <f t="shared" si="339"/>
        <v>8679.044889</v>
      </c>
      <c r="W192" s="35">
        <f t="shared" si="339"/>
        <v>8307.686852</v>
      </c>
      <c r="X192" s="35">
        <f t="shared" si="339"/>
        <v>8316.09953</v>
      </c>
      <c r="Y192" s="35">
        <f t="shared" si="339"/>
        <v>8567.814305</v>
      </c>
      <c r="Z192" s="35">
        <f t="shared" si="339"/>
        <v>8562.731746</v>
      </c>
      <c r="AA192" s="35">
        <f t="shared" si="339"/>
        <v>8309.68284</v>
      </c>
      <c r="AB192" s="35">
        <f t="shared" si="339"/>
        <v>8316.057286</v>
      </c>
      <c r="AC192" s="12"/>
      <c r="AD192" s="35" t="str">
        <f t="shared" si="328"/>
        <v>Total COGS</v>
      </c>
      <c r="AE192" s="12">
        <f t="shared" si="329"/>
        <v>122452.3697</v>
      </c>
      <c r="AF192" s="35">
        <f t="shared" si="330"/>
        <v>38809.20358</v>
      </c>
      <c r="AG192" s="12">
        <f t="shared" si="331"/>
        <v>83643.16607</v>
      </c>
      <c r="AH192" s="19">
        <f t="shared" si="338"/>
        <v>-0.6830669452</v>
      </c>
      <c r="AI192" s="11"/>
      <c r="AJ192" s="11"/>
      <c r="AK192" s="11"/>
      <c r="AL192" s="12">
        <f t="shared" si="332"/>
        <v>121415</v>
      </c>
      <c r="AM192" s="35">
        <f t="shared" si="333"/>
        <v>119998</v>
      </c>
      <c r="AN192" s="29">
        <f t="shared" si="334"/>
        <v>122452.3697</v>
      </c>
      <c r="AO192" s="12">
        <f t="shared" si="335"/>
        <v>38809.20358</v>
      </c>
      <c r="AP192" s="35">
        <f t="shared" si="336"/>
        <v>34409.41471</v>
      </c>
      <c r="AQ192" s="29">
        <f t="shared" si="337"/>
        <v>33756.28618</v>
      </c>
      <c r="AR192" s="11"/>
      <c r="AS192" s="11"/>
      <c r="AT192" s="11"/>
      <c r="AU192" s="11"/>
      <c r="AV192" s="11"/>
      <c r="AW192" s="11"/>
      <c r="AX192" s="11"/>
      <c r="AY192" s="11"/>
      <c r="AZ192" s="11"/>
      <c r="BA192" s="11"/>
      <c r="BB192" s="11"/>
      <c r="BC192" s="11"/>
      <c r="BD192" s="11"/>
      <c r="BE192" s="11"/>
      <c r="BF192" s="11"/>
      <c r="BG192" s="11"/>
      <c r="BH192" s="11"/>
      <c r="BI192" s="11"/>
      <c r="BJ192" s="11"/>
      <c r="BK192" s="11"/>
    </row>
    <row r="193" ht="15.75" customHeight="1">
      <c r="A193" s="11"/>
      <c r="B193" s="11"/>
      <c r="C193" s="11"/>
      <c r="D193" s="11"/>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11"/>
      <c r="AE193" s="24"/>
      <c r="AF193" s="24"/>
      <c r="AG193" s="12"/>
      <c r="AH193" s="19"/>
      <c r="AI193" s="11"/>
      <c r="AJ193" s="11"/>
      <c r="AK193" s="11"/>
      <c r="AL193" s="24">
        <f t="shared" si="332"/>
        <v>0</v>
      </c>
      <c r="AM193" s="24">
        <f t="shared" si="333"/>
        <v>0</v>
      </c>
      <c r="AN193" s="24">
        <f t="shared" si="334"/>
        <v>0</v>
      </c>
      <c r="AO193" s="24">
        <f t="shared" si="335"/>
        <v>0</v>
      </c>
      <c r="AP193" s="24">
        <f t="shared" si="336"/>
        <v>0</v>
      </c>
      <c r="AQ193" s="24">
        <f t="shared" si="337"/>
        <v>0</v>
      </c>
      <c r="AR193" s="11"/>
      <c r="AS193" s="11"/>
      <c r="AT193" s="11"/>
      <c r="AU193" s="11"/>
      <c r="AV193" s="11"/>
      <c r="AW193" s="11"/>
      <c r="AX193" s="11"/>
      <c r="AY193" s="11"/>
      <c r="AZ193" s="11"/>
      <c r="BA193" s="11"/>
      <c r="BB193" s="11"/>
      <c r="BC193" s="11"/>
      <c r="BD193" s="11"/>
      <c r="BE193" s="11"/>
      <c r="BF193" s="11"/>
      <c r="BG193" s="11"/>
      <c r="BH193" s="11"/>
      <c r="BI193" s="11"/>
      <c r="BJ193" s="11"/>
      <c r="BK193" s="11"/>
    </row>
    <row r="194" ht="15.75" customHeight="1">
      <c r="A194" s="11"/>
      <c r="B194" s="11"/>
      <c r="C194" s="11"/>
      <c r="D194" s="36" t="str">
        <f>CONCATENATE(B180," Gross Profit")</f>
        <v>Strategy Gross Profit</v>
      </c>
      <c r="E194" s="55">
        <f t="shared" ref="E194:AB194" si="340">E183-E192</f>
        <v>3743</v>
      </c>
      <c r="F194" s="55">
        <f t="shared" si="340"/>
        <v>-5056</v>
      </c>
      <c r="G194" s="55">
        <f t="shared" si="340"/>
        <v>-6570</v>
      </c>
      <c r="H194" s="55">
        <f t="shared" si="340"/>
        <v>-6194</v>
      </c>
      <c r="I194" s="55">
        <f t="shared" si="340"/>
        <v>-8575</v>
      </c>
      <c r="J194" s="55">
        <f t="shared" si="340"/>
        <v>8568</v>
      </c>
      <c r="K194" s="55">
        <f t="shared" si="340"/>
        <v>8974</v>
      </c>
      <c r="L194" s="55">
        <f t="shared" si="340"/>
        <v>51057</v>
      </c>
      <c r="M194" s="55">
        <f t="shared" si="340"/>
        <v>16631</v>
      </c>
      <c r="N194" s="55">
        <f t="shared" si="340"/>
        <v>-14255</v>
      </c>
      <c r="O194" s="55">
        <f t="shared" si="340"/>
        <v>737</v>
      </c>
      <c r="P194" s="55">
        <f t="shared" si="340"/>
        <v>39101.63034</v>
      </c>
      <c r="Q194" s="55">
        <f t="shared" si="340"/>
        <v>39193.20909</v>
      </c>
      <c r="R194" s="55">
        <f t="shared" si="340"/>
        <v>40134.8817</v>
      </c>
      <c r="S194" s="55">
        <f t="shared" si="340"/>
        <v>40821.31565</v>
      </c>
      <c r="T194" s="55">
        <f t="shared" si="340"/>
        <v>41041.38997</v>
      </c>
      <c r="U194" s="55">
        <f t="shared" si="340"/>
        <v>40893.41656</v>
      </c>
      <c r="V194" s="55">
        <f t="shared" si="340"/>
        <v>41320.95511</v>
      </c>
      <c r="W194" s="55">
        <f t="shared" si="340"/>
        <v>41692.31315</v>
      </c>
      <c r="X194" s="55">
        <f t="shared" si="340"/>
        <v>41683.90047</v>
      </c>
      <c r="Y194" s="55">
        <f t="shared" si="340"/>
        <v>41432.1857</v>
      </c>
      <c r="Z194" s="55">
        <f t="shared" si="340"/>
        <v>41437.26825</v>
      </c>
      <c r="AA194" s="55">
        <f t="shared" si="340"/>
        <v>41690.31716</v>
      </c>
      <c r="AB194" s="55">
        <f t="shared" si="340"/>
        <v>41683.94271</v>
      </c>
      <c r="AC194" s="38"/>
      <c r="AD194" s="36" t="str">
        <f t="shared" ref="AD194:AD195" si="343">D194</f>
        <v>Strategy Gross Profit</v>
      </c>
      <c r="AE194" s="55">
        <f t="shared" ref="AE194:AF194" si="341">AE183-AE192</f>
        <v>42214.63034</v>
      </c>
      <c r="AF194" s="40">
        <f t="shared" si="341"/>
        <v>161190.7964</v>
      </c>
      <c r="AG194" s="40">
        <f t="shared" ref="AG194:AG195" si="345">AF194-AE194</f>
        <v>118976.1661</v>
      </c>
      <c r="AH194" s="41">
        <f>(AF194/AE194-1)*-1</f>
        <v>-2.818363328</v>
      </c>
      <c r="AI194" s="11"/>
      <c r="AJ194" s="11"/>
      <c r="AK194" s="11"/>
      <c r="AL194" s="55">
        <f t="shared" si="332"/>
        <v>-14077</v>
      </c>
      <c r="AM194" s="55">
        <f t="shared" si="333"/>
        <v>60024</v>
      </c>
      <c r="AN194" s="40">
        <f t="shared" si="334"/>
        <v>42214.63034</v>
      </c>
      <c r="AO194" s="55">
        <f t="shared" si="335"/>
        <v>161190.7964</v>
      </c>
      <c r="AP194" s="55">
        <f t="shared" si="336"/>
        <v>165590.5853</v>
      </c>
      <c r="AQ194" s="40">
        <f t="shared" si="337"/>
        <v>166243.7138</v>
      </c>
      <c r="AR194" s="38"/>
      <c r="AS194" s="60"/>
      <c r="AT194" s="11"/>
      <c r="AU194" s="11"/>
      <c r="AV194" s="11"/>
      <c r="AW194" s="11"/>
      <c r="AX194" s="11"/>
      <c r="AY194" s="11"/>
      <c r="AZ194" s="11"/>
      <c r="BA194" s="11"/>
      <c r="BB194" s="11"/>
      <c r="BC194" s="11"/>
      <c r="BD194" s="11"/>
      <c r="BE194" s="11"/>
      <c r="BF194" s="11"/>
      <c r="BG194" s="11"/>
      <c r="BH194" s="11"/>
      <c r="BI194" s="11"/>
      <c r="BJ194" s="11"/>
      <c r="BK194" s="11"/>
    </row>
    <row r="195" ht="15.75" customHeight="1">
      <c r="A195" s="11"/>
      <c r="B195" s="11"/>
      <c r="C195" s="11"/>
      <c r="D195" s="42" t="s">
        <v>75</v>
      </c>
      <c r="E195" s="43">
        <f t="shared" ref="E195:AB195" si="342">IFERROR(E194/E183,0)</f>
        <v>0.1047549747</v>
      </c>
      <c r="F195" s="43">
        <f t="shared" si="342"/>
        <v>-0.2213563329</v>
      </c>
      <c r="G195" s="43">
        <f t="shared" si="342"/>
        <v>-0.2722526106</v>
      </c>
      <c r="H195" s="43">
        <f t="shared" si="342"/>
        <v>-0.2514410977</v>
      </c>
      <c r="I195" s="43">
        <f t="shared" si="342"/>
        <v>-0.3476304374</v>
      </c>
      <c r="J195" s="43">
        <f t="shared" si="342"/>
        <v>0.2435751649</v>
      </c>
      <c r="K195" s="43">
        <f t="shared" si="342"/>
        <v>0.2408351672</v>
      </c>
      <c r="L195" s="43">
        <f t="shared" si="342"/>
        <v>0.6157603387</v>
      </c>
      <c r="M195" s="43">
        <f t="shared" si="342"/>
        <v>0.297870435</v>
      </c>
      <c r="N195" s="43">
        <f t="shared" si="342"/>
        <v>-0.6112254524</v>
      </c>
      <c r="O195" s="43">
        <f t="shared" si="342"/>
        <v>0.0207535481</v>
      </c>
      <c r="P195" s="43">
        <f t="shared" si="342"/>
        <v>0.7820326068</v>
      </c>
      <c r="Q195" s="43">
        <f t="shared" si="342"/>
        <v>0.7838641818</v>
      </c>
      <c r="R195" s="43">
        <f t="shared" si="342"/>
        <v>0.8026976341</v>
      </c>
      <c r="S195" s="43">
        <f t="shared" si="342"/>
        <v>0.8164263131</v>
      </c>
      <c r="T195" s="43">
        <f t="shared" si="342"/>
        <v>0.8208277994</v>
      </c>
      <c r="U195" s="43">
        <f t="shared" si="342"/>
        <v>0.8178683312</v>
      </c>
      <c r="V195" s="43">
        <f t="shared" si="342"/>
        <v>0.8264191022</v>
      </c>
      <c r="W195" s="43">
        <f t="shared" si="342"/>
        <v>0.833846263</v>
      </c>
      <c r="X195" s="43">
        <f t="shared" si="342"/>
        <v>0.8336780094</v>
      </c>
      <c r="Y195" s="43">
        <f t="shared" si="342"/>
        <v>0.8286437139</v>
      </c>
      <c r="Z195" s="43">
        <f t="shared" si="342"/>
        <v>0.8287453651</v>
      </c>
      <c r="AA195" s="43">
        <f t="shared" si="342"/>
        <v>0.8338063432</v>
      </c>
      <c r="AB195" s="43">
        <f t="shared" si="342"/>
        <v>0.8336788543</v>
      </c>
      <c r="AC195" s="43"/>
      <c r="AD195" s="42" t="str">
        <f t="shared" si="343"/>
        <v>  Gross Margin</v>
      </c>
      <c r="AE195" s="43">
        <f t="shared" ref="AE195:AF195" si="344">AE194/AE183</f>
        <v>0.2563636329</v>
      </c>
      <c r="AF195" s="43">
        <f t="shared" si="344"/>
        <v>0.8059539821</v>
      </c>
      <c r="AG195" s="43">
        <f t="shared" si="345"/>
        <v>0.5495903492</v>
      </c>
      <c r="AH195" s="43"/>
      <c r="AI195" s="11"/>
      <c r="AJ195" s="11"/>
      <c r="AK195" s="11"/>
      <c r="AL195" s="43">
        <f t="shared" ref="AL195:AQ195" si="346">AL194/AL183</f>
        <v>-0.1311464719</v>
      </c>
      <c r="AM195" s="43">
        <f t="shared" si="346"/>
        <v>0.3334259146</v>
      </c>
      <c r="AN195" s="43">
        <f t="shared" si="346"/>
        <v>0.2563636329</v>
      </c>
      <c r="AO195" s="43">
        <f t="shared" si="346"/>
        <v>0.8059539821</v>
      </c>
      <c r="AP195" s="43">
        <f t="shared" si="346"/>
        <v>0.8279529264</v>
      </c>
      <c r="AQ195" s="43">
        <f t="shared" si="346"/>
        <v>0.8312185691</v>
      </c>
      <c r="AR195" s="11"/>
      <c r="AS195" s="11"/>
      <c r="AT195" s="11"/>
      <c r="AU195" s="11"/>
      <c r="AV195" s="11"/>
      <c r="AW195" s="11"/>
      <c r="AX195" s="11"/>
      <c r="AY195" s="11"/>
      <c r="AZ195" s="11"/>
      <c r="BA195" s="11"/>
      <c r="BB195" s="11"/>
      <c r="BC195" s="11"/>
      <c r="BD195" s="11"/>
      <c r="BE195" s="11"/>
      <c r="BF195" s="11"/>
      <c r="BG195" s="11"/>
      <c r="BH195" s="11"/>
      <c r="BI195" s="11"/>
      <c r="BJ195" s="11"/>
      <c r="BK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2"/>
      <c r="AH196" s="19"/>
      <c r="AI196" s="11"/>
      <c r="AJ196" s="11"/>
      <c r="AK196" s="11"/>
      <c r="AL196" s="43">
        <f t="shared" ref="AL196:AQ196" si="347">AL195/AL184</f>
        <v>0.00002192718139</v>
      </c>
      <c r="AM196" s="43">
        <f t="shared" si="347"/>
        <v>0.000004587335791</v>
      </c>
      <c r="AN196" s="43">
        <f t="shared" si="347"/>
        <v>-0.00001669577551</v>
      </c>
      <c r="AO196" s="43">
        <f t="shared" si="347"/>
        <v>0.00002281023355</v>
      </c>
      <c r="AP196" s="43" t="str">
        <f t="shared" si="347"/>
        <v>#DIV/0!</v>
      </c>
      <c r="AQ196" s="43" t="str">
        <f t="shared" si="347"/>
        <v>#DIV/0!</v>
      </c>
      <c r="AR196" s="11"/>
      <c r="AS196" s="11"/>
      <c r="AT196" s="11"/>
      <c r="AU196" s="11"/>
      <c r="AV196" s="11"/>
      <c r="AW196" s="11"/>
      <c r="AX196" s="11"/>
      <c r="AY196" s="11"/>
      <c r="AZ196" s="11"/>
      <c r="BA196" s="11"/>
      <c r="BB196" s="11"/>
      <c r="BC196" s="11"/>
      <c r="BD196" s="11"/>
      <c r="BE196" s="11"/>
      <c r="BF196" s="11"/>
      <c r="BG196" s="11"/>
      <c r="BH196" s="11"/>
      <c r="BI196" s="11"/>
      <c r="BJ196" s="11"/>
      <c r="BK196" s="11"/>
    </row>
    <row r="197" ht="15.75" customHeight="1">
      <c r="A197" s="11"/>
      <c r="B197" s="11"/>
      <c r="C197" s="11"/>
      <c r="D197" s="11" t="s">
        <v>15</v>
      </c>
      <c r="E197" s="20">
        <f>Headcount!H15</f>
        <v>5</v>
      </c>
      <c r="F197" s="20">
        <f>Headcount!I15</f>
        <v>5</v>
      </c>
      <c r="G197" s="20">
        <f>Headcount!J15</f>
        <v>5</v>
      </c>
      <c r="H197" s="20">
        <f>Headcount!K15</f>
        <v>5</v>
      </c>
      <c r="I197" s="20">
        <f>Headcount!L15</f>
        <v>5</v>
      </c>
      <c r="J197" s="20">
        <f>Headcount!M15</f>
        <v>5</v>
      </c>
      <c r="K197" s="20">
        <f>Headcount!N15</f>
        <v>5</v>
      </c>
      <c r="L197" s="20">
        <f>Headcount!O15</f>
        <v>5</v>
      </c>
      <c r="M197" s="20">
        <f>Headcount!P15</f>
        <v>5</v>
      </c>
      <c r="N197" s="20">
        <f>Headcount!Q15</f>
        <v>5</v>
      </c>
      <c r="O197" s="20">
        <f>Headcount!R15</f>
        <v>5</v>
      </c>
      <c r="P197" s="20">
        <f>Headcount!S15</f>
        <v>5</v>
      </c>
      <c r="Q197" s="20">
        <f>Headcount!T15</f>
        <v>5</v>
      </c>
      <c r="R197" s="20">
        <f>Headcount!U15</f>
        <v>5</v>
      </c>
      <c r="S197" s="20">
        <f>Headcount!V15</f>
        <v>5</v>
      </c>
      <c r="T197" s="20">
        <f>Headcount!W15</f>
        <v>5</v>
      </c>
      <c r="U197" s="20">
        <f>Headcount!X15</f>
        <v>5</v>
      </c>
      <c r="V197" s="20">
        <f>Headcount!Y15</f>
        <v>5</v>
      </c>
      <c r="W197" s="20">
        <f>Headcount!Z15</f>
        <v>5</v>
      </c>
      <c r="X197" s="20">
        <f>Headcount!AA15</f>
        <v>5</v>
      </c>
      <c r="Y197" s="20">
        <f>Headcount!AB15</f>
        <v>5</v>
      </c>
      <c r="Z197" s="20">
        <f>Headcount!AC15</f>
        <v>5</v>
      </c>
      <c r="AA197" s="20">
        <f>Headcount!AD15</f>
        <v>5</v>
      </c>
      <c r="AB197" s="20">
        <f>Headcount!AE15</f>
        <v>5</v>
      </c>
      <c r="AC197" s="11"/>
      <c r="AD197" s="11" t="str">
        <f t="shared" ref="AD197:AD201" si="349">D197</f>
        <v>Headcount</v>
      </c>
      <c r="AE197" s="20">
        <f>P197</f>
        <v>5</v>
      </c>
      <c r="AF197" s="20">
        <f>T197</f>
        <v>5</v>
      </c>
      <c r="AG197" s="21">
        <f t="shared" ref="AG197:AG203" si="350">AF197-AE197</f>
        <v>0</v>
      </c>
      <c r="AH197" s="19">
        <f t="shared" ref="AH197:AH202" si="351">AF197/AE197-1</f>
        <v>0</v>
      </c>
      <c r="AI197" s="11"/>
      <c r="AJ197" s="11"/>
      <c r="AK197" s="11" t="s">
        <v>15</v>
      </c>
      <c r="AL197" s="20">
        <f>H197</f>
        <v>5</v>
      </c>
      <c r="AM197" s="20">
        <f>L197</f>
        <v>5</v>
      </c>
      <c r="AN197" s="20">
        <f>P197</f>
        <v>5</v>
      </c>
      <c r="AO197" s="20">
        <f>T197</f>
        <v>5</v>
      </c>
      <c r="AP197" s="20">
        <f>X197</f>
        <v>5</v>
      </c>
      <c r="AQ197" s="20">
        <f>AB197</f>
        <v>5</v>
      </c>
      <c r="AR197" s="11"/>
      <c r="AS197" s="11"/>
      <c r="AT197" s="11"/>
      <c r="AU197" s="11"/>
      <c r="AV197" s="11"/>
      <c r="AW197" s="11"/>
      <c r="AX197" s="11"/>
      <c r="AY197" s="11"/>
      <c r="AZ197" s="11"/>
      <c r="BA197" s="11"/>
      <c r="BB197" s="11"/>
      <c r="BC197" s="11"/>
      <c r="BD197" s="11"/>
      <c r="BE197" s="11"/>
      <c r="BF197" s="11"/>
      <c r="BG197" s="11"/>
      <c r="BH197" s="11"/>
      <c r="BI197" s="11"/>
      <c r="BJ197" s="11"/>
      <c r="BK197" s="11"/>
    </row>
    <row r="198" ht="15.75" customHeight="1">
      <c r="A198" s="11"/>
      <c r="B198" s="11"/>
      <c r="C198" s="11"/>
      <c r="D198" s="11" t="s">
        <v>76</v>
      </c>
      <c r="E198" s="12">
        <f t="shared" ref="E198:AB198" si="348">E183/(E197-1)</f>
        <v>8932.75</v>
      </c>
      <c r="F198" s="12">
        <f t="shared" si="348"/>
        <v>5710.25</v>
      </c>
      <c r="G198" s="12">
        <f t="shared" si="348"/>
        <v>6033</v>
      </c>
      <c r="H198" s="12">
        <f t="shared" si="348"/>
        <v>6158.5</v>
      </c>
      <c r="I198" s="12">
        <f t="shared" si="348"/>
        <v>6166.75</v>
      </c>
      <c r="J198" s="12">
        <f t="shared" si="348"/>
        <v>8794</v>
      </c>
      <c r="K198" s="12">
        <f t="shared" si="348"/>
        <v>9315.5</v>
      </c>
      <c r="L198" s="12">
        <f t="shared" si="348"/>
        <v>20729.25</v>
      </c>
      <c r="M198" s="12">
        <f t="shared" si="348"/>
        <v>13958.25</v>
      </c>
      <c r="N198" s="12">
        <f t="shared" si="348"/>
        <v>5830.5</v>
      </c>
      <c r="O198" s="12">
        <f t="shared" si="348"/>
        <v>8878</v>
      </c>
      <c r="P198" s="12">
        <f t="shared" si="348"/>
        <v>12500</v>
      </c>
      <c r="Q198" s="12">
        <f t="shared" si="348"/>
        <v>12500</v>
      </c>
      <c r="R198" s="12">
        <f t="shared" si="348"/>
        <v>12500</v>
      </c>
      <c r="S198" s="12">
        <f t="shared" si="348"/>
        <v>12500</v>
      </c>
      <c r="T198" s="12">
        <f t="shared" si="348"/>
        <v>12500</v>
      </c>
      <c r="U198" s="12">
        <f t="shared" si="348"/>
        <v>12500</v>
      </c>
      <c r="V198" s="12">
        <f t="shared" si="348"/>
        <v>12500</v>
      </c>
      <c r="W198" s="12">
        <f t="shared" si="348"/>
        <v>12500</v>
      </c>
      <c r="X198" s="12">
        <f t="shared" si="348"/>
        <v>12500</v>
      </c>
      <c r="Y198" s="12">
        <f t="shared" si="348"/>
        <v>12500</v>
      </c>
      <c r="Z198" s="12">
        <f t="shared" si="348"/>
        <v>12500</v>
      </c>
      <c r="AA198" s="12">
        <f t="shared" si="348"/>
        <v>12500</v>
      </c>
      <c r="AB198" s="12">
        <f t="shared" si="348"/>
        <v>12500</v>
      </c>
      <c r="AC198" s="12"/>
      <c r="AD198" s="11" t="str">
        <f t="shared" si="349"/>
        <v>Revenue/Strategist</v>
      </c>
      <c r="AE198" s="12">
        <f>AVERAGE(M198:P198)</f>
        <v>10291.6875</v>
      </c>
      <c r="AF198" s="12">
        <f>AVERAGE(Q198:T198)</f>
        <v>12500</v>
      </c>
      <c r="AG198" s="12">
        <f t="shared" si="350"/>
        <v>2208.3125</v>
      </c>
      <c r="AH198" s="19">
        <f t="shared" si="351"/>
        <v>0.2145724401</v>
      </c>
      <c r="AI198" s="11"/>
      <c r="AJ198" s="11"/>
      <c r="AK198" s="11" t="s">
        <v>76</v>
      </c>
      <c r="AL198" s="12">
        <f>AVERAGE(E198:H198)</f>
        <v>6708.625</v>
      </c>
      <c r="AM198" s="12">
        <f>AVERAGE(I198:L198)</f>
        <v>11251.375</v>
      </c>
      <c r="AN198" s="12">
        <f>AVERAGE(M198:P198)</f>
        <v>10291.6875</v>
      </c>
      <c r="AO198" s="12">
        <f>AVERAGE(Q198:T198)</f>
        <v>12500</v>
      </c>
      <c r="AP198" s="12">
        <f>AVERAGE(U198:X198)</f>
        <v>12500</v>
      </c>
      <c r="AQ198" s="12">
        <f>AVERAGE(Y198:AB198)</f>
        <v>12500</v>
      </c>
      <c r="AR198" s="11"/>
      <c r="AS198" s="11"/>
      <c r="AT198" s="11"/>
      <c r="AU198" s="11"/>
      <c r="AV198" s="11"/>
      <c r="AW198" s="11"/>
      <c r="AX198" s="11"/>
      <c r="AY198" s="11"/>
      <c r="AZ198" s="11"/>
      <c r="BA198" s="11"/>
      <c r="BB198" s="11"/>
      <c r="BC198" s="11"/>
      <c r="BD198" s="11"/>
      <c r="BE198" s="11"/>
      <c r="BF198" s="11"/>
      <c r="BG198" s="11"/>
      <c r="BH198" s="11"/>
      <c r="BI198" s="11"/>
      <c r="BJ198" s="11"/>
      <c r="BK198" s="11"/>
    </row>
    <row r="199" ht="15.75" customHeight="1">
      <c r="A199" s="11"/>
      <c r="B199" s="11"/>
      <c r="C199" s="11"/>
      <c r="D199" s="11" t="s">
        <v>90</v>
      </c>
      <c r="E199" s="50">
        <f>SUM('New Biz Sales'!O44)</f>
        <v>30</v>
      </c>
      <c r="F199" s="50">
        <f>SUM('New Biz Sales'!P44)</f>
        <v>30</v>
      </c>
      <c r="G199" s="50">
        <f>SUM('New Biz Sales'!Q44)</f>
        <v>30</v>
      </c>
      <c r="H199" s="50">
        <f>SUM('New Biz Sales'!R44)</f>
        <v>30</v>
      </c>
      <c r="I199" s="50">
        <f>SUM('New Biz Sales'!S44)</f>
        <v>30</v>
      </c>
      <c r="J199" s="50">
        <f>SUM('New Biz Sales'!T44)</f>
        <v>30</v>
      </c>
      <c r="K199" s="50">
        <f>SUM('New Biz Sales'!U44)</f>
        <v>30</v>
      </c>
      <c r="L199" s="50">
        <f>SUM('New Biz Sales'!V44)</f>
        <v>30</v>
      </c>
      <c r="M199" s="50">
        <f>SUM('New Biz Sales'!W44)</f>
        <v>30</v>
      </c>
      <c r="N199" s="50">
        <f>SUM('New Biz Sales'!X44)</f>
        <v>30</v>
      </c>
      <c r="O199" s="50">
        <f>SUM('New Biz Sales'!Y44)</f>
        <v>30</v>
      </c>
      <c r="P199" s="50">
        <f>SUM('New Biz Sales'!Z44)</f>
        <v>33</v>
      </c>
      <c r="Q199" s="50">
        <f>SUM('New Biz Sales'!AA44)</f>
        <v>33</v>
      </c>
      <c r="R199" s="50">
        <f>SUM('New Biz Sales'!AB44)</f>
        <v>33</v>
      </c>
      <c r="S199" s="50">
        <f>SUM('New Biz Sales'!AC44)</f>
        <v>33</v>
      </c>
      <c r="T199" s="50">
        <f>SUM('New Biz Sales'!AD44)</f>
        <v>33</v>
      </c>
      <c r="U199" s="50">
        <f>SUM('New Biz Sales'!AE44)</f>
        <v>33</v>
      </c>
      <c r="V199" s="50">
        <f>SUM('New Biz Sales'!AF44)</f>
        <v>33</v>
      </c>
      <c r="W199" s="50">
        <f>SUM('New Biz Sales'!AG44)</f>
        <v>33</v>
      </c>
      <c r="X199" s="50">
        <f>SUM('New Biz Sales'!AH44)</f>
        <v>33</v>
      </c>
      <c r="Y199" s="50">
        <f>SUM('New Biz Sales'!AI44)</f>
        <v>33</v>
      </c>
      <c r="Z199" s="50">
        <f>SUM('New Biz Sales'!AJ44)</f>
        <v>33</v>
      </c>
      <c r="AA199" s="50">
        <f>SUM('New Biz Sales'!AK44)</f>
        <v>33</v>
      </c>
      <c r="AB199" s="50">
        <f>SUM('New Biz Sales'!AL44)</f>
        <v>33</v>
      </c>
      <c r="AC199" s="11"/>
      <c r="AD199" s="11" t="str">
        <f t="shared" si="349"/>
        <v># of Opportunities</v>
      </c>
      <c r="AE199" s="21">
        <f t="shared" ref="AE199:AE200" si="352">SUM(M199:P199)</f>
        <v>123</v>
      </c>
      <c r="AF199" s="21">
        <f t="shared" ref="AF199:AF200" si="353">SUM(Q199:T199)</f>
        <v>132</v>
      </c>
      <c r="AG199" s="21">
        <f t="shared" si="350"/>
        <v>9</v>
      </c>
      <c r="AH199" s="19">
        <f t="shared" si="351"/>
        <v>0.07317073171</v>
      </c>
      <c r="AI199" s="11"/>
      <c r="AJ199" s="11"/>
      <c r="AK199" s="11" t="s">
        <v>77</v>
      </c>
      <c r="AL199" s="20">
        <f t="shared" ref="AL199:AL200" si="354">SUM(E199:H199)</f>
        <v>120</v>
      </c>
      <c r="AM199" s="20">
        <f t="shared" ref="AM199:AM200" si="355">SUM(I199:L199)</f>
        <v>120</v>
      </c>
      <c r="AN199" s="20">
        <f t="shared" ref="AN199:AN200" si="356">SUM(M199:P199)</f>
        <v>123</v>
      </c>
      <c r="AO199" s="20">
        <f t="shared" ref="AO199:AO200" si="357">SUM(Q199:T199)</f>
        <v>132</v>
      </c>
      <c r="AP199" s="20">
        <f t="shared" ref="AP199:AP200" si="358">SUM(U199:X199)</f>
        <v>132</v>
      </c>
      <c r="AQ199" s="20">
        <f t="shared" ref="AQ199:AQ200" si="359">SUM(Y199:AB199)</f>
        <v>132</v>
      </c>
      <c r="AR199" s="11"/>
      <c r="AS199" s="11"/>
      <c r="AT199" s="11"/>
      <c r="AU199" s="11"/>
      <c r="AV199" s="11"/>
      <c r="AW199" s="11"/>
      <c r="AX199" s="11"/>
      <c r="AY199" s="11"/>
      <c r="AZ199" s="11"/>
      <c r="BA199" s="11"/>
      <c r="BB199" s="11"/>
      <c r="BC199" s="11"/>
      <c r="BD199" s="11"/>
      <c r="BE199" s="11"/>
      <c r="BF199" s="11"/>
      <c r="BG199" s="11"/>
      <c r="BH199" s="11"/>
      <c r="BI199" s="11"/>
      <c r="BJ199" s="11"/>
      <c r="BK199" s="11"/>
    </row>
    <row r="200" ht="15.75" customHeight="1">
      <c r="A200" s="11"/>
      <c r="B200" s="11"/>
      <c r="C200" s="11"/>
      <c r="D200" s="11" t="s">
        <v>91</v>
      </c>
      <c r="E200" s="61">
        <f>'New Biz Sales'!O93+'Portfolio Sales'!E86</f>
        <v>5</v>
      </c>
      <c r="F200" s="61">
        <f>'New Biz Sales'!P93+'Portfolio Sales'!F86</f>
        <v>5</v>
      </c>
      <c r="G200" s="61">
        <f>'New Biz Sales'!Q93+'Portfolio Sales'!G86</f>
        <v>5</v>
      </c>
      <c r="H200" s="61">
        <f>'New Biz Sales'!R93+'Portfolio Sales'!H86</f>
        <v>5</v>
      </c>
      <c r="I200" s="61">
        <f>'New Biz Sales'!S93+'Portfolio Sales'!I86</f>
        <v>5</v>
      </c>
      <c r="J200" s="61">
        <f>'New Biz Sales'!T93+'Portfolio Sales'!J86</f>
        <v>5</v>
      </c>
      <c r="K200" s="61">
        <f>'New Biz Sales'!U93+'Portfolio Sales'!K86</f>
        <v>5</v>
      </c>
      <c r="L200" s="61">
        <f>'New Biz Sales'!V93+'Portfolio Sales'!L86</f>
        <v>5</v>
      </c>
      <c r="M200" s="61">
        <f>'New Biz Sales'!W93+'Portfolio Sales'!M86</f>
        <v>5</v>
      </c>
      <c r="N200" s="61">
        <f>'New Biz Sales'!X93+'Portfolio Sales'!N86</f>
        <v>5</v>
      </c>
      <c r="O200" s="61">
        <f>'New Biz Sales'!Y93+'Portfolio Sales'!O86</f>
        <v>6</v>
      </c>
      <c r="P200" s="61">
        <f>'New Biz Sales'!Z93+'Portfolio Sales'!P86</f>
        <v>3.75</v>
      </c>
      <c r="Q200" s="61">
        <f>'New Biz Sales'!AA93+'Portfolio Sales'!Q86</f>
        <v>4.5</v>
      </c>
      <c r="R200" s="61">
        <f>'New Biz Sales'!AB93+'Portfolio Sales'!R86</f>
        <v>4.95</v>
      </c>
      <c r="S200" s="61">
        <f>'New Biz Sales'!AC93+'Portfolio Sales'!S86</f>
        <v>4.95</v>
      </c>
      <c r="T200" s="61">
        <f>'New Biz Sales'!AD93+'Portfolio Sales'!T86</f>
        <v>4.95</v>
      </c>
      <c r="U200" s="61">
        <f>'New Biz Sales'!AE93+'Portfolio Sales'!U86</f>
        <v>4.95</v>
      </c>
      <c r="V200" s="61">
        <f>'New Biz Sales'!AF93+'Portfolio Sales'!V86</f>
        <v>4.95</v>
      </c>
      <c r="W200" s="61">
        <f>'New Biz Sales'!AG93+'Portfolio Sales'!W86</f>
        <v>4.95</v>
      </c>
      <c r="X200" s="61">
        <f>'New Biz Sales'!AH93+'Portfolio Sales'!X86</f>
        <v>4.95</v>
      </c>
      <c r="Y200" s="61">
        <f>'New Biz Sales'!AI93+'Portfolio Sales'!Y86</f>
        <v>4.95</v>
      </c>
      <c r="Z200" s="61">
        <f>'New Biz Sales'!AJ93+'Portfolio Sales'!Z86</f>
        <v>4.95</v>
      </c>
      <c r="AA200" s="61">
        <f>'New Biz Sales'!AK93+'Portfolio Sales'!AA86</f>
        <v>4.95</v>
      </c>
      <c r="AB200" s="61">
        <f>'New Biz Sales'!AL93+'Portfolio Sales'!AB86</f>
        <v>4.95</v>
      </c>
      <c r="AC200" s="11"/>
      <c r="AD200" s="11" t="str">
        <f t="shared" si="349"/>
        <v>Deals Closed</v>
      </c>
      <c r="AE200" s="21">
        <f t="shared" si="352"/>
        <v>19.75</v>
      </c>
      <c r="AF200" s="21">
        <f t="shared" si="353"/>
        <v>19.35</v>
      </c>
      <c r="AG200" s="21">
        <f t="shared" si="350"/>
        <v>-0.4</v>
      </c>
      <c r="AH200" s="19">
        <f t="shared" si="351"/>
        <v>-0.02025316456</v>
      </c>
      <c r="AI200" s="11"/>
      <c r="AJ200" s="11"/>
      <c r="AK200" s="11" t="s">
        <v>78</v>
      </c>
      <c r="AL200" s="21">
        <f t="shared" si="354"/>
        <v>20</v>
      </c>
      <c r="AM200" s="62">
        <f t="shared" si="355"/>
        <v>20</v>
      </c>
      <c r="AN200" s="62">
        <f t="shared" si="356"/>
        <v>19.75</v>
      </c>
      <c r="AO200" s="63">
        <f t="shared" si="357"/>
        <v>19.35</v>
      </c>
      <c r="AP200" s="63">
        <f t="shared" si="358"/>
        <v>19.8</v>
      </c>
      <c r="AQ200" s="63">
        <f t="shared" si="359"/>
        <v>19.8</v>
      </c>
      <c r="AR200" s="11"/>
      <c r="AS200" s="11"/>
      <c r="AT200" s="11"/>
      <c r="AU200" s="11"/>
      <c r="AV200" s="11"/>
      <c r="AW200" s="11"/>
      <c r="AX200" s="11"/>
      <c r="AY200" s="11"/>
      <c r="AZ200" s="11"/>
      <c r="BA200" s="11"/>
      <c r="BB200" s="11"/>
      <c r="BC200" s="11"/>
      <c r="BD200" s="11"/>
      <c r="BE200" s="11"/>
      <c r="BF200" s="11"/>
      <c r="BG200" s="11"/>
      <c r="BH200" s="11"/>
      <c r="BI200" s="11"/>
      <c r="BJ200" s="11"/>
      <c r="BK200" s="11"/>
    </row>
    <row r="201" ht="15.75" customHeight="1">
      <c r="A201" s="11"/>
      <c r="B201" s="11"/>
      <c r="C201" s="11"/>
      <c r="D201" s="11" t="s">
        <v>97</v>
      </c>
      <c r="E201" s="12">
        <f>'New Biz Sales'!O101</f>
        <v>161784</v>
      </c>
      <c r="F201" s="12">
        <f>'New Biz Sales'!P101</f>
        <v>374718</v>
      </c>
      <c r="G201" s="12">
        <f>'New Biz Sales'!Q101</f>
        <v>216152</v>
      </c>
      <c r="H201" s="12">
        <f>'New Biz Sales'!R101</f>
        <v>165942</v>
      </c>
      <c r="I201" s="12">
        <f>'New Biz Sales'!S101</f>
        <v>127283</v>
      </c>
      <c r="J201" s="12">
        <f>'New Biz Sales'!T101</f>
        <v>169261</v>
      </c>
      <c r="K201" s="12">
        <f>'New Biz Sales'!U101</f>
        <v>474856</v>
      </c>
      <c r="L201" s="12">
        <f>'New Biz Sales'!V101</f>
        <v>290656</v>
      </c>
      <c r="M201" s="12">
        <f>'New Biz Sales'!W101</f>
        <v>480415</v>
      </c>
      <c r="N201" s="12">
        <f>'New Biz Sales'!X101</f>
        <v>199930</v>
      </c>
      <c r="O201" s="12">
        <f>'New Biz Sales'!Y101</f>
        <v>398800</v>
      </c>
      <c r="P201" s="12">
        <f>'New Biz Sales'!Z101</f>
        <v>100000</v>
      </c>
      <c r="Q201" s="12">
        <f>'New Biz Sales'!AA101</f>
        <v>100000</v>
      </c>
      <c r="R201" s="12">
        <f>'New Biz Sales'!AB101</f>
        <v>100000</v>
      </c>
      <c r="S201" s="12">
        <f>'New Biz Sales'!AC101</f>
        <v>100000</v>
      </c>
      <c r="T201" s="12">
        <f>'New Biz Sales'!AD101</f>
        <v>100000</v>
      </c>
      <c r="U201" s="12">
        <f>'New Biz Sales'!AE101</f>
        <v>100000</v>
      </c>
      <c r="V201" s="12">
        <f>'New Biz Sales'!AF101</f>
        <v>100000</v>
      </c>
      <c r="W201" s="12">
        <f>'New Biz Sales'!AG101</f>
        <v>100000</v>
      </c>
      <c r="X201" s="12">
        <f>'New Biz Sales'!AH101</f>
        <v>100000</v>
      </c>
      <c r="Y201" s="12">
        <f>'New Biz Sales'!AI101</f>
        <v>100000</v>
      </c>
      <c r="Z201" s="12">
        <f>'New Biz Sales'!AJ101</f>
        <v>100000</v>
      </c>
      <c r="AA201" s="12">
        <f>'New Biz Sales'!AK101</f>
        <v>100000</v>
      </c>
      <c r="AB201" s="12">
        <f>'New Biz Sales'!AL101</f>
        <v>100000</v>
      </c>
      <c r="AC201" s="11"/>
      <c r="AD201" s="11" t="str">
        <f t="shared" si="349"/>
        <v>AOV</v>
      </c>
      <c r="AE201" s="12" t="str">
        <f>IFERROR(__xludf.DUMMYFUNCTION("AVERAGE.WEIGHTED(M207:P207,M206:P206)"),"#VALUE!")</f>
        <v>#VALUE!</v>
      </c>
      <c r="AF201" s="12" t="str">
        <f>IFERROR(__xludf.DUMMYFUNCTION("AVERAGE.WEIGHTED(Q207:T207,Q206:T206)"),"#VALUE!")</f>
        <v>#VALUE!</v>
      </c>
      <c r="AG201" s="12" t="str">
        <f t="shared" si="350"/>
        <v>#VALUE!</v>
      </c>
      <c r="AH201" s="19" t="str">
        <f t="shared" si="351"/>
        <v>#VALUE!</v>
      </c>
      <c r="AI201" s="11"/>
      <c r="AJ201" s="11"/>
      <c r="AK201" s="11" t="s">
        <v>79</v>
      </c>
      <c r="AL201" s="12">
        <f t="shared" ref="AL201:AL203" si="360">AVERAGE(E201:H201)</f>
        <v>229649</v>
      </c>
      <c r="AM201" s="12">
        <f t="shared" ref="AM201:AM203" si="361">AVERAGE(I201:L201)</f>
        <v>265514</v>
      </c>
      <c r="AN201" s="12">
        <f t="shared" ref="AN201:AN203" si="362">AVERAGE(M201:P201)</f>
        <v>294786.25</v>
      </c>
      <c r="AO201" s="12">
        <f t="shared" ref="AO201:AO203" si="363">AVERAGE(Q201:T201)</f>
        <v>100000</v>
      </c>
      <c r="AP201" s="12">
        <f t="shared" ref="AP201:AP203" si="364">AVERAGE(U201:X201)</f>
        <v>100000</v>
      </c>
      <c r="AQ201" s="12">
        <f t="shared" ref="AQ201:AQ203" si="365">AVERAGE(Y201:AB201)</f>
        <v>100000</v>
      </c>
      <c r="AR201" s="11"/>
      <c r="AS201" s="11"/>
      <c r="AT201" s="11"/>
      <c r="AU201" s="11"/>
      <c r="AV201" s="11"/>
      <c r="AW201" s="11"/>
      <c r="AX201" s="11"/>
      <c r="AY201" s="11"/>
      <c r="AZ201" s="11"/>
      <c r="BA201" s="11"/>
      <c r="BB201" s="11"/>
      <c r="BC201" s="11"/>
      <c r="BD201" s="11"/>
      <c r="BE201" s="11"/>
      <c r="BF201" s="11"/>
      <c r="BG201" s="11"/>
      <c r="BH201" s="11"/>
      <c r="BI201" s="11"/>
      <c r="BJ201" s="11"/>
      <c r="BK201" s="11"/>
    </row>
    <row r="202" ht="15.75" customHeight="1">
      <c r="A202" s="11"/>
      <c r="B202" s="11"/>
      <c r="C202" s="11"/>
      <c r="D202" s="11" t="s">
        <v>81</v>
      </c>
      <c r="E202" s="57">
        <f>1-Retention!O66</f>
        <v>0.5</v>
      </c>
      <c r="F202" s="57">
        <f>1-Retention!P66</f>
        <v>0.5</v>
      </c>
      <c r="G202" s="57">
        <f>1-Retention!Q66</f>
        <v>0.5</v>
      </c>
      <c r="H202" s="57">
        <f>1-Retention!R66</f>
        <v>0.5</v>
      </c>
      <c r="I202" s="57">
        <f>1-Retention!S66</f>
        <v>0.5</v>
      </c>
      <c r="J202" s="57">
        <f>1-Retention!T66</f>
        <v>0.5</v>
      </c>
      <c r="K202" s="57">
        <f>1-Retention!U66</f>
        <v>0.5</v>
      </c>
      <c r="L202" s="57">
        <f>1-Retention!V66</f>
        <v>0.5</v>
      </c>
      <c r="M202" s="57">
        <f>1-Retention!W66</f>
        <v>0.5</v>
      </c>
      <c r="N202" s="57">
        <f>1-Retention!X66</f>
        <v>0.5</v>
      </c>
      <c r="O202" s="57">
        <f>1-Retention!Y66</f>
        <v>0.5</v>
      </c>
      <c r="P202" s="57">
        <f>1-Retention!Z66</f>
        <v>0.5</v>
      </c>
      <c r="Q202" s="57">
        <f>1-Retention!AA66</f>
        <v>0.5</v>
      </c>
      <c r="R202" s="57">
        <f>1-Retention!AB66</f>
        <v>0.5</v>
      </c>
      <c r="S202" s="57">
        <f>1-Retention!AC66</f>
        <v>0.5</v>
      </c>
      <c r="T202" s="57">
        <f>1-Retention!AD66</f>
        <v>0.5</v>
      </c>
      <c r="U202" s="57">
        <f>1-Retention!AE66</f>
        <v>0.5</v>
      </c>
      <c r="V202" s="57">
        <f>1-Retention!AF66</f>
        <v>0.5</v>
      </c>
      <c r="W202" s="57">
        <f>1-Retention!AG66</f>
        <v>0.5</v>
      </c>
      <c r="X202" s="57">
        <f>1-Retention!AH66</f>
        <v>0.5</v>
      </c>
      <c r="Y202" s="57">
        <f>1-Retention!AI66</f>
        <v>0.5</v>
      </c>
      <c r="Z202" s="57">
        <f>1-Retention!AJ66</f>
        <v>0.5</v>
      </c>
      <c r="AA202" s="57">
        <f>1-Retention!AK66</f>
        <v>0.5</v>
      </c>
      <c r="AB202" s="57">
        <f>1-Retention!AL66</f>
        <v>0.5</v>
      </c>
      <c r="AC202" s="11"/>
      <c r="AD202" s="11" t="s">
        <v>81</v>
      </c>
      <c r="AE202" s="44">
        <f>P202</f>
        <v>0.5</v>
      </c>
      <c r="AF202" s="44">
        <v>0.5</v>
      </c>
      <c r="AG202" s="45">
        <f t="shared" si="350"/>
        <v>0</v>
      </c>
      <c r="AH202" s="19">
        <f t="shared" si="351"/>
        <v>0</v>
      </c>
      <c r="AI202" s="11"/>
      <c r="AJ202" s="11"/>
      <c r="AK202" s="11" t="s">
        <v>82</v>
      </c>
      <c r="AL202" s="19">
        <f t="shared" si="360"/>
        <v>0.5</v>
      </c>
      <c r="AM202" s="19">
        <f t="shared" si="361"/>
        <v>0.5</v>
      </c>
      <c r="AN202" s="19">
        <f t="shared" si="362"/>
        <v>0.5</v>
      </c>
      <c r="AO202" s="19">
        <f t="shared" si="363"/>
        <v>0.5</v>
      </c>
      <c r="AP202" s="19">
        <f t="shared" si="364"/>
        <v>0.5</v>
      </c>
      <c r="AQ202" s="19">
        <f t="shared" si="365"/>
        <v>0.5</v>
      </c>
      <c r="AR202" s="11"/>
      <c r="AS202" s="11"/>
      <c r="AT202" s="11"/>
      <c r="AU202" s="11"/>
      <c r="AV202" s="11"/>
      <c r="AW202" s="11"/>
      <c r="AX202" s="11"/>
      <c r="AY202" s="11"/>
      <c r="AZ202" s="11"/>
      <c r="BA202" s="11"/>
      <c r="BB202" s="11"/>
      <c r="BC202" s="11"/>
      <c r="BD202" s="11"/>
      <c r="BE202" s="11"/>
      <c r="BF202" s="11"/>
      <c r="BG202" s="11"/>
      <c r="BH202" s="11"/>
      <c r="BI202" s="11"/>
      <c r="BJ202" s="11"/>
      <c r="BK202" s="11"/>
    </row>
    <row r="203" ht="15.75" customHeight="1">
      <c r="A203" s="11"/>
      <c r="B203" s="11"/>
      <c r="C203" s="11"/>
      <c r="D203" s="33" t="s">
        <v>83</v>
      </c>
      <c r="E203" s="46">
        <f>IFERROR(Retention!O172,0)</f>
        <v>477.0541547</v>
      </c>
      <c r="F203" s="46">
        <f>IFERROR(Retention!P172,0)</f>
        <v>-1919.602119</v>
      </c>
      <c r="G203" s="46">
        <f>IFERROR(Retention!Q172,0)</f>
        <v>-3980.333168</v>
      </c>
      <c r="H203" s="46">
        <f>IFERROR(Retention!R172,0)</f>
        <v>-2364.552082</v>
      </c>
      <c r="I203" s="46">
        <f>IFERROR(Retention!S172,0)</f>
        <v>-967.1078769</v>
      </c>
      <c r="J203" s="46">
        <f>IFERROR(Retention!T172,0)</f>
        <v>2348.064589</v>
      </c>
      <c r="K203" s="46">
        <f>IFERROR(Retention!U172,0)</f>
        <v>4224.248833</v>
      </c>
      <c r="L203" s="46">
        <f>IFERROR(Retention!V172,0)</f>
        <v>11018.4155</v>
      </c>
      <c r="M203" s="46">
        <f>IFERROR(Retention!W172,0)</f>
        <v>1973.093762</v>
      </c>
      <c r="N203" s="46">
        <f>IFERROR(Retention!X172,0)</f>
        <v>-1896.021353</v>
      </c>
      <c r="O203" s="46">
        <f>IFERROR(Retention!Y172,0)</f>
        <v>312.423913</v>
      </c>
      <c r="P203" s="46">
        <f>IFERROR(Retention!Z172,0)</f>
        <v>78203.26068</v>
      </c>
      <c r="Q203" s="46">
        <f>IFERROR(Retention!AA172,0)</f>
        <v>78386.41818</v>
      </c>
      <c r="R203" s="46">
        <f>IFERROR(Retention!AB172,0)</f>
        <v>80269.76341</v>
      </c>
      <c r="S203" s="46">
        <f>IFERROR(Retention!AC172,0)</f>
        <v>81642.63131</v>
      </c>
      <c r="T203" s="46">
        <f>IFERROR(Retention!AD172,0)</f>
        <v>82082.77994</v>
      </c>
      <c r="U203" s="46">
        <f>IFERROR(Retention!AE172,0)</f>
        <v>81786.83312</v>
      </c>
      <c r="V203" s="46">
        <f>IFERROR(Retention!AF172,0)</f>
        <v>82641.91022</v>
      </c>
      <c r="W203" s="46">
        <f>IFERROR(Retention!AG172,0)</f>
        <v>83384.6263</v>
      </c>
      <c r="X203" s="46">
        <f>IFERROR(Retention!AH172,0)</f>
        <v>83367.80094</v>
      </c>
      <c r="Y203" s="46">
        <f>IFERROR(Retention!AI172,0)</f>
        <v>82864.37139</v>
      </c>
      <c r="Z203" s="46">
        <f>IFERROR(Retention!AJ172,0)</f>
        <v>82874.53651</v>
      </c>
      <c r="AA203" s="46">
        <f>IFERROR(Retention!AK172,0)</f>
        <v>83380.63432</v>
      </c>
      <c r="AB203" s="46">
        <f>IFERROR(Retention!AL172,0)</f>
        <v>83367.88543</v>
      </c>
      <c r="AC203" s="11"/>
      <c r="AD203" s="33" t="str">
        <f>D203</f>
        <v>New Client LTV</v>
      </c>
      <c r="AE203" s="35" t="str">
        <f t="shared" ref="AE203:AF203" si="366">((AE201/3)*AE195)/(1-AE202)</f>
        <v>#VALUE!</v>
      </c>
      <c r="AF203" s="35" t="str">
        <f t="shared" si="366"/>
        <v>#VALUE!</v>
      </c>
      <c r="AG203" s="47" t="str">
        <f t="shared" si="350"/>
        <v>#VALUE!</v>
      </c>
      <c r="AH203" s="64" t="str">
        <f>(AF203/AE203-1)*-1</f>
        <v>#VALUE!</v>
      </c>
      <c r="AI203" s="11"/>
      <c r="AJ203" s="11"/>
      <c r="AK203" s="33" t="s">
        <v>83</v>
      </c>
      <c r="AL203" s="35">
        <f t="shared" si="360"/>
        <v>-1946.858304</v>
      </c>
      <c r="AM203" s="35">
        <f t="shared" si="361"/>
        <v>4155.905261</v>
      </c>
      <c r="AN203" s="35">
        <f t="shared" si="362"/>
        <v>19648.18925</v>
      </c>
      <c r="AO203" s="35">
        <f t="shared" si="363"/>
        <v>80595.39821</v>
      </c>
      <c r="AP203" s="35">
        <f t="shared" si="364"/>
        <v>82795.29264</v>
      </c>
      <c r="AQ203" s="35">
        <f t="shared" si="365"/>
        <v>83121.85691</v>
      </c>
      <c r="AR203" s="11"/>
      <c r="AS203" s="11"/>
      <c r="AT203" s="11"/>
      <c r="AU203" s="11"/>
      <c r="AV203" s="11"/>
      <c r="AW203" s="11"/>
      <c r="AX203" s="11"/>
      <c r="AY203" s="11"/>
      <c r="AZ203" s="11"/>
      <c r="BA203" s="11"/>
      <c r="BB203" s="11"/>
      <c r="BC203" s="11"/>
      <c r="BD203" s="11"/>
      <c r="BE203" s="11"/>
      <c r="BF203" s="11"/>
      <c r="BG203" s="11"/>
      <c r="BH203" s="11"/>
      <c r="BI203" s="11"/>
      <c r="BJ203" s="11"/>
      <c r="BK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2"/>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2"/>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row>
    <row r="206" ht="15.75" customHeight="1">
      <c r="A206" s="11"/>
      <c r="B206" s="11"/>
      <c r="C206" s="11"/>
      <c r="D206" s="11" t="s">
        <v>84</v>
      </c>
      <c r="E206" s="24"/>
      <c r="F206" s="24"/>
      <c r="G206" s="24"/>
      <c r="H206" s="24"/>
      <c r="I206" s="24"/>
      <c r="J206" s="24"/>
      <c r="K206" s="24"/>
      <c r="L206" s="24"/>
      <c r="M206" s="24">
        <f>M194-'Ops Departments'!X223</f>
        <v>0</v>
      </c>
      <c r="N206" s="24">
        <f>N194-'Ops Departments'!Y223</f>
        <v>0</v>
      </c>
      <c r="O206" s="24">
        <f>O194-'Ops Departments'!Z223</f>
        <v>0</v>
      </c>
      <c r="P206" s="24">
        <f>P194-'Ops Departments'!AA223</f>
        <v>0</v>
      </c>
      <c r="Q206" s="24">
        <f>Q194-'Ops Departments'!AB223</f>
        <v>0</v>
      </c>
      <c r="R206" s="24">
        <f>R194-'Ops Departments'!AC223</f>
        <v>0</v>
      </c>
      <c r="S206" s="24">
        <f>S194-'Ops Departments'!AD223</f>
        <v>0</v>
      </c>
      <c r="T206" s="24">
        <f>T194-'Ops Departments'!AE223</f>
        <v>0</v>
      </c>
      <c r="U206" s="24">
        <f>U194-'Ops Departments'!AF223</f>
        <v>0</v>
      </c>
      <c r="V206" s="24">
        <f>V194-'Ops Departments'!AG223</f>
        <v>0</v>
      </c>
      <c r="W206" s="24">
        <f>W194-'Ops Departments'!AH223</f>
        <v>0</v>
      </c>
      <c r="X206" s="24">
        <f>X194-'Ops Departments'!AI223</f>
        <v>0</v>
      </c>
      <c r="Y206" s="24">
        <f>Y194-'Ops Departments'!AJ223</f>
        <v>0</v>
      </c>
      <c r="Z206" s="24">
        <f>Z194-'Ops Departments'!AK223</f>
        <v>0</v>
      </c>
      <c r="AA206" s="24">
        <f>AA194-'Ops Departments'!AL223</f>
        <v>0</v>
      </c>
      <c r="AB206" s="24">
        <f>AB194-'Ops Departments'!AM223</f>
        <v>0</v>
      </c>
      <c r="AC206" s="11"/>
      <c r="AD206" s="11"/>
      <c r="AE206" s="11"/>
      <c r="AF206" s="11"/>
      <c r="AG206" s="12"/>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2"/>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2"/>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2"/>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row>
    <row r="210" ht="15.75" customHeight="1">
      <c r="A210" s="11"/>
      <c r="B210" s="13" t="s">
        <v>25</v>
      </c>
      <c r="C210" s="11"/>
      <c r="D210" s="11"/>
      <c r="E210" s="14">
        <v>44562.0</v>
      </c>
      <c r="F210" s="14">
        <v>44593.0</v>
      </c>
      <c r="G210" s="14">
        <v>44621.0</v>
      </c>
      <c r="H210" s="14">
        <v>44652.0</v>
      </c>
      <c r="I210" s="14">
        <v>44682.0</v>
      </c>
      <c r="J210" s="14">
        <v>44713.0</v>
      </c>
      <c r="K210" s="14">
        <v>44743.0</v>
      </c>
      <c r="L210" s="14">
        <v>44774.0</v>
      </c>
      <c r="M210" s="14">
        <v>44805.0</v>
      </c>
      <c r="N210" s="14">
        <v>44835.0</v>
      </c>
      <c r="O210" s="14">
        <v>44866.0</v>
      </c>
      <c r="P210" s="14">
        <v>44896.0</v>
      </c>
      <c r="Q210" s="15">
        <v>44927.0</v>
      </c>
      <c r="R210" s="15">
        <v>44958.0</v>
      </c>
      <c r="S210" s="15">
        <v>44986.0</v>
      </c>
      <c r="T210" s="15">
        <v>45017.0</v>
      </c>
      <c r="U210" s="15">
        <v>45047.0</v>
      </c>
      <c r="V210" s="15">
        <v>45078.0</v>
      </c>
      <c r="W210" s="15">
        <v>45108.0</v>
      </c>
      <c r="X210" s="15">
        <v>45139.0</v>
      </c>
      <c r="Y210" s="15">
        <v>45170.0</v>
      </c>
      <c r="Z210" s="15">
        <v>45200.0</v>
      </c>
      <c r="AA210" s="15">
        <v>45231.0</v>
      </c>
      <c r="AB210" s="15">
        <v>45261.0</v>
      </c>
      <c r="AC210" s="65"/>
      <c r="AD210" s="65"/>
      <c r="AE210" s="16" t="s">
        <v>53</v>
      </c>
      <c r="AF210" s="16" t="s">
        <v>48</v>
      </c>
      <c r="AG210" s="18" t="s">
        <v>49</v>
      </c>
      <c r="AH210" s="17" t="s">
        <v>50</v>
      </c>
      <c r="AI210" s="16" t="s">
        <v>51</v>
      </c>
      <c r="AJ210" s="11"/>
      <c r="AK210" s="11"/>
      <c r="AL210" s="16" t="s">
        <v>52</v>
      </c>
      <c r="AM210" s="16" t="s">
        <v>53</v>
      </c>
      <c r="AN210" s="16" t="s">
        <v>48</v>
      </c>
      <c r="AO210" s="17" t="s">
        <v>49</v>
      </c>
      <c r="AP210" s="17" t="s">
        <v>54</v>
      </c>
      <c r="AQ210" s="17" t="s">
        <v>55</v>
      </c>
      <c r="AR210" s="11"/>
      <c r="AS210" s="11"/>
      <c r="AT210" s="11"/>
      <c r="AU210" s="11"/>
      <c r="AV210" s="11"/>
      <c r="AW210" s="11"/>
      <c r="AX210" s="11"/>
      <c r="AY210" s="11"/>
      <c r="AZ210" s="11"/>
      <c r="BA210" s="11"/>
      <c r="BB210" s="11"/>
      <c r="BC210" s="11"/>
      <c r="BD210" s="11"/>
      <c r="BE210" s="11"/>
      <c r="BF210" s="11"/>
      <c r="BG210" s="11"/>
      <c r="BH210" s="11"/>
      <c r="BI210" s="11"/>
      <c r="BJ210" s="11"/>
      <c r="BK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2"/>
      <c r="AH211" s="11"/>
      <c r="AI211" s="66"/>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row>
    <row r="212" ht="15.75" customHeight="1">
      <c r="A212" s="11"/>
      <c r="B212" s="11"/>
      <c r="C212" s="11"/>
      <c r="D212" s="67" t="s">
        <v>47</v>
      </c>
      <c r="E212" s="12">
        <f>Summary!AB7</f>
        <v>225168</v>
      </c>
      <c r="F212" s="12">
        <f>Summary!AC7</f>
        <v>202984</v>
      </c>
      <c r="G212" s="12">
        <f>Summary!AD7</f>
        <v>230137</v>
      </c>
      <c r="H212" s="12">
        <f>Summary!AE7</f>
        <v>215710</v>
      </c>
      <c r="I212" s="12">
        <f>Summary!AF7</f>
        <v>275885</v>
      </c>
      <c r="J212" s="12">
        <f>Summary!AG7</f>
        <v>196349</v>
      </c>
      <c r="K212" s="12">
        <f>Summary!AH7</f>
        <v>274969</v>
      </c>
      <c r="L212" s="12">
        <f>Summary!AI7</f>
        <v>270100</v>
      </c>
      <c r="M212" s="12">
        <f>Summary!AJ7</f>
        <v>241649</v>
      </c>
      <c r="N212" s="12">
        <f>Summary!AK7</f>
        <v>195381</v>
      </c>
      <c r="O212" s="12">
        <f>Summary!AL7</f>
        <v>291011</v>
      </c>
      <c r="P212" s="12">
        <f>Summary!AM7</f>
        <v>424038.3587</v>
      </c>
      <c r="Q212" s="12">
        <f>Summary!AN7</f>
        <v>504241.5363</v>
      </c>
      <c r="R212" s="12">
        <f>Summary!AO7</f>
        <v>582808.2623</v>
      </c>
      <c r="S212" s="12">
        <f>Summary!AP7</f>
        <v>656219.2844</v>
      </c>
      <c r="T212" s="12">
        <f>Summary!AQ7</f>
        <v>729298.1637</v>
      </c>
      <c r="U212" s="12">
        <f>Summary!AR7</f>
        <v>810916.7567</v>
      </c>
      <c r="V212" s="12">
        <f>Summary!AS7</f>
        <v>888901.9038</v>
      </c>
      <c r="W212" s="12">
        <f>Summary!AT7</f>
        <v>964562.3903</v>
      </c>
      <c r="X212" s="12">
        <f>Summary!AU7</f>
        <v>1039304.834</v>
      </c>
      <c r="Y212" s="12">
        <f>Summary!AV7</f>
        <v>1116079.352</v>
      </c>
      <c r="Z212" s="12">
        <f>Summary!AW7</f>
        <v>1187157.271</v>
      </c>
      <c r="AA212" s="12">
        <f>Summary!AX7</f>
        <v>1262204.801</v>
      </c>
      <c r="AB212" s="12">
        <f>Summary!AY7</f>
        <v>1340193.399</v>
      </c>
      <c r="AC212" s="12"/>
      <c r="AD212" s="12" t="str">
        <f t="shared" ref="AD212:AD220" si="367">D212</f>
        <v>Paid Media</v>
      </c>
      <c r="AE212" s="12">
        <f t="shared" ref="AE212:AE218" si="368">SUM(I212:L212)</f>
        <v>1017303</v>
      </c>
      <c r="AF212" s="12">
        <f t="shared" ref="AF212:AF218" si="369">SUM(M212:P212)</f>
        <v>1152079.359</v>
      </c>
      <c r="AG212" s="12">
        <f t="shared" ref="AG212:AG218" si="370">SUM(Q212:T212)</f>
        <v>2472567.247</v>
      </c>
      <c r="AH212" s="12">
        <f t="shared" ref="AH212:AH219" si="371">AG212-AF212</f>
        <v>1320487.888</v>
      </c>
      <c r="AI212" s="19">
        <f t="shared" ref="AI212:AI218" si="372">AG212/AF212-1</f>
        <v>1.14617789</v>
      </c>
      <c r="AJ212" s="67"/>
      <c r="AK212" s="67" t="s">
        <v>47</v>
      </c>
      <c r="AL212" s="12">
        <f t="shared" ref="AL212:AL218" si="373">SUM(E212:H212)</f>
        <v>873999</v>
      </c>
      <c r="AM212" s="12">
        <f t="shared" ref="AM212:AM218" si="374">SUM(I212:L212)</f>
        <v>1017303</v>
      </c>
      <c r="AN212" s="12">
        <f t="shared" ref="AN212:AN218" si="375">SUM(M212:P212)</f>
        <v>1152079.359</v>
      </c>
      <c r="AO212" s="12">
        <f t="shared" ref="AO212:AO218" si="376">SUM(Q212:T212)</f>
        <v>2472567.247</v>
      </c>
      <c r="AP212" s="12">
        <f t="shared" ref="AP212:AP218" si="377">SUM(U212:X212)</f>
        <v>3703685.885</v>
      </c>
      <c r="AQ212" s="12">
        <f t="shared" ref="AQ212:AQ218" si="378">SUM(Y212:AB212)</f>
        <v>4905634.823</v>
      </c>
      <c r="AR212" s="11"/>
      <c r="AS212" s="11"/>
      <c r="AT212" s="11"/>
      <c r="AU212" s="11"/>
      <c r="AV212" s="11"/>
      <c r="AW212" s="11"/>
      <c r="AX212" s="11"/>
      <c r="AY212" s="11"/>
      <c r="AZ212" s="11"/>
      <c r="BA212" s="11"/>
      <c r="BB212" s="11"/>
      <c r="BC212" s="11"/>
      <c r="BD212" s="11"/>
      <c r="BE212" s="11"/>
      <c r="BF212" s="11"/>
      <c r="BG212" s="11"/>
      <c r="BH212" s="11"/>
      <c r="BI212" s="11"/>
      <c r="BJ212" s="11"/>
      <c r="BK212" s="11"/>
    </row>
    <row r="213" ht="15.75" customHeight="1">
      <c r="A213" s="11"/>
      <c r="B213" s="11"/>
      <c r="C213" s="11"/>
      <c r="D213" s="67" t="s">
        <v>85</v>
      </c>
      <c r="E213" s="12">
        <f>Summary!AB8</f>
        <v>231341</v>
      </c>
      <c r="F213" s="12">
        <f>Summary!AC8</f>
        <v>219777</v>
      </c>
      <c r="G213" s="12">
        <f>Summary!AD8</f>
        <v>140531</v>
      </c>
      <c r="H213" s="12">
        <f>Summary!AE8</f>
        <v>172522</v>
      </c>
      <c r="I213" s="12">
        <f>Summary!AF8</f>
        <v>167953</v>
      </c>
      <c r="J213" s="12">
        <f>Summary!AG8</f>
        <v>183441</v>
      </c>
      <c r="K213" s="12">
        <f>Summary!AH8</f>
        <v>128542</v>
      </c>
      <c r="L213" s="12">
        <f>Summary!AI8</f>
        <v>260968</v>
      </c>
      <c r="M213" s="12">
        <f>Summary!AJ8</f>
        <v>274042</v>
      </c>
      <c r="N213" s="12">
        <f>Summary!AK8</f>
        <v>169044</v>
      </c>
      <c r="O213" s="12">
        <f>Summary!AL8</f>
        <v>185698</v>
      </c>
      <c r="P213" s="12">
        <f>Summary!AM8</f>
        <v>273479.9044</v>
      </c>
      <c r="Q213" s="12">
        <f>Summary!AN8</f>
        <v>333775.5366</v>
      </c>
      <c r="R213" s="12">
        <f>Summary!AO8</f>
        <v>396850.6096</v>
      </c>
      <c r="S213" s="12">
        <f>Summary!AP8</f>
        <v>456755.2775</v>
      </c>
      <c r="T213" s="12">
        <f>Summary!AQ8</f>
        <v>516926.4202</v>
      </c>
      <c r="U213" s="12">
        <f>Summary!AR8</f>
        <v>576580.2861</v>
      </c>
      <c r="V213" s="12">
        <f>Summary!AS8</f>
        <v>635351.6453</v>
      </c>
      <c r="W213" s="12">
        <f>Summary!AT8</f>
        <v>689760.3533</v>
      </c>
      <c r="X213" s="12">
        <f>Summary!AU8</f>
        <v>741903.5395</v>
      </c>
      <c r="Y213" s="12">
        <f>Summary!AV8</f>
        <v>792652.34</v>
      </c>
      <c r="Z213" s="12">
        <f>Summary!AW8</f>
        <v>837160.0566</v>
      </c>
      <c r="AA213" s="12">
        <f>Summary!AX8</f>
        <v>883691.7047</v>
      </c>
      <c r="AB213" s="12">
        <f>Summary!AY8</f>
        <v>930090.3147</v>
      </c>
      <c r="AC213" s="11"/>
      <c r="AD213" s="11" t="str">
        <f t="shared" si="367"/>
        <v>SEO</v>
      </c>
      <c r="AE213" s="21">
        <f t="shared" si="368"/>
        <v>740904</v>
      </c>
      <c r="AF213" s="21">
        <f t="shared" si="369"/>
        <v>902263.9044</v>
      </c>
      <c r="AG213" s="21">
        <f t="shared" si="370"/>
        <v>1704307.844</v>
      </c>
      <c r="AH213" s="12">
        <f t="shared" si="371"/>
        <v>802043.9394</v>
      </c>
      <c r="AI213" s="19">
        <f t="shared" si="372"/>
        <v>0.8889238896</v>
      </c>
      <c r="AJ213" s="67"/>
      <c r="AK213" s="67" t="s">
        <v>85</v>
      </c>
      <c r="AL213" s="12">
        <f t="shared" si="373"/>
        <v>764171</v>
      </c>
      <c r="AM213" s="12">
        <f t="shared" si="374"/>
        <v>740904</v>
      </c>
      <c r="AN213" s="12">
        <f t="shared" si="375"/>
        <v>902263.9044</v>
      </c>
      <c r="AO213" s="12">
        <f t="shared" si="376"/>
        <v>1704307.844</v>
      </c>
      <c r="AP213" s="12">
        <f t="shared" si="377"/>
        <v>2643595.824</v>
      </c>
      <c r="AQ213" s="12">
        <f t="shared" si="378"/>
        <v>3443594.416</v>
      </c>
      <c r="AR213" s="11"/>
      <c r="AS213" s="11"/>
      <c r="AT213" s="11"/>
      <c r="AU213" s="11"/>
      <c r="AV213" s="11"/>
      <c r="AW213" s="11"/>
      <c r="AX213" s="11"/>
      <c r="AY213" s="11"/>
      <c r="AZ213" s="11"/>
      <c r="BA213" s="11"/>
      <c r="BB213" s="11"/>
      <c r="BC213" s="11"/>
      <c r="BD213" s="11"/>
      <c r="BE213" s="11"/>
      <c r="BF213" s="11"/>
      <c r="BG213" s="11"/>
      <c r="BH213" s="11"/>
      <c r="BI213" s="11"/>
      <c r="BJ213" s="11"/>
      <c r="BK213" s="11"/>
    </row>
    <row r="214" ht="15.75" customHeight="1">
      <c r="A214" s="11"/>
      <c r="B214" s="11"/>
      <c r="C214" s="11"/>
      <c r="D214" s="67" t="s">
        <v>87</v>
      </c>
      <c r="E214" s="12">
        <f>Summary!AB9</f>
        <v>411774</v>
      </c>
      <c r="F214" s="12">
        <f>Summary!AC9</f>
        <v>322159</v>
      </c>
      <c r="G214" s="12">
        <f>Summary!AD9</f>
        <v>360150</v>
      </c>
      <c r="H214" s="12">
        <f>Summary!AE9</f>
        <v>356634</v>
      </c>
      <c r="I214" s="12">
        <f>Summary!AF9</f>
        <v>460353</v>
      </c>
      <c r="J214" s="12">
        <f>Summary!AG9</f>
        <v>300048</v>
      </c>
      <c r="K214" s="12">
        <f>Summary!AH9</f>
        <v>430757</v>
      </c>
      <c r="L214" s="12">
        <f>Summary!AI9</f>
        <v>444697</v>
      </c>
      <c r="M214" s="12">
        <f>Summary!AJ9</f>
        <v>486593</v>
      </c>
      <c r="N214" s="12">
        <f>Summary!AK9</f>
        <v>433956</v>
      </c>
      <c r="O214" s="12">
        <f>Summary!AL9</f>
        <v>426292</v>
      </c>
      <c r="P214" s="12">
        <f>Summary!AM9</f>
        <v>276010.975</v>
      </c>
      <c r="Q214" s="12">
        <f>Summary!AN9</f>
        <v>350687.0274</v>
      </c>
      <c r="R214" s="12">
        <f>Summary!AO9</f>
        <v>425236.3339</v>
      </c>
      <c r="S214" s="12">
        <f>Summary!AP9</f>
        <v>493846.1583</v>
      </c>
      <c r="T214" s="12">
        <f>Summary!AQ9</f>
        <v>557565.2007</v>
      </c>
      <c r="U214" s="12">
        <f>Summary!AR9</f>
        <v>618794.0664</v>
      </c>
      <c r="V214" s="12">
        <f>Summary!AS9</f>
        <v>679166.8654</v>
      </c>
      <c r="W214" s="12">
        <f>Summary!AT9</f>
        <v>737945.7206</v>
      </c>
      <c r="X214" s="12">
        <f>Summary!AU9</f>
        <v>798955.3159</v>
      </c>
      <c r="Y214" s="12">
        <f>Summary!AV9</f>
        <v>857035.5227</v>
      </c>
      <c r="Z214" s="12">
        <f>Summary!AW9</f>
        <v>909223.7479</v>
      </c>
      <c r="AA214" s="12">
        <f>Summary!AX9</f>
        <v>954796.8069</v>
      </c>
      <c r="AB214" s="12">
        <f>Summary!AY9</f>
        <v>1000310.763</v>
      </c>
      <c r="AC214" s="11"/>
      <c r="AD214" s="11" t="str">
        <f t="shared" si="367"/>
        <v>Design</v>
      </c>
      <c r="AE214" s="21">
        <f t="shared" si="368"/>
        <v>1635855</v>
      </c>
      <c r="AF214" s="21">
        <f t="shared" si="369"/>
        <v>1622851.975</v>
      </c>
      <c r="AG214" s="21">
        <f t="shared" si="370"/>
        <v>1827334.72</v>
      </c>
      <c r="AH214" s="12">
        <f t="shared" si="371"/>
        <v>204482.7454</v>
      </c>
      <c r="AI214" s="19">
        <f t="shared" si="372"/>
        <v>0.1260020929</v>
      </c>
      <c r="AJ214" s="67"/>
      <c r="AK214" s="67" t="s">
        <v>87</v>
      </c>
      <c r="AL214" s="12">
        <f t="shared" si="373"/>
        <v>1450717</v>
      </c>
      <c r="AM214" s="12">
        <f t="shared" si="374"/>
        <v>1635855</v>
      </c>
      <c r="AN214" s="12">
        <f t="shared" si="375"/>
        <v>1622851.975</v>
      </c>
      <c r="AO214" s="12">
        <f t="shared" si="376"/>
        <v>1827334.72</v>
      </c>
      <c r="AP214" s="12">
        <f t="shared" si="377"/>
        <v>2834861.968</v>
      </c>
      <c r="AQ214" s="12">
        <f t="shared" si="378"/>
        <v>3721366.841</v>
      </c>
      <c r="AR214" s="11"/>
      <c r="AS214" s="11"/>
      <c r="AT214" s="11"/>
      <c r="AU214" s="11"/>
      <c r="AV214" s="11"/>
      <c r="AW214" s="11"/>
      <c r="AX214" s="11"/>
      <c r="AY214" s="11"/>
      <c r="AZ214" s="11"/>
      <c r="BA214" s="11"/>
      <c r="BB214" s="11"/>
      <c r="BC214" s="11"/>
      <c r="BD214" s="11"/>
      <c r="BE214" s="11"/>
      <c r="BF214" s="11"/>
      <c r="BG214" s="11"/>
      <c r="BH214" s="11"/>
      <c r="BI214" s="11"/>
      <c r="BJ214" s="11"/>
      <c r="BK214" s="11"/>
    </row>
    <row r="215" ht="15.75" customHeight="1">
      <c r="A215" s="11"/>
      <c r="B215" s="11"/>
      <c r="C215" s="11"/>
      <c r="D215" s="67" t="s">
        <v>89</v>
      </c>
      <c r="E215" s="12">
        <f>Summary!AB10</f>
        <v>266809</v>
      </c>
      <c r="F215" s="12">
        <f>Summary!AC10</f>
        <v>171318</v>
      </c>
      <c r="G215" s="12">
        <f>Summary!AD10</f>
        <v>241762</v>
      </c>
      <c r="H215" s="12">
        <f>Summary!AE10</f>
        <v>255611</v>
      </c>
      <c r="I215" s="12">
        <f>Summary!AF10</f>
        <v>205241</v>
      </c>
      <c r="J215" s="12">
        <f>Summary!AG10</f>
        <v>271510</v>
      </c>
      <c r="K215" s="12">
        <f>Summary!AH10</f>
        <v>256363</v>
      </c>
      <c r="L215" s="12">
        <f>Summary!AI10</f>
        <v>232452</v>
      </c>
      <c r="M215" s="12">
        <f>Summary!AJ10</f>
        <v>156362</v>
      </c>
      <c r="N215" s="12">
        <f>Summary!AK10</f>
        <v>208832</v>
      </c>
      <c r="O215" s="12">
        <f>Summary!AL10</f>
        <v>145395</v>
      </c>
      <c r="P215" s="12">
        <f>Summary!AM10</f>
        <v>163491.3524</v>
      </c>
      <c r="Q215" s="12">
        <f>Summary!AN10</f>
        <v>183044.7388</v>
      </c>
      <c r="R215" s="12">
        <f>Summary!AO10</f>
        <v>200459.0335</v>
      </c>
      <c r="S215" s="12">
        <f>Summary!AP10</f>
        <v>213223.6562</v>
      </c>
      <c r="T215" s="12">
        <f>Summary!AQ10</f>
        <v>222673.5289</v>
      </c>
      <c r="U215" s="12">
        <f>Summary!AR10</f>
        <v>230681.7352</v>
      </c>
      <c r="V215" s="12">
        <f>Summary!AS10</f>
        <v>236383.8968</v>
      </c>
      <c r="W215" s="12">
        <f>Summary!AT10</f>
        <v>240530.91</v>
      </c>
      <c r="X215" s="12">
        <f>Summary!AU10</f>
        <v>242301.9064</v>
      </c>
      <c r="Y215" s="12">
        <f>Summary!AV10</f>
        <v>241385.1234</v>
      </c>
      <c r="Z215" s="12">
        <f>Summary!AW10</f>
        <v>244331.6618</v>
      </c>
      <c r="AA215" s="12">
        <f>Summary!AX10</f>
        <v>246786.6721</v>
      </c>
      <c r="AB215" s="12">
        <f>Summary!AY10</f>
        <v>249026.6499</v>
      </c>
      <c r="AC215" s="11"/>
      <c r="AD215" s="11" t="str">
        <f t="shared" si="367"/>
        <v>Video</v>
      </c>
      <c r="AE215" s="21">
        <f t="shared" si="368"/>
        <v>965566</v>
      </c>
      <c r="AF215" s="21">
        <f t="shared" si="369"/>
        <v>674080.3524</v>
      </c>
      <c r="AG215" s="21">
        <f t="shared" si="370"/>
        <v>819400.9575</v>
      </c>
      <c r="AH215" s="12">
        <f t="shared" si="371"/>
        <v>145320.6052</v>
      </c>
      <c r="AI215" s="19">
        <f t="shared" si="372"/>
        <v>0.2155835052</v>
      </c>
      <c r="AJ215" s="67"/>
      <c r="AK215" s="67" t="s">
        <v>89</v>
      </c>
      <c r="AL215" s="12">
        <f t="shared" si="373"/>
        <v>935500</v>
      </c>
      <c r="AM215" s="12">
        <f t="shared" si="374"/>
        <v>965566</v>
      </c>
      <c r="AN215" s="12">
        <f t="shared" si="375"/>
        <v>674080.3524</v>
      </c>
      <c r="AO215" s="12">
        <f t="shared" si="376"/>
        <v>819400.9575</v>
      </c>
      <c r="AP215" s="12">
        <f t="shared" si="377"/>
        <v>949898.4484</v>
      </c>
      <c r="AQ215" s="12">
        <f t="shared" si="378"/>
        <v>981530.1073</v>
      </c>
      <c r="AR215" s="11"/>
      <c r="AS215" s="11"/>
      <c r="AT215" s="11"/>
      <c r="AU215" s="11"/>
      <c r="AV215" s="11"/>
      <c r="AW215" s="11"/>
      <c r="AX215" s="11"/>
      <c r="AY215" s="11"/>
      <c r="AZ215" s="11"/>
      <c r="BA215" s="11"/>
      <c r="BB215" s="11"/>
      <c r="BC215" s="11"/>
      <c r="BD215" s="11"/>
      <c r="BE215" s="11"/>
      <c r="BF215" s="11"/>
      <c r="BG215" s="11"/>
      <c r="BH215" s="11"/>
      <c r="BI215" s="11"/>
      <c r="BJ215" s="11"/>
      <c r="BK215" s="11"/>
    </row>
    <row r="216" ht="15.75" customHeight="1">
      <c r="A216" s="11"/>
      <c r="B216" s="11"/>
      <c r="C216" s="11"/>
      <c r="D216" s="67" t="s">
        <v>94</v>
      </c>
      <c r="E216" s="12">
        <f>Summary!AB11</f>
        <v>183152</v>
      </c>
      <c r="F216" s="12">
        <f>Summary!AC11</f>
        <v>164354</v>
      </c>
      <c r="G216" s="12">
        <f>Summary!AD11</f>
        <v>220307</v>
      </c>
      <c r="H216" s="12">
        <f>Summary!AE11</f>
        <v>239857</v>
      </c>
      <c r="I216" s="12">
        <f>Summary!AF11</f>
        <v>228761</v>
      </c>
      <c r="J216" s="12">
        <f>Summary!AG11</f>
        <v>182009</v>
      </c>
      <c r="K216" s="12">
        <f>Summary!AH11</f>
        <v>186834</v>
      </c>
      <c r="L216" s="12">
        <f>Summary!AI11</f>
        <v>265471</v>
      </c>
      <c r="M216" s="12">
        <f>Summary!AJ11</f>
        <v>256373</v>
      </c>
      <c r="N216" s="12">
        <f>Summary!AK11</f>
        <v>229020</v>
      </c>
      <c r="O216" s="12">
        <f>Summary!AL11</f>
        <v>222586</v>
      </c>
      <c r="P216" s="12">
        <f>Summary!AM11</f>
        <v>237288.2603</v>
      </c>
      <c r="Q216" s="12">
        <f>Summary!AN11</f>
        <v>254182.8216</v>
      </c>
      <c r="R216" s="12">
        <f>Summary!AO11</f>
        <v>269240.6669</v>
      </c>
      <c r="S216" s="12">
        <f>Summary!AP11</f>
        <v>282267.6617</v>
      </c>
      <c r="T216" s="12">
        <f>Summary!AQ11</f>
        <v>293903.0389</v>
      </c>
      <c r="U216" s="12">
        <f>Summary!AR11</f>
        <v>300046.4589</v>
      </c>
      <c r="V216" s="12">
        <f>Summary!AS11</f>
        <v>305551.8348</v>
      </c>
      <c r="W216" s="12">
        <f>Summary!AT11</f>
        <v>309000.5918</v>
      </c>
      <c r="X216" s="12">
        <f>Summary!AU11</f>
        <v>311983.1866</v>
      </c>
      <c r="Y216" s="12">
        <f>Summary!AV11</f>
        <v>315908.0636</v>
      </c>
      <c r="Z216" s="12">
        <f>Summary!AW11</f>
        <v>320515.9767</v>
      </c>
      <c r="AA216" s="12">
        <f>Summary!AX11</f>
        <v>324541.4248</v>
      </c>
      <c r="AB216" s="12">
        <f>Summary!AY11</f>
        <v>328217.4857</v>
      </c>
      <c r="AC216" s="11"/>
      <c r="AD216" s="11" t="str">
        <f t="shared" si="367"/>
        <v>Rev Ops</v>
      </c>
      <c r="AE216" s="21">
        <f t="shared" si="368"/>
        <v>863075</v>
      </c>
      <c r="AF216" s="21">
        <f t="shared" si="369"/>
        <v>945267.2603</v>
      </c>
      <c r="AG216" s="21">
        <f t="shared" si="370"/>
        <v>1099594.189</v>
      </c>
      <c r="AH216" s="12">
        <f t="shared" si="371"/>
        <v>154326.9289</v>
      </c>
      <c r="AI216" s="19">
        <f t="shared" si="372"/>
        <v>0.1632627463</v>
      </c>
      <c r="AJ216" s="67"/>
      <c r="AK216" s="67" t="s">
        <v>94</v>
      </c>
      <c r="AL216" s="12">
        <f t="shared" si="373"/>
        <v>807670</v>
      </c>
      <c r="AM216" s="12">
        <f t="shared" si="374"/>
        <v>863075</v>
      </c>
      <c r="AN216" s="12">
        <f t="shared" si="375"/>
        <v>945267.2603</v>
      </c>
      <c r="AO216" s="12">
        <f t="shared" si="376"/>
        <v>1099594.189</v>
      </c>
      <c r="AP216" s="12">
        <f t="shared" si="377"/>
        <v>1226582.072</v>
      </c>
      <c r="AQ216" s="12">
        <f t="shared" si="378"/>
        <v>1289182.951</v>
      </c>
      <c r="AR216" s="11"/>
      <c r="AS216" s="11"/>
      <c r="AT216" s="11"/>
      <c r="AU216" s="11"/>
      <c r="AV216" s="11"/>
      <c r="AW216" s="11"/>
      <c r="AX216" s="11"/>
      <c r="AY216" s="11"/>
      <c r="AZ216" s="11"/>
      <c r="BA216" s="11"/>
      <c r="BB216" s="11"/>
      <c r="BC216" s="11"/>
      <c r="BD216" s="11"/>
      <c r="BE216" s="11"/>
      <c r="BF216" s="11"/>
      <c r="BG216" s="11"/>
      <c r="BH216" s="11"/>
      <c r="BI216" s="11"/>
      <c r="BJ216" s="11"/>
      <c r="BK216" s="11"/>
    </row>
    <row r="217" ht="15.75" customHeight="1">
      <c r="A217" s="11"/>
      <c r="B217" s="11"/>
      <c r="C217" s="11"/>
      <c r="D217" s="67" t="s">
        <v>96</v>
      </c>
      <c r="E217" s="12">
        <f>Summary!AB12</f>
        <v>35731</v>
      </c>
      <c r="F217" s="12">
        <f>Summary!AC12</f>
        <v>22841</v>
      </c>
      <c r="G217" s="12">
        <f>Summary!AD12</f>
        <v>24132</v>
      </c>
      <c r="H217" s="12">
        <f>Summary!AE12</f>
        <v>24634</v>
      </c>
      <c r="I217" s="12">
        <f>Summary!AF12</f>
        <v>24667</v>
      </c>
      <c r="J217" s="12">
        <f>Summary!AG12</f>
        <v>35176</v>
      </c>
      <c r="K217" s="12">
        <f>Summary!AH12</f>
        <v>37262</v>
      </c>
      <c r="L217" s="12">
        <f>Summary!AI12</f>
        <v>25313</v>
      </c>
      <c r="M217" s="12">
        <f>Summary!AJ12</f>
        <v>36298</v>
      </c>
      <c r="N217" s="12">
        <f>Summary!AK12</f>
        <v>23322</v>
      </c>
      <c r="O217" s="12">
        <f>Summary!AL12</f>
        <v>35512</v>
      </c>
      <c r="P217" s="12">
        <f>Summary!AM12</f>
        <v>50000</v>
      </c>
      <c r="Q217" s="12">
        <f>Summary!AN12</f>
        <v>50000</v>
      </c>
      <c r="R217" s="12">
        <f>Summary!AO12</f>
        <v>50000</v>
      </c>
      <c r="S217" s="12">
        <f>Summary!AP12</f>
        <v>50000</v>
      </c>
      <c r="T217" s="12">
        <f>Summary!AQ12</f>
        <v>50000</v>
      </c>
      <c r="U217" s="12">
        <f>Summary!AR12</f>
        <v>50000</v>
      </c>
      <c r="V217" s="12">
        <f>Summary!AS12</f>
        <v>50000</v>
      </c>
      <c r="W217" s="12">
        <f>Summary!AT12</f>
        <v>50000</v>
      </c>
      <c r="X217" s="12">
        <f>Summary!AU12</f>
        <v>50000</v>
      </c>
      <c r="Y217" s="12">
        <f>Summary!AV12</f>
        <v>50000</v>
      </c>
      <c r="Z217" s="12">
        <f>Summary!AW12</f>
        <v>50000</v>
      </c>
      <c r="AA217" s="12">
        <f>Summary!AX12</f>
        <v>50000</v>
      </c>
      <c r="AB217" s="12">
        <f>Summary!AY12</f>
        <v>50000</v>
      </c>
      <c r="AC217" s="11"/>
      <c r="AD217" s="11" t="str">
        <f t="shared" si="367"/>
        <v>Strategy</v>
      </c>
      <c r="AE217" s="21">
        <f t="shared" si="368"/>
        <v>122418</v>
      </c>
      <c r="AF217" s="21">
        <f t="shared" si="369"/>
        <v>145132</v>
      </c>
      <c r="AG217" s="21">
        <f t="shared" si="370"/>
        <v>200000</v>
      </c>
      <c r="AH217" s="12">
        <f t="shared" si="371"/>
        <v>54868</v>
      </c>
      <c r="AI217" s="19">
        <f t="shared" si="372"/>
        <v>0.3780558388</v>
      </c>
      <c r="AJ217" s="67"/>
      <c r="AK217" s="67" t="s">
        <v>96</v>
      </c>
      <c r="AL217" s="12">
        <f t="shared" si="373"/>
        <v>107338</v>
      </c>
      <c r="AM217" s="12">
        <f t="shared" si="374"/>
        <v>122418</v>
      </c>
      <c r="AN217" s="12">
        <f t="shared" si="375"/>
        <v>145132</v>
      </c>
      <c r="AO217" s="12">
        <f t="shared" si="376"/>
        <v>200000</v>
      </c>
      <c r="AP217" s="12">
        <f t="shared" si="377"/>
        <v>200000</v>
      </c>
      <c r="AQ217" s="12">
        <f t="shared" si="378"/>
        <v>200000</v>
      </c>
      <c r="AR217" s="11"/>
      <c r="AS217" s="11"/>
      <c r="AT217" s="11"/>
      <c r="AU217" s="11"/>
      <c r="AV217" s="11"/>
      <c r="AW217" s="11"/>
      <c r="AX217" s="11"/>
      <c r="AY217" s="11"/>
      <c r="AZ217" s="11"/>
      <c r="BA217" s="11"/>
      <c r="BB217" s="11"/>
      <c r="BC217" s="11"/>
      <c r="BD217" s="11"/>
      <c r="BE217" s="11"/>
      <c r="BF217" s="11"/>
      <c r="BG217" s="11"/>
      <c r="BH217" s="11"/>
      <c r="BI217" s="11"/>
      <c r="BJ217" s="11"/>
      <c r="BK217" s="11"/>
    </row>
    <row r="218" ht="15.75" customHeight="1">
      <c r="A218" s="11"/>
      <c r="B218" s="11"/>
      <c r="C218" s="11"/>
      <c r="D218" s="67" t="s">
        <v>72</v>
      </c>
      <c r="E218" s="12">
        <f>Summary!AB13</f>
        <v>-6964</v>
      </c>
      <c r="F218" s="12">
        <f>Summary!AC13</f>
        <v>-2787</v>
      </c>
      <c r="G218" s="12">
        <f>Summary!AD13</f>
        <v>5092</v>
      </c>
      <c r="H218" s="12">
        <f>Summary!AE13</f>
        <v>6226</v>
      </c>
      <c r="I218" s="12">
        <f>Summary!AF13</f>
        <v>889</v>
      </c>
      <c r="J218" s="12">
        <f>Summary!AG13</f>
        <v>-374</v>
      </c>
      <c r="K218" s="12">
        <f>Summary!AH13</f>
        <v>8839</v>
      </c>
      <c r="L218" s="12">
        <f>Summary!AI13</f>
        <v>-2947</v>
      </c>
      <c r="M218" s="12">
        <f>Summary!AJ13</f>
        <v>210</v>
      </c>
      <c r="N218" s="12">
        <f>Summary!AK13</f>
        <v>3596</v>
      </c>
      <c r="O218" s="12">
        <f>Summary!AL13</f>
        <v>2600</v>
      </c>
      <c r="P218" s="12">
        <f>Summary!AM13</f>
        <v>-8518.22</v>
      </c>
      <c r="Q218" s="12">
        <f>Summary!AN13</f>
        <v>-8475.2688</v>
      </c>
      <c r="R218" s="12">
        <f>Summary!AO13</f>
        <v>-8430.599552</v>
      </c>
      <c r="S218" s="12">
        <f>Summary!AP13</f>
        <v>-8384.143534</v>
      </c>
      <c r="T218" s="12">
        <f>Summary!AQ13</f>
        <v>-8335.829275</v>
      </c>
      <c r="U218" s="12">
        <f>Summary!AR13</f>
        <v>-8285.582446</v>
      </c>
      <c r="V218" s="12">
        <f>Summary!AS13</f>
        <v>1358.674256</v>
      </c>
      <c r="W218" s="12">
        <f>Summary!AT13</f>
        <v>1413.021226</v>
      </c>
      <c r="X218" s="12">
        <f>Summary!AU13</f>
        <v>1469.542075</v>
      </c>
      <c r="Y218" s="12">
        <f>Summary!AV13</f>
        <v>1528.323758</v>
      </c>
      <c r="Z218" s="12">
        <f>Summary!AW13</f>
        <v>1589.456708</v>
      </c>
      <c r="AA218" s="12">
        <f>Summary!AX13</f>
        <v>1653.034977</v>
      </c>
      <c r="AB218" s="12">
        <f>Summary!AY13</f>
        <v>1719.156376</v>
      </c>
      <c r="AC218" s="50"/>
      <c r="AD218" s="11" t="str">
        <f t="shared" si="367"/>
        <v>Other</v>
      </c>
      <c r="AE218" s="21">
        <f t="shared" si="368"/>
        <v>6407</v>
      </c>
      <c r="AF218" s="21">
        <f t="shared" si="369"/>
        <v>-2112.22</v>
      </c>
      <c r="AG218" s="21">
        <f t="shared" si="370"/>
        <v>-33625.84116</v>
      </c>
      <c r="AH218" s="12">
        <f t="shared" si="371"/>
        <v>-31513.62116</v>
      </c>
      <c r="AI218" s="19">
        <f t="shared" si="372"/>
        <v>14.91966801</v>
      </c>
      <c r="AJ218" s="67"/>
      <c r="AK218" s="67" t="s">
        <v>72</v>
      </c>
      <c r="AL218" s="12">
        <f t="shared" si="373"/>
        <v>1567</v>
      </c>
      <c r="AM218" s="12">
        <f t="shared" si="374"/>
        <v>6407</v>
      </c>
      <c r="AN218" s="12">
        <f t="shared" si="375"/>
        <v>-2112.22</v>
      </c>
      <c r="AO218" s="12">
        <f t="shared" si="376"/>
        <v>-33625.84116</v>
      </c>
      <c r="AP218" s="12">
        <f t="shared" si="377"/>
        <v>-4044.34489</v>
      </c>
      <c r="AQ218" s="12">
        <f t="shared" si="378"/>
        <v>6489.971818</v>
      </c>
      <c r="AR218" s="11"/>
      <c r="AS218" s="11"/>
      <c r="AT218" s="11"/>
      <c r="AU218" s="11"/>
      <c r="AV218" s="11"/>
      <c r="AW218" s="11"/>
      <c r="AX218" s="11"/>
      <c r="AY218" s="11"/>
      <c r="AZ218" s="11"/>
      <c r="BA218" s="11"/>
      <c r="BB218" s="11"/>
      <c r="BC218" s="11"/>
      <c r="BD218" s="11"/>
      <c r="BE218" s="11"/>
      <c r="BF218" s="11"/>
      <c r="BG218" s="11"/>
      <c r="BH218" s="11"/>
      <c r="BI218" s="11"/>
      <c r="BJ218" s="11"/>
      <c r="BK218" s="11"/>
    </row>
    <row r="219" ht="15.75" customHeight="1">
      <c r="A219" s="11"/>
      <c r="B219" s="11"/>
      <c r="C219" s="11"/>
      <c r="D219" s="68" t="s">
        <v>98</v>
      </c>
      <c r="E219" s="69">
        <f>Revenue!O13</f>
        <v>1129075</v>
      </c>
      <c r="F219" s="69">
        <f>Revenue!P13</f>
        <v>972065</v>
      </c>
      <c r="G219" s="69">
        <f>Revenue!Q13</f>
        <v>1065202</v>
      </c>
      <c r="H219" s="69">
        <f>Revenue!R13</f>
        <v>1164976</v>
      </c>
      <c r="I219" s="69">
        <f>Revenue!S13</f>
        <v>1141215</v>
      </c>
      <c r="J219" s="69">
        <f>Revenue!T13</f>
        <v>1026384</v>
      </c>
      <c r="K219" s="69">
        <f>Revenue!U13</f>
        <v>1084442</v>
      </c>
      <c r="L219" s="69">
        <f>Revenue!V13</f>
        <v>1281940</v>
      </c>
      <c r="M219" s="69">
        <f>Revenue!W13</f>
        <v>1204294</v>
      </c>
      <c r="N219" s="69">
        <f>Revenue!X13</f>
        <v>1076142</v>
      </c>
      <c r="O219" s="69">
        <f>Revenue!Y13</f>
        <v>1079035</v>
      </c>
      <c r="P219" s="69">
        <f>Revenue!Z13</f>
        <v>1415790.631</v>
      </c>
      <c r="Q219" s="69">
        <f>Revenue!AA13</f>
        <v>1667456.392</v>
      </c>
      <c r="R219" s="69">
        <f>Revenue!AB13</f>
        <v>1916164.307</v>
      </c>
      <c r="S219" s="69">
        <f>Revenue!AC13</f>
        <v>2143927.895</v>
      </c>
      <c r="T219" s="69">
        <f>Revenue!AD13</f>
        <v>2362030.523</v>
      </c>
      <c r="U219" s="69">
        <f>Revenue!AE13</f>
        <v>2578733.721</v>
      </c>
      <c r="V219" s="69">
        <f>Revenue!AF13</f>
        <v>2796714.82</v>
      </c>
      <c r="W219" s="69">
        <f>Revenue!AG13</f>
        <v>2993212.987</v>
      </c>
      <c r="X219" s="69">
        <f>Revenue!AH13</f>
        <v>3185918.325</v>
      </c>
      <c r="Y219" s="69">
        <f>Revenue!AI13</f>
        <v>3374588.725</v>
      </c>
      <c r="Z219" s="69">
        <f>Revenue!AJ13</f>
        <v>3549978.171</v>
      </c>
      <c r="AA219" s="69">
        <f>Revenue!AK13</f>
        <v>3723674.445</v>
      </c>
      <c r="AB219" s="69">
        <f>Revenue!AL13</f>
        <v>3899557.769</v>
      </c>
      <c r="AC219" s="11"/>
      <c r="AD219" s="23" t="str">
        <f t="shared" si="367"/>
        <v>Total Revenue</v>
      </c>
      <c r="AE219" s="23">
        <f t="shared" ref="AE219:AG219" si="379">SUM(AE212:AE218)</f>
        <v>5351528</v>
      </c>
      <c r="AF219" s="23">
        <f t="shared" si="379"/>
        <v>5439562.631</v>
      </c>
      <c r="AG219" s="26">
        <f t="shared" si="379"/>
        <v>8089579.116</v>
      </c>
      <c r="AH219" s="70">
        <f t="shared" si="371"/>
        <v>2650016.486</v>
      </c>
      <c r="AI219" s="71"/>
      <c r="AJ219" s="68"/>
      <c r="AK219" s="68" t="s">
        <v>98</v>
      </c>
      <c r="AL219" s="26">
        <f t="shared" ref="AL219:AQ219" si="380">SUM(AL212:AL218)</f>
        <v>4940962</v>
      </c>
      <c r="AM219" s="26">
        <f t="shared" si="380"/>
        <v>5351528</v>
      </c>
      <c r="AN219" s="26">
        <f t="shared" si="380"/>
        <v>5439562.631</v>
      </c>
      <c r="AO219" s="26">
        <f t="shared" si="380"/>
        <v>8089579.116</v>
      </c>
      <c r="AP219" s="26">
        <f t="shared" si="380"/>
        <v>11554579.85</v>
      </c>
      <c r="AQ219" s="26">
        <f t="shared" si="380"/>
        <v>14547799.11</v>
      </c>
      <c r="AR219" s="11"/>
      <c r="AS219" s="11"/>
      <c r="AT219" s="11"/>
      <c r="AU219" s="11"/>
      <c r="AV219" s="11"/>
      <c r="AW219" s="11"/>
      <c r="AX219" s="11"/>
      <c r="AY219" s="11"/>
      <c r="AZ219" s="11"/>
      <c r="BA219" s="11"/>
      <c r="BB219" s="11"/>
      <c r="BC219" s="11"/>
      <c r="BD219" s="11"/>
      <c r="BE219" s="11"/>
      <c r="BF219" s="11"/>
      <c r="BG219" s="11"/>
      <c r="BH219" s="11"/>
      <c r="BI219" s="11"/>
      <c r="BJ219" s="11"/>
      <c r="BK219" s="11"/>
    </row>
    <row r="220" ht="15.75" customHeight="1">
      <c r="A220" s="11"/>
      <c r="B220" s="28"/>
      <c r="C220" s="72"/>
      <c r="D220" s="73" t="s">
        <v>99</v>
      </c>
      <c r="E220" s="19">
        <f>Revenue!K15</f>
        <v>0.07958019733</v>
      </c>
      <c r="F220" s="19">
        <f>Revenue!L15</f>
        <v>0.06785234092</v>
      </c>
      <c r="G220" s="19">
        <f>Revenue!M15</f>
        <v>-0.02704239929</v>
      </c>
      <c r="H220" s="19">
        <f>Revenue!N15</f>
        <v>0.1518423508</v>
      </c>
      <c r="I220" s="19">
        <f>Revenue!O15</f>
        <v>0.1235829267</v>
      </c>
      <c r="J220" s="19">
        <f>Revenue!P15</f>
        <v>-0.1390607356</v>
      </c>
      <c r="K220" s="19">
        <f>Revenue!Q15</f>
        <v>0.09581355156</v>
      </c>
      <c r="L220" s="19">
        <f>Revenue!R15</f>
        <v>0.09366674114</v>
      </c>
      <c r="M220" s="19">
        <f>Revenue!S15</f>
        <v>-0.02039612833</v>
      </c>
      <c r="N220" s="19">
        <f t="shared" ref="N220:AB220" si="381">N219/M219-1</f>
        <v>-0.1064125537</v>
      </c>
      <c r="O220" s="19">
        <f t="shared" si="381"/>
        <v>0.002688306933</v>
      </c>
      <c r="P220" s="19">
        <f t="shared" si="381"/>
        <v>0.3120896271</v>
      </c>
      <c r="Q220" s="19">
        <f t="shared" si="381"/>
        <v>0.1777563403</v>
      </c>
      <c r="R220" s="19">
        <f t="shared" si="381"/>
        <v>0.1491540744</v>
      </c>
      <c r="S220" s="19">
        <f t="shared" si="381"/>
        <v>0.1188643308</v>
      </c>
      <c r="T220" s="19">
        <f t="shared" si="381"/>
        <v>0.1017303936</v>
      </c>
      <c r="U220" s="19">
        <f t="shared" si="381"/>
        <v>0.09174445276</v>
      </c>
      <c r="V220" s="19">
        <f t="shared" si="381"/>
        <v>0.0845302862</v>
      </c>
      <c r="W220" s="19">
        <f t="shared" si="381"/>
        <v>0.07026035169</v>
      </c>
      <c r="X220" s="19">
        <f t="shared" si="381"/>
        <v>0.06438076349</v>
      </c>
      <c r="Y220" s="19">
        <f t="shared" si="381"/>
        <v>0.0592200996</v>
      </c>
      <c r="Z220" s="19">
        <f t="shared" si="381"/>
        <v>0.05197357664</v>
      </c>
      <c r="AA220" s="19">
        <f t="shared" si="381"/>
        <v>0.04892882872</v>
      </c>
      <c r="AB220" s="19">
        <f t="shared" si="381"/>
        <v>0.0472338081</v>
      </c>
      <c r="AC220" s="19"/>
      <c r="AD220" s="19" t="str">
        <f t="shared" si="367"/>
        <v>  % Growth</v>
      </c>
      <c r="AE220" s="19">
        <f>Summary!DD16</f>
        <v>0.08309434479</v>
      </c>
      <c r="AF220" s="19">
        <f>Summary!DE16</f>
        <v>0.1195158898</v>
      </c>
      <c r="AG220" s="19">
        <f>Summary!DF16</f>
        <v>0.350261431</v>
      </c>
      <c r="AH220" s="74"/>
      <c r="AI220" s="66"/>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20"/>
      <c r="AG221" s="12"/>
      <c r="AH221" s="20"/>
      <c r="AI221" s="66"/>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row>
    <row r="222" ht="15.75" customHeight="1">
      <c r="A222" s="11"/>
      <c r="B222" s="11"/>
      <c r="C222" s="11"/>
      <c r="D222" s="67" t="s">
        <v>47</v>
      </c>
      <c r="E222" s="12">
        <f>Summary!AB7-Summary!AA7</f>
        <v>23998</v>
      </c>
      <c r="F222" s="12">
        <f>Summary!AC7-Summary!AB7</f>
        <v>-22184</v>
      </c>
      <c r="G222" s="12">
        <f>Summary!AD7-Summary!AC7</f>
        <v>27153</v>
      </c>
      <c r="H222" s="12">
        <f>Summary!AE7-Summary!AD7</f>
        <v>-14427</v>
      </c>
      <c r="I222" s="12">
        <f>Summary!AF7-Summary!AE7</f>
        <v>60175</v>
      </c>
      <c r="J222" s="12">
        <f>Summary!AG7-Summary!AF7</f>
        <v>-79536</v>
      </c>
      <c r="K222" s="12">
        <f>Summary!AH7-Summary!AG7</f>
        <v>78620</v>
      </c>
      <c r="L222" s="12">
        <f>Summary!AI7-Summary!AH7</f>
        <v>-4869</v>
      </c>
      <c r="M222" s="12">
        <f>Summary!AJ7-Summary!AI7</f>
        <v>-28451</v>
      </c>
      <c r="N222" s="12">
        <f>Summary!AK7-Summary!AJ7</f>
        <v>-46268</v>
      </c>
      <c r="O222" s="12">
        <f>Summary!AL7-Summary!AK7</f>
        <v>95630</v>
      </c>
      <c r="P222" s="12">
        <f>Summary!AM7-Summary!AL7</f>
        <v>133027.3587</v>
      </c>
      <c r="Q222" s="12">
        <f>Summary!AN7-Summary!AM7</f>
        <v>80203.17765</v>
      </c>
      <c r="R222" s="12">
        <f>Summary!AO7-Summary!AN7</f>
        <v>78566.72594</v>
      </c>
      <c r="S222" s="12">
        <f>Summary!AP7-Summary!AO7</f>
        <v>73411.02208</v>
      </c>
      <c r="T222" s="12">
        <f>Summary!AQ7-Summary!AP7</f>
        <v>73078.87934</v>
      </c>
      <c r="U222" s="12">
        <f>Summary!AR7-Summary!AQ7</f>
        <v>81618.59303</v>
      </c>
      <c r="V222" s="12">
        <f>Summary!AS7-Summary!AR7</f>
        <v>77985.14704</v>
      </c>
      <c r="W222" s="12">
        <f>Summary!AT7-Summary!AS7</f>
        <v>75660.48651</v>
      </c>
      <c r="X222" s="12">
        <f>Summary!AU7-Summary!AT7</f>
        <v>74742.44392</v>
      </c>
      <c r="Y222" s="12">
        <f>Summary!AV7-Summary!AU7</f>
        <v>76774.51738</v>
      </c>
      <c r="Z222" s="12">
        <f>Summary!AW7-Summary!AV7</f>
        <v>71077.91954</v>
      </c>
      <c r="AA222" s="12">
        <f>Summary!AX7-Summary!AW7</f>
        <v>75047.53002</v>
      </c>
      <c r="AB222" s="12">
        <f>Summary!AY7-Summary!AX7</f>
        <v>77988.59823</v>
      </c>
      <c r="AC222" s="12"/>
      <c r="AD222" s="75" t="s">
        <v>47</v>
      </c>
      <c r="AE222" s="12">
        <f>Summary!DD7-Summary!DC7</f>
        <v>143304</v>
      </c>
      <c r="AF222" s="12">
        <f>Summary!DE7-Summary!DD7</f>
        <v>134776.3587</v>
      </c>
      <c r="AG222" s="12">
        <f>Summary!DF7-Summary!DE7</f>
        <v>1320487.888</v>
      </c>
      <c r="AH222" s="12">
        <f t="shared" ref="AH222:AH229" si="382">AG222-AF222</f>
        <v>1185711.529</v>
      </c>
      <c r="AI222" s="66"/>
      <c r="AJ222" s="66"/>
      <c r="AK222" s="66"/>
      <c r="AL222" s="66"/>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row>
    <row r="223" ht="15.75" customHeight="1">
      <c r="A223" s="11"/>
      <c r="B223" s="11"/>
      <c r="C223" s="11"/>
      <c r="D223" s="67" t="s">
        <v>85</v>
      </c>
      <c r="E223" s="12">
        <f>Summary!AB8-Summary!AA8</f>
        <v>-34417</v>
      </c>
      <c r="F223" s="12">
        <f>Summary!AC8-Summary!AB8</f>
        <v>-11564</v>
      </c>
      <c r="G223" s="12">
        <f>Summary!AD8-Summary!AC8</f>
        <v>-79246</v>
      </c>
      <c r="H223" s="12">
        <f>Summary!AE8-Summary!AD8</f>
        <v>31991</v>
      </c>
      <c r="I223" s="12">
        <f>Summary!AF8-Summary!AE8</f>
        <v>-4569</v>
      </c>
      <c r="J223" s="12">
        <f>Summary!AG8-Summary!AF8</f>
        <v>15488</v>
      </c>
      <c r="K223" s="12">
        <f>Summary!AH8-Summary!AG8</f>
        <v>-54899</v>
      </c>
      <c r="L223" s="12">
        <f>Summary!AI8-Summary!AH8</f>
        <v>132426</v>
      </c>
      <c r="M223" s="12">
        <f>Summary!AJ8-Summary!AI8</f>
        <v>13074</v>
      </c>
      <c r="N223" s="12">
        <f>Summary!AK8-Summary!AJ8</f>
        <v>-104998</v>
      </c>
      <c r="O223" s="12">
        <f>Summary!AL8-Summary!AK8</f>
        <v>16654</v>
      </c>
      <c r="P223" s="12">
        <f>Summary!AM8-Summary!AL8</f>
        <v>87781.90444</v>
      </c>
      <c r="Q223" s="12">
        <f>Summary!AN8-Summary!AM8</f>
        <v>60295.63213</v>
      </c>
      <c r="R223" s="12">
        <f>Summary!AO8-Summary!AN8</f>
        <v>63075.07303</v>
      </c>
      <c r="S223" s="12">
        <f>Summary!AP8-Summary!AO8</f>
        <v>59904.66792</v>
      </c>
      <c r="T223" s="12">
        <f>Summary!AQ8-Summary!AP8</f>
        <v>60171.14267</v>
      </c>
      <c r="U223" s="12">
        <f>Summary!AR8-Summary!AQ8</f>
        <v>59653.86594</v>
      </c>
      <c r="V223" s="12">
        <f>Summary!AS8-Summary!AR8</f>
        <v>58771.3592</v>
      </c>
      <c r="W223" s="12">
        <f>Summary!AT8-Summary!AS8</f>
        <v>54408.70796</v>
      </c>
      <c r="X223" s="12">
        <f>Summary!AU8-Summary!AT8</f>
        <v>52143.18617</v>
      </c>
      <c r="Y223" s="12">
        <f>Summary!AV8-Summary!AU8</f>
        <v>50748.80056</v>
      </c>
      <c r="Z223" s="12">
        <f>Summary!AW8-Summary!AV8</f>
        <v>44507.7166</v>
      </c>
      <c r="AA223" s="12">
        <f>Summary!AX8-Summary!AW8</f>
        <v>46531.6481</v>
      </c>
      <c r="AB223" s="12">
        <f>Summary!AY8-Summary!AX8</f>
        <v>46398.60998</v>
      </c>
      <c r="AC223" s="11"/>
      <c r="AD223" s="67" t="s">
        <v>85</v>
      </c>
      <c r="AE223" s="21">
        <f>Summary!DD8-Summary!DC8</f>
        <v>-23267</v>
      </c>
      <c r="AF223" s="21">
        <f>Summary!DE8-Summary!DD8</f>
        <v>161359.9044</v>
      </c>
      <c r="AG223" s="21">
        <f>Summary!DF8-Summary!DE8</f>
        <v>802043.9394</v>
      </c>
      <c r="AH223" s="12">
        <f t="shared" si="382"/>
        <v>640684.035</v>
      </c>
      <c r="AI223" s="66"/>
      <c r="AJ223" s="66"/>
      <c r="AK223" s="66"/>
      <c r="AL223" s="66"/>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row>
    <row r="224" ht="15.75" customHeight="1">
      <c r="A224" s="11"/>
      <c r="B224" s="11"/>
      <c r="C224" s="11"/>
      <c r="D224" s="67" t="s">
        <v>87</v>
      </c>
      <c r="E224" s="12">
        <f>Summary!AB9-Summary!AA9</f>
        <v>145578</v>
      </c>
      <c r="F224" s="12">
        <f>Summary!AC9-Summary!AB9</f>
        <v>-89615</v>
      </c>
      <c r="G224" s="12">
        <f>Summary!AD9-Summary!AC9</f>
        <v>37991</v>
      </c>
      <c r="H224" s="12">
        <f>Summary!AE9-Summary!AD9</f>
        <v>-3516</v>
      </c>
      <c r="I224" s="12">
        <f>Summary!AF9-Summary!AE9</f>
        <v>103719</v>
      </c>
      <c r="J224" s="12">
        <f>Summary!AG9-Summary!AF9</f>
        <v>-160305</v>
      </c>
      <c r="K224" s="12">
        <f>Summary!AH9-Summary!AG9</f>
        <v>130709</v>
      </c>
      <c r="L224" s="12">
        <f>Summary!AI9-Summary!AH9</f>
        <v>13940</v>
      </c>
      <c r="M224" s="12">
        <f>Summary!AJ9-Summary!AI9</f>
        <v>41896</v>
      </c>
      <c r="N224" s="12">
        <f>Summary!AK9-Summary!AJ9</f>
        <v>-52637</v>
      </c>
      <c r="O224" s="12">
        <f>Summary!AL9-Summary!AK9</f>
        <v>-7664</v>
      </c>
      <c r="P224" s="12">
        <f>Summary!AM9-Summary!AL9</f>
        <v>-150281.025</v>
      </c>
      <c r="Q224" s="12">
        <f>Summary!AN9-Summary!AM9</f>
        <v>74676.05244</v>
      </c>
      <c r="R224" s="12">
        <f>Summary!AO9-Summary!AN9</f>
        <v>74549.30645</v>
      </c>
      <c r="S224" s="12">
        <f>Summary!AP9-Summary!AO9</f>
        <v>68609.82444</v>
      </c>
      <c r="T224" s="12">
        <f>Summary!AQ9-Summary!AP9</f>
        <v>63719.04238</v>
      </c>
      <c r="U224" s="12">
        <f>Summary!AR9-Summary!AQ9</f>
        <v>61228.8657</v>
      </c>
      <c r="V224" s="12">
        <f>Summary!AS9-Summary!AR9</f>
        <v>60372.79902</v>
      </c>
      <c r="W224" s="12">
        <f>Summary!AT9-Summary!AS9</f>
        <v>58778.85518</v>
      </c>
      <c r="X224" s="12">
        <f>Summary!AU9-Summary!AT9</f>
        <v>61009.59532</v>
      </c>
      <c r="Y224" s="12">
        <f>Summary!AV9-Summary!AU9</f>
        <v>58080.2068</v>
      </c>
      <c r="Z224" s="12">
        <f>Summary!AW9-Summary!AV9</f>
        <v>52188.22518</v>
      </c>
      <c r="AA224" s="12">
        <f>Summary!AX9-Summary!AW9</f>
        <v>45573.05903</v>
      </c>
      <c r="AB224" s="12">
        <f>Summary!AY9-Summary!AX9</f>
        <v>45513.95597</v>
      </c>
      <c r="AC224" s="11"/>
      <c r="AD224" s="67" t="s">
        <v>87</v>
      </c>
      <c r="AE224" s="21">
        <f>Summary!DD9-Summary!DC9</f>
        <v>185138</v>
      </c>
      <c r="AF224" s="21">
        <f>Summary!DE9-Summary!DD9</f>
        <v>-13003.025</v>
      </c>
      <c r="AG224" s="21">
        <f>Summary!DF9-Summary!DE9</f>
        <v>204482.7454</v>
      </c>
      <c r="AH224" s="12">
        <f t="shared" si="382"/>
        <v>217485.7704</v>
      </c>
      <c r="AI224" s="66"/>
      <c r="AJ224" s="66"/>
      <c r="AK224" s="66"/>
      <c r="AL224" s="66"/>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row>
    <row r="225" ht="15.75" customHeight="1">
      <c r="A225" s="11"/>
      <c r="B225" s="11"/>
      <c r="C225" s="11"/>
      <c r="D225" s="67" t="s">
        <v>89</v>
      </c>
      <c r="E225" s="12">
        <f>Summary!AB10-Summary!AA10</f>
        <v>76305</v>
      </c>
      <c r="F225" s="12">
        <f>Summary!AC10-Summary!AB10</f>
        <v>-95491</v>
      </c>
      <c r="G225" s="12">
        <f>Summary!AD10-Summary!AC10</f>
        <v>70444</v>
      </c>
      <c r="H225" s="12">
        <f>Summary!AE10-Summary!AD10</f>
        <v>13849</v>
      </c>
      <c r="I225" s="12">
        <f>Summary!AF10-Summary!AE10</f>
        <v>-50370</v>
      </c>
      <c r="J225" s="12">
        <f>Summary!AG10-Summary!AF10</f>
        <v>66269</v>
      </c>
      <c r="K225" s="12">
        <f>Summary!AH10-Summary!AG10</f>
        <v>-15147</v>
      </c>
      <c r="L225" s="12">
        <f>Summary!AI10-Summary!AH10</f>
        <v>-23911</v>
      </c>
      <c r="M225" s="12">
        <f>Summary!AJ10-Summary!AI10</f>
        <v>-76090</v>
      </c>
      <c r="N225" s="12">
        <f>Summary!AK10-Summary!AJ10</f>
        <v>52470</v>
      </c>
      <c r="O225" s="12">
        <f>Summary!AL10-Summary!AK10</f>
        <v>-63437</v>
      </c>
      <c r="P225" s="12">
        <f>Summary!AM10-Summary!AL10</f>
        <v>18096.35237</v>
      </c>
      <c r="Q225" s="12">
        <f>Summary!AN10-Summary!AM10</f>
        <v>19553.38647</v>
      </c>
      <c r="R225" s="12">
        <f>Summary!AO10-Summary!AN10</f>
        <v>17414.29468</v>
      </c>
      <c r="S225" s="12">
        <f>Summary!AP10-Summary!AO10</f>
        <v>12764.62274</v>
      </c>
      <c r="T225" s="12">
        <f>Summary!AQ10-Summary!AP10</f>
        <v>9449.872696</v>
      </c>
      <c r="U225" s="12">
        <f>Summary!AR10-Summary!AQ10</f>
        <v>8008.206239</v>
      </c>
      <c r="V225" s="12">
        <f>Summary!AS10-Summary!AR10</f>
        <v>5702.161659</v>
      </c>
      <c r="W225" s="12">
        <f>Summary!AT10-Summary!AS10</f>
        <v>4147.013192</v>
      </c>
      <c r="X225" s="12">
        <f>Summary!AU10-Summary!AT10</f>
        <v>1770.996344</v>
      </c>
      <c r="Y225" s="12">
        <f>Summary!AV10-Summary!AU10</f>
        <v>-916.7829596</v>
      </c>
      <c r="Z225" s="12">
        <f>Summary!AW10-Summary!AV10</f>
        <v>2946.538424</v>
      </c>
      <c r="AA225" s="12">
        <f>Summary!AX10-Summary!AW10</f>
        <v>2455.010296</v>
      </c>
      <c r="AB225" s="12">
        <f>Summary!AY10-Summary!AX10</f>
        <v>2239.977734</v>
      </c>
      <c r="AC225" s="11"/>
      <c r="AD225" s="67" t="s">
        <v>89</v>
      </c>
      <c r="AE225" s="21">
        <f>Summary!DD10-Summary!DC10</f>
        <v>30066</v>
      </c>
      <c r="AF225" s="21">
        <f>Summary!DE10-Summary!DD10</f>
        <v>-291485.6476</v>
      </c>
      <c r="AG225" s="21">
        <f>Summary!DF10-Summary!DE10</f>
        <v>145320.6052</v>
      </c>
      <c r="AH225" s="12">
        <f t="shared" si="382"/>
        <v>436806.2528</v>
      </c>
      <c r="AI225" s="66"/>
      <c r="AJ225" s="66"/>
      <c r="AK225" s="66"/>
      <c r="AL225" s="66"/>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row>
    <row r="226" ht="15.75" customHeight="1">
      <c r="A226" s="11"/>
      <c r="B226" s="11"/>
      <c r="C226" s="11"/>
      <c r="D226" s="67" t="s">
        <v>94</v>
      </c>
      <c r="E226" s="12">
        <f>Summary!AB11-Summary!AA11</f>
        <v>8529</v>
      </c>
      <c r="F226" s="12">
        <f>Summary!AC11-Summary!AB11</f>
        <v>-18798</v>
      </c>
      <c r="G226" s="12">
        <f>Summary!AD11-Summary!AC11</f>
        <v>55953</v>
      </c>
      <c r="H226" s="12">
        <f>Summary!AE11-Summary!AD11</f>
        <v>19550</v>
      </c>
      <c r="I226" s="12">
        <f>Summary!AF11-Summary!AE11</f>
        <v>-11096</v>
      </c>
      <c r="J226" s="12">
        <f>Summary!AG11-Summary!AF11</f>
        <v>-46752</v>
      </c>
      <c r="K226" s="12">
        <f>Summary!AH11-Summary!AG11</f>
        <v>4825</v>
      </c>
      <c r="L226" s="12">
        <f>Summary!AI11-Summary!AH11</f>
        <v>78637</v>
      </c>
      <c r="M226" s="12">
        <f>Summary!AJ11-Summary!AI11</f>
        <v>-9098</v>
      </c>
      <c r="N226" s="12">
        <f>Summary!AK11-Summary!AJ11</f>
        <v>-27353</v>
      </c>
      <c r="O226" s="12">
        <f>Summary!AL11-Summary!AK11</f>
        <v>-6434</v>
      </c>
      <c r="P226" s="12">
        <f>Summary!AM11-Summary!AL11</f>
        <v>14702.26026</v>
      </c>
      <c r="Q226" s="12">
        <f>Summary!AN11-Summary!AM11</f>
        <v>16894.56129</v>
      </c>
      <c r="R226" s="12">
        <f>Summary!AO11-Summary!AN11</f>
        <v>15057.84539</v>
      </c>
      <c r="S226" s="12">
        <f>Summary!AP11-Summary!AO11</f>
        <v>13026.99476</v>
      </c>
      <c r="T226" s="12">
        <f>Summary!AQ11-Summary!AP11</f>
        <v>11635.37722</v>
      </c>
      <c r="U226" s="12">
        <f>Summary!AR11-Summary!AQ11</f>
        <v>6143.420009</v>
      </c>
      <c r="V226" s="12">
        <f>Summary!AS11-Summary!AR11</f>
        <v>5505.37583</v>
      </c>
      <c r="W226" s="12">
        <f>Summary!AT11-Summary!AS11</f>
        <v>3448.757036</v>
      </c>
      <c r="X226" s="12">
        <f>Summary!AU11-Summary!AT11</f>
        <v>2982.594796</v>
      </c>
      <c r="Y226" s="12">
        <f>Summary!AV11-Summary!AU11</f>
        <v>3924.877051</v>
      </c>
      <c r="Z226" s="12">
        <f>Summary!AW11-Summary!AV11</f>
        <v>4607.913027</v>
      </c>
      <c r="AA226" s="12">
        <f>Summary!AX11-Summary!AW11</f>
        <v>4025.448177</v>
      </c>
      <c r="AB226" s="12">
        <f>Summary!AY11-Summary!AX11</f>
        <v>3676.060819</v>
      </c>
      <c r="AC226" s="11"/>
      <c r="AD226" s="67" t="s">
        <v>94</v>
      </c>
      <c r="AE226" s="21">
        <f>Summary!DD11-Summary!DC11</f>
        <v>55405</v>
      </c>
      <c r="AF226" s="21">
        <f>Summary!DE11-Summary!DD11</f>
        <v>82192.26026</v>
      </c>
      <c r="AG226" s="21">
        <f>Summary!DF11-Summary!DE11</f>
        <v>154326.9289</v>
      </c>
      <c r="AH226" s="12">
        <f t="shared" si="382"/>
        <v>72134.66859</v>
      </c>
      <c r="AI226" s="66"/>
      <c r="AJ226" s="66"/>
      <c r="AK226" s="66"/>
      <c r="AL226" s="66"/>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row>
    <row r="227" ht="15.75" customHeight="1">
      <c r="A227" s="11"/>
      <c r="B227" s="11"/>
      <c r="C227" s="11"/>
      <c r="D227" s="67" t="s">
        <v>96</v>
      </c>
      <c r="E227" s="12">
        <f>Summary!AB12-Summary!AA12</f>
        <v>15185</v>
      </c>
      <c r="F227" s="12">
        <f>Summary!AC12-Summary!AB12</f>
        <v>-12890</v>
      </c>
      <c r="G227" s="12">
        <f>Summary!AD12-Summary!AC12</f>
        <v>1291</v>
      </c>
      <c r="H227" s="12">
        <f>Summary!AE12-Summary!AD12</f>
        <v>502</v>
      </c>
      <c r="I227" s="12">
        <f>Summary!AF12-Summary!AE12</f>
        <v>33</v>
      </c>
      <c r="J227" s="12">
        <f>Summary!AG12-Summary!AF12</f>
        <v>10509</v>
      </c>
      <c r="K227" s="12">
        <f>Summary!AH12-Summary!AG12</f>
        <v>2086</v>
      </c>
      <c r="L227" s="12">
        <f>Summary!AI12-Summary!AH12</f>
        <v>-11949</v>
      </c>
      <c r="M227" s="12">
        <f>Summary!AJ12-Summary!AI12</f>
        <v>10985</v>
      </c>
      <c r="N227" s="12">
        <f>Summary!AK12-Summary!AJ12</f>
        <v>-12976</v>
      </c>
      <c r="O227" s="12">
        <f>Summary!AL12-Summary!AK12</f>
        <v>12190</v>
      </c>
      <c r="P227" s="12">
        <f>Summary!AM12-Summary!AL12</f>
        <v>14488</v>
      </c>
      <c r="Q227" s="12">
        <f>Summary!AN12-Summary!AM12</f>
        <v>0</v>
      </c>
      <c r="R227" s="12">
        <f>Summary!AO12-Summary!AN12</f>
        <v>0</v>
      </c>
      <c r="S227" s="12">
        <f>Summary!AP12-Summary!AO12</f>
        <v>0</v>
      </c>
      <c r="T227" s="12">
        <f>Summary!AQ12-Summary!AP12</f>
        <v>0</v>
      </c>
      <c r="U227" s="12">
        <f>Summary!AR12-Summary!AQ12</f>
        <v>0</v>
      </c>
      <c r="V227" s="12">
        <f>Summary!AS12-Summary!AR12</f>
        <v>0</v>
      </c>
      <c r="W227" s="12">
        <f>Summary!AT12-Summary!AS12</f>
        <v>0</v>
      </c>
      <c r="X227" s="12">
        <f>Summary!AU12-Summary!AT12</f>
        <v>0</v>
      </c>
      <c r="Y227" s="12">
        <f>Summary!AV12-Summary!AU12</f>
        <v>0</v>
      </c>
      <c r="Z227" s="12">
        <f>Summary!AW12-Summary!AV12</f>
        <v>0</v>
      </c>
      <c r="AA227" s="12">
        <f>Summary!AX12-Summary!AW12</f>
        <v>0</v>
      </c>
      <c r="AB227" s="12">
        <f>Summary!AY12-Summary!AX12</f>
        <v>0</v>
      </c>
      <c r="AC227" s="11"/>
      <c r="AD227" s="67" t="s">
        <v>96</v>
      </c>
      <c r="AE227" s="21">
        <f>Summary!DD12-Summary!DC12</f>
        <v>15080</v>
      </c>
      <c r="AF227" s="21">
        <f>Summary!DE12-Summary!DD12</f>
        <v>22714</v>
      </c>
      <c r="AG227" s="21">
        <f>Summary!DF12-Summary!DE12</f>
        <v>54868</v>
      </c>
      <c r="AH227" s="12">
        <f t="shared" si="382"/>
        <v>32154</v>
      </c>
      <c r="AI227" s="66"/>
      <c r="AJ227" s="66"/>
      <c r="AK227" s="66"/>
      <c r="AL227" s="66"/>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row>
    <row r="228" ht="15.75" customHeight="1">
      <c r="A228" s="11"/>
      <c r="B228" s="11"/>
      <c r="C228" s="11"/>
      <c r="D228" s="67" t="s">
        <v>72</v>
      </c>
      <c r="E228" s="12">
        <f>Summary!AB13-Summary!AA13</f>
        <v>-10973</v>
      </c>
      <c r="F228" s="12">
        <f>Summary!AC13-Summary!AB13</f>
        <v>4177</v>
      </c>
      <c r="G228" s="12">
        <f>Summary!AD13-Summary!AC13</f>
        <v>7879</v>
      </c>
      <c r="H228" s="12">
        <f>Summary!AE13-Summary!AD13</f>
        <v>1134</v>
      </c>
      <c r="I228" s="12">
        <f>Summary!AF13-Summary!AE13</f>
        <v>-5337</v>
      </c>
      <c r="J228" s="12">
        <f>Summary!AG13-Summary!AF13</f>
        <v>-1263</v>
      </c>
      <c r="K228" s="12">
        <f>Summary!AH13-Summary!AG13</f>
        <v>9213</v>
      </c>
      <c r="L228" s="12">
        <f>Summary!AI13-Summary!AH13</f>
        <v>-11786</v>
      </c>
      <c r="M228" s="12">
        <f>Summary!AJ13-Summary!AI13</f>
        <v>3157</v>
      </c>
      <c r="N228" s="12">
        <f>Summary!AK13-Summary!AJ13</f>
        <v>3386</v>
      </c>
      <c r="O228" s="12">
        <f>Summary!AL13-Summary!AK13</f>
        <v>-996</v>
      </c>
      <c r="P228" s="12">
        <f>Summary!AM13-Summary!AL13</f>
        <v>-11118.22</v>
      </c>
      <c r="Q228" s="12">
        <f>Summary!AN13-Summary!AM13</f>
        <v>42.9512</v>
      </c>
      <c r="R228" s="12">
        <f>Summary!AO13-Summary!AN13</f>
        <v>44.669248</v>
      </c>
      <c r="S228" s="12">
        <f>Summary!AP13-Summary!AO13</f>
        <v>46.45601792</v>
      </c>
      <c r="T228" s="12">
        <f>Summary!AQ13-Summary!AP13</f>
        <v>48.31425864</v>
      </c>
      <c r="U228" s="12">
        <f>Summary!AR13-Summary!AQ13</f>
        <v>50.24682898</v>
      </c>
      <c r="V228" s="12">
        <f>Summary!AS13-Summary!AR13</f>
        <v>9644.256702</v>
      </c>
      <c r="W228" s="12">
        <f>Summary!AT13-Summary!AS13</f>
        <v>54.34697023</v>
      </c>
      <c r="X228" s="12">
        <f>Summary!AU13-Summary!AT13</f>
        <v>56.52084904</v>
      </c>
      <c r="Y228" s="12">
        <f>Summary!AV13-Summary!AU13</f>
        <v>58.781683</v>
      </c>
      <c r="Z228" s="12">
        <f>Summary!AW13-Summary!AV13</f>
        <v>61.13295032</v>
      </c>
      <c r="AA228" s="12">
        <f>Summary!AX13-Summary!AW13</f>
        <v>63.57826833</v>
      </c>
      <c r="AB228" s="12">
        <f>Summary!AY13-Summary!AX13</f>
        <v>66.12139906</v>
      </c>
      <c r="AC228" s="11"/>
      <c r="AD228" s="67" t="s">
        <v>72</v>
      </c>
      <c r="AE228" s="21">
        <f>Summary!DD13-Summary!DC13</f>
        <v>4840</v>
      </c>
      <c r="AF228" s="21">
        <f>Summary!DE13-Summary!DD13</f>
        <v>-8519.22</v>
      </c>
      <c r="AG228" s="21">
        <f>Summary!DF13-Summary!DE13</f>
        <v>-31513.62116</v>
      </c>
      <c r="AH228" s="12">
        <f t="shared" si="382"/>
        <v>-22994.40116</v>
      </c>
      <c r="AI228" s="66"/>
      <c r="AJ228" s="66"/>
      <c r="AK228" s="66"/>
      <c r="AL228" s="66"/>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row>
    <row r="229" ht="15.75" customHeight="1">
      <c r="A229" s="11"/>
      <c r="B229" s="11"/>
      <c r="C229" s="11"/>
      <c r="D229" s="68" t="s">
        <v>100</v>
      </c>
      <c r="E229" s="69">
        <f t="shared" ref="E229:AB229" si="383">SUM(E222:E228)</f>
        <v>224205</v>
      </c>
      <c r="F229" s="69">
        <f t="shared" si="383"/>
        <v>-246365</v>
      </c>
      <c r="G229" s="69">
        <f t="shared" si="383"/>
        <v>121465</v>
      </c>
      <c r="H229" s="69">
        <f t="shared" si="383"/>
        <v>49083</v>
      </c>
      <c r="I229" s="69">
        <f t="shared" si="383"/>
        <v>92555</v>
      </c>
      <c r="J229" s="69">
        <f t="shared" si="383"/>
        <v>-195590</v>
      </c>
      <c r="K229" s="69">
        <f t="shared" si="383"/>
        <v>155407</v>
      </c>
      <c r="L229" s="69">
        <f t="shared" si="383"/>
        <v>172488</v>
      </c>
      <c r="M229" s="69">
        <f t="shared" si="383"/>
        <v>-44527</v>
      </c>
      <c r="N229" s="69">
        <f t="shared" si="383"/>
        <v>-188376</v>
      </c>
      <c r="O229" s="69">
        <f t="shared" si="383"/>
        <v>45943</v>
      </c>
      <c r="P229" s="69">
        <f t="shared" si="383"/>
        <v>106696.6307</v>
      </c>
      <c r="Q229" s="69">
        <f t="shared" si="383"/>
        <v>251665.7612</v>
      </c>
      <c r="R229" s="69">
        <f t="shared" si="383"/>
        <v>248707.9147</v>
      </c>
      <c r="S229" s="69">
        <f t="shared" si="383"/>
        <v>227763.5879</v>
      </c>
      <c r="T229" s="69">
        <f t="shared" si="383"/>
        <v>218102.6286</v>
      </c>
      <c r="U229" s="69">
        <f t="shared" si="383"/>
        <v>216703.1977</v>
      </c>
      <c r="V229" s="69">
        <f t="shared" si="383"/>
        <v>217981.0995</v>
      </c>
      <c r="W229" s="69">
        <f t="shared" si="383"/>
        <v>196498.1668</v>
      </c>
      <c r="X229" s="69">
        <f t="shared" si="383"/>
        <v>192705.3374</v>
      </c>
      <c r="Y229" s="69">
        <f t="shared" si="383"/>
        <v>188670.4005</v>
      </c>
      <c r="Z229" s="69">
        <f t="shared" si="383"/>
        <v>175389.4457</v>
      </c>
      <c r="AA229" s="69">
        <f t="shared" si="383"/>
        <v>173696.2739</v>
      </c>
      <c r="AB229" s="69">
        <f t="shared" si="383"/>
        <v>175883.3241</v>
      </c>
      <c r="AC229" s="11"/>
      <c r="AD229" s="68" t="s">
        <v>100</v>
      </c>
      <c r="AE229" s="26">
        <f t="shared" ref="AE229:AG229" si="384">SUM(AE222:AE228)</f>
        <v>410566</v>
      </c>
      <c r="AF229" s="26">
        <f t="shared" si="384"/>
        <v>88034.63075</v>
      </c>
      <c r="AG229" s="26">
        <f t="shared" si="384"/>
        <v>2650016.486</v>
      </c>
      <c r="AH229" s="76">
        <f t="shared" si="382"/>
        <v>2561981.855</v>
      </c>
      <c r="AI229" s="60"/>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row>
    <row r="230" ht="15.75" customHeight="1">
      <c r="A230" s="11"/>
      <c r="B230" s="11"/>
      <c r="C230" s="11"/>
      <c r="D230" s="73" t="s">
        <v>99</v>
      </c>
      <c r="E230" s="19">
        <f>Revenue!K24</f>
        <v>-1</v>
      </c>
      <c r="F230" s="19">
        <f>Revenue!L24</f>
        <v>-1</v>
      </c>
      <c r="G230" s="19">
        <f>Revenue!M24</f>
        <v>-1</v>
      </c>
      <c r="H230" s="19">
        <f>Revenue!N24</f>
        <v>-1</v>
      </c>
      <c r="I230" s="19">
        <f>Revenue!O24</f>
        <v>-1</v>
      </c>
      <c r="J230" s="19">
        <f>Revenue!P24</f>
        <v>-1</v>
      </c>
      <c r="K230" s="19">
        <f>Revenue!Q24</f>
        <v>-1</v>
      </c>
      <c r="L230" s="19">
        <f>Revenue!R24</f>
        <v>-1</v>
      </c>
      <c r="M230" s="19">
        <f>Revenue!S24</f>
        <v>-1</v>
      </c>
      <c r="N230" s="19">
        <f t="shared" ref="N230:AB230" si="385">N229/M229-1</f>
        <v>3.230601657</v>
      </c>
      <c r="O230" s="19">
        <f t="shared" si="385"/>
        <v>-1.24388988</v>
      </c>
      <c r="P230" s="19">
        <f t="shared" si="385"/>
        <v>1.322369692</v>
      </c>
      <c r="Q230" s="19">
        <f t="shared" si="385"/>
        <v>1.35870392</v>
      </c>
      <c r="R230" s="19">
        <f t="shared" si="385"/>
        <v>-0.0117530745</v>
      </c>
      <c r="S230" s="19">
        <f t="shared" si="385"/>
        <v>-0.08421254632</v>
      </c>
      <c r="T230" s="19">
        <f t="shared" si="385"/>
        <v>-0.04241661049</v>
      </c>
      <c r="U230" s="19">
        <f t="shared" si="385"/>
        <v>-0.006416386735</v>
      </c>
      <c r="V230" s="19">
        <f t="shared" si="385"/>
        <v>0.005897013646</v>
      </c>
      <c r="W230" s="19">
        <f t="shared" si="385"/>
        <v>-0.09855410706</v>
      </c>
      <c r="X230" s="19">
        <f t="shared" si="385"/>
        <v>-0.01930211102</v>
      </c>
      <c r="Y230" s="19">
        <f t="shared" si="385"/>
        <v>-0.02093837645</v>
      </c>
      <c r="Z230" s="19">
        <f t="shared" si="385"/>
        <v>-0.07039236021</v>
      </c>
      <c r="AA230" s="19">
        <f t="shared" si="385"/>
        <v>-0.009653784037</v>
      </c>
      <c r="AB230" s="19">
        <f t="shared" si="385"/>
        <v>0.01259123296</v>
      </c>
      <c r="AC230" s="11"/>
      <c r="AD230" s="19" t="str">
        <f>D230</f>
        <v>  % Growth</v>
      </c>
      <c r="AE230" s="44">
        <f>Summary!DD14/Summary!DC14-1</f>
        <v>0.08309434479</v>
      </c>
      <c r="AF230" s="44">
        <f>Summary!DE14/Summary!DD14-1</f>
        <v>0.1195158898</v>
      </c>
      <c r="AG230" s="44">
        <f>Summary!DF14/Summary!DE14-1</f>
        <v>0.350261431</v>
      </c>
      <c r="AH230" s="74"/>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2"/>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row>
    <row r="232" ht="15.75" customHeight="1">
      <c r="A232" s="11"/>
      <c r="B232" s="11"/>
      <c r="C232" s="11"/>
      <c r="D232" s="11"/>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11"/>
      <c r="AD232" s="11"/>
      <c r="AE232" s="20"/>
      <c r="AF232" s="20"/>
      <c r="AG232" s="12"/>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2"/>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row>
    <row r="234" ht="15.75" customHeight="1">
      <c r="A234" s="11"/>
      <c r="B234" s="13" t="s">
        <v>101</v>
      </c>
      <c r="C234" s="11"/>
      <c r="D234" s="11"/>
      <c r="E234" s="14">
        <v>44562.0</v>
      </c>
      <c r="F234" s="14">
        <v>44593.0</v>
      </c>
      <c r="G234" s="14">
        <v>44621.0</v>
      </c>
      <c r="H234" s="14">
        <v>44652.0</v>
      </c>
      <c r="I234" s="14">
        <v>44682.0</v>
      </c>
      <c r="J234" s="14">
        <v>44713.0</v>
      </c>
      <c r="K234" s="14">
        <v>44743.0</v>
      </c>
      <c r="L234" s="14">
        <v>44774.0</v>
      </c>
      <c r="M234" s="14">
        <v>44805.0</v>
      </c>
      <c r="N234" s="14">
        <v>44835.0</v>
      </c>
      <c r="O234" s="14">
        <v>44866.0</v>
      </c>
      <c r="P234" s="14">
        <v>44896.0</v>
      </c>
      <c r="Q234" s="15">
        <v>44927.0</v>
      </c>
      <c r="R234" s="15">
        <v>44958.0</v>
      </c>
      <c r="S234" s="15">
        <v>44986.0</v>
      </c>
      <c r="T234" s="15">
        <v>45017.0</v>
      </c>
      <c r="U234" s="15">
        <v>45047.0</v>
      </c>
      <c r="V234" s="15">
        <v>45078.0</v>
      </c>
      <c r="W234" s="15">
        <v>45108.0</v>
      </c>
      <c r="X234" s="15">
        <v>45139.0</v>
      </c>
      <c r="Y234" s="15">
        <v>45170.0</v>
      </c>
      <c r="Z234" s="15">
        <v>45200.0</v>
      </c>
      <c r="AA234" s="15">
        <v>45231.0</v>
      </c>
      <c r="AB234" s="15">
        <v>45261.0</v>
      </c>
      <c r="AC234" s="11"/>
      <c r="AD234" s="11"/>
      <c r="AE234" s="16" t="s">
        <v>48</v>
      </c>
      <c r="AF234" s="17" t="s">
        <v>49</v>
      </c>
      <c r="AG234" s="18" t="s">
        <v>50</v>
      </c>
      <c r="AH234" s="16" t="s">
        <v>51</v>
      </c>
      <c r="AI234" s="11"/>
      <c r="AJ234" s="11"/>
      <c r="AK234" s="11"/>
      <c r="AL234" s="16" t="s">
        <v>52</v>
      </c>
      <c r="AM234" s="16" t="s">
        <v>53</v>
      </c>
      <c r="AN234" s="16" t="s">
        <v>48</v>
      </c>
      <c r="AO234" s="17" t="s">
        <v>49</v>
      </c>
      <c r="AP234" s="17" t="s">
        <v>54</v>
      </c>
      <c r="AQ234" s="17" t="s">
        <v>55</v>
      </c>
      <c r="AR234" s="11"/>
      <c r="AS234" s="11"/>
      <c r="AT234" s="11"/>
      <c r="AU234" s="11"/>
      <c r="AV234" s="11"/>
      <c r="AW234" s="11"/>
      <c r="AX234" s="11"/>
      <c r="AY234" s="11"/>
      <c r="AZ234" s="11"/>
      <c r="BA234" s="11"/>
      <c r="BB234" s="11"/>
      <c r="BC234" s="11"/>
      <c r="BD234" s="11"/>
      <c r="BE234" s="11"/>
      <c r="BF234" s="11"/>
      <c r="BG234" s="11"/>
      <c r="BH234" s="11"/>
      <c r="BI234" s="11"/>
      <c r="BJ234" s="11"/>
      <c r="BK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2"/>
      <c r="AH235" s="66"/>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row>
    <row r="236" ht="15.75" customHeight="1">
      <c r="A236" s="11"/>
      <c r="B236" s="11"/>
      <c r="C236" s="11"/>
      <c r="D236" s="77" t="s">
        <v>98</v>
      </c>
      <c r="E236" s="38">
        <f t="shared" ref="E236:AB236" si="386">E219</f>
        <v>1129075</v>
      </c>
      <c r="F236" s="38">
        <f t="shared" si="386"/>
        <v>972065</v>
      </c>
      <c r="G236" s="38">
        <f t="shared" si="386"/>
        <v>1065202</v>
      </c>
      <c r="H236" s="38">
        <f t="shared" si="386"/>
        <v>1164976</v>
      </c>
      <c r="I236" s="38">
        <f t="shared" si="386"/>
        <v>1141215</v>
      </c>
      <c r="J236" s="38">
        <f t="shared" si="386"/>
        <v>1026384</v>
      </c>
      <c r="K236" s="38">
        <f t="shared" si="386"/>
        <v>1084442</v>
      </c>
      <c r="L236" s="38">
        <f t="shared" si="386"/>
        <v>1281940</v>
      </c>
      <c r="M236" s="38">
        <f t="shared" si="386"/>
        <v>1204294</v>
      </c>
      <c r="N236" s="38">
        <f t="shared" si="386"/>
        <v>1076142</v>
      </c>
      <c r="O236" s="38">
        <f t="shared" si="386"/>
        <v>1079035</v>
      </c>
      <c r="P236" s="38">
        <f t="shared" si="386"/>
        <v>1415790.631</v>
      </c>
      <c r="Q236" s="38">
        <f t="shared" si="386"/>
        <v>1667456.392</v>
      </c>
      <c r="R236" s="38">
        <f t="shared" si="386"/>
        <v>1916164.307</v>
      </c>
      <c r="S236" s="38">
        <f t="shared" si="386"/>
        <v>2143927.895</v>
      </c>
      <c r="T236" s="38">
        <f t="shared" si="386"/>
        <v>2362030.523</v>
      </c>
      <c r="U236" s="38">
        <f t="shared" si="386"/>
        <v>2578733.721</v>
      </c>
      <c r="V236" s="38">
        <f t="shared" si="386"/>
        <v>2796714.82</v>
      </c>
      <c r="W236" s="38">
        <f t="shared" si="386"/>
        <v>2993212.987</v>
      </c>
      <c r="X236" s="38">
        <f t="shared" si="386"/>
        <v>3185918.325</v>
      </c>
      <c r="Y236" s="38">
        <f t="shared" si="386"/>
        <v>3374588.725</v>
      </c>
      <c r="Z236" s="38">
        <f t="shared" si="386"/>
        <v>3549978.171</v>
      </c>
      <c r="AA236" s="38">
        <f t="shared" si="386"/>
        <v>3723674.445</v>
      </c>
      <c r="AB236" s="38">
        <f t="shared" si="386"/>
        <v>3899557.769</v>
      </c>
      <c r="AC236" s="28"/>
      <c r="AD236" s="28" t="str">
        <f t="shared" ref="AD236:AD237" si="388">D236</f>
        <v>Total Revenue</v>
      </c>
      <c r="AE236" s="38">
        <f>SUM(M236:P236)</f>
        <v>4775261.631</v>
      </c>
      <c r="AF236" s="25">
        <f>SUM(Q236:T236)</f>
        <v>8089579.116</v>
      </c>
      <c r="AG236" s="25">
        <f t="shared" ref="AG236:AG237" si="390">AF236-AE236</f>
        <v>3314317.486</v>
      </c>
      <c r="AH236" s="72">
        <f>AF236/AE236-1</f>
        <v>0.694059874</v>
      </c>
      <c r="AI236" s="11"/>
      <c r="AJ236" s="11"/>
      <c r="AK236" s="11" t="s">
        <v>98</v>
      </c>
      <c r="AL236" s="38">
        <f>SUM(E236:H236)</f>
        <v>4331318</v>
      </c>
      <c r="AM236" s="25">
        <f>SUM(I236:L236)</f>
        <v>4533981</v>
      </c>
      <c r="AN236" s="38">
        <f>SUM(M236:P236)</f>
        <v>4775261.631</v>
      </c>
      <c r="AO236" s="38">
        <f>SUM(Q236:T236)</f>
        <v>8089579.116</v>
      </c>
      <c r="AP236" s="25">
        <f>SUM(U236:X236)</f>
        <v>11554579.85</v>
      </c>
      <c r="AQ236" s="38">
        <f>SUM(Y236:AB236)</f>
        <v>14547799.11</v>
      </c>
      <c r="AR236" s="11"/>
      <c r="AS236" s="11"/>
      <c r="AT236" s="11"/>
      <c r="AU236" s="11"/>
      <c r="AV236" s="11"/>
      <c r="AW236" s="11"/>
      <c r="AX236" s="11"/>
      <c r="AY236" s="11"/>
      <c r="AZ236" s="11"/>
      <c r="BA236" s="11"/>
      <c r="BB236" s="11"/>
      <c r="BC236" s="11"/>
      <c r="BD236" s="11"/>
      <c r="BE236" s="11"/>
      <c r="BF236" s="11"/>
      <c r="BG236" s="11"/>
      <c r="BH236" s="11"/>
      <c r="BI236" s="11"/>
      <c r="BJ236" s="11"/>
      <c r="BK236" s="11"/>
    </row>
    <row r="237" ht="15.75" customHeight="1">
      <c r="A237" s="11"/>
      <c r="B237" s="11"/>
      <c r="C237" s="28"/>
      <c r="D237" s="67" t="s">
        <v>99</v>
      </c>
      <c r="E237" s="19">
        <f t="shared" ref="E237:AB237" si="387">E220</f>
        <v>0.07958019733</v>
      </c>
      <c r="F237" s="19">
        <f t="shared" si="387"/>
        <v>0.06785234092</v>
      </c>
      <c r="G237" s="19">
        <f t="shared" si="387"/>
        <v>-0.02704239929</v>
      </c>
      <c r="H237" s="19">
        <f t="shared" si="387"/>
        <v>0.1518423508</v>
      </c>
      <c r="I237" s="19">
        <f t="shared" si="387"/>
        <v>0.1235829267</v>
      </c>
      <c r="J237" s="19">
        <f t="shared" si="387"/>
        <v>-0.1390607356</v>
      </c>
      <c r="K237" s="19">
        <f t="shared" si="387"/>
        <v>0.09581355156</v>
      </c>
      <c r="L237" s="19">
        <f t="shared" si="387"/>
        <v>0.09366674114</v>
      </c>
      <c r="M237" s="19">
        <f t="shared" si="387"/>
        <v>-0.02039612833</v>
      </c>
      <c r="N237" s="19">
        <f t="shared" si="387"/>
        <v>-0.1064125537</v>
      </c>
      <c r="O237" s="19">
        <f t="shared" si="387"/>
        <v>0.002688306933</v>
      </c>
      <c r="P237" s="19">
        <f t="shared" si="387"/>
        <v>0.3120896271</v>
      </c>
      <c r="Q237" s="19">
        <f t="shared" si="387"/>
        <v>0.1777563403</v>
      </c>
      <c r="R237" s="19">
        <f t="shared" si="387"/>
        <v>0.1491540744</v>
      </c>
      <c r="S237" s="19">
        <f t="shared" si="387"/>
        <v>0.1188643308</v>
      </c>
      <c r="T237" s="19">
        <f t="shared" si="387"/>
        <v>0.1017303936</v>
      </c>
      <c r="U237" s="19">
        <f t="shared" si="387"/>
        <v>0.09174445276</v>
      </c>
      <c r="V237" s="19">
        <f t="shared" si="387"/>
        <v>0.0845302862</v>
      </c>
      <c r="W237" s="19">
        <f t="shared" si="387"/>
        <v>0.07026035169</v>
      </c>
      <c r="X237" s="19">
        <f t="shared" si="387"/>
        <v>0.06438076349</v>
      </c>
      <c r="Y237" s="19">
        <f t="shared" si="387"/>
        <v>0.0592200996</v>
      </c>
      <c r="Z237" s="19">
        <f t="shared" si="387"/>
        <v>0.05197357664</v>
      </c>
      <c r="AA237" s="19">
        <f t="shared" si="387"/>
        <v>0.04892882872</v>
      </c>
      <c r="AB237" s="19">
        <f t="shared" si="387"/>
        <v>0.0472338081</v>
      </c>
      <c r="AC237" s="19"/>
      <c r="AD237" s="19" t="str">
        <f t="shared" si="388"/>
        <v>  % Growth</v>
      </c>
      <c r="AE237" s="19">
        <f t="shared" ref="AE237:AF237" si="389">AF220</f>
        <v>0.1195158898</v>
      </c>
      <c r="AF237" s="19">
        <f t="shared" si="389"/>
        <v>0.350261431</v>
      </c>
      <c r="AG237" s="43">
        <f t="shared" si="390"/>
        <v>0.2307455412</v>
      </c>
      <c r="AH237" s="19"/>
      <c r="AI237" s="28"/>
      <c r="AJ237" s="28"/>
      <c r="AK237" s="28" t="s">
        <v>99</v>
      </c>
      <c r="AL237" s="19"/>
      <c r="AM237" s="19"/>
      <c r="AN237" s="74"/>
      <c r="AO237" s="19"/>
      <c r="AP237" s="19"/>
      <c r="AQ237" s="74"/>
      <c r="AR237" s="28"/>
      <c r="AS237" s="28"/>
      <c r="AT237" s="28"/>
      <c r="AU237" s="28"/>
      <c r="AV237" s="28"/>
      <c r="AW237" s="28"/>
      <c r="AX237" s="28"/>
      <c r="AY237" s="28"/>
      <c r="AZ237" s="28"/>
      <c r="BA237" s="28"/>
      <c r="BB237" s="28"/>
      <c r="BC237" s="28"/>
      <c r="BD237" s="28"/>
      <c r="BE237" s="28"/>
      <c r="BF237" s="28"/>
      <c r="BG237" s="28"/>
      <c r="BH237" s="28"/>
      <c r="BI237" s="28"/>
      <c r="BJ237" s="28"/>
      <c r="BK237" s="28"/>
    </row>
    <row r="238" ht="15.75" customHeight="1">
      <c r="A238" s="11"/>
      <c r="B238" s="11"/>
      <c r="C238" s="11"/>
      <c r="D238" s="11"/>
      <c r="E238" s="11"/>
      <c r="F238" s="11"/>
      <c r="G238" s="11"/>
      <c r="H238" s="11"/>
      <c r="I238" s="11"/>
      <c r="J238" s="11"/>
      <c r="K238" s="11"/>
      <c r="L238" s="11"/>
      <c r="M238" s="11"/>
      <c r="N238" s="11"/>
      <c r="O238" s="11"/>
      <c r="P238" s="24">
        <f>P236-O236</f>
        <v>336755.6307</v>
      </c>
      <c r="Q238" s="11"/>
      <c r="R238" s="11"/>
      <c r="S238" s="11"/>
      <c r="T238" s="11"/>
      <c r="U238" s="11"/>
      <c r="V238" s="11"/>
      <c r="W238" s="11"/>
      <c r="X238" s="11"/>
      <c r="Y238" s="11"/>
      <c r="Z238" s="11"/>
      <c r="AA238" s="11"/>
      <c r="AB238" s="11"/>
      <c r="AC238" s="11"/>
      <c r="AD238" s="11"/>
      <c r="AE238" s="11"/>
      <c r="AF238" s="11"/>
      <c r="AG238" s="12"/>
      <c r="AH238" s="19"/>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row>
    <row r="239" ht="15.75" customHeight="1">
      <c r="A239" s="11"/>
      <c r="B239" s="11"/>
      <c r="C239" s="11"/>
      <c r="D239" s="67" t="s">
        <v>102</v>
      </c>
      <c r="E239" s="12">
        <f>Summary!AB19</f>
        <v>11366</v>
      </c>
      <c r="F239" s="12">
        <f>Summary!AC19</f>
        <v>12412</v>
      </c>
      <c r="G239" s="12">
        <f>Summary!AD19</f>
        <v>13193</v>
      </c>
      <c r="H239" s="12">
        <f>Summary!AE19</f>
        <v>13079</v>
      </c>
      <c r="I239" s="12">
        <f>Summary!AF19</f>
        <v>11389</v>
      </c>
      <c r="J239" s="12">
        <f>Summary!AG19</f>
        <v>10865</v>
      </c>
      <c r="K239" s="12">
        <f>Summary!AH19</f>
        <v>13654</v>
      </c>
      <c r="L239" s="12">
        <f>Summary!AI19</f>
        <v>11990</v>
      </c>
      <c r="M239" s="12">
        <f>Summary!AJ19</f>
        <v>13582</v>
      </c>
      <c r="N239" s="12">
        <f>Summary!AK19</f>
        <v>14293</v>
      </c>
      <c r="O239" s="12">
        <f>Summary!AL19</f>
        <v>11350</v>
      </c>
      <c r="P239" s="12">
        <f>Summary!AM19</f>
        <v>159443.2308</v>
      </c>
      <c r="Q239" s="12">
        <f>Summary!AN19</f>
        <v>170240.1476</v>
      </c>
      <c r="R239" s="12">
        <f>Summary!AO19</f>
        <v>184006.5128</v>
      </c>
      <c r="S239" s="12">
        <f>Summary!AP19</f>
        <v>197725.8567</v>
      </c>
      <c r="T239" s="12">
        <f>Summary!AQ19</f>
        <v>204819.5111</v>
      </c>
      <c r="U239" s="12">
        <f>Summary!AR19</f>
        <v>212259.2707</v>
      </c>
      <c r="V239" s="12">
        <f>Summary!AS19</f>
        <v>212748.6523</v>
      </c>
      <c r="W239" s="12">
        <f>Summary!AT19</f>
        <v>234793.8032</v>
      </c>
      <c r="X239" s="12">
        <f>Summary!AU19</f>
        <v>241830.4391</v>
      </c>
      <c r="Y239" s="12">
        <f>Summary!AV19</f>
        <v>256718.5194</v>
      </c>
      <c r="Z239" s="12">
        <f>Summary!AW19</f>
        <v>272522.0536</v>
      </c>
      <c r="AA239" s="12">
        <f>Summary!AX19</f>
        <v>279516.0128</v>
      </c>
      <c r="AB239" s="12">
        <f>Summary!AY19</f>
        <v>300251.2022</v>
      </c>
      <c r="AC239" s="12"/>
      <c r="AD239" s="12" t="str">
        <f t="shared" ref="AD239:AD241" si="391">D239</f>
        <v>Salaries &amp; Benefits</v>
      </c>
      <c r="AE239" s="12">
        <f t="shared" ref="AE239:AE245" si="392">SUM(M239:P239)</f>
        <v>198668.2308</v>
      </c>
      <c r="AF239" s="12">
        <f t="shared" ref="AF239:AF245" si="393">SUM(Q239:T239)</f>
        <v>756792.0282</v>
      </c>
      <c r="AG239" s="12">
        <f t="shared" ref="AG239:AG246" si="394">AE239-AF239</f>
        <v>-558123.7974</v>
      </c>
      <c r="AH239" s="19">
        <f t="shared" ref="AH239:AH243" si="395">AF239/AE239-1</f>
        <v>2.809325856</v>
      </c>
      <c r="AI239" s="11"/>
      <c r="AJ239" s="11"/>
      <c r="AK239" s="11" t="s">
        <v>102</v>
      </c>
      <c r="AL239" s="12">
        <f t="shared" ref="AL239:AL248" si="396">SUM(E239:H239)</f>
        <v>50050</v>
      </c>
      <c r="AM239" s="12">
        <f t="shared" ref="AM239:AM248" si="397">SUM(I239:L239)</f>
        <v>47898</v>
      </c>
      <c r="AN239" s="12">
        <f t="shared" ref="AN239:AN248" si="398">SUM(M239:P239)</f>
        <v>198668.2308</v>
      </c>
      <c r="AO239" s="12">
        <f t="shared" ref="AO239:AO248" si="399">SUM(Q239:T239)</f>
        <v>756792.0282</v>
      </c>
      <c r="AP239" s="12">
        <f t="shared" ref="AP239:AP248" si="400">SUM(U239:X239)</f>
        <v>901632.1653</v>
      </c>
      <c r="AQ239" s="12">
        <f t="shared" ref="AQ239:AQ248" si="401">SUM(Y239:AB239)</f>
        <v>1109007.788</v>
      </c>
      <c r="AR239" s="11"/>
      <c r="AS239" s="11"/>
      <c r="AT239" s="11"/>
      <c r="AU239" s="11"/>
      <c r="AV239" s="11"/>
      <c r="AW239" s="11"/>
      <c r="AX239" s="11"/>
      <c r="AY239" s="11"/>
      <c r="AZ239" s="11"/>
      <c r="BA239" s="11"/>
      <c r="BB239" s="11"/>
      <c r="BC239" s="11"/>
      <c r="BD239" s="11"/>
      <c r="BE239" s="11"/>
      <c r="BF239" s="11"/>
      <c r="BG239" s="11"/>
      <c r="BH239" s="11"/>
      <c r="BI239" s="11"/>
      <c r="BJ239" s="11"/>
      <c r="BK239" s="11"/>
    </row>
    <row r="240" ht="15.75" customHeight="1">
      <c r="A240" s="11"/>
      <c r="B240" s="11"/>
      <c r="C240" s="11"/>
      <c r="D240" s="67" t="s">
        <v>103</v>
      </c>
      <c r="E240" s="21">
        <f>Summary!AB20</f>
        <v>1101</v>
      </c>
      <c r="F240" s="21">
        <f>Summary!AC20</f>
        <v>1705</v>
      </c>
      <c r="G240" s="21">
        <f>Summary!AD20</f>
        <v>1605</v>
      </c>
      <c r="H240" s="21">
        <f>Summary!AE20</f>
        <v>1685</v>
      </c>
      <c r="I240" s="21">
        <f>Summary!AF20</f>
        <v>1862</v>
      </c>
      <c r="J240" s="21">
        <f>Summary!AG20</f>
        <v>1316</v>
      </c>
      <c r="K240" s="21">
        <f>Summary!AH20</f>
        <v>1873</v>
      </c>
      <c r="L240" s="21">
        <f>Summary!AI20</f>
        <v>1222</v>
      </c>
      <c r="M240" s="21">
        <f>Summary!AJ20</f>
        <v>2057</v>
      </c>
      <c r="N240" s="21">
        <f>Summary!AK20</f>
        <v>2054</v>
      </c>
      <c r="O240" s="21">
        <f>Summary!AL20</f>
        <v>2035</v>
      </c>
      <c r="P240" s="21">
        <f>Summary!AM20</f>
        <v>1436.441301</v>
      </c>
      <c r="Q240" s="21">
        <f>Summary!AN20</f>
        <v>1520.914108</v>
      </c>
      <c r="R240" s="21">
        <f>Summary!AO20</f>
        <v>1596.203335</v>
      </c>
      <c r="S240" s="21">
        <f>Summary!AP20</f>
        <v>1661.338309</v>
      </c>
      <c r="T240" s="21">
        <f>Summary!AQ20</f>
        <v>1719.515195</v>
      </c>
      <c r="U240" s="21">
        <f>Summary!AR20</f>
        <v>1750.232295</v>
      </c>
      <c r="V240" s="21">
        <f>Summary!AS20</f>
        <v>1777.759174</v>
      </c>
      <c r="W240" s="21">
        <f>Summary!AT20</f>
        <v>1795.002959</v>
      </c>
      <c r="X240" s="21">
        <f>Summary!AU20</f>
        <v>1809.915933</v>
      </c>
      <c r="Y240" s="21">
        <f>Summary!AV20</f>
        <v>1829.540318</v>
      </c>
      <c r="Z240" s="21">
        <f>Summary!AW20</f>
        <v>1852.579883</v>
      </c>
      <c r="AA240" s="21">
        <f>Summary!AX20</f>
        <v>1872.707124</v>
      </c>
      <c r="AB240" s="21">
        <f>Summary!AY20</f>
        <v>1891.087428</v>
      </c>
      <c r="AC240" s="11"/>
      <c r="AD240" s="11" t="str">
        <f t="shared" si="391"/>
        <v>Portfolio Commissions</v>
      </c>
      <c r="AE240" s="20">
        <f t="shared" si="392"/>
        <v>7582.441301</v>
      </c>
      <c r="AF240" s="21">
        <f t="shared" si="393"/>
        <v>6497.970946</v>
      </c>
      <c r="AG240" s="12">
        <f t="shared" si="394"/>
        <v>1084.470356</v>
      </c>
      <c r="AH240" s="19">
        <f t="shared" si="395"/>
        <v>-0.1430239039</v>
      </c>
      <c r="AI240" s="11"/>
      <c r="AJ240" s="11"/>
      <c r="AK240" s="11" t="s">
        <v>103</v>
      </c>
      <c r="AL240" s="20">
        <f t="shared" si="396"/>
        <v>6096</v>
      </c>
      <c r="AM240" s="21">
        <f t="shared" si="397"/>
        <v>6273</v>
      </c>
      <c r="AN240" s="29">
        <f t="shared" si="398"/>
        <v>7582.441301</v>
      </c>
      <c r="AO240" s="20">
        <f t="shared" si="399"/>
        <v>6497.970946</v>
      </c>
      <c r="AP240" s="21">
        <f t="shared" si="400"/>
        <v>7132.91036</v>
      </c>
      <c r="AQ240" s="29">
        <f t="shared" si="401"/>
        <v>7445.914754</v>
      </c>
      <c r="AR240" s="11"/>
      <c r="AS240" s="11"/>
      <c r="AT240" s="11"/>
      <c r="AU240" s="11"/>
      <c r="AV240" s="11"/>
      <c r="AW240" s="11"/>
      <c r="AX240" s="11"/>
      <c r="AY240" s="11"/>
      <c r="AZ240" s="11"/>
      <c r="BA240" s="11"/>
      <c r="BB240" s="11"/>
      <c r="BC240" s="11"/>
      <c r="BD240" s="11"/>
      <c r="BE240" s="11"/>
      <c r="BF240" s="11"/>
      <c r="BG240" s="11"/>
      <c r="BH240" s="11"/>
      <c r="BI240" s="11"/>
      <c r="BJ240" s="11"/>
      <c r="BK240" s="11"/>
    </row>
    <row r="241" ht="15.75" customHeight="1">
      <c r="A241" s="11"/>
      <c r="B241" s="11"/>
      <c r="C241" s="11"/>
      <c r="D241" s="67" t="s">
        <v>66</v>
      </c>
      <c r="E241" s="21">
        <f>Summary!AB21</f>
        <v>2450</v>
      </c>
      <c r="F241" s="21">
        <f>Summary!AC21</f>
        <v>1975</v>
      </c>
      <c r="G241" s="21">
        <f>Summary!AD21</f>
        <v>2474</v>
      </c>
      <c r="H241" s="21">
        <f>Summary!AE21</f>
        <v>2340</v>
      </c>
      <c r="I241" s="21">
        <f>Summary!AF21</f>
        <v>2418</v>
      </c>
      <c r="J241" s="21">
        <f>Summary!AG21</f>
        <v>1630</v>
      </c>
      <c r="K241" s="21">
        <f>Summary!AH21</f>
        <v>2073</v>
      </c>
      <c r="L241" s="21">
        <f>Summary!AI21</f>
        <v>1910</v>
      </c>
      <c r="M241" s="21">
        <f>Summary!AJ21</f>
        <v>1214</v>
      </c>
      <c r="N241" s="21">
        <f>Summary!AK21</f>
        <v>1332</v>
      </c>
      <c r="O241" s="21">
        <f>Summary!AL21</f>
        <v>1186</v>
      </c>
      <c r="P241" s="21">
        <f>Summary!AM21</f>
        <v>8011.36665</v>
      </c>
      <c r="Q241" s="21">
        <f>Summary!AN21</f>
        <v>4155.216578</v>
      </c>
      <c r="R241" s="21">
        <f>Summary!AO21</f>
        <v>4788.091968</v>
      </c>
      <c r="S241" s="21">
        <f>Summary!AP21</f>
        <v>5374.662657</v>
      </c>
      <c r="T241" s="21">
        <f>Summary!AQ21</f>
        <v>5935.295274</v>
      </c>
      <c r="U241" s="21">
        <f>Summary!AR21</f>
        <v>6454.425123</v>
      </c>
      <c r="V241" s="21">
        <f>Summary!AS21</f>
        <v>6970.355608</v>
      </c>
      <c r="W241" s="21">
        <f>Summary!AT21</f>
        <v>7458.974007</v>
      </c>
      <c r="X241" s="21">
        <f>Summary!AU21</f>
        <v>7949.00532</v>
      </c>
      <c r="Y241" s="21">
        <f>Summary!AV21</f>
        <v>8434.109954</v>
      </c>
      <c r="Z241" s="21">
        <f>Summary!AW21</f>
        <v>8879.595258</v>
      </c>
      <c r="AA241" s="21">
        <f>Summary!AX21</f>
        <v>9305.55021</v>
      </c>
      <c r="AB241" s="21">
        <f>Summary!AY21</f>
        <v>9735.141139</v>
      </c>
      <c r="AC241" s="11"/>
      <c r="AD241" s="11" t="str">
        <f t="shared" si="391"/>
        <v>Contractors</v>
      </c>
      <c r="AE241" s="20">
        <f t="shared" si="392"/>
        <v>11743.36665</v>
      </c>
      <c r="AF241" s="21">
        <f t="shared" si="393"/>
        <v>20253.26648</v>
      </c>
      <c r="AG241" s="12">
        <f t="shared" si="394"/>
        <v>-8509.899826</v>
      </c>
      <c r="AH241" s="19">
        <f t="shared" si="395"/>
        <v>0.7246558912</v>
      </c>
      <c r="AI241" s="11"/>
      <c r="AJ241" s="11"/>
      <c r="AK241" s="11" t="s">
        <v>66</v>
      </c>
      <c r="AL241" s="20">
        <f t="shared" si="396"/>
        <v>9239</v>
      </c>
      <c r="AM241" s="21">
        <f t="shared" si="397"/>
        <v>8031</v>
      </c>
      <c r="AN241" s="29">
        <f t="shared" si="398"/>
        <v>11743.36665</v>
      </c>
      <c r="AO241" s="20">
        <f t="shared" si="399"/>
        <v>20253.26648</v>
      </c>
      <c r="AP241" s="21">
        <f t="shared" si="400"/>
        <v>28832.76006</v>
      </c>
      <c r="AQ241" s="29">
        <f t="shared" si="401"/>
        <v>36354.39656</v>
      </c>
      <c r="AR241" s="11"/>
      <c r="AS241" s="11"/>
      <c r="AT241" s="11"/>
      <c r="AU241" s="11"/>
      <c r="AV241" s="11"/>
      <c r="AW241" s="11"/>
      <c r="AX241" s="11"/>
      <c r="AY241" s="11"/>
      <c r="AZ241" s="11"/>
      <c r="BA241" s="11"/>
      <c r="BB241" s="11"/>
      <c r="BC241" s="11"/>
      <c r="BD241" s="11"/>
      <c r="BE241" s="11"/>
      <c r="BF241" s="11"/>
      <c r="BG241" s="11"/>
      <c r="BH241" s="11"/>
      <c r="BI241" s="11"/>
      <c r="BJ241" s="11"/>
      <c r="BK241" s="11"/>
    </row>
    <row r="242" ht="15.75" customHeight="1">
      <c r="A242" s="11"/>
      <c r="B242" s="11"/>
      <c r="C242" s="11"/>
      <c r="D242" s="67" t="s">
        <v>68</v>
      </c>
      <c r="E242" s="21">
        <f>Summary!AB23</f>
        <v>6145</v>
      </c>
      <c r="F242" s="21">
        <f>Summary!AC23</f>
        <v>5766</v>
      </c>
      <c r="G242" s="21">
        <f>Summary!AD23</f>
        <v>6152</v>
      </c>
      <c r="H242" s="21">
        <f>Summary!AE23</f>
        <v>4830</v>
      </c>
      <c r="I242" s="21">
        <f>Summary!AF23</f>
        <v>5177</v>
      </c>
      <c r="J242" s="21">
        <f>Summary!AG23</f>
        <v>5439</v>
      </c>
      <c r="K242" s="21">
        <f>Summary!AH23</f>
        <v>4934</v>
      </c>
      <c r="L242" s="21">
        <f>Summary!AI23</f>
        <v>4231</v>
      </c>
      <c r="M242" s="21">
        <f>Summary!AJ23</f>
        <v>6206</v>
      </c>
      <c r="N242" s="21">
        <f>Summary!AK23</f>
        <v>5726</v>
      </c>
      <c r="O242" s="21">
        <f>Summary!AL23</f>
        <v>4564</v>
      </c>
      <c r="P242" s="21">
        <f>Summary!AM23</f>
        <v>15685.035</v>
      </c>
      <c r="Q242" s="21">
        <f>Summary!AN23</f>
        <v>17253.5385</v>
      </c>
      <c r="R242" s="21">
        <f>Summary!AO23</f>
        <v>17426.07389</v>
      </c>
      <c r="S242" s="21">
        <f>Summary!AP23</f>
        <v>17600.33462</v>
      </c>
      <c r="T242" s="21">
        <f>Summary!AQ23</f>
        <v>17776.33797</v>
      </c>
      <c r="U242" s="21">
        <f>Summary!AR23</f>
        <v>17954.10135</v>
      </c>
      <c r="V242" s="21">
        <f>Summary!AS23</f>
        <v>18133.64236</v>
      </c>
      <c r="W242" s="21">
        <f>Summary!AT23</f>
        <v>18314.97879</v>
      </c>
      <c r="X242" s="21">
        <f>Summary!AU23</f>
        <v>18498.12857</v>
      </c>
      <c r="Y242" s="21">
        <f>Summary!AV23</f>
        <v>18683.10986</v>
      </c>
      <c r="Z242" s="21">
        <f>Summary!AW23</f>
        <v>18869.94096</v>
      </c>
      <c r="AA242" s="21">
        <f>Summary!AX23</f>
        <v>19058.64037</v>
      </c>
      <c r="AB242" s="21">
        <f>Summary!AY23</f>
        <v>19249.22677</v>
      </c>
      <c r="AC242" s="11"/>
      <c r="AD242" s="67" t="s">
        <v>68</v>
      </c>
      <c r="AE242" s="20">
        <f t="shared" si="392"/>
        <v>32181.035</v>
      </c>
      <c r="AF242" s="21">
        <f t="shared" si="393"/>
        <v>70056.28498</v>
      </c>
      <c r="AG242" s="12">
        <f t="shared" si="394"/>
        <v>-37875.24998</v>
      </c>
      <c r="AH242" s="19">
        <f t="shared" si="395"/>
        <v>1.17694319</v>
      </c>
      <c r="AI242" s="11"/>
      <c r="AJ242" s="11"/>
      <c r="AK242" s="11" t="s">
        <v>68</v>
      </c>
      <c r="AL242" s="20">
        <f t="shared" si="396"/>
        <v>22893</v>
      </c>
      <c r="AM242" s="21">
        <f t="shared" si="397"/>
        <v>19781</v>
      </c>
      <c r="AN242" s="29">
        <f t="shared" si="398"/>
        <v>32181.035</v>
      </c>
      <c r="AO242" s="20">
        <f t="shared" si="399"/>
        <v>70056.28498</v>
      </c>
      <c r="AP242" s="21">
        <f t="shared" si="400"/>
        <v>72900.85107</v>
      </c>
      <c r="AQ242" s="29">
        <f t="shared" si="401"/>
        <v>75860.91796</v>
      </c>
      <c r="AR242" s="11"/>
      <c r="AS242" s="11"/>
      <c r="AT242" s="11"/>
      <c r="AU242" s="11"/>
      <c r="AV242" s="11"/>
      <c r="AW242" s="11"/>
      <c r="AX242" s="11"/>
      <c r="AY242" s="11"/>
      <c r="AZ242" s="11"/>
      <c r="BA242" s="11"/>
      <c r="BB242" s="11"/>
      <c r="BC242" s="11"/>
      <c r="BD242" s="11"/>
      <c r="BE242" s="11"/>
      <c r="BF242" s="11"/>
      <c r="BG242" s="11"/>
      <c r="BH242" s="11"/>
      <c r="BI242" s="11"/>
      <c r="BJ242" s="11"/>
      <c r="BK242" s="11"/>
    </row>
    <row r="243" ht="15.75" customHeight="1">
      <c r="A243" s="11"/>
      <c r="B243" s="11"/>
      <c r="C243" s="11"/>
      <c r="D243" s="67" t="s">
        <v>70</v>
      </c>
      <c r="E243" s="21">
        <f>Summary!AB22</f>
        <v>1635</v>
      </c>
      <c r="F243" s="21">
        <f>Summary!AC22</f>
        <v>1473</v>
      </c>
      <c r="G243" s="21">
        <f>Summary!AD22</f>
        <v>2190</v>
      </c>
      <c r="H243" s="21">
        <f>Summary!AE22</f>
        <v>2108</v>
      </c>
      <c r="I243" s="21">
        <f>Summary!AF22</f>
        <v>2264</v>
      </c>
      <c r="J243" s="21">
        <f>Summary!AG22</f>
        <v>1583</v>
      </c>
      <c r="K243" s="21">
        <f>Summary!AH22</f>
        <v>2242</v>
      </c>
      <c r="L243" s="21">
        <f>Summary!AI22</f>
        <v>1515</v>
      </c>
      <c r="M243" s="21">
        <f>Summary!AJ22</f>
        <v>2271</v>
      </c>
      <c r="N243" s="21">
        <f>Summary!AK22</f>
        <v>1132</v>
      </c>
      <c r="O243" s="21">
        <f>Summary!AL22</f>
        <v>2244</v>
      </c>
      <c r="P243" s="21">
        <f>Summary!AM22</f>
        <v>1662.8</v>
      </c>
      <c r="Q243" s="21">
        <f>Summary!AN22</f>
        <v>3662.8</v>
      </c>
      <c r="R243" s="21">
        <f>Summary!AO22</f>
        <v>3662.8</v>
      </c>
      <c r="S243" s="21">
        <f>Summary!AP22</f>
        <v>3662.8</v>
      </c>
      <c r="T243" s="21">
        <f>Summary!AQ22</f>
        <v>3662.8</v>
      </c>
      <c r="U243" s="21">
        <f>Summary!AR22</f>
        <v>5662.8</v>
      </c>
      <c r="V243" s="21">
        <f>Summary!AS22</f>
        <v>5662.8</v>
      </c>
      <c r="W243" s="21">
        <f>Summary!AT22</f>
        <v>5662.8</v>
      </c>
      <c r="X243" s="21">
        <f>Summary!AU22</f>
        <v>5662.8</v>
      </c>
      <c r="Y243" s="21">
        <f>Summary!AV22</f>
        <v>7662.8</v>
      </c>
      <c r="Z243" s="21">
        <f>Summary!AW22</f>
        <v>7662.8</v>
      </c>
      <c r="AA243" s="21">
        <f>Summary!AX22</f>
        <v>7662.8</v>
      </c>
      <c r="AB243" s="21">
        <f>Summary!AY22</f>
        <v>7662.8</v>
      </c>
      <c r="AC243" s="11"/>
      <c r="AD243" s="11" t="str">
        <f>D243</f>
        <v>Software</v>
      </c>
      <c r="AE243" s="20">
        <f t="shared" si="392"/>
        <v>7309.8</v>
      </c>
      <c r="AF243" s="21">
        <f t="shared" si="393"/>
        <v>14651.2</v>
      </c>
      <c r="AG243" s="12">
        <f t="shared" si="394"/>
        <v>-7341.4</v>
      </c>
      <c r="AH243" s="19">
        <f t="shared" si="395"/>
        <v>1.004322964</v>
      </c>
      <c r="AI243" s="11"/>
      <c r="AJ243" s="11"/>
      <c r="AK243" s="11" t="s">
        <v>70</v>
      </c>
      <c r="AL243" s="20">
        <f t="shared" si="396"/>
        <v>7406</v>
      </c>
      <c r="AM243" s="21">
        <f t="shared" si="397"/>
        <v>7604</v>
      </c>
      <c r="AN243" s="29">
        <f t="shared" si="398"/>
        <v>7309.8</v>
      </c>
      <c r="AO243" s="20">
        <f t="shared" si="399"/>
        <v>14651.2</v>
      </c>
      <c r="AP243" s="21">
        <f t="shared" si="400"/>
        <v>22651.2</v>
      </c>
      <c r="AQ243" s="29">
        <f t="shared" si="401"/>
        <v>30651.2</v>
      </c>
      <c r="AR243" s="11"/>
      <c r="AS243" s="11"/>
      <c r="AT243" s="11"/>
      <c r="AU243" s="11"/>
      <c r="AV243" s="11"/>
      <c r="AW243" s="11"/>
      <c r="AX243" s="11"/>
      <c r="AY243" s="11"/>
      <c r="AZ243" s="11"/>
      <c r="BA243" s="11"/>
      <c r="BB243" s="11"/>
      <c r="BC243" s="11"/>
      <c r="BD243" s="11"/>
      <c r="BE243" s="11"/>
      <c r="BF243" s="11"/>
      <c r="BG243" s="11"/>
      <c r="BH243" s="11"/>
      <c r="BI243" s="11"/>
      <c r="BJ243" s="11"/>
      <c r="BK243" s="11"/>
    </row>
    <row r="244" ht="15.75" customHeight="1">
      <c r="A244" s="11"/>
      <c r="B244" s="28"/>
      <c r="C244" s="28"/>
      <c r="D244" s="67" t="s">
        <v>72</v>
      </c>
      <c r="E244" s="21">
        <f>Summary!AB24</f>
        <v>0</v>
      </c>
      <c r="F244" s="21">
        <f>Summary!AC24</f>
        <v>0</v>
      </c>
      <c r="G244" s="21">
        <f>Summary!AD24</f>
        <v>0</v>
      </c>
      <c r="H244" s="21">
        <f>Summary!AE24</f>
        <v>0</v>
      </c>
      <c r="I244" s="21">
        <f>Summary!AF24</f>
        <v>0</v>
      </c>
      <c r="J244" s="21">
        <f>Summary!AG24</f>
        <v>0</v>
      </c>
      <c r="K244" s="21">
        <f>Summary!AH24</f>
        <v>0</v>
      </c>
      <c r="L244" s="21">
        <f>Summary!AI24</f>
        <v>0</v>
      </c>
      <c r="M244" s="21">
        <f>Summary!AJ24</f>
        <v>0</v>
      </c>
      <c r="N244" s="21">
        <f>Summary!AK24</f>
        <v>0</v>
      </c>
      <c r="O244" s="21">
        <f>Summary!AL24</f>
        <v>0</v>
      </c>
      <c r="P244" s="21">
        <f>Summary!AM24</f>
        <v>0</v>
      </c>
      <c r="Q244" s="21">
        <f>Summary!AN24</f>
        <v>0</v>
      </c>
      <c r="R244" s="21">
        <f>Summary!AO24</f>
        <v>0</v>
      </c>
      <c r="S244" s="21">
        <f>Summary!AP24</f>
        <v>0</v>
      </c>
      <c r="T244" s="21">
        <f>Summary!AQ24</f>
        <v>0</v>
      </c>
      <c r="U244" s="21">
        <f>Summary!AR24</f>
        <v>0</v>
      </c>
      <c r="V244" s="21">
        <f>Summary!AS24</f>
        <v>0</v>
      </c>
      <c r="W244" s="21">
        <f>Summary!AT24</f>
        <v>0</v>
      </c>
      <c r="X244" s="21">
        <f>Summary!AU24</f>
        <v>0</v>
      </c>
      <c r="Y244" s="21">
        <f>Summary!AV24</f>
        <v>0</v>
      </c>
      <c r="Z244" s="21">
        <f>Summary!AW24</f>
        <v>0</v>
      </c>
      <c r="AA244" s="21">
        <f>Summary!AX24</f>
        <v>0</v>
      </c>
      <c r="AB244" s="21">
        <f>Summary!AY24</f>
        <v>0</v>
      </c>
      <c r="AC244" s="28"/>
      <c r="AD244" s="67" t="s">
        <v>72</v>
      </c>
      <c r="AE244" s="20">
        <f t="shared" si="392"/>
        <v>0</v>
      </c>
      <c r="AF244" s="21">
        <f t="shared" si="393"/>
        <v>0</v>
      </c>
      <c r="AG244" s="59">
        <f t="shared" si="394"/>
        <v>0</v>
      </c>
      <c r="AH244" s="66"/>
      <c r="AI244" s="28"/>
      <c r="AJ244" s="28"/>
      <c r="AK244" s="28" t="s">
        <v>72</v>
      </c>
      <c r="AL244" s="20">
        <f t="shared" si="396"/>
        <v>0</v>
      </c>
      <c r="AM244" s="21">
        <f t="shared" si="397"/>
        <v>0</v>
      </c>
      <c r="AN244" s="32">
        <f t="shared" si="398"/>
        <v>0</v>
      </c>
      <c r="AO244" s="20">
        <f t="shared" si="399"/>
        <v>0</v>
      </c>
      <c r="AP244" s="21">
        <f t="shared" si="400"/>
        <v>0</v>
      </c>
      <c r="AQ244" s="32">
        <f t="shared" si="401"/>
        <v>0</v>
      </c>
      <c r="AR244" s="28"/>
      <c r="AS244" s="28"/>
      <c r="AT244" s="28"/>
      <c r="AU244" s="28"/>
      <c r="AV244" s="28"/>
      <c r="AW244" s="28"/>
      <c r="AX244" s="28"/>
      <c r="AY244" s="28"/>
      <c r="AZ244" s="28"/>
      <c r="BA244" s="28"/>
      <c r="BB244" s="28"/>
      <c r="BC244" s="28"/>
      <c r="BD244" s="28"/>
      <c r="BE244" s="28"/>
      <c r="BF244" s="28"/>
      <c r="BG244" s="28"/>
      <c r="BH244" s="28"/>
      <c r="BI244" s="28"/>
      <c r="BJ244" s="28"/>
      <c r="BK244" s="28"/>
    </row>
    <row r="245" ht="15.75" customHeight="1">
      <c r="A245" s="11"/>
      <c r="B245" s="28"/>
      <c r="C245" s="28"/>
      <c r="D245" s="68" t="s">
        <v>73</v>
      </c>
      <c r="E245" s="23">
        <f t="shared" ref="E245:AB245" si="402">SUM(E239:E244)</f>
        <v>22697</v>
      </c>
      <c r="F245" s="23">
        <f t="shared" si="402"/>
        <v>23331</v>
      </c>
      <c r="G245" s="23">
        <f t="shared" si="402"/>
        <v>25614</v>
      </c>
      <c r="H245" s="23">
        <f t="shared" si="402"/>
        <v>24042</v>
      </c>
      <c r="I245" s="23">
        <f t="shared" si="402"/>
        <v>23110</v>
      </c>
      <c r="J245" s="23">
        <f t="shared" si="402"/>
        <v>20833</v>
      </c>
      <c r="K245" s="23">
        <f t="shared" si="402"/>
        <v>24776</v>
      </c>
      <c r="L245" s="23">
        <f t="shared" si="402"/>
        <v>20868</v>
      </c>
      <c r="M245" s="23">
        <f t="shared" si="402"/>
        <v>25330</v>
      </c>
      <c r="N245" s="23">
        <f t="shared" si="402"/>
        <v>24537</v>
      </c>
      <c r="O245" s="23">
        <f t="shared" si="402"/>
        <v>21379</v>
      </c>
      <c r="P245" s="23">
        <f t="shared" si="402"/>
        <v>186238.8737</v>
      </c>
      <c r="Q245" s="23">
        <f t="shared" si="402"/>
        <v>196832.6168</v>
      </c>
      <c r="R245" s="23">
        <f t="shared" si="402"/>
        <v>211479.682</v>
      </c>
      <c r="S245" s="23">
        <f t="shared" si="402"/>
        <v>226024.9923</v>
      </c>
      <c r="T245" s="23">
        <f t="shared" si="402"/>
        <v>233913.4595</v>
      </c>
      <c r="U245" s="23">
        <f t="shared" si="402"/>
        <v>244080.8295</v>
      </c>
      <c r="V245" s="23">
        <f t="shared" si="402"/>
        <v>245293.2094</v>
      </c>
      <c r="W245" s="23">
        <f t="shared" si="402"/>
        <v>268025.559</v>
      </c>
      <c r="X245" s="23">
        <f t="shared" si="402"/>
        <v>275750.2889</v>
      </c>
      <c r="Y245" s="23">
        <f t="shared" si="402"/>
        <v>293328.0795</v>
      </c>
      <c r="Z245" s="23">
        <f t="shared" si="402"/>
        <v>309786.9697</v>
      </c>
      <c r="AA245" s="23">
        <f t="shared" si="402"/>
        <v>317415.7105</v>
      </c>
      <c r="AB245" s="23">
        <f t="shared" si="402"/>
        <v>338789.4575</v>
      </c>
      <c r="AC245" s="28"/>
      <c r="AD245" s="68" t="str">
        <f t="shared" ref="AD245:AD246" si="404">D245</f>
        <v>Total COGS</v>
      </c>
      <c r="AE245" s="76">
        <f t="shared" si="392"/>
        <v>257484.8737</v>
      </c>
      <c r="AF245" s="76">
        <f t="shared" si="393"/>
        <v>868250.7506</v>
      </c>
      <c r="AG245" s="26">
        <f t="shared" si="394"/>
        <v>-610765.8769</v>
      </c>
      <c r="AH245" s="71"/>
      <c r="AI245" s="28"/>
      <c r="AJ245" s="28"/>
      <c r="AK245" s="28" t="s">
        <v>73</v>
      </c>
      <c r="AL245" s="23">
        <f t="shared" si="396"/>
        <v>95684</v>
      </c>
      <c r="AM245" s="23">
        <f t="shared" si="397"/>
        <v>89587</v>
      </c>
      <c r="AN245" s="12">
        <f t="shared" si="398"/>
        <v>257484.8737</v>
      </c>
      <c r="AO245" s="23">
        <f t="shared" si="399"/>
        <v>868250.7506</v>
      </c>
      <c r="AP245" s="23">
        <f t="shared" si="400"/>
        <v>1033149.887</v>
      </c>
      <c r="AQ245" s="12">
        <f t="shared" si="401"/>
        <v>1259320.217</v>
      </c>
      <c r="AR245" s="28"/>
      <c r="AS245" s="28"/>
      <c r="AT245" s="28"/>
      <c r="AU245" s="28"/>
      <c r="AV245" s="28"/>
      <c r="AW245" s="28"/>
      <c r="AX245" s="28"/>
      <c r="AY245" s="28"/>
      <c r="AZ245" s="28"/>
      <c r="BA245" s="28"/>
      <c r="BB245" s="28"/>
      <c r="BC245" s="28"/>
      <c r="BD245" s="28"/>
      <c r="BE245" s="28"/>
      <c r="BF245" s="28"/>
      <c r="BG245" s="28"/>
      <c r="BH245" s="28"/>
      <c r="BI245" s="28"/>
      <c r="BJ245" s="28"/>
      <c r="BK245" s="28"/>
    </row>
    <row r="246" ht="15.75" customHeight="1">
      <c r="A246" s="11"/>
      <c r="B246" s="11"/>
      <c r="C246" s="11"/>
      <c r="D246" s="67" t="s">
        <v>99</v>
      </c>
      <c r="E246" s="19"/>
      <c r="F246" s="19"/>
      <c r="G246" s="19"/>
      <c r="H246" s="19"/>
      <c r="I246" s="19"/>
      <c r="J246" s="19"/>
      <c r="K246" s="19"/>
      <c r="L246" s="19"/>
      <c r="M246" s="19"/>
      <c r="N246" s="19">
        <f t="shared" ref="N246:AB246" si="403">N245/M245-1</f>
        <v>-0.03130675089</v>
      </c>
      <c r="O246" s="19">
        <f t="shared" si="403"/>
        <v>-0.1287035905</v>
      </c>
      <c r="P246" s="19">
        <f t="shared" si="403"/>
        <v>7.711299581</v>
      </c>
      <c r="Q246" s="19">
        <f t="shared" si="403"/>
        <v>0.05688255544</v>
      </c>
      <c r="R246" s="19">
        <f t="shared" si="403"/>
        <v>0.0744138114</v>
      </c>
      <c r="S246" s="19">
        <f t="shared" si="403"/>
        <v>0.06877875986</v>
      </c>
      <c r="T246" s="19">
        <f t="shared" si="403"/>
        <v>0.03490086278</v>
      </c>
      <c r="U246" s="19">
        <f t="shared" si="403"/>
        <v>0.04346637417</v>
      </c>
      <c r="V246" s="19">
        <f t="shared" si="403"/>
        <v>0.004967124744</v>
      </c>
      <c r="W246" s="19">
        <f t="shared" si="403"/>
        <v>0.09267419041</v>
      </c>
      <c r="X246" s="19">
        <f t="shared" si="403"/>
        <v>0.02882087047</v>
      </c>
      <c r="Y246" s="19">
        <f t="shared" si="403"/>
        <v>0.06374532078</v>
      </c>
      <c r="Z246" s="19">
        <f t="shared" si="403"/>
        <v>0.05611085768</v>
      </c>
      <c r="AA246" s="19">
        <f t="shared" si="403"/>
        <v>0.02462576424</v>
      </c>
      <c r="AB246" s="19">
        <f t="shared" si="403"/>
        <v>0.0673367646</v>
      </c>
      <c r="AC246" s="19"/>
      <c r="AD246" s="73" t="str">
        <f t="shared" si="404"/>
        <v>  % Growth</v>
      </c>
      <c r="AE246" s="19">
        <f>Summary!DE26</f>
        <v>1.874132114</v>
      </c>
      <c r="AF246" s="19">
        <f>AF245/AE245-1</f>
        <v>2.372045659</v>
      </c>
      <c r="AG246" s="19">
        <f t="shared" si="394"/>
        <v>-0.4979135442</v>
      </c>
      <c r="AH246" s="66"/>
      <c r="AI246" s="11"/>
      <c r="AJ246" s="11"/>
      <c r="AK246" s="11" t="s">
        <v>99</v>
      </c>
      <c r="AL246" s="19">
        <f t="shared" si="396"/>
        <v>0</v>
      </c>
      <c r="AM246" s="19">
        <f t="shared" si="397"/>
        <v>0</v>
      </c>
      <c r="AN246" s="19">
        <f t="shared" si="398"/>
        <v>7.551289239</v>
      </c>
      <c r="AO246" s="19">
        <f t="shared" si="399"/>
        <v>0.2349759895</v>
      </c>
      <c r="AP246" s="19">
        <f t="shared" si="400"/>
        <v>0.1699285598</v>
      </c>
      <c r="AQ246" s="19">
        <f t="shared" si="401"/>
        <v>0.2118187073</v>
      </c>
      <c r="AR246" s="11"/>
      <c r="AS246" s="11"/>
      <c r="AT246" s="11"/>
      <c r="AU246" s="11"/>
      <c r="AV246" s="11"/>
      <c r="AW246" s="11"/>
      <c r="AX246" s="11"/>
      <c r="AY246" s="11"/>
      <c r="AZ246" s="11"/>
      <c r="BA246" s="11"/>
      <c r="BB246" s="11"/>
      <c r="BC246" s="11"/>
      <c r="BD246" s="11"/>
      <c r="BE246" s="11"/>
      <c r="BF246" s="11"/>
      <c r="BG246" s="11"/>
      <c r="BH246" s="11"/>
      <c r="BI246" s="11"/>
      <c r="BJ246" s="11"/>
      <c r="BK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2"/>
      <c r="AH247" s="66"/>
      <c r="AI247" s="11"/>
      <c r="AJ247" s="11"/>
      <c r="AK247" s="11"/>
      <c r="AL247" s="11">
        <f t="shared" si="396"/>
        <v>0</v>
      </c>
      <c r="AM247" s="11">
        <f t="shared" si="397"/>
        <v>0</v>
      </c>
      <c r="AN247" s="11">
        <f t="shared" si="398"/>
        <v>0</v>
      </c>
      <c r="AO247" s="11">
        <f t="shared" si="399"/>
        <v>0</v>
      </c>
      <c r="AP247" s="11">
        <f t="shared" si="400"/>
        <v>0</v>
      </c>
      <c r="AQ247" s="11">
        <f t="shared" si="401"/>
        <v>0</v>
      </c>
      <c r="AR247" s="11"/>
      <c r="AS247" s="11"/>
      <c r="AT247" s="11"/>
      <c r="AU247" s="11"/>
      <c r="AV247" s="11"/>
      <c r="AW247" s="11"/>
      <c r="AX247" s="11"/>
      <c r="AY247" s="11"/>
      <c r="AZ247" s="11"/>
      <c r="BA247" s="11"/>
      <c r="BB247" s="11"/>
      <c r="BC247" s="11"/>
      <c r="BD247" s="11"/>
      <c r="BE247" s="11"/>
      <c r="BF247" s="11"/>
      <c r="BG247" s="11"/>
      <c r="BH247" s="11"/>
      <c r="BI247" s="11"/>
      <c r="BJ247" s="11"/>
      <c r="BK247" s="11"/>
    </row>
    <row r="248" ht="15.75" customHeight="1">
      <c r="A248" s="11"/>
      <c r="B248" s="28"/>
      <c r="C248" s="28"/>
      <c r="D248" s="78" t="s">
        <v>104</v>
      </c>
      <c r="E248" s="37">
        <f t="shared" ref="E248:AB248" si="405">E236-E245</f>
        <v>1106378</v>
      </c>
      <c r="F248" s="37">
        <f t="shared" si="405"/>
        <v>948734</v>
      </c>
      <c r="G248" s="37">
        <f t="shared" si="405"/>
        <v>1039588</v>
      </c>
      <c r="H248" s="37">
        <f t="shared" si="405"/>
        <v>1140934</v>
      </c>
      <c r="I248" s="37">
        <f t="shared" si="405"/>
        <v>1118105</v>
      </c>
      <c r="J248" s="37">
        <f t="shared" si="405"/>
        <v>1005551</v>
      </c>
      <c r="K248" s="37">
        <f t="shared" si="405"/>
        <v>1059666</v>
      </c>
      <c r="L248" s="37">
        <f t="shared" si="405"/>
        <v>1261072</v>
      </c>
      <c r="M248" s="37">
        <f t="shared" si="405"/>
        <v>1178964</v>
      </c>
      <c r="N248" s="37">
        <f t="shared" si="405"/>
        <v>1051605</v>
      </c>
      <c r="O248" s="37">
        <f t="shared" si="405"/>
        <v>1057656</v>
      </c>
      <c r="P248" s="37">
        <f t="shared" si="405"/>
        <v>1229551.757</v>
      </c>
      <c r="Q248" s="37">
        <f t="shared" si="405"/>
        <v>1470623.775</v>
      </c>
      <c r="R248" s="37">
        <f t="shared" si="405"/>
        <v>1704684.625</v>
      </c>
      <c r="S248" s="37">
        <f t="shared" si="405"/>
        <v>1917902.902</v>
      </c>
      <c r="T248" s="37">
        <f t="shared" si="405"/>
        <v>2128117.064</v>
      </c>
      <c r="U248" s="37">
        <f t="shared" si="405"/>
        <v>2334652.891</v>
      </c>
      <c r="V248" s="37">
        <f t="shared" si="405"/>
        <v>2551421.611</v>
      </c>
      <c r="W248" s="37">
        <f t="shared" si="405"/>
        <v>2725187.428</v>
      </c>
      <c r="X248" s="37">
        <f t="shared" si="405"/>
        <v>2910168.036</v>
      </c>
      <c r="Y248" s="37">
        <f t="shared" si="405"/>
        <v>3081260.646</v>
      </c>
      <c r="Z248" s="37">
        <f t="shared" si="405"/>
        <v>3240191.201</v>
      </c>
      <c r="AA248" s="37">
        <f t="shared" si="405"/>
        <v>3406258.734</v>
      </c>
      <c r="AB248" s="37">
        <f t="shared" si="405"/>
        <v>3560768.311</v>
      </c>
      <c r="AC248" s="28"/>
      <c r="AD248" s="78" t="str">
        <f t="shared" ref="AD248:AD249" si="407">D248</f>
        <v>Gross Profit</v>
      </c>
      <c r="AE248" s="37">
        <f>SUM(M248:P248)</f>
        <v>4517776.757</v>
      </c>
      <c r="AF248" s="37">
        <f>SUM(Q248:T248)</f>
        <v>7221328.366</v>
      </c>
      <c r="AG248" s="40">
        <f t="shared" ref="AG248:AG249" si="409">AF248-AE248</f>
        <v>2703551.609</v>
      </c>
      <c r="AH248" s="41">
        <f>AF248/AE248-1</f>
        <v>0.5984252331</v>
      </c>
      <c r="AI248" s="28"/>
      <c r="AJ248" s="28"/>
      <c r="AK248" s="28" t="s">
        <v>105</v>
      </c>
      <c r="AL248" s="37">
        <f t="shared" si="396"/>
        <v>4235634</v>
      </c>
      <c r="AM248" s="37">
        <f t="shared" si="397"/>
        <v>4444394</v>
      </c>
      <c r="AN248" s="37">
        <f t="shared" si="398"/>
        <v>4517776.757</v>
      </c>
      <c r="AO248" s="37">
        <f t="shared" si="399"/>
        <v>7221328.366</v>
      </c>
      <c r="AP248" s="37">
        <f t="shared" si="400"/>
        <v>10521429.97</v>
      </c>
      <c r="AQ248" s="37">
        <f t="shared" si="401"/>
        <v>13288478.89</v>
      </c>
      <c r="AR248" s="28"/>
      <c r="AS248" s="28"/>
      <c r="AT248" s="28"/>
      <c r="AU248" s="28"/>
      <c r="AV248" s="28"/>
      <c r="AW248" s="28"/>
      <c r="AX248" s="28"/>
      <c r="AY248" s="28"/>
      <c r="AZ248" s="28"/>
      <c r="BA248" s="28"/>
      <c r="BB248" s="28"/>
      <c r="BC248" s="28"/>
      <c r="BD248" s="28"/>
      <c r="BE248" s="28"/>
      <c r="BF248" s="28"/>
      <c r="BG248" s="28"/>
      <c r="BH248" s="28"/>
      <c r="BI248" s="28"/>
      <c r="BJ248" s="28"/>
      <c r="BK248" s="28"/>
    </row>
    <row r="249" ht="15.75" customHeight="1">
      <c r="A249" s="11"/>
      <c r="B249" s="11"/>
      <c r="C249" s="11"/>
      <c r="D249" s="79" t="s">
        <v>75</v>
      </c>
      <c r="E249" s="43">
        <f t="shared" ref="E249:AB249" si="406">E248/E236</f>
        <v>0.9798977039</v>
      </c>
      <c r="F249" s="43">
        <f t="shared" si="406"/>
        <v>0.9759985186</v>
      </c>
      <c r="G249" s="43">
        <f t="shared" si="406"/>
        <v>0.9759538566</v>
      </c>
      <c r="H249" s="43">
        <f t="shared" si="406"/>
        <v>0.979362665</v>
      </c>
      <c r="I249" s="43">
        <f t="shared" si="406"/>
        <v>0.9797496528</v>
      </c>
      <c r="J249" s="43">
        <f t="shared" si="406"/>
        <v>0.9797025285</v>
      </c>
      <c r="K249" s="43">
        <f t="shared" si="406"/>
        <v>0.9771532272</v>
      </c>
      <c r="L249" s="43">
        <f t="shared" si="406"/>
        <v>0.983721547</v>
      </c>
      <c r="M249" s="43">
        <f t="shared" si="406"/>
        <v>0.97896693</v>
      </c>
      <c r="N249" s="43">
        <f t="shared" si="406"/>
        <v>0.9771991057</v>
      </c>
      <c r="O249" s="43">
        <f t="shared" si="406"/>
        <v>0.9801869263</v>
      </c>
      <c r="P249" s="43">
        <f t="shared" si="406"/>
        <v>0.8684559216</v>
      </c>
      <c r="Q249" s="43">
        <f t="shared" si="406"/>
        <v>0.8819563631</v>
      </c>
      <c r="R249" s="43">
        <f t="shared" si="406"/>
        <v>0.8896338475</v>
      </c>
      <c r="S249" s="43">
        <f t="shared" si="406"/>
        <v>0.8945743498</v>
      </c>
      <c r="T249" s="43">
        <f t="shared" si="406"/>
        <v>0.9009693324</v>
      </c>
      <c r="U249" s="43">
        <f t="shared" si="406"/>
        <v>0.9053485719</v>
      </c>
      <c r="V249" s="43">
        <f t="shared" si="406"/>
        <v>0.9122923769</v>
      </c>
      <c r="W249" s="43">
        <f t="shared" si="406"/>
        <v>0.9104555673</v>
      </c>
      <c r="X249" s="43">
        <f t="shared" si="406"/>
        <v>0.9134471569</v>
      </c>
      <c r="Y249" s="43">
        <f t="shared" si="406"/>
        <v>0.9130773841</v>
      </c>
      <c r="Z249" s="43">
        <f t="shared" si="406"/>
        <v>0.9127355283</v>
      </c>
      <c r="AA249" s="43">
        <f t="shared" si="406"/>
        <v>0.9147573948</v>
      </c>
      <c r="AB249" s="43">
        <f t="shared" si="406"/>
        <v>0.9131210569</v>
      </c>
      <c r="AC249" s="11"/>
      <c r="AD249" s="79" t="str">
        <f t="shared" si="407"/>
        <v>  Gross Margin</v>
      </c>
      <c r="AE249" s="43">
        <f t="shared" ref="AE249:AF249" si="408">AE248/AE236</f>
        <v>0.9460794206</v>
      </c>
      <c r="AF249" s="43">
        <f t="shared" si="408"/>
        <v>0.8926704668</v>
      </c>
      <c r="AG249" s="43">
        <f t="shared" si="409"/>
        <v>-0.05340895387</v>
      </c>
      <c r="AH249" s="80"/>
      <c r="AI249" s="11"/>
      <c r="AJ249" s="11"/>
      <c r="AK249" s="11" t="s">
        <v>75</v>
      </c>
      <c r="AL249" s="43">
        <f t="shared" ref="AL249:AQ249" si="410">AL248/AL236</f>
        <v>0.9779088028</v>
      </c>
      <c r="AM249" s="43">
        <f t="shared" si="410"/>
        <v>0.9802409847</v>
      </c>
      <c r="AN249" s="43">
        <f t="shared" si="410"/>
        <v>0.9460794206</v>
      </c>
      <c r="AO249" s="43">
        <f t="shared" si="410"/>
        <v>0.8926704668</v>
      </c>
      <c r="AP249" s="43">
        <f t="shared" si="410"/>
        <v>0.9105852485</v>
      </c>
      <c r="AQ249" s="43">
        <f t="shared" si="410"/>
        <v>0.9134356883</v>
      </c>
      <c r="AR249" s="11"/>
      <c r="AS249" s="11"/>
      <c r="AT249" s="11"/>
      <c r="AU249" s="11"/>
      <c r="AV249" s="11"/>
      <c r="AW249" s="11"/>
      <c r="AX249" s="11"/>
      <c r="AY249" s="11"/>
      <c r="AZ249" s="11"/>
      <c r="BA249" s="11"/>
      <c r="BB249" s="11"/>
      <c r="BC249" s="11"/>
      <c r="BD249" s="11"/>
      <c r="BE249" s="11"/>
      <c r="BF249" s="11"/>
      <c r="BG249" s="11"/>
      <c r="BH249" s="11"/>
      <c r="BI249" s="11"/>
      <c r="BJ249" s="11"/>
      <c r="BK249" s="11"/>
    </row>
    <row r="250" ht="15.75" customHeight="1">
      <c r="A250" s="11"/>
      <c r="B250" s="11"/>
      <c r="C250" s="11"/>
      <c r="D250" s="11"/>
      <c r="E250" s="11"/>
      <c r="F250" s="11"/>
      <c r="G250" s="11"/>
      <c r="H250" s="11"/>
      <c r="I250" s="11"/>
      <c r="J250" s="11"/>
      <c r="K250" s="11"/>
      <c r="L250" s="11"/>
      <c r="M250" s="11"/>
      <c r="N250" s="11"/>
      <c r="O250" s="11">
        <f>(O248/N248)-1</f>
        <v>0.005754061649</v>
      </c>
      <c r="P250" s="11"/>
      <c r="Q250" s="11"/>
      <c r="R250" s="11"/>
      <c r="S250" s="11"/>
      <c r="T250" s="11"/>
      <c r="U250" s="11"/>
      <c r="V250" s="11"/>
      <c r="W250" s="11"/>
      <c r="X250" s="11"/>
      <c r="Y250" s="11"/>
      <c r="Z250" s="11"/>
      <c r="AA250" s="11"/>
      <c r="AB250" s="11"/>
      <c r="AC250" s="11"/>
      <c r="AD250" s="11"/>
      <c r="AE250" s="11"/>
      <c r="AF250" s="11"/>
      <c r="AG250" s="12"/>
      <c r="AH250" s="66"/>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row>
    <row r="251" ht="15.75" customHeight="1">
      <c r="A251" s="11"/>
      <c r="B251" s="11"/>
      <c r="C251" s="11"/>
      <c r="D251" s="11" t="s">
        <v>15</v>
      </c>
      <c r="E251" s="20">
        <f>SUM(Headcount!D7:D15)</f>
        <v>120</v>
      </c>
      <c r="F251" s="20">
        <f>SUM(Headcount!E7:E15)</f>
        <v>120</v>
      </c>
      <c r="G251" s="20">
        <f>SUM(Headcount!F7:F15)</f>
        <v>120</v>
      </c>
      <c r="H251" s="20">
        <f>SUM(Headcount!G7:G15)</f>
        <v>120</v>
      </c>
      <c r="I251" s="20">
        <f>SUM(Headcount!H7:H15)</f>
        <v>120</v>
      </c>
      <c r="J251" s="20">
        <f>SUM(Headcount!I7:I15)</f>
        <v>120</v>
      </c>
      <c r="K251" s="20">
        <f>SUM(Headcount!J7:J15)</f>
        <v>120</v>
      </c>
      <c r="L251" s="20">
        <f>SUM(Headcount!K7:K15)</f>
        <v>120</v>
      </c>
      <c r="M251" s="20">
        <f>SUM(Headcount!L7:L15)</f>
        <v>120</v>
      </c>
      <c r="N251" s="20">
        <f>SUM(Headcount!M7:M15)</f>
        <v>120</v>
      </c>
      <c r="O251" s="20">
        <f>SUM(Headcount!N7:N15)</f>
        <v>120</v>
      </c>
      <c r="P251" s="20">
        <f>SUM(Headcount!O7:O15)</f>
        <v>120</v>
      </c>
      <c r="Q251" s="20">
        <f>SUM(Headcount!P7:P15)</f>
        <v>120</v>
      </c>
      <c r="R251" s="20">
        <f>SUM(Headcount!Q7:Q15)</f>
        <v>120</v>
      </c>
      <c r="S251" s="20">
        <f>SUM(Headcount!R8:R15)</f>
        <v>115</v>
      </c>
      <c r="T251" s="20">
        <f>SUM(Headcount!S7:S15)</f>
        <v>132</v>
      </c>
      <c r="U251" s="20">
        <f>SUM(Headcount!T7:T15)</f>
        <v>135</v>
      </c>
      <c r="V251" s="20">
        <f>SUM(Headcount!U7:U15)</f>
        <v>137</v>
      </c>
      <c r="W251" s="20">
        <f>SUM(Headcount!V7:V15)</f>
        <v>139</v>
      </c>
      <c r="X251" s="20">
        <f>SUM(Headcount!W7:W15)</f>
        <v>140</v>
      </c>
      <c r="Y251" s="20">
        <f>SUM(Headcount!X7:X15)</f>
        <v>140</v>
      </c>
      <c r="Z251" s="20">
        <f>SUM(Headcount!Y7:Y15)</f>
        <v>140</v>
      </c>
      <c r="AA251" s="20">
        <f>SUM(Headcount!Z7:Z15)</f>
        <v>141</v>
      </c>
      <c r="AB251" s="20">
        <f>SUM(Headcount!AA7:AA15)</f>
        <v>142</v>
      </c>
      <c r="AC251" s="11"/>
      <c r="AD251" s="11" t="str">
        <f>D251</f>
        <v>Headcount</v>
      </c>
      <c r="AE251" s="20">
        <f>P251</f>
        <v>120</v>
      </c>
      <c r="AF251" s="20">
        <f>T251</f>
        <v>132</v>
      </c>
      <c r="AG251" s="21">
        <f>22</f>
        <v>22</v>
      </c>
      <c r="AH251" s="19">
        <f>AF251/AE251-1</f>
        <v>0.1</v>
      </c>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2"/>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row>
    <row r="253" ht="15.75" customHeight="1">
      <c r="A253" s="11"/>
      <c r="B253" s="11"/>
      <c r="C253" s="11"/>
      <c r="D253" s="11" t="s">
        <v>84</v>
      </c>
      <c r="E253" s="24"/>
      <c r="F253" s="24"/>
      <c r="G253" s="24"/>
      <c r="H253" s="24"/>
      <c r="I253" s="24"/>
      <c r="J253" s="24"/>
      <c r="K253" s="24"/>
      <c r="L253" s="24"/>
      <c r="M253" s="24">
        <f>M248-Summary!AJ28</f>
        <v>-6753</v>
      </c>
      <c r="N253" s="24">
        <f>N248-Summary!AK28</f>
        <v>-187009</v>
      </c>
      <c r="O253" s="24">
        <f>O248-Summary!AL28</f>
        <v>-230059</v>
      </c>
      <c r="P253" s="24">
        <f>P248-Summary!AM28</f>
        <v>0</v>
      </c>
      <c r="Q253" s="24">
        <f>Q248-Summary!AN28</f>
        <v>0</v>
      </c>
      <c r="R253" s="24">
        <f>R248-Summary!AO28</f>
        <v>0</v>
      </c>
      <c r="S253" s="24">
        <f>S248-Summary!AP28</f>
        <v>0</v>
      </c>
      <c r="T253" s="24">
        <f>T248-Summary!AQ28</f>
        <v>0</v>
      </c>
      <c r="U253" s="24">
        <f>U248-Summary!AR28</f>
        <v>0</v>
      </c>
      <c r="V253" s="24">
        <f>V248-Summary!AS28</f>
        <v>0</v>
      </c>
      <c r="W253" s="24">
        <f>W248-Summary!AT28</f>
        <v>0</v>
      </c>
      <c r="X253" s="24">
        <f>X248-Summary!AU28</f>
        <v>0</v>
      </c>
      <c r="Y253" s="24">
        <f>Y248-Summary!AV28</f>
        <v>0</v>
      </c>
      <c r="Z253" s="24">
        <f>Z248-Summary!AW28</f>
        <v>0</v>
      </c>
      <c r="AA253" s="24">
        <f>AA248-Summary!AX28</f>
        <v>0</v>
      </c>
      <c r="AB253" s="24">
        <f>AB248-Summary!AY28</f>
        <v>0</v>
      </c>
      <c r="AC253" s="11"/>
      <c r="AD253" s="11"/>
      <c r="AE253" s="11"/>
      <c r="AF253" s="11"/>
      <c r="AG253" s="12"/>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2"/>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2"/>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2"/>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row>
    <row r="257" ht="15.75" customHeight="1">
      <c r="A257" s="11"/>
      <c r="B257" s="13" t="s">
        <v>106</v>
      </c>
      <c r="C257" s="11"/>
      <c r="D257" s="11"/>
      <c r="E257" s="14">
        <v>44562.0</v>
      </c>
      <c r="F257" s="14">
        <v>44593.0</v>
      </c>
      <c r="G257" s="14">
        <v>44621.0</v>
      </c>
      <c r="H257" s="14">
        <v>44652.0</v>
      </c>
      <c r="I257" s="14">
        <v>44682.0</v>
      </c>
      <c r="J257" s="14">
        <v>44713.0</v>
      </c>
      <c r="K257" s="14">
        <v>44743.0</v>
      </c>
      <c r="L257" s="14">
        <v>44774.0</v>
      </c>
      <c r="M257" s="14">
        <v>44805.0</v>
      </c>
      <c r="N257" s="14">
        <v>44835.0</v>
      </c>
      <c r="O257" s="14">
        <v>44866.0</v>
      </c>
      <c r="P257" s="14">
        <v>44896.0</v>
      </c>
      <c r="Q257" s="15">
        <v>44927.0</v>
      </c>
      <c r="R257" s="15">
        <v>44958.0</v>
      </c>
      <c r="S257" s="15">
        <v>44986.0</v>
      </c>
      <c r="T257" s="15">
        <v>45017.0</v>
      </c>
      <c r="U257" s="15">
        <v>45047.0</v>
      </c>
      <c r="V257" s="15">
        <v>45078.0</v>
      </c>
      <c r="W257" s="15">
        <v>45108.0</v>
      </c>
      <c r="X257" s="15">
        <v>45139.0</v>
      </c>
      <c r="Y257" s="15">
        <v>45170.0</v>
      </c>
      <c r="Z257" s="15">
        <v>45200.0</v>
      </c>
      <c r="AA257" s="15">
        <v>45231.0</v>
      </c>
      <c r="AB257" s="15">
        <v>45261.0</v>
      </c>
      <c r="AC257" s="11"/>
      <c r="AD257" s="11"/>
      <c r="AE257" s="16" t="s">
        <v>48</v>
      </c>
      <c r="AF257" s="17" t="s">
        <v>49</v>
      </c>
      <c r="AG257" s="18" t="s">
        <v>50</v>
      </c>
      <c r="AH257" s="16" t="s">
        <v>51</v>
      </c>
      <c r="AI257" s="11"/>
      <c r="AJ257" s="11"/>
      <c r="AK257" s="11"/>
      <c r="AL257" s="16" t="s">
        <v>52</v>
      </c>
      <c r="AM257" s="16" t="s">
        <v>53</v>
      </c>
      <c r="AN257" s="16" t="s">
        <v>48</v>
      </c>
      <c r="AO257" s="17" t="s">
        <v>49</v>
      </c>
      <c r="AP257" s="17" t="s">
        <v>54</v>
      </c>
      <c r="AQ257" s="17" t="s">
        <v>55</v>
      </c>
      <c r="AR257" s="11"/>
      <c r="AS257" s="11"/>
      <c r="AT257" s="11"/>
      <c r="AU257" s="11"/>
      <c r="AV257" s="11"/>
      <c r="AW257" s="11"/>
      <c r="AX257" s="11"/>
      <c r="AY257" s="11"/>
      <c r="AZ257" s="11"/>
      <c r="BA257" s="11"/>
      <c r="BB257" s="11"/>
      <c r="BC257" s="11"/>
      <c r="BD257" s="11"/>
      <c r="BE257" s="11"/>
      <c r="BF257" s="11"/>
      <c r="BG257" s="11"/>
      <c r="BH257" s="11"/>
      <c r="BI257" s="11"/>
      <c r="BJ257" s="11"/>
      <c r="BK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2"/>
      <c r="AH258" s="66"/>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row>
    <row r="259" ht="15.75" customHeight="1">
      <c r="A259" s="11"/>
      <c r="B259" s="11"/>
      <c r="C259" s="11"/>
      <c r="D259" s="77" t="s">
        <v>104</v>
      </c>
      <c r="E259" s="38">
        <f t="shared" ref="E259:AB259" si="411">E248</f>
        <v>1106378</v>
      </c>
      <c r="F259" s="38">
        <f t="shared" si="411"/>
        <v>948734</v>
      </c>
      <c r="G259" s="38">
        <f t="shared" si="411"/>
        <v>1039588</v>
      </c>
      <c r="H259" s="38">
        <f t="shared" si="411"/>
        <v>1140934</v>
      </c>
      <c r="I259" s="38">
        <f t="shared" si="411"/>
        <v>1118105</v>
      </c>
      <c r="J259" s="38">
        <f t="shared" si="411"/>
        <v>1005551</v>
      </c>
      <c r="K259" s="38">
        <f t="shared" si="411"/>
        <v>1059666</v>
      </c>
      <c r="L259" s="38">
        <f t="shared" si="411"/>
        <v>1261072</v>
      </c>
      <c r="M259" s="38">
        <f t="shared" si="411"/>
        <v>1178964</v>
      </c>
      <c r="N259" s="38">
        <f t="shared" si="411"/>
        <v>1051605</v>
      </c>
      <c r="O259" s="38">
        <f t="shared" si="411"/>
        <v>1057656</v>
      </c>
      <c r="P259" s="38">
        <f t="shared" si="411"/>
        <v>1229551.757</v>
      </c>
      <c r="Q259" s="38">
        <f t="shared" si="411"/>
        <v>1470623.775</v>
      </c>
      <c r="R259" s="38">
        <f t="shared" si="411"/>
        <v>1704684.625</v>
      </c>
      <c r="S259" s="38">
        <f t="shared" si="411"/>
        <v>1917902.902</v>
      </c>
      <c r="T259" s="38">
        <f t="shared" si="411"/>
        <v>2128117.064</v>
      </c>
      <c r="U259" s="38">
        <f t="shared" si="411"/>
        <v>2334652.891</v>
      </c>
      <c r="V259" s="38">
        <f t="shared" si="411"/>
        <v>2551421.611</v>
      </c>
      <c r="W259" s="38">
        <f t="shared" si="411"/>
        <v>2725187.428</v>
      </c>
      <c r="X259" s="38">
        <f t="shared" si="411"/>
        <v>2910168.036</v>
      </c>
      <c r="Y259" s="38">
        <f t="shared" si="411"/>
        <v>3081260.646</v>
      </c>
      <c r="Z259" s="38">
        <f t="shared" si="411"/>
        <v>3240191.201</v>
      </c>
      <c r="AA259" s="38">
        <f t="shared" si="411"/>
        <v>3406258.734</v>
      </c>
      <c r="AB259" s="38">
        <f t="shared" si="411"/>
        <v>3560768.311</v>
      </c>
      <c r="AC259" s="28"/>
      <c r="AD259" s="28" t="str">
        <f t="shared" ref="AD259:AD260" si="414">D259</f>
        <v>Gross Profit</v>
      </c>
      <c r="AE259" s="38">
        <f t="shared" ref="AE259:AF259" si="412">AE248</f>
        <v>4517776.757</v>
      </c>
      <c r="AF259" s="38">
        <f t="shared" si="412"/>
        <v>7221328.366</v>
      </c>
      <c r="AG259" s="25">
        <f t="shared" ref="AG259:AG260" si="416">AF259-AE259</f>
        <v>2703551.609</v>
      </c>
      <c r="AH259" s="72">
        <f>AF259/AE259-1</f>
        <v>0.5984252331</v>
      </c>
      <c r="AI259" s="11"/>
      <c r="AJ259" s="11"/>
      <c r="AK259" s="77" t="s">
        <v>104</v>
      </c>
      <c r="AL259" s="38">
        <f>SUM(E259:H259)</f>
        <v>4235634</v>
      </c>
      <c r="AM259" s="25">
        <f>SUM(I259:L259)</f>
        <v>4444394</v>
      </c>
      <c r="AN259" s="38">
        <f>SUM(M259:P259)</f>
        <v>4517776.757</v>
      </c>
      <c r="AO259" s="38">
        <f>SUM(Q259:T259)</f>
        <v>7221328.366</v>
      </c>
      <c r="AP259" s="25">
        <f>SUM(U259:X259)</f>
        <v>10521429.97</v>
      </c>
      <c r="AQ259" s="38">
        <f>SUM(Y259:AB259)</f>
        <v>13288478.89</v>
      </c>
      <c r="AR259" s="11"/>
      <c r="AS259" s="11"/>
      <c r="AT259" s="11"/>
      <c r="AU259" s="11"/>
      <c r="AV259" s="11"/>
      <c r="AW259" s="11"/>
      <c r="AX259" s="11"/>
      <c r="AY259" s="11"/>
      <c r="AZ259" s="11"/>
      <c r="BA259" s="11"/>
      <c r="BB259" s="11"/>
      <c r="BC259" s="11"/>
      <c r="BD259" s="11"/>
      <c r="BE259" s="11"/>
      <c r="BF259" s="11"/>
      <c r="BG259" s="11"/>
      <c r="BH259" s="11"/>
      <c r="BI259" s="11"/>
      <c r="BJ259" s="11"/>
      <c r="BK259" s="11"/>
    </row>
    <row r="260" ht="15.75" customHeight="1">
      <c r="A260" s="11"/>
      <c r="B260" s="11"/>
      <c r="C260" s="28"/>
      <c r="D260" s="79" t="s">
        <v>75</v>
      </c>
      <c r="E260" s="43">
        <f t="shared" ref="E260:AB260" si="413">E249</f>
        <v>0.9798977039</v>
      </c>
      <c r="F260" s="43">
        <f t="shared" si="413"/>
        <v>0.9759985186</v>
      </c>
      <c r="G260" s="43">
        <f t="shared" si="413"/>
        <v>0.9759538566</v>
      </c>
      <c r="H260" s="43">
        <f t="shared" si="413"/>
        <v>0.979362665</v>
      </c>
      <c r="I260" s="43">
        <f t="shared" si="413"/>
        <v>0.9797496528</v>
      </c>
      <c r="J260" s="43">
        <f t="shared" si="413"/>
        <v>0.9797025285</v>
      </c>
      <c r="K260" s="43">
        <f t="shared" si="413"/>
        <v>0.9771532272</v>
      </c>
      <c r="L260" s="43">
        <f t="shared" si="413"/>
        <v>0.983721547</v>
      </c>
      <c r="M260" s="43">
        <f t="shared" si="413"/>
        <v>0.97896693</v>
      </c>
      <c r="N260" s="43">
        <f t="shared" si="413"/>
        <v>0.9771991057</v>
      </c>
      <c r="O260" s="43">
        <f t="shared" si="413"/>
        <v>0.9801869263</v>
      </c>
      <c r="P260" s="43">
        <f t="shared" si="413"/>
        <v>0.8684559216</v>
      </c>
      <c r="Q260" s="43">
        <f t="shared" si="413"/>
        <v>0.8819563631</v>
      </c>
      <c r="R260" s="43">
        <f t="shared" si="413"/>
        <v>0.8896338475</v>
      </c>
      <c r="S260" s="43">
        <f t="shared" si="413"/>
        <v>0.8945743498</v>
      </c>
      <c r="T260" s="43">
        <f t="shared" si="413"/>
        <v>0.9009693324</v>
      </c>
      <c r="U260" s="43">
        <f t="shared" si="413"/>
        <v>0.9053485719</v>
      </c>
      <c r="V260" s="43">
        <f t="shared" si="413"/>
        <v>0.9122923769</v>
      </c>
      <c r="W260" s="43">
        <f t="shared" si="413"/>
        <v>0.9104555673</v>
      </c>
      <c r="X260" s="43">
        <f t="shared" si="413"/>
        <v>0.9134471569</v>
      </c>
      <c r="Y260" s="43">
        <f t="shared" si="413"/>
        <v>0.9130773841</v>
      </c>
      <c r="Z260" s="43">
        <f t="shared" si="413"/>
        <v>0.9127355283</v>
      </c>
      <c r="AA260" s="43">
        <f t="shared" si="413"/>
        <v>0.9147573948</v>
      </c>
      <c r="AB260" s="43">
        <f t="shared" si="413"/>
        <v>0.9131210569</v>
      </c>
      <c r="AC260" s="11"/>
      <c r="AD260" s="42" t="str">
        <f t="shared" si="414"/>
        <v>  Gross Margin</v>
      </c>
      <c r="AE260" s="43">
        <f t="shared" ref="AE260:AF260" si="415">AE249</f>
        <v>0.9460794206</v>
      </c>
      <c r="AF260" s="43">
        <f t="shared" si="415"/>
        <v>0.8926704668</v>
      </c>
      <c r="AG260" s="81">
        <f t="shared" si="416"/>
        <v>-0.05340895387</v>
      </c>
      <c r="AH260" s="43"/>
      <c r="AI260" s="11"/>
      <c r="AJ260" s="11"/>
      <c r="AK260" s="79" t="s">
        <v>75</v>
      </c>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2"/>
      <c r="AH261" s="19"/>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row>
    <row r="262" ht="15.75" customHeight="1">
      <c r="A262" s="11"/>
      <c r="B262" s="11"/>
      <c r="C262" s="11"/>
      <c r="D262" s="11" t="s">
        <v>102</v>
      </c>
      <c r="E262" s="12">
        <f>Summary!AB32</f>
        <v>15742</v>
      </c>
      <c r="F262" s="12">
        <f>Summary!AC32</f>
        <v>14967</v>
      </c>
      <c r="G262" s="12">
        <f>Summary!AD32</f>
        <v>17120</v>
      </c>
      <c r="H262" s="12">
        <f>Summary!AE32</f>
        <v>17920</v>
      </c>
      <c r="I262" s="12">
        <f>Summary!AF32</f>
        <v>18432</v>
      </c>
      <c r="J262" s="12">
        <f>Summary!AG32</f>
        <v>15342</v>
      </c>
      <c r="K262" s="12">
        <f>Summary!AH32</f>
        <v>13243</v>
      </c>
      <c r="L262" s="12">
        <f>Summary!AI32</f>
        <v>14701</v>
      </c>
      <c r="M262" s="12">
        <f>Summary!AJ32</f>
        <v>14572</v>
      </c>
      <c r="N262" s="12">
        <f>Summary!AK32</f>
        <v>14466</v>
      </c>
      <c r="O262" s="12">
        <f>Summary!AL32</f>
        <v>17133</v>
      </c>
      <c r="P262" s="12">
        <f>Summary!AM32</f>
        <v>101897.0664</v>
      </c>
      <c r="Q262" s="12">
        <f>Summary!AN32</f>
        <v>165379.8064</v>
      </c>
      <c r="R262" s="12">
        <f>Summary!AO32</f>
        <v>187939.1449</v>
      </c>
      <c r="S262" s="12">
        <f>Summary!AP32</f>
        <v>196699.1113</v>
      </c>
      <c r="T262" s="12">
        <f>Summary!AQ32</f>
        <v>214691.7391</v>
      </c>
      <c r="U262" s="12">
        <f>Summary!AR32</f>
        <v>223178.4274</v>
      </c>
      <c r="V262" s="12">
        <f>Summary!AS32</f>
        <v>224075.5551</v>
      </c>
      <c r="W262" s="12">
        <f>Summary!AT32</f>
        <v>243999.1471</v>
      </c>
      <c r="X262" s="12">
        <f>Summary!AU32</f>
        <v>265693.1293</v>
      </c>
      <c r="Y262" s="12">
        <f>Summary!AV32</f>
        <v>291725.6545</v>
      </c>
      <c r="Z262" s="12">
        <f>Summary!AW32</f>
        <v>306562.371</v>
      </c>
      <c r="AA262" s="12">
        <f>Summary!AX32</f>
        <v>328178.1191</v>
      </c>
      <c r="AB262" s="12">
        <f>Summary!AY32</f>
        <v>343016.8682</v>
      </c>
      <c r="AC262" s="12"/>
      <c r="AD262" s="12" t="str">
        <f t="shared" ref="AD262:AD272" si="417">D262</f>
        <v>Salaries &amp; Benefits</v>
      </c>
      <c r="AE262" s="12">
        <f t="shared" ref="AE262:AE271" si="418">SUM(M262:P262)</f>
        <v>148068.0664</v>
      </c>
      <c r="AF262" s="12">
        <f t="shared" ref="AF262:AF271" si="419">SUM(Q262:T262)</f>
        <v>764709.8017</v>
      </c>
      <c r="AG262" s="12">
        <f t="shared" ref="AG262:AG270" si="420">AE262-AF262</f>
        <v>-616641.7352</v>
      </c>
      <c r="AH262" s="19">
        <f t="shared" ref="AH262:AH271" si="421">AF262/AE262-1</f>
        <v>4.164582884</v>
      </c>
      <c r="AI262" s="11"/>
      <c r="AJ262" s="11"/>
      <c r="AK262" s="11" t="s">
        <v>102</v>
      </c>
      <c r="AL262" s="12">
        <f t="shared" ref="AL262:AL272" si="422">SUM(E262:H262)</f>
        <v>65749</v>
      </c>
      <c r="AM262" s="12">
        <f t="shared" ref="AM262:AM272" si="423">SUM(I262:L262)</f>
        <v>61718</v>
      </c>
      <c r="AN262" s="12">
        <f t="shared" ref="AN262:AN272" si="424">SUM(M262:P262)</f>
        <v>148068.0664</v>
      </c>
      <c r="AO262" s="12">
        <f t="shared" ref="AO262:AO272" si="425">SUM(Q262:T262)</f>
        <v>764709.8017</v>
      </c>
      <c r="AP262" s="12">
        <f t="shared" ref="AP262:AP272" si="426">SUM(U262:X262)</f>
        <v>956946.2588</v>
      </c>
      <c r="AQ262" s="12">
        <f t="shared" ref="AQ262:AQ272" si="427">SUM(Y262:AB262)</f>
        <v>1269483.013</v>
      </c>
      <c r="AR262" s="11"/>
      <c r="AS262" s="11"/>
      <c r="AT262" s="11"/>
      <c r="AU262" s="11"/>
      <c r="AV262" s="11"/>
      <c r="AW262" s="11"/>
      <c r="AX262" s="11"/>
      <c r="AY262" s="11"/>
      <c r="AZ262" s="11"/>
      <c r="BA262" s="11"/>
      <c r="BB262" s="11"/>
      <c r="BC262" s="11"/>
      <c r="BD262" s="11"/>
      <c r="BE262" s="11"/>
      <c r="BF262" s="11"/>
      <c r="BG262" s="11"/>
      <c r="BH262" s="11"/>
      <c r="BI262" s="11"/>
      <c r="BJ262" s="11"/>
      <c r="BK262" s="11"/>
    </row>
    <row r="263" ht="15.75" customHeight="1">
      <c r="A263" s="11"/>
      <c r="B263" s="11"/>
      <c r="C263" s="11"/>
      <c r="D263" s="11" t="s">
        <v>107</v>
      </c>
      <c r="E263" s="12">
        <f>Summary!AB33</f>
        <v>4933</v>
      </c>
      <c r="F263" s="12">
        <f>Summary!AC33</f>
        <v>5912</v>
      </c>
      <c r="G263" s="12">
        <f>Summary!AD33</f>
        <v>4439</v>
      </c>
      <c r="H263" s="12">
        <f>Summary!AE33</f>
        <v>5981</v>
      </c>
      <c r="I263" s="12">
        <f>Summary!AF33</f>
        <v>4819</v>
      </c>
      <c r="J263" s="12">
        <f>Summary!AG33</f>
        <v>5064</v>
      </c>
      <c r="K263" s="12">
        <f>Summary!AH33</f>
        <v>4596</v>
      </c>
      <c r="L263" s="12">
        <f>Summary!AI33</f>
        <v>4797</v>
      </c>
      <c r="M263" s="12">
        <f>Summary!AJ33</f>
        <v>5513</v>
      </c>
      <c r="N263" s="12">
        <f>Summary!AK33</f>
        <v>4887</v>
      </c>
      <c r="O263" s="12">
        <f>Summary!AL33</f>
        <v>5020</v>
      </c>
      <c r="P263" s="12">
        <f>Summary!AM33</f>
        <v>788.117</v>
      </c>
      <c r="Q263" s="12">
        <f>Summary!AN33</f>
        <v>1281.182265</v>
      </c>
      <c r="R263" s="12">
        <f>Summary!AO33</f>
        <v>1483.582265</v>
      </c>
      <c r="S263" s="12">
        <f>Summary!AP33</f>
        <v>1571.582265</v>
      </c>
      <c r="T263" s="12">
        <f>Summary!AQ33</f>
        <v>1714.582265</v>
      </c>
      <c r="U263" s="12">
        <f>Summary!AR33</f>
        <v>1791.738467</v>
      </c>
      <c r="V263" s="12">
        <f>Summary!AS33</f>
        <v>1791.738467</v>
      </c>
      <c r="W263" s="12">
        <f>Summary!AT33</f>
        <v>1910.714467</v>
      </c>
      <c r="X263" s="12">
        <f>Summary!AU33</f>
        <v>2086.890467</v>
      </c>
      <c r="Y263" s="12">
        <f>Summary!AV33</f>
        <v>2299.776538</v>
      </c>
      <c r="Z263" s="12">
        <f>Summary!AW33</f>
        <v>2418.752538</v>
      </c>
      <c r="AA263" s="12">
        <f>Summary!AX33</f>
        <v>2594.928538</v>
      </c>
      <c r="AB263" s="12">
        <f>Summary!AY33</f>
        <v>2713.904538</v>
      </c>
      <c r="AC263" s="11"/>
      <c r="AD263" s="11" t="str">
        <f t="shared" si="417"/>
        <v>Employee Related</v>
      </c>
      <c r="AE263" s="20">
        <f t="shared" si="418"/>
        <v>16208.117</v>
      </c>
      <c r="AF263" s="21">
        <f t="shared" si="419"/>
        <v>6050.92906</v>
      </c>
      <c r="AG263" s="12">
        <f t="shared" si="420"/>
        <v>10157.18794</v>
      </c>
      <c r="AH263" s="19">
        <f t="shared" si="421"/>
        <v>-0.6266729158</v>
      </c>
      <c r="AI263" s="11"/>
      <c r="AJ263" s="11"/>
      <c r="AK263" s="11" t="s">
        <v>107</v>
      </c>
      <c r="AL263" s="12">
        <f t="shared" si="422"/>
        <v>21265</v>
      </c>
      <c r="AM263" s="20">
        <f t="shared" si="423"/>
        <v>19276</v>
      </c>
      <c r="AN263" s="21">
        <f t="shared" si="424"/>
        <v>16208.117</v>
      </c>
      <c r="AO263" s="12">
        <f t="shared" si="425"/>
        <v>6050.92906</v>
      </c>
      <c r="AP263" s="20">
        <f t="shared" si="426"/>
        <v>7581.081868</v>
      </c>
      <c r="AQ263" s="21">
        <f t="shared" si="427"/>
        <v>10027.36215</v>
      </c>
      <c r="AR263" s="11"/>
      <c r="AS263" s="11"/>
      <c r="AT263" s="11"/>
      <c r="AU263" s="11"/>
      <c r="AV263" s="11"/>
      <c r="AW263" s="11"/>
      <c r="AX263" s="11"/>
      <c r="AY263" s="11"/>
      <c r="AZ263" s="11"/>
      <c r="BA263" s="11"/>
      <c r="BB263" s="11"/>
      <c r="BC263" s="11"/>
      <c r="BD263" s="11"/>
      <c r="BE263" s="11"/>
      <c r="BF263" s="11"/>
      <c r="BG263" s="11"/>
      <c r="BH263" s="11"/>
      <c r="BI263" s="11"/>
      <c r="BJ263" s="11"/>
      <c r="BK263" s="11"/>
    </row>
    <row r="264" ht="15.75" customHeight="1">
      <c r="A264" s="11"/>
      <c r="B264" s="11"/>
      <c r="C264" s="11"/>
      <c r="D264" s="11" t="s">
        <v>108</v>
      </c>
      <c r="E264" s="12">
        <f>Summary!AB34</f>
        <v>1110</v>
      </c>
      <c r="F264" s="12">
        <f>Summary!AC34</f>
        <v>1905</v>
      </c>
      <c r="G264" s="12">
        <f>Summary!AD34</f>
        <v>2287</v>
      </c>
      <c r="H264" s="12">
        <f>Summary!AE34</f>
        <v>2048</v>
      </c>
      <c r="I264" s="12">
        <f>Summary!AF34</f>
        <v>1271</v>
      </c>
      <c r="J264" s="12">
        <f>Summary!AG34</f>
        <v>1961</v>
      </c>
      <c r="K264" s="12">
        <f>Summary!AH34</f>
        <v>2362</v>
      </c>
      <c r="L264" s="12">
        <f>Summary!AI34</f>
        <v>1582</v>
      </c>
      <c r="M264" s="12">
        <f>Summary!AJ34</f>
        <v>1027</v>
      </c>
      <c r="N264" s="12">
        <f>Summary!AK34</f>
        <v>2134</v>
      </c>
      <c r="O264" s="12">
        <f>Summary!AL34</f>
        <v>2058</v>
      </c>
      <c r="P264" s="12">
        <f>Summary!AM34</f>
        <v>39336.9375</v>
      </c>
      <c r="Q264" s="12">
        <f>Summary!AN34</f>
        <v>65462.39687</v>
      </c>
      <c r="R264" s="12">
        <f>Summary!AO34</f>
        <v>72873.98023</v>
      </c>
      <c r="S264" s="12">
        <f>Summary!AP34</f>
        <v>75204.09349</v>
      </c>
      <c r="T264" s="12">
        <f>Summary!AQ34</f>
        <v>77035.53214</v>
      </c>
      <c r="U264" s="12">
        <f>Summary!AR34</f>
        <v>87013.87002</v>
      </c>
      <c r="V264" s="12">
        <f>Summary!AS34</f>
        <v>88595.58488</v>
      </c>
      <c r="W264" s="12">
        <f>Summary!AT34</f>
        <v>89121.39255</v>
      </c>
      <c r="X264" s="12">
        <f>Summary!AU34</f>
        <v>89607.56763</v>
      </c>
      <c r="Y264" s="12">
        <f>Summary!AV34</f>
        <v>91419.98819</v>
      </c>
      <c r="Z264" s="12">
        <f>Summary!AW34</f>
        <v>90114.26979</v>
      </c>
      <c r="AA264" s="12">
        <f>Summary!AX34</f>
        <v>91197.11396</v>
      </c>
      <c r="AB264" s="12">
        <f>Summary!AY34</f>
        <v>92671.81397</v>
      </c>
      <c r="AC264" s="11"/>
      <c r="AD264" s="11" t="str">
        <f t="shared" si="417"/>
        <v>Sales Commissions</v>
      </c>
      <c r="AE264" s="20">
        <f t="shared" si="418"/>
        <v>44555.9375</v>
      </c>
      <c r="AF264" s="21">
        <f t="shared" si="419"/>
        <v>290576.0027</v>
      </c>
      <c r="AG264" s="12">
        <f t="shared" si="420"/>
        <v>-246020.0652</v>
      </c>
      <c r="AH264" s="19">
        <f t="shared" si="421"/>
        <v>5.521600017</v>
      </c>
      <c r="AI264" s="11"/>
      <c r="AJ264" s="11"/>
      <c r="AK264" s="11" t="s">
        <v>108</v>
      </c>
      <c r="AL264" s="12">
        <f t="shared" si="422"/>
        <v>7350</v>
      </c>
      <c r="AM264" s="20">
        <f t="shared" si="423"/>
        <v>7176</v>
      </c>
      <c r="AN264" s="21">
        <f t="shared" si="424"/>
        <v>44555.9375</v>
      </c>
      <c r="AO264" s="12">
        <f t="shared" si="425"/>
        <v>290576.0027</v>
      </c>
      <c r="AP264" s="20">
        <f t="shared" si="426"/>
        <v>354338.4151</v>
      </c>
      <c r="AQ264" s="21">
        <f t="shared" si="427"/>
        <v>365403.1859</v>
      </c>
      <c r="AR264" s="11"/>
      <c r="AS264" s="11"/>
      <c r="AT264" s="11"/>
      <c r="AU264" s="11"/>
      <c r="AV264" s="11"/>
      <c r="AW264" s="11"/>
      <c r="AX264" s="11"/>
      <c r="AY264" s="11"/>
      <c r="AZ264" s="11"/>
      <c r="BA264" s="11"/>
      <c r="BB264" s="11"/>
      <c r="BC264" s="11"/>
      <c r="BD264" s="11"/>
      <c r="BE264" s="11"/>
      <c r="BF264" s="11"/>
      <c r="BG264" s="11"/>
      <c r="BH264" s="11"/>
      <c r="BI264" s="11"/>
      <c r="BJ264" s="11"/>
      <c r="BK264" s="11"/>
    </row>
    <row r="265" ht="15.75" customHeight="1">
      <c r="A265" s="11"/>
      <c r="B265" s="11"/>
      <c r="C265" s="11"/>
      <c r="D265" s="11" t="s">
        <v>109</v>
      </c>
      <c r="E265" s="12">
        <f>Summary!AB35</f>
        <v>4002</v>
      </c>
      <c r="F265" s="12">
        <f>Summary!AC35</f>
        <v>2406</v>
      </c>
      <c r="G265" s="12">
        <f>Summary!AD35</f>
        <v>2835</v>
      </c>
      <c r="H265" s="12">
        <f>Summary!AE35</f>
        <v>3667</v>
      </c>
      <c r="I265" s="12">
        <f>Summary!AF35</f>
        <v>3879</v>
      </c>
      <c r="J265" s="12">
        <f>Summary!AG35</f>
        <v>4346</v>
      </c>
      <c r="K265" s="12">
        <f>Summary!AH35</f>
        <v>3474</v>
      </c>
      <c r="L265" s="12">
        <f>Summary!AI35</f>
        <v>3404</v>
      </c>
      <c r="M265" s="12">
        <f>Summary!AJ35</f>
        <v>3606</v>
      </c>
      <c r="N265" s="12">
        <f>Summary!AK35</f>
        <v>4087</v>
      </c>
      <c r="O265" s="12">
        <f>Summary!AL35</f>
        <v>3657</v>
      </c>
      <c r="P265" s="12">
        <f>Summary!AM35</f>
        <v>15483.73</v>
      </c>
      <c r="Q265" s="12">
        <f>Summary!AN35</f>
        <v>20517.07365</v>
      </c>
      <c r="R265" s="12">
        <f>Summary!AO35</f>
        <v>20575.58402</v>
      </c>
      <c r="S265" s="12">
        <f>Summary!AP35</f>
        <v>20634.38694</v>
      </c>
      <c r="T265" s="12">
        <f>Summary!AQ35</f>
        <v>20693.48387</v>
      </c>
      <c r="U265" s="12">
        <f>Summary!AR35</f>
        <v>20752.87629</v>
      </c>
      <c r="V265" s="12">
        <f>Summary!AS35</f>
        <v>20812.56567</v>
      </c>
      <c r="W265" s="12">
        <f>Summary!AT35</f>
        <v>20872.5535</v>
      </c>
      <c r="X265" s="12">
        <f>Summary!AU35</f>
        <v>20932.84127</v>
      </c>
      <c r="Y265" s="12">
        <f>Summary!AV35</f>
        <v>20993.43048</v>
      </c>
      <c r="Z265" s="12">
        <f>Summary!AW35</f>
        <v>21054.32263</v>
      </c>
      <c r="AA265" s="12">
        <f>Summary!AX35</f>
        <v>21115.51924</v>
      </c>
      <c r="AB265" s="12">
        <f>Summary!AY35</f>
        <v>21177.02184</v>
      </c>
      <c r="AC265" s="11"/>
      <c r="AD265" s="11" t="str">
        <f t="shared" si="417"/>
        <v>Contractors &amp; Prof Services</v>
      </c>
      <c r="AE265" s="20">
        <f t="shared" si="418"/>
        <v>26833.73</v>
      </c>
      <c r="AF265" s="21">
        <f t="shared" si="419"/>
        <v>82420.52848</v>
      </c>
      <c r="AG265" s="12">
        <f t="shared" si="420"/>
        <v>-55586.79848</v>
      </c>
      <c r="AH265" s="19">
        <f t="shared" si="421"/>
        <v>2.071527085</v>
      </c>
      <c r="AI265" s="11"/>
      <c r="AJ265" s="11"/>
      <c r="AK265" s="11" t="s">
        <v>109</v>
      </c>
      <c r="AL265" s="12">
        <f t="shared" si="422"/>
        <v>12910</v>
      </c>
      <c r="AM265" s="20">
        <f t="shared" si="423"/>
        <v>15103</v>
      </c>
      <c r="AN265" s="21">
        <f t="shared" si="424"/>
        <v>26833.73</v>
      </c>
      <c r="AO265" s="12">
        <f t="shared" si="425"/>
        <v>82420.52848</v>
      </c>
      <c r="AP265" s="20">
        <f t="shared" si="426"/>
        <v>83370.83674</v>
      </c>
      <c r="AQ265" s="21">
        <f t="shared" si="427"/>
        <v>84340.29418</v>
      </c>
      <c r="AR265" s="11"/>
      <c r="AS265" s="11"/>
      <c r="AT265" s="11"/>
      <c r="AU265" s="11"/>
      <c r="AV265" s="11"/>
      <c r="AW265" s="11"/>
      <c r="AX265" s="11"/>
      <c r="AY265" s="11"/>
      <c r="AZ265" s="11"/>
      <c r="BA265" s="11"/>
      <c r="BB265" s="11"/>
      <c r="BC265" s="11"/>
      <c r="BD265" s="11"/>
      <c r="BE265" s="11"/>
      <c r="BF265" s="11"/>
      <c r="BG265" s="11"/>
      <c r="BH265" s="11"/>
      <c r="BI265" s="11"/>
      <c r="BJ265" s="11"/>
      <c r="BK265" s="11"/>
    </row>
    <row r="266" ht="15.75" customHeight="1">
      <c r="A266" s="11"/>
      <c r="B266" s="11"/>
      <c r="C266" s="11"/>
      <c r="D266" s="11" t="s">
        <v>110</v>
      </c>
      <c r="E266" s="12">
        <f>Summary!AB36</f>
        <v>2164</v>
      </c>
      <c r="F266" s="12">
        <f>Summary!AC36</f>
        <v>1688</v>
      </c>
      <c r="G266" s="12">
        <f>Summary!AD36</f>
        <v>2037</v>
      </c>
      <c r="H266" s="12">
        <f>Summary!AE36</f>
        <v>2131</v>
      </c>
      <c r="I266" s="12">
        <f>Summary!AF36</f>
        <v>1392</v>
      </c>
      <c r="J266" s="12">
        <f>Summary!AG36</f>
        <v>1200</v>
      </c>
      <c r="K266" s="12">
        <f>Summary!AH36</f>
        <v>2014</v>
      </c>
      <c r="L266" s="12">
        <f>Summary!AI36</f>
        <v>1314</v>
      </c>
      <c r="M266" s="12">
        <f>Summary!AJ36</f>
        <v>2048</v>
      </c>
      <c r="N266" s="12">
        <f>Summary!AK36</f>
        <v>1053</v>
      </c>
      <c r="O266" s="12">
        <f>Summary!AL36</f>
        <v>1913</v>
      </c>
      <c r="P266" s="12">
        <f>Summary!AM36</f>
        <v>2494.2</v>
      </c>
      <c r="Q266" s="12">
        <f>Summary!AN36</f>
        <v>5494.2</v>
      </c>
      <c r="R266" s="12">
        <f>Summary!AO36</f>
        <v>5494.2</v>
      </c>
      <c r="S266" s="12">
        <f>Summary!AP36</f>
        <v>5494.2</v>
      </c>
      <c r="T266" s="12">
        <f>Summary!AQ36</f>
        <v>5494.2</v>
      </c>
      <c r="U266" s="12">
        <f>Summary!AR36</f>
        <v>8494.2</v>
      </c>
      <c r="V266" s="12">
        <f>Summary!AS36</f>
        <v>8494.2</v>
      </c>
      <c r="W266" s="12">
        <f>Summary!AT36</f>
        <v>8494.2</v>
      </c>
      <c r="X266" s="12">
        <f>Summary!AU36</f>
        <v>8494.2</v>
      </c>
      <c r="Y266" s="12">
        <f>Summary!AV36</f>
        <v>11494.2</v>
      </c>
      <c r="Z266" s="12">
        <f>Summary!AW36</f>
        <v>11494.2</v>
      </c>
      <c r="AA266" s="12">
        <f>Summary!AX36</f>
        <v>11494.2</v>
      </c>
      <c r="AB266" s="12">
        <f>Summary!AY36</f>
        <v>11494.2</v>
      </c>
      <c r="AC266" s="11"/>
      <c r="AD266" s="11" t="str">
        <f t="shared" si="417"/>
        <v>Software &amp; Licenses</v>
      </c>
      <c r="AE266" s="20">
        <f t="shared" si="418"/>
        <v>7508.2</v>
      </c>
      <c r="AF266" s="21">
        <f t="shared" si="419"/>
        <v>21976.8</v>
      </c>
      <c r="AG266" s="12">
        <f t="shared" si="420"/>
        <v>-14468.6</v>
      </c>
      <c r="AH266" s="19">
        <f t="shared" si="421"/>
        <v>1.92703977</v>
      </c>
      <c r="AI266" s="11"/>
      <c r="AJ266" s="11"/>
      <c r="AK266" s="11" t="s">
        <v>110</v>
      </c>
      <c r="AL266" s="12">
        <f t="shared" si="422"/>
        <v>8020</v>
      </c>
      <c r="AM266" s="20">
        <f t="shared" si="423"/>
        <v>5920</v>
      </c>
      <c r="AN266" s="21">
        <f t="shared" si="424"/>
        <v>7508.2</v>
      </c>
      <c r="AO266" s="12">
        <f t="shared" si="425"/>
        <v>21976.8</v>
      </c>
      <c r="AP266" s="20">
        <f t="shared" si="426"/>
        <v>33976.8</v>
      </c>
      <c r="AQ266" s="21">
        <f t="shared" si="427"/>
        <v>45976.8</v>
      </c>
      <c r="AR266" s="11"/>
      <c r="AS266" s="11"/>
      <c r="AT266" s="11"/>
      <c r="AU266" s="11"/>
      <c r="AV266" s="11"/>
      <c r="AW266" s="11"/>
      <c r="AX266" s="11"/>
      <c r="AY266" s="11"/>
      <c r="AZ266" s="11"/>
      <c r="BA266" s="11"/>
      <c r="BB266" s="11"/>
      <c r="BC266" s="11"/>
      <c r="BD266" s="11"/>
      <c r="BE266" s="11"/>
      <c r="BF266" s="11"/>
      <c r="BG266" s="11"/>
      <c r="BH266" s="11"/>
      <c r="BI266" s="11"/>
      <c r="BJ266" s="11"/>
      <c r="BK266" s="11"/>
    </row>
    <row r="267" ht="15.75" customHeight="1">
      <c r="A267" s="11"/>
      <c r="B267" s="28"/>
      <c r="C267" s="28"/>
      <c r="D267" s="67" t="s">
        <v>111</v>
      </c>
      <c r="E267" s="12">
        <f>Summary!AB37</f>
        <v>8658</v>
      </c>
      <c r="F267" s="12">
        <f>Summary!AC37</f>
        <v>9182</v>
      </c>
      <c r="G267" s="12">
        <f>Summary!AD37</f>
        <v>9497</v>
      </c>
      <c r="H267" s="12">
        <f>Summary!AE37</f>
        <v>9473</v>
      </c>
      <c r="I267" s="12">
        <f>Summary!AF37</f>
        <v>7523</v>
      </c>
      <c r="J267" s="12">
        <f>Summary!AG37</f>
        <v>9014</v>
      </c>
      <c r="K267" s="12">
        <f>Summary!AH37</f>
        <v>7100</v>
      </c>
      <c r="L267" s="12">
        <f>Summary!AI37</f>
        <v>8481</v>
      </c>
      <c r="M267" s="12">
        <f>Summary!AJ37</f>
        <v>9799</v>
      </c>
      <c r="N267" s="12">
        <f>Summary!AK37</f>
        <v>9469</v>
      </c>
      <c r="O267" s="12">
        <f>Summary!AL37</f>
        <v>8293</v>
      </c>
      <c r="P267" s="12">
        <f>Summary!AM37</f>
        <v>8310.15</v>
      </c>
      <c r="Q267" s="12">
        <f>Summary!AN37</f>
        <v>8559.093</v>
      </c>
      <c r="R267" s="12">
        <f>Summary!AO37</f>
        <v>111967.3883</v>
      </c>
      <c r="S267" s="12">
        <f>Summary!AP37</f>
        <v>9089.475657</v>
      </c>
      <c r="T267" s="12">
        <f>Summary!AQ37</f>
        <v>9112.899022</v>
      </c>
      <c r="U267" s="12">
        <f>Summary!AR37</f>
        <v>9136.439505</v>
      </c>
      <c r="V267" s="12">
        <f>Summary!AS37</f>
        <v>9160.09769</v>
      </c>
      <c r="W267" s="12">
        <f>Summary!AT37</f>
        <v>117956.0765</v>
      </c>
      <c r="X267" s="12">
        <f>Summary!AU37</f>
        <v>9361.96754</v>
      </c>
      <c r="Y267" s="12">
        <f>Summary!AV37</f>
        <v>9398.607865</v>
      </c>
      <c r="Z267" s="12">
        <f>Summary!AW37</f>
        <v>9435.431392</v>
      </c>
      <c r="AA267" s="12">
        <f>Summary!AX37</f>
        <v>9472.439036</v>
      </c>
      <c r="AB267" s="12">
        <f>Summary!AY37</f>
        <v>9509.631719</v>
      </c>
      <c r="AC267" s="28"/>
      <c r="AD267" s="11" t="str">
        <f t="shared" si="417"/>
        <v>Marketing &amp; Advertising</v>
      </c>
      <c r="AE267" s="20">
        <f t="shared" si="418"/>
        <v>35871.15</v>
      </c>
      <c r="AF267" s="21">
        <f t="shared" si="419"/>
        <v>138728.856</v>
      </c>
      <c r="AG267" s="12">
        <f t="shared" si="420"/>
        <v>-102857.706</v>
      </c>
      <c r="AH267" s="19">
        <f t="shared" si="421"/>
        <v>2.867421479</v>
      </c>
      <c r="AI267" s="11"/>
      <c r="AJ267" s="11"/>
      <c r="AK267" s="67" t="s">
        <v>111</v>
      </c>
      <c r="AL267" s="12">
        <f t="shared" si="422"/>
        <v>36810</v>
      </c>
      <c r="AM267" s="20">
        <f t="shared" si="423"/>
        <v>32118</v>
      </c>
      <c r="AN267" s="21">
        <f t="shared" si="424"/>
        <v>35871.15</v>
      </c>
      <c r="AO267" s="12">
        <f t="shared" si="425"/>
        <v>138728.856</v>
      </c>
      <c r="AP267" s="20">
        <f t="shared" si="426"/>
        <v>145614.5812</v>
      </c>
      <c r="AQ267" s="21">
        <f t="shared" si="427"/>
        <v>37816.11001</v>
      </c>
      <c r="AR267" s="11"/>
      <c r="AS267" s="11"/>
      <c r="AT267" s="11"/>
      <c r="AU267" s="11"/>
      <c r="AV267" s="11"/>
      <c r="AW267" s="11"/>
      <c r="AX267" s="11"/>
      <c r="AY267" s="11"/>
      <c r="AZ267" s="11"/>
      <c r="BA267" s="11"/>
      <c r="BB267" s="11"/>
      <c r="BC267" s="11"/>
      <c r="BD267" s="11"/>
      <c r="BE267" s="11"/>
      <c r="BF267" s="11"/>
      <c r="BG267" s="11"/>
      <c r="BH267" s="11"/>
      <c r="BI267" s="11"/>
      <c r="BJ267" s="11"/>
      <c r="BK267" s="11"/>
    </row>
    <row r="268" ht="15.75" customHeight="1">
      <c r="A268" s="11"/>
      <c r="B268" s="11"/>
      <c r="C268" s="11"/>
      <c r="D268" s="11" t="s">
        <v>112</v>
      </c>
      <c r="E268" s="12">
        <f>Summary!AB38</f>
        <v>8785</v>
      </c>
      <c r="F268" s="12">
        <f>Summary!AC38</f>
        <v>9684</v>
      </c>
      <c r="G268" s="12">
        <f>Summary!AD38</f>
        <v>7890</v>
      </c>
      <c r="H268" s="12">
        <f>Summary!AE38</f>
        <v>7304</v>
      </c>
      <c r="I268" s="12">
        <f>Summary!AF38</f>
        <v>9840</v>
      </c>
      <c r="J268" s="12">
        <f>Summary!AG38</f>
        <v>9333</v>
      </c>
      <c r="K268" s="12">
        <f>Summary!AH38</f>
        <v>8554</v>
      </c>
      <c r="L268" s="12">
        <f>Summary!AI38</f>
        <v>7912</v>
      </c>
      <c r="M268" s="12">
        <f>Summary!AJ38</f>
        <v>10330</v>
      </c>
      <c r="N268" s="12">
        <f>Summary!AK38</f>
        <v>9174</v>
      </c>
      <c r="O268" s="12">
        <f>Summary!AL38</f>
        <v>8803</v>
      </c>
      <c r="P268" s="12">
        <f>Summary!AM38</f>
        <v>5387.638607</v>
      </c>
      <c r="Q268" s="12">
        <f>Summary!AN38</f>
        <v>5465.197387</v>
      </c>
      <c r="R268" s="12">
        <f>Summary!AO38</f>
        <v>5924.770531</v>
      </c>
      <c r="S268" s="12">
        <f>Summary!AP38</f>
        <v>6345.641851</v>
      </c>
      <c r="T268" s="12">
        <f>Summary!AQ38</f>
        <v>6748.661236</v>
      </c>
      <c r="U268" s="12">
        <f>Summary!AR38</f>
        <v>7149.094692</v>
      </c>
      <c r="V268" s="12">
        <f>Summary!AS38</f>
        <v>7551.88951</v>
      </c>
      <c r="W268" s="12">
        <f>Summary!AT38</f>
        <v>7914.987245</v>
      </c>
      <c r="X268" s="12">
        <f>Summary!AU38</f>
        <v>8271.076426</v>
      </c>
      <c r="Y268" s="12">
        <f>Summary!AV38</f>
        <v>8619.709679</v>
      </c>
      <c r="Z268" s="12">
        <f>Summary!AW38</f>
        <v>8943.801814</v>
      </c>
      <c r="AA268" s="12">
        <f>Summary!AX38</f>
        <v>9264.765233</v>
      </c>
      <c r="AB268" s="12">
        <f>Summary!AY38</f>
        <v>9589.769977</v>
      </c>
      <c r="AC268" s="11"/>
      <c r="AD268" s="11" t="str">
        <f t="shared" si="417"/>
        <v>Office Related</v>
      </c>
      <c r="AE268" s="20">
        <f t="shared" si="418"/>
        <v>33694.63861</v>
      </c>
      <c r="AF268" s="21">
        <f t="shared" si="419"/>
        <v>24484.271</v>
      </c>
      <c r="AG268" s="12">
        <f t="shared" si="420"/>
        <v>9210.367603</v>
      </c>
      <c r="AH268" s="19">
        <f t="shared" si="421"/>
        <v>-0.2733481641</v>
      </c>
      <c r="AI268" s="11"/>
      <c r="AJ268" s="11"/>
      <c r="AK268" s="11" t="s">
        <v>112</v>
      </c>
      <c r="AL268" s="12">
        <f t="shared" si="422"/>
        <v>33663</v>
      </c>
      <c r="AM268" s="20">
        <f t="shared" si="423"/>
        <v>35639</v>
      </c>
      <c r="AN268" s="21">
        <f t="shared" si="424"/>
        <v>33694.63861</v>
      </c>
      <c r="AO268" s="12">
        <f t="shared" si="425"/>
        <v>24484.271</v>
      </c>
      <c r="AP268" s="20">
        <f t="shared" si="426"/>
        <v>30887.04787</v>
      </c>
      <c r="AQ268" s="21">
        <f t="shared" si="427"/>
        <v>36418.0467</v>
      </c>
      <c r="AR268" s="11"/>
      <c r="AS268" s="11"/>
      <c r="AT268" s="11"/>
      <c r="AU268" s="11"/>
      <c r="AV268" s="11"/>
      <c r="AW268" s="11"/>
      <c r="AX268" s="11"/>
      <c r="AY268" s="11"/>
      <c r="AZ268" s="11"/>
      <c r="BA268" s="11"/>
      <c r="BB268" s="11"/>
      <c r="BC268" s="11"/>
      <c r="BD268" s="11"/>
      <c r="BE268" s="11"/>
      <c r="BF268" s="11"/>
      <c r="BG268" s="11"/>
      <c r="BH268" s="11"/>
      <c r="BI268" s="11"/>
      <c r="BJ268" s="11"/>
      <c r="BK268" s="11"/>
    </row>
    <row r="269" ht="15.75" customHeight="1">
      <c r="A269" s="11"/>
      <c r="B269" s="11"/>
      <c r="C269" s="11"/>
      <c r="D269" s="11" t="s">
        <v>68</v>
      </c>
      <c r="E269" s="12">
        <f>Summary!AB39</f>
        <v>7681</v>
      </c>
      <c r="F269" s="12">
        <f>Summary!AC39</f>
        <v>8937</v>
      </c>
      <c r="G269" s="12">
        <f>Summary!AD39</f>
        <v>7092</v>
      </c>
      <c r="H269" s="12">
        <f>Summary!AE39</f>
        <v>10265</v>
      </c>
      <c r="I269" s="12">
        <f>Summary!AF39</f>
        <v>10723</v>
      </c>
      <c r="J269" s="12">
        <f>Summary!AG39</f>
        <v>9835</v>
      </c>
      <c r="K269" s="12">
        <f>Summary!AH39</f>
        <v>9199</v>
      </c>
      <c r="L269" s="12">
        <f>Summary!AI39</f>
        <v>8202</v>
      </c>
      <c r="M269" s="12">
        <f>Summary!AJ39</f>
        <v>8775</v>
      </c>
      <c r="N269" s="12">
        <f>Summary!AK39</f>
        <v>8045</v>
      </c>
      <c r="O269" s="12">
        <f>Summary!AL39</f>
        <v>8244</v>
      </c>
      <c r="P269" s="12">
        <f>Summary!AM39</f>
        <v>59573</v>
      </c>
      <c r="Q269" s="12">
        <f>Summary!AN39</f>
        <v>32070</v>
      </c>
      <c r="R269" s="12">
        <f>Summary!AO39</f>
        <v>14812.1628</v>
      </c>
      <c r="S269" s="12">
        <f>Summary!AP39</f>
        <v>14960.28443</v>
      </c>
      <c r="T269" s="12">
        <f>Summary!AQ39</f>
        <v>15109.88727</v>
      </c>
      <c r="U269" s="12">
        <f>Summary!AR39</f>
        <v>120250</v>
      </c>
      <c r="V269" s="12">
        <f>Summary!AS39</f>
        <v>15413.59601</v>
      </c>
      <c r="W269" s="12">
        <f>Summary!AT39</f>
        <v>15567.73197</v>
      </c>
      <c r="X269" s="12">
        <f>Summary!AU39</f>
        <v>15723.40929</v>
      </c>
      <c r="Y269" s="12">
        <f>Summary!AV39</f>
        <v>123500</v>
      </c>
      <c r="Z269" s="12">
        <f>Summary!AW39</f>
        <v>16039.44982</v>
      </c>
      <c r="AA269" s="12">
        <f>Summary!AX39</f>
        <v>16199.84431</v>
      </c>
      <c r="AB269" s="12">
        <f>Summary!AY39</f>
        <v>16361.84276</v>
      </c>
      <c r="AC269" s="11"/>
      <c r="AD269" s="11" t="str">
        <f t="shared" si="417"/>
        <v>T&amp;E</v>
      </c>
      <c r="AE269" s="20">
        <f t="shared" si="418"/>
        <v>84637</v>
      </c>
      <c r="AF269" s="21">
        <f t="shared" si="419"/>
        <v>76952.33451</v>
      </c>
      <c r="AG269" s="12">
        <f t="shared" si="420"/>
        <v>7684.665493</v>
      </c>
      <c r="AH269" s="19">
        <f t="shared" si="421"/>
        <v>-0.09079557986</v>
      </c>
      <c r="AI269" s="11"/>
      <c r="AJ269" s="11"/>
      <c r="AK269" s="11" t="s">
        <v>68</v>
      </c>
      <c r="AL269" s="12">
        <f t="shared" si="422"/>
        <v>33975</v>
      </c>
      <c r="AM269" s="20">
        <f t="shared" si="423"/>
        <v>37959</v>
      </c>
      <c r="AN269" s="21">
        <f t="shared" si="424"/>
        <v>84637</v>
      </c>
      <c r="AO269" s="12">
        <f t="shared" si="425"/>
        <v>76952.33451</v>
      </c>
      <c r="AP269" s="20">
        <f t="shared" si="426"/>
        <v>166954.7373</v>
      </c>
      <c r="AQ269" s="21">
        <f t="shared" si="427"/>
        <v>172101.1369</v>
      </c>
      <c r="AR269" s="11"/>
      <c r="AS269" s="11"/>
      <c r="AT269" s="11"/>
      <c r="AU269" s="11"/>
      <c r="AV269" s="11"/>
      <c r="AW269" s="11"/>
      <c r="AX269" s="11"/>
      <c r="AY269" s="11"/>
      <c r="AZ269" s="11"/>
      <c r="BA269" s="11"/>
      <c r="BB269" s="11"/>
      <c r="BC269" s="11"/>
      <c r="BD269" s="11"/>
      <c r="BE269" s="11"/>
      <c r="BF269" s="11"/>
      <c r="BG269" s="11"/>
      <c r="BH269" s="11"/>
      <c r="BI269" s="11"/>
      <c r="BJ269" s="11"/>
      <c r="BK269" s="11"/>
    </row>
    <row r="270" ht="15.75" customHeight="1">
      <c r="A270" s="11"/>
      <c r="B270" s="28"/>
      <c r="C270" s="28"/>
      <c r="D270" s="11" t="s">
        <v>113</v>
      </c>
      <c r="E270" s="12">
        <f>Summary!AB40</f>
        <v>9308</v>
      </c>
      <c r="F270" s="12">
        <f>Summary!AC40</f>
        <v>11240</v>
      </c>
      <c r="G270" s="12">
        <f>Summary!AD40</f>
        <v>7579</v>
      </c>
      <c r="H270" s="12">
        <f>Summary!AE40</f>
        <v>10382</v>
      </c>
      <c r="I270" s="12">
        <f>Summary!AF40</f>
        <v>9090</v>
      </c>
      <c r="J270" s="12">
        <f>Summary!AG40</f>
        <v>11165</v>
      </c>
      <c r="K270" s="12">
        <f>Summary!AH40</f>
        <v>12691</v>
      </c>
      <c r="L270" s="12">
        <f>Summary!AI40</f>
        <v>11253</v>
      </c>
      <c r="M270" s="12">
        <f>Summary!AJ40</f>
        <v>10690</v>
      </c>
      <c r="N270" s="12">
        <f>Summary!AK40</f>
        <v>8961</v>
      </c>
      <c r="O270" s="12">
        <f>Summary!AL40</f>
        <v>11204</v>
      </c>
      <c r="P270" s="12">
        <f>Summary!AM40</f>
        <v>13268.42423</v>
      </c>
      <c r="Q270" s="12">
        <f>Summary!AN40</f>
        <v>13960.50508</v>
      </c>
      <c r="R270" s="12">
        <f>Summary!AO40</f>
        <v>14644.45184</v>
      </c>
      <c r="S270" s="12">
        <f>Summary!AP40</f>
        <v>15270.80171</v>
      </c>
      <c r="T270" s="12">
        <f>Summary!AQ40</f>
        <v>15870.58394</v>
      </c>
      <c r="U270" s="12">
        <f>Summary!AR40</f>
        <v>16466.51773</v>
      </c>
      <c r="V270" s="12">
        <f>Summary!AS40</f>
        <v>17265.96576</v>
      </c>
      <c r="W270" s="12">
        <f>Summary!AT40</f>
        <v>17806.33571</v>
      </c>
      <c r="X270" s="12">
        <f>Summary!AU40</f>
        <v>18336.27539</v>
      </c>
      <c r="Y270" s="12">
        <f>Summary!AV40</f>
        <v>18855.11899</v>
      </c>
      <c r="Z270" s="12">
        <f>Summary!AW40</f>
        <v>19337.43997</v>
      </c>
      <c r="AA270" s="12">
        <f>Summary!AX40</f>
        <v>19815.10472</v>
      </c>
      <c r="AB270" s="12">
        <f>Summary!AY40</f>
        <v>20298.78386</v>
      </c>
      <c r="AC270" s="28"/>
      <c r="AD270" s="11" t="str">
        <f t="shared" si="417"/>
        <v>Other Opex</v>
      </c>
      <c r="AE270" s="20">
        <f t="shared" si="418"/>
        <v>44123.42423</v>
      </c>
      <c r="AF270" s="21">
        <f t="shared" si="419"/>
        <v>59746.34257</v>
      </c>
      <c r="AG270" s="12">
        <f t="shared" si="420"/>
        <v>-15622.91834</v>
      </c>
      <c r="AH270" s="19">
        <f t="shared" si="421"/>
        <v>0.3540731166</v>
      </c>
      <c r="AI270" s="11"/>
      <c r="AJ270" s="11"/>
      <c r="AK270" s="11" t="s">
        <v>113</v>
      </c>
      <c r="AL270" s="12">
        <f t="shared" si="422"/>
        <v>38509</v>
      </c>
      <c r="AM270" s="20">
        <f t="shared" si="423"/>
        <v>44199</v>
      </c>
      <c r="AN270" s="21">
        <f t="shared" si="424"/>
        <v>44123.42423</v>
      </c>
      <c r="AO270" s="12">
        <f t="shared" si="425"/>
        <v>59746.34257</v>
      </c>
      <c r="AP270" s="20">
        <f t="shared" si="426"/>
        <v>69875.0946</v>
      </c>
      <c r="AQ270" s="21">
        <f t="shared" si="427"/>
        <v>78306.44755</v>
      </c>
      <c r="AR270" s="11"/>
      <c r="AS270" s="11"/>
      <c r="AT270" s="11"/>
      <c r="AU270" s="11"/>
      <c r="AV270" s="11"/>
      <c r="AW270" s="11"/>
      <c r="AX270" s="11"/>
      <c r="AY270" s="11"/>
      <c r="AZ270" s="11"/>
      <c r="BA270" s="11"/>
      <c r="BB270" s="11"/>
      <c r="BC270" s="11"/>
      <c r="BD270" s="11"/>
      <c r="BE270" s="11"/>
      <c r="BF270" s="11"/>
      <c r="BG270" s="11"/>
      <c r="BH270" s="11"/>
      <c r="BI270" s="11"/>
      <c r="BJ270" s="11"/>
      <c r="BK270" s="11"/>
    </row>
    <row r="271" ht="15.75" customHeight="1">
      <c r="A271" s="11"/>
      <c r="B271" s="11"/>
      <c r="C271" s="11"/>
      <c r="D271" s="68" t="s">
        <v>114</v>
      </c>
      <c r="E271" s="23">
        <f t="shared" ref="E271:AB271" si="428">SUM(E262:E270)</f>
        <v>62383</v>
      </c>
      <c r="F271" s="23">
        <f t="shared" si="428"/>
        <v>65921</v>
      </c>
      <c r="G271" s="23">
        <f t="shared" si="428"/>
        <v>60776</v>
      </c>
      <c r="H271" s="23">
        <f t="shared" si="428"/>
        <v>69171</v>
      </c>
      <c r="I271" s="23">
        <f t="shared" si="428"/>
        <v>66969</v>
      </c>
      <c r="J271" s="23">
        <f t="shared" si="428"/>
        <v>67260</v>
      </c>
      <c r="K271" s="23">
        <f t="shared" si="428"/>
        <v>63233</v>
      </c>
      <c r="L271" s="23">
        <f t="shared" si="428"/>
        <v>61646</v>
      </c>
      <c r="M271" s="23">
        <f t="shared" si="428"/>
        <v>66360</v>
      </c>
      <c r="N271" s="23">
        <f t="shared" si="428"/>
        <v>62276</v>
      </c>
      <c r="O271" s="23">
        <f t="shared" si="428"/>
        <v>66325</v>
      </c>
      <c r="P271" s="23">
        <f t="shared" si="428"/>
        <v>246539.2638</v>
      </c>
      <c r="Q271" s="23">
        <f t="shared" si="428"/>
        <v>318189.4546</v>
      </c>
      <c r="R271" s="23">
        <f t="shared" si="428"/>
        <v>435715.2649</v>
      </c>
      <c r="S271" s="23">
        <f t="shared" si="428"/>
        <v>345269.5776</v>
      </c>
      <c r="T271" s="23">
        <f t="shared" si="428"/>
        <v>366471.5688</v>
      </c>
      <c r="U271" s="23">
        <f t="shared" si="428"/>
        <v>494233.1641</v>
      </c>
      <c r="V271" s="23">
        <f t="shared" si="428"/>
        <v>393161.1931</v>
      </c>
      <c r="W271" s="23">
        <f t="shared" si="428"/>
        <v>523643.139</v>
      </c>
      <c r="X271" s="23">
        <f t="shared" si="428"/>
        <v>438507.3573</v>
      </c>
      <c r="Y271" s="23">
        <f t="shared" si="428"/>
        <v>578306.4862</v>
      </c>
      <c r="Z271" s="23">
        <f t="shared" si="428"/>
        <v>485400.0389</v>
      </c>
      <c r="AA271" s="23">
        <f t="shared" si="428"/>
        <v>509332.0341</v>
      </c>
      <c r="AB271" s="23">
        <f t="shared" si="428"/>
        <v>526833.8369</v>
      </c>
      <c r="AC271" s="11"/>
      <c r="AD271" s="68" t="str">
        <f t="shared" si="417"/>
        <v>Total Opex</v>
      </c>
      <c r="AE271" s="23">
        <f t="shared" si="418"/>
        <v>441500.2638</v>
      </c>
      <c r="AF271" s="23">
        <f t="shared" si="419"/>
        <v>1465645.866</v>
      </c>
      <c r="AG271" s="26">
        <f>AF271-AE271</f>
        <v>1024145.602</v>
      </c>
      <c r="AH271" s="27">
        <f t="shared" si="421"/>
        <v>2.319694202</v>
      </c>
      <c r="AI271" s="11"/>
      <c r="AJ271" s="11"/>
      <c r="AK271" s="68" t="s">
        <v>114</v>
      </c>
      <c r="AL271" s="82">
        <f t="shared" si="422"/>
        <v>258251</v>
      </c>
      <c r="AM271" s="23">
        <f t="shared" si="423"/>
        <v>259108</v>
      </c>
      <c r="AN271" s="23">
        <f t="shared" si="424"/>
        <v>441500.2638</v>
      </c>
      <c r="AO271" s="82">
        <f t="shared" si="425"/>
        <v>1465645.866</v>
      </c>
      <c r="AP271" s="23">
        <f t="shared" si="426"/>
        <v>1849544.853</v>
      </c>
      <c r="AQ271" s="23">
        <f t="shared" si="427"/>
        <v>2099872.396</v>
      </c>
      <c r="AR271" s="11"/>
      <c r="AS271" s="11"/>
      <c r="AT271" s="11"/>
      <c r="AU271" s="11"/>
      <c r="AV271" s="11"/>
      <c r="AW271" s="11"/>
      <c r="AX271" s="11"/>
      <c r="AY271" s="11"/>
      <c r="AZ271" s="11"/>
      <c r="BA271" s="11"/>
      <c r="BB271" s="11"/>
      <c r="BC271" s="11"/>
      <c r="BD271" s="11"/>
      <c r="BE271" s="11"/>
      <c r="BF271" s="11"/>
      <c r="BG271" s="11"/>
      <c r="BH271" s="11"/>
      <c r="BI271" s="11"/>
      <c r="BJ271" s="11"/>
      <c r="BK271" s="11"/>
    </row>
    <row r="272" ht="15.75" customHeight="1">
      <c r="A272" s="11"/>
      <c r="B272" s="11"/>
      <c r="C272" s="11"/>
      <c r="D272" s="11" t="s">
        <v>99</v>
      </c>
      <c r="E272" s="19">
        <f>Summary!X42</f>
        <v>0.01713097588</v>
      </c>
      <c r="F272" s="19">
        <f>Summary!Y42</f>
        <v>-0.007110268413</v>
      </c>
      <c r="G272" s="19">
        <f>Summary!Z42</f>
        <v>-0.03370233335</v>
      </c>
      <c r="H272" s="19">
        <f>Summary!AA42</f>
        <v>0.06490759468</v>
      </c>
      <c r="I272" s="19">
        <f>Summary!AB42</f>
        <v>-0.09554463341</v>
      </c>
      <c r="J272" s="19">
        <f>Summary!AC42</f>
        <v>0.05671416892</v>
      </c>
      <c r="K272" s="19">
        <f>Summary!AD42</f>
        <v>-0.07804796651</v>
      </c>
      <c r="L272" s="19">
        <f>Summary!AE42</f>
        <v>0.138130183</v>
      </c>
      <c r="M272" s="19">
        <f>Summary!AF42</f>
        <v>-0.03183415015</v>
      </c>
      <c r="N272" s="19">
        <f>Summary!AG42</f>
        <v>0.004345294091</v>
      </c>
      <c r="O272" s="19">
        <f>Summary!AH42</f>
        <v>-0.05987213797</v>
      </c>
      <c r="P272" s="19">
        <f>Summary!AI42</f>
        <v>-0.02509765471</v>
      </c>
      <c r="Q272" s="19">
        <f>Summary!AJ42</f>
        <v>0.07646887065</v>
      </c>
      <c r="R272" s="19">
        <f>Summary!AK42</f>
        <v>-0.06154309825</v>
      </c>
      <c r="S272" s="19">
        <f>Summary!AL42</f>
        <v>0.065017021</v>
      </c>
      <c r="T272" s="19">
        <f>Summary!AM42</f>
        <v>2.717139296</v>
      </c>
      <c r="U272" s="19">
        <f>Summary!AN42</f>
        <v>0.2906238533</v>
      </c>
      <c r="V272" s="19">
        <f>Summary!AO42</f>
        <v>0.3693579677</v>
      </c>
      <c r="W272" s="19">
        <f>Summary!AP42</f>
        <v>-0.2075797994</v>
      </c>
      <c r="X272" s="19">
        <f>Summary!AQ42</f>
        <v>0.06140706448</v>
      </c>
      <c r="Y272" s="19">
        <f>Summary!AR42</f>
        <v>0.3486262132</v>
      </c>
      <c r="Z272" s="19">
        <f>Summary!AS42</f>
        <v>-0.2045026081</v>
      </c>
      <c r="AA272" s="19">
        <f>Summary!AT42</f>
        <v>0.331879006</v>
      </c>
      <c r="AB272" s="19">
        <f>Summary!AU42</f>
        <v>-0.1625835906</v>
      </c>
      <c r="AC272" s="19"/>
      <c r="AD272" s="19" t="str">
        <f t="shared" si="417"/>
        <v>  % Growth</v>
      </c>
      <c r="AE272" s="19">
        <f>(AE271/AM271)-1</f>
        <v>0.7039237067</v>
      </c>
      <c r="AF272" s="19">
        <f>AF271/AE271-1</f>
        <v>2.319694202</v>
      </c>
      <c r="AG272" s="12"/>
      <c r="AH272" s="19"/>
      <c r="AI272" s="11"/>
      <c r="AJ272" s="11"/>
      <c r="AK272" s="11" t="s">
        <v>99</v>
      </c>
      <c r="AL272" s="19">
        <f t="shared" si="422"/>
        <v>0.04122596879</v>
      </c>
      <c r="AM272" s="19">
        <f t="shared" si="423"/>
        <v>0.02125175198</v>
      </c>
      <c r="AN272" s="19">
        <f t="shared" si="424"/>
        <v>-0.1124586487</v>
      </c>
      <c r="AO272" s="19">
        <f t="shared" si="425"/>
        <v>2.797082089</v>
      </c>
      <c r="AP272" s="19">
        <f t="shared" si="426"/>
        <v>0.5138090861</v>
      </c>
      <c r="AQ272" s="19">
        <f t="shared" si="427"/>
        <v>0.3134190205</v>
      </c>
      <c r="AR272" s="11"/>
      <c r="AS272" s="11"/>
      <c r="AT272" s="11"/>
      <c r="AU272" s="11"/>
      <c r="AV272" s="11"/>
      <c r="AW272" s="11"/>
      <c r="AX272" s="11"/>
      <c r="AY272" s="11"/>
      <c r="AZ272" s="11"/>
      <c r="BA272" s="11"/>
      <c r="BB272" s="11"/>
      <c r="BC272" s="11"/>
      <c r="BD272" s="11"/>
      <c r="BE272" s="11"/>
      <c r="BF272" s="11"/>
      <c r="BG272" s="11"/>
      <c r="BH272" s="11"/>
      <c r="BI272" s="11"/>
      <c r="BJ272" s="11"/>
      <c r="BK272" s="11"/>
    </row>
    <row r="273" ht="15.75" customHeight="1">
      <c r="A273" s="11"/>
      <c r="B273" s="11"/>
      <c r="C273" s="11"/>
      <c r="D273" s="11"/>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11"/>
      <c r="AD273" s="11"/>
      <c r="AE273" s="11"/>
      <c r="AF273" s="11"/>
      <c r="AG273" s="12"/>
      <c r="AH273" s="19"/>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row>
    <row r="274" ht="15.75" customHeight="1">
      <c r="A274" s="11"/>
      <c r="B274" s="11"/>
      <c r="C274" s="11"/>
      <c r="D274" s="40" t="s">
        <v>106</v>
      </c>
      <c r="E274" s="40">
        <f t="shared" ref="E274:AB274" si="429">E259-E271</f>
        <v>1043995</v>
      </c>
      <c r="F274" s="40">
        <f t="shared" si="429"/>
        <v>882813</v>
      </c>
      <c r="G274" s="40">
        <f t="shared" si="429"/>
        <v>978812</v>
      </c>
      <c r="H274" s="40">
        <f t="shared" si="429"/>
        <v>1071763</v>
      </c>
      <c r="I274" s="40">
        <f t="shared" si="429"/>
        <v>1051136</v>
      </c>
      <c r="J274" s="40">
        <f t="shared" si="429"/>
        <v>938291</v>
      </c>
      <c r="K274" s="40">
        <f t="shared" si="429"/>
        <v>996433</v>
      </c>
      <c r="L274" s="40">
        <f t="shared" si="429"/>
        <v>1199426</v>
      </c>
      <c r="M274" s="40">
        <f t="shared" si="429"/>
        <v>1112604</v>
      </c>
      <c r="N274" s="40">
        <f t="shared" si="429"/>
        <v>989329</v>
      </c>
      <c r="O274" s="40">
        <f t="shared" si="429"/>
        <v>991331</v>
      </c>
      <c r="P274" s="40">
        <f t="shared" si="429"/>
        <v>983012.4932</v>
      </c>
      <c r="Q274" s="40">
        <f t="shared" si="429"/>
        <v>1152434.321</v>
      </c>
      <c r="R274" s="40">
        <f t="shared" si="429"/>
        <v>1268969.36</v>
      </c>
      <c r="S274" s="40">
        <f t="shared" si="429"/>
        <v>1572633.325</v>
      </c>
      <c r="T274" s="40">
        <f t="shared" si="429"/>
        <v>1761645.495</v>
      </c>
      <c r="U274" s="40">
        <f t="shared" si="429"/>
        <v>1840419.727</v>
      </c>
      <c r="V274" s="40">
        <f t="shared" si="429"/>
        <v>2158260.418</v>
      </c>
      <c r="W274" s="40">
        <f t="shared" si="429"/>
        <v>2201544.289</v>
      </c>
      <c r="X274" s="40">
        <f t="shared" si="429"/>
        <v>2471660.678</v>
      </c>
      <c r="Y274" s="40">
        <f t="shared" si="429"/>
        <v>2502954.159</v>
      </c>
      <c r="Z274" s="40">
        <f t="shared" si="429"/>
        <v>2754791.162</v>
      </c>
      <c r="AA274" s="40">
        <f t="shared" si="429"/>
        <v>2896926.7</v>
      </c>
      <c r="AB274" s="40">
        <f t="shared" si="429"/>
        <v>3033934.474</v>
      </c>
      <c r="AC274" s="11"/>
      <c r="AD274" s="83" t="str">
        <f t="shared" ref="AD274:AD275" si="431">D274</f>
        <v>EBITDA</v>
      </c>
      <c r="AE274" s="37">
        <f>SUM(M274:P274)</f>
        <v>4076276.493</v>
      </c>
      <c r="AF274" s="37">
        <f>SUM(Q274:T274)</f>
        <v>5755682.5</v>
      </c>
      <c r="AG274" s="40">
        <f t="shared" ref="AG274:AG275" si="433">AF274-AE274</f>
        <v>1679406.007</v>
      </c>
      <c r="AH274" s="41">
        <f>AF274/AE274-1</f>
        <v>0.411995116</v>
      </c>
      <c r="AI274" s="11"/>
      <c r="AJ274" s="11"/>
      <c r="AK274" s="40" t="s">
        <v>106</v>
      </c>
      <c r="AL274" s="83">
        <f>SUM(E274:H274)</f>
        <v>3977383</v>
      </c>
      <c r="AM274" s="37">
        <f>SUM(I274:L274)</f>
        <v>4185286</v>
      </c>
      <c r="AN274" s="37">
        <f>SUM(M274:P274)</f>
        <v>4076276.493</v>
      </c>
      <c r="AO274" s="83">
        <f>SUM(Q274:T274)</f>
        <v>5755682.5</v>
      </c>
      <c r="AP274" s="37">
        <f>SUM(U274:X274)</f>
        <v>8671885.113</v>
      </c>
      <c r="AQ274" s="37">
        <f>SUM(Y274:AB274)</f>
        <v>11188606.5</v>
      </c>
      <c r="AR274" s="11"/>
      <c r="AS274" s="11"/>
      <c r="AT274" s="11"/>
      <c r="AU274" s="11"/>
      <c r="AV274" s="11"/>
      <c r="AW274" s="11"/>
      <c r="AX274" s="11"/>
      <c r="AY274" s="11"/>
      <c r="AZ274" s="11"/>
      <c r="BA274" s="11"/>
      <c r="BB274" s="11"/>
      <c r="BC274" s="11"/>
      <c r="BD274" s="11"/>
      <c r="BE274" s="11"/>
      <c r="BF274" s="11"/>
      <c r="BG274" s="11"/>
      <c r="BH274" s="11"/>
      <c r="BI274" s="11"/>
      <c r="BJ274" s="11"/>
      <c r="BK274" s="11"/>
    </row>
    <row r="275" ht="15.75" customHeight="1">
      <c r="A275" s="11"/>
      <c r="B275" s="11"/>
      <c r="C275" s="11"/>
      <c r="D275" s="79" t="s">
        <v>115</v>
      </c>
      <c r="E275" s="43">
        <f t="shared" ref="E275:AB275" si="430">E274/E236</f>
        <v>0.9246462812</v>
      </c>
      <c r="F275" s="43">
        <f t="shared" si="430"/>
        <v>0.9081830948</v>
      </c>
      <c r="G275" s="43">
        <f t="shared" si="430"/>
        <v>0.9188980118</v>
      </c>
      <c r="H275" s="43">
        <f t="shared" si="430"/>
        <v>0.9199871929</v>
      </c>
      <c r="I275" s="43">
        <f t="shared" si="430"/>
        <v>0.9210674588</v>
      </c>
      <c r="J275" s="43">
        <f t="shared" si="430"/>
        <v>0.9141714992</v>
      </c>
      <c r="K275" s="43">
        <f t="shared" si="430"/>
        <v>0.9188439769</v>
      </c>
      <c r="L275" s="43">
        <f t="shared" si="430"/>
        <v>0.935633493</v>
      </c>
      <c r="M275" s="43">
        <f t="shared" si="430"/>
        <v>0.9238641063</v>
      </c>
      <c r="N275" s="43">
        <f t="shared" si="430"/>
        <v>0.9193294194</v>
      </c>
      <c r="O275" s="43">
        <f t="shared" si="430"/>
        <v>0.9187199674</v>
      </c>
      <c r="P275" s="43">
        <f t="shared" si="430"/>
        <v>0.6943205244</v>
      </c>
      <c r="Q275" s="43">
        <f t="shared" si="430"/>
        <v>0.6911331091</v>
      </c>
      <c r="R275" s="43">
        <f t="shared" si="430"/>
        <v>0.6622445452</v>
      </c>
      <c r="S275" s="43">
        <f t="shared" si="430"/>
        <v>0.7335290187</v>
      </c>
      <c r="T275" s="43">
        <f t="shared" si="430"/>
        <v>0.74581826</v>
      </c>
      <c r="U275" s="43">
        <f t="shared" si="430"/>
        <v>0.7136912634</v>
      </c>
      <c r="V275" s="43">
        <f t="shared" si="430"/>
        <v>0.771712726</v>
      </c>
      <c r="W275" s="43">
        <f t="shared" si="430"/>
        <v>0.735512073</v>
      </c>
      <c r="X275" s="43">
        <f t="shared" si="430"/>
        <v>0.7758079231</v>
      </c>
      <c r="Y275" s="43">
        <f t="shared" si="430"/>
        <v>0.741706431</v>
      </c>
      <c r="Z275" s="43">
        <f t="shared" si="430"/>
        <v>0.7760022822</v>
      </c>
      <c r="AA275" s="43">
        <f t="shared" si="430"/>
        <v>0.7779752884</v>
      </c>
      <c r="AB275" s="43">
        <f t="shared" si="430"/>
        <v>0.7780201383</v>
      </c>
      <c r="AC275" s="11"/>
      <c r="AD275" s="79" t="str">
        <f t="shared" si="431"/>
        <v>EBITDA Margin</v>
      </c>
      <c r="AE275" s="43">
        <f t="shared" ref="AE275:AF275" si="432">AE274/AE236</f>
        <v>0.8536236982</v>
      </c>
      <c r="AF275" s="43">
        <f t="shared" si="432"/>
        <v>0.7114934432</v>
      </c>
      <c r="AG275" s="43">
        <f t="shared" si="433"/>
        <v>-0.142130255</v>
      </c>
      <c r="AH275" s="43"/>
      <c r="AI275" s="11"/>
      <c r="AJ275" s="11"/>
      <c r="AK275" s="79" t="s">
        <v>115</v>
      </c>
      <c r="AL275" s="43">
        <f t="shared" ref="AL275:AQ275" si="434">AL274/AL236</f>
        <v>0.9182846884</v>
      </c>
      <c r="AM275" s="43">
        <f t="shared" si="434"/>
        <v>0.9230929728</v>
      </c>
      <c r="AN275" s="43">
        <f t="shared" si="434"/>
        <v>0.8536236982</v>
      </c>
      <c r="AO275" s="43">
        <f t="shared" si="434"/>
        <v>0.7114934432</v>
      </c>
      <c r="AP275" s="43">
        <f t="shared" si="434"/>
        <v>0.7505149666</v>
      </c>
      <c r="AQ275" s="43">
        <f t="shared" si="434"/>
        <v>0.7690927275</v>
      </c>
      <c r="AR275" s="11"/>
      <c r="AS275" s="11"/>
      <c r="AT275" s="11"/>
      <c r="AU275" s="11"/>
      <c r="AV275" s="11"/>
      <c r="AW275" s="11"/>
      <c r="AX275" s="11"/>
      <c r="AY275" s="11"/>
      <c r="AZ275" s="11"/>
      <c r="BA275" s="11"/>
      <c r="BB275" s="11"/>
      <c r="BC275" s="11"/>
      <c r="BD275" s="11"/>
      <c r="BE275" s="11"/>
      <c r="BF275" s="11"/>
      <c r="BG275" s="11"/>
      <c r="BH275" s="11"/>
      <c r="BI275" s="11"/>
      <c r="BJ275" s="11"/>
      <c r="BK275" s="11"/>
    </row>
    <row r="276" ht="15.75" customHeight="1">
      <c r="A276" s="11"/>
      <c r="B276" s="11"/>
      <c r="C276" s="11"/>
      <c r="D276" s="79"/>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11"/>
      <c r="AD276" s="79"/>
      <c r="AE276" s="11"/>
      <c r="AF276" s="11"/>
      <c r="AG276" s="84"/>
      <c r="AH276" s="19"/>
      <c r="AI276" s="11"/>
      <c r="AJ276" s="11"/>
      <c r="AK276" s="79"/>
      <c r="AL276" s="79"/>
      <c r="AM276" s="11"/>
      <c r="AN276" s="11"/>
      <c r="AO276" s="79"/>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2"/>
      <c r="AH277" s="19"/>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row>
    <row r="278" ht="15.75" customHeight="1">
      <c r="A278" s="11"/>
      <c r="B278" s="11"/>
      <c r="C278" s="11"/>
      <c r="D278" s="11" t="s">
        <v>15</v>
      </c>
      <c r="E278" s="20">
        <f>SUM(Headcount!D6:D7,Headcount!D16:D19)</f>
        <v>34</v>
      </c>
      <c r="F278" s="20">
        <f>SUM(Headcount!E6:E7,Headcount!E16:E19)</f>
        <v>34</v>
      </c>
      <c r="G278" s="20">
        <f>SUM(Headcount!F6:F7,Headcount!F16:F19)</f>
        <v>34</v>
      </c>
      <c r="H278" s="20">
        <f>SUM(Headcount!G6:G7,Headcount!G16:G19)</f>
        <v>34</v>
      </c>
      <c r="I278" s="20">
        <f>SUM(Headcount!H6:H7,Headcount!H16:H19)</f>
        <v>34</v>
      </c>
      <c r="J278" s="20">
        <f>SUM(Headcount!I6:I7,Headcount!I16:I19)</f>
        <v>34</v>
      </c>
      <c r="K278" s="20">
        <f>SUM(Headcount!J6:J7,Headcount!J16:J19)</f>
        <v>34</v>
      </c>
      <c r="L278" s="20">
        <f>SUM(Headcount!K6:K7,Headcount!K16:K19)</f>
        <v>34</v>
      </c>
      <c r="M278" s="20">
        <f>SUM(Headcount!L6:L7,Headcount!L16:L19)</f>
        <v>34</v>
      </c>
      <c r="N278" s="20">
        <f>SUM(Headcount!M6:M7,Headcount!M16:M19)</f>
        <v>34</v>
      </c>
      <c r="O278" s="20">
        <f>SUM(Headcount!N6:N7,Headcount!N16:N19)</f>
        <v>34</v>
      </c>
      <c r="P278" s="20">
        <f>SUM(Headcount!O6:O7,Headcount!O16:O19)</f>
        <v>34</v>
      </c>
      <c r="Q278" s="20">
        <f>SUM(Headcount!P6:P7,Headcount!P16:P19)</f>
        <v>34</v>
      </c>
      <c r="R278" s="20">
        <f>SUM(Headcount!Q6:Q7,Headcount!Q16:Q19)</f>
        <v>34</v>
      </c>
      <c r="S278" s="20">
        <f>SUM(Headcount!R6:R25,Headcount!R16:R19)</f>
        <v>322</v>
      </c>
      <c r="T278" s="20">
        <f>SUM(Headcount!S6:S7,Headcount!S16:S19)</f>
        <v>42</v>
      </c>
      <c r="U278" s="20">
        <f>SUM(Headcount!T6:T7,Headcount!T16:T19)</f>
        <v>41</v>
      </c>
      <c r="V278" s="20">
        <f>SUM(Headcount!U6:U7,Headcount!U16:U19)</f>
        <v>43</v>
      </c>
      <c r="W278" s="20">
        <f>SUM(Headcount!V6:V7,Headcount!V16:V19)</f>
        <v>44</v>
      </c>
      <c r="X278" s="20">
        <f>SUM(Headcount!W6:W7,Headcount!W16:W19)</f>
        <v>46</v>
      </c>
      <c r="Y278" s="20">
        <f>SUM(Headcount!X6:X7,Headcount!X16:X19)</f>
        <v>46</v>
      </c>
      <c r="Z278" s="20">
        <f>SUM(Headcount!Y6:Y7,Headcount!Y16:Y19)</f>
        <v>46</v>
      </c>
      <c r="AA278" s="20">
        <f>SUM(Headcount!Z6:Z7,Headcount!Z16:Z19)</f>
        <v>47</v>
      </c>
      <c r="AB278" s="20">
        <f>SUM(Headcount!AA6:AA7,Headcount!AA16:AA19)</f>
        <v>49</v>
      </c>
      <c r="AC278" s="11"/>
      <c r="AD278" s="11" t="str">
        <f>D278</f>
        <v>Headcount</v>
      </c>
      <c r="AE278" s="20">
        <f>P278</f>
        <v>34</v>
      </c>
      <c r="AF278" s="20">
        <f>T278</f>
        <v>42</v>
      </c>
      <c r="AG278" s="21">
        <f>AF278-AE278</f>
        <v>8</v>
      </c>
      <c r="AH278" s="19">
        <f>AF278/AE278-1</f>
        <v>0.2352941176</v>
      </c>
      <c r="AI278" s="11"/>
      <c r="AJ278" s="11"/>
      <c r="AK278" s="11"/>
      <c r="AL278" s="11"/>
      <c r="AM278" s="20"/>
      <c r="AN278" s="20"/>
      <c r="AO278" s="11"/>
      <c r="AP278" s="20"/>
      <c r="AQ278" s="20"/>
      <c r="AR278" s="11"/>
      <c r="AS278" s="11"/>
      <c r="AT278" s="11"/>
      <c r="AU278" s="11"/>
      <c r="AV278" s="11"/>
      <c r="AW278" s="11"/>
      <c r="AX278" s="11"/>
      <c r="AY278" s="11"/>
      <c r="AZ278" s="11"/>
      <c r="BA278" s="11"/>
      <c r="BB278" s="11"/>
      <c r="BC278" s="11"/>
      <c r="BD278" s="11"/>
      <c r="BE278" s="11"/>
      <c r="BF278" s="11"/>
      <c r="BG278" s="11"/>
      <c r="BH278" s="11"/>
      <c r="BI278" s="11"/>
      <c r="BJ278" s="11"/>
      <c r="BK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2"/>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row>
    <row r="280" ht="15.75" customHeight="1">
      <c r="A280" s="11"/>
      <c r="B280" s="11"/>
      <c r="C280" s="11"/>
      <c r="D280" s="11" t="s">
        <v>84</v>
      </c>
      <c r="E280" s="24"/>
      <c r="F280" s="24"/>
      <c r="G280" s="24"/>
      <c r="H280" s="24"/>
      <c r="I280" s="24"/>
      <c r="J280" s="24"/>
      <c r="K280" s="24"/>
      <c r="L280" s="24"/>
      <c r="M280" s="24">
        <f>M274-Summary!AJ44</f>
        <v>-6753</v>
      </c>
      <c r="N280" s="24">
        <f>N274-Summary!AK44</f>
        <v>-187009</v>
      </c>
      <c r="O280" s="24">
        <f>O274-Summary!AL44</f>
        <v>-230059</v>
      </c>
      <c r="P280" s="24">
        <f>P274-Summary!AM44</f>
        <v>0</v>
      </c>
      <c r="Q280" s="24">
        <f>Q274-Summary!AN44</f>
        <v>0</v>
      </c>
      <c r="R280" s="24">
        <f>R274-Summary!AO44</f>
        <v>0</v>
      </c>
      <c r="S280" s="24">
        <f>S274-Summary!AP44</f>
        <v>0</v>
      </c>
      <c r="T280" s="24">
        <f>T274-Summary!AQ44</f>
        <v>0</v>
      </c>
      <c r="U280" s="24"/>
      <c r="V280" s="24"/>
      <c r="W280" s="24"/>
      <c r="X280" s="24"/>
      <c r="Y280" s="24"/>
      <c r="Z280" s="24"/>
      <c r="AA280" s="24"/>
      <c r="AB280" s="24"/>
      <c r="AC280" s="11"/>
      <c r="AD280" s="11"/>
      <c r="AE280" s="11"/>
      <c r="AF280" s="11"/>
      <c r="AG280" s="12"/>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row>
    <row r="281" ht="15.75" customHeight="1">
      <c r="A281" s="11"/>
      <c r="B281" s="11"/>
      <c r="C281" s="11"/>
      <c r="D281" s="11"/>
      <c r="E281" s="11"/>
      <c r="F281" s="11"/>
      <c r="G281" s="11"/>
      <c r="H281" s="11"/>
      <c r="I281" s="11"/>
      <c r="J281" s="11"/>
      <c r="K281" s="11"/>
      <c r="L281" s="11"/>
      <c r="M281" s="11"/>
      <c r="N281" s="11"/>
      <c r="O281" s="12">
        <f>O267-N267</f>
        <v>-1176</v>
      </c>
      <c r="P281" s="11"/>
      <c r="Q281" s="11"/>
      <c r="R281" s="11"/>
      <c r="S281" s="11"/>
      <c r="T281" s="11"/>
      <c r="U281" s="11"/>
      <c r="V281" s="11"/>
      <c r="W281" s="11"/>
      <c r="X281" s="11"/>
      <c r="Y281" s="11"/>
      <c r="Z281" s="11"/>
      <c r="AA281" s="11"/>
      <c r="AB281" s="11"/>
      <c r="AC281" s="11"/>
      <c r="AD281" s="11"/>
      <c r="AE281" s="11"/>
      <c r="AF281" s="11"/>
      <c r="AG281" s="12"/>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2"/>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2"/>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row>
    <row r="284" ht="15.75" customHeight="1">
      <c r="A284" s="11"/>
      <c r="B284" s="13" t="s">
        <v>116</v>
      </c>
      <c r="C284" s="11"/>
      <c r="D284" s="11"/>
      <c r="E284" s="85" t="s">
        <v>117</v>
      </c>
      <c r="F284" s="16" t="s">
        <v>52</v>
      </c>
      <c r="G284" s="16" t="s">
        <v>53</v>
      </c>
      <c r="H284" s="16" t="s">
        <v>48</v>
      </c>
      <c r="I284" s="17" t="s">
        <v>49</v>
      </c>
      <c r="J284" s="17" t="s">
        <v>54</v>
      </c>
      <c r="K284" s="17" t="s">
        <v>55</v>
      </c>
      <c r="L284" s="85"/>
      <c r="M284" s="85"/>
      <c r="N284" s="85"/>
      <c r="O284" s="85"/>
      <c r="P284" s="85"/>
      <c r="Q284" s="85"/>
      <c r="R284" s="85"/>
      <c r="S284" s="85"/>
      <c r="T284" s="11"/>
      <c r="U284" s="11"/>
      <c r="V284" s="11"/>
      <c r="W284" s="11"/>
      <c r="X284" s="11"/>
      <c r="Y284" s="11"/>
      <c r="Z284" s="11"/>
      <c r="AA284" s="11"/>
      <c r="AB284" s="11"/>
      <c r="AC284" s="11"/>
      <c r="AD284" s="11"/>
      <c r="AE284" s="11"/>
      <c r="AF284" s="12"/>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2"/>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row>
    <row r="286" ht="15.75" customHeight="1">
      <c r="A286" s="11"/>
      <c r="B286" s="11"/>
      <c r="C286" s="11"/>
      <c r="D286" s="11" t="s">
        <v>118</v>
      </c>
      <c r="E286" s="86">
        <v>0.37</v>
      </c>
      <c r="F286" s="86">
        <f>SUM('IS Proforma'!AB39:AE39)/SUM('IS Proforma'!AB22:AE22)</f>
        <v>0.0193654596</v>
      </c>
      <c r="G286" s="86">
        <f>SUM('IS Proforma'!AF39:AI39)/SUM('IS Proforma'!AF22:AI22)</f>
        <v>0.01674045245</v>
      </c>
      <c r="H286" s="86">
        <f>SUM('IS Proforma'!AJ39:AM39)/SUM('IS Proforma'!AJ22:AM22)</f>
        <v>0.04733558398</v>
      </c>
      <c r="I286" s="86">
        <f>SUM('IS Proforma'!AN39:AQ39)/SUM('IS Proforma'!AN22:AQ22)</f>
        <v>0.1073295332</v>
      </c>
      <c r="J286" s="86">
        <f>SUM('IS Proforma'!AR39:AU39)/SUM('IS Proforma'!AR22:AU22)</f>
        <v>0.08941475155</v>
      </c>
      <c r="K286" s="86">
        <f>SUM('IS Proforma'!AV39:AY39)/SUM('IS Proforma'!AV22:AY22)</f>
        <v>0.08656431174</v>
      </c>
      <c r="L286" s="86"/>
      <c r="M286" s="86"/>
      <c r="N286" s="86"/>
      <c r="O286" s="86"/>
      <c r="P286" s="86"/>
      <c r="Q286" s="86"/>
      <c r="R286" s="86"/>
      <c r="S286" s="86"/>
      <c r="T286" s="11"/>
      <c r="U286" s="11"/>
      <c r="V286" s="11"/>
      <c r="W286" s="11"/>
      <c r="X286" s="11"/>
      <c r="Y286" s="11"/>
      <c r="Z286" s="11"/>
      <c r="AA286" s="11"/>
      <c r="AB286" s="11"/>
      <c r="AC286" s="11"/>
      <c r="AD286" s="11"/>
      <c r="AE286" s="11"/>
      <c r="AF286" s="12"/>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row>
    <row r="287" ht="15.75" customHeight="1">
      <c r="A287" s="11"/>
      <c r="B287" s="11"/>
      <c r="C287" s="28"/>
      <c r="D287" s="11" t="s">
        <v>119</v>
      </c>
      <c r="E287" s="86">
        <v>0.09</v>
      </c>
      <c r="F287" s="86">
        <f>SUM('IS Proforma'!AB119:AE119)/SUM('IS Proforma'!AB176:AE176)</f>
        <v>0.06864806703</v>
      </c>
      <c r="G287" s="86">
        <f>SUM('IS Proforma'!AF119:AI119)/SUM('IS Proforma'!AF176:AI176)</f>
        <v>0.07031408644</v>
      </c>
      <c r="H287" s="86">
        <f>SUM('IS Proforma'!AJ119:AM119)/SUM('IS Proforma'!AJ176:AM176)</f>
        <v>0.07304041582</v>
      </c>
      <c r="I287" s="86">
        <f>SUM('IS Proforma'!AN119:AQ119)/SUM('IS Proforma'!AN176:AQ176)</f>
        <v>0.1993533344</v>
      </c>
      <c r="J287" s="86">
        <f>SUM('IS Proforma'!AR119:AU119)/SUM('IS Proforma'!AR176:AU176)</f>
        <v>0.1816295975</v>
      </c>
      <c r="K287" s="86">
        <f>SUM('IS Proforma'!AV119:AY119)/SUM('IS Proforma'!AV176:AY176)</f>
        <v>0.1465708283</v>
      </c>
      <c r="L287" s="86"/>
      <c r="M287" s="86"/>
      <c r="N287" s="86"/>
      <c r="O287" s="86"/>
      <c r="P287" s="86"/>
      <c r="Q287" s="86"/>
      <c r="R287" s="86"/>
      <c r="S287" s="86"/>
      <c r="T287" s="11"/>
      <c r="U287" s="11"/>
      <c r="V287" s="11"/>
      <c r="W287" s="11"/>
      <c r="X287" s="11"/>
      <c r="Y287" s="11"/>
      <c r="Z287" s="11"/>
      <c r="AA287" s="11"/>
      <c r="AB287" s="11"/>
      <c r="AC287" s="11"/>
      <c r="AD287" s="11"/>
      <c r="AE287" s="11"/>
      <c r="AF287" s="12"/>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row>
    <row r="288" ht="15.75" customHeight="1">
      <c r="A288" s="11"/>
      <c r="B288" s="11"/>
      <c r="C288" s="11"/>
      <c r="D288" s="11" t="s">
        <v>120</v>
      </c>
      <c r="E288" s="86">
        <v>0.1</v>
      </c>
      <c r="F288" s="86">
        <f>SUM('IS Proforma'!AB132:AE132)/SUM('IS Proforma'!AB176:AE176)</f>
        <v>0.1054121003</v>
      </c>
      <c r="G288" s="86">
        <f>SUM('IS Proforma'!AF132:AI132)/SUM('IS Proforma'!AF176:AI176)</f>
        <v>0.08267441961</v>
      </c>
      <c r="H288" s="86">
        <f>SUM('IS Proforma'!AJ132:AM132)/SUM('IS Proforma'!AJ176:AM176)</f>
        <v>0.09146759783</v>
      </c>
      <c r="I288" s="86">
        <f>SUM('IS Proforma'!AN132:AQ132)/SUM('IS Proforma'!AN176:AQ176)</f>
        <v>0.3605987885</v>
      </c>
      <c r="J288" s="86">
        <f>SUM('IS Proforma'!AR132:AU132)/SUM('IS Proforma'!AR176:AU176)</f>
        <v>0.2699465653</v>
      </c>
      <c r="K288" s="86">
        <f>SUM('IS Proforma'!AV132:AY132)/SUM('IS Proforma'!AV176:AY176)</f>
        <v>0.2169329851</v>
      </c>
      <c r="L288" s="86"/>
      <c r="M288" s="86"/>
      <c r="N288" s="86"/>
      <c r="O288" s="86"/>
      <c r="P288" s="86"/>
      <c r="Q288" s="86"/>
      <c r="R288" s="86"/>
      <c r="S288" s="86"/>
      <c r="T288" s="11"/>
      <c r="U288" s="11"/>
      <c r="V288" s="11"/>
      <c r="W288" s="11"/>
      <c r="X288" s="11"/>
      <c r="Y288" s="11"/>
      <c r="Z288" s="11"/>
      <c r="AA288" s="11"/>
      <c r="AB288" s="11"/>
      <c r="AC288" s="11"/>
      <c r="AD288" s="11"/>
      <c r="AE288" s="11"/>
      <c r="AF288" s="12"/>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row>
    <row r="289" ht="15.75" customHeight="1">
      <c r="A289" s="11"/>
      <c r="B289" s="11"/>
      <c r="C289" s="11"/>
      <c r="D289" s="11" t="s">
        <v>121</v>
      </c>
      <c r="E289" s="86">
        <v>0.03</v>
      </c>
      <c r="F289" s="86">
        <f>SUM('IS Proforma'!AB145:AE145)/SUM('IS Proforma'!AB176:AE176)</f>
        <v>0.03288211391</v>
      </c>
      <c r="G289" s="86">
        <f>SUM('IS Proforma'!AF145:AI145)/SUM('IS Proforma'!AF176:AI176)</f>
        <v>0.0310019167</v>
      </c>
      <c r="H289" s="86">
        <f>SUM('IS Proforma'!AJ145:AM145)/SUM('IS Proforma'!AJ176:AM176)</f>
        <v>0.02811768164</v>
      </c>
      <c r="I289" s="86">
        <f>SUM('IS Proforma'!AN145:AQ145)/SUM('IS Proforma'!AN176:AQ176)</f>
        <v>0.02169374621</v>
      </c>
      <c r="J289" s="86">
        <f>SUM('IS Proforma'!AR145:AU145)/SUM('IS Proforma'!AR176:AU176)</f>
        <v>0.02936079459</v>
      </c>
      <c r="K289" s="86">
        <f>SUM('IS Proforma'!AV145:AY145)/SUM('IS Proforma'!AV176:AY176)</f>
        <v>0.03746482254</v>
      </c>
      <c r="L289" s="86"/>
      <c r="M289" s="86"/>
      <c r="N289" s="86"/>
      <c r="O289" s="86"/>
      <c r="P289" s="86"/>
      <c r="Q289" s="86"/>
      <c r="R289" s="86"/>
      <c r="S289" s="86"/>
      <c r="T289" s="11"/>
      <c r="U289" s="11"/>
      <c r="V289" s="11"/>
      <c r="W289" s="11"/>
      <c r="X289" s="11"/>
      <c r="Y289" s="11"/>
      <c r="Z289" s="11"/>
      <c r="AA289" s="11"/>
      <c r="AB289" s="11"/>
      <c r="AC289" s="11"/>
      <c r="AD289" s="11"/>
      <c r="AE289" s="11"/>
      <c r="AF289" s="12"/>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row>
    <row r="290" ht="15.75" customHeight="1">
      <c r="A290" s="11"/>
      <c r="B290" s="11"/>
      <c r="C290" s="11"/>
      <c r="D290" s="11" t="s">
        <v>122</v>
      </c>
      <c r="E290" s="86">
        <v>0.06</v>
      </c>
      <c r="F290" s="86">
        <f>SUM('IS Proforma'!AB158:AE158)/SUM('IS Proforma'!AB176:AE176)</f>
        <v>0.08005231317</v>
      </c>
      <c r="G290" s="86">
        <f>SUM('IS Proforma'!AF158:AI158)/SUM('IS Proforma'!AF176:AI176)</f>
        <v>0.05480849259</v>
      </c>
      <c r="H290" s="86">
        <f>SUM('IS Proforma'!AJ158:AM158)/SUM('IS Proforma'!AJ176:AM176)</f>
        <v>0.05539963837</v>
      </c>
      <c r="I290" s="86">
        <f>SUM('IS Proforma'!AN158:AQ158)/SUM('IS Proforma'!AN176:AQ176)</f>
        <v>0.07295602147</v>
      </c>
      <c r="J290" s="86">
        <f>SUM('IS Proforma'!AR158:AU158)/SUM('IS Proforma'!AR176:AU176)</f>
        <v>0.07118892283</v>
      </c>
      <c r="K290" s="86">
        <f>SUM('IS Proforma'!AV158:AY158)/SUM('IS Proforma'!AV176:AY176)</f>
        <v>0.1254583018</v>
      </c>
      <c r="L290" s="86"/>
      <c r="M290" s="86"/>
      <c r="N290" s="86"/>
      <c r="O290" s="86"/>
      <c r="P290" s="86"/>
      <c r="Q290" s="86"/>
      <c r="R290" s="86"/>
      <c r="S290" s="86"/>
      <c r="T290" s="11"/>
      <c r="U290" s="11"/>
      <c r="V290" s="11"/>
      <c r="W290" s="11"/>
      <c r="X290" s="11"/>
      <c r="Y290" s="11"/>
      <c r="Z290" s="11"/>
      <c r="AA290" s="11"/>
      <c r="AB290" s="11"/>
      <c r="AC290" s="11"/>
      <c r="AD290" s="11"/>
      <c r="AE290" s="11"/>
      <c r="AF290" s="12"/>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row>
    <row r="291" ht="15.75" customHeight="1">
      <c r="A291" s="11"/>
      <c r="B291" s="11"/>
      <c r="C291" s="11"/>
      <c r="D291" s="11" t="s">
        <v>123</v>
      </c>
      <c r="E291" s="86">
        <v>0.05</v>
      </c>
      <c r="F291" s="86">
        <f>SUM('IS Proforma'!AB171:AE171)/SUM('IS Proforma'!AB176:AE176)</f>
        <v>0.1080524908</v>
      </c>
      <c r="G291" s="86">
        <f>SUM('IS Proforma'!AF171:AI171)/SUM('IS Proforma'!AF176:AI176)</f>
        <v>0.02659131439</v>
      </c>
      <c r="H291" s="86">
        <f>SUM('IS Proforma'!AJ171:AM171)/SUM('IS Proforma'!AJ176:AM176)</f>
        <v>-0.1706746012</v>
      </c>
      <c r="I291" s="86">
        <f>SUM('IS Proforma'!AN171:AQ171)/SUM('IS Proforma'!AN176:AQ176)</f>
        <v>-0.4740907439</v>
      </c>
      <c r="J291" s="86">
        <f>SUM('IS Proforma'!AR171:AU171)/SUM('IS Proforma'!AR176:AU176)</f>
        <v>-0.3930670442</v>
      </c>
      <c r="K291" s="86">
        <f>SUM('IS Proforma'!AV171:AY171)/SUM('IS Proforma'!AV176:AY176)</f>
        <v>-0.3829120803</v>
      </c>
      <c r="L291" s="86"/>
      <c r="M291" s="86"/>
      <c r="N291" s="86"/>
      <c r="O291" s="86"/>
      <c r="P291" s="86"/>
      <c r="Q291" s="86"/>
      <c r="R291" s="86"/>
      <c r="S291" s="86"/>
      <c r="T291" s="11"/>
      <c r="U291" s="11"/>
      <c r="V291" s="11"/>
      <c r="W291" s="11"/>
      <c r="X291" s="11"/>
      <c r="Y291" s="11"/>
      <c r="Z291" s="11"/>
      <c r="AA291" s="11"/>
      <c r="AB291" s="11"/>
      <c r="AC291" s="11"/>
      <c r="AD291" s="11"/>
      <c r="AE291" s="11"/>
      <c r="AF291" s="12"/>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row>
    <row r="292" ht="15.75" customHeight="1">
      <c r="A292" s="11"/>
      <c r="B292" s="11"/>
      <c r="C292" s="11"/>
      <c r="D292" s="87" t="s">
        <v>124</v>
      </c>
      <c r="E292" s="88">
        <f t="shared" ref="E292:K292" si="435">SUM(E286:E291)</f>
        <v>0.7</v>
      </c>
      <c r="F292" s="88">
        <f t="shared" si="435"/>
        <v>0.4144125447</v>
      </c>
      <c r="G292" s="88">
        <f t="shared" si="435"/>
        <v>0.2821306822</v>
      </c>
      <c r="H292" s="88">
        <f t="shared" si="435"/>
        <v>0.1246863164</v>
      </c>
      <c r="I292" s="88">
        <f t="shared" si="435"/>
        <v>0.2878406799</v>
      </c>
      <c r="J292" s="88">
        <f t="shared" si="435"/>
        <v>0.2484735875</v>
      </c>
      <c r="K292" s="88">
        <f t="shared" si="435"/>
        <v>0.2300791693</v>
      </c>
      <c r="L292" s="86"/>
      <c r="M292" s="86"/>
      <c r="N292" s="86"/>
      <c r="O292" s="86"/>
      <c r="P292" s="86"/>
      <c r="Q292" s="86"/>
      <c r="R292" s="86"/>
      <c r="S292" s="86"/>
      <c r="T292" s="11"/>
      <c r="U292" s="11"/>
      <c r="V292" s="11"/>
      <c r="W292" s="11"/>
      <c r="X292" s="11"/>
      <c r="Y292" s="11"/>
      <c r="Z292" s="11"/>
      <c r="AA292" s="11"/>
      <c r="AB292" s="11"/>
      <c r="AC292" s="11"/>
      <c r="AD292" s="11"/>
      <c r="AE292" s="11"/>
      <c r="AF292" s="12"/>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row>
    <row r="293" ht="15.75" customHeight="1">
      <c r="A293" s="11"/>
      <c r="B293" s="11"/>
      <c r="C293" s="11"/>
      <c r="D293" s="11" t="s">
        <v>115</v>
      </c>
      <c r="E293" s="86">
        <f>1-E292</f>
        <v>0.3</v>
      </c>
      <c r="F293" s="86">
        <f t="shared" ref="F293:K293" si="436">AL275</f>
        <v>0.9182846884</v>
      </c>
      <c r="G293" s="86">
        <f t="shared" si="436"/>
        <v>0.9230929728</v>
      </c>
      <c r="H293" s="86">
        <f t="shared" si="436"/>
        <v>0.8536236982</v>
      </c>
      <c r="I293" s="86">
        <f t="shared" si="436"/>
        <v>0.7114934432</v>
      </c>
      <c r="J293" s="86">
        <f t="shared" si="436"/>
        <v>0.7505149666</v>
      </c>
      <c r="K293" s="86">
        <f t="shared" si="436"/>
        <v>0.7690927275</v>
      </c>
      <c r="L293" s="86"/>
      <c r="M293" s="86"/>
      <c r="N293" s="86"/>
      <c r="O293" s="86"/>
      <c r="P293" s="86"/>
      <c r="Q293" s="86"/>
      <c r="R293" s="86"/>
      <c r="S293" s="86"/>
      <c r="T293" s="11"/>
      <c r="U293" s="11"/>
      <c r="V293" s="11"/>
      <c r="W293" s="11"/>
      <c r="X293" s="11"/>
      <c r="Y293" s="11"/>
      <c r="Z293" s="11"/>
      <c r="AA293" s="11"/>
      <c r="AB293" s="11"/>
      <c r="AC293" s="11"/>
      <c r="AD293" s="11"/>
      <c r="AE293" s="11"/>
      <c r="AF293" s="12"/>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2"/>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row>
    <row r="295" ht="15.75" customHeight="1">
      <c r="A295" s="11"/>
      <c r="B295" s="28"/>
      <c r="C295" s="28"/>
      <c r="D295" s="11" t="s">
        <v>84</v>
      </c>
      <c r="E295" s="19"/>
      <c r="F295" s="19"/>
      <c r="G295" s="19"/>
      <c r="H295" s="19"/>
      <c r="I295" s="19"/>
      <c r="J295" s="19"/>
      <c r="K295" s="19"/>
      <c r="L295" s="19"/>
      <c r="M295" s="19">
        <f t="shared" ref="M295:N295" si="437">1-SUM(E292:E293)</f>
        <v>0</v>
      </c>
      <c r="N295" s="19">
        <f t="shared" si="437"/>
        <v>-0.3326972331</v>
      </c>
      <c r="O295" s="19">
        <f t="shared" ref="O295:Q295" si="438">1-SUM(I292:I293)</f>
        <v>0.0006658768445</v>
      </c>
      <c r="P295" s="19">
        <f t="shared" si="438"/>
        <v>0.00101144583</v>
      </c>
      <c r="Q295" s="19">
        <f t="shared" si="438"/>
        <v>0.0008281032403</v>
      </c>
      <c r="R295" s="19" t="str">
        <f>1-SUM(#REF!)</f>
        <v>#REF!</v>
      </c>
      <c r="S295" s="11"/>
      <c r="T295" s="11"/>
      <c r="U295" s="11"/>
      <c r="V295" s="11"/>
      <c r="W295" s="11"/>
      <c r="X295" s="11"/>
      <c r="Y295" s="11"/>
      <c r="Z295" s="11"/>
      <c r="AA295" s="11"/>
      <c r="AB295" s="11"/>
      <c r="AC295" s="11"/>
      <c r="AD295" s="11"/>
      <c r="AE295" s="11"/>
      <c r="AF295" s="11"/>
      <c r="AG295" s="12"/>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2"/>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row>
    <row r="297" ht="15.75" customHeight="1">
      <c r="A297" s="11"/>
      <c r="B297" s="11"/>
      <c r="C297" s="11"/>
      <c r="D297" s="28"/>
      <c r="E297" s="28"/>
      <c r="F297" s="28"/>
      <c r="G297" s="28"/>
      <c r="H297" s="28"/>
      <c r="I297" s="28"/>
      <c r="J297" s="28"/>
      <c r="K297" s="28"/>
      <c r="L297" s="28"/>
      <c r="M297" s="28"/>
      <c r="N297" s="28"/>
      <c r="O297" s="28"/>
      <c r="P297" s="28"/>
      <c r="Q297" s="28"/>
      <c r="R297" s="28"/>
      <c r="S297" s="28"/>
      <c r="T297" s="11"/>
      <c r="U297" s="11"/>
      <c r="V297" s="11"/>
      <c r="W297" s="11"/>
      <c r="X297" s="11"/>
      <c r="Y297" s="11"/>
      <c r="Z297" s="11"/>
      <c r="AA297" s="11"/>
      <c r="AB297" s="11"/>
      <c r="AC297" s="11"/>
      <c r="AD297" s="11"/>
      <c r="AE297" s="11"/>
      <c r="AF297" s="11"/>
      <c r="AG297" s="12"/>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row>
    <row r="298" ht="15.75" customHeight="1">
      <c r="A298" s="11"/>
      <c r="B298" s="13" t="s">
        <v>119</v>
      </c>
      <c r="C298" s="28"/>
      <c r="D298" s="11"/>
      <c r="E298" s="14">
        <v>44562.0</v>
      </c>
      <c r="F298" s="14">
        <v>44593.0</v>
      </c>
      <c r="G298" s="14">
        <v>44621.0</v>
      </c>
      <c r="H298" s="14">
        <v>44652.0</v>
      </c>
      <c r="I298" s="14">
        <v>44682.0</v>
      </c>
      <c r="J298" s="14">
        <v>44713.0</v>
      </c>
      <c r="K298" s="14">
        <v>44743.0</v>
      </c>
      <c r="L298" s="14">
        <v>44774.0</v>
      </c>
      <c r="M298" s="14">
        <v>44805.0</v>
      </c>
      <c r="N298" s="14">
        <v>44835.0</v>
      </c>
      <c r="O298" s="14">
        <v>44866.0</v>
      </c>
      <c r="P298" s="14">
        <v>44896.0</v>
      </c>
      <c r="Q298" s="15">
        <v>44927.0</v>
      </c>
      <c r="R298" s="15">
        <v>44958.0</v>
      </c>
      <c r="S298" s="15">
        <v>44986.0</v>
      </c>
      <c r="T298" s="15">
        <v>45017.0</v>
      </c>
      <c r="U298" s="15">
        <v>45047.0</v>
      </c>
      <c r="V298" s="15">
        <v>45078.0</v>
      </c>
      <c r="W298" s="15">
        <v>45108.0</v>
      </c>
      <c r="X298" s="15">
        <v>45139.0</v>
      </c>
      <c r="Y298" s="15">
        <v>45170.0</v>
      </c>
      <c r="Z298" s="15">
        <v>45200.0</v>
      </c>
      <c r="AA298" s="15">
        <v>45231.0</v>
      </c>
      <c r="AB298" s="15">
        <v>45261.0</v>
      </c>
      <c r="AC298" s="11"/>
      <c r="AD298" s="11"/>
      <c r="AE298" s="16" t="s">
        <v>48</v>
      </c>
      <c r="AF298" s="17" t="s">
        <v>49</v>
      </c>
      <c r="AG298" s="18" t="s">
        <v>50</v>
      </c>
      <c r="AH298" s="16" t="s">
        <v>51</v>
      </c>
      <c r="AI298" s="11"/>
      <c r="AJ298" s="11"/>
      <c r="AK298" s="11"/>
      <c r="AL298" s="16" t="s">
        <v>52</v>
      </c>
      <c r="AM298" s="16" t="s">
        <v>53</v>
      </c>
      <c r="AN298" s="16" t="s">
        <v>48</v>
      </c>
      <c r="AO298" s="17" t="s">
        <v>49</v>
      </c>
      <c r="AP298" s="17" t="s">
        <v>54</v>
      </c>
      <c r="AQ298" s="17" t="s">
        <v>55</v>
      </c>
      <c r="AR298" s="11"/>
      <c r="AS298" s="11"/>
      <c r="AT298" s="11"/>
      <c r="AU298" s="11"/>
      <c r="AV298" s="11"/>
      <c r="AW298" s="11"/>
      <c r="AX298" s="11"/>
      <c r="AY298" s="11"/>
      <c r="AZ298" s="11"/>
      <c r="BA298" s="11"/>
      <c r="BB298" s="11"/>
      <c r="BC298" s="11"/>
      <c r="BD298" s="11"/>
      <c r="BE298" s="11"/>
      <c r="BF298" s="11"/>
      <c r="BG298" s="11"/>
      <c r="BH298" s="11"/>
      <c r="BI298" s="11"/>
      <c r="BJ298" s="11"/>
      <c r="BK298" s="11"/>
    </row>
    <row r="299" ht="15.75" hidden="1"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2"/>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row>
    <row r="300" ht="15.75" hidden="1" customHeight="1">
      <c r="A300" s="11"/>
      <c r="B300" s="11"/>
      <c r="C300" s="11"/>
      <c r="D300" s="11" t="s">
        <v>125</v>
      </c>
      <c r="E300" s="20"/>
      <c r="F300" s="20"/>
      <c r="G300" s="20"/>
      <c r="H300" s="20"/>
      <c r="I300" s="20"/>
      <c r="J300" s="20"/>
      <c r="K300" s="20"/>
      <c r="L300" s="20"/>
      <c r="M300" s="20">
        <f>'New Biz Sales'!O45</f>
        <v>180</v>
      </c>
      <c r="N300" s="20">
        <f>'New Biz Sales'!P45</f>
        <v>180</v>
      </c>
      <c r="O300" s="20">
        <f>'New Biz Sales'!Q45</f>
        <v>180</v>
      </c>
      <c r="P300" s="20">
        <f>'New Biz Sales'!R45</f>
        <v>180</v>
      </c>
      <c r="Q300" s="20">
        <f>'New Biz Sales'!S45</f>
        <v>180</v>
      </c>
      <c r="R300" s="20">
        <f>'New Biz Sales'!T45</f>
        <v>180</v>
      </c>
      <c r="S300" s="20">
        <f>'New Biz Sales'!U45</f>
        <v>180</v>
      </c>
      <c r="T300" s="20">
        <f>'New Biz Sales'!V45</f>
        <v>180</v>
      </c>
      <c r="U300" s="20"/>
      <c r="V300" s="20"/>
      <c r="W300" s="20"/>
      <c r="X300" s="20"/>
      <c r="Y300" s="20"/>
      <c r="Z300" s="20"/>
      <c r="AA300" s="20"/>
      <c r="AB300" s="20"/>
      <c r="AC300" s="11"/>
      <c r="AD300" s="11" t="str">
        <f t="shared" ref="AD300:AD302" si="439">D300</f>
        <v>Strategy Calls</v>
      </c>
      <c r="AE300" s="20">
        <f t="shared" ref="AE300:AE302" si="440">SUM(M300:P300)</f>
        <v>720</v>
      </c>
      <c r="AF300" s="20">
        <f t="shared" ref="AF300:AF302" si="441">SUM(Q300:T300)</f>
        <v>720</v>
      </c>
      <c r="AG300" s="12"/>
      <c r="AH300" s="11"/>
      <c r="AI300" s="11"/>
      <c r="AJ300" s="11"/>
      <c r="AK300" s="11"/>
      <c r="AL300" s="38">
        <f>SUM(E300:H300)</f>
        <v>0</v>
      </c>
      <c r="AM300" s="25">
        <f>SUM(I300:L300)</f>
        <v>0</v>
      </c>
      <c r="AN300" s="38">
        <f>SUM(M300:P300)</f>
        <v>720</v>
      </c>
      <c r="AO300" s="38">
        <f>SUM(Q300:T300)</f>
        <v>720</v>
      </c>
      <c r="AP300" s="25">
        <f>SUM(U300:X300)</f>
        <v>0</v>
      </c>
      <c r="AQ300" s="38">
        <f>SUM(Y300:AB300)</f>
        <v>0</v>
      </c>
      <c r="AR300" s="11"/>
      <c r="AS300" s="11"/>
      <c r="AT300" s="11"/>
      <c r="AU300" s="11"/>
      <c r="AV300" s="11"/>
      <c r="AW300" s="11"/>
      <c r="AX300" s="11"/>
      <c r="AY300" s="11"/>
      <c r="AZ300" s="11"/>
      <c r="BA300" s="11"/>
      <c r="BB300" s="11"/>
      <c r="BC300" s="11"/>
      <c r="BD300" s="11"/>
      <c r="BE300" s="11"/>
      <c r="BF300" s="11"/>
      <c r="BG300" s="11"/>
      <c r="BH300" s="11"/>
      <c r="BI300" s="11"/>
      <c r="BJ300" s="11"/>
      <c r="BK300" s="11"/>
    </row>
    <row r="301" ht="15.75" hidden="1" customHeight="1">
      <c r="A301" s="11"/>
      <c r="B301" s="11"/>
      <c r="C301" s="28"/>
      <c r="D301" s="11" t="s">
        <v>126</v>
      </c>
      <c r="E301" s="20"/>
      <c r="F301" s="20"/>
      <c r="G301" s="20"/>
      <c r="H301" s="20"/>
      <c r="I301" s="20"/>
      <c r="J301" s="20"/>
      <c r="K301" s="20"/>
      <c r="L301" s="20"/>
      <c r="M301" s="20">
        <f>'New Biz Sales'!O78</f>
        <v>90</v>
      </c>
      <c r="N301" s="20">
        <f>'New Biz Sales'!P78</f>
        <v>90</v>
      </c>
      <c r="O301" s="20">
        <f>'New Biz Sales'!Q78</f>
        <v>90</v>
      </c>
      <c r="P301" s="20">
        <f>'New Biz Sales'!R78</f>
        <v>90</v>
      </c>
      <c r="Q301" s="20">
        <f>'New Biz Sales'!S78</f>
        <v>90</v>
      </c>
      <c r="R301" s="20">
        <f>'New Biz Sales'!T78</f>
        <v>90</v>
      </c>
      <c r="S301" s="20">
        <f>'New Biz Sales'!U78</f>
        <v>90</v>
      </c>
      <c r="T301" s="20">
        <f>'New Biz Sales'!V78</f>
        <v>90</v>
      </c>
      <c r="U301" s="20"/>
      <c r="V301" s="20"/>
      <c r="W301" s="20"/>
      <c r="X301" s="20"/>
      <c r="Y301" s="20"/>
      <c r="Z301" s="20"/>
      <c r="AA301" s="20"/>
      <c r="AB301" s="20"/>
      <c r="AC301" s="11"/>
      <c r="AD301" s="11" t="str">
        <f t="shared" si="439"/>
        <v>Proposals</v>
      </c>
      <c r="AE301" s="20">
        <f t="shared" si="440"/>
        <v>360</v>
      </c>
      <c r="AF301" s="20">
        <f t="shared" si="441"/>
        <v>360</v>
      </c>
      <c r="AG301" s="12"/>
      <c r="AH301" s="11">
        <f>AF301/AF300</f>
        <v>0.5</v>
      </c>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row>
    <row r="302" ht="15.75" hidden="1" customHeight="1">
      <c r="A302" s="11"/>
      <c r="B302" s="11"/>
      <c r="C302" s="11"/>
      <c r="D302" s="11" t="s">
        <v>91</v>
      </c>
      <c r="E302" s="20"/>
      <c r="F302" s="20"/>
      <c r="G302" s="20"/>
      <c r="H302" s="20"/>
      <c r="I302" s="20"/>
      <c r="J302" s="20"/>
      <c r="K302" s="20"/>
      <c r="L302" s="20"/>
      <c r="M302" s="20">
        <f>'New Biz Sales'!O94</f>
        <v>30</v>
      </c>
      <c r="N302" s="20">
        <f>'New Biz Sales'!P94</f>
        <v>30</v>
      </c>
      <c r="O302" s="20">
        <f>'New Biz Sales'!Q94</f>
        <v>30</v>
      </c>
      <c r="P302" s="20">
        <f>'New Biz Sales'!R94</f>
        <v>30</v>
      </c>
      <c r="Q302" s="20">
        <f>'New Biz Sales'!S94</f>
        <v>30</v>
      </c>
      <c r="R302" s="20">
        <f>'New Biz Sales'!T94</f>
        <v>30</v>
      </c>
      <c r="S302" s="20">
        <f>'New Biz Sales'!U94</f>
        <v>30</v>
      </c>
      <c r="T302" s="20">
        <f>'New Biz Sales'!V94</f>
        <v>30</v>
      </c>
      <c r="U302" s="20"/>
      <c r="V302" s="20"/>
      <c r="W302" s="20"/>
      <c r="X302" s="20"/>
      <c r="Y302" s="20"/>
      <c r="Z302" s="20"/>
      <c r="AA302" s="20"/>
      <c r="AB302" s="20"/>
      <c r="AC302" s="11"/>
      <c r="AD302" s="11" t="str">
        <f t="shared" si="439"/>
        <v>Deals Closed</v>
      </c>
      <c r="AE302" s="20">
        <f t="shared" si="440"/>
        <v>120</v>
      </c>
      <c r="AF302" s="20">
        <f t="shared" si="441"/>
        <v>120</v>
      </c>
      <c r="AG302" s="12"/>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row>
    <row r="303" ht="15.75" hidden="1"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2"/>
      <c r="AH303" s="11"/>
      <c r="AI303" s="11"/>
      <c r="AJ303" s="11"/>
      <c r="AK303" s="11"/>
      <c r="AL303" s="12">
        <f t="shared" ref="AL303:AL338" si="444">SUM(E303:H303)</f>
        <v>0</v>
      </c>
      <c r="AM303" s="12">
        <f t="shared" ref="AM303:AM338" si="445">SUM(I303:L303)</f>
        <v>0</v>
      </c>
      <c r="AN303" s="12">
        <f t="shared" ref="AN303:AN338" si="446">SUM(M303:P303)</f>
        <v>0</v>
      </c>
      <c r="AO303" s="12">
        <f t="shared" ref="AO303:AO338" si="447">SUM(Q303:T303)</f>
        <v>0</v>
      </c>
      <c r="AP303" s="12">
        <f t="shared" ref="AP303:AP338" si="448">SUM(U303:X303)</f>
        <v>0</v>
      </c>
      <c r="AQ303" s="12">
        <f t="shared" ref="AQ303:AQ338" si="449">SUM(Y303:AB303)</f>
        <v>0</v>
      </c>
      <c r="AR303" s="11"/>
      <c r="AS303" s="11"/>
      <c r="AT303" s="11"/>
      <c r="AU303" s="11"/>
      <c r="AV303" s="11"/>
      <c r="AW303" s="11"/>
      <c r="AX303" s="11"/>
      <c r="AY303" s="11"/>
      <c r="AZ303" s="11"/>
      <c r="BA303" s="11"/>
      <c r="BB303" s="11"/>
      <c r="BC303" s="11"/>
      <c r="BD303" s="11"/>
      <c r="BE303" s="11"/>
      <c r="BF303" s="11"/>
      <c r="BG303" s="11"/>
      <c r="BH303" s="11"/>
      <c r="BI303" s="11"/>
      <c r="BJ303" s="11"/>
      <c r="BK303" s="11"/>
    </row>
    <row r="304" ht="15.75" hidden="1" customHeight="1">
      <c r="A304" s="11"/>
      <c r="B304" s="11"/>
      <c r="C304" s="11"/>
      <c r="D304" s="11" t="s">
        <v>127</v>
      </c>
      <c r="E304" s="11"/>
      <c r="F304" s="11"/>
      <c r="G304" s="11"/>
      <c r="H304" s="11"/>
      <c r="I304" s="11"/>
      <c r="J304" s="11"/>
      <c r="K304" s="11"/>
      <c r="L304" s="11"/>
      <c r="M304" s="11"/>
      <c r="N304" s="66">
        <f t="shared" ref="N304:T304" si="442">N301/M300</f>
        <v>0.5</v>
      </c>
      <c r="O304" s="66">
        <f t="shared" si="442"/>
        <v>0.5</v>
      </c>
      <c r="P304" s="66">
        <f t="shared" si="442"/>
        <v>0.5</v>
      </c>
      <c r="Q304" s="66">
        <f t="shared" si="442"/>
        <v>0.5</v>
      </c>
      <c r="R304" s="66">
        <f t="shared" si="442"/>
        <v>0.5</v>
      </c>
      <c r="S304" s="66">
        <f t="shared" si="442"/>
        <v>0.5</v>
      </c>
      <c r="T304" s="66">
        <f t="shared" si="442"/>
        <v>0.5</v>
      </c>
      <c r="U304" s="66"/>
      <c r="V304" s="66"/>
      <c r="W304" s="66"/>
      <c r="X304" s="66"/>
      <c r="Y304" s="66"/>
      <c r="Z304" s="66"/>
      <c r="AA304" s="66"/>
      <c r="AB304" s="66"/>
      <c r="AC304" s="11"/>
      <c r="AD304" s="11" t="str">
        <f t="shared" ref="AD304:AD305" si="451">D304</f>
        <v>Strat-&gt;Proposal Conversion (1 mo lag)</v>
      </c>
      <c r="AE304" s="66">
        <f t="shared" ref="AE304:AF304" si="443">AE301/AE300</f>
        <v>0.5</v>
      </c>
      <c r="AF304" s="66">
        <f t="shared" si="443"/>
        <v>0.5</v>
      </c>
      <c r="AG304" s="12"/>
      <c r="AH304" s="11"/>
      <c r="AI304" s="11"/>
      <c r="AJ304" s="11"/>
      <c r="AK304" s="11"/>
      <c r="AL304" s="11">
        <f t="shared" si="444"/>
        <v>0</v>
      </c>
      <c r="AM304" s="20">
        <f t="shared" si="445"/>
        <v>0</v>
      </c>
      <c r="AN304" s="21">
        <f t="shared" si="446"/>
        <v>1.5</v>
      </c>
      <c r="AO304" s="66">
        <f t="shared" si="447"/>
        <v>2</v>
      </c>
      <c r="AP304" s="20">
        <f t="shared" si="448"/>
        <v>0</v>
      </c>
      <c r="AQ304" s="21">
        <f t="shared" si="449"/>
        <v>0</v>
      </c>
      <c r="AR304" s="11"/>
      <c r="AS304" s="11"/>
      <c r="AT304" s="11"/>
      <c r="AU304" s="11"/>
      <c r="AV304" s="11"/>
      <c r="AW304" s="11"/>
      <c r="AX304" s="11"/>
      <c r="AY304" s="11"/>
      <c r="AZ304" s="11"/>
      <c r="BA304" s="11"/>
      <c r="BB304" s="11"/>
      <c r="BC304" s="11"/>
      <c r="BD304" s="11"/>
      <c r="BE304" s="11"/>
      <c r="BF304" s="11"/>
      <c r="BG304" s="11"/>
      <c r="BH304" s="11"/>
      <c r="BI304" s="11"/>
      <c r="BJ304" s="11"/>
      <c r="BK304" s="11"/>
    </row>
    <row r="305" ht="15.75" hidden="1" customHeight="1">
      <c r="A305" s="11"/>
      <c r="B305" s="11"/>
      <c r="C305" s="11"/>
      <c r="D305" s="11" t="s">
        <v>128</v>
      </c>
      <c r="E305" s="11"/>
      <c r="F305" s="11"/>
      <c r="G305" s="11"/>
      <c r="H305" s="11"/>
      <c r="I305" s="11"/>
      <c r="J305" s="11"/>
      <c r="K305" s="11"/>
      <c r="L305" s="11"/>
      <c r="M305" s="11"/>
      <c r="N305" s="66">
        <f t="shared" ref="N305:T305" si="450">N302/M301</f>
        <v>0.3333333333</v>
      </c>
      <c r="O305" s="66">
        <f t="shared" si="450"/>
        <v>0.3333333333</v>
      </c>
      <c r="P305" s="66">
        <f t="shared" si="450"/>
        <v>0.3333333333</v>
      </c>
      <c r="Q305" s="66">
        <f t="shared" si="450"/>
        <v>0.3333333333</v>
      </c>
      <c r="R305" s="66">
        <f t="shared" si="450"/>
        <v>0.3333333333</v>
      </c>
      <c r="S305" s="66">
        <f t="shared" si="450"/>
        <v>0.3333333333</v>
      </c>
      <c r="T305" s="66">
        <f t="shared" si="450"/>
        <v>0.3333333333</v>
      </c>
      <c r="U305" s="66"/>
      <c r="V305" s="66"/>
      <c r="W305" s="66"/>
      <c r="X305" s="66"/>
      <c r="Y305" s="66"/>
      <c r="Z305" s="66"/>
      <c r="AA305" s="66"/>
      <c r="AB305" s="66"/>
      <c r="AC305" s="11"/>
      <c r="AD305" s="11" t="str">
        <f t="shared" si="451"/>
        <v>Proposal-&gt;Closed Conversion (1 mo lag)</v>
      </c>
      <c r="AE305" s="66">
        <f t="shared" ref="AE305:AF305" si="452">AE302/AE301</f>
        <v>0.3333333333</v>
      </c>
      <c r="AF305" s="66">
        <f t="shared" si="452"/>
        <v>0.3333333333</v>
      </c>
      <c r="AG305" s="12"/>
      <c r="AH305" s="11"/>
      <c r="AI305" s="11"/>
      <c r="AJ305" s="11"/>
      <c r="AK305" s="11"/>
      <c r="AL305" s="11">
        <f t="shared" si="444"/>
        <v>0</v>
      </c>
      <c r="AM305" s="20">
        <f t="shared" si="445"/>
        <v>0</v>
      </c>
      <c r="AN305" s="21">
        <f t="shared" si="446"/>
        <v>1</v>
      </c>
      <c r="AO305" s="66">
        <f t="shared" si="447"/>
        <v>1.333333333</v>
      </c>
      <c r="AP305" s="20">
        <f t="shared" si="448"/>
        <v>0</v>
      </c>
      <c r="AQ305" s="21">
        <f t="shared" si="449"/>
        <v>0</v>
      </c>
      <c r="AR305" s="11"/>
      <c r="AS305" s="11"/>
      <c r="AT305" s="11"/>
      <c r="AU305" s="11"/>
      <c r="AV305" s="11"/>
      <c r="AW305" s="11"/>
      <c r="AX305" s="11"/>
      <c r="AY305" s="11"/>
      <c r="AZ305" s="11"/>
      <c r="BA305" s="11"/>
      <c r="BB305" s="11"/>
      <c r="BC305" s="11"/>
      <c r="BD305" s="11"/>
      <c r="BE305" s="11"/>
      <c r="BF305" s="11"/>
      <c r="BG305" s="11"/>
      <c r="BH305" s="11"/>
      <c r="BI305" s="11"/>
      <c r="BJ305" s="11"/>
      <c r="BK305" s="11"/>
    </row>
    <row r="306" ht="15.75" hidden="1" customHeight="1">
      <c r="A306" s="11"/>
      <c r="B306" s="11"/>
      <c r="C306" s="11"/>
      <c r="D306" s="28"/>
      <c r="E306" s="28"/>
      <c r="F306" s="28"/>
      <c r="G306" s="28"/>
      <c r="H306" s="28"/>
      <c r="I306" s="28"/>
      <c r="J306" s="28"/>
      <c r="K306" s="28"/>
      <c r="L306" s="28"/>
      <c r="M306" s="28"/>
      <c r="N306" s="28"/>
      <c r="O306" s="28"/>
      <c r="P306" s="28"/>
      <c r="Q306" s="28"/>
      <c r="R306" s="28"/>
      <c r="S306" s="28"/>
      <c r="T306" s="11"/>
      <c r="U306" s="11"/>
      <c r="V306" s="11"/>
      <c r="W306" s="11"/>
      <c r="X306" s="11"/>
      <c r="Y306" s="11"/>
      <c r="Z306" s="11"/>
      <c r="AA306" s="11"/>
      <c r="AB306" s="11"/>
      <c r="AC306" s="11"/>
      <c r="AD306" s="11"/>
      <c r="AE306" s="11"/>
      <c r="AF306" s="11"/>
      <c r="AG306" s="12"/>
      <c r="AH306" s="11"/>
      <c r="AI306" s="11"/>
      <c r="AJ306" s="11"/>
      <c r="AK306" s="11"/>
      <c r="AL306" s="11">
        <f t="shared" si="444"/>
        <v>0</v>
      </c>
      <c r="AM306" s="20">
        <f t="shared" si="445"/>
        <v>0</v>
      </c>
      <c r="AN306" s="21">
        <f t="shared" si="446"/>
        <v>0</v>
      </c>
      <c r="AO306" s="11">
        <f t="shared" si="447"/>
        <v>0</v>
      </c>
      <c r="AP306" s="20">
        <f t="shared" si="448"/>
        <v>0</v>
      </c>
      <c r="AQ306" s="21">
        <f t="shared" si="449"/>
        <v>0</v>
      </c>
      <c r="AR306" s="11"/>
      <c r="AS306" s="11"/>
      <c r="AT306" s="11"/>
      <c r="AU306" s="11"/>
      <c r="AV306" s="11"/>
      <c r="AW306" s="11"/>
      <c r="AX306" s="11"/>
      <c r="AY306" s="11"/>
      <c r="AZ306" s="11"/>
      <c r="BA306" s="11"/>
      <c r="BB306" s="11"/>
      <c r="BC306" s="11"/>
      <c r="BD306" s="11"/>
      <c r="BE306" s="11"/>
      <c r="BF306" s="11"/>
      <c r="BG306" s="11"/>
      <c r="BH306" s="11"/>
      <c r="BI306" s="11"/>
      <c r="BJ306" s="11"/>
      <c r="BK306" s="11"/>
    </row>
    <row r="307" ht="15.75" customHeight="1" outlineLevel="1">
      <c r="A307" s="11"/>
      <c r="B307" s="11"/>
      <c r="C307" s="28"/>
      <c r="D307" s="11" t="s">
        <v>129</v>
      </c>
      <c r="E307" s="62">
        <f>'New Biz Sales'!O39</f>
        <v>30</v>
      </c>
      <c r="F307" s="62">
        <f>'New Biz Sales'!P39</f>
        <v>30</v>
      </c>
      <c r="G307" s="62">
        <f>'New Biz Sales'!Q39</f>
        <v>30</v>
      </c>
      <c r="H307" s="62">
        <f>'New Biz Sales'!R39</f>
        <v>30</v>
      </c>
      <c r="I307" s="62">
        <f>'New Biz Sales'!S39</f>
        <v>30</v>
      </c>
      <c r="J307" s="62">
        <f>'New Biz Sales'!T39</f>
        <v>30</v>
      </c>
      <c r="K307" s="62">
        <f>'New Biz Sales'!U39</f>
        <v>30</v>
      </c>
      <c r="L307" s="62">
        <f>'New Biz Sales'!V39</f>
        <v>30</v>
      </c>
      <c r="M307" s="62">
        <f>'New Biz Sales'!W39</f>
        <v>30</v>
      </c>
      <c r="N307" s="62">
        <f>'New Biz Sales'!X39</f>
        <v>30</v>
      </c>
      <c r="O307" s="62">
        <f>'New Biz Sales'!Y39</f>
        <v>30</v>
      </c>
      <c r="P307" s="62">
        <f>'New Biz Sales'!Z39</f>
        <v>33</v>
      </c>
      <c r="Q307" s="62">
        <f>'New Biz Sales'!AA39</f>
        <v>33</v>
      </c>
      <c r="R307" s="62">
        <f>'New Biz Sales'!AB39</f>
        <v>33</v>
      </c>
      <c r="S307" s="62">
        <f>'New Biz Sales'!AC39</f>
        <v>33</v>
      </c>
      <c r="T307" s="62">
        <f>'New Biz Sales'!AD39</f>
        <v>33</v>
      </c>
      <c r="U307" s="62">
        <f>'New Biz Sales'!AE39</f>
        <v>33</v>
      </c>
      <c r="V307" s="62">
        <f>'New Biz Sales'!AF39</f>
        <v>33</v>
      </c>
      <c r="W307" s="62">
        <f>'New Biz Sales'!AG39</f>
        <v>33</v>
      </c>
      <c r="X307" s="62">
        <f>'New Biz Sales'!AH39</f>
        <v>31.68</v>
      </c>
      <c r="Y307" s="62">
        <f>'New Biz Sales'!AI39</f>
        <v>31.68</v>
      </c>
      <c r="Z307" s="62">
        <f>'New Biz Sales'!AJ39</f>
        <v>31.68</v>
      </c>
      <c r="AA307" s="62">
        <f>'New Biz Sales'!AK39</f>
        <v>31.8384</v>
      </c>
      <c r="AB307" s="62">
        <f>'New Biz Sales'!AL39</f>
        <v>22.28688</v>
      </c>
      <c r="AC307" s="11"/>
      <c r="AD307" s="11" t="str">
        <f t="shared" ref="AD307:AD313" si="453">D307</f>
        <v>Paid Media </v>
      </c>
      <c r="AE307" s="20">
        <f t="shared" ref="AE307:AE313" si="454">SUM(M307:P307)</f>
        <v>123</v>
      </c>
      <c r="AF307" s="20">
        <f t="shared" ref="AF307:AF313" si="455">SUM(Q307:T307)</f>
        <v>132</v>
      </c>
      <c r="AG307" s="12">
        <f t="shared" ref="AG307:AG313" si="456">AF307-AE307</f>
        <v>9</v>
      </c>
      <c r="AH307" s="66">
        <f t="shared" ref="AH307:AH313" si="457">AF307/AE307-1</f>
        <v>0.07317073171</v>
      </c>
      <c r="AI307" s="11"/>
      <c r="AJ307" s="11"/>
      <c r="AK307" s="11"/>
      <c r="AL307" s="20">
        <f t="shared" si="444"/>
        <v>120</v>
      </c>
      <c r="AM307" s="20">
        <f t="shared" si="445"/>
        <v>120</v>
      </c>
      <c r="AN307" s="20">
        <f t="shared" si="446"/>
        <v>123</v>
      </c>
      <c r="AO307" s="20">
        <f t="shared" si="447"/>
        <v>132</v>
      </c>
      <c r="AP307" s="20">
        <f t="shared" si="448"/>
        <v>130.68</v>
      </c>
      <c r="AQ307" s="20">
        <f t="shared" si="449"/>
        <v>117.48528</v>
      </c>
      <c r="AR307" s="11"/>
      <c r="AS307" s="11"/>
      <c r="AT307" s="11"/>
      <c r="AU307" s="11"/>
      <c r="AV307" s="11"/>
      <c r="AW307" s="11"/>
      <c r="AX307" s="11"/>
      <c r="AY307" s="11"/>
      <c r="AZ307" s="11"/>
      <c r="BA307" s="11"/>
      <c r="BB307" s="11"/>
      <c r="BC307" s="11"/>
      <c r="BD307" s="11"/>
      <c r="BE307" s="11"/>
      <c r="BF307" s="11"/>
      <c r="BG307" s="11"/>
      <c r="BH307" s="11"/>
      <c r="BI307" s="11"/>
      <c r="BJ307" s="11"/>
      <c r="BK307" s="11"/>
    </row>
    <row r="308" ht="15.75" customHeight="1" outlineLevel="1">
      <c r="A308" s="11"/>
      <c r="B308" s="11"/>
      <c r="C308" s="28"/>
      <c r="D308" s="11" t="s">
        <v>85</v>
      </c>
      <c r="E308" s="62">
        <f>'New Biz Sales'!O40</f>
        <v>30</v>
      </c>
      <c r="F308" s="62">
        <f>'New Biz Sales'!P40</f>
        <v>30</v>
      </c>
      <c r="G308" s="62">
        <f>'New Biz Sales'!Q40</f>
        <v>30</v>
      </c>
      <c r="H308" s="62">
        <f>'New Biz Sales'!R40</f>
        <v>30</v>
      </c>
      <c r="I308" s="62">
        <f>'New Biz Sales'!S40</f>
        <v>30</v>
      </c>
      <c r="J308" s="62">
        <f>'New Biz Sales'!T40</f>
        <v>30</v>
      </c>
      <c r="K308" s="62">
        <f>'New Biz Sales'!U40</f>
        <v>30</v>
      </c>
      <c r="L308" s="62">
        <f>'New Biz Sales'!V40</f>
        <v>30</v>
      </c>
      <c r="M308" s="62">
        <f>'New Biz Sales'!W40</f>
        <v>30</v>
      </c>
      <c r="N308" s="62">
        <f>'New Biz Sales'!X40</f>
        <v>30</v>
      </c>
      <c r="O308" s="62">
        <f>'New Biz Sales'!Y40</f>
        <v>30</v>
      </c>
      <c r="P308" s="62">
        <f>'New Biz Sales'!Z40</f>
        <v>33</v>
      </c>
      <c r="Q308" s="62">
        <f>'New Biz Sales'!AA40</f>
        <v>33</v>
      </c>
      <c r="R308" s="62">
        <f>'New Biz Sales'!AB40</f>
        <v>33</v>
      </c>
      <c r="S308" s="62">
        <f>'New Biz Sales'!AC40</f>
        <v>33</v>
      </c>
      <c r="T308" s="62">
        <f>'New Biz Sales'!AD40</f>
        <v>33</v>
      </c>
      <c r="U308" s="62">
        <f>'New Biz Sales'!AE40</f>
        <v>33</v>
      </c>
      <c r="V308" s="62">
        <f>'New Biz Sales'!AF40</f>
        <v>33</v>
      </c>
      <c r="W308" s="62">
        <f>'New Biz Sales'!AG40</f>
        <v>33</v>
      </c>
      <c r="X308" s="62">
        <f>'New Biz Sales'!AH40</f>
        <v>31.35</v>
      </c>
      <c r="Y308" s="62">
        <f>'New Biz Sales'!AI40</f>
        <v>31.35</v>
      </c>
      <c r="Z308" s="62">
        <f>'New Biz Sales'!AJ40</f>
        <v>31.35</v>
      </c>
      <c r="AA308" s="62">
        <f>'New Biz Sales'!AK40</f>
        <v>31.50675</v>
      </c>
      <c r="AB308" s="62">
        <f>'New Biz Sales'!AL40</f>
        <v>22.054725</v>
      </c>
      <c r="AC308" s="11"/>
      <c r="AD308" s="11" t="str">
        <f t="shared" si="453"/>
        <v>SEO</v>
      </c>
      <c r="AE308" s="20">
        <f t="shared" si="454"/>
        <v>123</v>
      </c>
      <c r="AF308" s="20">
        <f t="shared" si="455"/>
        <v>132</v>
      </c>
      <c r="AG308" s="12">
        <f t="shared" si="456"/>
        <v>9</v>
      </c>
      <c r="AH308" s="66">
        <f t="shared" si="457"/>
        <v>0.07317073171</v>
      </c>
      <c r="AI308" s="11"/>
      <c r="AJ308" s="11"/>
      <c r="AK308" s="11"/>
      <c r="AL308" s="20">
        <f t="shared" si="444"/>
        <v>120</v>
      </c>
      <c r="AM308" s="20">
        <f t="shared" si="445"/>
        <v>120</v>
      </c>
      <c r="AN308" s="20">
        <f t="shared" si="446"/>
        <v>123</v>
      </c>
      <c r="AO308" s="20">
        <f t="shared" si="447"/>
        <v>132</v>
      </c>
      <c r="AP308" s="20">
        <f t="shared" si="448"/>
        <v>130.35</v>
      </c>
      <c r="AQ308" s="20">
        <f t="shared" si="449"/>
        <v>116.261475</v>
      </c>
      <c r="AR308" s="11"/>
      <c r="AS308" s="11"/>
      <c r="AT308" s="11"/>
      <c r="AU308" s="11"/>
      <c r="AV308" s="11"/>
      <c r="AW308" s="11"/>
      <c r="AX308" s="11"/>
      <c r="AY308" s="11"/>
      <c r="AZ308" s="11"/>
      <c r="BA308" s="11"/>
      <c r="BB308" s="11"/>
      <c r="BC308" s="11"/>
      <c r="BD308" s="11"/>
      <c r="BE308" s="11"/>
      <c r="BF308" s="11"/>
      <c r="BG308" s="11"/>
      <c r="BH308" s="11"/>
      <c r="BI308" s="11"/>
      <c r="BJ308" s="11"/>
      <c r="BK308" s="11"/>
    </row>
    <row r="309" ht="15.75" customHeight="1" outlineLevel="1">
      <c r="A309" s="11"/>
      <c r="B309" s="11"/>
      <c r="C309" s="11"/>
      <c r="D309" s="11" t="s">
        <v>130</v>
      </c>
      <c r="E309" s="62">
        <f>'New Biz Sales'!O41</f>
        <v>30</v>
      </c>
      <c r="F309" s="62">
        <f>'New Biz Sales'!P41</f>
        <v>30</v>
      </c>
      <c r="G309" s="62">
        <f>'New Biz Sales'!Q41</f>
        <v>30</v>
      </c>
      <c r="H309" s="62">
        <f>'New Biz Sales'!R41</f>
        <v>30</v>
      </c>
      <c r="I309" s="62">
        <f>'New Biz Sales'!S41</f>
        <v>30</v>
      </c>
      <c r="J309" s="62">
        <f>'New Biz Sales'!T41</f>
        <v>30</v>
      </c>
      <c r="K309" s="62">
        <f>'New Biz Sales'!U41</f>
        <v>30</v>
      </c>
      <c r="L309" s="62">
        <f>'New Biz Sales'!V41</f>
        <v>30</v>
      </c>
      <c r="M309" s="62">
        <f>'New Biz Sales'!W41</f>
        <v>30</v>
      </c>
      <c r="N309" s="62">
        <f>'New Biz Sales'!X41</f>
        <v>30</v>
      </c>
      <c r="O309" s="62">
        <f>'New Biz Sales'!Y41</f>
        <v>30</v>
      </c>
      <c r="P309" s="62">
        <f>'New Biz Sales'!Z41</f>
        <v>33</v>
      </c>
      <c r="Q309" s="62">
        <f>'New Biz Sales'!AA41</f>
        <v>33</v>
      </c>
      <c r="R309" s="62">
        <f>'New Biz Sales'!AB41</f>
        <v>33</v>
      </c>
      <c r="S309" s="62">
        <f>'New Biz Sales'!AC41</f>
        <v>33</v>
      </c>
      <c r="T309" s="62">
        <f>'New Biz Sales'!AD41</f>
        <v>33</v>
      </c>
      <c r="U309" s="62">
        <f>'New Biz Sales'!AE41</f>
        <v>33</v>
      </c>
      <c r="V309" s="62">
        <f>'New Biz Sales'!AF41</f>
        <v>33</v>
      </c>
      <c r="W309" s="62">
        <f>'New Biz Sales'!AG41</f>
        <v>33</v>
      </c>
      <c r="X309" s="62">
        <f>'New Biz Sales'!AH41</f>
        <v>31.35</v>
      </c>
      <c r="Y309" s="62">
        <f>'New Biz Sales'!AI41</f>
        <v>31.35</v>
      </c>
      <c r="Z309" s="62">
        <f>'New Biz Sales'!AJ41</f>
        <v>31.35</v>
      </c>
      <c r="AA309" s="62">
        <f>'New Biz Sales'!AK41</f>
        <v>31.50675</v>
      </c>
      <c r="AB309" s="62">
        <f>'New Biz Sales'!AL41</f>
        <v>22.054725</v>
      </c>
      <c r="AC309" s="11"/>
      <c r="AD309" s="11" t="str">
        <f t="shared" si="453"/>
        <v>PCS</v>
      </c>
      <c r="AE309" s="20">
        <f t="shared" si="454"/>
        <v>123</v>
      </c>
      <c r="AF309" s="20">
        <f t="shared" si="455"/>
        <v>132</v>
      </c>
      <c r="AG309" s="12">
        <f t="shared" si="456"/>
        <v>9</v>
      </c>
      <c r="AH309" s="66">
        <f t="shared" si="457"/>
        <v>0.07317073171</v>
      </c>
      <c r="AI309" s="11"/>
      <c r="AJ309" s="11"/>
      <c r="AK309" s="11"/>
      <c r="AL309" s="20">
        <f t="shared" si="444"/>
        <v>120</v>
      </c>
      <c r="AM309" s="20">
        <f t="shared" si="445"/>
        <v>120</v>
      </c>
      <c r="AN309" s="20">
        <f t="shared" si="446"/>
        <v>123</v>
      </c>
      <c r="AO309" s="20">
        <f t="shared" si="447"/>
        <v>132</v>
      </c>
      <c r="AP309" s="20">
        <f t="shared" si="448"/>
        <v>130.35</v>
      </c>
      <c r="AQ309" s="20">
        <f t="shared" si="449"/>
        <v>116.261475</v>
      </c>
      <c r="AR309" s="11"/>
      <c r="AS309" s="11"/>
      <c r="AT309" s="11"/>
      <c r="AU309" s="11"/>
      <c r="AV309" s="11"/>
      <c r="AW309" s="11"/>
      <c r="AX309" s="11"/>
      <c r="AY309" s="11"/>
      <c r="AZ309" s="11"/>
      <c r="BA309" s="11"/>
      <c r="BB309" s="11"/>
      <c r="BC309" s="11"/>
      <c r="BD309" s="11"/>
      <c r="BE309" s="11"/>
      <c r="BF309" s="11"/>
      <c r="BG309" s="11"/>
      <c r="BH309" s="11"/>
      <c r="BI309" s="11"/>
      <c r="BJ309" s="11"/>
      <c r="BK309" s="11"/>
    </row>
    <row r="310" ht="15.75" customHeight="1" outlineLevel="1">
      <c r="A310" s="11"/>
      <c r="B310" s="11"/>
      <c r="C310" s="11"/>
      <c r="D310" s="11" t="s">
        <v>89</v>
      </c>
      <c r="E310" s="62">
        <f>'New Biz Sales'!O42</f>
        <v>30</v>
      </c>
      <c r="F310" s="62">
        <f>'New Biz Sales'!P42</f>
        <v>30</v>
      </c>
      <c r="G310" s="62">
        <f>'New Biz Sales'!Q42</f>
        <v>30</v>
      </c>
      <c r="H310" s="62">
        <f>'New Biz Sales'!R42</f>
        <v>30</v>
      </c>
      <c r="I310" s="62">
        <f>'New Biz Sales'!S42</f>
        <v>30</v>
      </c>
      <c r="J310" s="62">
        <f>'New Biz Sales'!T42</f>
        <v>30</v>
      </c>
      <c r="K310" s="62">
        <f>'New Biz Sales'!U42</f>
        <v>30</v>
      </c>
      <c r="L310" s="62">
        <f>'New Biz Sales'!V42</f>
        <v>30</v>
      </c>
      <c r="M310" s="62">
        <f>'New Biz Sales'!W42</f>
        <v>30</v>
      </c>
      <c r="N310" s="62">
        <f>'New Biz Sales'!X42</f>
        <v>30</v>
      </c>
      <c r="O310" s="62">
        <f>'New Biz Sales'!Y42</f>
        <v>30</v>
      </c>
      <c r="P310" s="62">
        <f>'New Biz Sales'!Z42</f>
        <v>33</v>
      </c>
      <c r="Q310" s="62">
        <f>'New Biz Sales'!AA42</f>
        <v>33</v>
      </c>
      <c r="R310" s="62">
        <f>'New Biz Sales'!AB42</f>
        <v>33</v>
      </c>
      <c r="S310" s="62">
        <f>'New Biz Sales'!AC42</f>
        <v>33</v>
      </c>
      <c r="T310" s="62">
        <f>'New Biz Sales'!AD42</f>
        <v>33</v>
      </c>
      <c r="U310" s="62">
        <f>'New Biz Sales'!AE42</f>
        <v>33</v>
      </c>
      <c r="V310" s="62">
        <f>'New Biz Sales'!AF42</f>
        <v>33</v>
      </c>
      <c r="W310" s="62">
        <f>'New Biz Sales'!AG42</f>
        <v>33</v>
      </c>
      <c r="X310" s="62">
        <f>'New Biz Sales'!AH42</f>
        <v>31.35</v>
      </c>
      <c r="Y310" s="62">
        <f>'New Biz Sales'!AI42</f>
        <v>31.35</v>
      </c>
      <c r="Z310" s="62">
        <f>'New Biz Sales'!AJ42</f>
        <v>31.35</v>
      </c>
      <c r="AA310" s="62">
        <f>'New Biz Sales'!AK42</f>
        <v>31.50675</v>
      </c>
      <c r="AB310" s="62">
        <f>'New Biz Sales'!AL42</f>
        <v>22.054725</v>
      </c>
      <c r="AC310" s="11"/>
      <c r="AD310" s="11" t="str">
        <f t="shared" si="453"/>
        <v>Video</v>
      </c>
      <c r="AE310" s="20">
        <f t="shared" si="454"/>
        <v>123</v>
      </c>
      <c r="AF310" s="20">
        <f t="shared" si="455"/>
        <v>132</v>
      </c>
      <c r="AG310" s="12">
        <f t="shared" si="456"/>
        <v>9</v>
      </c>
      <c r="AH310" s="66">
        <f t="shared" si="457"/>
        <v>0.07317073171</v>
      </c>
      <c r="AI310" s="11"/>
      <c r="AJ310" s="11"/>
      <c r="AK310" s="11"/>
      <c r="AL310" s="20">
        <f t="shared" si="444"/>
        <v>120</v>
      </c>
      <c r="AM310" s="20">
        <f t="shared" si="445"/>
        <v>120</v>
      </c>
      <c r="AN310" s="20">
        <f t="shared" si="446"/>
        <v>123</v>
      </c>
      <c r="AO310" s="20">
        <f t="shared" si="447"/>
        <v>132</v>
      </c>
      <c r="AP310" s="20">
        <f t="shared" si="448"/>
        <v>130.35</v>
      </c>
      <c r="AQ310" s="20">
        <f t="shared" si="449"/>
        <v>116.261475</v>
      </c>
      <c r="AR310" s="11"/>
      <c r="AS310" s="11"/>
      <c r="AT310" s="11"/>
      <c r="AU310" s="11"/>
      <c r="AV310" s="11"/>
      <c r="AW310" s="11"/>
      <c r="AX310" s="11"/>
      <c r="AY310" s="11"/>
      <c r="AZ310" s="11"/>
      <c r="BA310" s="11"/>
      <c r="BB310" s="11"/>
      <c r="BC310" s="11"/>
      <c r="BD310" s="11"/>
      <c r="BE310" s="11"/>
      <c r="BF310" s="11"/>
      <c r="BG310" s="11"/>
      <c r="BH310" s="11"/>
      <c r="BI310" s="11"/>
      <c r="BJ310" s="11"/>
      <c r="BK310" s="11"/>
    </row>
    <row r="311" ht="15.75" customHeight="1" outlineLevel="1">
      <c r="A311" s="11"/>
      <c r="B311" s="11"/>
      <c r="C311" s="11"/>
      <c r="D311" s="11" t="s">
        <v>94</v>
      </c>
      <c r="E311" s="62">
        <f>'New Biz Sales'!O43</f>
        <v>30</v>
      </c>
      <c r="F311" s="62">
        <f>'New Biz Sales'!P43</f>
        <v>30</v>
      </c>
      <c r="G311" s="62">
        <f>'New Biz Sales'!Q43</f>
        <v>30</v>
      </c>
      <c r="H311" s="62">
        <f>'New Biz Sales'!R43</f>
        <v>30</v>
      </c>
      <c r="I311" s="62">
        <f>'New Biz Sales'!S43</f>
        <v>30</v>
      </c>
      <c r="J311" s="62">
        <f>'New Biz Sales'!T43</f>
        <v>30</v>
      </c>
      <c r="K311" s="62">
        <f>'New Biz Sales'!U43</f>
        <v>30</v>
      </c>
      <c r="L311" s="62">
        <f>'New Biz Sales'!V43</f>
        <v>30</v>
      </c>
      <c r="M311" s="62">
        <f>'New Biz Sales'!W43</f>
        <v>30</v>
      </c>
      <c r="N311" s="62">
        <f>'New Biz Sales'!X43</f>
        <v>30</v>
      </c>
      <c r="O311" s="62">
        <f>'New Biz Sales'!Y43</f>
        <v>30</v>
      </c>
      <c r="P311" s="62">
        <f>'New Biz Sales'!Z43</f>
        <v>33</v>
      </c>
      <c r="Q311" s="62">
        <f>'New Biz Sales'!AA43</f>
        <v>33</v>
      </c>
      <c r="R311" s="62">
        <f>'New Biz Sales'!AB43</f>
        <v>33</v>
      </c>
      <c r="S311" s="62">
        <f>'New Biz Sales'!AC43</f>
        <v>33</v>
      </c>
      <c r="T311" s="62">
        <f>'New Biz Sales'!AD43</f>
        <v>33</v>
      </c>
      <c r="U311" s="62">
        <f>'New Biz Sales'!AE43</f>
        <v>33</v>
      </c>
      <c r="V311" s="62">
        <f>'New Biz Sales'!AF43</f>
        <v>33</v>
      </c>
      <c r="W311" s="62">
        <f>'New Biz Sales'!AG43</f>
        <v>33</v>
      </c>
      <c r="X311" s="62">
        <f>'New Biz Sales'!AH43</f>
        <v>31.35</v>
      </c>
      <c r="Y311" s="62">
        <f>'New Biz Sales'!AI43</f>
        <v>31.35</v>
      </c>
      <c r="Z311" s="62">
        <f>'New Biz Sales'!AJ43</f>
        <v>31.35</v>
      </c>
      <c r="AA311" s="62">
        <f>'New Biz Sales'!AK43</f>
        <v>31.50675</v>
      </c>
      <c r="AB311" s="62">
        <f>'New Biz Sales'!AL43</f>
        <v>31.8218175</v>
      </c>
      <c r="AC311" s="11"/>
      <c r="AD311" s="11" t="str">
        <f t="shared" si="453"/>
        <v>Rev Ops</v>
      </c>
      <c r="AE311" s="20">
        <f t="shared" si="454"/>
        <v>123</v>
      </c>
      <c r="AF311" s="20">
        <f t="shared" si="455"/>
        <v>132</v>
      </c>
      <c r="AG311" s="12">
        <f t="shared" si="456"/>
        <v>9</v>
      </c>
      <c r="AH311" s="66">
        <f t="shared" si="457"/>
        <v>0.07317073171</v>
      </c>
      <c r="AI311" s="11"/>
      <c r="AJ311" s="11"/>
      <c r="AK311" s="11"/>
      <c r="AL311" s="20">
        <f t="shared" si="444"/>
        <v>120</v>
      </c>
      <c r="AM311" s="20">
        <f t="shared" si="445"/>
        <v>120</v>
      </c>
      <c r="AN311" s="20">
        <f t="shared" si="446"/>
        <v>123</v>
      </c>
      <c r="AO311" s="20">
        <f t="shared" si="447"/>
        <v>132</v>
      </c>
      <c r="AP311" s="20">
        <f t="shared" si="448"/>
        <v>130.35</v>
      </c>
      <c r="AQ311" s="20">
        <f t="shared" si="449"/>
        <v>126.0285675</v>
      </c>
      <c r="AR311" s="11"/>
      <c r="AS311" s="11"/>
      <c r="AT311" s="11"/>
      <c r="AU311" s="11"/>
      <c r="AV311" s="11"/>
      <c r="AW311" s="11"/>
      <c r="AX311" s="11"/>
      <c r="AY311" s="11"/>
      <c r="AZ311" s="11"/>
      <c r="BA311" s="11"/>
      <c r="BB311" s="11"/>
      <c r="BC311" s="11"/>
      <c r="BD311" s="11"/>
      <c r="BE311" s="11"/>
      <c r="BF311" s="11"/>
      <c r="BG311" s="11"/>
      <c r="BH311" s="11"/>
      <c r="BI311" s="11"/>
      <c r="BJ311" s="11"/>
      <c r="BK311" s="11"/>
    </row>
    <row r="312" ht="15.75" customHeight="1" outlineLevel="1">
      <c r="A312" s="11"/>
      <c r="B312" s="11"/>
      <c r="C312" s="11"/>
      <c r="D312" s="11" t="s">
        <v>96</v>
      </c>
      <c r="E312" s="62">
        <f>'New Biz Sales'!O44</f>
        <v>30</v>
      </c>
      <c r="F312" s="62">
        <f>'New Biz Sales'!P44</f>
        <v>30</v>
      </c>
      <c r="G312" s="62">
        <f>'New Biz Sales'!Q44</f>
        <v>30</v>
      </c>
      <c r="H312" s="62">
        <f>'New Biz Sales'!R44</f>
        <v>30</v>
      </c>
      <c r="I312" s="62">
        <f>'New Biz Sales'!S44</f>
        <v>30</v>
      </c>
      <c r="J312" s="62">
        <f>'New Biz Sales'!T44</f>
        <v>30</v>
      </c>
      <c r="K312" s="62">
        <f>'New Biz Sales'!U44</f>
        <v>30</v>
      </c>
      <c r="L312" s="62">
        <f>'New Biz Sales'!V44</f>
        <v>30</v>
      </c>
      <c r="M312" s="62">
        <f>'New Biz Sales'!W44</f>
        <v>30</v>
      </c>
      <c r="N312" s="62">
        <f>'New Biz Sales'!X44</f>
        <v>30</v>
      </c>
      <c r="O312" s="62">
        <f>'New Biz Sales'!Y44</f>
        <v>30</v>
      </c>
      <c r="P312" s="62">
        <f>'New Biz Sales'!Z44</f>
        <v>33</v>
      </c>
      <c r="Q312" s="62">
        <f>'New Biz Sales'!AA44</f>
        <v>33</v>
      </c>
      <c r="R312" s="62">
        <f>'New Biz Sales'!AB44</f>
        <v>33</v>
      </c>
      <c r="S312" s="62">
        <f>'New Biz Sales'!AC44</f>
        <v>33</v>
      </c>
      <c r="T312" s="62">
        <f>'New Biz Sales'!AD44</f>
        <v>33</v>
      </c>
      <c r="U312" s="62">
        <f>'New Biz Sales'!AE44</f>
        <v>33</v>
      </c>
      <c r="V312" s="62">
        <f>'New Biz Sales'!AF44</f>
        <v>33</v>
      </c>
      <c r="W312" s="62">
        <f>'New Biz Sales'!AG44</f>
        <v>33</v>
      </c>
      <c r="X312" s="62">
        <f>'New Biz Sales'!AH44</f>
        <v>33</v>
      </c>
      <c r="Y312" s="62">
        <f>'New Biz Sales'!AI44</f>
        <v>33</v>
      </c>
      <c r="Z312" s="62">
        <f>'New Biz Sales'!AJ44</f>
        <v>33</v>
      </c>
      <c r="AA312" s="62">
        <f>'New Biz Sales'!AK44</f>
        <v>33</v>
      </c>
      <c r="AB312" s="62">
        <f>'New Biz Sales'!AL44</f>
        <v>33</v>
      </c>
      <c r="AC312" s="11"/>
      <c r="AD312" s="11" t="str">
        <f t="shared" si="453"/>
        <v>Strategy</v>
      </c>
      <c r="AE312" s="20">
        <f t="shared" si="454"/>
        <v>123</v>
      </c>
      <c r="AF312" s="20">
        <f t="shared" si="455"/>
        <v>132</v>
      </c>
      <c r="AG312" s="12">
        <f t="shared" si="456"/>
        <v>9</v>
      </c>
      <c r="AH312" s="66">
        <f t="shared" si="457"/>
        <v>0.07317073171</v>
      </c>
      <c r="AI312" s="11"/>
      <c r="AJ312" s="11"/>
      <c r="AK312" s="11"/>
      <c r="AL312" s="20">
        <f t="shared" si="444"/>
        <v>120</v>
      </c>
      <c r="AM312" s="20">
        <f t="shared" si="445"/>
        <v>120</v>
      </c>
      <c r="AN312" s="20">
        <f t="shared" si="446"/>
        <v>123</v>
      </c>
      <c r="AO312" s="20">
        <f t="shared" si="447"/>
        <v>132</v>
      </c>
      <c r="AP312" s="20">
        <f t="shared" si="448"/>
        <v>132</v>
      </c>
      <c r="AQ312" s="20">
        <f t="shared" si="449"/>
        <v>132</v>
      </c>
      <c r="AR312" s="11"/>
      <c r="AS312" s="11"/>
      <c r="AT312" s="11"/>
      <c r="AU312" s="11"/>
      <c r="AV312" s="11"/>
      <c r="AW312" s="11"/>
      <c r="AX312" s="11"/>
      <c r="AY312" s="11"/>
      <c r="AZ312" s="11"/>
      <c r="BA312" s="11"/>
      <c r="BB312" s="11"/>
      <c r="BC312" s="11"/>
      <c r="BD312" s="11"/>
      <c r="BE312" s="11"/>
      <c r="BF312" s="11"/>
      <c r="BG312" s="11"/>
      <c r="BH312" s="11"/>
      <c r="BI312" s="11"/>
      <c r="BJ312" s="11"/>
      <c r="BK312" s="11"/>
    </row>
    <row r="313" ht="15.75" customHeight="1">
      <c r="A313" s="11"/>
      <c r="B313" s="11"/>
      <c r="C313" s="11"/>
      <c r="D313" s="22" t="s">
        <v>131</v>
      </c>
      <c r="E313" s="89">
        <f>'New Biz Sales'!O45</f>
        <v>180</v>
      </c>
      <c r="F313" s="89">
        <f>'New Biz Sales'!P45</f>
        <v>180</v>
      </c>
      <c r="G313" s="89">
        <f>'New Biz Sales'!Q45</f>
        <v>180</v>
      </c>
      <c r="H313" s="89">
        <f>'New Biz Sales'!R45</f>
        <v>180</v>
      </c>
      <c r="I313" s="89">
        <f>'New Biz Sales'!S45</f>
        <v>180</v>
      </c>
      <c r="J313" s="89">
        <f>'New Biz Sales'!T45</f>
        <v>180</v>
      </c>
      <c r="K313" s="89">
        <f>'New Biz Sales'!U45</f>
        <v>180</v>
      </c>
      <c r="L313" s="89">
        <f>'New Biz Sales'!V45</f>
        <v>180</v>
      </c>
      <c r="M313" s="89">
        <f>'New Biz Sales'!W45</f>
        <v>180</v>
      </c>
      <c r="N313" s="89">
        <f>'New Biz Sales'!X45</f>
        <v>180</v>
      </c>
      <c r="O313" s="89">
        <f>'New Biz Sales'!Y45</f>
        <v>180</v>
      </c>
      <c r="P313" s="89">
        <f>'New Biz Sales'!Z45</f>
        <v>198</v>
      </c>
      <c r="Q313" s="89">
        <f>'New Biz Sales'!AA45</f>
        <v>198</v>
      </c>
      <c r="R313" s="89">
        <f>'New Biz Sales'!AB45</f>
        <v>198</v>
      </c>
      <c r="S313" s="89">
        <f>'New Biz Sales'!AC45</f>
        <v>198</v>
      </c>
      <c r="T313" s="89">
        <f>'New Biz Sales'!AD45</f>
        <v>198</v>
      </c>
      <c r="U313" s="89">
        <f>'New Biz Sales'!AE45</f>
        <v>198</v>
      </c>
      <c r="V313" s="89">
        <f>'New Biz Sales'!AF45</f>
        <v>198</v>
      </c>
      <c r="W313" s="89">
        <f>'New Biz Sales'!AG45</f>
        <v>198</v>
      </c>
      <c r="X313" s="89">
        <f>'New Biz Sales'!AH45</f>
        <v>190.08</v>
      </c>
      <c r="Y313" s="89">
        <f>'New Biz Sales'!AI45</f>
        <v>190.08</v>
      </c>
      <c r="Z313" s="89">
        <f>'New Biz Sales'!AJ45</f>
        <v>190.08</v>
      </c>
      <c r="AA313" s="89">
        <f>'New Biz Sales'!AK45</f>
        <v>190.8654</v>
      </c>
      <c r="AB313" s="89">
        <f>'New Biz Sales'!AL45</f>
        <v>153.2728725</v>
      </c>
      <c r="AC313" s="11"/>
      <c r="AD313" s="28" t="str">
        <f t="shared" si="453"/>
        <v>Total Strategy Calls</v>
      </c>
      <c r="AE313" s="90">
        <f t="shared" si="454"/>
        <v>738</v>
      </c>
      <c r="AF313" s="90">
        <f t="shared" si="455"/>
        <v>792</v>
      </c>
      <c r="AG313" s="25">
        <f t="shared" si="456"/>
        <v>54</v>
      </c>
      <c r="AH313" s="60">
        <f t="shared" si="457"/>
        <v>0.07317073171</v>
      </c>
      <c r="AI313" s="11"/>
      <c r="AJ313" s="11"/>
      <c r="AK313" s="11"/>
      <c r="AL313" s="90">
        <f t="shared" si="444"/>
        <v>720</v>
      </c>
      <c r="AM313" s="90">
        <f t="shared" si="445"/>
        <v>720</v>
      </c>
      <c r="AN313" s="90">
        <f t="shared" si="446"/>
        <v>738</v>
      </c>
      <c r="AO313" s="90">
        <f t="shared" si="447"/>
        <v>792</v>
      </c>
      <c r="AP313" s="90">
        <f t="shared" si="448"/>
        <v>784.08</v>
      </c>
      <c r="AQ313" s="90">
        <f t="shared" si="449"/>
        <v>724.2982725</v>
      </c>
      <c r="AR313" s="11"/>
      <c r="AS313" s="11"/>
      <c r="AT313" s="11"/>
      <c r="AU313" s="11"/>
      <c r="AV313" s="11"/>
      <c r="AW313" s="11"/>
      <c r="AX313" s="11"/>
      <c r="AY313" s="11"/>
      <c r="AZ313" s="11"/>
      <c r="BA313" s="11"/>
      <c r="BB313" s="11"/>
      <c r="BC313" s="11"/>
      <c r="BD313" s="11"/>
      <c r="BE313" s="11"/>
      <c r="BF313" s="11"/>
      <c r="BG313" s="11"/>
      <c r="BH313" s="11"/>
      <c r="BI313" s="11"/>
      <c r="BJ313" s="11"/>
      <c r="BK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28"/>
      <c r="AE314" s="28"/>
      <c r="AF314" s="20"/>
      <c r="AG314" s="12"/>
      <c r="AH314" s="66"/>
      <c r="AI314" s="11"/>
      <c r="AJ314" s="11"/>
      <c r="AK314" s="11"/>
      <c r="AL314" s="28">
        <f t="shared" si="444"/>
        <v>0</v>
      </c>
      <c r="AM314" s="20">
        <f t="shared" si="445"/>
        <v>0</v>
      </c>
      <c r="AN314" s="11">
        <f t="shared" si="446"/>
        <v>0</v>
      </c>
      <c r="AO314" s="28">
        <f t="shared" si="447"/>
        <v>0</v>
      </c>
      <c r="AP314" s="20">
        <f t="shared" si="448"/>
        <v>0</v>
      </c>
      <c r="AQ314" s="11">
        <f t="shared" si="449"/>
        <v>0</v>
      </c>
      <c r="AR314" s="11"/>
      <c r="AS314" s="11"/>
      <c r="AT314" s="11"/>
      <c r="AU314" s="11"/>
      <c r="AV314" s="11"/>
      <c r="AW314" s="11"/>
      <c r="AX314" s="11"/>
      <c r="AY314" s="11"/>
      <c r="AZ314" s="11"/>
      <c r="BA314" s="11"/>
      <c r="BB314" s="11"/>
      <c r="BC314" s="11"/>
      <c r="BD314" s="11"/>
      <c r="BE314" s="11"/>
      <c r="BF314" s="11"/>
      <c r="BG314" s="11"/>
      <c r="BH314" s="11"/>
      <c r="BI314" s="11"/>
      <c r="BJ314" s="11"/>
      <c r="BK314" s="11"/>
    </row>
    <row r="315" ht="15.75" customHeight="1" outlineLevel="1">
      <c r="A315" s="11"/>
      <c r="B315" s="11"/>
      <c r="C315" s="11"/>
      <c r="D315" s="11" t="s">
        <v>129</v>
      </c>
      <c r="E315" s="62">
        <f>'New Biz Sales'!O72</f>
        <v>15</v>
      </c>
      <c r="F315" s="62">
        <f>'New Biz Sales'!P72</f>
        <v>15</v>
      </c>
      <c r="G315" s="62">
        <f>'New Biz Sales'!Q72</f>
        <v>15</v>
      </c>
      <c r="H315" s="62">
        <f>'New Biz Sales'!R72</f>
        <v>15</v>
      </c>
      <c r="I315" s="62">
        <f>'New Biz Sales'!S72</f>
        <v>15</v>
      </c>
      <c r="J315" s="62">
        <f>'New Biz Sales'!T72</f>
        <v>15</v>
      </c>
      <c r="K315" s="62">
        <f>'New Biz Sales'!U72</f>
        <v>15</v>
      </c>
      <c r="L315" s="62">
        <f>'New Biz Sales'!V72</f>
        <v>15</v>
      </c>
      <c r="M315" s="62">
        <f>'New Biz Sales'!W72</f>
        <v>15</v>
      </c>
      <c r="N315" s="62">
        <f>'New Biz Sales'!X72</f>
        <v>15</v>
      </c>
      <c r="O315" s="62">
        <f>'New Biz Sales'!Y72</f>
        <v>15</v>
      </c>
      <c r="P315" s="62">
        <f>'New Biz Sales'!Z72</f>
        <v>18</v>
      </c>
      <c r="Q315" s="62">
        <f>'New Biz Sales'!AA72</f>
        <v>19.8</v>
      </c>
      <c r="R315" s="62">
        <f>'New Biz Sales'!AB72</f>
        <v>19.8</v>
      </c>
      <c r="S315" s="62">
        <f>'New Biz Sales'!AC72</f>
        <v>19.8</v>
      </c>
      <c r="T315" s="62">
        <f>'New Biz Sales'!AD72</f>
        <v>19.8</v>
      </c>
      <c r="U315" s="62">
        <f>'New Biz Sales'!AE72</f>
        <v>19.8</v>
      </c>
      <c r="V315" s="62">
        <f>'New Biz Sales'!AF72</f>
        <v>19.8</v>
      </c>
      <c r="W315" s="62">
        <f>'New Biz Sales'!AG72</f>
        <v>19.8</v>
      </c>
      <c r="X315" s="62">
        <f>'New Biz Sales'!AH72</f>
        <v>19.8</v>
      </c>
      <c r="Y315" s="62">
        <f>'New Biz Sales'!AI72</f>
        <v>19.008</v>
      </c>
      <c r="Z315" s="62">
        <f>'New Biz Sales'!AJ72</f>
        <v>19.008</v>
      </c>
      <c r="AA315" s="62">
        <f>'New Biz Sales'!AK72</f>
        <v>19.008</v>
      </c>
      <c r="AB315" s="62">
        <f>'New Biz Sales'!AL72</f>
        <v>19.10304</v>
      </c>
      <c r="AC315" s="11"/>
      <c r="AD315" s="11" t="str">
        <f t="shared" ref="AD315:AD321" si="458">D315</f>
        <v>Paid Media </v>
      </c>
      <c r="AE315" s="20">
        <f t="shared" ref="AE315:AE321" si="459">SUM(M315:P315)</f>
        <v>63</v>
      </c>
      <c r="AF315" s="20">
        <f t="shared" ref="AF315:AF321" si="460">SUM(Q315:T315)</f>
        <v>79.2</v>
      </c>
      <c r="AG315" s="12">
        <f t="shared" ref="AG315:AG321" si="461">AF315-AE315</f>
        <v>16.2</v>
      </c>
      <c r="AH315" s="66">
        <f t="shared" ref="AH315:AH321" si="462">AF315/AE315-1</f>
        <v>0.2571428571</v>
      </c>
      <c r="AI315" s="11"/>
      <c r="AJ315" s="11"/>
      <c r="AK315" s="11"/>
      <c r="AL315" s="20">
        <f t="shared" si="444"/>
        <v>60</v>
      </c>
      <c r="AM315" s="20">
        <f t="shared" si="445"/>
        <v>60</v>
      </c>
      <c r="AN315" s="20">
        <f t="shared" si="446"/>
        <v>63</v>
      </c>
      <c r="AO315" s="20">
        <f t="shared" si="447"/>
        <v>79.2</v>
      </c>
      <c r="AP315" s="20">
        <f t="shared" si="448"/>
        <v>79.2</v>
      </c>
      <c r="AQ315" s="20">
        <f t="shared" si="449"/>
        <v>76.12704</v>
      </c>
      <c r="AR315" s="11"/>
      <c r="AS315" s="11"/>
      <c r="AT315" s="11"/>
      <c r="AU315" s="11"/>
      <c r="AV315" s="11"/>
      <c r="AW315" s="11"/>
      <c r="AX315" s="11"/>
      <c r="AY315" s="11"/>
      <c r="AZ315" s="11"/>
      <c r="BA315" s="11"/>
      <c r="BB315" s="11"/>
      <c r="BC315" s="11"/>
      <c r="BD315" s="11"/>
      <c r="BE315" s="11"/>
      <c r="BF315" s="11"/>
      <c r="BG315" s="11"/>
      <c r="BH315" s="11"/>
      <c r="BI315" s="11"/>
      <c r="BJ315" s="11"/>
      <c r="BK315" s="11"/>
    </row>
    <row r="316" ht="15.75" customHeight="1" outlineLevel="1">
      <c r="A316" s="11"/>
      <c r="B316" s="11"/>
      <c r="C316" s="11"/>
      <c r="D316" s="11" t="s">
        <v>85</v>
      </c>
      <c r="E316" s="62">
        <f>'New Biz Sales'!O73</f>
        <v>15</v>
      </c>
      <c r="F316" s="62">
        <f>'New Biz Sales'!P73</f>
        <v>15</v>
      </c>
      <c r="G316" s="62">
        <f>'New Biz Sales'!Q73</f>
        <v>15</v>
      </c>
      <c r="H316" s="62">
        <f>'New Biz Sales'!R73</f>
        <v>15</v>
      </c>
      <c r="I316" s="62">
        <f>'New Biz Sales'!S73</f>
        <v>15</v>
      </c>
      <c r="J316" s="62">
        <f>'New Biz Sales'!T73</f>
        <v>15</v>
      </c>
      <c r="K316" s="62">
        <f>'New Biz Sales'!U73</f>
        <v>15</v>
      </c>
      <c r="L316" s="62">
        <f>'New Biz Sales'!V73</f>
        <v>15</v>
      </c>
      <c r="M316" s="62">
        <f>'New Biz Sales'!W73</f>
        <v>15</v>
      </c>
      <c r="N316" s="62">
        <f>'New Biz Sales'!X73</f>
        <v>15</v>
      </c>
      <c r="O316" s="62">
        <f>'New Biz Sales'!Y73</f>
        <v>15</v>
      </c>
      <c r="P316" s="62">
        <f>'New Biz Sales'!Z73</f>
        <v>18</v>
      </c>
      <c r="Q316" s="62">
        <f>'New Biz Sales'!AA73</f>
        <v>19.8</v>
      </c>
      <c r="R316" s="62">
        <f>'New Biz Sales'!AB73</f>
        <v>19.8</v>
      </c>
      <c r="S316" s="62">
        <f>'New Biz Sales'!AC73</f>
        <v>19.8</v>
      </c>
      <c r="T316" s="62">
        <f>'New Biz Sales'!AD73</f>
        <v>19.8</v>
      </c>
      <c r="U316" s="62">
        <f>'New Biz Sales'!AE73</f>
        <v>19.8</v>
      </c>
      <c r="V316" s="62">
        <f>'New Biz Sales'!AF73</f>
        <v>19.8</v>
      </c>
      <c r="W316" s="62">
        <f>'New Biz Sales'!AG73</f>
        <v>19.8</v>
      </c>
      <c r="X316" s="62">
        <f>'New Biz Sales'!AH73</f>
        <v>19.8</v>
      </c>
      <c r="Y316" s="62">
        <f>'New Biz Sales'!AI73</f>
        <v>18.81</v>
      </c>
      <c r="Z316" s="62">
        <f>'New Biz Sales'!AJ73</f>
        <v>18.81</v>
      </c>
      <c r="AA316" s="62">
        <f>'New Biz Sales'!AK73</f>
        <v>18.81</v>
      </c>
      <c r="AB316" s="62">
        <f>'New Biz Sales'!AL73</f>
        <v>18.90405</v>
      </c>
      <c r="AC316" s="11"/>
      <c r="AD316" s="11" t="str">
        <f t="shared" si="458"/>
        <v>SEO</v>
      </c>
      <c r="AE316" s="20">
        <f t="shared" si="459"/>
        <v>63</v>
      </c>
      <c r="AF316" s="20">
        <f t="shared" si="460"/>
        <v>79.2</v>
      </c>
      <c r="AG316" s="12">
        <f t="shared" si="461"/>
        <v>16.2</v>
      </c>
      <c r="AH316" s="66">
        <f t="shared" si="462"/>
        <v>0.2571428571</v>
      </c>
      <c r="AI316" s="11"/>
      <c r="AJ316" s="11"/>
      <c r="AK316" s="11"/>
      <c r="AL316" s="20">
        <f t="shared" si="444"/>
        <v>60</v>
      </c>
      <c r="AM316" s="20">
        <f t="shared" si="445"/>
        <v>60</v>
      </c>
      <c r="AN316" s="20">
        <f t="shared" si="446"/>
        <v>63</v>
      </c>
      <c r="AO316" s="20">
        <f t="shared" si="447"/>
        <v>79.2</v>
      </c>
      <c r="AP316" s="20">
        <f t="shared" si="448"/>
        <v>79.2</v>
      </c>
      <c r="AQ316" s="20">
        <f t="shared" si="449"/>
        <v>75.33405</v>
      </c>
      <c r="AR316" s="11"/>
      <c r="AS316" s="11"/>
      <c r="AT316" s="11"/>
      <c r="AU316" s="11"/>
      <c r="AV316" s="11"/>
      <c r="AW316" s="11"/>
      <c r="AX316" s="11"/>
      <c r="AY316" s="11"/>
      <c r="AZ316" s="11"/>
      <c r="BA316" s="11"/>
      <c r="BB316" s="11"/>
      <c r="BC316" s="11"/>
      <c r="BD316" s="11"/>
      <c r="BE316" s="11"/>
      <c r="BF316" s="11"/>
      <c r="BG316" s="11"/>
      <c r="BH316" s="11"/>
      <c r="BI316" s="11"/>
      <c r="BJ316" s="11"/>
      <c r="BK316" s="11"/>
    </row>
    <row r="317" ht="15.75" customHeight="1" outlineLevel="1">
      <c r="A317" s="11"/>
      <c r="B317" s="11"/>
      <c r="C317" s="11"/>
      <c r="D317" s="11" t="s">
        <v>130</v>
      </c>
      <c r="E317" s="62">
        <f>'New Biz Sales'!O74</f>
        <v>15</v>
      </c>
      <c r="F317" s="62">
        <f>'New Biz Sales'!P74</f>
        <v>15</v>
      </c>
      <c r="G317" s="62">
        <f>'New Biz Sales'!Q74</f>
        <v>15</v>
      </c>
      <c r="H317" s="62">
        <f>'New Biz Sales'!R74</f>
        <v>15</v>
      </c>
      <c r="I317" s="62">
        <f>'New Biz Sales'!S74</f>
        <v>15</v>
      </c>
      <c r="J317" s="62">
        <f>'New Biz Sales'!T74</f>
        <v>15</v>
      </c>
      <c r="K317" s="62">
        <f>'New Biz Sales'!U74</f>
        <v>15</v>
      </c>
      <c r="L317" s="62">
        <f>'New Biz Sales'!V74</f>
        <v>15</v>
      </c>
      <c r="M317" s="62">
        <f>'New Biz Sales'!W74</f>
        <v>15</v>
      </c>
      <c r="N317" s="62">
        <f>'New Biz Sales'!X74</f>
        <v>15</v>
      </c>
      <c r="O317" s="62">
        <f>'New Biz Sales'!Y74</f>
        <v>15</v>
      </c>
      <c r="P317" s="62">
        <f>'New Biz Sales'!Z74</f>
        <v>18</v>
      </c>
      <c r="Q317" s="62">
        <f>'New Biz Sales'!AA74</f>
        <v>19.8</v>
      </c>
      <c r="R317" s="62">
        <f>'New Biz Sales'!AB74</f>
        <v>19.8</v>
      </c>
      <c r="S317" s="62">
        <f>'New Biz Sales'!AC74</f>
        <v>19.8</v>
      </c>
      <c r="T317" s="62">
        <f>'New Biz Sales'!AD74</f>
        <v>19.8</v>
      </c>
      <c r="U317" s="62">
        <f>'New Biz Sales'!AE74</f>
        <v>19.8</v>
      </c>
      <c r="V317" s="62">
        <f>'New Biz Sales'!AF74</f>
        <v>19.8</v>
      </c>
      <c r="W317" s="62">
        <f>'New Biz Sales'!AG74</f>
        <v>19.8</v>
      </c>
      <c r="X317" s="62">
        <f>'New Biz Sales'!AH74</f>
        <v>19.8</v>
      </c>
      <c r="Y317" s="62">
        <f>'New Biz Sales'!AI74</f>
        <v>18.81</v>
      </c>
      <c r="Z317" s="62">
        <f>'New Biz Sales'!AJ74</f>
        <v>18.81</v>
      </c>
      <c r="AA317" s="62">
        <f>'New Biz Sales'!AK74</f>
        <v>18.81</v>
      </c>
      <c r="AB317" s="62">
        <f>'New Biz Sales'!AL74</f>
        <v>18.90405</v>
      </c>
      <c r="AC317" s="11"/>
      <c r="AD317" s="11" t="str">
        <f t="shared" si="458"/>
        <v>PCS</v>
      </c>
      <c r="AE317" s="20">
        <f t="shared" si="459"/>
        <v>63</v>
      </c>
      <c r="AF317" s="20">
        <f t="shared" si="460"/>
        <v>79.2</v>
      </c>
      <c r="AG317" s="12">
        <f t="shared" si="461"/>
        <v>16.2</v>
      </c>
      <c r="AH317" s="66">
        <f t="shared" si="462"/>
        <v>0.2571428571</v>
      </c>
      <c r="AI317" s="11"/>
      <c r="AJ317" s="11"/>
      <c r="AK317" s="11"/>
      <c r="AL317" s="20">
        <f t="shared" si="444"/>
        <v>60</v>
      </c>
      <c r="AM317" s="20">
        <f t="shared" si="445"/>
        <v>60</v>
      </c>
      <c r="AN317" s="20">
        <f t="shared" si="446"/>
        <v>63</v>
      </c>
      <c r="AO317" s="20">
        <f t="shared" si="447"/>
        <v>79.2</v>
      </c>
      <c r="AP317" s="20">
        <f t="shared" si="448"/>
        <v>79.2</v>
      </c>
      <c r="AQ317" s="20">
        <f t="shared" si="449"/>
        <v>75.33405</v>
      </c>
      <c r="AR317" s="11"/>
      <c r="AS317" s="11"/>
      <c r="AT317" s="11"/>
      <c r="AU317" s="11"/>
      <c r="AV317" s="11"/>
      <c r="AW317" s="11"/>
      <c r="AX317" s="11"/>
      <c r="AY317" s="11"/>
      <c r="AZ317" s="11"/>
      <c r="BA317" s="11"/>
      <c r="BB317" s="11"/>
      <c r="BC317" s="11"/>
      <c r="BD317" s="11"/>
      <c r="BE317" s="11"/>
      <c r="BF317" s="11"/>
      <c r="BG317" s="11"/>
      <c r="BH317" s="11"/>
      <c r="BI317" s="11"/>
      <c r="BJ317" s="11"/>
      <c r="BK317" s="11"/>
    </row>
    <row r="318" ht="15.75" customHeight="1" outlineLevel="1">
      <c r="A318" s="11"/>
      <c r="B318" s="11"/>
      <c r="C318" s="11"/>
      <c r="D318" s="11" t="s">
        <v>89</v>
      </c>
      <c r="E318" s="62">
        <f>'New Biz Sales'!O75</f>
        <v>15</v>
      </c>
      <c r="F318" s="62">
        <f>'New Biz Sales'!P75</f>
        <v>15</v>
      </c>
      <c r="G318" s="62">
        <f>'New Biz Sales'!Q75</f>
        <v>15</v>
      </c>
      <c r="H318" s="62">
        <f>'New Biz Sales'!R75</f>
        <v>15</v>
      </c>
      <c r="I318" s="62">
        <f>'New Biz Sales'!S75</f>
        <v>15</v>
      </c>
      <c r="J318" s="62">
        <f>'New Biz Sales'!T75</f>
        <v>15</v>
      </c>
      <c r="K318" s="62">
        <f>'New Biz Sales'!U75</f>
        <v>15</v>
      </c>
      <c r="L318" s="62">
        <f>'New Biz Sales'!V75</f>
        <v>15</v>
      </c>
      <c r="M318" s="62">
        <f>'New Biz Sales'!W75</f>
        <v>15</v>
      </c>
      <c r="N318" s="62">
        <f>'New Biz Sales'!X75</f>
        <v>15</v>
      </c>
      <c r="O318" s="62">
        <f>'New Biz Sales'!Y75</f>
        <v>15</v>
      </c>
      <c r="P318" s="62">
        <f>'New Biz Sales'!Z75</f>
        <v>18</v>
      </c>
      <c r="Q318" s="62">
        <f>'New Biz Sales'!AA75</f>
        <v>19.8</v>
      </c>
      <c r="R318" s="62">
        <f>'New Biz Sales'!AB75</f>
        <v>19.8</v>
      </c>
      <c r="S318" s="62">
        <f>'New Biz Sales'!AC75</f>
        <v>19.8</v>
      </c>
      <c r="T318" s="62">
        <f>'New Biz Sales'!AD75</f>
        <v>19.8</v>
      </c>
      <c r="U318" s="62">
        <f>'New Biz Sales'!AE75</f>
        <v>19.8</v>
      </c>
      <c r="V318" s="62">
        <f>'New Biz Sales'!AF75</f>
        <v>19.8</v>
      </c>
      <c r="W318" s="62">
        <f>'New Biz Sales'!AG75</f>
        <v>19.8</v>
      </c>
      <c r="X318" s="62">
        <f>'New Biz Sales'!AH75</f>
        <v>19.8</v>
      </c>
      <c r="Y318" s="62">
        <f>'New Biz Sales'!AI75</f>
        <v>18.81</v>
      </c>
      <c r="Z318" s="62">
        <f>'New Biz Sales'!AJ75</f>
        <v>18.81</v>
      </c>
      <c r="AA318" s="62">
        <f>'New Biz Sales'!AK75</f>
        <v>18.81</v>
      </c>
      <c r="AB318" s="62">
        <f>'New Biz Sales'!AL75</f>
        <v>18.90405</v>
      </c>
      <c r="AC318" s="11"/>
      <c r="AD318" s="11" t="str">
        <f t="shared" si="458"/>
        <v>Video</v>
      </c>
      <c r="AE318" s="20">
        <f t="shared" si="459"/>
        <v>63</v>
      </c>
      <c r="AF318" s="20">
        <f t="shared" si="460"/>
        <v>79.2</v>
      </c>
      <c r="AG318" s="12">
        <f t="shared" si="461"/>
        <v>16.2</v>
      </c>
      <c r="AH318" s="66">
        <f t="shared" si="462"/>
        <v>0.2571428571</v>
      </c>
      <c r="AI318" s="11"/>
      <c r="AJ318" s="11"/>
      <c r="AK318" s="11"/>
      <c r="AL318" s="20">
        <f t="shared" si="444"/>
        <v>60</v>
      </c>
      <c r="AM318" s="20">
        <f t="shared" si="445"/>
        <v>60</v>
      </c>
      <c r="AN318" s="20">
        <f t="shared" si="446"/>
        <v>63</v>
      </c>
      <c r="AO318" s="20">
        <f t="shared" si="447"/>
        <v>79.2</v>
      </c>
      <c r="AP318" s="20">
        <f t="shared" si="448"/>
        <v>79.2</v>
      </c>
      <c r="AQ318" s="20">
        <f t="shared" si="449"/>
        <v>75.33405</v>
      </c>
      <c r="AR318" s="11"/>
      <c r="AS318" s="11"/>
      <c r="AT318" s="11"/>
      <c r="AU318" s="11"/>
      <c r="AV318" s="11"/>
      <c r="AW318" s="11"/>
      <c r="AX318" s="11"/>
      <c r="AY318" s="11"/>
      <c r="AZ318" s="11"/>
      <c r="BA318" s="11"/>
      <c r="BB318" s="11"/>
      <c r="BC318" s="11"/>
      <c r="BD318" s="11"/>
      <c r="BE318" s="11"/>
      <c r="BF318" s="11"/>
      <c r="BG318" s="11"/>
      <c r="BH318" s="11"/>
      <c r="BI318" s="11"/>
      <c r="BJ318" s="11"/>
      <c r="BK318" s="11"/>
    </row>
    <row r="319" ht="15.75" customHeight="1" outlineLevel="1">
      <c r="A319" s="11"/>
      <c r="B319" s="11"/>
      <c r="C319" s="11"/>
      <c r="D319" s="11" t="s">
        <v>94</v>
      </c>
      <c r="E319" s="62">
        <f>'New Biz Sales'!O76</f>
        <v>15</v>
      </c>
      <c r="F319" s="62">
        <f>'New Biz Sales'!P76</f>
        <v>15</v>
      </c>
      <c r="G319" s="62">
        <f>'New Biz Sales'!Q76</f>
        <v>15</v>
      </c>
      <c r="H319" s="62">
        <f>'New Biz Sales'!R76</f>
        <v>15</v>
      </c>
      <c r="I319" s="62">
        <f>'New Biz Sales'!S76</f>
        <v>15</v>
      </c>
      <c r="J319" s="62">
        <f>'New Biz Sales'!T76</f>
        <v>15</v>
      </c>
      <c r="K319" s="62">
        <f>'New Biz Sales'!U76</f>
        <v>15</v>
      </c>
      <c r="L319" s="62">
        <f>'New Biz Sales'!V76</f>
        <v>15</v>
      </c>
      <c r="M319" s="62">
        <f>'New Biz Sales'!W76</f>
        <v>15</v>
      </c>
      <c r="N319" s="62">
        <f>'New Biz Sales'!X76</f>
        <v>15</v>
      </c>
      <c r="O319" s="62">
        <f>'New Biz Sales'!Y76</f>
        <v>15</v>
      </c>
      <c r="P319" s="62">
        <f>'New Biz Sales'!Z76</f>
        <v>18</v>
      </c>
      <c r="Q319" s="62">
        <f>'New Biz Sales'!AA76</f>
        <v>19.8</v>
      </c>
      <c r="R319" s="62">
        <f>'New Biz Sales'!AB76</f>
        <v>19.8</v>
      </c>
      <c r="S319" s="62">
        <f>'New Biz Sales'!AC76</f>
        <v>19.8</v>
      </c>
      <c r="T319" s="62">
        <f>'New Biz Sales'!AD76</f>
        <v>19.8</v>
      </c>
      <c r="U319" s="62">
        <f>'New Biz Sales'!AE76</f>
        <v>19.8</v>
      </c>
      <c r="V319" s="62">
        <f>'New Biz Sales'!AF76</f>
        <v>19.8</v>
      </c>
      <c r="W319" s="62">
        <f>'New Biz Sales'!AG76</f>
        <v>19.8</v>
      </c>
      <c r="X319" s="62">
        <f>'New Biz Sales'!AH76</f>
        <v>19.8</v>
      </c>
      <c r="Y319" s="62">
        <f>'New Biz Sales'!AI76</f>
        <v>18.81</v>
      </c>
      <c r="Z319" s="62">
        <f>'New Biz Sales'!AJ76</f>
        <v>18.81</v>
      </c>
      <c r="AA319" s="62">
        <f>'New Biz Sales'!AK76</f>
        <v>18.81</v>
      </c>
      <c r="AB319" s="62">
        <f>'New Biz Sales'!AL76</f>
        <v>18.90405</v>
      </c>
      <c r="AC319" s="11"/>
      <c r="AD319" s="11" t="str">
        <f t="shared" si="458"/>
        <v>Rev Ops</v>
      </c>
      <c r="AE319" s="20">
        <f t="shared" si="459"/>
        <v>63</v>
      </c>
      <c r="AF319" s="20">
        <f t="shared" si="460"/>
        <v>79.2</v>
      </c>
      <c r="AG319" s="12">
        <f t="shared" si="461"/>
        <v>16.2</v>
      </c>
      <c r="AH319" s="66">
        <f t="shared" si="462"/>
        <v>0.2571428571</v>
      </c>
      <c r="AI319" s="11"/>
      <c r="AJ319" s="11"/>
      <c r="AK319" s="11"/>
      <c r="AL319" s="20">
        <f t="shared" si="444"/>
        <v>60</v>
      </c>
      <c r="AM319" s="20">
        <f t="shared" si="445"/>
        <v>60</v>
      </c>
      <c r="AN319" s="20">
        <f t="shared" si="446"/>
        <v>63</v>
      </c>
      <c r="AO319" s="20">
        <f t="shared" si="447"/>
        <v>79.2</v>
      </c>
      <c r="AP319" s="20">
        <f t="shared" si="448"/>
        <v>79.2</v>
      </c>
      <c r="AQ319" s="20">
        <f t="shared" si="449"/>
        <v>75.33405</v>
      </c>
      <c r="AR319" s="11"/>
      <c r="AS319" s="11"/>
      <c r="AT319" s="11"/>
      <c r="AU319" s="11"/>
      <c r="AV319" s="11"/>
      <c r="AW319" s="11"/>
      <c r="AX319" s="11"/>
      <c r="AY319" s="11"/>
      <c r="AZ319" s="11"/>
      <c r="BA319" s="11"/>
      <c r="BB319" s="11"/>
      <c r="BC319" s="11"/>
      <c r="BD319" s="11"/>
      <c r="BE319" s="11"/>
      <c r="BF319" s="11"/>
      <c r="BG319" s="11"/>
      <c r="BH319" s="11"/>
      <c r="BI319" s="11"/>
      <c r="BJ319" s="11"/>
      <c r="BK319" s="11"/>
    </row>
    <row r="320" ht="15.75" customHeight="1" outlineLevel="1">
      <c r="A320" s="11"/>
      <c r="B320" s="11"/>
      <c r="C320" s="11"/>
      <c r="D320" s="11" t="s">
        <v>96</v>
      </c>
      <c r="E320" s="62">
        <f>'New Biz Sales'!O77</f>
        <v>15</v>
      </c>
      <c r="F320" s="62">
        <f>'New Biz Sales'!P77</f>
        <v>15</v>
      </c>
      <c r="G320" s="62">
        <f>'New Biz Sales'!Q77</f>
        <v>15</v>
      </c>
      <c r="H320" s="62">
        <f>'New Biz Sales'!R77</f>
        <v>15</v>
      </c>
      <c r="I320" s="62">
        <f>'New Biz Sales'!S77</f>
        <v>15</v>
      </c>
      <c r="J320" s="62">
        <f>'New Biz Sales'!T77</f>
        <v>15</v>
      </c>
      <c r="K320" s="62">
        <f>'New Biz Sales'!U77</f>
        <v>15</v>
      </c>
      <c r="L320" s="62">
        <f>'New Biz Sales'!V77</f>
        <v>15</v>
      </c>
      <c r="M320" s="62">
        <f>'New Biz Sales'!W77</f>
        <v>15</v>
      </c>
      <c r="N320" s="62">
        <f>'New Biz Sales'!X77</f>
        <v>15</v>
      </c>
      <c r="O320" s="62">
        <f>'New Biz Sales'!Y77</f>
        <v>15</v>
      </c>
      <c r="P320" s="62">
        <f>'New Biz Sales'!Z77</f>
        <v>18</v>
      </c>
      <c r="Q320" s="62">
        <f>'New Biz Sales'!AA77</f>
        <v>19.8</v>
      </c>
      <c r="R320" s="62">
        <f>'New Biz Sales'!AB77</f>
        <v>19.8</v>
      </c>
      <c r="S320" s="62">
        <f>'New Biz Sales'!AC77</f>
        <v>19.8</v>
      </c>
      <c r="T320" s="62">
        <f>'New Biz Sales'!AD77</f>
        <v>19.8</v>
      </c>
      <c r="U320" s="62">
        <f>'New Biz Sales'!AE77</f>
        <v>19.8</v>
      </c>
      <c r="V320" s="62">
        <f>'New Biz Sales'!AF77</f>
        <v>19.8</v>
      </c>
      <c r="W320" s="62">
        <f>'New Biz Sales'!AG77</f>
        <v>19.8</v>
      </c>
      <c r="X320" s="62">
        <f>'New Biz Sales'!AH77</f>
        <v>19.8</v>
      </c>
      <c r="Y320" s="62">
        <f>'New Biz Sales'!AI77</f>
        <v>19.8</v>
      </c>
      <c r="Z320" s="62">
        <f>'New Biz Sales'!AJ77</f>
        <v>19.8</v>
      </c>
      <c r="AA320" s="62">
        <f>'New Biz Sales'!AK77</f>
        <v>19.8</v>
      </c>
      <c r="AB320" s="62">
        <f>'New Biz Sales'!AL77</f>
        <v>19.8</v>
      </c>
      <c r="AC320" s="11"/>
      <c r="AD320" s="11" t="str">
        <f t="shared" si="458"/>
        <v>Strategy</v>
      </c>
      <c r="AE320" s="20">
        <f t="shared" si="459"/>
        <v>63</v>
      </c>
      <c r="AF320" s="20">
        <f t="shared" si="460"/>
        <v>79.2</v>
      </c>
      <c r="AG320" s="12">
        <f t="shared" si="461"/>
        <v>16.2</v>
      </c>
      <c r="AH320" s="66">
        <f t="shared" si="462"/>
        <v>0.2571428571</v>
      </c>
      <c r="AI320" s="11"/>
      <c r="AJ320" s="11"/>
      <c r="AK320" s="11"/>
      <c r="AL320" s="20">
        <f t="shared" si="444"/>
        <v>60</v>
      </c>
      <c r="AM320" s="20">
        <f t="shared" si="445"/>
        <v>60</v>
      </c>
      <c r="AN320" s="20">
        <f t="shared" si="446"/>
        <v>63</v>
      </c>
      <c r="AO320" s="20">
        <f t="shared" si="447"/>
        <v>79.2</v>
      </c>
      <c r="AP320" s="20">
        <f t="shared" si="448"/>
        <v>79.2</v>
      </c>
      <c r="AQ320" s="20">
        <f t="shared" si="449"/>
        <v>79.2</v>
      </c>
      <c r="AR320" s="11"/>
      <c r="AS320" s="11"/>
      <c r="AT320" s="11"/>
      <c r="AU320" s="11"/>
      <c r="AV320" s="11"/>
      <c r="AW320" s="11"/>
      <c r="AX320" s="11"/>
      <c r="AY320" s="11"/>
      <c r="AZ320" s="11"/>
      <c r="BA320" s="11"/>
      <c r="BB320" s="11"/>
      <c r="BC320" s="11"/>
      <c r="BD320" s="11"/>
      <c r="BE320" s="11"/>
      <c r="BF320" s="11"/>
      <c r="BG320" s="11"/>
      <c r="BH320" s="11"/>
      <c r="BI320" s="11"/>
      <c r="BJ320" s="11"/>
      <c r="BK320" s="11"/>
    </row>
    <row r="321" ht="15.75" customHeight="1">
      <c r="A321" s="11"/>
      <c r="B321" s="11"/>
      <c r="C321" s="11"/>
      <c r="D321" s="22" t="s">
        <v>132</v>
      </c>
      <c r="E321" s="89">
        <f>'New Biz Sales'!O78</f>
        <v>90</v>
      </c>
      <c r="F321" s="89">
        <f>'New Biz Sales'!P78</f>
        <v>90</v>
      </c>
      <c r="G321" s="89">
        <f>'New Biz Sales'!Q78</f>
        <v>90</v>
      </c>
      <c r="H321" s="89">
        <f>'New Biz Sales'!R78</f>
        <v>90</v>
      </c>
      <c r="I321" s="89">
        <f>'New Biz Sales'!S78</f>
        <v>90</v>
      </c>
      <c r="J321" s="89">
        <f>'New Biz Sales'!T78</f>
        <v>90</v>
      </c>
      <c r="K321" s="89">
        <f>'New Biz Sales'!U78</f>
        <v>90</v>
      </c>
      <c r="L321" s="89">
        <f>'New Biz Sales'!V78</f>
        <v>90</v>
      </c>
      <c r="M321" s="89">
        <f>'New Biz Sales'!W78</f>
        <v>90</v>
      </c>
      <c r="N321" s="89">
        <f>'New Biz Sales'!X78</f>
        <v>90</v>
      </c>
      <c r="O321" s="89">
        <f>'New Biz Sales'!Y78</f>
        <v>90</v>
      </c>
      <c r="P321" s="89">
        <f>'New Biz Sales'!Z78</f>
        <v>108</v>
      </c>
      <c r="Q321" s="89">
        <f>'New Biz Sales'!AA78</f>
        <v>118.8</v>
      </c>
      <c r="R321" s="89">
        <f>'New Biz Sales'!AB78</f>
        <v>118.8</v>
      </c>
      <c r="S321" s="89">
        <f>'New Biz Sales'!AC78</f>
        <v>118.8</v>
      </c>
      <c r="T321" s="89">
        <f>'New Biz Sales'!AD78</f>
        <v>118.8</v>
      </c>
      <c r="U321" s="89">
        <f>'New Biz Sales'!AE78</f>
        <v>118.8</v>
      </c>
      <c r="V321" s="89">
        <f>'New Biz Sales'!AF78</f>
        <v>118.8</v>
      </c>
      <c r="W321" s="89">
        <f>'New Biz Sales'!AG78</f>
        <v>118.8</v>
      </c>
      <c r="X321" s="89">
        <f>'New Biz Sales'!AH78</f>
        <v>118.8</v>
      </c>
      <c r="Y321" s="89">
        <f>'New Biz Sales'!AI78</f>
        <v>114.048</v>
      </c>
      <c r="Z321" s="89">
        <f>'New Biz Sales'!AJ78</f>
        <v>114.048</v>
      </c>
      <c r="AA321" s="89">
        <f>'New Biz Sales'!AK78</f>
        <v>114.048</v>
      </c>
      <c r="AB321" s="89">
        <f>'New Biz Sales'!AL78</f>
        <v>114.51924</v>
      </c>
      <c r="AC321" s="11"/>
      <c r="AD321" s="28" t="str">
        <f t="shared" si="458"/>
        <v>Total Proposals</v>
      </c>
      <c r="AE321" s="90">
        <f t="shared" si="459"/>
        <v>378</v>
      </c>
      <c r="AF321" s="90">
        <f t="shared" si="460"/>
        <v>475.2</v>
      </c>
      <c r="AG321" s="25">
        <f t="shared" si="461"/>
        <v>97.2</v>
      </c>
      <c r="AH321" s="60">
        <f t="shared" si="462"/>
        <v>0.2571428571</v>
      </c>
      <c r="AI321" s="11"/>
      <c r="AJ321" s="11"/>
      <c r="AK321" s="11"/>
      <c r="AL321" s="90">
        <f t="shared" si="444"/>
        <v>360</v>
      </c>
      <c r="AM321" s="90">
        <f t="shared" si="445"/>
        <v>360</v>
      </c>
      <c r="AN321" s="90">
        <f t="shared" si="446"/>
        <v>378</v>
      </c>
      <c r="AO321" s="90">
        <f t="shared" si="447"/>
        <v>475.2</v>
      </c>
      <c r="AP321" s="90">
        <f t="shared" si="448"/>
        <v>475.2</v>
      </c>
      <c r="AQ321" s="90">
        <f t="shared" si="449"/>
        <v>456.66324</v>
      </c>
      <c r="AR321" s="11"/>
      <c r="AS321" s="11"/>
      <c r="AT321" s="11"/>
      <c r="AU321" s="11"/>
      <c r="AV321" s="11"/>
      <c r="AW321" s="11"/>
      <c r="AX321" s="11"/>
      <c r="AY321" s="11"/>
      <c r="AZ321" s="11"/>
      <c r="BA321" s="11"/>
      <c r="BB321" s="11"/>
      <c r="BC321" s="11"/>
      <c r="BD321" s="11"/>
      <c r="BE321" s="11"/>
      <c r="BF321" s="11"/>
      <c r="BG321" s="11"/>
      <c r="BH321" s="11"/>
      <c r="BI321" s="11"/>
      <c r="BJ321" s="11"/>
      <c r="BK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20"/>
      <c r="AG322" s="12"/>
      <c r="AH322" s="11"/>
      <c r="AI322" s="11"/>
      <c r="AJ322" s="11"/>
      <c r="AK322" s="11"/>
      <c r="AL322" s="11">
        <f t="shared" si="444"/>
        <v>0</v>
      </c>
      <c r="AM322" s="20">
        <f t="shared" si="445"/>
        <v>0</v>
      </c>
      <c r="AN322" s="11">
        <f t="shared" si="446"/>
        <v>0</v>
      </c>
      <c r="AO322" s="11">
        <f t="shared" si="447"/>
        <v>0</v>
      </c>
      <c r="AP322" s="20">
        <f t="shared" si="448"/>
        <v>0</v>
      </c>
      <c r="AQ322" s="11">
        <f t="shared" si="449"/>
        <v>0</v>
      </c>
      <c r="AR322" s="11"/>
      <c r="AS322" s="11"/>
      <c r="AT322" s="11"/>
      <c r="AU322" s="11"/>
      <c r="AV322" s="11"/>
      <c r="AW322" s="11"/>
      <c r="AX322" s="11"/>
      <c r="AY322" s="11"/>
      <c r="AZ322" s="11"/>
      <c r="BA322" s="11"/>
      <c r="BB322" s="11"/>
      <c r="BC322" s="11"/>
      <c r="BD322" s="11"/>
      <c r="BE322" s="11"/>
      <c r="BF322" s="11"/>
      <c r="BG322" s="11"/>
      <c r="BH322" s="11"/>
      <c r="BI322" s="11"/>
      <c r="BJ322" s="11"/>
      <c r="BK322" s="11"/>
    </row>
    <row r="323" ht="15.75" customHeight="1" outlineLevel="1">
      <c r="A323" s="11"/>
      <c r="B323" s="11"/>
      <c r="C323" s="11"/>
      <c r="D323" s="11" t="s">
        <v>129</v>
      </c>
      <c r="E323" s="62">
        <f>'New Biz Sales'!O88</f>
        <v>5</v>
      </c>
      <c r="F323" s="62">
        <f>'New Biz Sales'!P88</f>
        <v>5</v>
      </c>
      <c r="G323" s="62">
        <f>'New Biz Sales'!Q88</f>
        <v>5</v>
      </c>
      <c r="H323" s="62">
        <f>'New Biz Sales'!R88</f>
        <v>5</v>
      </c>
      <c r="I323" s="62">
        <f>'New Biz Sales'!S88</f>
        <v>5</v>
      </c>
      <c r="J323" s="62">
        <f>'New Biz Sales'!T88</f>
        <v>5</v>
      </c>
      <c r="K323" s="62">
        <f>'New Biz Sales'!U88</f>
        <v>5</v>
      </c>
      <c r="L323" s="62">
        <f>'New Biz Sales'!V88</f>
        <v>5</v>
      </c>
      <c r="M323" s="62">
        <f>'New Biz Sales'!W88</f>
        <v>5</v>
      </c>
      <c r="N323" s="62">
        <f>'New Biz Sales'!X88</f>
        <v>5</v>
      </c>
      <c r="O323" s="62">
        <f>'New Biz Sales'!Y88</f>
        <v>5</v>
      </c>
      <c r="P323" s="62">
        <f>'New Biz Sales'!Z88</f>
        <v>3.75</v>
      </c>
      <c r="Q323" s="62">
        <f>'New Biz Sales'!AA88</f>
        <v>4.5</v>
      </c>
      <c r="R323" s="62">
        <f>'New Biz Sales'!AB88</f>
        <v>4.95</v>
      </c>
      <c r="S323" s="62">
        <f>'New Biz Sales'!AC88</f>
        <v>4.95</v>
      </c>
      <c r="T323" s="62">
        <f>'New Biz Sales'!AD88</f>
        <v>4.95</v>
      </c>
      <c r="U323" s="62">
        <f>'New Biz Sales'!AE88</f>
        <v>4.95</v>
      </c>
      <c r="V323" s="62">
        <f>'New Biz Sales'!AF88</f>
        <v>4.95</v>
      </c>
      <c r="W323" s="62">
        <f>'New Biz Sales'!AG88</f>
        <v>4.95</v>
      </c>
      <c r="X323" s="62">
        <f>'New Biz Sales'!AH88</f>
        <v>4.95</v>
      </c>
      <c r="Y323" s="62">
        <f>'New Biz Sales'!AI88</f>
        <v>4.95</v>
      </c>
      <c r="Z323" s="62">
        <f>'New Biz Sales'!AJ88</f>
        <v>4.752</v>
      </c>
      <c r="AA323" s="62">
        <f>'New Biz Sales'!AK88</f>
        <v>4.752</v>
      </c>
      <c r="AB323" s="62">
        <f>'New Biz Sales'!AL88</f>
        <v>4.752</v>
      </c>
      <c r="AC323" s="11"/>
      <c r="AD323" s="11" t="str">
        <f t="shared" ref="AD323:AD329" si="463">D323</f>
        <v>Paid Media </v>
      </c>
      <c r="AE323" s="20">
        <f t="shared" ref="AE323:AE329" si="464">SUM(M323:P323)</f>
        <v>18.75</v>
      </c>
      <c r="AF323" s="20">
        <f t="shared" ref="AF323:AF329" si="465">SUM(Q323:T323)</f>
        <v>19.35</v>
      </c>
      <c r="AG323" s="12">
        <f t="shared" ref="AG323:AG329" si="466">AF323-AE323</f>
        <v>0.6</v>
      </c>
      <c r="AH323" s="66">
        <f t="shared" ref="AH323:AH329" si="467">AF323/AE323-1</f>
        <v>0.032</v>
      </c>
      <c r="AI323" s="11"/>
      <c r="AJ323" s="11"/>
      <c r="AK323" s="11"/>
      <c r="AL323" s="20">
        <f t="shared" si="444"/>
        <v>20</v>
      </c>
      <c r="AM323" s="20">
        <f t="shared" si="445"/>
        <v>20</v>
      </c>
      <c r="AN323" s="20">
        <f t="shared" si="446"/>
        <v>18.75</v>
      </c>
      <c r="AO323" s="20">
        <f t="shared" si="447"/>
        <v>19.35</v>
      </c>
      <c r="AP323" s="20">
        <f t="shared" si="448"/>
        <v>19.8</v>
      </c>
      <c r="AQ323" s="20">
        <f t="shared" si="449"/>
        <v>19.206</v>
      </c>
      <c r="AR323" s="11"/>
      <c r="AS323" s="11"/>
      <c r="AT323" s="11"/>
      <c r="AU323" s="11"/>
      <c r="AV323" s="11"/>
      <c r="AW323" s="11"/>
      <c r="AX323" s="11"/>
      <c r="AY323" s="11"/>
      <c r="AZ323" s="11"/>
      <c r="BA323" s="11"/>
      <c r="BB323" s="11"/>
      <c r="BC323" s="11"/>
      <c r="BD323" s="11"/>
      <c r="BE323" s="11"/>
      <c r="BF323" s="11"/>
      <c r="BG323" s="11"/>
      <c r="BH323" s="11"/>
      <c r="BI323" s="11"/>
      <c r="BJ323" s="11"/>
      <c r="BK323" s="11"/>
    </row>
    <row r="324" ht="15.75" customHeight="1" outlineLevel="1">
      <c r="A324" s="11"/>
      <c r="B324" s="11"/>
      <c r="C324" s="11"/>
      <c r="D324" s="11" t="s">
        <v>85</v>
      </c>
      <c r="E324" s="62">
        <f>'New Biz Sales'!O89</f>
        <v>5</v>
      </c>
      <c r="F324" s="62">
        <f>'New Biz Sales'!P89</f>
        <v>5</v>
      </c>
      <c r="G324" s="62">
        <f>'New Biz Sales'!Q89</f>
        <v>5</v>
      </c>
      <c r="H324" s="62">
        <f>'New Biz Sales'!R89</f>
        <v>5</v>
      </c>
      <c r="I324" s="62">
        <f>'New Biz Sales'!S89</f>
        <v>5</v>
      </c>
      <c r="J324" s="62">
        <f>'New Biz Sales'!T89</f>
        <v>5</v>
      </c>
      <c r="K324" s="62">
        <f>'New Biz Sales'!U89</f>
        <v>5</v>
      </c>
      <c r="L324" s="62">
        <f>'New Biz Sales'!V89</f>
        <v>5</v>
      </c>
      <c r="M324" s="62">
        <f>'New Biz Sales'!W89</f>
        <v>5</v>
      </c>
      <c r="N324" s="62">
        <f>'New Biz Sales'!X89</f>
        <v>5</v>
      </c>
      <c r="O324" s="62">
        <f>'New Biz Sales'!Y89</f>
        <v>5</v>
      </c>
      <c r="P324" s="62">
        <f>'New Biz Sales'!Z89</f>
        <v>3.75</v>
      </c>
      <c r="Q324" s="62">
        <f>'New Biz Sales'!AA89</f>
        <v>4.5</v>
      </c>
      <c r="R324" s="62">
        <f>'New Biz Sales'!AB89</f>
        <v>4.95</v>
      </c>
      <c r="S324" s="62">
        <f>'New Biz Sales'!AC89</f>
        <v>4.95</v>
      </c>
      <c r="T324" s="62">
        <f>'New Biz Sales'!AD89</f>
        <v>4.95</v>
      </c>
      <c r="U324" s="62">
        <f>'New Biz Sales'!AE89</f>
        <v>4.95</v>
      </c>
      <c r="V324" s="62">
        <f>'New Biz Sales'!AF89</f>
        <v>4.95</v>
      </c>
      <c r="W324" s="62">
        <f>'New Biz Sales'!AG89</f>
        <v>4.95</v>
      </c>
      <c r="X324" s="62">
        <f>'New Biz Sales'!AH89</f>
        <v>4.95</v>
      </c>
      <c r="Y324" s="62">
        <f>'New Biz Sales'!AI89</f>
        <v>4.95</v>
      </c>
      <c r="Z324" s="62">
        <f>'New Biz Sales'!AJ89</f>
        <v>4.7025</v>
      </c>
      <c r="AA324" s="62">
        <f>'New Biz Sales'!AK89</f>
        <v>4.7025</v>
      </c>
      <c r="AB324" s="62">
        <f>'New Biz Sales'!AL89</f>
        <v>4.7025</v>
      </c>
      <c r="AC324" s="11"/>
      <c r="AD324" s="11" t="str">
        <f t="shared" si="463"/>
        <v>SEO</v>
      </c>
      <c r="AE324" s="20">
        <f t="shared" si="464"/>
        <v>18.75</v>
      </c>
      <c r="AF324" s="20">
        <f t="shared" si="465"/>
        <v>19.35</v>
      </c>
      <c r="AG324" s="12">
        <f t="shared" si="466"/>
        <v>0.6</v>
      </c>
      <c r="AH324" s="66">
        <f t="shared" si="467"/>
        <v>0.032</v>
      </c>
      <c r="AI324" s="11"/>
      <c r="AJ324" s="11"/>
      <c r="AK324" s="11"/>
      <c r="AL324" s="20">
        <f t="shared" si="444"/>
        <v>20</v>
      </c>
      <c r="AM324" s="20">
        <f t="shared" si="445"/>
        <v>20</v>
      </c>
      <c r="AN324" s="20">
        <f t="shared" si="446"/>
        <v>18.75</v>
      </c>
      <c r="AO324" s="20">
        <f t="shared" si="447"/>
        <v>19.35</v>
      </c>
      <c r="AP324" s="20">
        <f t="shared" si="448"/>
        <v>19.8</v>
      </c>
      <c r="AQ324" s="20">
        <f t="shared" si="449"/>
        <v>19.0575</v>
      </c>
      <c r="AR324" s="11"/>
      <c r="AS324" s="11"/>
      <c r="AT324" s="11"/>
      <c r="AU324" s="11"/>
      <c r="AV324" s="11"/>
      <c r="AW324" s="11"/>
      <c r="AX324" s="11"/>
      <c r="AY324" s="11"/>
      <c r="AZ324" s="11"/>
      <c r="BA324" s="11"/>
      <c r="BB324" s="11"/>
      <c r="BC324" s="11"/>
      <c r="BD324" s="11"/>
      <c r="BE324" s="11"/>
      <c r="BF324" s="11"/>
      <c r="BG324" s="11"/>
      <c r="BH324" s="11"/>
      <c r="BI324" s="11"/>
      <c r="BJ324" s="11"/>
      <c r="BK324" s="11"/>
    </row>
    <row r="325" ht="15.75" customHeight="1" outlineLevel="1">
      <c r="A325" s="11"/>
      <c r="B325" s="11"/>
      <c r="C325" s="11"/>
      <c r="D325" s="11" t="s">
        <v>130</v>
      </c>
      <c r="E325" s="62">
        <f>'New Biz Sales'!O90</f>
        <v>5</v>
      </c>
      <c r="F325" s="62">
        <f>'New Biz Sales'!P90</f>
        <v>5</v>
      </c>
      <c r="G325" s="62">
        <f>'New Biz Sales'!Q90</f>
        <v>5</v>
      </c>
      <c r="H325" s="62">
        <f>'New Biz Sales'!R90</f>
        <v>5</v>
      </c>
      <c r="I325" s="62">
        <f>'New Biz Sales'!S90</f>
        <v>5</v>
      </c>
      <c r="J325" s="62">
        <f>'New Biz Sales'!T90</f>
        <v>5</v>
      </c>
      <c r="K325" s="62">
        <f>'New Biz Sales'!U90</f>
        <v>5</v>
      </c>
      <c r="L325" s="62">
        <f>'New Biz Sales'!V90</f>
        <v>5</v>
      </c>
      <c r="M325" s="62">
        <f>'New Biz Sales'!W90</f>
        <v>5</v>
      </c>
      <c r="N325" s="62">
        <f>'New Biz Sales'!X90</f>
        <v>5</v>
      </c>
      <c r="O325" s="62">
        <f>'New Biz Sales'!Y90</f>
        <v>5</v>
      </c>
      <c r="P325" s="62">
        <f>'New Biz Sales'!Z90</f>
        <v>3.75</v>
      </c>
      <c r="Q325" s="62">
        <f>'New Biz Sales'!AA90</f>
        <v>4.5</v>
      </c>
      <c r="R325" s="62">
        <f>'New Biz Sales'!AB90</f>
        <v>4.95</v>
      </c>
      <c r="S325" s="62">
        <f>'New Biz Sales'!AC90</f>
        <v>4.95</v>
      </c>
      <c r="T325" s="62">
        <f>'New Biz Sales'!AD90</f>
        <v>4.95</v>
      </c>
      <c r="U325" s="62">
        <f>'New Biz Sales'!AE90</f>
        <v>4.95</v>
      </c>
      <c r="V325" s="62">
        <f>'New Biz Sales'!AF90</f>
        <v>4.95</v>
      </c>
      <c r="W325" s="62">
        <f>'New Biz Sales'!AG90</f>
        <v>4.95</v>
      </c>
      <c r="X325" s="62">
        <f>'New Biz Sales'!AH90</f>
        <v>4.95</v>
      </c>
      <c r="Y325" s="62">
        <f>'New Biz Sales'!AI90</f>
        <v>4.95</v>
      </c>
      <c r="Z325" s="62">
        <f>'New Biz Sales'!AJ90</f>
        <v>4.7025</v>
      </c>
      <c r="AA325" s="62">
        <f>'New Biz Sales'!AK90</f>
        <v>4.7025</v>
      </c>
      <c r="AB325" s="62">
        <f>'New Biz Sales'!AL90</f>
        <v>4.7025</v>
      </c>
      <c r="AC325" s="11"/>
      <c r="AD325" s="11" t="str">
        <f t="shared" si="463"/>
        <v>PCS</v>
      </c>
      <c r="AE325" s="20">
        <f t="shared" si="464"/>
        <v>18.75</v>
      </c>
      <c r="AF325" s="20">
        <f t="shared" si="465"/>
        <v>19.35</v>
      </c>
      <c r="AG325" s="12">
        <f t="shared" si="466"/>
        <v>0.6</v>
      </c>
      <c r="AH325" s="66">
        <f t="shared" si="467"/>
        <v>0.032</v>
      </c>
      <c r="AI325" s="11"/>
      <c r="AJ325" s="11"/>
      <c r="AK325" s="11"/>
      <c r="AL325" s="20">
        <f t="shared" si="444"/>
        <v>20</v>
      </c>
      <c r="AM325" s="20">
        <f t="shared" si="445"/>
        <v>20</v>
      </c>
      <c r="AN325" s="20">
        <f t="shared" si="446"/>
        <v>18.75</v>
      </c>
      <c r="AO325" s="20">
        <f t="shared" si="447"/>
        <v>19.35</v>
      </c>
      <c r="AP325" s="20">
        <f t="shared" si="448"/>
        <v>19.8</v>
      </c>
      <c r="AQ325" s="20">
        <f t="shared" si="449"/>
        <v>19.0575</v>
      </c>
      <c r="AR325" s="11"/>
      <c r="AS325" s="11"/>
      <c r="AT325" s="11"/>
      <c r="AU325" s="11"/>
      <c r="AV325" s="11"/>
      <c r="AW325" s="11"/>
      <c r="AX325" s="11"/>
      <c r="AY325" s="11"/>
      <c r="AZ325" s="11"/>
      <c r="BA325" s="11"/>
      <c r="BB325" s="11"/>
      <c r="BC325" s="11"/>
      <c r="BD325" s="11"/>
      <c r="BE325" s="11"/>
      <c r="BF325" s="11"/>
      <c r="BG325" s="11"/>
      <c r="BH325" s="11"/>
      <c r="BI325" s="11"/>
      <c r="BJ325" s="11"/>
      <c r="BK325" s="11"/>
    </row>
    <row r="326" ht="15.75" customHeight="1" outlineLevel="1">
      <c r="A326" s="11"/>
      <c r="B326" s="11"/>
      <c r="C326" s="11"/>
      <c r="D326" s="11" t="s">
        <v>89</v>
      </c>
      <c r="E326" s="62">
        <f>'New Biz Sales'!O91</f>
        <v>5</v>
      </c>
      <c r="F326" s="62">
        <f>'New Biz Sales'!P91</f>
        <v>5</v>
      </c>
      <c r="G326" s="62">
        <f>'New Biz Sales'!Q91</f>
        <v>5</v>
      </c>
      <c r="H326" s="62">
        <f>'New Biz Sales'!R91</f>
        <v>5</v>
      </c>
      <c r="I326" s="62">
        <f>'New Biz Sales'!S91</f>
        <v>5</v>
      </c>
      <c r="J326" s="62">
        <f>'New Biz Sales'!T91</f>
        <v>5</v>
      </c>
      <c r="K326" s="62">
        <f>'New Biz Sales'!U91</f>
        <v>5</v>
      </c>
      <c r="L326" s="62">
        <f>'New Biz Sales'!V91</f>
        <v>5</v>
      </c>
      <c r="M326" s="62">
        <f>'New Biz Sales'!W91</f>
        <v>5</v>
      </c>
      <c r="N326" s="62">
        <f>'New Biz Sales'!X91</f>
        <v>5</v>
      </c>
      <c r="O326" s="62">
        <f>'New Biz Sales'!Y91</f>
        <v>5</v>
      </c>
      <c r="P326" s="62">
        <f>'New Biz Sales'!Z91</f>
        <v>3.75</v>
      </c>
      <c r="Q326" s="62">
        <f>'New Biz Sales'!AA91</f>
        <v>4.5</v>
      </c>
      <c r="R326" s="62">
        <f>'New Biz Sales'!AB91</f>
        <v>4.95</v>
      </c>
      <c r="S326" s="62">
        <f>'New Biz Sales'!AC91</f>
        <v>4.95</v>
      </c>
      <c r="T326" s="62">
        <f>'New Biz Sales'!AD91</f>
        <v>4.95</v>
      </c>
      <c r="U326" s="62">
        <f>'New Biz Sales'!AE91</f>
        <v>4.95</v>
      </c>
      <c r="V326" s="62">
        <f>'New Biz Sales'!AF91</f>
        <v>4.95</v>
      </c>
      <c r="W326" s="62">
        <f>'New Biz Sales'!AG91</f>
        <v>4.95</v>
      </c>
      <c r="X326" s="62">
        <f>'New Biz Sales'!AH91</f>
        <v>4.95</v>
      </c>
      <c r="Y326" s="62">
        <f>'New Biz Sales'!AI91</f>
        <v>4.95</v>
      </c>
      <c r="Z326" s="62">
        <f>'New Biz Sales'!AJ91</f>
        <v>4.7025</v>
      </c>
      <c r="AA326" s="62">
        <f>'New Biz Sales'!AK91</f>
        <v>4.7025</v>
      </c>
      <c r="AB326" s="62">
        <f>'New Biz Sales'!AL91</f>
        <v>4.7025</v>
      </c>
      <c r="AC326" s="11"/>
      <c r="AD326" s="11" t="str">
        <f t="shared" si="463"/>
        <v>Video</v>
      </c>
      <c r="AE326" s="20">
        <f t="shared" si="464"/>
        <v>18.75</v>
      </c>
      <c r="AF326" s="20">
        <f t="shared" si="465"/>
        <v>19.35</v>
      </c>
      <c r="AG326" s="12">
        <f t="shared" si="466"/>
        <v>0.6</v>
      </c>
      <c r="AH326" s="66">
        <f t="shared" si="467"/>
        <v>0.032</v>
      </c>
      <c r="AI326" s="11"/>
      <c r="AJ326" s="11"/>
      <c r="AK326" s="11"/>
      <c r="AL326" s="20">
        <f t="shared" si="444"/>
        <v>20</v>
      </c>
      <c r="AM326" s="20">
        <f t="shared" si="445"/>
        <v>20</v>
      </c>
      <c r="AN326" s="20">
        <f t="shared" si="446"/>
        <v>18.75</v>
      </c>
      <c r="AO326" s="20">
        <f t="shared" si="447"/>
        <v>19.35</v>
      </c>
      <c r="AP326" s="20">
        <f t="shared" si="448"/>
        <v>19.8</v>
      </c>
      <c r="AQ326" s="20">
        <f t="shared" si="449"/>
        <v>19.0575</v>
      </c>
      <c r="AR326" s="11"/>
      <c r="AS326" s="11"/>
      <c r="AT326" s="11"/>
      <c r="AU326" s="11"/>
      <c r="AV326" s="11"/>
      <c r="AW326" s="11"/>
      <c r="AX326" s="11"/>
      <c r="AY326" s="11"/>
      <c r="AZ326" s="11"/>
      <c r="BA326" s="11"/>
      <c r="BB326" s="11"/>
      <c r="BC326" s="11"/>
      <c r="BD326" s="11"/>
      <c r="BE326" s="11"/>
      <c r="BF326" s="11"/>
      <c r="BG326" s="11"/>
      <c r="BH326" s="11"/>
      <c r="BI326" s="11"/>
      <c r="BJ326" s="11"/>
      <c r="BK326" s="11"/>
    </row>
    <row r="327" ht="15.75" customHeight="1" outlineLevel="1">
      <c r="A327" s="11"/>
      <c r="B327" s="11"/>
      <c r="C327" s="11"/>
      <c r="D327" s="11" t="s">
        <v>94</v>
      </c>
      <c r="E327" s="62">
        <f>'New Biz Sales'!O92</f>
        <v>5</v>
      </c>
      <c r="F327" s="62">
        <f>'New Biz Sales'!P92</f>
        <v>5</v>
      </c>
      <c r="G327" s="62">
        <f>'New Biz Sales'!Q92</f>
        <v>5</v>
      </c>
      <c r="H327" s="62">
        <f>'New Biz Sales'!R92</f>
        <v>5</v>
      </c>
      <c r="I327" s="62">
        <f>'New Biz Sales'!S92</f>
        <v>5</v>
      </c>
      <c r="J327" s="62">
        <f>'New Biz Sales'!T92</f>
        <v>5</v>
      </c>
      <c r="K327" s="62">
        <f>'New Biz Sales'!U92</f>
        <v>5</v>
      </c>
      <c r="L327" s="62">
        <f>'New Biz Sales'!V92</f>
        <v>5</v>
      </c>
      <c r="M327" s="62">
        <f>'New Biz Sales'!W92</f>
        <v>5</v>
      </c>
      <c r="N327" s="62">
        <f>'New Biz Sales'!X92</f>
        <v>5</v>
      </c>
      <c r="O327" s="62">
        <f>'New Biz Sales'!Y92</f>
        <v>5</v>
      </c>
      <c r="P327" s="62">
        <f>'New Biz Sales'!Z92</f>
        <v>3.75</v>
      </c>
      <c r="Q327" s="62">
        <f>'New Biz Sales'!AA92</f>
        <v>4.5</v>
      </c>
      <c r="R327" s="62">
        <f>'New Biz Sales'!AB92</f>
        <v>4.95</v>
      </c>
      <c r="S327" s="62">
        <f>'New Biz Sales'!AC92</f>
        <v>4.95</v>
      </c>
      <c r="T327" s="62">
        <f>'New Biz Sales'!AD92</f>
        <v>4.95</v>
      </c>
      <c r="U327" s="62">
        <f>'New Biz Sales'!AE92</f>
        <v>4.95</v>
      </c>
      <c r="V327" s="62">
        <f>'New Biz Sales'!AF92</f>
        <v>4.95</v>
      </c>
      <c r="W327" s="62">
        <f>'New Biz Sales'!AG92</f>
        <v>4.95</v>
      </c>
      <c r="X327" s="62">
        <f>'New Biz Sales'!AH92</f>
        <v>4.95</v>
      </c>
      <c r="Y327" s="62">
        <f>'New Biz Sales'!AI92</f>
        <v>4.95</v>
      </c>
      <c r="Z327" s="62">
        <f>'New Biz Sales'!AJ92</f>
        <v>4.7025</v>
      </c>
      <c r="AA327" s="62">
        <f>'New Biz Sales'!AK92</f>
        <v>4.7025</v>
      </c>
      <c r="AB327" s="62">
        <f>'New Biz Sales'!AL92</f>
        <v>4.7025</v>
      </c>
      <c r="AC327" s="11"/>
      <c r="AD327" s="11" t="str">
        <f t="shared" si="463"/>
        <v>Rev Ops</v>
      </c>
      <c r="AE327" s="20">
        <f t="shared" si="464"/>
        <v>18.75</v>
      </c>
      <c r="AF327" s="20">
        <f t="shared" si="465"/>
        <v>19.35</v>
      </c>
      <c r="AG327" s="12">
        <f t="shared" si="466"/>
        <v>0.6</v>
      </c>
      <c r="AH327" s="66">
        <f t="shared" si="467"/>
        <v>0.032</v>
      </c>
      <c r="AI327" s="11"/>
      <c r="AJ327" s="11"/>
      <c r="AK327" s="11"/>
      <c r="AL327" s="20">
        <f t="shared" si="444"/>
        <v>20</v>
      </c>
      <c r="AM327" s="20">
        <f t="shared" si="445"/>
        <v>20</v>
      </c>
      <c r="AN327" s="20">
        <f t="shared" si="446"/>
        <v>18.75</v>
      </c>
      <c r="AO327" s="20">
        <f t="shared" si="447"/>
        <v>19.35</v>
      </c>
      <c r="AP327" s="20">
        <f t="shared" si="448"/>
        <v>19.8</v>
      </c>
      <c r="AQ327" s="20">
        <f t="shared" si="449"/>
        <v>19.0575</v>
      </c>
      <c r="AR327" s="11"/>
      <c r="AS327" s="11"/>
      <c r="AT327" s="11"/>
      <c r="AU327" s="11"/>
      <c r="AV327" s="11"/>
      <c r="AW327" s="11"/>
      <c r="AX327" s="11"/>
      <c r="AY327" s="11"/>
      <c r="AZ327" s="11"/>
      <c r="BA327" s="11"/>
      <c r="BB327" s="11"/>
      <c r="BC327" s="11"/>
      <c r="BD327" s="11"/>
      <c r="BE327" s="11"/>
      <c r="BF327" s="11"/>
      <c r="BG327" s="11"/>
      <c r="BH327" s="11"/>
      <c r="BI327" s="11"/>
      <c r="BJ327" s="11"/>
      <c r="BK327" s="11"/>
    </row>
    <row r="328" ht="15.75" customHeight="1" outlineLevel="1">
      <c r="A328" s="11"/>
      <c r="B328" s="11"/>
      <c r="C328" s="11"/>
      <c r="D328" s="11" t="s">
        <v>96</v>
      </c>
      <c r="E328" s="62">
        <f>'New Biz Sales'!O93</f>
        <v>5</v>
      </c>
      <c r="F328" s="62">
        <f>'New Biz Sales'!P93</f>
        <v>5</v>
      </c>
      <c r="G328" s="62">
        <f>'New Biz Sales'!Q93</f>
        <v>5</v>
      </c>
      <c r="H328" s="62">
        <f>'New Biz Sales'!R93</f>
        <v>5</v>
      </c>
      <c r="I328" s="62">
        <f>'New Biz Sales'!S93</f>
        <v>5</v>
      </c>
      <c r="J328" s="62">
        <f>'New Biz Sales'!T93</f>
        <v>5</v>
      </c>
      <c r="K328" s="62">
        <f>'New Biz Sales'!U93</f>
        <v>5</v>
      </c>
      <c r="L328" s="62">
        <f>'New Biz Sales'!V93</f>
        <v>5</v>
      </c>
      <c r="M328" s="62">
        <f>'New Biz Sales'!W93</f>
        <v>5</v>
      </c>
      <c r="N328" s="62">
        <f>'New Biz Sales'!X93</f>
        <v>5</v>
      </c>
      <c r="O328" s="62">
        <f>'New Biz Sales'!Y93</f>
        <v>5</v>
      </c>
      <c r="P328" s="62">
        <f>'New Biz Sales'!Z93</f>
        <v>3.75</v>
      </c>
      <c r="Q328" s="62">
        <f>'New Biz Sales'!AA93</f>
        <v>4.5</v>
      </c>
      <c r="R328" s="62">
        <f>'New Biz Sales'!AB93</f>
        <v>4.95</v>
      </c>
      <c r="S328" s="62">
        <f>'New Biz Sales'!AC93</f>
        <v>4.95</v>
      </c>
      <c r="T328" s="62">
        <f>'New Biz Sales'!AD93</f>
        <v>4.95</v>
      </c>
      <c r="U328" s="62">
        <f>'New Biz Sales'!AE93</f>
        <v>4.95</v>
      </c>
      <c r="V328" s="62">
        <f>'New Biz Sales'!AF93</f>
        <v>4.95</v>
      </c>
      <c r="W328" s="62">
        <f>'New Biz Sales'!AG93</f>
        <v>4.95</v>
      </c>
      <c r="X328" s="62">
        <f>'New Biz Sales'!AH93</f>
        <v>4.95</v>
      </c>
      <c r="Y328" s="62">
        <f>'New Biz Sales'!AI93</f>
        <v>4.95</v>
      </c>
      <c r="Z328" s="62">
        <f>'New Biz Sales'!AJ93</f>
        <v>4.95</v>
      </c>
      <c r="AA328" s="62">
        <f>'New Biz Sales'!AK93</f>
        <v>4.95</v>
      </c>
      <c r="AB328" s="62">
        <f>'New Biz Sales'!AL93</f>
        <v>4.95</v>
      </c>
      <c r="AC328" s="11"/>
      <c r="AD328" s="11" t="str">
        <f t="shared" si="463"/>
        <v>Strategy</v>
      </c>
      <c r="AE328" s="20">
        <f t="shared" si="464"/>
        <v>18.75</v>
      </c>
      <c r="AF328" s="20">
        <f t="shared" si="465"/>
        <v>19.35</v>
      </c>
      <c r="AG328" s="12">
        <f t="shared" si="466"/>
        <v>0.6</v>
      </c>
      <c r="AH328" s="66">
        <f t="shared" si="467"/>
        <v>0.032</v>
      </c>
      <c r="AI328" s="11"/>
      <c r="AJ328" s="11"/>
      <c r="AK328" s="11"/>
      <c r="AL328" s="20">
        <f t="shared" si="444"/>
        <v>20</v>
      </c>
      <c r="AM328" s="20">
        <f t="shared" si="445"/>
        <v>20</v>
      </c>
      <c r="AN328" s="20">
        <f t="shared" si="446"/>
        <v>18.75</v>
      </c>
      <c r="AO328" s="20">
        <f t="shared" si="447"/>
        <v>19.35</v>
      </c>
      <c r="AP328" s="20">
        <f t="shared" si="448"/>
        <v>19.8</v>
      </c>
      <c r="AQ328" s="20">
        <f t="shared" si="449"/>
        <v>19.8</v>
      </c>
      <c r="AR328" s="11"/>
      <c r="AS328" s="11"/>
      <c r="AT328" s="11"/>
      <c r="AU328" s="11"/>
      <c r="AV328" s="11"/>
      <c r="AW328" s="11"/>
      <c r="AX328" s="11"/>
      <c r="AY328" s="11"/>
      <c r="AZ328" s="11"/>
      <c r="BA328" s="11"/>
      <c r="BB328" s="11"/>
      <c r="BC328" s="11"/>
      <c r="BD328" s="11"/>
      <c r="BE328" s="11"/>
      <c r="BF328" s="11"/>
      <c r="BG328" s="11"/>
      <c r="BH328" s="11"/>
      <c r="BI328" s="11"/>
      <c r="BJ328" s="11"/>
      <c r="BK328" s="11"/>
    </row>
    <row r="329" ht="15.75" customHeight="1">
      <c r="A329" s="11"/>
      <c r="B329" s="11"/>
      <c r="C329" s="11"/>
      <c r="D329" s="22" t="s">
        <v>133</v>
      </c>
      <c r="E329" s="89">
        <f>'New Biz Sales'!O94</f>
        <v>30</v>
      </c>
      <c r="F329" s="89">
        <f>'New Biz Sales'!P94</f>
        <v>30</v>
      </c>
      <c r="G329" s="89">
        <f>'New Biz Sales'!Q94</f>
        <v>30</v>
      </c>
      <c r="H329" s="89">
        <f>'New Biz Sales'!R94</f>
        <v>30</v>
      </c>
      <c r="I329" s="89">
        <f>'New Biz Sales'!S94</f>
        <v>30</v>
      </c>
      <c r="J329" s="89">
        <f>'New Biz Sales'!T94</f>
        <v>30</v>
      </c>
      <c r="K329" s="89">
        <f>'New Biz Sales'!U94</f>
        <v>30</v>
      </c>
      <c r="L329" s="89">
        <f>'New Biz Sales'!V94</f>
        <v>30</v>
      </c>
      <c r="M329" s="89">
        <f>'New Biz Sales'!W94</f>
        <v>30</v>
      </c>
      <c r="N329" s="89">
        <f>'New Biz Sales'!X94</f>
        <v>30</v>
      </c>
      <c r="O329" s="89">
        <f>'New Biz Sales'!Y94</f>
        <v>30</v>
      </c>
      <c r="P329" s="89">
        <f>'New Biz Sales'!Z94</f>
        <v>22.5</v>
      </c>
      <c r="Q329" s="89">
        <f>'New Biz Sales'!AA94</f>
        <v>27</v>
      </c>
      <c r="R329" s="89">
        <f>'New Biz Sales'!AB94</f>
        <v>29.7</v>
      </c>
      <c r="S329" s="89">
        <f>'New Biz Sales'!AC94</f>
        <v>29.7</v>
      </c>
      <c r="T329" s="89">
        <f>'New Biz Sales'!AD94</f>
        <v>29.7</v>
      </c>
      <c r="U329" s="89">
        <f>'New Biz Sales'!AE94</f>
        <v>29.7</v>
      </c>
      <c r="V329" s="89">
        <f>'New Biz Sales'!AF94</f>
        <v>29.7</v>
      </c>
      <c r="W329" s="89">
        <f>'New Biz Sales'!AG94</f>
        <v>29.7</v>
      </c>
      <c r="X329" s="89">
        <f>'New Biz Sales'!AH94</f>
        <v>29.7</v>
      </c>
      <c r="Y329" s="89">
        <f>'New Biz Sales'!AI94</f>
        <v>29.7</v>
      </c>
      <c r="Z329" s="89">
        <f>'New Biz Sales'!AJ94</f>
        <v>28.512</v>
      </c>
      <c r="AA329" s="89">
        <f>'New Biz Sales'!AK94</f>
        <v>28.512</v>
      </c>
      <c r="AB329" s="89">
        <f>'New Biz Sales'!AL94</f>
        <v>28.512</v>
      </c>
      <c r="AC329" s="11"/>
      <c r="AD329" s="28" t="str">
        <f t="shared" si="463"/>
        <v>Total Closed</v>
      </c>
      <c r="AE329" s="90">
        <f t="shared" si="464"/>
        <v>112.5</v>
      </c>
      <c r="AF329" s="90">
        <f t="shared" si="465"/>
        <v>116.1</v>
      </c>
      <c r="AG329" s="25">
        <f t="shared" si="466"/>
        <v>3.6</v>
      </c>
      <c r="AH329" s="60">
        <f t="shared" si="467"/>
        <v>0.032</v>
      </c>
      <c r="AI329" s="11"/>
      <c r="AJ329" s="11"/>
      <c r="AK329" s="11"/>
      <c r="AL329" s="90">
        <f t="shared" si="444"/>
        <v>120</v>
      </c>
      <c r="AM329" s="90">
        <f t="shared" si="445"/>
        <v>120</v>
      </c>
      <c r="AN329" s="90">
        <f t="shared" si="446"/>
        <v>112.5</v>
      </c>
      <c r="AO329" s="90">
        <f t="shared" si="447"/>
        <v>116.1</v>
      </c>
      <c r="AP329" s="90">
        <f t="shared" si="448"/>
        <v>118.8</v>
      </c>
      <c r="AQ329" s="90">
        <f t="shared" si="449"/>
        <v>115.236</v>
      </c>
      <c r="AR329" s="11"/>
      <c r="AS329" s="11"/>
      <c r="AT329" s="11"/>
      <c r="AU329" s="11"/>
      <c r="AV329" s="11"/>
      <c r="AW329" s="11"/>
      <c r="AX329" s="11"/>
      <c r="AY329" s="11"/>
      <c r="AZ329" s="11"/>
      <c r="BA329" s="11"/>
      <c r="BB329" s="11"/>
      <c r="BC329" s="11"/>
      <c r="BD329" s="11"/>
      <c r="BE329" s="11"/>
      <c r="BF329" s="11"/>
      <c r="BG329" s="11"/>
      <c r="BH329" s="11"/>
      <c r="BI329" s="11"/>
      <c r="BJ329" s="11"/>
      <c r="BK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t="s">
        <v>134</v>
      </c>
      <c r="AE330" s="11"/>
      <c r="AF330" s="11"/>
      <c r="AG330" s="12"/>
      <c r="AH330" s="11"/>
      <c r="AI330" s="11"/>
      <c r="AJ330" s="11"/>
      <c r="AK330" s="11"/>
      <c r="AL330" s="11">
        <f t="shared" si="444"/>
        <v>0</v>
      </c>
      <c r="AM330" s="11">
        <f t="shared" si="445"/>
        <v>0</v>
      </c>
      <c r="AN330" s="11">
        <f t="shared" si="446"/>
        <v>0</v>
      </c>
      <c r="AO330" s="11">
        <f t="shared" si="447"/>
        <v>0</v>
      </c>
      <c r="AP330" s="11">
        <f t="shared" si="448"/>
        <v>0</v>
      </c>
      <c r="AQ330" s="11">
        <f t="shared" si="449"/>
        <v>0</v>
      </c>
      <c r="AR330" s="11"/>
      <c r="AS330" s="11"/>
      <c r="AT330" s="11"/>
      <c r="AU330" s="11"/>
      <c r="AV330" s="11"/>
      <c r="AW330" s="11"/>
      <c r="AX330" s="11"/>
      <c r="AY330" s="11"/>
      <c r="AZ330" s="11"/>
      <c r="BA330" s="11"/>
      <c r="BB330" s="11"/>
      <c r="BC330" s="11"/>
      <c r="BD330" s="11"/>
      <c r="BE330" s="11"/>
      <c r="BF330" s="11"/>
      <c r="BG330" s="11"/>
      <c r="BH330" s="11"/>
      <c r="BI330" s="11"/>
      <c r="BJ330" s="11"/>
      <c r="BK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2"/>
      <c r="AH331" s="11"/>
      <c r="AI331" s="11"/>
      <c r="AJ331" s="11"/>
      <c r="AK331" s="11"/>
      <c r="AL331" s="11">
        <f t="shared" si="444"/>
        <v>0</v>
      </c>
      <c r="AM331" s="11">
        <f t="shared" si="445"/>
        <v>0</v>
      </c>
      <c r="AN331" s="11">
        <f t="shared" si="446"/>
        <v>0</v>
      </c>
      <c r="AO331" s="11">
        <f t="shared" si="447"/>
        <v>0</v>
      </c>
      <c r="AP331" s="11">
        <f t="shared" si="448"/>
        <v>0</v>
      </c>
      <c r="AQ331" s="11">
        <f t="shared" si="449"/>
        <v>0</v>
      </c>
      <c r="AR331" s="11"/>
      <c r="AS331" s="11"/>
      <c r="AT331" s="11"/>
      <c r="AU331" s="11"/>
      <c r="AV331" s="11"/>
      <c r="AW331" s="11"/>
      <c r="AX331" s="11"/>
      <c r="AY331" s="11"/>
      <c r="AZ331" s="11"/>
      <c r="BA331" s="11"/>
      <c r="BB331" s="11"/>
      <c r="BC331" s="11"/>
      <c r="BD331" s="11"/>
      <c r="BE331" s="11"/>
      <c r="BF331" s="11"/>
      <c r="BG331" s="11"/>
      <c r="BH331" s="11"/>
      <c r="BI331" s="11"/>
      <c r="BJ331" s="11"/>
      <c r="BK331" s="11"/>
    </row>
    <row r="332" ht="15.75" customHeight="1" outlineLevel="1">
      <c r="A332" s="11"/>
      <c r="B332" s="11"/>
      <c r="C332" s="11"/>
      <c r="D332" s="11" t="s">
        <v>129</v>
      </c>
      <c r="E332" s="12">
        <f>'New Biz Sales'!O96</f>
        <v>479498</v>
      </c>
      <c r="F332" s="12">
        <f>'New Biz Sales'!P96</f>
        <v>206807</v>
      </c>
      <c r="G332" s="12">
        <f>'New Biz Sales'!Q96</f>
        <v>328227</v>
      </c>
      <c r="H332" s="12">
        <f>'New Biz Sales'!R96</f>
        <v>439553</v>
      </c>
      <c r="I332" s="12">
        <f>'New Biz Sales'!S96</f>
        <v>149004</v>
      </c>
      <c r="J332" s="12">
        <f>'New Biz Sales'!T96</f>
        <v>298345</v>
      </c>
      <c r="K332" s="12">
        <f>'New Biz Sales'!U96</f>
        <v>108101</v>
      </c>
      <c r="L332" s="12">
        <f>'New Biz Sales'!V96</f>
        <v>262590</v>
      </c>
      <c r="M332" s="12">
        <f>'New Biz Sales'!W96</f>
        <v>441802</v>
      </c>
      <c r="N332" s="12">
        <f>'New Biz Sales'!X96</f>
        <v>463831</v>
      </c>
      <c r="O332" s="12">
        <f>'New Biz Sales'!Y96</f>
        <v>458258</v>
      </c>
      <c r="P332" s="12">
        <f>'New Biz Sales'!Z96</f>
        <v>165000</v>
      </c>
      <c r="Q332" s="12">
        <f>'New Biz Sales'!AA96</f>
        <v>168300</v>
      </c>
      <c r="R332" s="12">
        <f>'New Biz Sales'!AB96</f>
        <v>168300</v>
      </c>
      <c r="S332" s="12">
        <f>'New Biz Sales'!AC96</f>
        <v>168300</v>
      </c>
      <c r="T332" s="12">
        <f>'New Biz Sales'!AD96</f>
        <v>168300</v>
      </c>
      <c r="U332" s="12">
        <f>'New Biz Sales'!AE96</f>
        <v>168300</v>
      </c>
      <c r="V332" s="12">
        <f>'New Biz Sales'!AF96</f>
        <v>171666</v>
      </c>
      <c r="W332" s="12">
        <f>'New Biz Sales'!AG96</f>
        <v>171666</v>
      </c>
      <c r="X332" s="12">
        <f>'New Biz Sales'!AH96</f>
        <v>171666</v>
      </c>
      <c r="Y332" s="12">
        <f>'New Biz Sales'!AI96</f>
        <v>171666</v>
      </c>
      <c r="Z332" s="12">
        <f>'New Biz Sales'!AJ96</f>
        <v>171666</v>
      </c>
      <c r="AA332" s="12">
        <f>'New Biz Sales'!AK96</f>
        <v>171666</v>
      </c>
      <c r="AB332" s="12">
        <f>'New Biz Sales'!AL96</f>
        <v>171666</v>
      </c>
      <c r="AC332" s="11"/>
      <c r="AD332" s="11" t="str">
        <f t="shared" ref="AD332:AD338" si="468">D332</f>
        <v>Paid Media </v>
      </c>
      <c r="AE332" s="12">
        <f t="shared" ref="AE332:AE338" si="469">AVERAGE(M332:P332)</f>
        <v>382222.75</v>
      </c>
      <c r="AF332" s="20">
        <f t="shared" ref="AF332:AF338" si="470">AVERAGE(Q332:T332)</f>
        <v>168300</v>
      </c>
      <c r="AG332" s="12">
        <f t="shared" ref="AG332:AG338" si="471">AF332-AE332</f>
        <v>-213922.75</v>
      </c>
      <c r="AH332" s="66">
        <f t="shared" ref="AH332:AH338" si="472">AF332/AE332-1</f>
        <v>-0.5596808406</v>
      </c>
      <c r="AI332" s="11"/>
      <c r="AJ332" s="11"/>
      <c r="AK332" s="11"/>
      <c r="AL332" s="12">
        <f t="shared" si="444"/>
        <v>1454085</v>
      </c>
      <c r="AM332" s="20">
        <f t="shared" si="445"/>
        <v>818040</v>
      </c>
      <c r="AN332" s="20">
        <f t="shared" si="446"/>
        <v>1528891</v>
      </c>
      <c r="AO332" s="12">
        <f t="shared" si="447"/>
        <v>673200</v>
      </c>
      <c r="AP332" s="20">
        <f t="shared" si="448"/>
        <v>683298</v>
      </c>
      <c r="AQ332" s="20">
        <f t="shared" si="449"/>
        <v>686664</v>
      </c>
      <c r="AR332" s="11"/>
      <c r="AS332" s="11"/>
      <c r="AT332" s="11"/>
      <c r="AU332" s="11"/>
      <c r="AV332" s="11"/>
      <c r="AW332" s="11"/>
      <c r="AX332" s="11"/>
      <c r="AY332" s="11"/>
      <c r="AZ332" s="11"/>
      <c r="BA332" s="11"/>
      <c r="BB332" s="11"/>
      <c r="BC332" s="11"/>
      <c r="BD332" s="11"/>
      <c r="BE332" s="11"/>
      <c r="BF332" s="11"/>
      <c r="BG332" s="11"/>
      <c r="BH332" s="11"/>
      <c r="BI332" s="11"/>
      <c r="BJ332" s="11"/>
      <c r="BK332" s="11"/>
    </row>
    <row r="333" ht="15.75" customHeight="1" outlineLevel="1">
      <c r="A333" s="11"/>
      <c r="B333" s="11"/>
      <c r="C333" s="11"/>
      <c r="D333" s="11" t="s">
        <v>85</v>
      </c>
      <c r="E333" s="12">
        <f>'New Biz Sales'!O97</f>
        <v>239719</v>
      </c>
      <c r="F333" s="12">
        <f>'New Biz Sales'!P97</f>
        <v>419284</v>
      </c>
      <c r="G333" s="12">
        <f>'New Biz Sales'!Q97</f>
        <v>496911</v>
      </c>
      <c r="H333" s="12">
        <f>'New Biz Sales'!R97</f>
        <v>317089</v>
      </c>
      <c r="I333" s="12">
        <f>'New Biz Sales'!S97</f>
        <v>304944</v>
      </c>
      <c r="J333" s="12">
        <f>'New Biz Sales'!T97</f>
        <v>439741</v>
      </c>
      <c r="K333" s="12">
        <f>'New Biz Sales'!U97</f>
        <v>481654</v>
      </c>
      <c r="L333" s="12">
        <f>'New Biz Sales'!V97</f>
        <v>327002</v>
      </c>
      <c r="M333" s="12">
        <f>'New Biz Sales'!W97</f>
        <v>373699</v>
      </c>
      <c r="N333" s="12">
        <f>'New Biz Sales'!X97</f>
        <v>129983</v>
      </c>
      <c r="O333" s="12">
        <f>'New Biz Sales'!Y97</f>
        <v>246044</v>
      </c>
      <c r="P333" s="12">
        <f>'New Biz Sales'!Z97</f>
        <v>125000</v>
      </c>
      <c r="Q333" s="12">
        <f>'New Biz Sales'!AA97</f>
        <v>127500</v>
      </c>
      <c r="R333" s="12">
        <f>'New Biz Sales'!AB97</f>
        <v>127500</v>
      </c>
      <c r="S333" s="12">
        <f>'New Biz Sales'!AC97</f>
        <v>127500</v>
      </c>
      <c r="T333" s="12">
        <f>'New Biz Sales'!AD97</f>
        <v>127500</v>
      </c>
      <c r="U333" s="12">
        <f>'New Biz Sales'!AE97</f>
        <v>127500</v>
      </c>
      <c r="V333" s="12">
        <f>'New Biz Sales'!AF97</f>
        <v>130050</v>
      </c>
      <c r="W333" s="12">
        <f>'New Biz Sales'!AG97</f>
        <v>130050</v>
      </c>
      <c r="X333" s="12">
        <f>'New Biz Sales'!AH97</f>
        <v>130050</v>
      </c>
      <c r="Y333" s="12">
        <f>'New Biz Sales'!AI97</f>
        <v>130050</v>
      </c>
      <c r="Z333" s="12">
        <f>'New Biz Sales'!AJ97</f>
        <v>130050</v>
      </c>
      <c r="AA333" s="12">
        <f>'New Biz Sales'!AK97</f>
        <v>130050</v>
      </c>
      <c r="AB333" s="12">
        <f>'New Biz Sales'!AL97</f>
        <v>130050</v>
      </c>
      <c r="AC333" s="11"/>
      <c r="AD333" s="11" t="str">
        <f t="shared" si="468"/>
        <v>SEO</v>
      </c>
      <c r="AE333" s="21">
        <f t="shared" si="469"/>
        <v>218681.5</v>
      </c>
      <c r="AF333" s="21">
        <f t="shared" si="470"/>
        <v>127500</v>
      </c>
      <c r="AG333" s="12">
        <f t="shared" si="471"/>
        <v>-91181.5</v>
      </c>
      <c r="AH333" s="66">
        <f t="shared" si="472"/>
        <v>-0.4169602824</v>
      </c>
      <c r="AI333" s="11"/>
      <c r="AJ333" s="11"/>
      <c r="AK333" s="11"/>
      <c r="AL333" s="21">
        <f t="shared" si="444"/>
        <v>1473003</v>
      </c>
      <c r="AM333" s="21">
        <f t="shared" si="445"/>
        <v>1553341</v>
      </c>
      <c r="AN333" s="21">
        <f t="shared" si="446"/>
        <v>874726</v>
      </c>
      <c r="AO333" s="21">
        <f t="shared" si="447"/>
        <v>510000</v>
      </c>
      <c r="AP333" s="21">
        <f t="shared" si="448"/>
        <v>517650</v>
      </c>
      <c r="AQ333" s="21">
        <f t="shared" si="449"/>
        <v>520200</v>
      </c>
      <c r="AR333" s="11"/>
      <c r="AS333" s="11"/>
      <c r="AT333" s="11"/>
      <c r="AU333" s="11"/>
      <c r="AV333" s="11"/>
      <c r="AW333" s="11"/>
      <c r="AX333" s="11"/>
      <c r="AY333" s="11"/>
      <c r="AZ333" s="11"/>
      <c r="BA333" s="11"/>
      <c r="BB333" s="11"/>
      <c r="BC333" s="11"/>
      <c r="BD333" s="11"/>
      <c r="BE333" s="11"/>
      <c r="BF333" s="11"/>
      <c r="BG333" s="11"/>
      <c r="BH333" s="11"/>
      <c r="BI333" s="11"/>
      <c r="BJ333" s="11"/>
      <c r="BK333" s="11"/>
    </row>
    <row r="334" ht="15.75" customHeight="1" outlineLevel="1">
      <c r="A334" s="11"/>
      <c r="B334" s="11"/>
      <c r="C334" s="11"/>
      <c r="D334" s="11" t="s">
        <v>130</v>
      </c>
      <c r="E334" s="12">
        <f>'New Biz Sales'!O98</f>
        <v>212819</v>
      </c>
      <c r="F334" s="12">
        <f>'New Biz Sales'!P98</f>
        <v>451250</v>
      </c>
      <c r="G334" s="12">
        <f>'New Biz Sales'!Q98</f>
        <v>493204</v>
      </c>
      <c r="H334" s="12">
        <f>'New Biz Sales'!R98</f>
        <v>284410</v>
      </c>
      <c r="I334" s="12">
        <f>'New Biz Sales'!S98</f>
        <v>194468</v>
      </c>
      <c r="J334" s="12">
        <f>'New Biz Sales'!T98</f>
        <v>222217</v>
      </c>
      <c r="K334" s="12">
        <f>'New Biz Sales'!U98</f>
        <v>179415</v>
      </c>
      <c r="L334" s="12">
        <f>'New Biz Sales'!V98</f>
        <v>285607</v>
      </c>
      <c r="M334" s="12">
        <f>'New Biz Sales'!W98</f>
        <v>415595</v>
      </c>
      <c r="N334" s="12">
        <f>'New Biz Sales'!X98</f>
        <v>140953</v>
      </c>
      <c r="O334" s="12">
        <f>'New Biz Sales'!Y98</f>
        <v>189550</v>
      </c>
      <c r="P334" s="12">
        <f>'New Biz Sales'!Z98</f>
        <v>189550</v>
      </c>
      <c r="Q334" s="12">
        <f>'New Biz Sales'!AA98</f>
        <v>193341</v>
      </c>
      <c r="R334" s="12">
        <f>'New Biz Sales'!AB98</f>
        <v>193341</v>
      </c>
      <c r="S334" s="12">
        <f>'New Biz Sales'!AC98</f>
        <v>193341</v>
      </c>
      <c r="T334" s="12">
        <f>'New Biz Sales'!AD98</f>
        <v>193341</v>
      </c>
      <c r="U334" s="12">
        <f>'New Biz Sales'!AE98</f>
        <v>193341</v>
      </c>
      <c r="V334" s="12">
        <f>'New Biz Sales'!AF98</f>
        <v>197207.82</v>
      </c>
      <c r="W334" s="12">
        <f>'New Biz Sales'!AG98</f>
        <v>197207.82</v>
      </c>
      <c r="X334" s="12">
        <f>'New Biz Sales'!AH98</f>
        <v>197207.82</v>
      </c>
      <c r="Y334" s="12">
        <f>'New Biz Sales'!AI98</f>
        <v>197207.82</v>
      </c>
      <c r="Z334" s="12">
        <f>'New Biz Sales'!AJ98</f>
        <v>197207.82</v>
      </c>
      <c r="AA334" s="12">
        <f>'New Biz Sales'!AK98</f>
        <v>197207.82</v>
      </c>
      <c r="AB334" s="12">
        <f>'New Biz Sales'!AL98</f>
        <v>197207.82</v>
      </c>
      <c r="AC334" s="11"/>
      <c r="AD334" s="11" t="str">
        <f t="shared" si="468"/>
        <v>PCS</v>
      </c>
      <c r="AE334" s="21">
        <f t="shared" si="469"/>
        <v>233912</v>
      </c>
      <c r="AF334" s="21">
        <f t="shared" si="470"/>
        <v>193341</v>
      </c>
      <c r="AG334" s="12">
        <f t="shared" si="471"/>
        <v>-40571</v>
      </c>
      <c r="AH334" s="66">
        <f t="shared" si="472"/>
        <v>-0.1734455693</v>
      </c>
      <c r="AI334" s="11"/>
      <c r="AJ334" s="11"/>
      <c r="AK334" s="11"/>
      <c r="AL334" s="21">
        <f t="shared" si="444"/>
        <v>1441683</v>
      </c>
      <c r="AM334" s="21">
        <f t="shared" si="445"/>
        <v>881707</v>
      </c>
      <c r="AN334" s="21">
        <f t="shared" si="446"/>
        <v>935648</v>
      </c>
      <c r="AO334" s="21">
        <f t="shared" si="447"/>
        <v>773364</v>
      </c>
      <c r="AP334" s="21">
        <f t="shared" si="448"/>
        <v>784964.46</v>
      </c>
      <c r="AQ334" s="21">
        <f t="shared" si="449"/>
        <v>788831.28</v>
      </c>
      <c r="AR334" s="11"/>
      <c r="AS334" s="11"/>
      <c r="AT334" s="11"/>
      <c r="AU334" s="11"/>
      <c r="AV334" s="11"/>
      <c r="AW334" s="11"/>
      <c r="AX334" s="11"/>
      <c r="AY334" s="11"/>
      <c r="AZ334" s="11"/>
      <c r="BA334" s="11"/>
      <c r="BB334" s="11"/>
      <c r="BC334" s="11"/>
      <c r="BD334" s="11"/>
      <c r="BE334" s="11"/>
      <c r="BF334" s="11"/>
      <c r="BG334" s="11"/>
      <c r="BH334" s="11"/>
      <c r="BI334" s="11"/>
      <c r="BJ334" s="11"/>
      <c r="BK334" s="11"/>
    </row>
    <row r="335" ht="15.75" customHeight="1" outlineLevel="1">
      <c r="A335" s="11"/>
      <c r="B335" s="11"/>
      <c r="C335" s="11"/>
      <c r="D335" s="11" t="s">
        <v>89</v>
      </c>
      <c r="E335" s="12">
        <f>'New Biz Sales'!O99</f>
        <v>208508</v>
      </c>
      <c r="F335" s="12">
        <f>'New Biz Sales'!P99</f>
        <v>329458</v>
      </c>
      <c r="G335" s="12">
        <f>'New Biz Sales'!Q99</f>
        <v>432189</v>
      </c>
      <c r="H335" s="12">
        <f>'New Biz Sales'!R99</f>
        <v>424553</v>
      </c>
      <c r="I335" s="12">
        <f>'New Biz Sales'!S99</f>
        <v>108659</v>
      </c>
      <c r="J335" s="12">
        <f>'New Biz Sales'!T99</f>
        <v>465660</v>
      </c>
      <c r="K335" s="12">
        <f>'New Biz Sales'!U99</f>
        <v>297991</v>
      </c>
      <c r="L335" s="12">
        <f>'New Biz Sales'!V99</f>
        <v>223591</v>
      </c>
      <c r="M335" s="12">
        <f>'New Biz Sales'!W99</f>
        <v>392857</v>
      </c>
      <c r="N335" s="12">
        <f>'New Biz Sales'!X99</f>
        <v>268265</v>
      </c>
      <c r="O335" s="12">
        <f>'New Biz Sales'!Y99</f>
        <v>325194</v>
      </c>
      <c r="P335" s="12">
        <f>'New Biz Sales'!Z99</f>
        <v>22500</v>
      </c>
      <c r="Q335" s="12">
        <f>'New Biz Sales'!AA99</f>
        <v>22950</v>
      </c>
      <c r="R335" s="12">
        <f>'New Biz Sales'!AB99</f>
        <v>22950</v>
      </c>
      <c r="S335" s="12">
        <f>'New Biz Sales'!AC99</f>
        <v>22950</v>
      </c>
      <c r="T335" s="12">
        <f>'New Biz Sales'!AD99</f>
        <v>22950</v>
      </c>
      <c r="U335" s="12">
        <f>'New Biz Sales'!AE99</f>
        <v>22950</v>
      </c>
      <c r="V335" s="12">
        <f>'New Biz Sales'!AF99</f>
        <v>23638.5</v>
      </c>
      <c r="W335" s="12">
        <f>'New Biz Sales'!AG99</f>
        <v>23638.5</v>
      </c>
      <c r="X335" s="12">
        <f>'New Biz Sales'!AH99</f>
        <v>23638.5</v>
      </c>
      <c r="Y335" s="12">
        <f>'New Biz Sales'!AI99</f>
        <v>23638.5</v>
      </c>
      <c r="Z335" s="12">
        <f>'New Biz Sales'!AJ99</f>
        <v>23638.5</v>
      </c>
      <c r="AA335" s="12">
        <f>'New Biz Sales'!AK99</f>
        <v>23638.5</v>
      </c>
      <c r="AB335" s="12">
        <f>'New Biz Sales'!AL99</f>
        <v>23638.5</v>
      </c>
      <c r="AC335" s="11"/>
      <c r="AD335" s="11" t="str">
        <f t="shared" si="468"/>
        <v>Video</v>
      </c>
      <c r="AE335" s="21">
        <f t="shared" si="469"/>
        <v>252204</v>
      </c>
      <c r="AF335" s="21">
        <f t="shared" si="470"/>
        <v>22950</v>
      </c>
      <c r="AG335" s="12">
        <f t="shared" si="471"/>
        <v>-229254</v>
      </c>
      <c r="AH335" s="66">
        <f t="shared" si="472"/>
        <v>-0.9090022363</v>
      </c>
      <c r="AI335" s="11"/>
      <c r="AJ335" s="11"/>
      <c r="AK335" s="11"/>
      <c r="AL335" s="21">
        <f t="shared" si="444"/>
        <v>1394708</v>
      </c>
      <c r="AM335" s="21">
        <f t="shared" si="445"/>
        <v>1095901</v>
      </c>
      <c r="AN335" s="21">
        <f t="shared" si="446"/>
        <v>1008816</v>
      </c>
      <c r="AO335" s="21">
        <f t="shared" si="447"/>
        <v>91800</v>
      </c>
      <c r="AP335" s="21">
        <f t="shared" si="448"/>
        <v>93865.5</v>
      </c>
      <c r="AQ335" s="21">
        <f t="shared" si="449"/>
        <v>94554</v>
      </c>
      <c r="AR335" s="11"/>
      <c r="AS335" s="11"/>
      <c r="AT335" s="11"/>
      <c r="AU335" s="11"/>
      <c r="AV335" s="11"/>
      <c r="AW335" s="11"/>
      <c r="AX335" s="11"/>
      <c r="AY335" s="11"/>
      <c r="AZ335" s="11"/>
      <c r="BA335" s="11"/>
      <c r="BB335" s="11"/>
      <c r="BC335" s="11"/>
      <c r="BD335" s="11"/>
      <c r="BE335" s="11"/>
      <c r="BF335" s="11"/>
      <c r="BG335" s="11"/>
      <c r="BH335" s="11"/>
      <c r="BI335" s="11"/>
      <c r="BJ335" s="11"/>
      <c r="BK335" s="11"/>
    </row>
    <row r="336" ht="15.75" customHeight="1" outlineLevel="1">
      <c r="A336" s="11"/>
      <c r="B336" s="11"/>
      <c r="C336" s="11"/>
      <c r="D336" s="11" t="s">
        <v>94</v>
      </c>
      <c r="E336" s="12">
        <f>'New Biz Sales'!O100</f>
        <v>275586</v>
      </c>
      <c r="F336" s="12">
        <f>'New Biz Sales'!P100</f>
        <v>232621</v>
      </c>
      <c r="G336" s="12">
        <f>'New Biz Sales'!Q100</f>
        <v>256601</v>
      </c>
      <c r="H336" s="12">
        <f>'New Biz Sales'!R100</f>
        <v>395774</v>
      </c>
      <c r="I336" s="12">
        <f>'New Biz Sales'!S100</f>
        <v>458057</v>
      </c>
      <c r="J336" s="12">
        <f>'New Biz Sales'!T100</f>
        <v>384341</v>
      </c>
      <c r="K336" s="12">
        <f>'New Biz Sales'!U100</f>
        <v>299408</v>
      </c>
      <c r="L336" s="12">
        <f>'New Biz Sales'!V100</f>
        <v>185686</v>
      </c>
      <c r="M336" s="12">
        <f>'New Biz Sales'!W100</f>
        <v>319966</v>
      </c>
      <c r="N336" s="12">
        <f>'New Biz Sales'!X100</f>
        <v>144475</v>
      </c>
      <c r="O336" s="12">
        <f>'New Biz Sales'!Y100</f>
        <v>358700</v>
      </c>
      <c r="P336" s="12">
        <f>'New Biz Sales'!Z100</f>
        <v>15000</v>
      </c>
      <c r="Q336" s="12">
        <f>'New Biz Sales'!AA100</f>
        <v>15300</v>
      </c>
      <c r="R336" s="12">
        <f>'New Biz Sales'!AB100</f>
        <v>15300</v>
      </c>
      <c r="S336" s="12">
        <f>'New Biz Sales'!AC100</f>
        <v>15300</v>
      </c>
      <c r="T336" s="12">
        <f>'New Biz Sales'!AD100</f>
        <v>15300</v>
      </c>
      <c r="U336" s="12">
        <f>'New Biz Sales'!AE100</f>
        <v>15300</v>
      </c>
      <c r="V336" s="12">
        <f>'New Biz Sales'!AF100</f>
        <v>15606</v>
      </c>
      <c r="W336" s="12">
        <f>'New Biz Sales'!AG100</f>
        <v>15606</v>
      </c>
      <c r="X336" s="12">
        <f>'New Biz Sales'!AH100</f>
        <v>15606</v>
      </c>
      <c r="Y336" s="12">
        <f>'New Biz Sales'!AI100</f>
        <v>15606</v>
      </c>
      <c r="Z336" s="12">
        <f>'New Biz Sales'!AJ100</f>
        <v>15606</v>
      </c>
      <c r="AA336" s="12">
        <f>'New Biz Sales'!AK100</f>
        <v>15606</v>
      </c>
      <c r="AB336" s="12">
        <f>'New Biz Sales'!AL100</f>
        <v>15606</v>
      </c>
      <c r="AC336" s="11"/>
      <c r="AD336" s="11" t="str">
        <f t="shared" si="468"/>
        <v>Rev Ops</v>
      </c>
      <c r="AE336" s="21">
        <f t="shared" si="469"/>
        <v>209535.25</v>
      </c>
      <c r="AF336" s="21">
        <f t="shared" si="470"/>
        <v>15300</v>
      </c>
      <c r="AG336" s="12">
        <f t="shared" si="471"/>
        <v>-194235.25</v>
      </c>
      <c r="AH336" s="66">
        <f t="shared" si="472"/>
        <v>-0.9269812597</v>
      </c>
      <c r="AI336" s="11"/>
      <c r="AJ336" s="11"/>
      <c r="AK336" s="11"/>
      <c r="AL336" s="21">
        <f t="shared" si="444"/>
        <v>1160582</v>
      </c>
      <c r="AM336" s="21">
        <f t="shared" si="445"/>
        <v>1327492</v>
      </c>
      <c r="AN336" s="21">
        <f t="shared" si="446"/>
        <v>838141</v>
      </c>
      <c r="AO336" s="21">
        <f t="shared" si="447"/>
        <v>61200</v>
      </c>
      <c r="AP336" s="21">
        <f t="shared" si="448"/>
        <v>62118</v>
      </c>
      <c r="AQ336" s="21">
        <f t="shared" si="449"/>
        <v>62424</v>
      </c>
      <c r="AR336" s="11"/>
      <c r="AS336" s="11"/>
      <c r="AT336" s="11"/>
      <c r="AU336" s="11"/>
      <c r="AV336" s="11"/>
      <c r="AW336" s="11"/>
      <c r="AX336" s="11"/>
      <c r="AY336" s="11"/>
      <c r="AZ336" s="11"/>
      <c r="BA336" s="11"/>
      <c r="BB336" s="11"/>
      <c r="BC336" s="11"/>
      <c r="BD336" s="11"/>
      <c r="BE336" s="11"/>
      <c r="BF336" s="11"/>
      <c r="BG336" s="11"/>
      <c r="BH336" s="11"/>
      <c r="BI336" s="11"/>
      <c r="BJ336" s="11"/>
      <c r="BK336" s="11"/>
    </row>
    <row r="337" ht="15.75" customHeight="1" outlineLevel="1">
      <c r="A337" s="11"/>
      <c r="B337" s="11"/>
      <c r="C337" s="11"/>
      <c r="D337" s="11" t="s">
        <v>96</v>
      </c>
      <c r="E337" s="12">
        <f>'New Biz Sales'!O101</f>
        <v>161784</v>
      </c>
      <c r="F337" s="12">
        <f>'New Biz Sales'!P101</f>
        <v>374718</v>
      </c>
      <c r="G337" s="12">
        <f>'New Biz Sales'!Q101</f>
        <v>216152</v>
      </c>
      <c r="H337" s="12">
        <f>'New Biz Sales'!R101</f>
        <v>165942</v>
      </c>
      <c r="I337" s="12">
        <f>'New Biz Sales'!S101</f>
        <v>127283</v>
      </c>
      <c r="J337" s="12">
        <f>'New Biz Sales'!T101</f>
        <v>169261</v>
      </c>
      <c r="K337" s="12">
        <f>'New Biz Sales'!U101</f>
        <v>474856</v>
      </c>
      <c r="L337" s="12">
        <f>'New Biz Sales'!V101</f>
        <v>290656</v>
      </c>
      <c r="M337" s="12">
        <f>'New Biz Sales'!W101</f>
        <v>480415</v>
      </c>
      <c r="N337" s="12">
        <f>'New Biz Sales'!X101</f>
        <v>199930</v>
      </c>
      <c r="O337" s="12">
        <f>'New Biz Sales'!Y101</f>
        <v>398800</v>
      </c>
      <c r="P337" s="12">
        <f>'New Biz Sales'!Z101</f>
        <v>100000</v>
      </c>
      <c r="Q337" s="12">
        <f>'New Biz Sales'!AA101</f>
        <v>100000</v>
      </c>
      <c r="R337" s="12">
        <f>'New Biz Sales'!AB101</f>
        <v>100000</v>
      </c>
      <c r="S337" s="12">
        <f>'New Biz Sales'!AC101</f>
        <v>100000</v>
      </c>
      <c r="T337" s="12">
        <f>'New Biz Sales'!AD101</f>
        <v>100000</v>
      </c>
      <c r="U337" s="12">
        <f>'New Biz Sales'!AE101</f>
        <v>100000</v>
      </c>
      <c r="V337" s="12">
        <f>'New Biz Sales'!AF101</f>
        <v>100000</v>
      </c>
      <c r="W337" s="12">
        <f>'New Biz Sales'!AG101</f>
        <v>100000</v>
      </c>
      <c r="X337" s="12">
        <f>'New Biz Sales'!AH101</f>
        <v>100000</v>
      </c>
      <c r="Y337" s="12">
        <f>'New Biz Sales'!AI101</f>
        <v>100000</v>
      </c>
      <c r="Z337" s="12">
        <f>'New Biz Sales'!AJ101</f>
        <v>100000</v>
      </c>
      <c r="AA337" s="12">
        <f>'New Biz Sales'!AK101</f>
        <v>100000</v>
      </c>
      <c r="AB337" s="12">
        <f>'New Biz Sales'!AL101</f>
        <v>100000</v>
      </c>
      <c r="AC337" s="11"/>
      <c r="AD337" s="11" t="str">
        <f t="shared" si="468"/>
        <v>Strategy</v>
      </c>
      <c r="AE337" s="21">
        <f t="shared" si="469"/>
        <v>294786.25</v>
      </c>
      <c r="AF337" s="21">
        <f t="shared" si="470"/>
        <v>100000</v>
      </c>
      <c r="AG337" s="12">
        <f t="shared" si="471"/>
        <v>-194786.25</v>
      </c>
      <c r="AH337" s="66">
        <f t="shared" si="472"/>
        <v>-0.660771152</v>
      </c>
      <c r="AI337" s="11"/>
      <c r="AJ337" s="11"/>
      <c r="AK337" s="11"/>
      <c r="AL337" s="21">
        <f t="shared" si="444"/>
        <v>918596</v>
      </c>
      <c r="AM337" s="21">
        <f t="shared" si="445"/>
        <v>1062056</v>
      </c>
      <c r="AN337" s="21">
        <f t="shared" si="446"/>
        <v>1179145</v>
      </c>
      <c r="AO337" s="21">
        <f t="shared" si="447"/>
        <v>400000</v>
      </c>
      <c r="AP337" s="21">
        <f t="shared" si="448"/>
        <v>400000</v>
      </c>
      <c r="AQ337" s="21">
        <f t="shared" si="449"/>
        <v>400000</v>
      </c>
      <c r="AR337" s="11"/>
      <c r="AS337" s="11"/>
      <c r="AT337" s="11"/>
      <c r="AU337" s="11"/>
      <c r="AV337" s="11"/>
      <c r="AW337" s="11"/>
      <c r="AX337" s="11"/>
      <c r="AY337" s="11"/>
      <c r="AZ337" s="11"/>
      <c r="BA337" s="11"/>
      <c r="BB337" s="11"/>
      <c r="BC337" s="11"/>
      <c r="BD337" s="11"/>
      <c r="BE337" s="11"/>
      <c r="BF337" s="11"/>
      <c r="BG337" s="11"/>
      <c r="BH337" s="11"/>
      <c r="BI337" s="11"/>
      <c r="BJ337" s="11"/>
      <c r="BK337" s="11"/>
    </row>
    <row r="338" ht="15.75" customHeight="1">
      <c r="A338" s="11"/>
      <c r="B338" s="11"/>
      <c r="C338" s="11"/>
      <c r="D338" s="22" t="s">
        <v>135</v>
      </c>
      <c r="E338" s="26">
        <f>'New Biz Sales'!O102</f>
        <v>262985.6667</v>
      </c>
      <c r="F338" s="26">
        <f>'New Biz Sales'!P102</f>
        <v>335689.6667</v>
      </c>
      <c r="G338" s="26">
        <f>'New Biz Sales'!Q102</f>
        <v>370547.3333</v>
      </c>
      <c r="H338" s="26">
        <f>'New Biz Sales'!R102</f>
        <v>337886.8333</v>
      </c>
      <c r="I338" s="26">
        <f>'New Biz Sales'!S102</f>
        <v>223735.8333</v>
      </c>
      <c r="J338" s="26">
        <f>'New Biz Sales'!T102</f>
        <v>329927.5</v>
      </c>
      <c r="K338" s="26">
        <f>'New Biz Sales'!U102</f>
        <v>306904.1667</v>
      </c>
      <c r="L338" s="26">
        <f>'New Biz Sales'!V102</f>
        <v>262522</v>
      </c>
      <c r="M338" s="26">
        <f>'New Biz Sales'!W102</f>
        <v>404055.6667</v>
      </c>
      <c r="N338" s="26">
        <f>'New Biz Sales'!X102</f>
        <v>224572.8333</v>
      </c>
      <c r="O338" s="26">
        <f>'New Biz Sales'!Y102</f>
        <v>329424.3333</v>
      </c>
      <c r="P338" s="26">
        <f>'New Biz Sales'!Z102</f>
        <v>102841.6667</v>
      </c>
      <c r="Q338" s="26">
        <f>'New Biz Sales'!AA102</f>
        <v>104565.1667</v>
      </c>
      <c r="R338" s="26">
        <f>'New Biz Sales'!AB102</f>
        <v>104565.1667</v>
      </c>
      <c r="S338" s="26">
        <f>'New Biz Sales'!AC102</f>
        <v>104565.1667</v>
      </c>
      <c r="T338" s="26">
        <f>'New Biz Sales'!AD102</f>
        <v>104565.1667</v>
      </c>
      <c r="U338" s="26">
        <f>'New Biz Sales'!AE102</f>
        <v>104565.1667</v>
      </c>
      <c r="V338" s="26">
        <f>'New Biz Sales'!AF102</f>
        <v>106361.3867</v>
      </c>
      <c r="W338" s="26">
        <f>'New Biz Sales'!AG102</f>
        <v>106361.3867</v>
      </c>
      <c r="X338" s="26">
        <f>'New Biz Sales'!AH102</f>
        <v>106361.3867</v>
      </c>
      <c r="Y338" s="26">
        <f>'New Biz Sales'!AI102</f>
        <v>106361.3867</v>
      </c>
      <c r="Z338" s="26">
        <f>'New Biz Sales'!AJ102</f>
        <v>106419.5424</v>
      </c>
      <c r="AA338" s="26">
        <f>'New Biz Sales'!AK102</f>
        <v>106419.5424</v>
      </c>
      <c r="AB338" s="26">
        <f>'New Biz Sales'!AL102</f>
        <v>106419.5424</v>
      </c>
      <c r="AC338" s="11"/>
      <c r="AD338" s="28" t="str">
        <f t="shared" si="468"/>
        <v>Average AOV</v>
      </c>
      <c r="AE338" s="25">
        <f t="shared" si="469"/>
        <v>265223.625</v>
      </c>
      <c r="AF338" s="90">
        <f t="shared" si="470"/>
        <v>104565.1667</v>
      </c>
      <c r="AG338" s="25">
        <f t="shared" si="471"/>
        <v>-160658.4583</v>
      </c>
      <c r="AH338" s="60">
        <f t="shared" si="472"/>
        <v>-0.6057471627</v>
      </c>
      <c r="AI338" s="11"/>
      <c r="AJ338" s="11"/>
      <c r="AK338" s="11"/>
      <c r="AL338" s="25">
        <f t="shared" si="444"/>
        <v>1307109.5</v>
      </c>
      <c r="AM338" s="90">
        <f t="shared" si="445"/>
        <v>1123089.5</v>
      </c>
      <c r="AN338" s="90">
        <f t="shared" si="446"/>
        <v>1060894.5</v>
      </c>
      <c r="AO338" s="25">
        <f t="shared" si="447"/>
        <v>418260.6667</v>
      </c>
      <c r="AP338" s="90">
        <f t="shared" si="448"/>
        <v>423649.3267</v>
      </c>
      <c r="AQ338" s="90">
        <f t="shared" si="449"/>
        <v>425620.0138</v>
      </c>
      <c r="AR338" s="11"/>
      <c r="AS338" s="11"/>
      <c r="AT338" s="11"/>
      <c r="AU338" s="11"/>
      <c r="AV338" s="11"/>
      <c r="AW338" s="11"/>
      <c r="AX338" s="11"/>
      <c r="AY338" s="11"/>
      <c r="AZ338" s="11"/>
      <c r="BA338" s="11"/>
      <c r="BB338" s="11"/>
      <c r="BC338" s="11"/>
      <c r="BD338" s="11"/>
      <c r="BE338" s="11"/>
      <c r="BF338" s="11"/>
      <c r="BG338" s="11"/>
      <c r="BH338" s="11"/>
      <c r="BI338" s="11"/>
      <c r="BJ338" s="11"/>
      <c r="BK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2"/>
      <c r="AF339" s="12"/>
      <c r="AG339" s="12"/>
      <c r="AH339" s="11"/>
      <c r="AI339" s="11"/>
      <c r="AJ339" s="11"/>
      <c r="AK339" s="11"/>
      <c r="AL339" s="16" t="s">
        <v>52</v>
      </c>
      <c r="AM339" s="16" t="s">
        <v>53</v>
      </c>
      <c r="AN339" s="16" t="s">
        <v>48</v>
      </c>
      <c r="AO339" s="17" t="s">
        <v>49</v>
      </c>
      <c r="AP339" s="17" t="s">
        <v>54</v>
      </c>
      <c r="AQ339" s="17" t="s">
        <v>55</v>
      </c>
      <c r="AR339" s="11"/>
      <c r="AS339" s="11"/>
      <c r="AT339" s="11"/>
      <c r="AU339" s="11"/>
      <c r="AV339" s="11"/>
      <c r="AW339" s="11"/>
      <c r="AX339" s="11"/>
      <c r="AY339" s="11"/>
      <c r="AZ339" s="11"/>
      <c r="BA339" s="11"/>
      <c r="BB339" s="11"/>
      <c r="BC339" s="11"/>
      <c r="BD339" s="11"/>
      <c r="BE339" s="11"/>
      <c r="BF339" s="11"/>
      <c r="BG339" s="11"/>
      <c r="BH339" s="11"/>
      <c r="BI339" s="11"/>
      <c r="BJ339" s="11"/>
      <c r="BK339" s="11"/>
    </row>
    <row r="340" ht="15.75" customHeight="1" outlineLevel="1">
      <c r="A340" s="11"/>
      <c r="B340" s="11"/>
      <c r="C340" s="11"/>
      <c r="D340" s="11" t="s">
        <v>129</v>
      </c>
      <c r="E340" s="12">
        <f t="shared" ref="E340:AB340" si="473">E332*E323</f>
        <v>2397490</v>
      </c>
      <c r="F340" s="12">
        <f t="shared" si="473"/>
        <v>1034035</v>
      </c>
      <c r="G340" s="12">
        <f t="shared" si="473"/>
        <v>1641135</v>
      </c>
      <c r="H340" s="12">
        <f t="shared" si="473"/>
        <v>2197765</v>
      </c>
      <c r="I340" s="12">
        <f t="shared" si="473"/>
        <v>745020</v>
      </c>
      <c r="J340" s="12">
        <f t="shared" si="473"/>
        <v>1491725</v>
      </c>
      <c r="K340" s="12">
        <f t="shared" si="473"/>
        <v>540505</v>
      </c>
      <c r="L340" s="12">
        <f t="shared" si="473"/>
        <v>1312950</v>
      </c>
      <c r="M340" s="12">
        <f t="shared" si="473"/>
        <v>2209010</v>
      </c>
      <c r="N340" s="12">
        <f t="shared" si="473"/>
        <v>2319155</v>
      </c>
      <c r="O340" s="12">
        <f t="shared" si="473"/>
        <v>2291290</v>
      </c>
      <c r="P340" s="12">
        <f t="shared" si="473"/>
        <v>618750</v>
      </c>
      <c r="Q340" s="12">
        <f t="shared" si="473"/>
        <v>757350</v>
      </c>
      <c r="R340" s="12">
        <f t="shared" si="473"/>
        <v>833085</v>
      </c>
      <c r="S340" s="12">
        <f t="shared" si="473"/>
        <v>833085</v>
      </c>
      <c r="T340" s="12">
        <f t="shared" si="473"/>
        <v>833085</v>
      </c>
      <c r="U340" s="12">
        <f t="shared" si="473"/>
        <v>833085</v>
      </c>
      <c r="V340" s="12">
        <f t="shared" si="473"/>
        <v>849746.7</v>
      </c>
      <c r="W340" s="12">
        <f t="shared" si="473"/>
        <v>849746.7</v>
      </c>
      <c r="X340" s="12">
        <f t="shared" si="473"/>
        <v>849746.7</v>
      </c>
      <c r="Y340" s="12">
        <f t="shared" si="473"/>
        <v>849746.7</v>
      </c>
      <c r="Z340" s="12">
        <f t="shared" si="473"/>
        <v>815756.832</v>
      </c>
      <c r="AA340" s="12">
        <f t="shared" si="473"/>
        <v>815756.832</v>
      </c>
      <c r="AB340" s="12">
        <f t="shared" si="473"/>
        <v>815756.832</v>
      </c>
      <c r="AC340" s="11"/>
      <c r="AD340" s="11" t="str">
        <f t="shared" ref="AD340:AD346" si="475">D340</f>
        <v>Paid Media </v>
      </c>
      <c r="AE340" s="12">
        <f t="shared" ref="AE340:AE346" si="476">SUM(M340:P340)</f>
        <v>7438205</v>
      </c>
      <c r="AF340" s="12">
        <f t="shared" ref="AF340:AF346" si="477">SUM(Q340:T340)</f>
        <v>3256605</v>
      </c>
      <c r="AG340" s="12">
        <f t="shared" ref="AG340:AG346" si="478">AF340-AE340</f>
        <v>-4181600</v>
      </c>
      <c r="AH340" s="66">
        <f t="shared" ref="AH340:AH346" si="479">AF340/AE340-1</f>
        <v>-0.5621786439</v>
      </c>
      <c r="AI340" s="11"/>
      <c r="AJ340" s="11"/>
      <c r="AK340" s="11"/>
      <c r="AL340" s="12">
        <f t="shared" ref="AL340:AL346" si="480">SUM(E340:H340)</f>
        <v>7270425</v>
      </c>
      <c r="AM340" s="12">
        <f t="shared" ref="AM340:AM346" si="481">SUM(I340:L340)</f>
        <v>4090200</v>
      </c>
      <c r="AN340" s="12">
        <f t="shared" ref="AN340:AN346" si="482">SUM(M340:P340)</f>
        <v>7438205</v>
      </c>
      <c r="AO340" s="12">
        <f t="shared" ref="AO340:AO346" si="483">SUM(Q340:T340)</f>
        <v>3256605</v>
      </c>
      <c r="AP340" s="12">
        <f t="shared" ref="AP340:AP346" si="484">SUM(U340:X340)</f>
        <v>3382325.1</v>
      </c>
      <c r="AQ340" s="12">
        <f t="shared" ref="AQ340:AQ346" si="485">SUM(Y340:AB340)</f>
        <v>3297017.196</v>
      </c>
      <c r="AR340" s="11"/>
      <c r="AS340" s="11"/>
      <c r="AT340" s="11"/>
      <c r="AU340" s="11"/>
      <c r="AV340" s="11"/>
      <c r="AW340" s="11"/>
      <c r="AX340" s="11"/>
      <c r="AY340" s="11"/>
      <c r="AZ340" s="11"/>
      <c r="BA340" s="11"/>
      <c r="BB340" s="11"/>
      <c r="BC340" s="11"/>
      <c r="BD340" s="11"/>
      <c r="BE340" s="11"/>
      <c r="BF340" s="11"/>
      <c r="BG340" s="11"/>
      <c r="BH340" s="11"/>
      <c r="BI340" s="11"/>
      <c r="BJ340" s="11"/>
      <c r="BK340" s="11"/>
    </row>
    <row r="341" ht="15.75" customHeight="1" outlineLevel="1">
      <c r="A341" s="11"/>
      <c r="B341" s="11"/>
      <c r="C341" s="11"/>
      <c r="D341" s="11" t="s">
        <v>85</v>
      </c>
      <c r="E341" s="21">
        <f t="shared" ref="E341:AB341" si="474">E333*E324</f>
        <v>1198595</v>
      </c>
      <c r="F341" s="21">
        <f t="shared" si="474"/>
        <v>2096420</v>
      </c>
      <c r="G341" s="21">
        <f t="shared" si="474"/>
        <v>2484555</v>
      </c>
      <c r="H341" s="21">
        <f t="shared" si="474"/>
        <v>1585445</v>
      </c>
      <c r="I341" s="21">
        <f t="shared" si="474"/>
        <v>1524720</v>
      </c>
      <c r="J341" s="21">
        <f t="shared" si="474"/>
        <v>2198705</v>
      </c>
      <c r="K341" s="21">
        <f t="shared" si="474"/>
        <v>2408270</v>
      </c>
      <c r="L341" s="21">
        <f t="shared" si="474"/>
        <v>1635010</v>
      </c>
      <c r="M341" s="21">
        <f t="shared" si="474"/>
        <v>1868495</v>
      </c>
      <c r="N341" s="21">
        <f t="shared" si="474"/>
        <v>649915</v>
      </c>
      <c r="O341" s="21">
        <f t="shared" si="474"/>
        <v>1230220</v>
      </c>
      <c r="P341" s="21">
        <f t="shared" si="474"/>
        <v>468750</v>
      </c>
      <c r="Q341" s="21">
        <f t="shared" si="474"/>
        <v>573750</v>
      </c>
      <c r="R341" s="21">
        <f t="shared" si="474"/>
        <v>631125</v>
      </c>
      <c r="S341" s="21">
        <f t="shared" si="474"/>
        <v>631125</v>
      </c>
      <c r="T341" s="21">
        <f t="shared" si="474"/>
        <v>631125</v>
      </c>
      <c r="U341" s="21">
        <f t="shared" si="474"/>
        <v>631125</v>
      </c>
      <c r="V341" s="21">
        <f t="shared" si="474"/>
        <v>643747.5</v>
      </c>
      <c r="W341" s="21">
        <f t="shared" si="474"/>
        <v>643747.5</v>
      </c>
      <c r="X341" s="21">
        <f t="shared" si="474"/>
        <v>643747.5</v>
      </c>
      <c r="Y341" s="21">
        <f t="shared" si="474"/>
        <v>643747.5</v>
      </c>
      <c r="Z341" s="21">
        <f t="shared" si="474"/>
        <v>611560.125</v>
      </c>
      <c r="AA341" s="21">
        <f t="shared" si="474"/>
        <v>611560.125</v>
      </c>
      <c r="AB341" s="21">
        <f t="shared" si="474"/>
        <v>611560.125</v>
      </c>
      <c r="AC341" s="11"/>
      <c r="AD341" s="11" t="str">
        <f t="shared" si="475"/>
        <v>SEO</v>
      </c>
      <c r="AE341" s="21">
        <f t="shared" si="476"/>
        <v>4217380</v>
      </c>
      <c r="AF341" s="21">
        <f t="shared" si="477"/>
        <v>2467125</v>
      </c>
      <c r="AG341" s="12">
        <f t="shared" si="478"/>
        <v>-1750255</v>
      </c>
      <c r="AH341" s="66">
        <f t="shared" si="479"/>
        <v>-0.4150100299</v>
      </c>
      <c r="AI341" s="11"/>
      <c r="AJ341" s="11"/>
      <c r="AK341" s="11"/>
      <c r="AL341" s="21">
        <f t="shared" si="480"/>
        <v>7365015</v>
      </c>
      <c r="AM341" s="21">
        <f t="shared" si="481"/>
        <v>7766705</v>
      </c>
      <c r="AN341" s="21">
        <f t="shared" si="482"/>
        <v>4217380</v>
      </c>
      <c r="AO341" s="21">
        <f t="shared" si="483"/>
        <v>2467125</v>
      </c>
      <c r="AP341" s="21">
        <f t="shared" si="484"/>
        <v>2562367.5</v>
      </c>
      <c r="AQ341" s="21">
        <f t="shared" si="485"/>
        <v>2478427.875</v>
      </c>
      <c r="AR341" s="11"/>
      <c r="AS341" s="11"/>
      <c r="AT341" s="11"/>
      <c r="AU341" s="11"/>
      <c r="AV341" s="11"/>
      <c r="AW341" s="11"/>
      <c r="AX341" s="11"/>
      <c r="AY341" s="11"/>
      <c r="AZ341" s="11"/>
      <c r="BA341" s="11"/>
      <c r="BB341" s="11"/>
      <c r="BC341" s="11"/>
      <c r="BD341" s="11"/>
      <c r="BE341" s="11"/>
      <c r="BF341" s="11"/>
      <c r="BG341" s="11"/>
      <c r="BH341" s="11"/>
      <c r="BI341" s="11"/>
      <c r="BJ341" s="11"/>
      <c r="BK341" s="11"/>
    </row>
    <row r="342" ht="15.75" customHeight="1" outlineLevel="1">
      <c r="A342" s="11"/>
      <c r="B342" s="11"/>
      <c r="C342" s="11"/>
      <c r="D342" s="11" t="s">
        <v>130</v>
      </c>
      <c r="E342" s="21">
        <f t="shared" ref="E342:AB342" si="486">E334*E325</f>
        <v>1064095</v>
      </c>
      <c r="F342" s="21">
        <f t="shared" si="486"/>
        <v>2256250</v>
      </c>
      <c r="G342" s="21">
        <f t="shared" si="486"/>
        <v>2466020</v>
      </c>
      <c r="H342" s="21">
        <f t="shared" si="486"/>
        <v>1422050</v>
      </c>
      <c r="I342" s="21">
        <f t="shared" si="486"/>
        <v>972340</v>
      </c>
      <c r="J342" s="21">
        <f t="shared" si="486"/>
        <v>1111085</v>
      </c>
      <c r="K342" s="21">
        <f t="shared" si="486"/>
        <v>897075</v>
      </c>
      <c r="L342" s="21">
        <f t="shared" si="486"/>
        <v>1428035</v>
      </c>
      <c r="M342" s="21">
        <f t="shared" si="486"/>
        <v>2077975</v>
      </c>
      <c r="N342" s="21">
        <f t="shared" si="486"/>
        <v>704765</v>
      </c>
      <c r="O342" s="21">
        <f t="shared" si="486"/>
        <v>947750</v>
      </c>
      <c r="P342" s="21">
        <f t="shared" si="486"/>
        <v>710812.5</v>
      </c>
      <c r="Q342" s="21">
        <f t="shared" si="486"/>
        <v>870034.5</v>
      </c>
      <c r="R342" s="21">
        <f t="shared" si="486"/>
        <v>957037.95</v>
      </c>
      <c r="S342" s="21">
        <f t="shared" si="486"/>
        <v>957037.95</v>
      </c>
      <c r="T342" s="21">
        <f t="shared" si="486"/>
        <v>957037.95</v>
      </c>
      <c r="U342" s="21">
        <f t="shared" si="486"/>
        <v>957037.95</v>
      </c>
      <c r="V342" s="21">
        <f t="shared" si="486"/>
        <v>976178.709</v>
      </c>
      <c r="W342" s="21">
        <f t="shared" si="486"/>
        <v>976178.709</v>
      </c>
      <c r="X342" s="21">
        <f t="shared" si="486"/>
        <v>976178.709</v>
      </c>
      <c r="Y342" s="21">
        <f t="shared" si="486"/>
        <v>976178.709</v>
      </c>
      <c r="Z342" s="21">
        <f t="shared" si="486"/>
        <v>927369.7736</v>
      </c>
      <c r="AA342" s="21">
        <f t="shared" si="486"/>
        <v>927369.7736</v>
      </c>
      <c r="AB342" s="21">
        <f t="shared" si="486"/>
        <v>927369.7736</v>
      </c>
      <c r="AC342" s="11"/>
      <c r="AD342" s="11" t="str">
        <f t="shared" si="475"/>
        <v>PCS</v>
      </c>
      <c r="AE342" s="21">
        <f t="shared" si="476"/>
        <v>4441302.5</v>
      </c>
      <c r="AF342" s="21">
        <f t="shared" si="477"/>
        <v>3741148.35</v>
      </c>
      <c r="AG342" s="12">
        <f t="shared" si="478"/>
        <v>-700154.15</v>
      </c>
      <c r="AH342" s="66">
        <f t="shared" si="479"/>
        <v>-0.1576461297</v>
      </c>
      <c r="AI342" s="11"/>
      <c r="AJ342" s="11"/>
      <c r="AK342" s="11"/>
      <c r="AL342" s="21">
        <f t="shared" si="480"/>
        <v>7208415</v>
      </c>
      <c r="AM342" s="21">
        <f t="shared" si="481"/>
        <v>4408535</v>
      </c>
      <c r="AN342" s="21">
        <f t="shared" si="482"/>
        <v>4441302.5</v>
      </c>
      <c r="AO342" s="21">
        <f t="shared" si="483"/>
        <v>3741148.35</v>
      </c>
      <c r="AP342" s="21">
        <f t="shared" si="484"/>
        <v>3885574.077</v>
      </c>
      <c r="AQ342" s="21">
        <f t="shared" si="485"/>
        <v>3758288.03</v>
      </c>
      <c r="AR342" s="11"/>
      <c r="AS342" s="11"/>
      <c r="AT342" s="11"/>
      <c r="AU342" s="11"/>
      <c r="AV342" s="11"/>
      <c r="AW342" s="11"/>
      <c r="AX342" s="11"/>
      <c r="AY342" s="11"/>
      <c r="AZ342" s="11"/>
      <c r="BA342" s="11"/>
      <c r="BB342" s="11"/>
      <c r="BC342" s="11"/>
      <c r="BD342" s="11"/>
      <c r="BE342" s="11"/>
      <c r="BF342" s="11"/>
      <c r="BG342" s="11"/>
      <c r="BH342" s="11"/>
      <c r="BI342" s="11"/>
      <c r="BJ342" s="11"/>
      <c r="BK342" s="11"/>
    </row>
    <row r="343" ht="15.75" customHeight="1" outlineLevel="1">
      <c r="A343" s="11"/>
      <c r="B343" s="11"/>
      <c r="C343" s="11"/>
      <c r="D343" s="11" t="s">
        <v>89</v>
      </c>
      <c r="E343" s="21">
        <f t="shared" ref="E343:AB343" si="487">E335*E326</f>
        <v>1042540</v>
      </c>
      <c r="F343" s="21">
        <f t="shared" si="487"/>
        <v>1647290</v>
      </c>
      <c r="G343" s="21">
        <f t="shared" si="487"/>
        <v>2160945</v>
      </c>
      <c r="H343" s="21">
        <f t="shared" si="487"/>
        <v>2122765</v>
      </c>
      <c r="I343" s="21">
        <f t="shared" si="487"/>
        <v>543295</v>
      </c>
      <c r="J343" s="21">
        <f t="shared" si="487"/>
        <v>2328300</v>
      </c>
      <c r="K343" s="21">
        <f t="shared" si="487"/>
        <v>1489955</v>
      </c>
      <c r="L343" s="21">
        <f t="shared" si="487"/>
        <v>1117955</v>
      </c>
      <c r="M343" s="21">
        <f t="shared" si="487"/>
        <v>1964285</v>
      </c>
      <c r="N343" s="21">
        <f t="shared" si="487"/>
        <v>1341325</v>
      </c>
      <c r="O343" s="21">
        <f t="shared" si="487"/>
        <v>1625970</v>
      </c>
      <c r="P343" s="21">
        <f t="shared" si="487"/>
        <v>84375</v>
      </c>
      <c r="Q343" s="21">
        <f t="shared" si="487"/>
        <v>103275</v>
      </c>
      <c r="R343" s="21">
        <f t="shared" si="487"/>
        <v>113602.5</v>
      </c>
      <c r="S343" s="21">
        <f t="shared" si="487"/>
        <v>113602.5</v>
      </c>
      <c r="T343" s="21">
        <f t="shared" si="487"/>
        <v>113602.5</v>
      </c>
      <c r="U343" s="21">
        <f t="shared" si="487"/>
        <v>113602.5</v>
      </c>
      <c r="V343" s="21">
        <f t="shared" si="487"/>
        <v>117010.575</v>
      </c>
      <c r="W343" s="21">
        <f t="shared" si="487"/>
        <v>117010.575</v>
      </c>
      <c r="X343" s="21">
        <f t="shared" si="487"/>
        <v>117010.575</v>
      </c>
      <c r="Y343" s="21">
        <f t="shared" si="487"/>
        <v>117010.575</v>
      </c>
      <c r="Z343" s="21">
        <f t="shared" si="487"/>
        <v>111160.0463</v>
      </c>
      <c r="AA343" s="21">
        <f t="shared" si="487"/>
        <v>111160.0463</v>
      </c>
      <c r="AB343" s="21">
        <f t="shared" si="487"/>
        <v>111160.0463</v>
      </c>
      <c r="AC343" s="11"/>
      <c r="AD343" s="11" t="str">
        <f t="shared" si="475"/>
        <v>Video</v>
      </c>
      <c r="AE343" s="21">
        <f t="shared" si="476"/>
        <v>5015955</v>
      </c>
      <c r="AF343" s="21">
        <f t="shared" si="477"/>
        <v>444082.5</v>
      </c>
      <c r="AG343" s="12">
        <f t="shared" si="478"/>
        <v>-4571872.5</v>
      </c>
      <c r="AH343" s="66">
        <f t="shared" si="479"/>
        <v>-0.911466012</v>
      </c>
      <c r="AI343" s="11"/>
      <c r="AJ343" s="11"/>
      <c r="AK343" s="11"/>
      <c r="AL343" s="21">
        <f t="shared" si="480"/>
        <v>6973540</v>
      </c>
      <c r="AM343" s="21">
        <f t="shared" si="481"/>
        <v>5479505</v>
      </c>
      <c r="AN343" s="21">
        <f t="shared" si="482"/>
        <v>5015955</v>
      </c>
      <c r="AO343" s="21">
        <f t="shared" si="483"/>
        <v>444082.5</v>
      </c>
      <c r="AP343" s="21">
        <f t="shared" si="484"/>
        <v>464634.225</v>
      </c>
      <c r="AQ343" s="21">
        <f t="shared" si="485"/>
        <v>450490.7138</v>
      </c>
      <c r="AR343" s="11"/>
      <c r="AS343" s="11"/>
      <c r="AT343" s="11"/>
      <c r="AU343" s="11"/>
      <c r="AV343" s="11"/>
      <c r="AW343" s="11"/>
      <c r="AX343" s="11"/>
      <c r="AY343" s="11"/>
      <c r="AZ343" s="11"/>
      <c r="BA343" s="11"/>
      <c r="BB343" s="11"/>
      <c r="BC343" s="11"/>
      <c r="BD343" s="11"/>
      <c r="BE343" s="11"/>
      <c r="BF343" s="11"/>
      <c r="BG343" s="11"/>
      <c r="BH343" s="11"/>
      <c r="BI343" s="11"/>
      <c r="BJ343" s="11"/>
      <c r="BK343" s="11"/>
    </row>
    <row r="344" ht="15.75" customHeight="1" outlineLevel="1">
      <c r="A344" s="11"/>
      <c r="B344" s="11"/>
      <c r="C344" s="11"/>
      <c r="D344" s="11" t="s">
        <v>94</v>
      </c>
      <c r="E344" s="21">
        <f t="shared" ref="E344:AB344" si="488">E336*E327</f>
        <v>1377930</v>
      </c>
      <c r="F344" s="21">
        <f t="shared" si="488"/>
        <v>1163105</v>
      </c>
      <c r="G344" s="21">
        <f t="shared" si="488"/>
        <v>1283005</v>
      </c>
      <c r="H344" s="21">
        <f t="shared" si="488"/>
        <v>1978870</v>
      </c>
      <c r="I344" s="21">
        <f t="shared" si="488"/>
        <v>2290285</v>
      </c>
      <c r="J344" s="21">
        <f t="shared" si="488"/>
        <v>1921705</v>
      </c>
      <c r="K344" s="21">
        <f t="shared" si="488"/>
        <v>1497040</v>
      </c>
      <c r="L344" s="21">
        <f t="shared" si="488"/>
        <v>928430</v>
      </c>
      <c r="M344" s="21">
        <f t="shared" si="488"/>
        <v>1599830</v>
      </c>
      <c r="N344" s="21">
        <f t="shared" si="488"/>
        <v>722375</v>
      </c>
      <c r="O344" s="21">
        <f t="shared" si="488"/>
        <v>1793500</v>
      </c>
      <c r="P344" s="21">
        <f t="shared" si="488"/>
        <v>56250</v>
      </c>
      <c r="Q344" s="21">
        <f t="shared" si="488"/>
        <v>68850</v>
      </c>
      <c r="R344" s="21">
        <f t="shared" si="488"/>
        <v>75735</v>
      </c>
      <c r="S344" s="21">
        <f t="shared" si="488"/>
        <v>75735</v>
      </c>
      <c r="T344" s="21">
        <f t="shared" si="488"/>
        <v>75735</v>
      </c>
      <c r="U344" s="21">
        <f t="shared" si="488"/>
        <v>75735</v>
      </c>
      <c r="V344" s="21">
        <f t="shared" si="488"/>
        <v>77249.7</v>
      </c>
      <c r="W344" s="21">
        <f t="shared" si="488"/>
        <v>77249.7</v>
      </c>
      <c r="X344" s="21">
        <f t="shared" si="488"/>
        <v>77249.7</v>
      </c>
      <c r="Y344" s="21">
        <f t="shared" si="488"/>
        <v>77249.7</v>
      </c>
      <c r="Z344" s="21">
        <f t="shared" si="488"/>
        <v>73387.215</v>
      </c>
      <c r="AA344" s="21">
        <f t="shared" si="488"/>
        <v>73387.215</v>
      </c>
      <c r="AB344" s="21">
        <f t="shared" si="488"/>
        <v>73387.215</v>
      </c>
      <c r="AC344" s="11"/>
      <c r="AD344" s="11" t="str">
        <f t="shared" si="475"/>
        <v>Rev Ops</v>
      </c>
      <c r="AE344" s="21">
        <f t="shared" si="476"/>
        <v>4171955</v>
      </c>
      <c r="AF344" s="21">
        <f t="shared" si="477"/>
        <v>296055</v>
      </c>
      <c r="AG344" s="12">
        <f t="shared" si="478"/>
        <v>-3875900</v>
      </c>
      <c r="AH344" s="66">
        <f t="shared" si="479"/>
        <v>-0.9290368664</v>
      </c>
      <c r="AI344" s="11"/>
      <c r="AJ344" s="11"/>
      <c r="AK344" s="11"/>
      <c r="AL344" s="21">
        <f t="shared" si="480"/>
        <v>5802910</v>
      </c>
      <c r="AM344" s="21">
        <f t="shared" si="481"/>
        <v>6637460</v>
      </c>
      <c r="AN344" s="21">
        <f t="shared" si="482"/>
        <v>4171955</v>
      </c>
      <c r="AO344" s="21">
        <f t="shared" si="483"/>
        <v>296055</v>
      </c>
      <c r="AP344" s="21">
        <f t="shared" si="484"/>
        <v>307484.1</v>
      </c>
      <c r="AQ344" s="21">
        <f t="shared" si="485"/>
        <v>297411.345</v>
      </c>
      <c r="AR344" s="11"/>
      <c r="AS344" s="11"/>
      <c r="AT344" s="11"/>
      <c r="AU344" s="11"/>
      <c r="AV344" s="11"/>
      <c r="AW344" s="11"/>
      <c r="AX344" s="11"/>
      <c r="AY344" s="11"/>
      <c r="AZ344" s="11"/>
      <c r="BA344" s="11"/>
      <c r="BB344" s="11"/>
      <c r="BC344" s="11"/>
      <c r="BD344" s="11"/>
      <c r="BE344" s="11"/>
      <c r="BF344" s="11"/>
      <c r="BG344" s="11"/>
      <c r="BH344" s="11"/>
      <c r="BI344" s="11"/>
      <c r="BJ344" s="11"/>
      <c r="BK344" s="11"/>
    </row>
    <row r="345" ht="15.75" customHeight="1" outlineLevel="1">
      <c r="A345" s="11"/>
      <c r="B345" s="11"/>
      <c r="C345" s="11"/>
      <c r="D345" s="11" t="s">
        <v>96</v>
      </c>
      <c r="E345" s="21">
        <f t="shared" ref="E345:AB345" si="489">E337*E328</f>
        <v>808920</v>
      </c>
      <c r="F345" s="21">
        <f t="shared" si="489"/>
        <v>1873590</v>
      </c>
      <c r="G345" s="21">
        <f t="shared" si="489"/>
        <v>1080760</v>
      </c>
      <c r="H345" s="21">
        <f t="shared" si="489"/>
        <v>829710</v>
      </c>
      <c r="I345" s="21">
        <f t="shared" si="489"/>
        <v>636415</v>
      </c>
      <c r="J345" s="21">
        <f t="shared" si="489"/>
        <v>846305</v>
      </c>
      <c r="K345" s="21">
        <f t="shared" si="489"/>
        <v>2374280</v>
      </c>
      <c r="L345" s="21">
        <f t="shared" si="489"/>
        <v>1453280</v>
      </c>
      <c r="M345" s="21">
        <f t="shared" si="489"/>
        <v>2402075</v>
      </c>
      <c r="N345" s="21">
        <f t="shared" si="489"/>
        <v>999650</v>
      </c>
      <c r="O345" s="21">
        <f t="shared" si="489"/>
        <v>1994000</v>
      </c>
      <c r="P345" s="21">
        <f t="shared" si="489"/>
        <v>375000</v>
      </c>
      <c r="Q345" s="21">
        <f t="shared" si="489"/>
        <v>450000</v>
      </c>
      <c r="R345" s="21">
        <f t="shared" si="489"/>
        <v>495000</v>
      </c>
      <c r="S345" s="21">
        <f t="shared" si="489"/>
        <v>495000</v>
      </c>
      <c r="T345" s="21">
        <f t="shared" si="489"/>
        <v>495000</v>
      </c>
      <c r="U345" s="21">
        <f t="shared" si="489"/>
        <v>495000</v>
      </c>
      <c r="V345" s="21">
        <f t="shared" si="489"/>
        <v>495000</v>
      </c>
      <c r="W345" s="21">
        <f t="shared" si="489"/>
        <v>495000</v>
      </c>
      <c r="X345" s="21">
        <f t="shared" si="489"/>
        <v>495000</v>
      </c>
      <c r="Y345" s="21">
        <f t="shared" si="489"/>
        <v>495000</v>
      </c>
      <c r="Z345" s="21">
        <f t="shared" si="489"/>
        <v>495000</v>
      </c>
      <c r="AA345" s="21">
        <f t="shared" si="489"/>
        <v>495000</v>
      </c>
      <c r="AB345" s="21">
        <f t="shared" si="489"/>
        <v>495000</v>
      </c>
      <c r="AC345" s="11"/>
      <c r="AD345" s="11" t="str">
        <f t="shared" si="475"/>
        <v>Strategy</v>
      </c>
      <c r="AE345" s="21">
        <f t="shared" si="476"/>
        <v>5770725</v>
      </c>
      <c r="AF345" s="21">
        <f t="shared" si="477"/>
        <v>1935000</v>
      </c>
      <c r="AG345" s="12">
        <f t="shared" si="478"/>
        <v>-3835725</v>
      </c>
      <c r="AH345" s="66">
        <f t="shared" si="479"/>
        <v>-0.6646868461</v>
      </c>
      <c r="AI345" s="11"/>
      <c r="AJ345" s="11"/>
      <c r="AK345" s="11"/>
      <c r="AL345" s="21">
        <f t="shared" si="480"/>
        <v>4592980</v>
      </c>
      <c r="AM345" s="21">
        <f t="shared" si="481"/>
        <v>5310280</v>
      </c>
      <c r="AN345" s="21">
        <f t="shared" si="482"/>
        <v>5770725</v>
      </c>
      <c r="AO345" s="21">
        <f t="shared" si="483"/>
        <v>1935000</v>
      </c>
      <c r="AP345" s="21">
        <f t="shared" si="484"/>
        <v>1980000</v>
      </c>
      <c r="AQ345" s="21">
        <f t="shared" si="485"/>
        <v>1980000</v>
      </c>
      <c r="AR345" s="11"/>
      <c r="AS345" s="11"/>
      <c r="AT345" s="11"/>
      <c r="AU345" s="11"/>
      <c r="AV345" s="11"/>
      <c r="AW345" s="11"/>
      <c r="AX345" s="11"/>
      <c r="AY345" s="11"/>
      <c r="AZ345" s="11"/>
      <c r="BA345" s="11"/>
      <c r="BB345" s="11"/>
      <c r="BC345" s="11"/>
      <c r="BD345" s="11"/>
      <c r="BE345" s="11"/>
      <c r="BF345" s="11"/>
      <c r="BG345" s="11"/>
      <c r="BH345" s="11"/>
      <c r="BI345" s="11"/>
      <c r="BJ345" s="11"/>
      <c r="BK345" s="11"/>
    </row>
    <row r="346" ht="15.75" customHeight="1">
      <c r="A346" s="11"/>
      <c r="B346" s="11"/>
      <c r="C346" s="11"/>
      <c r="D346" s="22" t="s">
        <v>136</v>
      </c>
      <c r="E346" s="26">
        <f t="shared" ref="E346:AB346" si="490">E329*E338</f>
        <v>7889570</v>
      </c>
      <c r="F346" s="26">
        <f t="shared" si="490"/>
        <v>10070690</v>
      </c>
      <c r="G346" s="26">
        <f t="shared" si="490"/>
        <v>11116420</v>
      </c>
      <c r="H346" s="26">
        <f t="shared" si="490"/>
        <v>10136605</v>
      </c>
      <c r="I346" s="26">
        <f t="shared" si="490"/>
        <v>6712075</v>
      </c>
      <c r="J346" s="26">
        <f t="shared" si="490"/>
        <v>9897825</v>
      </c>
      <c r="K346" s="26">
        <f t="shared" si="490"/>
        <v>9207125</v>
      </c>
      <c r="L346" s="26">
        <f t="shared" si="490"/>
        <v>7875660</v>
      </c>
      <c r="M346" s="26">
        <f t="shared" si="490"/>
        <v>12121670</v>
      </c>
      <c r="N346" s="26">
        <f t="shared" si="490"/>
        <v>6737185</v>
      </c>
      <c r="O346" s="26">
        <f t="shared" si="490"/>
        <v>9882730</v>
      </c>
      <c r="P346" s="26">
        <f t="shared" si="490"/>
        <v>2313937.5</v>
      </c>
      <c r="Q346" s="26">
        <f t="shared" si="490"/>
        <v>2823259.5</v>
      </c>
      <c r="R346" s="26">
        <f t="shared" si="490"/>
        <v>3105585.45</v>
      </c>
      <c r="S346" s="26">
        <f t="shared" si="490"/>
        <v>3105585.45</v>
      </c>
      <c r="T346" s="26">
        <f t="shared" si="490"/>
        <v>3105585.45</v>
      </c>
      <c r="U346" s="26">
        <f t="shared" si="490"/>
        <v>3105585.45</v>
      </c>
      <c r="V346" s="26">
        <f t="shared" si="490"/>
        <v>3158933.184</v>
      </c>
      <c r="W346" s="26">
        <f t="shared" si="490"/>
        <v>3158933.184</v>
      </c>
      <c r="X346" s="26">
        <f t="shared" si="490"/>
        <v>3158933.184</v>
      </c>
      <c r="Y346" s="26">
        <f t="shared" si="490"/>
        <v>3158933.184</v>
      </c>
      <c r="Z346" s="26">
        <f t="shared" si="490"/>
        <v>3034233.992</v>
      </c>
      <c r="AA346" s="26">
        <f t="shared" si="490"/>
        <v>3034233.992</v>
      </c>
      <c r="AB346" s="26">
        <f t="shared" si="490"/>
        <v>3034233.992</v>
      </c>
      <c r="AC346" s="11"/>
      <c r="AD346" s="28" t="str">
        <f t="shared" si="475"/>
        <v>Total New Biz Domestic Sales Bookings</v>
      </c>
      <c r="AE346" s="25">
        <f t="shared" si="476"/>
        <v>31055522.5</v>
      </c>
      <c r="AF346" s="25">
        <f t="shared" si="477"/>
        <v>12140015.85</v>
      </c>
      <c r="AG346" s="25">
        <f t="shared" si="478"/>
        <v>-18915506.65</v>
      </c>
      <c r="AH346" s="60">
        <f t="shared" si="479"/>
        <v>-0.6090867301</v>
      </c>
      <c r="AI346" s="11"/>
      <c r="AJ346" s="11"/>
      <c r="AK346" s="11"/>
      <c r="AL346" s="25">
        <f t="shared" si="480"/>
        <v>39213285</v>
      </c>
      <c r="AM346" s="25">
        <f t="shared" si="481"/>
        <v>33692685</v>
      </c>
      <c r="AN346" s="25">
        <f t="shared" si="482"/>
        <v>31055522.5</v>
      </c>
      <c r="AO346" s="25">
        <f t="shared" si="483"/>
        <v>12140015.85</v>
      </c>
      <c r="AP346" s="25">
        <f t="shared" si="484"/>
        <v>12582385</v>
      </c>
      <c r="AQ346" s="25">
        <f t="shared" si="485"/>
        <v>12261635.16</v>
      </c>
      <c r="AR346" s="11"/>
      <c r="AS346" s="11"/>
      <c r="AT346" s="11"/>
      <c r="AU346" s="11"/>
      <c r="AV346" s="11"/>
      <c r="AW346" s="11"/>
      <c r="AX346" s="11"/>
      <c r="AY346" s="11"/>
      <c r="AZ346" s="11"/>
      <c r="BA346" s="11"/>
      <c r="BB346" s="11"/>
      <c r="BC346" s="11"/>
      <c r="BD346" s="11"/>
      <c r="BE346" s="11"/>
      <c r="BF346" s="11"/>
      <c r="BG346" s="11"/>
      <c r="BH346" s="11"/>
      <c r="BI346" s="11"/>
      <c r="BJ346" s="11"/>
      <c r="BK346" s="11"/>
    </row>
    <row r="347" ht="15.75" customHeight="1">
      <c r="A347" s="11"/>
      <c r="B347" s="11"/>
      <c r="C347" s="11"/>
      <c r="D347" s="11"/>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1"/>
      <c r="AD347" s="11"/>
      <c r="AE347" s="12"/>
      <c r="AF347" s="12"/>
      <c r="AG347" s="12"/>
      <c r="AH347" s="11"/>
      <c r="AI347" s="11"/>
      <c r="AJ347" s="11"/>
      <c r="AK347" s="11"/>
      <c r="AL347" s="16" t="s">
        <v>52</v>
      </c>
      <c r="AM347" s="16" t="s">
        <v>53</v>
      </c>
      <c r="AN347" s="16" t="s">
        <v>48</v>
      </c>
      <c r="AO347" s="17" t="s">
        <v>49</v>
      </c>
      <c r="AP347" s="17" t="s">
        <v>54</v>
      </c>
      <c r="AQ347" s="17" t="s">
        <v>55</v>
      </c>
      <c r="AR347" s="11"/>
      <c r="AS347" s="11"/>
      <c r="AT347" s="11"/>
      <c r="AU347" s="11"/>
      <c r="AV347" s="11"/>
      <c r="AW347" s="11"/>
      <c r="AX347" s="11"/>
      <c r="AY347" s="11"/>
      <c r="AZ347" s="11"/>
      <c r="BA347" s="11"/>
      <c r="BB347" s="11"/>
      <c r="BC347" s="11"/>
      <c r="BD347" s="11"/>
      <c r="BE347" s="11"/>
      <c r="BF347" s="11"/>
      <c r="BG347" s="11"/>
      <c r="BH347" s="11"/>
      <c r="BI347" s="11"/>
      <c r="BJ347" s="11"/>
      <c r="BK347" s="11"/>
    </row>
    <row r="348" ht="15.75" customHeight="1" outlineLevel="1">
      <c r="A348" s="11"/>
      <c r="B348" s="11"/>
      <c r="C348" s="11"/>
      <c r="D348" s="11" t="s">
        <v>129</v>
      </c>
      <c r="E348" s="12">
        <f>'Portfolio Sales'!E57</f>
        <v>120000</v>
      </c>
      <c r="F348" s="12">
        <f>'Portfolio Sales'!F57</f>
        <v>120000</v>
      </c>
      <c r="G348" s="12">
        <f>'Portfolio Sales'!G57</f>
        <v>168000</v>
      </c>
      <c r="H348" s="12">
        <f>'Portfolio Sales'!H57</f>
        <v>166900</v>
      </c>
      <c r="I348" s="12">
        <f>'Portfolio Sales'!I57</f>
        <v>748000</v>
      </c>
      <c r="J348" s="12">
        <f>'Portfolio Sales'!J57</f>
        <v>247000</v>
      </c>
      <c r="K348" s="12">
        <f>'Portfolio Sales'!K57</f>
        <v>120000</v>
      </c>
      <c r="L348" s="12">
        <f>'Portfolio Sales'!L57</f>
        <v>931000</v>
      </c>
      <c r="M348" s="12">
        <f>'Portfolio Sales'!M57</f>
        <v>0</v>
      </c>
      <c r="N348" s="12">
        <f>'Portfolio Sales'!N57</f>
        <v>246000</v>
      </c>
      <c r="O348" s="12">
        <f>'Portfolio Sales'!O57</f>
        <v>530000</v>
      </c>
      <c r="P348" s="12">
        <f>'Portfolio Sales'!P57</f>
        <v>270565.3706</v>
      </c>
      <c r="Q348" s="12">
        <f>'Portfolio Sales'!Q57</f>
        <v>287910.6199</v>
      </c>
      <c r="R348" s="12">
        <f>'Portfolio Sales'!R57</f>
        <v>344392.6794</v>
      </c>
      <c r="S348" s="12">
        <f>'Portfolio Sales'!S57</f>
        <v>408482.396</v>
      </c>
      <c r="T348" s="12">
        <f>'Portfolio Sales'!T57</f>
        <v>453684.2236</v>
      </c>
      <c r="U348" s="12">
        <f>'Portfolio Sales'!U57</f>
        <v>510494.3008</v>
      </c>
      <c r="V348" s="12">
        <f>'Portfolio Sales'!V57</f>
        <v>533755.3453</v>
      </c>
      <c r="W348" s="12">
        <f>'Portfolio Sales'!W57</f>
        <v>544797.3063</v>
      </c>
      <c r="X348" s="12">
        <f>'Portfolio Sales'!X57</f>
        <v>555006.9829</v>
      </c>
      <c r="Y348" s="12">
        <f>'Portfolio Sales'!Y57</f>
        <v>593067.8147</v>
      </c>
      <c r="Z348" s="12">
        <f>'Portfolio Sales'!Z57</f>
        <v>603306.594</v>
      </c>
      <c r="AA348" s="12">
        <f>'Portfolio Sales'!AA57</f>
        <v>625504.8996</v>
      </c>
      <c r="AB348" s="12">
        <f>'Portfolio Sales'!AB57</f>
        <v>655736.2498</v>
      </c>
      <c r="AC348" s="11"/>
      <c r="AD348" s="11" t="str">
        <f t="shared" ref="AD348:AD356" si="491">D348</f>
        <v>Paid Media </v>
      </c>
      <c r="AE348" s="12">
        <f t="shared" ref="AE348:AE354" si="492">SUM(M348:P348)</f>
        <v>1046565.371</v>
      </c>
      <c r="AF348" s="12">
        <f t="shared" ref="AF348:AF354" si="493">SUM(Q348:T348)</f>
        <v>1494469.919</v>
      </c>
      <c r="AG348" s="12">
        <f t="shared" ref="AG348:AG354" si="494">AF348-AE348</f>
        <v>447904.5483</v>
      </c>
      <c r="AH348" s="66">
        <f t="shared" ref="AH348:AH354" si="495">AF348/AE348-1</f>
        <v>0.4279757011</v>
      </c>
      <c r="AI348" s="11"/>
      <c r="AJ348" s="11"/>
      <c r="AK348" s="11"/>
      <c r="AL348" s="12">
        <f t="shared" ref="AL348:AL354" si="496">SUM(E348:H348)</f>
        <v>574900</v>
      </c>
      <c r="AM348" s="12">
        <f t="shared" ref="AM348:AM354" si="497">SUM(I348:L348)</f>
        <v>2046000</v>
      </c>
      <c r="AN348" s="12">
        <f t="shared" ref="AN348:AN354" si="498">SUM(M348:P348)</f>
        <v>1046565.371</v>
      </c>
      <c r="AO348" s="12">
        <f t="shared" ref="AO348:AO354" si="499">SUM(Q348:T348)</f>
        <v>1494469.919</v>
      </c>
      <c r="AP348" s="12">
        <f t="shared" ref="AP348:AP354" si="500">SUM(U348:X348)</f>
        <v>2144053.935</v>
      </c>
      <c r="AQ348" s="12">
        <f t="shared" ref="AQ348:AQ354" si="501">SUM(Y348:AB348)</f>
        <v>2477615.558</v>
      </c>
      <c r="AR348" s="11"/>
      <c r="AS348" s="11"/>
      <c r="AT348" s="11"/>
      <c r="AU348" s="11"/>
      <c r="AV348" s="11"/>
      <c r="AW348" s="11"/>
      <c r="AX348" s="11"/>
      <c r="AY348" s="11"/>
      <c r="AZ348" s="11"/>
      <c r="BA348" s="11"/>
      <c r="BB348" s="11"/>
      <c r="BC348" s="11"/>
      <c r="BD348" s="11"/>
      <c r="BE348" s="11"/>
      <c r="BF348" s="11"/>
      <c r="BG348" s="11"/>
      <c r="BH348" s="11"/>
      <c r="BI348" s="11"/>
      <c r="BJ348" s="11"/>
      <c r="BK348" s="11"/>
    </row>
    <row r="349" ht="15.75" customHeight="1" outlineLevel="1">
      <c r="A349" s="11"/>
      <c r="B349" s="11"/>
      <c r="C349" s="11"/>
      <c r="D349" s="11" t="s">
        <v>85</v>
      </c>
      <c r="E349" s="12">
        <f>'Portfolio Sales'!E58</f>
        <v>120000</v>
      </c>
      <c r="F349" s="12">
        <f>'Portfolio Sales'!F58</f>
        <v>187000</v>
      </c>
      <c r="G349" s="12">
        <f>'Portfolio Sales'!G58</f>
        <v>21750</v>
      </c>
      <c r="H349" s="12">
        <f>'Portfolio Sales'!H58</f>
        <v>423400</v>
      </c>
      <c r="I349" s="12">
        <f>'Portfolio Sales'!I58</f>
        <v>154500</v>
      </c>
      <c r="J349" s="12">
        <f>'Portfolio Sales'!J58</f>
        <v>112500</v>
      </c>
      <c r="K349" s="12">
        <f>'Portfolio Sales'!K58</f>
        <v>216500</v>
      </c>
      <c r="L349" s="12">
        <f>'Portfolio Sales'!L58</f>
        <v>31000</v>
      </c>
      <c r="M349" s="12">
        <f>'Portfolio Sales'!M58</f>
        <v>144000</v>
      </c>
      <c r="N349" s="12">
        <f>'Portfolio Sales'!N58</f>
        <v>0</v>
      </c>
      <c r="O349" s="12">
        <f>'Portfolio Sales'!O58</f>
        <v>254166</v>
      </c>
      <c r="P349" s="12">
        <f>'Portfolio Sales'!P58</f>
        <v>199703.0117</v>
      </c>
      <c r="Q349" s="12">
        <f>'Portfolio Sales'!Q58</f>
        <v>230328.4959</v>
      </c>
      <c r="R349" s="12">
        <f>'Portfolio Sales'!R58</f>
        <v>284123.9605</v>
      </c>
      <c r="S349" s="12">
        <f>'Portfolio Sales'!S58</f>
        <v>345638.9504</v>
      </c>
      <c r="T349" s="12">
        <f>'Portfolio Sales'!T58</f>
        <v>393988.931</v>
      </c>
      <c r="U349" s="12">
        <f>'Portfolio Sales'!U58</f>
        <v>423336.7373</v>
      </c>
      <c r="V349" s="12">
        <f>'Portfolio Sales'!V58</f>
        <v>419379.1998</v>
      </c>
      <c r="W349" s="12">
        <f>'Portfolio Sales'!W58</f>
        <v>441026.3908</v>
      </c>
      <c r="X349" s="12">
        <f>'Portfolio Sales'!X58</f>
        <v>449291.3671</v>
      </c>
      <c r="Y349" s="12">
        <f>'Portfolio Sales'!Y58</f>
        <v>465981.8544</v>
      </c>
      <c r="Z349" s="12">
        <f>'Portfolio Sales'!Z58</f>
        <v>485588.2342</v>
      </c>
      <c r="AA349" s="12">
        <f>'Portfolio Sales'!AA58</f>
        <v>503455.1631</v>
      </c>
      <c r="AB349" s="12">
        <f>'Portfolio Sales'!AB58</f>
        <v>527787.7133</v>
      </c>
      <c r="AC349" s="11"/>
      <c r="AD349" s="11" t="str">
        <f t="shared" si="491"/>
        <v>SEO</v>
      </c>
      <c r="AE349" s="21">
        <f t="shared" si="492"/>
        <v>597869.0117</v>
      </c>
      <c r="AF349" s="21">
        <f t="shared" si="493"/>
        <v>1254080.338</v>
      </c>
      <c r="AG349" s="12">
        <f t="shared" si="494"/>
        <v>656211.3263</v>
      </c>
      <c r="AH349" s="66">
        <f t="shared" si="495"/>
        <v>1.097583774</v>
      </c>
      <c r="AI349" s="11"/>
      <c r="AJ349" s="11"/>
      <c r="AK349" s="11"/>
      <c r="AL349" s="21">
        <f t="shared" si="496"/>
        <v>752150</v>
      </c>
      <c r="AM349" s="21">
        <f t="shared" si="497"/>
        <v>514500</v>
      </c>
      <c r="AN349" s="21">
        <f t="shared" si="498"/>
        <v>597869.0117</v>
      </c>
      <c r="AO349" s="21">
        <f t="shared" si="499"/>
        <v>1254080.338</v>
      </c>
      <c r="AP349" s="21">
        <f t="shared" si="500"/>
        <v>1733033.695</v>
      </c>
      <c r="AQ349" s="21">
        <f t="shared" si="501"/>
        <v>1982812.965</v>
      </c>
      <c r="AR349" s="11"/>
      <c r="AS349" s="11"/>
      <c r="AT349" s="11"/>
      <c r="AU349" s="11"/>
      <c r="AV349" s="11"/>
      <c r="AW349" s="11"/>
      <c r="AX349" s="11"/>
      <c r="AY349" s="11"/>
      <c r="AZ349" s="11"/>
      <c r="BA349" s="11"/>
      <c r="BB349" s="11"/>
      <c r="BC349" s="11"/>
      <c r="BD349" s="11"/>
      <c r="BE349" s="11"/>
      <c r="BF349" s="11"/>
      <c r="BG349" s="11"/>
      <c r="BH349" s="11"/>
      <c r="BI349" s="11"/>
      <c r="BJ349" s="11"/>
      <c r="BK349" s="11"/>
    </row>
    <row r="350" ht="15.75" customHeight="1" outlineLevel="1">
      <c r="A350" s="11"/>
      <c r="B350" s="11"/>
      <c r="C350" s="11"/>
      <c r="D350" s="11" t="s">
        <v>130</v>
      </c>
      <c r="E350" s="12">
        <f>'Portfolio Sales'!E59</f>
        <v>60000</v>
      </c>
      <c r="F350" s="12">
        <f>'Portfolio Sales'!F59</f>
        <v>0</v>
      </c>
      <c r="G350" s="12">
        <f>'Portfolio Sales'!G59</f>
        <v>50000</v>
      </c>
      <c r="H350" s="12">
        <f>'Portfolio Sales'!H59</f>
        <v>41000</v>
      </c>
      <c r="I350" s="12">
        <f>'Portfolio Sales'!I59</f>
        <v>57000</v>
      </c>
      <c r="J350" s="12">
        <f>'Portfolio Sales'!J59</f>
        <v>80000</v>
      </c>
      <c r="K350" s="12">
        <f>'Portfolio Sales'!K59</f>
        <v>87000</v>
      </c>
      <c r="L350" s="12">
        <f>'Portfolio Sales'!L59</f>
        <v>304000</v>
      </c>
      <c r="M350" s="12">
        <f>'Portfolio Sales'!M59</f>
        <v>8500</v>
      </c>
      <c r="N350" s="12">
        <f>'Portfolio Sales'!N59</f>
        <v>0</v>
      </c>
      <c r="O350" s="12">
        <f>'Portfolio Sales'!O59</f>
        <v>98500</v>
      </c>
      <c r="P350" s="12">
        <f>'Portfolio Sales'!P59</f>
        <v>96630.48951</v>
      </c>
      <c r="Q350" s="12">
        <f>'Portfolio Sales'!Q59</f>
        <v>122362.0135</v>
      </c>
      <c r="R350" s="12">
        <f>'Portfolio Sales'!R59</f>
        <v>146366.8888</v>
      </c>
      <c r="S350" s="12">
        <f>'Portfolio Sales'!S59</f>
        <v>178056.429</v>
      </c>
      <c r="T350" s="12">
        <f>'Portfolio Sales'!T59</f>
        <v>202963.9948</v>
      </c>
      <c r="U350" s="12">
        <f>'Portfolio Sales'!U59</f>
        <v>211668.3686</v>
      </c>
      <c r="V350" s="12">
        <f>'Portfolio Sales'!V59</f>
        <v>216043.8302</v>
      </c>
      <c r="W350" s="12">
        <f>'Portfolio Sales'!W59</f>
        <v>220513.1954</v>
      </c>
      <c r="X350" s="12">
        <f>'Portfolio Sales'!X59</f>
        <v>224645.6835</v>
      </c>
      <c r="Y350" s="12">
        <f>'Portfolio Sales'!Y59</f>
        <v>240051.2583</v>
      </c>
      <c r="Z350" s="12">
        <f>'Portfolio Sales'!Z59</f>
        <v>206007.1297</v>
      </c>
      <c r="AA350" s="12">
        <f>'Portfolio Sales'!AA59</f>
        <v>213587.0389</v>
      </c>
      <c r="AB350" s="12">
        <f>'Portfolio Sales'!AB59</f>
        <v>223909.939</v>
      </c>
      <c r="AC350" s="11"/>
      <c r="AD350" s="11" t="str">
        <f t="shared" si="491"/>
        <v>PCS</v>
      </c>
      <c r="AE350" s="21">
        <f t="shared" si="492"/>
        <v>203630.4895</v>
      </c>
      <c r="AF350" s="21">
        <f t="shared" si="493"/>
        <v>649749.326</v>
      </c>
      <c r="AG350" s="12">
        <f t="shared" si="494"/>
        <v>446118.8365</v>
      </c>
      <c r="AH350" s="66">
        <f t="shared" si="495"/>
        <v>2.19082534</v>
      </c>
      <c r="AI350" s="11"/>
      <c r="AJ350" s="11"/>
      <c r="AK350" s="11"/>
      <c r="AL350" s="21">
        <f t="shared" si="496"/>
        <v>151000</v>
      </c>
      <c r="AM350" s="21">
        <f t="shared" si="497"/>
        <v>528000</v>
      </c>
      <c r="AN350" s="21">
        <f t="shared" si="498"/>
        <v>203630.4895</v>
      </c>
      <c r="AO350" s="21">
        <f t="shared" si="499"/>
        <v>649749.326</v>
      </c>
      <c r="AP350" s="21">
        <f t="shared" si="500"/>
        <v>872871.0778</v>
      </c>
      <c r="AQ350" s="21">
        <f t="shared" si="501"/>
        <v>883555.3658</v>
      </c>
      <c r="AR350" s="11"/>
      <c r="AS350" s="11"/>
      <c r="AT350" s="11"/>
      <c r="AU350" s="11"/>
      <c r="AV350" s="11"/>
      <c r="AW350" s="11"/>
      <c r="AX350" s="11"/>
      <c r="AY350" s="11"/>
      <c r="AZ350" s="11"/>
      <c r="BA350" s="11"/>
      <c r="BB350" s="11"/>
      <c r="BC350" s="11"/>
      <c r="BD350" s="11"/>
      <c r="BE350" s="11"/>
      <c r="BF350" s="11"/>
      <c r="BG350" s="11"/>
      <c r="BH350" s="11"/>
      <c r="BI350" s="11"/>
      <c r="BJ350" s="11"/>
      <c r="BK350" s="11"/>
    </row>
    <row r="351" ht="15.75" customHeight="1" outlineLevel="1">
      <c r="A351" s="11"/>
      <c r="B351" s="11"/>
      <c r="C351" s="11"/>
      <c r="D351" s="11" t="s">
        <v>89</v>
      </c>
      <c r="E351" s="12">
        <f>'Portfolio Sales'!E60</f>
        <v>0</v>
      </c>
      <c r="F351" s="12">
        <f>'Portfolio Sales'!F60</f>
        <v>201300</v>
      </c>
      <c r="G351" s="12">
        <f>'Portfolio Sales'!G60</f>
        <v>23950</v>
      </c>
      <c r="H351" s="12">
        <f>'Portfolio Sales'!H60</f>
        <v>36000</v>
      </c>
      <c r="I351" s="12">
        <f>'Portfolio Sales'!I60</f>
        <v>71125</v>
      </c>
      <c r="J351" s="12">
        <f>'Portfolio Sales'!J60</f>
        <v>21073</v>
      </c>
      <c r="K351" s="12">
        <f>'Portfolio Sales'!K60</f>
        <v>67525</v>
      </c>
      <c r="L351" s="12">
        <f>'Portfolio Sales'!L60</f>
        <v>0</v>
      </c>
      <c r="M351" s="12">
        <f>'Portfolio Sales'!M60</f>
        <v>60000</v>
      </c>
      <c r="N351" s="12">
        <f>'Portfolio Sales'!N60</f>
        <v>17500</v>
      </c>
      <c r="O351" s="12">
        <f>'Portfolio Sales'!O60</f>
        <v>174030</v>
      </c>
      <c r="P351" s="12">
        <f>'Portfolio Sales'!P60</f>
        <v>45094.22844</v>
      </c>
      <c r="Q351" s="12">
        <f>'Portfolio Sales'!Q60</f>
        <v>43186.59299</v>
      </c>
      <c r="R351" s="12">
        <f>'Portfolio Sales'!R60</f>
        <v>51658.90191</v>
      </c>
      <c r="S351" s="12">
        <f>'Portfolio Sales'!S60</f>
        <v>62843.44553</v>
      </c>
      <c r="T351" s="12">
        <f>'Portfolio Sales'!T60</f>
        <v>71634.3511</v>
      </c>
      <c r="U351" s="12">
        <f>'Portfolio Sales'!U60</f>
        <v>62255.40254</v>
      </c>
      <c r="V351" s="12">
        <f>'Portfolio Sales'!V60</f>
        <v>63542.30301</v>
      </c>
      <c r="W351" s="12">
        <f>'Portfolio Sales'!W60</f>
        <v>64856.82218</v>
      </c>
      <c r="X351" s="12">
        <f>'Portfolio Sales'!X60</f>
        <v>66072.25987</v>
      </c>
      <c r="Y351" s="12">
        <f>'Portfolio Sales'!Y60</f>
        <v>70603.31128</v>
      </c>
      <c r="Z351" s="12">
        <f>'Portfolio Sales'!Z60</f>
        <v>103003.5648</v>
      </c>
      <c r="AA351" s="12">
        <f>'Portfolio Sales'!AA60</f>
        <v>106793.5194</v>
      </c>
      <c r="AB351" s="12">
        <f>'Portfolio Sales'!AB60</f>
        <v>111954.9695</v>
      </c>
      <c r="AC351" s="11"/>
      <c r="AD351" s="11" t="str">
        <f t="shared" si="491"/>
        <v>Video</v>
      </c>
      <c r="AE351" s="21">
        <f t="shared" si="492"/>
        <v>296624.2284</v>
      </c>
      <c r="AF351" s="21">
        <f t="shared" si="493"/>
        <v>229323.2915</v>
      </c>
      <c r="AG351" s="12">
        <f t="shared" si="494"/>
        <v>-67300.93691</v>
      </c>
      <c r="AH351" s="66">
        <f t="shared" si="495"/>
        <v>-0.2268895473</v>
      </c>
      <c r="AI351" s="11"/>
      <c r="AJ351" s="11"/>
      <c r="AK351" s="11"/>
      <c r="AL351" s="21">
        <f t="shared" si="496"/>
        <v>261250</v>
      </c>
      <c r="AM351" s="21">
        <f t="shared" si="497"/>
        <v>159723</v>
      </c>
      <c r="AN351" s="21">
        <f t="shared" si="498"/>
        <v>296624.2284</v>
      </c>
      <c r="AO351" s="21">
        <f t="shared" si="499"/>
        <v>229323.2915</v>
      </c>
      <c r="AP351" s="21">
        <f t="shared" si="500"/>
        <v>256726.7876</v>
      </c>
      <c r="AQ351" s="21">
        <f t="shared" si="501"/>
        <v>392355.365</v>
      </c>
      <c r="AR351" s="11"/>
      <c r="AS351" s="11"/>
      <c r="AT351" s="11"/>
      <c r="AU351" s="11"/>
      <c r="AV351" s="11"/>
      <c r="AW351" s="11"/>
      <c r="AX351" s="11"/>
      <c r="AY351" s="11"/>
      <c r="AZ351" s="11"/>
      <c r="BA351" s="11"/>
      <c r="BB351" s="11"/>
      <c r="BC351" s="11"/>
      <c r="BD351" s="11"/>
      <c r="BE351" s="11"/>
      <c r="BF351" s="11"/>
      <c r="BG351" s="11"/>
      <c r="BH351" s="11"/>
      <c r="BI351" s="11"/>
      <c r="BJ351" s="11"/>
      <c r="BK351" s="11"/>
    </row>
    <row r="352" ht="15.75" customHeight="1" outlineLevel="1">
      <c r="A352" s="11"/>
      <c r="B352" s="11"/>
      <c r="C352" s="11"/>
      <c r="D352" s="11" t="s">
        <v>94</v>
      </c>
      <c r="E352" s="12">
        <f>'Portfolio Sales'!E61</f>
        <v>22550</v>
      </c>
      <c r="F352" s="12">
        <f>'Portfolio Sales'!F61</f>
        <v>122750</v>
      </c>
      <c r="G352" s="12">
        <f>'Portfolio Sales'!G61</f>
        <v>71000</v>
      </c>
      <c r="H352" s="12">
        <f>'Portfolio Sales'!H61</f>
        <v>188000</v>
      </c>
      <c r="I352" s="12">
        <f>'Portfolio Sales'!I61</f>
        <v>17500</v>
      </c>
      <c r="J352" s="12">
        <f>'Portfolio Sales'!J61</f>
        <v>48500</v>
      </c>
      <c r="K352" s="12">
        <f>'Portfolio Sales'!K61</f>
        <v>88000</v>
      </c>
      <c r="L352" s="12">
        <f>'Portfolio Sales'!L61</f>
        <v>30000</v>
      </c>
      <c r="M352" s="12">
        <f>'Portfolio Sales'!M61</f>
        <v>25000</v>
      </c>
      <c r="N352" s="12">
        <f>'Portfolio Sales'!N61</f>
        <v>106000</v>
      </c>
      <c r="O352" s="12">
        <f>'Portfolio Sales'!O61</f>
        <v>2500</v>
      </c>
      <c r="P352" s="12">
        <f>'Portfolio Sales'!P61</f>
        <v>32210.16317</v>
      </c>
      <c r="Q352" s="12">
        <f>'Portfolio Sales'!Q61</f>
        <v>35988.82749</v>
      </c>
      <c r="R352" s="12">
        <f>'Portfolio Sales'!R61</f>
        <v>34439.26794</v>
      </c>
      <c r="S352" s="12">
        <f>'Portfolio Sales'!S61</f>
        <v>52369.53795</v>
      </c>
      <c r="T352" s="12">
        <f>'Portfolio Sales'!T61</f>
        <v>71634.3511</v>
      </c>
      <c r="U352" s="12">
        <f>'Portfolio Sales'!U61</f>
        <v>37353.24152</v>
      </c>
      <c r="V352" s="12">
        <f>'Portfolio Sales'!V61</f>
        <v>38125.3818</v>
      </c>
      <c r="W352" s="12">
        <f>'Portfolio Sales'!W61</f>
        <v>25942.72887</v>
      </c>
      <c r="X352" s="12">
        <f>'Portfolio Sales'!X61</f>
        <v>26428.90395</v>
      </c>
      <c r="Y352" s="12">
        <f>'Portfolio Sales'!Y61</f>
        <v>42361.98677</v>
      </c>
      <c r="Z352" s="12">
        <f>'Portfolio Sales'!Z61</f>
        <v>73573.97488</v>
      </c>
      <c r="AA352" s="12">
        <f>'Portfolio Sales'!AA61</f>
        <v>76281.08532</v>
      </c>
      <c r="AB352" s="12">
        <f>'Portfolio Sales'!AB61</f>
        <v>79967.83534</v>
      </c>
      <c r="AC352" s="11"/>
      <c r="AD352" s="11" t="str">
        <f t="shared" si="491"/>
        <v>Rev Ops</v>
      </c>
      <c r="AE352" s="21">
        <f t="shared" si="492"/>
        <v>165710.1632</v>
      </c>
      <c r="AF352" s="21">
        <f t="shared" si="493"/>
        <v>194431.9845</v>
      </c>
      <c r="AG352" s="12">
        <f t="shared" si="494"/>
        <v>28721.8213</v>
      </c>
      <c r="AH352" s="66">
        <f t="shared" si="495"/>
        <v>0.1733256473</v>
      </c>
      <c r="AI352" s="11"/>
      <c r="AJ352" s="11"/>
      <c r="AK352" s="11"/>
      <c r="AL352" s="21">
        <f t="shared" si="496"/>
        <v>404300</v>
      </c>
      <c r="AM352" s="21">
        <f t="shared" si="497"/>
        <v>184000</v>
      </c>
      <c r="AN352" s="21">
        <f t="shared" si="498"/>
        <v>165710.1632</v>
      </c>
      <c r="AO352" s="21">
        <f t="shared" si="499"/>
        <v>194431.9845</v>
      </c>
      <c r="AP352" s="21">
        <f t="shared" si="500"/>
        <v>127850.2561</v>
      </c>
      <c r="AQ352" s="21">
        <f t="shared" si="501"/>
        <v>272184.8823</v>
      </c>
      <c r="AR352" s="11"/>
      <c r="AS352" s="11"/>
      <c r="AT352" s="11"/>
      <c r="AU352" s="11"/>
      <c r="AV352" s="11"/>
      <c r="AW352" s="11"/>
      <c r="AX352" s="11"/>
      <c r="AY352" s="11"/>
      <c r="AZ352" s="11"/>
      <c r="BA352" s="11"/>
      <c r="BB352" s="11"/>
      <c r="BC352" s="11"/>
      <c r="BD352" s="11"/>
      <c r="BE352" s="11"/>
      <c r="BF352" s="11"/>
      <c r="BG352" s="11"/>
      <c r="BH352" s="11"/>
      <c r="BI352" s="11"/>
      <c r="BJ352" s="11"/>
      <c r="BK352" s="11"/>
    </row>
    <row r="353" ht="15.75" customHeight="1" outlineLevel="1">
      <c r="A353" s="11"/>
      <c r="B353" s="11"/>
      <c r="C353" s="11"/>
      <c r="D353" s="11" t="s">
        <v>96</v>
      </c>
      <c r="E353" s="12">
        <f>'Portfolio Sales'!E62</f>
        <v>0</v>
      </c>
      <c r="F353" s="12">
        <f>'Portfolio Sales'!F62</f>
        <v>0</v>
      </c>
      <c r="G353" s="12">
        <f>'Portfolio Sales'!G62</f>
        <v>0</v>
      </c>
      <c r="H353" s="12">
        <f>'Portfolio Sales'!H62</f>
        <v>0</v>
      </c>
      <c r="I353" s="12">
        <f>'Portfolio Sales'!I62</f>
        <v>0</v>
      </c>
      <c r="J353" s="12">
        <f>'Portfolio Sales'!J62</f>
        <v>0</v>
      </c>
      <c r="K353" s="12">
        <f>'Portfolio Sales'!K62</f>
        <v>0</v>
      </c>
      <c r="L353" s="12">
        <f>'Portfolio Sales'!L62</f>
        <v>0</v>
      </c>
      <c r="M353" s="12">
        <f>'Portfolio Sales'!M62</f>
        <v>0</v>
      </c>
      <c r="N353" s="12">
        <f>'Portfolio Sales'!N62</f>
        <v>0</v>
      </c>
      <c r="O353" s="12">
        <f>'Portfolio Sales'!O62</f>
        <v>100000</v>
      </c>
      <c r="P353" s="12">
        <f>'Portfolio Sales'!P62</f>
        <v>0</v>
      </c>
      <c r="Q353" s="12">
        <f>'Portfolio Sales'!Q62</f>
        <v>0</v>
      </c>
      <c r="R353" s="12">
        <f>'Portfolio Sales'!R62</f>
        <v>0</v>
      </c>
      <c r="S353" s="12">
        <f>'Portfolio Sales'!S62</f>
        <v>0</v>
      </c>
      <c r="T353" s="12">
        <f>'Portfolio Sales'!T62</f>
        <v>0</v>
      </c>
      <c r="U353" s="12">
        <f>'Portfolio Sales'!U62</f>
        <v>0</v>
      </c>
      <c r="V353" s="12">
        <f>'Portfolio Sales'!V62</f>
        <v>0</v>
      </c>
      <c r="W353" s="12">
        <f>'Portfolio Sales'!W62</f>
        <v>0</v>
      </c>
      <c r="X353" s="12">
        <f>'Portfolio Sales'!X62</f>
        <v>0</v>
      </c>
      <c r="Y353" s="12">
        <f>'Portfolio Sales'!Y62</f>
        <v>0</v>
      </c>
      <c r="Z353" s="12">
        <f>'Portfolio Sales'!Z62</f>
        <v>0</v>
      </c>
      <c r="AA353" s="12">
        <f>'Portfolio Sales'!AA62</f>
        <v>0</v>
      </c>
      <c r="AB353" s="12">
        <f>'Portfolio Sales'!AB62</f>
        <v>0</v>
      </c>
      <c r="AC353" s="11"/>
      <c r="AD353" s="11" t="str">
        <f t="shared" si="491"/>
        <v>Strategy</v>
      </c>
      <c r="AE353" s="21">
        <f t="shared" si="492"/>
        <v>100000</v>
      </c>
      <c r="AF353" s="21">
        <f t="shared" si="493"/>
        <v>0</v>
      </c>
      <c r="AG353" s="12">
        <f t="shared" si="494"/>
        <v>-100000</v>
      </c>
      <c r="AH353" s="66">
        <f t="shared" si="495"/>
        <v>-1</v>
      </c>
      <c r="AI353" s="11"/>
      <c r="AJ353" s="11"/>
      <c r="AK353" s="11"/>
      <c r="AL353" s="21">
        <f t="shared" si="496"/>
        <v>0</v>
      </c>
      <c r="AM353" s="21">
        <f t="shared" si="497"/>
        <v>0</v>
      </c>
      <c r="AN353" s="21">
        <f t="shared" si="498"/>
        <v>100000</v>
      </c>
      <c r="AO353" s="21">
        <f t="shared" si="499"/>
        <v>0</v>
      </c>
      <c r="AP353" s="21">
        <f t="shared" si="500"/>
        <v>0</v>
      </c>
      <c r="AQ353" s="21">
        <f t="shared" si="501"/>
        <v>0</v>
      </c>
      <c r="AR353" s="11"/>
      <c r="AS353" s="11"/>
      <c r="AT353" s="11"/>
      <c r="AU353" s="11"/>
      <c r="AV353" s="11"/>
      <c r="AW353" s="11"/>
      <c r="AX353" s="11"/>
      <c r="AY353" s="11"/>
      <c r="AZ353" s="11"/>
      <c r="BA353" s="11"/>
      <c r="BB353" s="11"/>
      <c r="BC353" s="11"/>
      <c r="BD353" s="11"/>
      <c r="BE353" s="11"/>
      <c r="BF353" s="11"/>
      <c r="BG353" s="11"/>
      <c r="BH353" s="11"/>
      <c r="BI353" s="11"/>
      <c r="BJ353" s="11"/>
      <c r="BK353" s="11"/>
    </row>
    <row r="354" ht="15.75" customHeight="1">
      <c r="A354" s="11"/>
      <c r="B354" s="11"/>
      <c r="C354" s="11"/>
      <c r="D354" s="22" t="s">
        <v>137</v>
      </c>
      <c r="E354" s="26">
        <f t="shared" ref="E354:AB354" si="502">SUM(E348:E353)</f>
        <v>322550</v>
      </c>
      <c r="F354" s="26">
        <f t="shared" si="502"/>
        <v>631050</v>
      </c>
      <c r="G354" s="26">
        <f t="shared" si="502"/>
        <v>334700</v>
      </c>
      <c r="H354" s="26">
        <f t="shared" si="502"/>
        <v>855300</v>
      </c>
      <c r="I354" s="26">
        <f t="shared" si="502"/>
        <v>1048125</v>
      </c>
      <c r="J354" s="26">
        <f t="shared" si="502"/>
        <v>509073</v>
      </c>
      <c r="K354" s="26">
        <f t="shared" si="502"/>
        <v>579025</v>
      </c>
      <c r="L354" s="26">
        <f t="shared" si="502"/>
        <v>1296000</v>
      </c>
      <c r="M354" s="26">
        <f t="shared" si="502"/>
        <v>237500</v>
      </c>
      <c r="N354" s="26">
        <f t="shared" si="502"/>
        <v>369500</v>
      </c>
      <c r="O354" s="26">
        <f t="shared" si="502"/>
        <v>1159196</v>
      </c>
      <c r="P354" s="26">
        <f t="shared" si="502"/>
        <v>644203.2634</v>
      </c>
      <c r="Q354" s="26">
        <f t="shared" si="502"/>
        <v>719776.5498</v>
      </c>
      <c r="R354" s="26">
        <f t="shared" si="502"/>
        <v>860981.6985</v>
      </c>
      <c r="S354" s="26">
        <f t="shared" si="502"/>
        <v>1047390.759</v>
      </c>
      <c r="T354" s="26">
        <f t="shared" si="502"/>
        <v>1193905.852</v>
      </c>
      <c r="U354" s="26">
        <f t="shared" si="502"/>
        <v>1245108.051</v>
      </c>
      <c r="V354" s="26">
        <f t="shared" si="502"/>
        <v>1270846.06</v>
      </c>
      <c r="W354" s="26">
        <f t="shared" si="502"/>
        <v>1297136.444</v>
      </c>
      <c r="X354" s="26">
        <f t="shared" si="502"/>
        <v>1321445.197</v>
      </c>
      <c r="Y354" s="26">
        <f t="shared" si="502"/>
        <v>1412066.226</v>
      </c>
      <c r="Z354" s="26">
        <f t="shared" si="502"/>
        <v>1471479.498</v>
      </c>
      <c r="AA354" s="26">
        <f t="shared" si="502"/>
        <v>1525621.706</v>
      </c>
      <c r="AB354" s="26">
        <f t="shared" si="502"/>
        <v>1599356.707</v>
      </c>
      <c r="AC354" s="11"/>
      <c r="AD354" s="28" t="str">
        <f t="shared" si="491"/>
        <v>Total Portfolio Bookings</v>
      </c>
      <c r="AE354" s="25">
        <f t="shared" si="492"/>
        <v>2410399.263</v>
      </c>
      <c r="AF354" s="25">
        <f t="shared" si="493"/>
        <v>3822054.859</v>
      </c>
      <c r="AG354" s="25">
        <f t="shared" si="494"/>
        <v>1411655.595</v>
      </c>
      <c r="AH354" s="60">
        <f t="shared" si="495"/>
        <v>0.585652185</v>
      </c>
      <c r="AI354" s="11"/>
      <c r="AJ354" s="11"/>
      <c r="AK354" s="11"/>
      <c r="AL354" s="25">
        <f t="shared" si="496"/>
        <v>2143600</v>
      </c>
      <c r="AM354" s="25">
        <f t="shared" si="497"/>
        <v>3432223</v>
      </c>
      <c r="AN354" s="25">
        <f t="shared" si="498"/>
        <v>2410399.263</v>
      </c>
      <c r="AO354" s="25">
        <f t="shared" si="499"/>
        <v>3822054.859</v>
      </c>
      <c r="AP354" s="25">
        <f t="shared" si="500"/>
        <v>5134535.752</v>
      </c>
      <c r="AQ354" s="25">
        <f t="shared" si="501"/>
        <v>6008524.136</v>
      </c>
      <c r="AR354" s="11"/>
      <c r="AS354" s="11"/>
      <c r="AT354" s="11"/>
      <c r="AU354" s="11"/>
      <c r="AV354" s="11"/>
      <c r="AW354" s="11"/>
      <c r="AX354" s="11"/>
      <c r="AY354" s="11"/>
      <c r="AZ354" s="11"/>
      <c r="BA354" s="11"/>
      <c r="BB354" s="11"/>
      <c r="BC354" s="11"/>
      <c r="BD354" s="11"/>
      <c r="BE354" s="11"/>
      <c r="BF354" s="11"/>
      <c r="BG354" s="11"/>
      <c r="BH354" s="11"/>
      <c r="BI354" s="11"/>
      <c r="BJ354" s="11"/>
      <c r="BK354" s="11"/>
    </row>
    <row r="355" ht="15.75" customHeight="1">
      <c r="A355" s="11"/>
      <c r="B355" s="11"/>
      <c r="C355" s="11"/>
      <c r="D355" s="11" t="s">
        <v>138</v>
      </c>
      <c r="E355" s="21"/>
      <c r="F355" s="21">
        <f t="shared" ref="F355:AB355" si="503">F354-E354</f>
        <v>308500</v>
      </c>
      <c r="G355" s="21">
        <f t="shared" si="503"/>
        <v>-296350</v>
      </c>
      <c r="H355" s="21">
        <f t="shared" si="503"/>
        <v>520600</v>
      </c>
      <c r="I355" s="21">
        <f t="shared" si="503"/>
        <v>192825</v>
      </c>
      <c r="J355" s="21">
        <f t="shared" si="503"/>
        <v>-539052</v>
      </c>
      <c r="K355" s="21">
        <f t="shared" si="503"/>
        <v>69952</v>
      </c>
      <c r="L355" s="21">
        <f t="shared" si="503"/>
        <v>716975</v>
      </c>
      <c r="M355" s="21">
        <f t="shared" si="503"/>
        <v>-1058500</v>
      </c>
      <c r="N355" s="21">
        <f t="shared" si="503"/>
        <v>132000</v>
      </c>
      <c r="O355" s="21">
        <f t="shared" si="503"/>
        <v>789696</v>
      </c>
      <c r="P355" s="21">
        <f t="shared" si="503"/>
        <v>-514992.7366</v>
      </c>
      <c r="Q355" s="21">
        <f t="shared" si="503"/>
        <v>75573.28641</v>
      </c>
      <c r="R355" s="21">
        <f t="shared" si="503"/>
        <v>141205.1487</v>
      </c>
      <c r="S355" s="21">
        <f t="shared" si="503"/>
        <v>186409.0604</v>
      </c>
      <c r="T355" s="21">
        <f t="shared" si="503"/>
        <v>146515.0927</v>
      </c>
      <c r="U355" s="21">
        <f t="shared" si="503"/>
        <v>51202.19925</v>
      </c>
      <c r="V355" s="21">
        <f t="shared" si="503"/>
        <v>25738.00932</v>
      </c>
      <c r="W355" s="21">
        <f t="shared" si="503"/>
        <v>26290.3835</v>
      </c>
      <c r="X355" s="21">
        <f t="shared" si="503"/>
        <v>24308.75368</v>
      </c>
      <c r="Y355" s="21">
        <f t="shared" si="503"/>
        <v>90621.02818</v>
      </c>
      <c r="Z355" s="21">
        <f t="shared" si="503"/>
        <v>59413.27203</v>
      </c>
      <c r="AA355" s="21">
        <f t="shared" si="503"/>
        <v>54142.20885</v>
      </c>
      <c r="AB355" s="21">
        <f t="shared" si="503"/>
        <v>73735.00043</v>
      </c>
      <c r="AC355" s="11"/>
      <c r="AD355" s="11" t="str">
        <f t="shared" si="491"/>
        <v>  NNB</v>
      </c>
      <c r="AE355" s="12"/>
      <c r="AF355" s="12">
        <f>AF354-AE354</f>
        <v>1411655.595</v>
      </c>
      <c r="AG355" s="12"/>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row>
    <row r="356" ht="15.75" customHeight="1">
      <c r="A356" s="11"/>
      <c r="B356" s="11"/>
      <c r="C356" s="11"/>
      <c r="D356" s="11" t="s">
        <v>99</v>
      </c>
      <c r="E356" s="19"/>
      <c r="F356" s="19">
        <f t="shared" ref="F356:AB356" si="504">F354/E354-1</f>
        <v>0.9564408619</v>
      </c>
      <c r="G356" s="19">
        <f t="shared" si="504"/>
        <v>-0.4696141352</v>
      </c>
      <c r="H356" s="19">
        <f t="shared" si="504"/>
        <v>1.555422767</v>
      </c>
      <c r="I356" s="19">
        <f t="shared" si="504"/>
        <v>0.2254472115</v>
      </c>
      <c r="J356" s="19">
        <f t="shared" si="504"/>
        <v>-0.5143012522</v>
      </c>
      <c r="K356" s="19">
        <f t="shared" si="504"/>
        <v>0.1374105482</v>
      </c>
      <c r="L356" s="19">
        <f t="shared" si="504"/>
        <v>1.238245326</v>
      </c>
      <c r="M356" s="19">
        <f t="shared" si="504"/>
        <v>-0.8167438272</v>
      </c>
      <c r="N356" s="19">
        <f t="shared" si="504"/>
        <v>0.5557894737</v>
      </c>
      <c r="O356" s="19">
        <f t="shared" si="504"/>
        <v>2.137201624</v>
      </c>
      <c r="P356" s="19">
        <f t="shared" si="504"/>
        <v>-0.4442671788</v>
      </c>
      <c r="Q356" s="19">
        <f t="shared" si="504"/>
        <v>0.1173127966</v>
      </c>
      <c r="R356" s="19">
        <f t="shared" si="504"/>
        <v>0.1961791458</v>
      </c>
      <c r="S356" s="19">
        <f t="shared" si="504"/>
        <v>0.2165075758</v>
      </c>
      <c r="T356" s="19">
        <f t="shared" si="504"/>
        <v>0.1398857985</v>
      </c>
      <c r="U356" s="19">
        <f t="shared" si="504"/>
        <v>0.04288629558</v>
      </c>
      <c r="V356" s="19">
        <f t="shared" si="504"/>
        <v>0.02067130583</v>
      </c>
      <c r="W356" s="19">
        <f t="shared" si="504"/>
        <v>0.02068730771</v>
      </c>
      <c r="X356" s="19">
        <f t="shared" si="504"/>
        <v>0.01874032126</v>
      </c>
      <c r="Y356" s="19">
        <f t="shared" si="504"/>
        <v>0.06857721256</v>
      </c>
      <c r="Z356" s="19">
        <f t="shared" si="504"/>
        <v>0.04207541471</v>
      </c>
      <c r="AA356" s="19">
        <f t="shared" si="504"/>
        <v>0.03679440246</v>
      </c>
      <c r="AB356" s="19">
        <f t="shared" si="504"/>
        <v>0.0483311165</v>
      </c>
      <c r="AC356" s="11"/>
      <c r="AD356" s="11" t="str">
        <f t="shared" si="491"/>
        <v>  % Growth</v>
      </c>
      <c r="AE356" s="11"/>
      <c r="AF356" s="19">
        <f>AF354/AE354-1</f>
        <v>0.585652185</v>
      </c>
      <c r="AG356" s="12"/>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2"/>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2"/>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outlineLevelRow="1"/>
  <cols>
    <col customWidth="1" min="1" max="1" width="14.57" outlineLevel="1"/>
    <col customWidth="1" min="2" max="2" width="20.57" outlineLevel="1"/>
    <col customWidth="1" min="3" max="3" width="37.0"/>
    <col customWidth="1" min="4" max="26" width="14.57" outlineLevel="1"/>
    <col customWidth="1" min="27" max="27" width="19.0" outlineLevel="1"/>
    <col customWidth="1" min="28" max="99" width="14.57" outlineLevel="1"/>
    <col customWidth="1" min="100" max="100" width="14.57"/>
    <col customWidth="1" hidden="1" min="101" max="124" width="14.57" outlineLevel="1"/>
    <col collapsed="1" customWidth="1" min="125" max="125" width="14.57"/>
    <col customWidth="1" min="126" max="135" width="14.57"/>
  </cols>
  <sheetData>
    <row r="1" ht="15.0" customHeight="1">
      <c r="B1" s="1"/>
    </row>
    <row r="4">
      <c r="A4" s="91"/>
      <c r="B4" s="91"/>
      <c r="C4" s="91"/>
      <c r="D4" s="92">
        <v>43831.0</v>
      </c>
      <c r="E4" s="93">
        <v>43862.0</v>
      </c>
      <c r="F4" s="93">
        <v>43891.0</v>
      </c>
      <c r="G4" s="93">
        <v>43922.0</v>
      </c>
      <c r="H4" s="93">
        <v>43952.0</v>
      </c>
      <c r="I4" s="93">
        <v>43983.0</v>
      </c>
      <c r="J4" s="93">
        <v>44013.0</v>
      </c>
      <c r="K4" s="93">
        <v>44044.0</v>
      </c>
      <c r="L4" s="93">
        <v>44075.0</v>
      </c>
      <c r="M4" s="93">
        <v>44105.0</v>
      </c>
      <c r="N4" s="93">
        <v>44136.0</v>
      </c>
      <c r="O4" s="94">
        <v>44166.0</v>
      </c>
      <c r="P4" s="92">
        <v>44197.0</v>
      </c>
      <c r="Q4" s="93">
        <v>44228.0</v>
      </c>
      <c r="R4" s="93">
        <v>44256.0</v>
      </c>
      <c r="S4" s="93">
        <v>44287.0</v>
      </c>
      <c r="T4" s="93">
        <v>44317.0</v>
      </c>
      <c r="U4" s="93">
        <v>44348.0</v>
      </c>
      <c r="V4" s="93">
        <v>44378.0</v>
      </c>
      <c r="W4" s="93">
        <v>44409.0</v>
      </c>
      <c r="X4" s="93">
        <v>44440.0</v>
      </c>
      <c r="Y4" s="93">
        <v>44470.0</v>
      </c>
      <c r="Z4" s="93">
        <v>44501.0</v>
      </c>
      <c r="AA4" s="93">
        <v>44531.0</v>
      </c>
      <c r="AB4" s="92">
        <v>44562.0</v>
      </c>
      <c r="AC4" s="93">
        <v>44593.0</v>
      </c>
      <c r="AD4" s="93">
        <v>44621.0</v>
      </c>
      <c r="AE4" s="93">
        <v>44652.0</v>
      </c>
      <c r="AF4" s="93">
        <v>44682.0</v>
      </c>
      <c r="AG4" s="93">
        <v>44713.0</v>
      </c>
      <c r="AH4" s="93">
        <v>44743.0</v>
      </c>
      <c r="AI4" s="93">
        <v>44774.0</v>
      </c>
      <c r="AJ4" s="95">
        <v>44805.0</v>
      </c>
      <c r="AK4" s="95">
        <v>44835.0</v>
      </c>
      <c r="AL4" s="95">
        <v>44866.0</v>
      </c>
      <c r="AM4" s="96">
        <v>44896.0</v>
      </c>
      <c r="AN4" s="97">
        <v>44927.0</v>
      </c>
      <c r="AO4" s="97">
        <v>44958.0</v>
      </c>
      <c r="AP4" s="97">
        <v>44986.0</v>
      </c>
      <c r="AQ4" s="97">
        <v>45017.0</v>
      </c>
      <c r="AR4" s="98">
        <v>45047.0</v>
      </c>
      <c r="AS4" s="98">
        <v>45078.0</v>
      </c>
      <c r="AT4" s="98">
        <v>45108.0</v>
      </c>
      <c r="AU4" s="98">
        <v>45139.0</v>
      </c>
      <c r="AV4" s="98">
        <v>45170.0</v>
      </c>
      <c r="AW4" s="98">
        <v>45200.0</v>
      </c>
      <c r="AX4" s="98">
        <v>45231.0</v>
      </c>
      <c r="AY4" s="99">
        <v>45261.0</v>
      </c>
      <c r="AZ4" s="100">
        <v>45292.0</v>
      </c>
      <c r="BA4" s="98">
        <v>45323.0</v>
      </c>
      <c r="BB4" s="98">
        <v>45352.0</v>
      </c>
      <c r="BC4" s="98">
        <v>45383.0</v>
      </c>
      <c r="BD4" s="98">
        <v>45413.0</v>
      </c>
      <c r="BE4" s="98">
        <v>45444.0</v>
      </c>
      <c r="BF4" s="98">
        <v>45474.0</v>
      </c>
      <c r="BG4" s="98">
        <v>45505.0</v>
      </c>
      <c r="BH4" s="98">
        <v>45536.0</v>
      </c>
      <c r="BI4" s="98">
        <v>45566.0</v>
      </c>
      <c r="BJ4" s="98">
        <v>45597.0</v>
      </c>
      <c r="BK4" s="99">
        <v>45627.0</v>
      </c>
      <c r="BL4" s="100">
        <v>45658.0</v>
      </c>
      <c r="BM4" s="98">
        <v>45689.0</v>
      </c>
      <c r="BN4" s="98">
        <v>45717.0</v>
      </c>
      <c r="BO4" s="98">
        <v>45748.0</v>
      </c>
      <c r="BP4" s="98">
        <v>45778.0</v>
      </c>
      <c r="BQ4" s="98">
        <v>45809.0</v>
      </c>
      <c r="BR4" s="98">
        <v>45839.0</v>
      </c>
      <c r="BS4" s="98">
        <v>45870.0</v>
      </c>
      <c r="BT4" s="98">
        <v>45901.0</v>
      </c>
      <c r="BU4" s="98">
        <v>45931.0</v>
      </c>
      <c r="BV4" s="98">
        <v>45962.0</v>
      </c>
      <c r="BW4" s="99">
        <v>45992.0</v>
      </c>
      <c r="BX4" s="100">
        <v>46023.0</v>
      </c>
      <c r="BY4" s="98">
        <v>46054.0</v>
      </c>
      <c r="BZ4" s="98">
        <v>46082.0</v>
      </c>
      <c r="CA4" s="98">
        <v>46113.0</v>
      </c>
      <c r="CB4" s="98">
        <v>46143.0</v>
      </c>
      <c r="CC4" s="98">
        <v>46174.0</v>
      </c>
      <c r="CD4" s="98">
        <v>46204.0</v>
      </c>
      <c r="CE4" s="98">
        <v>46235.0</v>
      </c>
      <c r="CF4" s="98">
        <v>46266.0</v>
      </c>
      <c r="CG4" s="98">
        <v>46296.0</v>
      </c>
      <c r="CH4" s="98">
        <v>46327.0</v>
      </c>
      <c r="CI4" s="99">
        <v>46357.0</v>
      </c>
      <c r="CJ4" s="100">
        <v>46388.0</v>
      </c>
      <c r="CK4" s="98">
        <v>46419.0</v>
      </c>
      <c r="CL4" s="98">
        <v>46447.0</v>
      </c>
      <c r="CM4" s="98">
        <v>46478.0</v>
      </c>
      <c r="CN4" s="98">
        <v>46508.0</v>
      </c>
      <c r="CO4" s="98">
        <v>46539.0</v>
      </c>
      <c r="CP4" s="98">
        <v>46569.0</v>
      </c>
      <c r="CQ4" s="98">
        <v>46600.0</v>
      </c>
      <c r="CR4" s="98">
        <v>46631.0</v>
      </c>
      <c r="CS4" s="98">
        <v>46661.0</v>
      </c>
      <c r="CT4" s="98">
        <v>46692.0</v>
      </c>
      <c r="CU4" s="98">
        <v>46722.0</v>
      </c>
      <c r="CV4" s="101"/>
      <c r="CW4" s="102" t="s">
        <v>139</v>
      </c>
      <c r="CX4" s="102" t="s">
        <v>140</v>
      </c>
      <c r="CY4" s="103" t="s">
        <v>141</v>
      </c>
      <c r="CZ4" s="102" t="s">
        <v>142</v>
      </c>
      <c r="DA4" s="102" t="s">
        <v>143</v>
      </c>
      <c r="DB4" s="103" t="s">
        <v>144</v>
      </c>
      <c r="DC4" s="92" t="s">
        <v>52</v>
      </c>
      <c r="DD4" s="104" t="s">
        <v>53</v>
      </c>
      <c r="DE4" s="105" t="s">
        <v>48</v>
      </c>
      <c r="DF4" s="106" t="s">
        <v>49</v>
      </c>
      <c r="DG4" s="107" t="s">
        <v>54</v>
      </c>
      <c r="DH4" s="108" t="s">
        <v>55</v>
      </c>
      <c r="DI4" s="106" t="s">
        <v>145</v>
      </c>
      <c r="DJ4" s="107" t="s">
        <v>146</v>
      </c>
      <c r="DK4" s="108" t="s">
        <v>147</v>
      </c>
      <c r="DL4" s="106" t="s">
        <v>148</v>
      </c>
      <c r="DM4" s="107" t="s">
        <v>149</v>
      </c>
      <c r="DN4" s="108" t="s">
        <v>150</v>
      </c>
      <c r="DO4" s="106" t="s">
        <v>151</v>
      </c>
      <c r="DP4" s="107" t="s">
        <v>152</v>
      </c>
      <c r="DQ4" s="108" t="s">
        <v>153</v>
      </c>
      <c r="DR4" s="106" t="s">
        <v>154</v>
      </c>
      <c r="DS4" s="107" t="s">
        <v>155</v>
      </c>
      <c r="DT4" s="108" t="s">
        <v>156</v>
      </c>
      <c r="DU4" s="91"/>
      <c r="DV4" s="109">
        <v>2020.0</v>
      </c>
      <c r="DW4" s="110" t="s">
        <v>157</v>
      </c>
      <c r="DX4" s="111" t="s">
        <v>158</v>
      </c>
      <c r="DY4" s="111" t="s">
        <v>159</v>
      </c>
      <c r="DZ4" s="111" t="s">
        <v>160</v>
      </c>
      <c r="EA4" s="111" t="s">
        <v>161</v>
      </c>
      <c r="EB4" s="112" t="s">
        <v>162</v>
      </c>
      <c r="EC4" s="112" t="s">
        <v>163</v>
      </c>
      <c r="ED4" s="112"/>
      <c r="EE4" s="112"/>
    </row>
    <row r="5">
      <c r="A5" s="91" t="s">
        <v>164</v>
      </c>
      <c r="B5" s="91" t="s">
        <v>165</v>
      </c>
      <c r="C5" s="91"/>
      <c r="D5" s="113" t="s">
        <v>166</v>
      </c>
      <c r="E5" s="113" t="s">
        <v>166</v>
      </c>
      <c r="F5" s="113" t="s">
        <v>166</v>
      </c>
      <c r="G5" s="113" t="s">
        <v>166</v>
      </c>
      <c r="H5" s="113" t="s">
        <v>166</v>
      </c>
      <c r="I5" s="113" t="s">
        <v>166</v>
      </c>
      <c r="J5" s="113" t="s">
        <v>166</v>
      </c>
      <c r="K5" s="113" t="s">
        <v>166</v>
      </c>
      <c r="L5" s="113" t="s">
        <v>166</v>
      </c>
      <c r="M5" s="113" t="s">
        <v>166</v>
      </c>
      <c r="N5" s="113" t="s">
        <v>166</v>
      </c>
      <c r="O5" s="113" t="s">
        <v>166</v>
      </c>
      <c r="P5" s="113" t="s">
        <v>166</v>
      </c>
      <c r="Q5" s="113" t="s">
        <v>166</v>
      </c>
      <c r="R5" s="113" t="s">
        <v>166</v>
      </c>
      <c r="S5" s="113" t="s">
        <v>166</v>
      </c>
      <c r="T5" s="113" t="s">
        <v>166</v>
      </c>
      <c r="U5" s="113" t="s">
        <v>166</v>
      </c>
      <c r="V5" s="113" t="s">
        <v>166</v>
      </c>
      <c r="W5" s="113" t="s">
        <v>166</v>
      </c>
      <c r="X5" s="113" t="s">
        <v>166</v>
      </c>
      <c r="Y5" s="113" t="s">
        <v>166</v>
      </c>
      <c r="Z5" s="113" t="s">
        <v>166</v>
      </c>
      <c r="AA5" s="113" t="s">
        <v>166</v>
      </c>
      <c r="AB5" s="113" t="s">
        <v>166</v>
      </c>
      <c r="AC5" s="113" t="s">
        <v>166</v>
      </c>
      <c r="AD5" s="113" t="s">
        <v>166</v>
      </c>
      <c r="AE5" s="113" t="s">
        <v>166</v>
      </c>
      <c r="AF5" s="113" t="s">
        <v>166</v>
      </c>
      <c r="AG5" s="113" t="s">
        <v>166</v>
      </c>
      <c r="AH5" s="113" t="s">
        <v>166</v>
      </c>
      <c r="AI5" s="113" t="s">
        <v>166</v>
      </c>
      <c r="AJ5" s="113" t="s">
        <v>166</v>
      </c>
      <c r="AK5" s="113" t="s">
        <v>166</v>
      </c>
      <c r="AL5" s="113" t="s">
        <v>166</v>
      </c>
      <c r="AM5" s="114" t="s">
        <v>167</v>
      </c>
      <c r="AN5" s="114" t="s">
        <v>167</v>
      </c>
      <c r="AO5" s="114" t="s">
        <v>167</v>
      </c>
      <c r="AP5" s="114" t="s">
        <v>167</v>
      </c>
      <c r="AQ5" s="114" t="s">
        <v>167</v>
      </c>
      <c r="AR5" s="114" t="s">
        <v>167</v>
      </c>
      <c r="AS5" s="114" t="s">
        <v>167</v>
      </c>
      <c r="AT5" s="114" t="s">
        <v>167</v>
      </c>
      <c r="AU5" s="114" t="s">
        <v>167</v>
      </c>
      <c r="AV5" s="114" t="s">
        <v>167</v>
      </c>
      <c r="AW5" s="114" t="s">
        <v>167</v>
      </c>
      <c r="AX5" s="114" t="s">
        <v>167</v>
      </c>
      <c r="AY5" s="114" t="s">
        <v>167</v>
      </c>
      <c r="AZ5" s="114" t="s">
        <v>167</v>
      </c>
      <c r="BA5" s="114" t="s">
        <v>167</v>
      </c>
      <c r="BB5" s="114" t="s">
        <v>167</v>
      </c>
      <c r="BC5" s="114" t="s">
        <v>167</v>
      </c>
      <c r="BD5" s="114" t="s">
        <v>167</v>
      </c>
      <c r="BE5" s="114" t="s">
        <v>167</v>
      </c>
      <c r="BF5" s="114" t="s">
        <v>167</v>
      </c>
      <c r="BG5" s="114" t="s">
        <v>167</v>
      </c>
      <c r="BH5" s="114" t="s">
        <v>167</v>
      </c>
      <c r="BI5" s="114" t="s">
        <v>167</v>
      </c>
      <c r="BJ5" s="114" t="s">
        <v>167</v>
      </c>
      <c r="BK5" s="114" t="s">
        <v>167</v>
      </c>
      <c r="BL5" s="114" t="s">
        <v>167</v>
      </c>
      <c r="BM5" s="114" t="s">
        <v>167</v>
      </c>
      <c r="BN5" s="114" t="s">
        <v>167</v>
      </c>
      <c r="BO5" s="114" t="s">
        <v>167</v>
      </c>
      <c r="BP5" s="114" t="s">
        <v>167</v>
      </c>
      <c r="BQ5" s="114" t="s">
        <v>167</v>
      </c>
      <c r="BR5" s="114" t="s">
        <v>167</v>
      </c>
      <c r="BS5" s="114" t="s">
        <v>167</v>
      </c>
      <c r="BT5" s="114" t="s">
        <v>167</v>
      </c>
      <c r="BU5" s="114" t="s">
        <v>167</v>
      </c>
      <c r="BV5" s="114" t="s">
        <v>167</v>
      </c>
      <c r="BW5" s="114" t="s">
        <v>167</v>
      </c>
      <c r="BX5" s="114" t="s">
        <v>167</v>
      </c>
      <c r="BY5" s="114" t="s">
        <v>167</v>
      </c>
      <c r="BZ5" s="114" t="s">
        <v>167</v>
      </c>
      <c r="CA5" s="114" t="s">
        <v>167</v>
      </c>
      <c r="CB5" s="114" t="s">
        <v>167</v>
      </c>
      <c r="CC5" s="114" t="s">
        <v>167</v>
      </c>
      <c r="CD5" s="114" t="s">
        <v>167</v>
      </c>
      <c r="CE5" s="114" t="s">
        <v>167</v>
      </c>
      <c r="CF5" s="114" t="s">
        <v>167</v>
      </c>
      <c r="CG5" s="114" t="s">
        <v>167</v>
      </c>
      <c r="CH5" s="114" t="s">
        <v>167</v>
      </c>
      <c r="CI5" s="114" t="s">
        <v>167</v>
      </c>
      <c r="CJ5" s="114" t="s">
        <v>167</v>
      </c>
      <c r="CK5" s="114" t="s">
        <v>167</v>
      </c>
      <c r="CL5" s="114" t="s">
        <v>167</v>
      </c>
      <c r="CM5" s="114" t="s">
        <v>167</v>
      </c>
      <c r="CN5" s="114" t="s">
        <v>167</v>
      </c>
      <c r="CO5" s="114" t="s">
        <v>167</v>
      </c>
      <c r="CP5" s="114" t="s">
        <v>167</v>
      </c>
      <c r="CQ5" s="114" t="s">
        <v>167</v>
      </c>
      <c r="CR5" s="114" t="s">
        <v>167</v>
      </c>
      <c r="CS5" s="114" t="s">
        <v>167</v>
      </c>
      <c r="CT5" s="114" t="s">
        <v>167</v>
      </c>
      <c r="CU5" s="114" t="s">
        <v>167</v>
      </c>
      <c r="CV5" s="91"/>
      <c r="CW5" s="113" t="s">
        <v>166</v>
      </c>
      <c r="CX5" s="113" t="s">
        <v>166</v>
      </c>
      <c r="CY5" s="113" t="s">
        <v>166</v>
      </c>
      <c r="CZ5" s="113" t="s">
        <v>166</v>
      </c>
      <c r="DA5" s="113" t="s">
        <v>166</v>
      </c>
      <c r="DB5" s="113" t="s">
        <v>166</v>
      </c>
      <c r="DC5" s="113" t="s">
        <v>166</v>
      </c>
      <c r="DD5" s="114" t="s">
        <v>167</v>
      </c>
      <c r="DE5" s="114" t="s">
        <v>167</v>
      </c>
      <c r="DF5" s="114" t="s">
        <v>167</v>
      </c>
      <c r="DG5" s="114" t="s">
        <v>167</v>
      </c>
      <c r="DH5" s="114" t="s">
        <v>167</v>
      </c>
      <c r="DI5" s="114" t="s">
        <v>167</v>
      </c>
      <c r="DJ5" s="114" t="s">
        <v>167</v>
      </c>
      <c r="DK5" s="114" t="s">
        <v>167</v>
      </c>
      <c r="DL5" s="114" t="s">
        <v>167</v>
      </c>
      <c r="DM5" s="114" t="s">
        <v>167</v>
      </c>
      <c r="DN5" s="114" t="s">
        <v>167</v>
      </c>
      <c r="DO5" s="114" t="s">
        <v>167</v>
      </c>
      <c r="DP5" s="114" t="s">
        <v>167</v>
      </c>
      <c r="DQ5" s="114" t="s">
        <v>167</v>
      </c>
      <c r="DR5" s="114" t="s">
        <v>167</v>
      </c>
      <c r="DS5" s="114" t="s">
        <v>167</v>
      </c>
      <c r="DT5" s="114" t="s">
        <v>167</v>
      </c>
      <c r="DU5" s="91"/>
      <c r="DV5" s="113" t="s">
        <v>166</v>
      </c>
      <c r="DW5" s="113" t="s">
        <v>166</v>
      </c>
      <c r="DX5" s="114" t="s">
        <v>167</v>
      </c>
      <c r="DY5" s="114" t="s">
        <v>167</v>
      </c>
      <c r="DZ5" s="114" t="s">
        <v>167</v>
      </c>
      <c r="EA5" s="114" t="s">
        <v>167</v>
      </c>
      <c r="EB5" s="114" t="s">
        <v>167</v>
      </c>
      <c r="EC5" s="114" t="s">
        <v>167</v>
      </c>
      <c r="ED5" s="114"/>
      <c r="EE5" s="114"/>
    </row>
    <row r="6">
      <c r="B6" s="115" t="s">
        <v>25</v>
      </c>
    </row>
    <row r="7" outlineLevel="1">
      <c r="B7" s="1" t="s">
        <v>47</v>
      </c>
      <c r="C7" s="1" t="s">
        <v>47</v>
      </c>
      <c r="D7" s="116">
        <f>SUMIFS('IS Proforma'!D:D,'IS Proforma'!$B:$B,Summary!$B7)</f>
        <v>220276</v>
      </c>
      <c r="E7" s="116">
        <f>SUMIFS('IS Proforma'!E:E,'IS Proforma'!$B:$B,Summary!$B7)</f>
        <v>174341</v>
      </c>
      <c r="F7" s="116">
        <f>SUMIFS('IS Proforma'!F:F,'IS Proforma'!$B:$B,Summary!$B7)</f>
        <v>284034</v>
      </c>
      <c r="G7" s="116">
        <f>SUMIFS('IS Proforma'!G:G,'IS Proforma'!$B:$B,Summary!$B7)</f>
        <v>300455</v>
      </c>
      <c r="H7" s="116">
        <f>SUMIFS('IS Proforma'!H:H,'IS Proforma'!$B:$B,Summary!$B7)</f>
        <v>285240</v>
      </c>
      <c r="I7" s="116">
        <f>SUMIFS('IS Proforma'!I:I,'IS Proforma'!$B:$B,Summary!$B7)</f>
        <v>214652</v>
      </c>
      <c r="J7" s="116">
        <f>SUMIFS('IS Proforma'!J:J,'IS Proforma'!$B:$B,Summary!$B7)</f>
        <v>236484</v>
      </c>
      <c r="K7" s="116">
        <f>SUMIFS('IS Proforma'!K:K,'IS Proforma'!$B:$B,Summary!$B7)</f>
        <v>154032</v>
      </c>
      <c r="L7" s="116">
        <f>SUMIFS('IS Proforma'!L:L,'IS Proforma'!$B:$B,Summary!$B7)</f>
        <v>276409</v>
      </c>
      <c r="M7" s="116">
        <f>SUMIFS('IS Proforma'!M:M,'IS Proforma'!$B:$B,Summary!$B7)</f>
        <v>173553</v>
      </c>
      <c r="N7" s="116">
        <f>SUMIFS('IS Proforma'!N:N,'IS Proforma'!$B:$B,Summary!$B7)</f>
        <v>167248</v>
      </c>
      <c r="O7" s="116">
        <f>SUMIFS('IS Proforma'!O:O,'IS Proforma'!$B:$B,Summary!$B7)</f>
        <v>163883</v>
      </c>
      <c r="P7" s="116">
        <f>SUMIFS('IS Proforma'!P:P,'IS Proforma'!$B:$B,Summary!$B7)</f>
        <v>145221</v>
      </c>
      <c r="Q7" s="116">
        <f>SUMIFS('IS Proforma'!Q:Q,'IS Proforma'!$B:$B,Summary!$B7)</f>
        <v>268153</v>
      </c>
      <c r="R7" s="116">
        <f>SUMIFS('IS Proforma'!R:R,'IS Proforma'!$B:$B,Summary!$B7)</f>
        <v>202602</v>
      </c>
      <c r="S7" s="116">
        <f>SUMIFS('IS Proforma'!S:S,'IS Proforma'!$B:$B,Summary!$B7)</f>
        <v>249435</v>
      </c>
      <c r="T7" s="116">
        <f>SUMIFS('IS Proforma'!T:T,'IS Proforma'!$B:$B,Summary!$B7)</f>
        <v>251204</v>
      </c>
      <c r="U7" s="116">
        <f>SUMIFS('IS Proforma'!U:U,'IS Proforma'!$B:$B,Summary!$B7)</f>
        <v>175735</v>
      </c>
      <c r="V7" s="116">
        <f>SUMIFS('IS Proforma'!V:V,'IS Proforma'!$B:$B,Summary!$B7)</f>
        <v>173627</v>
      </c>
      <c r="W7" s="116">
        <f>SUMIFS('IS Proforma'!W:W,'IS Proforma'!$B:$B,Summary!$B7)</f>
        <v>163316</v>
      </c>
      <c r="X7" s="116">
        <f>SUMIFS('IS Proforma'!X:X,'IS Proforma'!$B:$B,Summary!$B7)</f>
        <v>214926</v>
      </c>
      <c r="Y7" s="116">
        <f>SUMIFS('IS Proforma'!Y:Y,'IS Proforma'!$B:$B,Summary!$B7)</f>
        <v>242871</v>
      </c>
      <c r="Z7" s="116">
        <f>SUMIFS('IS Proforma'!Z:Z,'IS Proforma'!$B:$B,Summary!$B7)</f>
        <v>234725</v>
      </c>
      <c r="AA7" s="116">
        <f>SUMIFS('IS Proforma'!AA:AA,'IS Proforma'!$B:$B,Summary!$B7)</f>
        <v>201170</v>
      </c>
      <c r="AB7" s="116">
        <f>SUMIFS('IS Proforma'!AB:AB,'IS Proforma'!$B:$B,Summary!$B7)</f>
        <v>225168</v>
      </c>
      <c r="AC7" s="116">
        <f>SUMIFS('IS Proforma'!AC:AC,'IS Proforma'!$B:$B,Summary!$B7)</f>
        <v>202984</v>
      </c>
      <c r="AD7" s="116">
        <f>SUMIFS('IS Proforma'!AD:AD,'IS Proforma'!$B:$B,Summary!$B7)</f>
        <v>230137</v>
      </c>
      <c r="AE7" s="116">
        <f>SUMIFS('IS Proforma'!AE:AE,'IS Proforma'!$B:$B,Summary!$B7)</f>
        <v>215710</v>
      </c>
      <c r="AF7" s="116">
        <f>SUMIFS('IS Proforma'!AF:AF,'IS Proforma'!$B:$B,Summary!$B7)</f>
        <v>275885</v>
      </c>
      <c r="AG7" s="116">
        <f>SUMIFS('IS Proforma'!AG:AG,'IS Proforma'!$B:$B,Summary!$B7)</f>
        <v>196349</v>
      </c>
      <c r="AH7" s="116">
        <f>SUMIFS('IS Proforma'!AH:AH,'IS Proforma'!$B:$B,Summary!$B7)</f>
        <v>274969</v>
      </c>
      <c r="AI7" s="116">
        <f>SUMIFS('IS Proforma'!AI:AI,'IS Proforma'!$B:$B,Summary!$B7)</f>
        <v>270100</v>
      </c>
      <c r="AJ7" s="116">
        <f>SUMIFS('IS Proforma'!AJ:AJ,'IS Proforma'!$B:$B,Summary!$B7)</f>
        <v>241649</v>
      </c>
      <c r="AK7" s="116">
        <f>SUMIFS('IS Proforma'!AK:AK,'IS Proforma'!$B:$B,Summary!$B7)</f>
        <v>195381</v>
      </c>
      <c r="AL7" s="116">
        <f>SUMIFS('IS Proforma'!AL:AL,'IS Proforma'!$B:$B,Summary!$B7)</f>
        <v>291011</v>
      </c>
      <c r="AM7" s="116">
        <f>SUMIFS('IS Proforma'!AM:AM,'IS Proforma'!$B:$B,Summary!$B7)</f>
        <v>424038.3587</v>
      </c>
      <c r="AN7" s="116">
        <f>SUMIFS('IS Proforma'!AN:AN,'IS Proforma'!$B:$B,Summary!$B7)</f>
        <v>504241.5363</v>
      </c>
      <c r="AO7" s="116">
        <f>SUMIFS('IS Proforma'!AO:AO,'IS Proforma'!$B:$B,Summary!$B7)</f>
        <v>582808.2623</v>
      </c>
      <c r="AP7" s="116">
        <f>SUMIFS('IS Proforma'!AP:AP,'IS Proforma'!$B:$B,Summary!$B7)</f>
        <v>656219.2844</v>
      </c>
      <c r="AQ7" s="116">
        <f>SUMIFS('IS Proforma'!AQ:AQ,'IS Proforma'!$B:$B,Summary!$B7)</f>
        <v>729298.1637</v>
      </c>
      <c r="AR7" s="116">
        <f>SUMIFS('IS Proforma'!AR:AR,'IS Proforma'!$B:$B,Summary!$B7)</f>
        <v>810916.7567</v>
      </c>
      <c r="AS7" s="116">
        <f>SUMIFS('IS Proforma'!AS:AS,'IS Proforma'!$B:$B,Summary!$B7)</f>
        <v>888901.9038</v>
      </c>
      <c r="AT7" s="116">
        <f>SUMIFS('IS Proforma'!AT:AT,'IS Proforma'!$B:$B,Summary!$B7)</f>
        <v>964562.3903</v>
      </c>
      <c r="AU7" s="116">
        <f>SUMIFS('IS Proforma'!AU:AU,'IS Proforma'!$B:$B,Summary!$B7)</f>
        <v>1039304.834</v>
      </c>
      <c r="AV7" s="116">
        <f>SUMIFS('IS Proforma'!AV:AV,'IS Proforma'!$B:$B,Summary!$B7)</f>
        <v>1116079.352</v>
      </c>
      <c r="AW7" s="116">
        <f>SUMIFS('IS Proforma'!AW:AW,'IS Proforma'!$B:$B,Summary!$B7)</f>
        <v>1187157.271</v>
      </c>
      <c r="AX7" s="116">
        <f>SUMIFS('IS Proforma'!AX:AX,'IS Proforma'!$B:$B,Summary!$B7)</f>
        <v>1262204.801</v>
      </c>
      <c r="AY7" s="116">
        <f>SUMIFS('IS Proforma'!AY:AY,'IS Proforma'!$B:$B,Summary!$B7)</f>
        <v>1340193.399</v>
      </c>
      <c r="AZ7" s="116">
        <f>SUMIFS('IS Proforma'!AZ:AZ,'IS Proforma'!$B:$B,Summary!$B7)</f>
        <v>1400947.54</v>
      </c>
      <c r="BA7" s="116">
        <f>SUMIFS('IS Proforma'!BA:BA,'IS Proforma'!$B:$B,Summary!$B7)</f>
        <v>1412547.753</v>
      </c>
      <c r="BB7" s="116">
        <f>SUMIFS('IS Proforma'!BB:BB,'IS Proforma'!$B:$B,Summary!$B7)</f>
        <v>1435663.774</v>
      </c>
      <c r="BC7" s="116">
        <f>SUMIFS('IS Proforma'!BC:BC,'IS Proforma'!$B:$B,Summary!$B7)</f>
        <v>1463030.47</v>
      </c>
      <c r="BD7" s="116">
        <f>SUMIFS('IS Proforma'!BD:BD,'IS Proforma'!$B:$B,Summary!$B7)</f>
        <v>1490534.739</v>
      </c>
      <c r="BE7" s="116">
        <f>SUMIFS('IS Proforma'!BE:BE,'IS Proforma'!$B:$B,Summary!$B7)</f>
        <v>1518058.964</v>
      </c>
      <c r="BF7" s="116">
        <f>SUMIFS('IS Proforma'!BF:BF,'IS Proforma'!$B:$B,Summary!$B7)</f>
        <v>1544868.694</v>
      </c>
      <c r="BG7" s="116">
        <f>SUMIFS('IS Proforma'!BG:BG,'IS Proforma'!$B:$B,Summary!$B7)</f>
        <v>1584805.768</v>
      </c>
      <c r="BH7" s="116">
        <f>SUMIFS('IS Proforma'!BH:BH,'IS Proforma'!$B:$B,Summary!$B7)</f>
        <v>1610842.016</v>
      </c>
      <c r="BI7" s="116">
        <f>SUMIFS('IS Proforma'!BI:BI,'IS Proforma'!$B:$B,Summary!$B7)</f>
        <v>1636433.352</v>
      </c>
      <c r="BJ7" s="116">
        <f>SUMIFS('IS Proforma'!BJ:BJ,'IS Proforma'!$B:$B,Summary!$B7)</f>
        <v>1661609.333</v>
      </c>
      <c r="BK7" s="116">
        <f>SUMIFS('IS Proforma'!BK:BK,'IS Proforma'!$B:$B,Summary!$B7)</f>
        <v>1686397.772</v>
      </c>
      <c r="BL7" s="116">
        <f>SUMIFS('IS Proforma'!BL:BL,'IS Proforma'!$B:$B,Summary!$B7)</f>
        <v>1739238.992</v>
      </c>
      <c r="BM7" s="116">
        <f>SUMIFS('IS Proforma'!BM:BM,'IS Proforma'!$B:$B,Summary!$B7)</f>
        <v>1777119.667</v>
      </c>
      <c r="BN7" s="116">
        <f>SUMIFS('IS Proforma'!BN:BN,'IS Proforma'!$B:$B,Summary!$B7)</f>
        <v>1814093.164</v>
      </c>
      <c r="BO7" s="116">
        <f>SUMIFS('IS Proforma'!BO:BO,'IS Proforma'!$B:$B,Summary!$B7)</f>
        <v>1850394.164</v>
      </c>
      <c r="BP7" s="116">
        <f>SUMIFS('IS Proforma'!BP:BP,'IS Proforma'!$B:$B,Summary!$B7)</f>
        <v>1886085.975</v>
      </c>
      <c r="BQ7" s="116">
        <f>SUMIFS('IS Proforma'!BQ:BQ,'IS Proforma'!$B:$B,Summary!$B7)</f>
        <v>1921205.146</v>
      </c>
      <c r="BR7" s="116">
        <f>SUMIFS('IS Proforma'!BR:BR,'IS Proforma'!$B:$B,Summary!$B7)</f>
        <v>1955783.201</v>
      </c>
      <c r="BS7" s="116">
        <f>SUMIFS('IS Proforma'!BS:BS,'IS Proforma'!$B:$B,Summary!$B7)</f>
        <v>1989849.94</v>
      </c>
      <c r="BT7" s="116">
        <f>SUMIFS('IS Proforma'!BT:BT,'IS Proforma'!$B:$B,Summary!$B7)</f>
        <v>2023433.974</v>
      </c>
      <c r="BU7" s="116">
        <f>SUMIFS('IS Proforma'!BU:BU,'IS Proforma'!$B:$B,Summary!$B7)</f>
        <v>2056562.845</v>
      </c>
      <c r="BV7" s="116">
        <f>SUMIFS('IS Proforma'!BV:BV,'IS Proforma'!$B:$B,Summary!$B7)</f>
        <v>2089263.077</v>
      </c>
      <c r="BW7" s="116">
        <f>SUMIFS('IS Proforma'!BW:BW,'IS Proforma'!$B:$B,Summary!$B7)</f>
        <v>2121560.221</v>
      </c>
      <c r="BX7" s="116">
        <f>SUMIFS('IS Proforma'!BX:BX,'IS Proforma'!$B:$B,Summary!$B7)</f>
        <v>2177703.884</v>
      </c>
      <c r="BY7" s="116">
        <f>SUMIFS('IS Proforma'!BY:BY,'IS Proforma'!$B:$B,Summary!$B7)</f>
        <v>2210505.931</v>
      </c>
      <c r="BZ7" s="116">
        <f>SUMIFS('IS Proforma'!BZ:BZ,'IS Proforma'!$B:$B,Summary!$B7)</f>
        <v>2240108.088</v>
      </c>
      <c r="CA7" s="116">
        <f>SUMIFS('IS Proforma'!CA:CA,'IS Proforma'!$B:$B,Summary!$B7)</f>
        <v>2269833.804</v>
      </c>
      <c r="CB7" s="116">
        <f>SUMIFS('IS Proforma'!CB:CB,'IS Proforma'!$B:$B,Summary!$B7)</f>
        <v>2299513.652</v>
      </c>
      <c r="CC7" s="116">
        <f>SUMIFS('IS Proforma'!CC:CC,'IS Proforma'!$B:$B,Summary!$B7)</f>
        <v>2329137.542</v>
      </c>
      <c r="CD7" s="116">
        <f>SUMIFS('IS Proforma'!CD:CD,'IS Proforma'!$B:$B,Summary!$B7)</f>
        <v>2358718.982</v>
      </c>
      <c r="CE7" s="116">
        <f>SUMIFS('IS Proforma'!CE:CE,'IS Proforma'!$B:$B,Summary!$B7)</f>
        <v>2388274.732</v>
      </c>
      <c r="CF7" s="116">
        <f>SUMIFS('IS Proforma'!CF:CF,'IS Proforma'!$B:$B,Summary!$B7)</f>
        <v>2417821.78</v>
      </c>
      <c r="CG7" s="116">
        <f>SUMIFS('IS Proforma'!CG:CG,'IS Proforma'!$B:$B,Summary!$B7)</f>
        <v>2447376.898</v>
      </c>
      <c r="CH7" s="116">
        <f>SUMIFS('IS Proforma'!CH:CH,'IS Proforma'!$B:$B,Summary!$B7)</f>
        <v>2476956.595</v>
      </c>
      <c r="CI7" s="116">
        <f>SUMIFS('IS Proforma'!CI:CI,'IS Proforma'!$B:$B,Summary!$B7)</f>
        <v>2506577.134</v>
      </c>
      <c r="CJ7" s="116">
        <f>SUMIFS('IS Proforma'!CJ:CJ,'IS Proforma'!$B:$B,Summary!$B7)</f>
        <v>2561373.418</v>
      </c>
      <c r="CK7" s="116">
        <f>SUMIFS('IS Proforma'!CK:CK,'IS Proforma'!$B:$B,Summary!$B7)</f>
        <v>2582415.164</v>
      </c>
      <c r="CL7" s="116">
        <f>SUMIFS('IS Proforma'!CL:CL,'IS Proforma'!$B:$B,Summary!$B7)</f>
        <v>2603208.601</v>
      </c>
      <c r="CM7" s="116">
        <f>SUMIFS('IS Proforma'!CM:CM,'IS Proforma'!$B:$B,Summary!$B7)</f>
        <v>2624466.562</v>
      </c>
      <c r="CN7" s="116">
        <f>SUMIFS('IS Proforma'!CN:CN,'IS Proforma'!$B:$B,Summary!$B7)</f>
        <v>2645601.904</v>
      </c>
      <c r="CO7" s="116">
        <f>SUMIFS('IS Proforma'!CO:CO,'IS Proforma'!$B:$B,Summary!$B7)</f>
        <v>2666545.797</v>
      </c>
      <c r="CP7" s="116">
        <f>SUMIFS('IS Proforma'!CP:CP,'IS Proforma'!$B:$B,Summary!$B7)</f>
        <v>2687306.365</v>
      </c>
      <c r="CQ7" s="116">
        <f>SUMIFS('IS Proforma'!CQ:CQ,'IS Proforma'!$B:$B,Summary!$B7)</f>
        <v>2707902.517</v>
      </c>
      <c r="CR7" s="116">
        <f>SUMIFS('IS Proforma'!CR:CR,'IS Proforma'!$B:$B,Summary!$B7)</f>
        <v>2728354.052</v>
      </c>
      <c r="CS7" s="116">
        <f>SUMIFS('IS Proforma'!CS:CS,'IS Proforma'!$B:$B,Summary!$B7)</f>
        <v>2748680.209</v>
      </c>
      <c r="CT7" s="116">
        <f>SUMIFS('IS Proforma'!CT:CT,'IS Proforma'!$B:$B,Summary!$B7)</f>
        <v>2768899.477</v>
      </c>
      <c r="CU7" s="116">
        <f>SUMIFS('IS Proforma'!CU:CU,'IS Proforma'!$B:$B,Summary!$B7)</f>
        <v>2789029.597</v>
      </c>
      <c r="CW7" s="117">
        <f t="shared" ref="CW7:CW13" si="1">SUM(D7:G7)</f>
        <v>979106</v>
      </c>
      <c r="CX7" s="117">
        <f t="shared" ref="CX7:CX13" si="2">SUM(H7:K7)</f>
        <v>890408</v>
      </c>
      <c r="CY7" s="117">
        <f t="shared" ref="CY7:CY13" si="3">SUM(L7:O7)</f>
        <v>781093</v>
      </c>
      <c r="CZ7" s="117">
        <f t="shared" ref="CZ7:CZ13" si="4">SUM(P7:S7)</f>
        <v>865411</v>
      </c>
      <c r="DA7" s="117">
        <f t="shared" ref="DA7:DA14" si="5">SUM(T7:W7)</f>
        <v>763882</v>
      </c>
      <c r="DB7" s="117">
        <f t="shared" ref="DB7:DB14" si="6">SUM(X7:AA7)</f>
        <v>893692</v>
      </c>
      <c r="DC7" s="117">
        <f t="shared" ref="DC7:DC14" si="7">SUM(AB7:AE7)</f>
        <v>873999</v>
      </c>
      <c r="DD7" s="117">
        <f t="shared" ref="DD7:DD14" si="8">SUM(AF7:AI7)</f>
        <v>1017303</v>
      </c>
      <c r="DE7" s="117">
        <f t="shared" ref="DE7:DE14" si="9">SUM(AJ7:AM7)</f>
        <v>1152079.359</v>
      </c>
      <c r="DF7" s="117">
        <f t="shared" ref="DF7:DF14" si="10">SUM(AN7:AQ7)</f>
        <v>2472567.247</v>
      </c>
      <c r="DG7" s="117">
        <f t="shared" ref="DG7:DG14" si="11">SUM(AR7:AU7)</f>
        <v>3703685.885</v>
      </c>
      <c r="DH7" s="117">
        <f t="shared" ref="DH7:DH14" si="12">SUM(AV7:AY7)</f>
        <v>4905634.823</v>
      </c>
      <c r="DI7" s="117">
        <f t="shared" ref="DI7:DI14" si="13">SUM(AZ7:BC7)</f>
        <v>5712189.537</v>
      </c>
      <c r="DJ7" s="117">
        <f t="shared" ref="DJ7:DJ14" si="14">SUM(BD7:BG7)</f>
        <v>6138268.165</v>
      </c>
      <c r="DK7" s="117">
        <f t="shared" ref="DK7:DK14" si="15">SUM(BH7:BK7)</f>
        <v>6595282.473</v>
      </c>
      <c r="DL7" s="117">
        <f t="shared" ref="DL7:DL14" si="16">SUM(BL7:BO7)</f>
        <v>7180845.987</v>
      </c>
      <c r="DM7" s="117">
        <f t="shared" ref="DM7:DM14" si="17">SUM(BP7:BS7)</f>
        <v>7752924.262</v>
      </c>
      <c r="DN7" s="117">
        <f t="shared" ref="DN7:DN14" si="18">SUM(BT7:BW7)</f>
        <v>8290820.117</v>
      </c>
      <c r="DO7" s="117">
        <f t="shared" ref="DO7:DO14" si="19">SUM(BX7:CA7)</f>
        <v>8898151.707</v>
      </c>
      <c r="DP7" s="117">
        <f t="shared" ref="DP7:DP14" si="20">SUM(CB7:CE7)</f>
        <v>9375644.909</v>
      </c>
      <c r="DQ7" s="117">
        <f t="shared" ref="DQ7:DQ14" si="21">SUM(CF7:CI7)</f>
        <v>9848732.407</v>
      </c>
      <c r="DR7" s="117">
        <f t="shared" ref="DR7:DR14" si="22">SUM(CJ7:CM7)</f>
        <v>10371463.75</v>
      </c>
      <c r="DS7" s="117">
        <f t="shared" ref="DS7:DS14" si="23">SUM(CN7:CQ7)</f>
        <v>10707356.58</v>
      </c>
      <c r="DT7" s="117">
        <f t="shared" ref="DT7:DT14" si="24">SUM(CR7:CU7)</f>
        <v>11034963.34</v>
      </c>
      <c r="DV7" s="117">
        <f t="shared" ref="DV7:DV14" si="25">SUM(D7:O7)</f>
        <v>2650607</v>
      </c>
      <c r="DW7" s="117">
        <f t="shared" ref="DW7:DW14" si="26">SUM(P7:AA7)</f>
        <v>2522985</v>
      </c>
      <c r="DX7" s="117">
        <f t="shared" ref="DX7:DX14" si="27">SUM(AB7:AM7)</f>
        <v>3043381.359</v>
      </c>
      <c r="DY7" s="117">
        <f t="shared" ref="DY7:DY14" si="28">SUM(AN7:AY7)</f>
        <v>11081887.95</v>
      </c>
      <c r="DZ7" s="117">
        <f t="shared" ref="DZ7:DZ14" si="29">SUM(AZ7:BK7)</f>
        <v>18445740.18</v>
      </c>
      <c r="EA7" s="117">
        <f t="shared" ref="EA7:EA14" si="30">SUM(BL7:BW7)</f>
        <v>23224590.37</v>
      </c>
      <c r="EB7" s="117">
        <f t="shared" ref="EB7:EB14" si="31">SUM(BX7:CI7)</f>
        <v>28122529.02</v>
      </c>
      <c r="EC7" s="117">
        <f t="shared" ref="EC7:EC14" si="32">SUM(CJ7:CU7)</f>
        <v>32113783.67</v>
      </c>
      <c r="ED7" s="118"/>
      <c r="EE7" s="118"/>
    </row>
    <row r="8" outlineLevel="1">
      <c r="B8" s="1" t="s">
        <v>85</v>
      </c>
      <c r="C8" s="1" t="s">
        <v>85</v>
      </c>
      <c r="D8" s="116">
        <f>SUMIFS('IS Proforma'!D:D,'IS Proforma'!$B:$B,Summary!$B8)</f>
        <v>173265</v>
      </c>
      <c r="E8" s="116">
        <f>SUMIFS('IS Proforma'!E:E,'IS Proforma'!$B:$B,Summary!$B8)</f>
        <v>203302</v>
      </c>
      <c r="F8" s="116">
        <f>SUMIFS('IS Proforma'!F:F,'IS Proforma'!$B:$B,Summary!$B8)</f>
        <v>132754</v>
      </c>
      <c r="G8" s="116">
        <f>SUMIFS('IS Proforma'!G:G,'IS Proforma'!$B:$B,Summary!$B8)</f>
        <v>261039</v>
      </c>
      <c r="H8" s="116">
        <f>SUMIFS('IS Proforma'!H:H,'IS Proforma'!$B:$B,Summary!$B8)</f>
        <v>259937</v>
      </c>
      <c r="I8" s="116">
        <f>SUMIFS('IS Proforma'!I:I,'IS Proforma'!$B:$B,Summary!$B8)</f>
        <v>197823</v>
      </c>
      <c r="J8" s="116">
        <f>SUMIFS('IS Proforma'!J:J,'IS Proforma'!$B:$B,Summary!$B8)</f>
        <v>142286</v>
      </c>
      <c r="K8" s="116">
        <f>SUMIFS('IS Proforma'!K:K,'IS Proforma'!$B:$B,Summary!$B8)</f>
        <v>249070</v>
      </c>
      <c r="L8" s="116">
        <f>SUMIFS('IS Proforma'!L:L,'IS Proforma'!$B:$B,Summary!$B8)</f>
        <v>162626</v>
      </c>
      <c r="M8" s="116">
        <f>SUMIFS('IS Proforma'!M:M,'IS Proforma'!$B:$B,Summary!$B8)</f>
        <v>193751</v>
      </c>
      <c r="N8" s="116">
        <f>SUMIFS('IS Proforma'!N:N,'IS Proforma'!$B:$B,Summary!$B8)</f>
        <v>210602</v>
      </c>
      <c r="O8" s="116">
        <f>SUMIFS('IS Proforma'!O:O,'IS Proforma'!$B:$B,Summary!$B8)</f>
        <v>255346</v>
      </c>
      <c r="P8" s="116">
        <f>SUMIFS('IS Proforma'!P:P,'IS Proforma'!$B:$B,Summary!$B8)</f>
        <v>157989</v>
      </c>
      <c r="Q8" s="116">
        <f>SUMIFS('IS Proforma'!Q:Q,'IS Proforma'!$B:$B,Summary!$B8)</f>
        <v>262015</v>
      </c>
      <c r="R8" s="116">
        <f>SUMIFS('IS Proforma'!R:R,'IS Proforma'!$B:$B,Summary!$B8)</f>
        <v>239919</v>
      </c>
      <c r="S8" s="116">
        <f>SUMIFS('IS Proforma'!S:S,'IS Proforma'!$B:$B,Summary!$B8)</f>
        <v>246852</v>
      </c>
      <c r="T8" s="116">
        <f>SUMIFS('IS Proforma'!T:T,'IS Proforma'!$B:$B,Summary!$B8)</f>
        <v>168753</v>
      </c>
      <c r="U8" s="116">
        <f>SUMIFS('IS Proforma'!U:U,'IS Proforma'!$B:$B,Summary!$B8)</f>
        <v>219427</v>
      </c>
      <c r="V8" s="116">
        <f>SUMIFS('IS Proforma'!V:V,'IS Proforma'!$B:$B,Summary!$B8)</f>
        <v>179883</v>
      </c>
      <c r="W8" s="116">
        <f>SUMIFS('IS Proforma'!W:W,'IS Proforma'!$B:$B,Summary!$B8)</f>
        <v>165543</v>
      </c>
      <c r="X8" s="116">
        <f>SUMIFS('IS Proforma'!X:X,'IS Proforma'!$B:$B,Summary!$B8)</f>
        <v>227180</v>
      </c>
      <c r="Y8" s="116">
        <f>SUMIFS('IS Proforma'!Y:Y,'IS Proforma'!$B:$B,Summary!$B8)</f>
        <v>259006</v>
      </c>
      <c r="Z8" s="116">
        <f>SUMIFS('IS Proforma'!Z:Z,'IS Proforma'!$B:$B,Summary!$B8)</f>
        <v>234471</v>
      </c>
      <c r="AA8" s="116">
        <f>SUMIFS('IS Proforma'!AA:AA,'IS Proforma'!$B:$B,Summary!$B8)</f>
        <v>265758</v>
      </c>
      <c r="AB8" s="116">
        <f>SUMIFS('IS Proforma'!AB:AB,'IS Proforma'!$B:$B,Summary!$B8)</f>
        <v>231341</v>
      </c>
      <c r="AC8" s="116">
        <f>SUMIFS('IS Proforma'!AC:AC,'IS Proforma'!$B:$B,Summary!$B8)</f>
        <v>219777</v>
      </c>
      <c r="AD8" s="116">
        <f>SUMIFS('IS Proforma'!AD:AD,'IS Proforma'!$B:$B,Summary!$B8)</f>
        <v>140531</v>
      </c>
      <c r="AE8" s="116">
        <f>SUMIFS('IS Proforma'!AE:AE,'IS Proforma'!$B:$B,Summary!$B8)</f>
        <v>172522</v>
      </c>
      <c r="AF8" s="116">
        <f>SUMIFS('IS Proforma'!AF:AF,'IS Proforma'!$B:$B,Summary!$B8)</f>
        <v>167953</v>
      </c>
      <c r="AG8" s="116">
        <f>SUMIFS('IS Proforma'!AG:AG,'IS Proforma'!$B:$B,Summary!$B8)</f>
        <v>183441</v>
      </c>
      <c r="AH8" s="116">
        <f>SUMIFS('IS Proforma'!AH:AH,'IS Proforma'!$B:$B,Summary!$B8)</f>
        <v>128542</v>
      </c>
      <c r="AI8" s="116">
        <f>SUMIFS('IS Proforma'!AI:AI,'IS Proforma'!$B:$B,Summary!$B8)</f>
        <v>260968</v>
      </c>
      <c r="AJ8" s="116">
        <f>SUMIFS('IS Proforma'!AJ:AJ,'IS Proforma'!$B:$B,Summary!$B8)</f>
        <v>274042</v>
      </c>
      <c r="AK8" s="116">
        <f>SUMIFS('IS Proforma'!AK:AK,'IS Proforma'!$B:$B,Summary!$B8)</f>
        <v>169044</v>
      </c>
      <c r="AL8" s="116">
        <f>SUMIFS('IS Proforma'!AL:AL,'IS Proforma'!$B:$B,Summary!$B8)</f>
        <v>185698</v>
      </c>
      <c r="AM8" s="116">
        <f>SUMIFS('IS Proforma'!AM:AM,'IS Proforma'!$B:$B,Summary!$B8)</f>
        <v>273479.9044</v>
      </c>
      <c r="AN8" s="116">
        <f>SUMIFS('IS Proforma'!AN:AN,'IS Proforma'!$B:$B,Summary!$B8)</f>
        <v>333775.5366</v>
      </c>
      <c r="AO8" s="116">
        <f>SUMIFS('IS Proforma'!AO:AO,'IS Proforma'!$B:$B,Summary!$B8)</f>
        <v>396850.6096</v>
      </c>
      <c r="AP8" s="116">
        <f>SUMIFS('IS Proforma'!AP:AP,'IS Proforma'!$B:$B,Summary!$B8)</f>
        <v>456755.2775</v>
      </c>
      <c r="AQ8" s="116">
        <f>SUMIFS('IS Proforma'!AQ:AQ,'IS Proforma'!$B:$B,Summary!$B8)</f>
        <v>516926.4202</v>
      </c>
      <c r="AR8" s="116">
        <f>SUMIFS('IS Proforma'!AR:AR,'IS Proforma'!$B:$B,Summary!$B8)</f>
        <v>576580.2861</v>
      </c>
      <c r="AS8" s="116">
        <f>SUMIFS('IS Proforma'!AS:AS,'IS Proforma'!$B:$B,Summary!$B8)</f>
        <v>635351.6453</v>
      </c>
      <c r="AT8" s="116">
        <f>SUMIFS('IS Proforma'!AT:AT,'IS Proforma'!$B:$B,Summary!$B8)</f>
        <v>689760.3533</v>
      </c>
      <c r="AU8" s="116">
        <f>SUMIFS('IS Proforma'!AU:AU,'IS Proforma'!$B:$B,Summary!$B8)</f>
        <v>741903.5395</v>
      </c>
      <c r="AV8" s="116">
        <f>SUMIFS('IS Proforma'!AV:AV,'IS Proforma'!$B:$B,Summary!$B8)</f>
        <v>792652.34</v>
      </c>
      <c r="AW8" s="116">
        <f>SUMIFS('IS Proforma'!AW:AW,'IS Proforma'!$B:$B,Summary!$B8)</f>
        <v>837160.0566</v>
      </c>
      <c r="AX8" s="116">
        <f>SUMIFS('IS Proforma'!AX:AX,'IS Proforma'!$B:$B,Summary!$B8)</f>
        <v>883691.7047</v>
      </c>
      <c r="AY8" s="116">
        <f>SUMIFS('IS Proforma'!AY:AY,'IS Proforma'!$B:$B,Summary!$B8)</f>
        <v>930090.3147</v>
      </c>
      <c r="AZ8" s="116">
        <f>SUMIFS('IS Proforma'!AZ:AZ,'IS Proforma'!$B:$B,Summary!$B8)</f>
        <v>963108.0723</v>
      </c>
      <c r="BA8" s="116">
        <f>SUMIFS('IS Proforma'!BA:BA,'IS Proforma'!$B:$B,Summary!$B8)</f>
        <v>969388.3742</v>
      </c>
      <c r="BB8" s="116">
        <f>SUMIFS('IS Proforma'!BB:BB,'IS Proforma'!$B:$B,Summary!$B8)</f>
        <v>984545.4786</v>
      </c>
      <c r="BC8" s="116">
        <f>SUMIFS('IS Proforma'!BC:BC,'IS Proforma'!$B:$B,Summary!$B8)</f>
        <v>1002925.257</v>
      </c>
      <c r="BD8" s="116">
        <f>SUMIFS('IS Proforma'!BD:BD,'IS Proforma'!$B:$B,Summary!$B8)</f>
        <v>1021443.071</v>
      </c>
      <c r="BE8" s="116">
        <f>SUMIFS('IS Proforma'!BE:BE,'IS Proforma'!$B:$B,Summary!$B8)</f>
        <v>1039992.013</v>
      </c>
      <c r="BF8" s="116">
        <f>SUMIFS('IS Proforma'!BF:BF,'IS Proforma'!$B:$B,Summary!$B8)</f>
        <v>1058038.469</v>
      </c>
      <c r="BG8" s="116">
        <f>SUMIFS('IS Proforma'!BG:BG,'IS Proforma'!$B:$B,Summary!$B8)</f>
        <v>1075720.438</v>
      </c>
      <c r="BH8" s="116">
        <f>SUMIFS('IS Proforma'!BH:BH,'IS Proforma'!$B:$B,Summary!$B8)</f>
        <v>1093077.647</v>
      </c>
      <c r="BI8" s="116">
        <f>SUMIFS('IS Proforma'!BI:BI,'IS Proforma'!$B:$B,Summary!$B8)</f>
        <v>1110134.187</v>
      </c>
      <c r="BJ8" s="116">
        <f>SUMIFS('IS Proforma'!BJ:BJ,'IS Proforma'!$B:$B,Summary!$B8)</f>
        <v>1126910.942</v>
      </c>
      <c r="BK8" s="116">
        <f>SUMIFS('IS Proforma'!BK:BK,'IS Proforma'!$B:$B,Summary!$B8)</f>
        <v>1143427.508</v>
      </c>
      <c r="BL8" s="116">
        <f>SUMIFS('IS Proforma'!BL:BL,'IS Proforma'!$B:$B,Summary!$B8)</f>
        <v>1169957.427</v>
      </c>
      <c r="BM8" s="116">
        <f>SUMIFS('IS Proforma'!BM:BM,'IS Proforma'!$B:$B,Summary!$B8)</f>
        <v>1196178.47</v>
      </c>
      <c r="BN8" s="116">
        <f>SUMIFS('IS Proforma'!BN:BN,'IS Proforma'!$B:$B,Summary!$B8)</f>
        <v>1221737.596</v>
      </c>
      <c r="BO8" s="116">
        <f>SUMIFS('IS Proforma'!BO:BO,'IS Proforma'!$B:$B,Summary!$B8)</f>
        <v>1246810.15</v>
      </c>
      <c r="BP8" s="116">
        <f>SUMIFS('IS Proforma'!BP:BP,'IS Proforma'!$B:$B,Summary!$B8)</f>
        <v>1271442.998</v>
      </c>
      <c r="BQ8" s="116">
        <f>SUMIFS('IS Proforma'!BQ:BQ,'IS Proforma'!$B:$B,Summary!$B8)</f>
        <v>1295662.943</v>
      </c>
      <c r="BR8" s="116">
        <f>SUMIFS('IS Proforma'!BR:BR,'IS Proforma'!$B:$B,Summary!$B8)</f>
        <v>1319493.015</v>
      </c>
      <c r="BS8" s="116">
        <f>SUMIFS('IS Proforma'!BS:BS,'IS Proforma'!$B:$B,Summary!$B8)</f>
        <v>1342954.951</v>
      </c>
      <c r="BT8" s="116">
        <f>SUMIFS('IS Proforma'!BT:BT,'IS Proforma'!$B:$B,Summary!$B8)</f>
        <v>1366069.598</v>
      </c>
      <c r="BU8" s="116">
        <f>SUMIFS('IS Proforma'!BU:BU,'IS Proforma'!$B:$B,Summary!$B8)</f>
        <v>1388856.997</v>
      </c>
      <c r="BV8" s="116">
        <f>SUMIFS('IS Proforma'!BV:BV,'IS Proforma'!$B:$B,Summary!$B8)</f>
        <v>1411336.429</v>
      </c>
      <c r="BW8" s="116">
        <f>SUMIFS('IS Proforma'!BW:BW,'IS Proforma'!$B:$B,Summary!$B8)</f>
        <v>1433526.447</v>
      </c>
      <c r="BX8" s="116">
        <f>SUMIFS('IS Proforma'!BX:BX,'IS Proforma'!$B:$B,Summary!$B8)</f>
        <v>1459305.982</v>
      </c>
      <c r="BY8" s="116">
        <f>SUMIFS('IS Proforma'!BY:BY,'IS Proforma'!$B:$B,Summary!$B8)</f>
        <v>1481460.363</v>
      </c>
      <c r="BZ8" s="116">
        <f>SUMIFS('IS Proforma'!BZ:BZ,'IS Proforma'!$B:$B,Summary!$B8)</f>
        <v>1501419.466</v>
      </c>
      <c r="CA8" s="116">
        <f>SUMIFS('IS Proforma'!CA:CA,'IS Proforma'!$B:$B,Summary!$B8)</f>
        <v>1521478.331</v>
      </c>
      <c r="CB8" s="116">
        <f>SUMIFS('IS Proforma'!CB:CB,'IS Proforma'!$B:$B,Summary!$B8)</f>
        <v>1541509.029</v>
      </c>
      <c r="CC8" s="116">
        <f>SUMIFS('IS Proforma'!CC:CC,'IS Proforma'!$B:$B,Summary!$B8)</f>
        <v>1561503.092</v>
      </c>
      <c r="CD8" s="116">
        <f>SUMIFS('IS Proforma'!CD:CD,'IS Proforma'!$B:$B,Summary!$B8)</f>
        <v>1581469.747</v>
      </c>
      <c r="CE8" s="116">
        <f>SUMIFS('IS Proforma'!CE:CE,'IS Proforma'!$B:$B,Summary!$B8)</f>
        <v>1601420.673</v>
      </c>
      <c r="CF8" s="116">
        <f>SUMIFS('IS Proforma'!CF:CF,'IS Proforma'!$B:$B,Summary!$B8)</f>
        <v>1621367.72</v>
      </c>
      <c r="CG8" s="116">
        <f>SUMIFS('IS Proforma'!CG:CG,'IS Proforma'!$B:$B,Summary!$B8)</f>
        <v>1641322.582</v>
      </c>
      <c r="CH8" s="116">
        <f>SUMIFS('IS Proforma'!CH:CH,'IS Proforma'!$B:$B,Summary!$B8)</f>
        <v>1661296.766</v>
      </c>
      <c r="CI8" s="116">
        <f>SUMIFS('IS Proforma'!CI:CI,'IS Proforma'!$B:$B,Summary!$B8)</f>
        <v>1681301.595</v>
      </c>
      <c r="CJ8" s="116">
        <f>SUMIFS('IS Proforma'!CJ:CJ,'IS Proforma'!$B:$B,Summary!$B8)</f>
        <v>1703656.174</v>
      </c>
      <c r="CK8" s="116">
        <f>SUMIFS('IS Proforma'!CK:CK,'IS Proforma'!$B:$B,Summary!$B8)</f>
        <v>1717395.503</v>
      </c>
      <c r="CL8" s="116">
        <f>SUMIFS('IS Proforma'!CL:CL,'IS Proforma'!$B:$B,Summary!$B8)</f>
        <v>1731196.241</v>
      </c>
      <c r="CM8" s="116">
        <f>SUMIFS('IS Proforma'!CM:CM,'IS Proforma'!$B:$B,Summary!$B8)</f>
        <v>1745358.099</v>
      </c>
      <c r="CN8" s="116">
        <f>SUMIFS('IS Proforma'!CN:CN,'IS Proforma'!$B:$B,Summary!$B8)</f>
        <v>1759439.834</v>
      </c>
      <c r="CO8" s="116">
        <f>SUMIFS('IS Proforma'!CO:CO,'IS Proforma'!$B:$B,Summary!$B8)</f>
        <v>1773388.798</v>
      </c>
      <c r="CP8" s="116">
        <f>SUMIFS('IS Proforma'!CP:CP,'IS Proforma'!$B:$B,Summary!$B8)</f>
        <v>1787210.066</v>
      </c>
      <c r="CQ8" s="116">
        <f>SUMIFS('IS Proforma'!CQ:CQ,'IS Proforma'!$B:$B,Summary!$B8)</f>
        <v>1800916.819</v>
      </c>
      <c r="CR8" s="116">
        <f>SUMIFS('IS Proforma'!CR:CR,'IS Proforma'!$B:$B,Summary!$B8)</f>
        <v>1814522.936</v>
      </c>
      <c r="CS8" s="116">
        <f>SUMIFS('IS Proforma'!CS:CS,'IS Proforma'!$B:$B,Summary!$B8)</f>
        <v>1828041.899</v>
      </c>
      <c r="CT8" s="116">
        <f>SUMIFS('IS Proforma'!CT:CT,'IS Proforma'!$B:$B,Summary!$B8)</f>
        <v>1841486.653</v>
      </c>
      <c r="CU8" s="116">
        <f>SUMIFS('IS Proforma'!CU:CU,'IS Proforma'!$B:$B,Summary!$B8)</f>
        <v>1854869.607</v>
      </c>
      <c r="CW8" s="117">
        <f t="shared" si="1"/>
        <v>770360</v>
      </c>
      <c r="CX8" s="117">
        <f t="shared" si="2"/>
        <v>849116</v>
      </c>
      <c r="CY8" s="117">
        <f t="shared" si="3"/>
        <v>822325</v>
      </c>
      <c r="CZ8" s="117">
        <f t="shared" si="4"/>
        <v>906775</v>
      </c>
      <c r="DA8" s="117">
        <f t="shared" si="5"/>
        <v>733606</v>
      </c>
      <c r="DB8" s="117">
        <f t="shared" si="6"/>
        <v>986415</v>
      </c>
      <c r="DC8" s="117">
        <f t="shared" si="7"/>
        <v>764171</v>
      </c>
      <c r="DD8" s="117">
        <f t="shared" si="8"/>
        <v>740904</v>
      </c>
      <c r="DE8" s="117">
        <f t="shared" si="9"/>
        <v>902263.9044</v>
      </c>
      <c r="DF8" s="117">
        <f t="shared" si="10"/>
        <v>1704307.844</v>
      </c>
      <c r="DG8" s="117">
        <f t="shared" si="11"/>
        <v>2643595.824</v>
      </c>
      <c r="DH8" s="117">
        <f t="shared" si="12"/>
        <v>3443594.416</v>
      </c>
      <c r="DI8" s="117">
        <f t="shared" si="13"/>
        <v>3919967.182</v>
      </c>
      <c r="DJ8" s="117">
        <f t="shared" si="14"/>
        <v>4195193.991</v>
      </c>
      <c r="DK8" s="117">
        <f t="shared" si="15"/>
        <v>4473550.285</v>
      </c>
      <c r="DL8" s="117">
        <f t="shared" si="16"/>
        <v>4834683.643</v>
      </c>
      <c r="DM8" s="117">
        <f t="shared" si="17"/>
        <v>5229553.907</v>
      </c>
      <c r="DN8" s="117">
        <f t="shared" si="18"/>
        <v>5599789.471</v>
      </c>
      <c r="DO8" s="117">
        <f t="shared" si="19"/>
        <v>5963664.142</v>
      </c>
      <c r="DP8" s="117">
        <f t="shared" si="20"/>
        <v>6285902.542</v>
      </c>
      <c r="DQ8" s="117">
        <f t="shared" si="21"/>
        <v>6605288.663</v>
      </c>
      <c r="DR8" s="117">
        <f t="shared" si="22"/>
        <v>6897606.017</v>
      </c>
      <c r="DS8" s="117">
        <f t="shared" si="23"/>
        <v>7120955.516</v>
      </c>
      <c r="DT8" s="117">
        <f t="shared" si="24"/>
        <v>7338921.095</v>
      </c>
      <c r="DV8" s="117">
        <f t="shared" si="25"/>
        <v>2441801</v>
      </c>
      <c r="DW8" s="117">
        <f t="shared" si="26"/>
        <v>2626796</v>
      </c>
      <c r="DX8" s="117">
        <f t="shared" si="27"/>
        <v>2407338.904</v>
      </c>
      <c r="DY8" s="117">
        <f t="shared" si="28"/>
        <v>7791498.084</v>
      </c>
      <c r="DZ8" s="117">
        <f t="shared" si="29"/>
        <v>12588711.46</v>
      </c>
      <c r="EA8" s="117">
        <f t="shared" si="30"/>
        <v>15664027.02</v>
      </c>
      <c r="EB8" s="117">
        <f t="shared" si="31"/>
        <v>18854855.35</v>
      </c>
      <c r="EC8" s="117">
        <f t="shared" si="32"/>
        <v>21357482.63</v>
      </c>
      <c r="ED8" s="118"/>
      <c r="EE8" s="118"/>
    </row>
    <row r="9" outlineLevel="1">
      <c r="B9" s="1" t="s">
        <v>168</v>
      </c>
      <c r="C9" s="1" t="s">
        <v>87</v>
      </c>
      <c r="D9" s="116">
        <f>SUMIFS('IS Proforma'!D:D,'IS Proforma'!$B:$B,Summary!$B9)</f>
        <v>416663</v>
      </c>
      <c r="E9" s="116">
        <f>SUMIFS('IS Proforma'!E:E,'IS Proforma'!$B:$B,Summary!$B9)</f>
        <v>420185</v>
      </c>
      <c r="F9" s="116">
        <f>SUMIFS('IS Proforma'!F:F,'IS Proforma'!$B:$B,Summary!$B9)</f>
        <v>354496</v>
      </c>
      <c r="G9" s="116">
        <f>SUMIFS('IS Proforma'!G:G,'IS Proforma'!$B:$B,Summary!$B9)</f>
        <v>330456</v>
      </c>
      <c r="H9" s="116">
        <f>SUMIFS('IS Proforma'!H:H,'IS Proforma'!$B:$B,Summary!$B9)</f>
        <v>519653</v>
      </c>
      <c r="I9" s="116">
        <f>SUMIFS('IS Proforma'!I:I,'IS Proforma'!$B:$B,Summary!$B9)</f>
        <v>436976</v>
      </c>
      <c r="J9" s="116">
        <f>SUMIFS('IS Proforma'!J:J,'IS Proforma'!$B:$B,Summary!$B9)</f>
        <v>417769</v>
      </c>
      <c r="K9" s="116">
        <f>SUMIFS('IS Proforma'!K:K,'IS Proforma'!$B:$B,Summary!$B9)</f>
        <v>423444</v>
      </c>
      <c r="L9" s="116">
        <f>SUMIFS('IS Proforma'!L:L,'IS Proforma'!$B:$B,Summary!$B9)</f>
        <v>337082</v>
      </c>
      <c r="M9" s="116">
        <f>SUMIFS('IS Proforma'!M:M,'IS Proforma'!$B:$B,Summary!$B9)</f>
        <v>355825</v>
      </c>
      <c r="N9" s="116">
        <f>SUMIFS('IS Proforma'!N:N,'IS Proforma'!$B:$B,Summary!$B9)</f>
        <v>454220</v>
      </c>
      <c r="O9" s="116">
        <f>SUMIFS('IS Proforma'!O:O,'IS Proforma'!$B:$B,Summary!$B9)</f>
        <v>366243</v>
      </c>
      <c r="P9" s="116">
        <f>SUMIFS('IS Proforma'!P:P,'IS Proforma'!$B:$B,Summary!$B9)</f>
        <v>387620</v>
      </c>
      <c r="Q9" s="116">
        <f>SUMIFS('IS Proforma'!Q:Q,'IS Proforma'!$B:$B,Summary!$B9)</f>
        <v>241178</v>
      </c>
      <c r="R9" s="116">
        <f>SUMIFS('IS Proforma'!R:R,'IS Proforma'!$B:$B,Summary!$B9)</f>
        <v>416266</v>
      </c>
      <c r="S9" s="116">
        <f>SUMIFS('IS Proforma'!S:S,'IS Proforma'!$B:$B,Summary!$B9)</f>
        <v>455393</v>
      </c>
      <c r="T9" s="116">
        <f>SUMIFS('IS Proforma'!T:T,'IS Proforma'!$B:$B,Summary!$B9)</f>
        <v>497621</v>
      </c>
      <c r="U9" s="116">
        <f>SUMIFS('IS Proforma'!U:U,'IS Proforma'!$B:$B,Summary!$B9)</f>
        <v>393216</v>
      </c>
      <c r="V9" s="116">
        <f>SUMIFS('IS Proforma'!V:V,'IS Proforma'!$B:$B,Summary!$B9)</f>
        <v>416387</v>
      </c>
      <c r="W9" s="116">
        <f>SUMIFS('IS Proforma'!W:W,'IS Proforma'!$B:$B,Summary!$B9)</f>
        <v>318880</v>
      </c>
      <c r="X9" s="116">
        <f>SUMIFS('IS Proforma'!X:X,'IS Proforma'!$B:$B,Summary!$B9)</f>
        <v>410009</v>
      </c>
      <c r="Y9" s="116">
        <f>SUMIFS('IS Proforma'!Y:Y,'IS Proforma'!$B:$B,Summary!$B9)</f>
        <v>351500</v>
      </c>
      <c r="Z9" s="116">
        <f>SUMIFS('IS Proforma'!Z:Z,'IS Proforma'!$B:$B,Summary!$B9)</f>
        <v>285894</v>
      </c>
      <c r="AA9" s="116">
        <f>SUMIFS('IS Proforma'!AA:AA,'IS Proforma'!$B:$B,Summary!$B9)</f>
        <v>266196</v>
      </c>
      <c r="AB9" s="116">
        <f>SUMIFS('IS Proforma'!AB:AB,'IS Proforma'!$B:$B,Summary!$B9)</f>
        <v>411774</v>
      </c>
      <c r="AC9" s="116">
        <f>SUMIFS('IS Proforma'!AC:AC,'IS Proforma'!$B:$B,Summary!$B9)</f>
        <v>322159</v>
      </c>
      <c r="AD9" s="116">
        <f>SUMIFS('IS Proforma'!AD:AD,'IS Proforma'!$B:$B,Summary!$B9)</f>
        <v>360150</v>
      </c>
      <c r="AE9" s="116">
        <f>SUMIFS('IS Proforma'!AE:AE,'IS Proforma'!$B:$B,Summary!$B9)</f>
        <v>356634</v>
      </c>
      <c r="AF9" s="116">
        <f>SUMIFS('IS Proforma'!AF:AF,'IS Proforma'!$B:$B,Summary!$B9)</f>
        <v>460353</v>
      </c>
      <c r="AG9" s="116">
        <f>SUMIFS('IS Proforma'!AG:AG,'IS Proforma'!$B:$B,Summary!$B9)</f>
        <v>300048</v>
      </c>
      <c r="AH9" s="116">
        <f>SUMIFS('IS Proforma'!AH:AH,'IS Proforma'!$B:$B,Summary!$B9)</f>
        <v>430757</v>
      </c>
      <c r="AI9" s="116">
        <f>SUMIFS('IS Proforma'!AI:AI,'IS Proforma'!$B:$B,Summary!$B9)</f>
        <v>444697</v>
      </c>
      <c r="AJ9" s="116">
        <f>SUMIFS('IS Proforma'!AJ:AJ,'IS Proforma'!$B:$B,Summary!$B9)</f>
        <v>486593</v>
      </c>
      <c r="AK9" s="116">
        <f>SUMIFS('IS Proforma'!AK:AK,'IS Proforma'!$B:$B,Summary!$B9)</f>
        <v>433956</v>
      </c>
      <c r="AL9" s="116">
        <f>SUMIFS('IS Proforma'!AL:AL,'IS Proforma'!$B:$B,Summary!$B9)</f>
        <v>426292</v>
      </c>
      <c r="AM9" s="116">
        <f>SUMIFS('IS Proforma'!AM:AM,'IS Proforma'!$B:$B,Summary!$B9)</f>
        <v>276010.975</v>
      </c>
      <c r="AN9" s="116">
        <f>SUMIFS('IS Proforma'!AN:AN,'IS Proforma'!$B:$B,Summary!$B9)</f>
        <v>350687.0274</v>
      </c>
      <c r="AO9" s="116">
        <f>SUMIFS('IS Proforma'!AO:AO,'IS Proforma'!$B:$B,Summary!$B9)</f>
        <v>425236.3339</v>
      </c>
      <c r="AP9" s="116">
        <f>SUMIFS('IS Proforma'!AP:AP,'IS Proforma'!$B:$B,Summary!$B9)</f>
        <v>493846.1583</v>
      </c>
      <c r="AQ9" s="116">
        <f>SUMIFS('IS Proforma'!AQ:AQ,'IS Proforma'!$B:$B,Summary!$B9)</f>
        <v>557565.2007</v>
      </c>
      <c r="AR9" s="116">
        <f>SUMIFS('IS Proforma'!AR:AR,'IS Proforma'!$B:$B,Summary!$B9)</f>
        <v>618794.0664</v>
      </c>
      <c r="AS9" s="116">
        <f>SUMIFS('IS Proforma'!AS:AS,'IS Proforma'!$B:$B,Summary!$B9)</f>
        <v>679166.8654</v>
      </c>
      <c r="AT9" s="116">
        <f>SUMIFS('IS Proforma'!AT:AT,'IS Proforma'!$B:$B,Summary!$B9)</f>
        <v>737945.7206</v>
      </c>
      <c r="AU9" s="116">
        <f>SUMIFS('IS Proforma'!AU:AU,'IS Proforma'!$B:$B,Summary!$B9)</f>
        <v>798955.3159</v>
      </c>
      <c r="AV9" s="116">
        <f>SUMIFS('IS Proforma'!AV:AV,'IS Proforma'!$B:$B,Summary!$B9)</f>
        <v>857035.5227</v>
      </c>
      <c r="AW9" s="116">
        <f>SUMIFS('IS Proforma'!AW:AW,'IS Proforma'!$B:$B,Summary!$B9)</f>
        <v>909223.7479</v>
      </c>
      <c r="AX9" s="116">
        <f>SUMIFS('IS Proforma'!AX:AX,'IS Proforma'!$B:$B,Summary!$B9)</f>
        <v>954796.8069</v>
      </c>
      <c r="AY9" s="116">
        <f>SUMIFS('IS Proforma'!AY:AY,'IS Proforma'!$B:$B,Summary!$B9)</f>
        <v>1000310.763</v>
      </c>
      <c r="AZ9" s="116">
        <f>SUMIFS('IS Proforma'!AZ:AZ,'IS Proforma'!$B:$B,Summary!$B9)</f>
        <v>1045803.08</v>
      </c>
      <c r="BA9" s="116">
        <f>SUMIFS('IS Proforma'!BA:BA,'IS Proforma'!$B:$B,Summary!$B9)</f>
        <v>1060837.482</v>
      </c>
      <c r="BB9" s="116">
        <f>SUMIFS('IS Proforma'!BB:BB,'IS Proforma'!$B:$B,Summary!$B9)</f>
        <v>1066689.864</v>
      </c>
      <c r="BC9" s="116">
        <f>SUMIFS('IS Proforma'!BC:BC,'IS Proforma'!$B:$B,Summary!$B9)</f>
        <v>1076646.148</v>
      </c>
      <c r="BD9" s="116">
        <f>SUMIFS('IS Proforma'!BD:BD,'IS Proforma'!$B:$B,Summary!$B9)</f>
        <v>1088887.103</v>
      </c>
      <c r="BE9" s="116">
        <f>SUMIFS('IS Proforma'!BE:BE,'IS Proforma'!$B:$B,Summary!$B9)</f>
        <v>1102294.281</v>
      </c>
      <c r="BF9" s="116">
        <f>SUMIFS('IS Proforma'!BF:BF,'IS Proforma'!$B:$B,Summary!$B9)</f>
        <v>1115918.837</v>
      </c>
      <c r="BG9" s="116">
        <f>SUMIFS('IS Proforma'!BG:BG,'IS Proforma'!$B:$B,Summary!$B9)</f>
        <v>1129283.422</v>
      </c>
      <c r="BH9" s="116">
        <f>SUMIFS('IS Proforma'!BH:BH,'IS Proforma'!$B:$B,Summary!$B9)</f>
        <v>1142410.106</v>
      </c>
      <c r="BI9" s="116">
        <f>SUMIFS('IS Proforma'!BI:BI,'IS Proforma'!$B:$B,Summary!$B9)</f>
        <v>1155316.089</v>
      </c>
      <c r="BJ9" s="116">
        <f>SUMIFS('IS Proforma'!BJ:BJ,'IS Proforma'!$B:$B,Summary!$B9)</f>
        <v>1168016.417</v>
      </c>
      <c r="BK9" s="116">
        <f>SUMIFS('IS Proforma'!BK:BK,'IS Proforma'!$B:$B,Summary!$B9)</f>
        <v>1180524.946</v>
      </c>
      <c r="BL9" s="116">
        <f>SUMIFS('IS Proforma'!BL:BL,'IS Proforma'!$B:$B,Summary!$B9)</f>
        <v>1193131.617</v>
      </c>
      <c r="BM9" s="116">
        <f>SUMIFS('IS Proforma'!BM:BM,'IS Proforma'!$B:$B,Summary!$B9)</f>
        <v>1215896.824</v>
      </c>
      <c r="BN9" s="116">
        <f>SUMIFS('IS Proforma'!BN:BN,'IS Proforma'!$B:$B,Summary!$B9)</f>
        <v>1238203.963</v>
      </c>
      <c r="BO9" s="116">
        <f>SUMIFS('IS Proforma'!BO:BO,'IS Proforma'!$B:$B,Summary!$B9)</f>
        <v>1259966.901</v>
      </c>
      <c r="BP9" s="116">
        <f>SUMIFS('IS Proforma'!BP:BP,'IS Proforma'!$B:$B,Summary!$B9)</f>
        <v>1281262.865</v>
      </c>
      <c r="BQ9" s="116">
        <f>SUMIFS('IS Proforma'!BQ:BQ,'IS Proforma'!$B:$B,Summary!$B9)</f>
        <v>1302132.414</v>
      </c>
      <c r="BR9" s="116">
        <f>SUMIFS('IS Proforma'!BR:BR,'IS Proforma'!$B:$B,Summary!$B9)</f>
        <v>1322602.735</v>
      </c>
      <c r="BS9" s="116">
        <f>SUMIFS('IS Proforma'!BS:BS,'IS Proforma'!$B:$B,Summary!$B9)</f>
        <v>1342695.826</v>
      </c>
      <c r="BT9" s="116">
        <f>SUMIFS('IS Proforma'!BT:BT,'IS Proforma'!$B:$B,Summary!$B9)</f>
        <v>1362431.372</v>
      </c>
      <c r="BU9" s="116">
        <f>SUMIFS('IS Proforma'!BU:BU,'IS Proforma'!$B:$B,Summary!$B9)</f>
        <v>1381827.782</v>
      </c>
      <c r="BV9" s="116">
        <f>SUMIFS('IS Proforma'!BV:BV,'IS Proforma'!$B:$B,Summary!$B9)</f>
        <v>1400902.562</v>
      </c>
      <c r="BW9" s="116">
        <f>SUMIFS('IS Proforma'!BW:BW,'IS Proforma'!$B:$B,Summary!$B9)</f>
        <v>1419672.474</v>
      </c>
      <c r="BX9" s="116">
        <f>SUMIFS('IS Proforma'!BX:BX,'IS Proforma'!$B:$B,Summary!$B9)</f>
        <v>1441122.851</v>
      </c>
      <c r="BY9" s="116">
        <f>SUMIFS('IS Proforma'!BY:BY,'IS Proforma'!$B:$B,Summary!$B9)</f>
        <v>1465179.478</v>
      </c>
      <c r="BZ9" s="116">
        <f>SUMIFS('IS Proforma'!BZ:BZ,'IS Proforma'!$B:$B,Summary!$B9)</f>
        <v>1488062.037</v>
      </c>
      <c r="CA9" s="116">
        <f>SUMIFS('IS Proforma'!CA:CA,'IS Proforma'!$B:$B,Summary!$B9)</f>
        <v>1509147.715</v>
      </c>
      <c r="CB9" s="116">
        <f>SUMIFS('IS Proforma'!CB:CB,'IS Proforma'!$B:$B,Summary!$B9)</f>
        <v>1529904.053</v>
      </c>
      <c r="CC9" s="116">
        <f>SUMIFS('IS Proforma'!CC:CC,'IS Proforma'!$B:$B,Summary!$B9)</f>
        <v>1550377.039</v>
      </c>
      <c r="CD9" s="116">
        <f>SUMIFS('IS Proforma'!CD:CD,'IS Proforma'!$B:$B,Summary!$B9)</f>
        <v>1570593.034</v>
      </c>
      <c r="CE9" s="116">
        <f>SUMIFS('IS Proforma'!CE:CE,'IS Proforma'!$B:$B,Summary!$B9)</f>
        <v>1590571.194</v>
      </c>
      <c r="CF9" s="116">
        <f>SUMIFS('IS Proforma'!CF:CF,'IS Proforma'!$B:$B,Summary!$B9)</f>
        <v>1610327.838</v>
      </c>
      <c r="CG9" s="116">
        <f>SUMIFS('IS Proforma'!CG:CG,'IS Proforma'!$B:$B,Summary!$B9)</f>
        <v>1629877.987</v>
      </c>
      <c r="CH9" s="116">
        <f>SUMIFS('IS Proforma'!CH:CH,'IS Proforma'!$B:$B,Summary!$B9)</f>
        <v>1649235.922</v>
      </c>
      <c r="CI9" s="116">
        <f>SUMIFS('IS Proforma'!CI:CI,'IS Proforma'!$B:$B,Summary!$B9)</f>
        <v>1668415.386</v>
      </c>
      <c r="CJ9" s="116">
        <f>SUMIFS('IS Proforma'!CJ:CJ,'IS Proforma'!$B:$B,Summary!$B9)</f>
        <v>1687429.669</v>
      </c>
      <c r="CK9" s="116">
        <f>SUMIFS('IS Proforma'!CK:CK,'IS Proforma'!$B:$B,Summary!$B9)</f>
        <v>1701265.07</v>
      </c>
      <c r="CL9" s="116">
        <f>SUMIFS('IS Proforma'!CL:CL,'IS Proforma'!$B:$B,Summary!$B9)</f>
        <v>1712809.028</v>
      </c>
      <c r="CM9" s="116">
        <f>SUMIFS('IS Proforma'!CM:CM,'IS Proforma'!$B:$B,Summary!$B9)</f>
        <v>1724389.739</v>
      </c>
      <c r="CN9" s="116">
        <f>SUMIFS('IS Proforma'!CN:CN,'IS Proforma'!$B:$B,Summary!$B9)</f>
        <v>1736419.269</v>
      </c>
      <c r="CO9" s="116">
        <f>SUMIFS('IS Proforma'!CO:CO,'IS Proforma'!$B:$B,Summary!$B9)</f>
        <v>1748552.268</v>
      </c>
      <c r="CP9" s="116">
        <f>SUMIFS('IS Proforma'!CP:CP,'IS Proforma'!$B:$B,Summary!$B9)</f>
        <v>1760673.347</v>
      </c>
      <c r="CQ9" s="116">
        <f>SUMIFS('IS Proforma'!CQ:CQ,'IS Proforma'!$B:$B,Summary!$B9)</f>
        <v>1772747.379</v>
      </c>
      <c r="CR9" s="116">
        <f>SUMIFS('IS Proforma'!CR:CR,'IS Proforma'!$B:$B,Summary!$B9)</f>
        <v>1784767.117</v>
      </c>
      <c r="CS9" s="116">
        <f>SUMIFS('IS Proforma'!CS:CS,'IS Proforma'!$B:$B,Summary!$B9)</f>
        <v>1796734.866</v>
      </c>
      <c r="CT9" s="116">
        <f>SUMIFS('IS Proforma'!CT:CT,'IS Proforma'!$B:$B,Summary!$B9)</f>
        <v>1808656.08</v>
      </c>
      <c r="CU9" s="116">
        <f>SUMIFS('IS Proforma'!CU:CU,'IS Proforma'!$B:$B,Summary!$B9)</f>
        <v>1820537.127</v>
      </c>
      <c r="CW9" s="117">
        <f t="shared" si="1"/>
        <v>1521800</v>
      </c>
      <c r="CX9" s="117">
        <f t="shared" si="2"/>
        <v>1797842</v>
      </c>
      <c r="CY9" s="117">
        <f t="shared" si="3"/>
        <v>1513370</v>
      </c>
      <c r="CZ9" s="117">
        <f t="shared" si="4"/>
        <v>1500457</v>
      </c>
      <c r="DA9" s="117">
        <f t="shared" si="5"/>
        <v>1626104</v>
      </c>
      <c r="DB9" s="117">
        <f t="shared" si="6"/>
        <v>1313599</v>
      </c>
      <c r="DC9" s="117">
        <f t="shared" si="7"/>
        <v>1450717</v>
      </c>
      <c r="DD9" s="117">
        <f t="shared" si="8"/>
        <v>1635855</v>
      </c>
      <c r="DE9" s="117">
        <f t="shared" si="9"/>
        <v>1622851.975</v>
      </c>
      <c r="DF9" s="117">
        <f t="shared" si="10"/>
        <v>1827334.72</v>
      </c>
      <c r="DG9" s="117">
        <f t="shared" si="11"/>
        <v>2834861.968</v>
      </c>
      <c r="DH9" s="117">
        <f t="shared" si="12"/>
        <v>3721366.841</v>
      </c>
      <c r="DI9" s="117">
        <f t="shared" si="13"/>
        <v>4249976.574</v>
      </c>
      <c r="DJ9" s="117">
        <f t="shared" si="14"/>
        <v>4436383.643</v>
      </c>
      <c r="DK9" s="117">
        <f t="shared" si="15"/>
        <v>4646267.558</v>
      </c>
      <c r="DL9" s="117">
        <f t="shared" si="16"/>
        <v>4907199.305</v>
      </c>
      <c r="DM9" s="117">
        <f t="shared" si="17"/>
        <v>5248693.841</v>
      </c>
      <c r="DN9" s="117">
        <f t="shared" si="18"/>
        <v>5564834.19</v>
      </c>
      <c r="DO9" s="117">
        <f t="shared" si="19"/>
        <v>5903512.081</v>
      </c>
      <c r="DP9" s="117">
        <f t="shared" si="20"/>
        <v>6241445.32</v>
      </c>
      <c r="DQ9" s="117">
        <f t="shared" si="21"/>
        <v>6557857.133</v>
      </c>
      <c r="DR9" s="117">
        <f t="shared" si="22"/>
        <v>6825893.507</v>
      </c>
      <c r="DS9" s="117">
        <f t="shared" si="23"/>
        <v>7018392.263</v>
      </c>
      <c r="DT9" s="117">
        <f t="shared" si="24"/>
        <v>7210695.19</v>
      </c>
      <c r="DV9" s="117">
        <f t="shared" si="25"/>
        <v>4833012</v>
      </c>
      <c r="DW9" s="117">
        <f t="shared" si="26"/>
        <v>4440160</v>
      </c>
      <c r="DX9" s="117">
        <f t="shared" si="27"/>
        <v>4709423.975</v>
      </c>
      <c r="DY9" s="117">
        <f t="shared" si="28"/>
        <v>8383563.529</v>
      </c>
      <c r="DZ9" s="117">
        <f t="shared" si="29"/>
        <v>13332627.78</v>
      </c>
      <c r="EA9" s="117">
        <f t="shared" si="30"/>
        <v>15720727.34</v>
      </c>
      <c r="EB9" s="117">
        <f t="shared" si="31"/>
        <v>18702814.53</v>
      </c>
      <c r="EC9" s="117">
        <f t="shared" si="32"/>
        <v>21054980.96</v>
      </c>
      <c r="ED9" s="118"/>
      <c r="EE9" s="118"/>
    </row>
    <row r="10" outlineLevel="1">
      <c r="B10" s="1" t="s">
        <v>89</v>
      </c>
      <c r="C10" s="1" t="s">
        <v>89</v>
      </c>
      <c r="D10" s="116">
        <f>SUMIFS('IS Proforma'!D:D,'IS Proforma'!$B:$B,Summary!$B10)</f>
        <v>227860</v>
      </c>
      <c r="E10" s="116">
        <f>SUMIFS('IS Proforma'!E:E,'IS Proforma'!$B:$B,Summary!$B10)</f>
        <v>177431</v>
      </c>
      <c r="F10" s="116">
        <f>SUMIFS('IS Proforma'!F:F,'IS Proforma'!$B:$B,Summary!$B10)</f>
        <v>208465</v>
      </c>
      <c r="G10" s="116">
        <f>SUMIFS('IS Proforma'!G:G,'IS Proforma'!$B:$B,Summary!$B10)</f>
        <v>166859</v>
      </c>
      <c r="H10" s="116">
        <f>SUMIFS('IS Proforma'!H:H,'IS Proforma'!$B:$B,Summary!$B10)</f>
        <v>146587</v>
      </c>
      <c r="I10" s="116">
        <f>SUMIFS('IS Proforma'!I:I,'IS Proforma'!$B:$B,Summary!$B10)</f>
        <v>243361</v>
      </c>
      <c r="J10" s="116">
        <f>SUMIFS('IS Proforma'!J:J,'IS Proforma'!$B:$B,Summary!$B10)</f>
        <v>160832</v>
      </c>
      <c r="K10" s="116">
        <f>SUMIFS('IS Proforma'!K:K,'IS Proforma'!$B:$B,Summary!$B10)</f>
        <v>139754</v>
      </c>
      <c r="L10" s="116">
        <f>SUMIFS('IS Proforma'!L:L,'IS Proforma'!$B:$B,Summary!$B10)</f>
        <v>255769</v>
      </c>
      <c r="M10" s="116">
        <f>SUMIFS('IS Proforma'!M:M,'IS Proforma'!$B:$B,Summary!$B10)</f>
        <v>168895</v>
      </c>
      <c r="N10" s="116">
        <f>SUMIFS('IS Proforma'!N:N,'IS Proforma'!$B:$B,Summary!$B10)</f>
        <v>199564</v>
      </c>
      <c r="O10" s="116">
        <f>SUMIFS('IS Proforma'!O:O,'IS Proforma'!$B:$B,Summary!$B10)</f>
        <v>234348</v>
      </c>
      <c r="P10" s="116">
        <f>SUMIFS('IS Proforma'!P:P,'IS Proforma'!$B:$B,Summary!$B10)</f>
        <v>195725</v>
      </c>
      <c r="Q10" s="116">
        <f>SUMIFS('IS Proforma'!Q:Q,'IS Proforma'!$B:$B,Summary!$B10)</f>
        <v>214613</v>
      </c>
      <c r="R10" s="116">
        <f>SUMIFS('IS Proforma'!R:R,'IS Proforma'!$B:$B,Summary!$B10)</f>
        <v>197392</v>
      </c>
      <c r="S10" s="116">
        <f>SUMIFS('IS Proforma'!S:S,'IS Proforma'!$B:$B,Summary!$B10)</f>
        <v>258277</v>
      </c>
      <c r="T10" s="116">
        <f>SUMIFS('IS Proforma'!T:T,'IS Proforma'!$B:$B,Summary!$B10)</f>
        <v>139422</v>
      </c>
      <c r="U10" s="116">
        <f>SUMIFS('IS Proforma'!U:U,'IS Proforma'!$B:$B,Summary!$B10)</f>
        <v>247130</v>
      </c>
      <c r="V10" s="116">
        <f>SUMIFS('IS Proforma'!V:V,'IS Proforma'!$B:$B,Summary!$B10)</f>
        <v>139486</v>
      </c>
      <c r="W10" s="116">
        <f>SUMIFS('IS Proforma'!W:W,'IS Proforma'!$B:$B,Summary!$B10)</f>
        <v>196567</v>
      </c>
      <c r="X10" s="116">
        <f>SUMIFS('IS Proforma'!X:X,'IS Proforma'!$B:$B,Summary!$B10)</f>
        <v>153247</v>
      </c>
      <c r="Y10" s="116">
        <f>SUMIFS('IS Proforma'!Y:Y,'IS Proforma'!$B:$B,Summary!$B10)</f>
        <v>181294</v>
      </c>
      <c r="Z10" s="116">
        <f>SUMIFS('IS Proforma'!Z:Z,'IS Proforma'!$B:$B,Summary!$B10)</f>
        <v>169975</v>
      </c>
      <c r="AA10" s="116">
        <f>SUMIFS('IS Proforma'!AA:AA,'IS Proforma'!$B:$B,Summary!$B10)</f>
        <v>190504</v>
      </c>
      <c r="AB10" s="116">
        <f>SUMIFS('IS Proforma'!AB:AB,'IS Proforma'!$B:$B,Summary!$B10)</f>
        <v>266809</v>
      </c>
      <c r="AC10" s="116">
        <f>SUMIFS('IS Proforma'!AC:AC,'IS Proforma'!$B:$B,Summary!$B10)</f>
        <v>171318</v>
      </c>
      <c r="AD10" s="116">
        <f>SUMIFS('IS Proforma'!AD:AD,'IS Proforma'!$B:$B,Summary!$B10)</f>
        <v>241762</v>
      </c>
      <c r="AE10" s="116">
        <f>SUMIFS('IS Proforma'!AE:AE,'IS Proforma'!$B:$B,Summary!$B10)</f>
        <v>255611</v>
      </c>
      <c r="AF10" s="116">
        <f>SUMIFS('IS Proforma'!AF:AF,'IS Proforma'!$B:$B,Summary!$B10)</f>
        <v>205241</v>
      </c>
      <c r="AG10" s="116">
        <f>SUMIFS('IS Proforma'!AG:AG,'IS Proforma'!$B:$B,Summary!$B10)</f>
        <v>271510</v>
      </c>
      <c r="AH10" s="116">
        <f>SUMIFS('IS Proforma'!AH:AH,'IS Proforma'!$B:$B,Summary!$B10)</f>
        <v>256363</v>
      </c>
      <c r="AI10" s="116">
        <f>SUMIFS('IS Proforma'!AI:AI,'IS Proforma'!$B:$B,Summary!$B10)</f>
        <v>232452</v>
      </c>
      <c r="AJ10" s="116">
        <f>SUMIFS('IS Proforma'!AJ:AJ,'IS Proforma'!$B:$B,Summary!$B10)</f>
        <v>156362</v>
      </c>
      <c r="AK10" s="116">
        <f>SUMIFS('IS Proforma'!AK:AK,'IS Proforma'!$B:$B,Summary!$B10)</f>
        <v>208832</v>
      </c>
      <c r="AL10" s="116">
        <f>SUMIFS('IS Proforma'!AL:AL,'IS Proforma'!$B:$B,Summary!$B10)</f>
        <v>145395</v>
      </c>
      <c r="AM10" s="116">
        <f>SUMIFS('IS Proforma'!AM:AM,'IS Proforma'!$B:$B,Summary!$B10)</f>
        <v>163491.3524</v>
      </c>
      <c r="AN10" s="116">
        <f>SUMIFS('IS Proforma'!AN:AN,'IS Proforma'!$B:$B,Summary!$B10)</f>
        <v>183044.7388</v>
      </c>
      <c r="AO10" s="116">
        <f>SUMIFS('IS Proforma'!AO:AO,'IS Proforma'!$B:$B,Summary!$B10)</f>
        <v>200459.0335</v>
      </c>
      <c r="AP10" s="116">
        <f>SUMIFS('IS Proforma'!AP:AP,'IS Proforma'!$B:$B,Summary!$B10)</f>
        <v>213223.6562</v>
      </c>
      <c r="AQ10" s="116">
        <f>SUMIFS('IS Proforma'!AQ:AQ,'IS Proforma'!$B:$B,Summary!$B10)</f>
        <v>222673.5289</v>
      </c>
      <c r="AR10" s="116">
        <f>SUMIFS('IS Proforma'!AR:AR,'IS Proforma'!$B:$B,Summary!$B10)</f>
        <v>230681.7352</v>
      </c>
      <c r="AS10" s="116">
        <f>SUMIFS('IS Proforma'!AS:AS,'IS Proforma'!$B:$B,Summary!$B10)</f>
        <v>236383.8968</v>
      </c>
      <c r="AT10" s="116">
        <f>SUMIFS('IS Proforma'!AT:AT,'IS Proforma'!$B:$B,Summary!$B10)</f>
        <v>240530.91</v>
      </c>
      <c r="AU10" s="116">
        <f>SUMIFS('IS Proforma'!AU:AU,'IS Proforma'!$B:$B,Summary!$B10)</f>
        <v>242301.9064</v>
      </c>
      <c r="AV10" s="116">
        <f>SUMIFS('IS Proforma'!AV:AV,'IS Proforma'!$B:$B,Summary!$B10)</f>
        <v>241385.1234</v>
      </c>
      <c r="AW10" s="116">
        <f>SUMIFS('IS Proforma'!AW:AW,'IS Proforma'!$B:$B,Summary!$B10)</f>
        <v>244331.6618</v>
      </c>
      <c r="AX10" s="116">
        <f>SUMIFS('IS Proforma'!AX:AX,'IS Proforma'!$B:$B,Summary!$B10)</f>
        <v>246786.6721</v>
      </c>
      <c r="AY10" s="116">
        <f>SUMIFS('IS Proforma'!AY:AY,'IS Proforma'!$B:$B,Summary!$B10)</f>
        <v>249026.6499</v>
      </c>
      <c r="AZ10" s="116">
        <f>SUMIFS('IS Proforma'!AZ:AZ,'IS Proforma'!$B:$B,Summary!$B10)</f>
        <v>256165.6355</v>
      </c>
      <c r="BA10" s="116">
        <f>SUMIFS('IS Proforma'!BA:BA,'IS Proforma'!$B:$B,Summary!$B10)</f>
        <v>250965.6349</v>
      </c>
      <c r="BB10" s="116">
        <f>SUMIFS('IS Proforma'!BB:BB,'IS Proforma'!$B:$B,Summary!$B10)</f>
        <v>246100.6974</v>
      </c>
      <c r="BC10" s="116">
        <f>SUMIFS('IS Proforma'!BC:BC,'IS Proforma'!$B:$B,Summary!$B10)</f>
        <v>242961.5661</v>
      </c>
      <c r="BD10" s="116">
        <f>SUMIFS('IS Proforma'!BD:BD,'IS Proforma'!$B:$B,Summary!$B10)</f>
        <v>241063.1936</v>
      </c>
      <c r="BE10" s="116">
        <f>SUMIFS('IS Proforma'!BE:BE,'IS Proforma'!$B:$B,Summary!$B10)</f>
        <v>240318.7559</v>
      </c>
      <c r="BF10" s="116">
        <f>SUMIFS('IS Proforma'!BF:BF,'IS Proforma'!$B:$B,Summary!$B10)</f>
        <v>240144.3862</v>
      </c>
      <c r="BG10" s="116">
        <f>SUMIFS('IS Proforma'!BG:BG,'IS Proforma'!$B:$B,Summary!$B10)</f>
        <v>240381.0082</v>
      </c>
      <c r="BH10" s="116">
        <f>SUMIFS('IS Proforma'!BH:BH,'IS Proforma'!$B:$B,Summary!$B10)</f>
        <v>240914.4205</v>
      </c>
      <c r="BI10" s="116">
        <f>SUMIFS('IS Proforma'!BI:BI,'IS Proforma'!$B:$B,Summary!$B10)</f>
        <v>241662.6428</v>
      </c>
      <c r="BJ10" s="116">
        <f>SUMIFS('IS Proforma'!BJ:BJ,'IS Proforma'!$B:$B,Summary!$B10)</f>
        <v>242566.8292</v>
      </c>
      <c r="BK10" s="116">
        <f>SUMIFS('IS Proforma'!BK:BK,'IS Proforma'!$B:$B,Summary!$B10)</f>
        <v>243584.7447</v>
      </c>
      <c r="BL10" s="116">
        <f>SUMIFS('IS Proforma'!BL:BL,'IS Proforma'!$B:$B,Summary!$B10)</f>
        <v>248268.4075</v>
      </c>
      <c r="BM10" s="116">
        <f>SUMIFS('IS Proforma'!BM:BM,'IS Proforma'!$B:$B,Summary!$B10)</f>
        <v>252237.2445</v>
      </c>
      <c r="BN10" s="116">
        <f>SUMIFS('IS Proforma'!BN:BN,'IS Proforma'!$B:$B,Summary!$B10)</f>
        <v>255538.7403</v>
      </c>
      <c r="BO10" s="116">
        <f>SUMIFS('IS Proforma'!BO:BO,'IS Proforma'!$B:$B,Summary!$B10)</f>
        <v>258348.16</v>
      </c>
      <c r="BP10" s="116">
        <f>SUMIFS('IS Proforma'!BP:BP,'IS Proforma'!$B:$B,Summary!$B10)</f>
        <v>260795.2157</v>
      </c>
      <c r="BQ10" s="116">
        <f>SUMIFS('IS Proforma'!BQ:BQ,'IS Proforma'!$B:$B,Summary!$B10)</f>
        <v>262975.9103</v>
      </c>
      <c r="BR10" s="116">
        <f>SUMIFS('IS Proforma'!BR:BR,'IS Proforma'!$B:$B,Summary!$B10)</f>
        <v>264961.3019</v>
      </c>
      <c r="BS10" s="116">
        <f>SUMIFS('IS Proforma'!BS:BS,'IS Proforma'!$B:$B,Summary!$B10)</f>
        <v>266803.9899</v>
      </c>
      <c r="BT10" s="116">
        <f>SUMIFS('IS Proforma'!BT:BT,'IS Proforma'!$B:$B,Summary!$B10)</f>
        <v>268542.9142</v>
      </c>
      <c r="BU10" s="116">
        <f>SUMIFS('IS Proforma'!BU:BU,'IS Proforma'!$B:$B,Summary!$B10)</f>
        <v>270206.9072</v>
      </c>
      <c r="BV10" s="116">
        <f>SUMIFS('IS Proforma'!BV:BV,'IS Proforma'!$B:$B,Summary!$B10)</f>
        <v>271817.3215</v>
      </c>
      <c r="BW10" s="116">
        <f>SUMIFS('IS Proforma'!BW:BW,'IS Proforma'!$B:$B,Summary!$B10)</f>
        <v>273389.9749</v>
      </c>
      <c r="BX10" s="116">
        <f>SUMIFS('IS Proforma'!BX:BX,'IS Proforma'!$B:$B,Summary!$B10)</f>
        <v>277845.5494</v>
      </c>
      <c r="BY10" s="116">
        <f>SUMIFS('IS Proforma'!BY:BY,'IS Proforma'!$B:$B,Summary!$B10)</f>
        <v>281710.394</v>
      </c>
      <c r="BZ10" s="116">
        <f>SUMIFS('IS Proforma'!BZ:BZ,'IS Proforma'!$B:$B,Summary!$B10)</f>
        <v>284656.6556</v>
      </c>
      <c r="CA10" s="116">
        <f>SUMIFS('IS Proforma'!CA:CA,'IS Proforma'!$B:$B,Summary!$B10)</f>
        <v>287637.3694</v>
      </c>
      <c r="CB10" s="116">
        <f>SUMIFS('IS Proforma'!CB:CB,'IS Proforma'!$B:$B,Summary!$B10)</f>
        <v>290646.5361</v>
      </c>
      <c r="CC10" s="116">
        <f>SUMIFS('IS Proforma'!CC:CC,'IS Proforma'!$B:$B,Summary!$B10)</f>
        <v>293679.7702</v>
      </c>
      <c r="CD10" s="116">
        <f>SUMIFS('IS Proforma'!CD:CD,'IS Proforma'!$B:$B,Summary!$B10)</f>
        <v>296733.8826</v>
      </c>
      <c r="CE10" s="116">
        <f>SUMIFS('IS Proforma'!CE:CE,'IS Proforma'!$B:$B,Summary!$B10)</f>
        <v>299806.5706</v>
      </c>
      <c r="CF10" s="116">
        <f>SUMIFS('IS Proforma'!CF:CF,'IS Proforma'!$B:$B,Summary!$B10)</f>
        <v>302896.1889</v>
      </c>
      <c r="CG10" s="116">
        <f>SUMIFS('IS Proforma'!CG:CG,'IS Proforma'!$B:$B,Summary!$B10)</f>
        <v>306001.5806</v>
      </c>
      <c r="CH10" s="116">
        <f>SUMIFS('IS Proforma'!CH:CH,'IS Proforma'!$B:$B,Summary!$B10)</f>
        <v>309121.9515</v>
      </c>
      <c r="CI10" s="116">
        <f>SUMIFS('IS Proforma'!CI:CI,'IS Proforma'!$B:$B,Summary!$B10)</f>
        <v>312256.7776</v>
      </c>
      <c r="CJ10" s="116">
        <f>SUMIFS('IS Proforma'!CJ:CJ,'IS Proforma'!$B:$B,Summary!$B10)</f>
        <v>315560.6213</v>
      </c>
      <c r="CK10" s="116">
        <f>SUMIFS('IS Proforma'!CK:CK,'IS Proforma'!$B:$B,Summary!$B10)</f>
        <v>315249.591</v>
      </c>
      <c r="CL10" s="116">
        <f>SUMIFS('IS Proforma'!CL:CL,'IS Proforma'!$B:$B,Summary!$B10)</f>
        <v>314993.7907</v>
      </c>
      <c r="CM10" s="116">
        <f>SUMIFS('IS Proforma'!CM:CM,'IS Proforma'!$B:$B,Summary!$B10)</f>
        <v>315519.1105</v>
      </c>
      <c r="CN10" s="116">
        <f>SUMIFS('IS Proforma'!CN:CN,'IS Proforma'!$B:$B,Summary!$B10)</f>
        <v>316625.3067</v>
      </c>
      <c r="CO10" s="116">
        <f>SUMIFS('IS Proforma'!CO:CO,'IS Proforma'!$B:$B,Summary!$B10)</f>
        <v>318164.1851</v>
      </c>
      <c r="CP10" s="116">
        <f>SUMIFS('IS Proforma'!CP:CP,'IS Proforma'!$B:$B,Summary!$B10)</f>
        <v>320026.0694</v>
      </c>
      <c r="CQ10" s="116">
        <f>SUMIFS('IS Proforma'!CQ:CQ,'IS Proforma'!$B:$B,Summary!$B10)</f>
        <v>322129.7871</v>
      </c>
      <c r="CR10" s="116">
        <f>SUMIFS('IS Proforma'!CR:CR,'IS Proforma'!$B:$B,Summary!$B10)</f>
        <v>324415.2595</v>
      </c>
      <c r="CS10" s="116">
        <f>SUMIFS('IS Proforma'!CS:CS,'IS Proforma'!$B:$B,Summary!$B10)</f>
        <v>326838.0183</v>
      </c>
      <c r="CT10" s="116">
        <f>SUMIFS('IS Proforma'!CT:CT,'IS Proforma'!$B:$B,Summary!$B10)</f>
        <v>329365.1476</v>
      </c>
      <c r="CU10" s="116">
        <f>SUMIFS('IS Proforma'!CU:CU,'IS Proforma'!$B:$B,Summary!$B10)</f>
        <v>331972.281</v>
      </c>
      <c r="CW10" s="117">
        <f t="shared" si="1"/>
        <v>780615</v>
      </c>
      <c r="CX10" s="117">
        <f t="shared" si="2"/>
        <v>690534</v>
      </c>
      <c r="CY10" s="117">
        <f t="shared" si="3"/>
        <v>858576</v>
      </c>
      <c r="CZ10" s="117">
        <f t="shared" si="4"/>
        <v>866007</v>
      </c>
      <c r="DA10" s="117">
        <f t="shared" si="5"/>
        <v>722605</v>
      </c>
      <c r="DB10" s="117">
        <f t="shared" si="6"/>
        <v>695020</v>
      </c>
      <c r="DC10" s="117">
        <f t="shared" si="7"/>
        <v>935500</v>
      </c>
      <c r="DD10" s="117">
        <f t="shared" si="8"/>
        <v>965566</v>
      </c>
      <c r="DE10" s="117">
        <f t="shared" si="9"/>
        <v>674080.3524</v>
      </c>
      <c r="DF10" s="117">
        <f t="shared" si="10"/>
        <v>819400.9575</v>
      </c>
      <c r="DG10" s="117">
        <f t="shared" si="11"/>
        <v>949898.4484</v>
      </c>
      <c r="DH10" s="117">
        <f t="shared" si="12"/>
        <v>981530.1073</v>
      </c>
      <c r="DI10" s="117">
        <f t="shared" si="13"/>
        <v>996193.5339</v>
      </c>
      <c r="DJ10" s="117">
        <f t="shared" si="14"/>
        <v>961907.3439</v>
      </c>
      <c r="DK10" s="117">
        <f t="shared" si="15"/>
        <v>968728.6373</v>
      </c>
      <c r="DL10" s="117">
        <f t="shared" si="16"/>
        <v>1014392.552</v>
      </c>
      <c r="DM10" s="117">
        <f t="shared" si="17"/>
        <v>1055536.418</v>
      </c>
      <c r="DN10" s="117">
        <f t="shared" si="18"/>
        <v>1083957.118</v>
      </c>
      <c r="DO10" s="117">
        <f t="shared" si="19"/>
        <v>1131849.968</v>
      </c>
      <c r="DP10" s="117">
        <f t="shared" si="20"/>
        <v>1180866.76</v>
      </c>
      <c r="DQ10" s="117">
        <f t="shared" si="21"/>
        <v>1230276.499</v>
      </c>
      <c r="DR10" s="117">
        <f t="shared" si="22"/>
        <v>1261323.114</v>
      </c>
      <c r="DS10" s="117">
        <f t="shared" si="23"/>
        <v>1276945.348</v>
      </c>
      <c r="DT10" s="117">
        <f t="shared" si="24"/>
        <v>1312590.706</v>
      </c>
      <c r="DV10" s="117">
        <f t="shared" si="25"/>
        <v>2329725</v>
      </c>
      <c r="DW10" s="117">
        <f t="shared" si="26"/>
        <v>2283632</v>
      </c>
      <c r="DX10" s="117">
        <f t="shared" si="27"/>
        <v>2575146.352</v>
      </c>
      <c r="DY10" s="117">
        <f t="shared" si="28"/>
        <v>2750829.513</v>
      </c>
      <c r="DZ10" s="117">
        <f t="shared" si="29"/>
        <v>2926829.515</v>
      </c>
      <c r="EA10" s="117">
        <f t="shared" si="30"/>
        <v>3153886.088</v>
      </c>
      <c r="EB10" s="117">
        <f t="shared" si="31"/>
        <v>3542993.227</v>
      </c>
      <c r="EC10" s="117">
        <f t="shared" si="32"/>
        <v>3850859.168</v>
      </c>
      <c r="ED10" s="118"/>
      <c r="EE10" s="118"/>
    </row>
    <row r="11" outlineLevel="1">
      <c r="B11" s="1" t="s">
        <v>94</v>
      </c>
      <c r="C11" s="1" t="s">
        <v>94</v>
      </c>
      <c r="D11" s="116">
        <f>SUMIFS('IS Proforma'!D:D,'IS Proforma'!$B:$B,Summary!$B11)</f>
        <v>154945</v>
      </c>
      <c r="E11" s="116">
        <f>SUMIFS('IS Proforma'!E:E,'IS Proforma'!$B:$B,Summary!$B11)</f>
        <v>185117</v>
      </c>
      <c r="F11" s="116">
        <f>SUMIFS('IS Proforma'!F:F,'IS Proforma'!$B:$B,Summary!$B11)</f>
        <v>164970</v>
      </c>
      <c r="G11" s="116">
        <f>SUMIFS('IS Proforma'!G:G,'IS Proforma'!$B:$B,Summary!$B11)</f>
        <v>204304</v>
      </c>
      <c r="H11" s="116">
        <f>SUMIFS('IS Proforma'!H:H,'IS Proforma'!$B:$B,Summary!$B11)</f>
        <v>224825</v>
      </c>
      <c r="I11" s="116">
        <f>SUMIFS('IS Proforma'!I:I,'IS Proforma'!$B:$B,Summary!$B11)</f>
        <v>210431</v>
      </c>
      <c r="J11" s="116">
        <f>SUMIFS('IS Proforma'!J:J,'IS Proforma'!$B:$B,Summary!$B11)</f>
        <v>280815</v>
      </c>
      <c r="K11" s="116">
        <f>SUMIFS('IS Proforma'!K:K,'IS Proforma'!$B:$B,Summary!$B11)</f>
        <v>188693</v>
      </c>
      <c r="L11" s="116">
        <f>SUMIFS('IS Proforma'!L:L,'IS Proforma'!$B:$B,Summary!$B11)</f>
        <v>141459</v>
      </c>
      <c r="M11" s="116">
        <f>SUMIFS('IS Proforma'!M:M,'IS Proforma'!$B:$B,Summary!$B11)</f>
        <v>234839</v>
      </c>
      <c r="N11" s="116">
        <f>SUMIFS('IS Proforma'!N:N,'IS Proforma'!$B:$B,Summary!$B11)</f>
        <v>158700</v>
      </c>
      <c r="O11" s="116">
        <f>SUMIFS('IS Proforma'!O:O,'IS Proforma'!$B:$B,Summary!$B11)</f>
        <v>229295</v>
      </c>
      <c r="P11" s="116">
        <f>SUMIFS('IS Proforma'!P:P,'IS Proforma'!$B:$B,Summary!$B11)</f>
        <v>191383</v>
      </c>
      <c r="Q11" s="116">
        <f>SUMIFS('IS Proforma'!Q:Q,'IS Proforma'!$B:$B,Summary!$B11)</f>
        <v>212961</v>
      </c>
      <c r="R11" s="116">
        <f>SUMIFS('IS Proforma'!R:R,'IS Proforma'!$B:$B,Summary!$B11)</f>
        <v>196292</v>
      </c>
      <c r="S11" s="116">
        <f>SUMIFS('IS Proforma'!S:S,'IS Proforma'!$B:$B,Summary!$B11)</f>
        <v>142961</v>
      </c>
      <c r="T11" s="116">
        <f>SUMIFS('IS Proforma'!T:T,'IS Proforma'!$B:$B,Summary!$B11)</f>
        <v>188142</v>
      </c>
      <c r="U11" s="116">
        <f>SUMIFS('IS Proforma'!U:U,'IS Proforma'!$B:$B,Summary!$B11)</f>
        <v>247181</v>
      </c>
      <c r="V11" s="116">
        <f>SUMIFS('IS Proforma'!V:V,'IS Proforma'!$B:$B,Summary!$B11)</f>
        <v>232795</v>
      </c>
      <c r="W11" s="116">
        <f>SUMIFS('IS Proforma'!W:W,'IS Proforma'!$B:$B,Summary!$B11)</f>
        <v>144370</v>
      </c>
      <c r="X11" s="116">
        <f>SUMIFS('IS Proforma'!X:X,'IS Proforma'!$B:$B,Summary!$B11)</f>
        <v>169938</v>
      </c>
      <c r="Y11" s="116">
        <f>SUMIFS('IS Proforma'!Y:Y,'IS Proforma'!$B:$B,Summary!$B11)</f>
        <v>273118</v>
      </c>
      <c r="Z11" s="116">
        <f>SUMIFS('IS Proforma'!Z:Z,'IS Proforma'!$B:$B,Summary!$B11)</f>
        <v>263581</v>
      </c>
      <c r="AA11" s="116">
        <f>SUMIFS('IS Proforma'!AA:AA,'IS Proforma'!$B:$B,Summary!$B11)</f>
        <v>174623</v>
      </c>
      <c r="AB11" s="116">
        <f>SUMIFS('IS Proforma'!AB:AB,'IS Proforma'!$B:$B,Summary!$B11)</f>
        <v>183152</v>
      </c>
      <c r="AC11" s="116">
        <f>SUMIFS('IS Proforma'!AC:AC,'IS Proforma'!$B:$B,Summary!$B11)</f>
        <v>164354</v>
      </c>
      <c r="AD11" s="116">
        <f>SUMIFS('IS Proforma'!AD:AD,'IS Proforma'!$B:$B,Summary!$B11)</f>
        <v>220307</v>
      </c>
      <c r="AE11" s="116">
        <f>SUMIFS('IS Proforma'!AE:AE,'IS Proforma'!$B:$B,Summary!$B11)</f>
        <v>239857</v>
      </c>
      <c r="AF11" s="116">
        <f>SUMIFS('IS Proforma'!AF:AF,'IS Proforma'!$B:$B,Summary!$B11)</f>
        <v>228761</v>
      </c>
      <c r="AG11" s="116">
        <f>SUMIFS('IS Proforma'!AG:AG,'IS Proforma'!$B:$B,Summary!$B11)</f>
        <v>182009</v>
      </c>
      <c r="AH11" s="116">
        <f>SUMIFS('IS Proforma'!AH:AH,'IS Proforma'!$B:$B,Summary!$B11)</f>
        <v>186834</v>
      </c>
      <c r="AI11" s="116">
        <f>SUMIFS('IS Proforma'!AI:AI,'IS Proforma'!$B:$B,Summary!$B11)</f>
        <v>265471</v>
      </c>
      <c r="AJ11" s="116">
        <f>SUMIFS('IS Proforma'!AJ:AJ,'IS Proforma'!$B:$B,Summary!$B11)</f>
        <v>256373</v>
      </c>
      <c r="AK11" s="116">
        <f>SUMIFS('IS Proforma'!AK:AK,'IS Proforma'!$B:$B,Summary!$B11)</f>
        <v>229020</v>
      </c>
      <c r="AL11" s="116">
        <f>SUMIFS('IS Proforma'!AL:AL,'IS Proforma'!$B:$B,Summary!$B11)</f>
        <v>222586</v>
      </c>
      <c r="AM11" s="116">
        <f>SUMIFS('IS Proforma'!AM:AM,'IS Proforma'!$B:$B,Summary!$B11)</f>
        <v>237288.2603</v>
      </c>
      <c r="AN11" s="116">
        <f>SUMIFS('IS Proforma'!AN:AN,'IS Proforma'!$B:$B,Summary!$B11)</f>
        <v>254182.8216</v>
      </c>
      <c r="AO11" s="116">
        <f>SUMIFS('IS Proforma'!AO:AO,'IS Proforma'!$B:$B,Summary!$B11)</f>
        <v>269240.6669</v>
      </c>
      <c r="AP11" s="116">
        <f>SUMIFS('IS Proforma'!AP:AP,'IS Proforma'!$B:$B,Summary!$B11)</f>
        <v>282267.6617</v>
      </c>
      <c r="AQ11" s="116">
        <f>SUMIFS('IS Proforma'!AQ:AQ,'IS Proforma'!$B:$B,Summary!$B11)</f>
        <v>293903.0389</v>
      </c>
      <c r="AR11" s="116">
        <f>SUMIFS('IS Proforma'!AR:AR,'IS Proforma'!$B:$B,Summary!$B11)</f>
        <v>300046.4589</v>
      </c>
      <c r="AS11" s="116">
        <f>SUMIFS('IS Proforma'!AS:AS,'IS Proforma'!$B:$B,Summary!$B11)</f>
        <v>305551.8348</v>
      </c>
      <c r="AT11" s="116">
        <f>SUMIFS('IS Proforma'!AT:AT,'IS Proforma'!$B:$B,Summary!$B11)</f>
        <v>309000.5918</v>
      </c>
      <c r="AU11" s="116">
        <f>SUMIFS('IS Proforma'!AU:AU,'IS Proforma'!$B:$B,Summary!$B11)</f>
        <v>311983.1866</v>
      </c>
      <c r="AV11" s="116">
        <f>SUMIFS('IS Proforma'!AV:AV,'IS Proforma'!$B:$B,Summary!$B11)</f>
        <v>315908.0636</v>
      </c>
      <c r="AW11" s="116">
        <f>SUMIFS('IS Proforma'!AW:AW,'IS Proforma'!$B:$B,Summary!$B11)</f>
        <v>320515.9767</v>
      </c>
      <c r="AX11" s="116">
        <f>SUMIFS('IS Proforma'!AX:AX,'IS Proforma'!$B:$B,Summary!$B11)</f>
        <v>324541.4248</v>
      </c>
      <c r="AY11" s="116">
        <f>SUMIFS('IS Proforma'!AY:AY,'IS Proforma'!$B:$B,Summary!$B11)</f>
        <v>328217.4857</v>
      </c>
      <c r="AZ11" s="116">
        <f>SUMIFS('IS Proforma'!AZ:AZ,'IS Proforma'!$B:$B,Summary!$B11)</f>
        <v>330505.8443</v>
      </c>
      <c r="BA11" s="116">
        <f>SUMIFS('IS Proforma'!BA:BA,'IS Proforma'!$B:$B,Summary!$B11)</f>
        <v>333665.665</v>
      </c>
      <c r="BB11" s="116">
        <f>SUMIFS('IS Proforma'!BB:BB,'IS Proforma'!$B:$B,Summary!$B11)</f>
        <v>337718.8864</v>
      </c>
      <c r="BC11" s="116">
        <f>SUMIFS('IS Proforma'!BC:BC,'IS Proforma'!$B:$B,Summary!$B11)</f>
        <v>341317.8945</v>
      </c>
      <c r="BD11" s="116">
        <f>SUMIFS('IS Proforma'!BD:BD,'IS Proforma'!$B:$B,Summary!$B11)</f>
        <v>344578.968</v>
      </c>
      <c r="BE11" s="116">
        <f>SUMIFS('IS Proforma'!BE:BE,'IS Proforma'!$B:$B,Summary!$B11)</f>
        <v>347856.2766</v>
      </c>
      <c r="BF11" s="116">
        <f>SUMIFS('IS Proforma'!BF:BF,'IS Proforma'!$B:$B,Summary!$B11)</f>
        <v>350881.1381</v>
      </c>
      <c r="BG11" s="116">
        <f>SUMIFS('IS Proforma'!BG:BG,'IS Proforma'!$B:$B,Summary!$B11)</f>
        <v>353718.8269</v>
      </c>
      <c r="BH11" s="116">
        <f>SUMIFS('IS Proforma'!BH:BH,'IS Proforma'!$B:$B,Summary!$B11)</f>
        <v>356418.1154</v>
      </c>
      <c r="BI11" s="116">
        <f>SUMIFS('IS Proforma'!BI:BI,'IS Proforma'!$B:$B,Summary!$B11)</f>
        <v>359015.4489</v>
      </c>
      <c r="BJ11" s="116">
        <f>SUMIFS('IS Proforma'!BJ:BJ,'IS Proforma'!$B:$B,Summary!$B11)</f>
        <v>361538.0646</v>
      </c>
      <c r="BK11" s="116">
        <f>SUMIFS('IS Proforma'!BK:BK,'IS Proforma'!$B:$B,Summary!$B11)</f>
        <v>364006.3214</v>
      </c>
      <c r="BL11" s="116">
        <f>SUMIFS('IS Proforma'!BL:BL,'IS Proforma'!$B:$B,Summary!$B11)</f>
        <v>367273.6368</v>
      </c>
      <c r="BM11" s="116">
        <f>SUMIFS('IS Proforma'!BM:BM,'IS Proforma'!$B:$B,Summary!$B11)</f>
        <v>370446.9878</v>
      </c>
      <c r="BN11" s="116">
        <f>SUMIFS('IS Proforma'!BN:BN,'IS Proforma'!$B:$B,Summary!$B11)</f>
        <v>373408.3506</v>
      </c>
      <c r="BO11" s="116">
        <f>SUMIFS('IS Proforma'!BO:BO,'IS Proforma'!$B:$B,Summary!$B11)</f>
        <v>376212.8319</v>
      </c>
      <c r="BP11" s="116">
        <f>SUMIFS('IS Proforma'!BP:BP,'IS Proforma'!$B:$B,Summary!$B11)</f>
        <v>378901.6088</v>
      </c>
      <c r="BQ11" s="116">
        <f>SUMIFS('IS Proforma'!BQ:BQ,'IS Proforma'!$B:$B,Summary!$B11)</f>
        <v>381505.4531</v>
      </c>
      <c r="BR11" s="116">
        <f>SUMIFS('IS Proforma'!BR:BR,'IS Proforma'!$B:$B,Summary!$B11)</f>
        <v>384047.3641</v>
      </c>
      <c r="BS11" s="116">
        <f>SUMIFS('IS Proforma'!BS:BS,'IS Proforma'!$B:$B,Summary!$B11)</f>
        <v>386544.5348</v>
      </c>
      <c r="BT11" s="116">
        <f>SUMIFS('IS Proforma'!BT:BT,'IS Proforma'!$B:$B,Summary!$B11)</f>
        <v>389009.8214</v>
      </c>
      <c r="BU11" s="116">
        <f>SUMIFS('IS Proforma'!BU:BU,'IS Proforma'!$B:$B,Summary!$B11)</f>
        <v>391452.8405</v>
      </c>
      <c r="BV11" s="116">
        <f>SUMIFS('IS Proforma'!BV:BV,'IS Proforma'!$B:$B,Summary!$B11)</f>
        <v>393880.7887</v>
      </c>
      <c r="BW11" s="116">
        <f>SUMIFS('IS Proforma'!BW:BW,'IS Proforma'!$B:$B,Summary!$B11)</f>
        <v>396299.0552</v>
      </c>
      <c r="BX11" s="116">
        <f>SUMIFS('IS Proforma'!BX:BX,'IS Proforma'!$B:$B,Summary!$B11)</f>
        <v>400181.0886</v>
      </c>
      <c r="BY11" s="116">
        <f>SUMIFS('IS Proforma'!BY:BY,'IS Proforma'!$B:$B,Summary!$B11)</f>
        <v>403970.2448</v>
      </c>
      <c r="BZ11" s="116">
        <f>SUMIFS('IS Proforma'!BZ:BZ,'IS Proforma'!$B:$B,Summary!$B11)</f>
        <v>407045.4366</v>
      </c>
      <c r="CA11" s="116">
        <f>SUMIFS('IS Proforma'!CA:CA,'IS Proforma'!$B:$B,Summary!$B11)</f>
        <v>410097.6849</v>
      </c>
      <c r="CB11" s="116">
        <f>SUMIFS('IS Proforma'!CB:CB,'IS Proforma'!$B:$B,Summary!$B11)</f>
        <v>413135.151</v>
      </c>
      <c r="CC11" s="116">
        <f>SUMIFS('IS Proforma'!CC:CC,'IS Proforma'!$B:$B,Summary!$B11)</f>
        <v>416163.9715</v>
      </c>
      <c r="CD11" s="116">
        <f>SUMIFS('IS Proforma'!CD:CD,'IS Proforma'!$B:$B,Summary!$B11)</f>
        <v>419188.7715</v>
      </c>
      <c r="CE11" s="116">
        <f>SUMIFS('IS Proforma'!CE:CE,'IS Proforma'!$B:$B,Summary!$B11)</f>
        <v>422213.048</v>
      </c>
      <c r="CF11" s="116">
        <f>SUMIFS('IS Proforma'!CF:CF,'IS Proforma'!$B:$B,Summary!$B11)</f>
        <v>425239.4569</v>
      </c>
      <c r="CG11" s="116">
        <f>SUMIFS('IS Proforma'!CG:CG,'IS Proforma'!$B:$B,Summary!$B11)</f>
        <v>428270.0262</v>
      </c>
      <c r="CH11" s="116">
        <f>SUMIFS('IS Proforma'!CH:CH,'IS Proforma'!$B:$B,Summary!$B11)</f>
        <v>431306.3164</v>
      </c>
      <c r="CI11" s="116">
        <f>SUMIFS('IS Proforma'!CI:CI,'IS Proforma'!$B:$B,Summary!$B11)</f>
        <v>434349.5402</v>
      </c>
      <c r="CJ11" s="116">
        <f>SUMIFS('IS Proforma'!CJ:CJ,'IS Proforma'!$B:$B,Summary!$B11)</f>
        <v>437511.2831</v>
      </c>
      <c r="CK11" s="116">
        <f>SUMIFS('IS Proforma'!CK:CK,'IS Proforma'!$B:$B,Summary!$B11)</f>
        <v>437014.607</v>
      </c>
      <c r="CL11" s="116">
        <f>SUMIFS('IS Proforma'!CL:CL,'IS Proforma'!$B:$B,Summary!$B11)</f>
        <v>436805.9551</v>
      </c>
      <c r="CM11" s="116">
        <f>SUMIFS('IS Proforma'!CM:CM,'IS Proforma'!$B:$B,Summary!$B11)</f>
        <v>437341.4376</v>
      </c>
      <c r="CN11" s="116">
        <f>SUMIFS('IS Proforma'!CN:CN,'IS Proforma'!$B:$B,Summary!$B11)</f>
        <v>438435.0543</v>
      </c>
      <c r="CO11" s="116">
        <f>SUMIFS('IS Proforma'!CO:CO,'IS Proforma'!$B:$B,Summary!$B11)</f>
        <v>439947.854</v>
      </c>
      <c r="CP11" s="116">
        <f>SUMIFS('IS Proforma'!CP:CP,'IS Proforma'!$B:$B,Summary!$B11)</f>
        <v>441776.0326</v>
      </c>
      <c r="CQ11" s="116">
        <f>SUMIFS('IS Proforma'!CQ:CQ,'IS Proforma'!$B:$B,Summary!$B11)</f>
        <v>443842.0407</v>
      </c>
      <c r="CR11" s="116">
        <f>SUMIFS('IS Proforma'!CR:CR,'IS Proforma'!$B:$B,Summary!$B11)</f>
        <v>446087.9425</v>
      </c>
      <c r="CS11" s="116">
        <f>SUMIFS('IS Proforma'!CS:CS,'IS Proforma'!$B:$B,Summary!$B11)</f>
        <v>448470.4537</v>
      </c>
      <c r="CT11" s="116">
        <f>SUMIFS('IS Proforma'!CT:CT,'IS Proforma'!$B:$B,Summary!$B11)</f>
        <v>450957.2355</v>
      </c>
      <c r="CU11" s="116">
        <f>SUMIFS('IS Proforma'!CU:CU,'IS Proforma'!$B:$B,Summary!$B11)</f>
        <v>453524.1261</v>
      </c>
      <c r="CW11" s="117">
        <f t="shared" si="1"/>
        <v>709336</v>
      </c>
      <c r="CX11" s="117">
        <f t="shared" si="2"/>
        <v>904764</v>
      </c>
      <c r="CY11" s="117">
        <f t="shared" si="3"/>
        <v>764293</v>
      </c>
      <c r="CZ11" s="117">
        <f t="shared" si="4"/>
        <v>743597</v>
      </c>
      <c r="DA11" s="117">
        <f t="shared" si="5"/>
        <v>812488</v>
      </c>
      <c r="DB11" s="117">
        <f t="shared" si="6"/>
        <v>881260</v>
      </c>
      <c r="DC11" s="117">
        <f t="shared" si="7"/>
        <v>807670</v>
      </c>
      <c r="DD11" s="117">
        <f t="shared" si="8"/>
        <v>863075</v>
      </c>
      <c r="DE11" s="117">
        <f t="shared" si="9"/>
        <v>945267.2603</v>
      </c>
      <c r="DF11" s="117">
        <f t="shared" si="10"/>
        <v>1099594.189</v>
      </c>
      <c r="DG11" s="117">
        <f t="shared" si="11"/>
        <v>1226582.072</v>
      </c>
      <c r="DH11" s="117">
        <f t="shared" si="12"/>
        <v>1289182.951</v>
      </c>
      <c r="DI11" s="117">
        <f t="shared" si="13"/>
        <v>1343208.29</v>
      </c>
      <c r="DJ11" s="117">
        <f t="shared" si="14"/>
        <v>1397035.21</v>
      </c>
      <c r="DK11" s="117">
        <f t="shared" si="15"/>
        <v>1440977.95</v>
      </c>
      <c r="DL11" s="117">
        <f t="shared" si="16"/>
        <v>1487341.807</v>
      </c>
      <c r="DM11" s="117">
        <f t="shared" si="17"/>
        <v>1530998.961</v>
      </c>
      <c r="DN11" s="117">
        <f t="shared" si="18"/>
        <v>1570642.506</v>
      </c>
      <c r="DO11" s="117">
        <f t="shared" si="19"/>
        <v>1621294.455</v>
      </c>
      <c r="DP11" s="117">
        <f t="shared" si="20"/>
        <v>1670700.942</v>
      </c>
      <c r="DQ11" s="117">
        <f t="shared" si="21"/>
        <v>1719165.34</v>
      </c>
      <c r="DR11" s="117">
        <f t="shared" si="22"/>
        <v>1748673.283</v>
      </c>
      <c r="DS11" s="117">
        <f t="shared" si="23"/>
        <v>1764000.982</v>
      </c>
      <c r="DT11" s="117">
        <f t="shared" si="24"/>
        <v>1799039.758</v>
      </c>
      <c r="DV11" s="117">
        <f t="shared" si="25"/>
        <v>2378393</v>
      </c>
      <c r="DW11" s="117">
        <f t="shared" si="26"/>
        <v>2437345</v>
      </c>
      <c r="DX11" s="117">
        <f t="shared" si="27"/>
        <v>2616012.26</v>
      </c>
      <c r="DY11" s="117">
        <f t="shared" si="28"/>
        <v>3615359.212</v>
      </c>
      <c r="DZ11" s="117">
        <f t="shared" si="29"/>
        <v>4181221.45</v>
      </c>
      <c r="EA11" s="117">
        <f t="shared" si="30"/>
        <v>4588983.274</v>
      </c>
      <c r="EB11" s="117">
        <f t="shared" si="31"/>
        <v>5011160.737</v>
      </c>
      <c r="EC11" s="117">
        <f t="shared" si="32"/>
        <v>5311714.022</v>
      </c>
      <c r="ED11" s="118"/>
      <c r="EE11" s="118"/>
    </row>
    <row r="12" outlineLevel="1">
      <c r="B12" s="1" t="s">
        <v>96</v>
      </c>
      <c r="C12" s="1" t="s">
        <v>96</v>
      </c>
      <c r="D12" s="116">
        <f>SUMIFS('IS Proforma'!D:D,'IS Proforma'!$B:$B,Summary!$B12)</f>
        <v>30145</v>
      </c>
      <c r="E12" s="116">
        <f>SUMIFS('IS Proforma'!E:E,'IS Proforma'!$B:$B,Summary!$B12)</f>
        <v>35776</v>
      </c>
      <c r="F12" s="116">
        <f>SUMIFS('IS Proforma'!F:F,'IS Proforma'!$B:$B,Summary!$B12)</f>
        <v>20756</v>
      </c>
      <c r="G12" s="116">
        <f>SUMIFS('IS Proforma'!G:G,'IS Proforma'!$B:$B,Summary!$B12)</f>
        <v>31047</v>
      </c>
      <c r="H12" s="116">
        <f>SUMIFS('IS Proforma'!H:H,'IS Proforma'!$B:$B,Summary!$B12)</f>
        <v>28931</v>
      </c>
      <c r="I12" s="116">
        <f>SUMIFS('IS Proforma'!I:I,'IS Proforma'!$B:$B,Summary!$B12)</f>
        <v>25478</v>
      </c>
      <c r="J12" s="116">
        <f>SUMIFS('IS Proforma'!J:J,'IS Proforma'!$B:$B,Summary!$B12)</f>
        <v>20804</v>
      </c>
      <c r="K12" s="116">
        <f>SUMIFS('IS Proforma'!K:K,'IS Proforma'!$B:$B,Summary!$B12)</f>
        <v>29071</v>
      </c>
      <c r="L12" s="116">
        <f>SUMIFS('IS Proforma'!L:L,'IS Proforma'!$B:$B,Summary!$B12)</f>
        <v>34280</v>
      </c>
      <c r="M12" s="116">
        <f>SUMIFS('IS Proforma'!M:M,'IS Proforma'!$B:$B,Summary!$B12)</f>
        <v>30186</v>
      </c>
      <c r="N12" s="116">
        <f>SUMIFS('IS Proforma'!N:N,'IS Proforma'!$B:$B,Summary!$B12)</f>
        <v>35711</v>
      </c>
      <c r="O12" s="116">
        <f>SUMIFS('IS Proforma'!O:O,'IS Proforma'!$B:$B,Summary!$B12)</f>
        <v>20763</v>
      </c>
      <c r="P12" s="116">
        <f>SUMIFS('IS Proforma'!P:P,'IS Proforma'!$B:$B,Summary!$B12)</f>
        <v>39950</v>
      </c>
      <c r="Q12" s="116">
        <f>SUMIFS('IS Proforma'!Q:Q,'IS Proforma'!$B:$B,Summary!$B12)</f>
        <v>38867</v>
      </c>
      <c r="R12" s="116">
        <f>SUMIFS('IS Proforma'!R:R,'IS Proforma'!$B:$B,Summary!$B12)</f>
        <v>36759</v>
      </c>
      <c r="S12" s="116">
        <f>SUMIFS('IS Proforma'!S:S,'IS Proforma'!$B:$B,Summary!$B12)</f>
        <v>25125</v>
      </c>
      <c r="T12" s="116">
        <f>SUMIFS('IS Proforma'!T:T,'IS Proforma'!$B:$B,Summary!$B12)</f>
        <v>36781</v>
      </c>
      <c r="U12" s="116">
        <f>SUMIFS('IS Proforma'!U:U,'IS Proforma'!$B:$B,Summary!$B12)</f>
        <v>37960</v>
      </c>
      <c r="V12" s="116">
        <f>SUMIFS('IS Proforma'!V:V,'IS Proforma'!$B:$B,Summary!$B12)</f>
        <v>26320</v>
      </c>
      <c r="W12" s="116">
        <f>SUMIFS('IS Proforma'!W:W,'IS Proforma'!$B:$B,Summary!$B12)</f>
        <v>26527</v>
      </c>
      <c r="X12" s="116">
        <f>SUMIFS('IS Proforma'!X:X,'IS Proforma'!$B:$B,Summary!$B12)</f>
        <v>20651</v>
      </c>
      <c r="Y12" s="116">
        <f>SUMIFS('IS Proforma'!Y:Y,'IS Proforma'!$B:$B,Summary!$B12)</f>
        <v>39016</v>
      </c>
      <c r="Z12" s="116">
        <f>SUMIFS('IS Proforma'!Z:Z,'IS Proforma'!$B:$B,Summary!$B12)</f>
        <v>30718</v>
      </c>
      <c r="AA12" s="116">
        <f>SUMIFS('IS Proforma'!AA:AA,'IS Proforma'!$B:$B,Summary!$B12)</f>
        <v>20546</v>
      </c>
      <c r="AB12" s="116">
        <f>SUMIFS('IS Proforma'!AB:AB,'IS Proforma'!$B:$B,Summary!$B12)</f>
        <v>35731</v>
      </c>
      <c r="AC12" s="116">
        <f>SUMIFS('IS Proforma'!AC:AC,'IS Proforma'!$B:$B,Summary!$B12)</f>
        <v>22841</v>
      </c>
      <c r="AD12" s="116">
        <f>SUMIFS('IS Proforma'!AD:AD,'IS Proforma'!$B:$B,Summary!$B12)</f>
        <v>24132</v>
      </c>
      <c r="AE12" s="116">
        <f>SUMIFS('IS Proforma'!AE:AE,'IS Proforma'!$B:$B,Summary!$B12)</f>
        <v>24634</v>
      </c>
      <c r="AF12" s="116">
        <f>SUMIFS('IS Proforma'!AF:AF,'IS Proforma'!$B:$B,Summary!$B12)</f>
        <v>24667</v>
      </c>
      <c r="AG12" s="116">
        <f>SUMIFS('IS Proforma'!AG:AG,'IS Proforma'!$B:$B,Summary!$B12)</f>
        <v>35176</v>
      </c>
      <c r="AH12" s="116">
        <f>SUMIFS('IS Proforma'!AH:AH,'IS Proforma'!$B:$B,Summary!$B12)</f>
        <v>37262</v>
      </c>
      <c r="AI12" s="116">
        <f>SUMIFS('IS Proforma'!AI:AI,'IS Proforma'!$B:$B,Summary!$B12)</f>
        <v>25313</v>
      </c>
      <c r="AJ12" s="116">
        <f>SUMIFS('IS Proforma'!AJ:AJ,'IS Proforma'!$B:$B,Summary!$B12)</f>
        <v>36298</v>
      </c>
      <c r="AK12" s="116">
        <f>SUMIFS('IS Proforma'!AK:AK,'IS Proforma'!$B:$B,Summary!$B12)</f>
        <v>23322</v>
      </c>
      <c r="AL12" s="116">
        <f>SUMIFS('IS Proforma'!AL:AL,'IS Proforma'!$B:$B,Summary!$B12)</f>
        <v>35512</v>
      </c>
      <c r="AM12" s="116">
        <f>SUMIFS('IS Proforma'!AM:AM,'IS Proforma'!$B:$B,Summary!$B12)</f>
        <v>50000</v>
      </c>
      <c r="AN12" s="116">
        <f>SUMIFS('IS Proforma'!AN:AN,'IS Proforma'!$B:$B,Summary!$B12)</f>
        <v>50000</v>
      </c>
      <c r="AO12" s="116">
        <f>SUMIFS('IS Proforma'!AO:AO,'IS Proforma'!$B:$B,Summary!$B12)</f>
        <v>50000</v>
      </c>
      <c r="AP12" s="116">
        <f>SUMIFS('IS Proforma'!AP:AP,'IS Proforma'!$B:$B,Summary!$B12)</f>
        <v>50000</v>
      </c>
      <c r="AQ12" s="116">
        <f>SUMIFS('IS Proforma'!AQ:AQ,'IS Proforma'!$B:$B,Summary!$B12)</f>
        <v>50000</v>
      </c>
      <c r="AR12" s="116">
        <f>SUMIFS('IS Proforma'!AR:AR,'IS Proforma'!$B:$B,Summary!$B12)</f>
        <v>50000</v>
      </c>
      <c r="AS12" s="116">
        <f>SUMIFS('IS Proforma'!AS:AS,'IS Proforma'!$B:$B,Summary!$B12)</f>
        <v>50000</v>
      </c>
      <c r="AT12" s="116">
        <f>SUMIFS('IS Proforma'!AT:AT,'IS Proforma'!$B:$B,Summary!$B12)</f>
        <v>50000</v>
      </c>
      <c r="AU12" s="116">
        <f>SUMIFS('IS Proforma'!AU:AU,'IS Proforma'!$B:$B,Summary!$B12)</f>
        <v>50000</v>
      </c>
      <c r="AV12" s="116">
        <f>SUMIFS('IS Proforma'!AV:AV,'IS Proforma'!$B:$B,Summary!$B12)</f>
        <v>50000</v>
      </c>
      <c r="AW12" s="116">
        <f>SUMIFS('IS Proforma'!AW:AW,'IS Proforma'!$B:$B,Summary!$B12)</f>
        <v>50000</v>
      </c>
      <c r="AX12" s="116">
        <f>SUMIFS('IS Proforma'!AX:AX,'IS Proforma'!$B:$B,Summary!$B12)</f>
        <v>50000</v>
      </c>
      <c r="AY12" s="116">
        <f>SUMIFS('IS Proforma'!AY:AY,'IS Proforma'!$B:$B,Summary!$B12)</f>
        <v>50000</v>
      </c>
      <c r="AZ12" s="116">
        <f>SUMIFS('IS Proforma'!AZ:AZ,'IS Proforma'!$B:$B,Summary!$B12)</f>
        <v>75000</v>
      </c>
      <c r="BA12" s="116">
        <f>SUMIFS('IS Proforma'!BA:BA,'IS Proforma'!$B:$B,Summary!$B12)</f>
        <v>75000</v>
      </c>
      <c r="BB12" s="116">
        <f>SUMIFS('IS Proforma'!BB:BB,'IS Proforma'!$B:$B,Summary!$B12)</f>
        <v>75000</v>
      </c>
      <c r="BC12" s="116">
        <f>SUMIFS('IS Proforma'!BC:BC,'IS Proforma'!$B:$B,Summary!$B12)</f>
        <v>75000</v>
      </c>
      <c r="BD12" s="116">
        <f>SUMIFS('IS Proforma'!BD:BD,'IS Proforma'!$B:$B,Summary!$B12)</f>
        <v>75000</v>
      </c>
      <c r="BE12" s="116">
        <f>SUMIFS('IS Proforma'!BE:BE,'IS Proforma'!$B:$B,Summary!$B12)</f>
        <v>75000</v>
      </c>
      <c r="BF12" s="116">
        <f>SUMIFS('IS Proforma'!BF:BF,'IS Proforma'!$B:$B,Summary!$B12)</f>
        <v>75000</v>
      </c>
      <c r="BG12" s="116">
        <f>SUMIFS('IS Proforma'!BG:BG,'IS Proforma'!$B:$B,Summary!$B12)</f>
        <v>75000</v>
      </c>
      <c r="BH12" s="116">
        <f>SUMIFS('IS Proforma'!BH:BH,'IS Proforma'!$B:$B,Summary!$B12)</f>
        <v>75000</v>
      </c>
      <c r="BI12" s="116">
        <f>SUMIFS('IS Proforma'!BI:BI,'IS Proforma'!$B:$B,Summary!$B12)</f>
        <v>75000</v>
      </c>
      <c r="BJ12" s="116">
        <f>SUMIFS('IS Proforma'!BJ:BJ,'IS Proforma'!$B:$B,Summary!$B12)</f>
        <v>75000</v>
      </c>
      <c r="BK12" s="116">
        <f>SUMIFS('IS Proforma'!BK:BK,'IS Proforma'!$B:$B,Summary!$B12)</f>
        <v>75000</v>
      </c>
      <c r="BL12" s="116">
        <f>SUMIFS('IS Proforma'!BL:BL,'IS Proforma'!$B:$B,Summary!$B12)</f>
        <v>100000</v>
      </c>
      <c r="BM12" s="116">
        <f>SUMIFS('IS Proforma'!BM:BM,'IS Proforma'!$B:$B,Summary!$B12)</f>
        <v>100000</v>
      </c>
      <c r="BN12" s="116">
        <f>SUMIFS('IS Proforma'!BN:BN,'IS Proforma'!$B:$B,Summary!$B12)</f>
        <v>100000</v>
      </c>
      <c r="BO12" s="116">
        <f>SUMIFS('IS Proforma'!BO:BO,'IS Proforma'!$B:$B,Summary!$B12)</f>
        <v>100000</v>
      </c>
      <c r="BP12" s="116">
        <f>SUMIFS('IS Proforma'!BP:BP,'IS Proforma'!$B:$B,Summary!$B12)</f>
        <v>100000</v>
      </c>
      <c r="BQ12" s="116">
        <f>SUMIFS('IS Proforma'!BQ:BQ,'IS Proforma'!$B:$B,Summary!$B12)</f>
        <v>100000</v>
      </c>
      <c r="BR12" s="116">
        <f>SUMIFS('IS Proforma'!BR:BR,'IS Proforma'!$B:$B,Summary!$B12)</f>
        <v>100000</v>
      </c>
      <c r="BS12" s="116">
        <f>SUMIFS('IS Proforma'!BS:BS,'IS Proforma'!$B:$B,Summary!$B12)</f>
        <v>100000</v>
      </c>
      <c r="BT12" s="116">
        <f>SUMIFS('IS Proforma'!BT:BT,'IS Proforma'!$B:$B,Summary!$B12)</f>
        <v>100000</v>
      </c>
      <c r="BU12" s="116">
        <f>SUMIFS('IS Proforma'!BU:BU,'IS Proforma'!$B:$B,Summary!$B12)</f>
        <v>100000</v>
      </c>
      <c r="BV12" s="116">
        <f>SUMIFS('IS Proforma'!BV:BV,'IS Proforma'!$B:$B,Summary!$B12)</f>
        <v>100000</v>
      </c>
      <c r="BW12" s="116">
        <f>SUMIFS('IS Proforma'!BW:BW,'IS Proforma'!$B:$B,Summary!$B12)</f>
        <v>100000</v>
      </c>
      <c r="BX12" s="116">
        <f>SUMIFS('IS Proforma'!BX:BX,'IS Proforma'!$B:$B,Summary!$B12)</f>
        <v>100000</v>
      </c>
      <c r="BY12" s="116">
        <f>SUMIFS('IS Proforma'!BY:BY,'IS Proforma'!$B:$B,Summary!$B12)</f>
        <v>100000</v>
      </c>
      <c r="BZ12" s="116">
        <f>SUMIFS('IS Proforma'!BZ:BZ,'IS Proforma'!$B:$B,Summary!$B12)</f>
        <v>100000</v>
      </c>
      <c r="CA12" s="116">
        <f>SUMIFS('IS Proforma'!CA:CA,'IS Proforma'!$B:$B,Summary!$B12)</f>
        <v>100000</v>
      </c>
      <c r="CB12" s="116">
        <f>SUMIFS('IS Proforma'!CB:CB,'IS Proforma'!$B:$B,Summary!$B12)</f>
        <v>100000</v>
      </c>
      <c r="CC12" s="116">
        <f>SUMIFS('IS Proforma'!CC:CC,'IS Proforma'!$B:$B,Summary!$B12)</f>
        <v>100000</v>
      </c>
      <c r="CD12" s="116">
        <f>SUMIFS('IS Proforma'!CD:CD,'IS Proforma'!$B:$B,Summary!$B12)</f>
        <v>100000</v>
      </c>
      <c r="CE12" s="116">
        <f>SUMIFS('IS Proforma'!CE:CE,'IS Proforma'!$B:$B,Summary!$B12)</f>
        <v>100000</v>
      </c>
      <c r="CF12" s="116">
        <f>SUMIFS('IS Proforma'!CF:CF,'IS Proforma'!$B:$B,Summary!$B12)</f>
        <v>100000</v>
      </c>
      <c r="CG12" s="116">
        <f>SUMIFS('IS Proforma'!CG:CG,'IS Proforma'!$B:$B,Summary!$B12)</f>
        <v>100000</v>
      </c>
      <c r="CH12" s="116">
        <f>SUMIFS('IS Proforma'!CH:CH,'IS Proforma'!$B:$B,Summary!$B12)</f>
        <v>100000</v>
      </c>
      <c r="CI12" s="116">
        <f>SUMIFS('IS Proforma'!CI:CI,'IS Proforma'!$B:$B,Summary!$B12)</f>
        <v>100000</v>
      </c>
      <c r="CJ12" s="116">
        <f>SUMIFS('IS Proforma'!CJ:CJ,'IS Proforma'!$B:$B,Summary!$B12)</f>
        <v>100000</v>
      </c>
      <c r="CK12" s="116">
        <f>SUMIFS('IS Proforma'!CK:CK,'IS Proforma'!$B:$B,Summary!$B12)</f>
        <v>100000</v>
      </c>
      <c r="CL12" s="116">
        <f>SUMIFS('IS Proforma'!CL:CL,'IS Proforma'!$B:$B,Summary!$B12)</f>
        <v>100000</v>
      </c>
      <c r="CM12" s="116">
        <f>SUMIFS('IS Proforma'!CM:CM,'IS Proforma'!$B:$B,Summary!$B12)</f>
        <v>100000</v>
      </c>
      <c r="CN12" s="116">
        <f>SUMIFS('IS Proforma'!CN:CN,'IS Proforma'!$B:$B,Summary!$B12)</f>
        <v>100000</v>
      </c>
      <c r="CO12" s="116">
        <f>SUMIFS('IS Proforma'!CO:CO,'IS Proforma'!$B:$B,Summary!$B12)</f>
        <v>100000</v>
      </c>
      <c r="CP12" s="116">
        <f>SUMIFS('IS Proforma'!CP:CP,'IS Proforma'!$B:$B,Summary!$B12)</f>
        <v>100000</v>
      </c>
      <c r="CQ12" s="116">
        <f>SUMIFS('IS Proforma'!CQ:CQ,'IS Proforma'!$B:$B,Summary!$B12)</f>
        <v>100000</v>
      </c>
      <c r="CR12" s="116">
        <f>SUMIFS('IS Proforma'!CR:CR,'IS Proforma'!$B:$B,Summary!$B12)</f>
        <v>100000</v>
      </c>
      <c r="CS12" s="116">
        <f>SUMIFS('IS Proforma'!CS:CS,'IS Proforma'!$B:$B,Summary!$B12)</f>
        <v>100000</v>
      </c>
      <c r="CT12" s="116">
        <f>SUMIFS('IS Proforma'!CT:CT,'IS Proforma'!$B:$B,Summary!$B12)</f>
        <v>100000</v>
      </c>
      <c r="CU12" s="116">
        <f>SUMIFS('IS Proforma'!CU:CU,'IS Proforma'!$B:$B,Summary!$B12)</f>
        <v>100000</v>
      </c>
      <c r="CW12" s="117">
        <f t="shared" si="1"/>
        <v>117724</v>
      </c>
      <c r="CX12" s="117">
        <f t="shared" si="2"/>
        <v>104284</v>
      </c>
      <c r="CY12" s="117">
        <f t="shared" si="3"/>
        <v>120940</v>
      </c>
      <c r="CZ12" s="117">
        <f t="shared" si="4"/>
        <v>140701</v>
      </c>
      <c r="DA12" s="117">
        <f t="shared" si="5"/>
        <v>127588</v>
      </c>
      <c r="DB12" s="117">
        <f t="shared" si="6"/>
        <v>110931</v>
      </c>
      <c r="DC12" s="117">
        <f t="shared" si="7"/>
        <v>107338</v>
      </c>
      <c r="DD12" s="117">
        <f t="shared" si="8"/>
        <v>122418</v>
      </c>
      <c r="DE12" s="117">
        <f t="shared" si="9"/>
        <v>145132</v>
      </c>
      <c r="DF12" s="117">
        <f t="shared" si="10"/>
        <v>200000</v>
      </c>
      <c r="DG12" s="117">
        <f t="shared" si="11"/>
        <v>200000</v>
      </c>
      <c r="DH12" s="117">
        <f t="shared" si="12"/>
        <v>200000</v>
      </c>
      <c r="DI12" s="117">
        <f t="shared" si="13"/>
        <v>300000</v>
      </c>
      <c r="DJ12" s="117">
        <f t="shared" si="14"/>
        <v>300000</v>
      </c>
      <c r="DK12" s="117">
        <f t="shared" si="15"/>
        <v>300000</v>
      </c>
      <c r="DL12" s="117">
        <f t="shared" si="16"/>
        <v>400000</v>
      </c>
      <c r="DM12" s="117">
        <f t="shared" si="17"/>
        <v>400000</v>
      </c>
      <c r="DN12" s="117">
        <f t="shared" si="18"/>
        <v>400000</v>
      </c>
      <c r="DO12" s="117">
        <f t="shared" si="19"/>
        <v>400000</v>
      </c>
      <c r="DP12" s="117">
        <f t="shared" si="20"/>
        <v>400000</v>
      </c>
      <c r="DQ12" s="117">
        <f t="shared" si="21"/>
        <v>400000</v>
      </c>
      <c r="DR12" s="117">
        <f t="shared" si="22"/>
        <v>400000</v>
      </c>
      <c r="DS12" s="117">
        <f t="shared" si="23"/>
        <v>400000</v>
      </c>
      <c r="DT12" s="117">
        <f t="shared" si="24"/>
        <v>400000</v>
      </c>
      <c r="DV12" s="117">
        <f t="shared" si="25"/>
        <v>342948</v>
      </c>
      <c r="DW12" s="117">
        <f t="shared" si="26"/>
        <v>379220</v>
      </c>
      <c r="DX12" s="117">
        <f t="shared" si="27"/>
        <v>374888</v>
      </c>
      <c r="DY12" s="117">
        <f t="shared" si="28"/>
        <v>600000</v>
      </c>
      <c r="DZ12" s="117">
        <f t="shared" si="29"/>
        <v>900000</v>
      </c>
      <c r="EA12" s="117">
        <f t="shared" si="30"/>
        <v>1200000</v>
      </c>
      <c r="EB12" s="117">
        <f t="shared" si="31"/>
        <v>1200000</v>
      </c>
      <c r="EC12" s="117">
        <f t="shared" si="32"/>
        <v>1200000</v>
      </c>
      <c r="ED12" s="118"/>
      <c r="EE12" s="118"/>
    </row>
    <row r="13" outlineLevel="1">
      <c r="B13" s="1" t="s">
        <v>169</v>
      </c>
      <c r="C13" s="1" t="s">
        <v>169</v>
      </c>
      <c r="D13" s="116">
        <f>SUMIFS('IS Proforma'!D:D,'IS Proforma'!$B:$B,Summary!$B13)</f>
        <v>5789</v>
      </c>
      <c r="E13" s="116">
        <f>SUMIFS('IS Proforma'!E:E,'IS Proforma'!$B:$B,Summary!$B13)</f>
        <v>859</v>
      </c>
      <c r="F13" s="116">
        <f>SUMIFS('IS Proforma'!F:F,'IS Proforma'!$B:$B,Summary!$B13)</f>
        <v>-8151</v>
      </c>
      <c r="G13" s="116">
        <f>SUMIFS('IS Proforma'!G:G,'IS Proforma'!$B:$B,Summary!$B13)</f>
        <v>254</v>
      </c>
      <c r="H13" s="116">
        <f>SUMIFS('IS Proforma'!H:H,'IS Proforma'!$B:$B,Summary!$B13)</f>
        <v>-5906</v>
      </c>
      <c r="I13" s="116">
        <f>SUMIFS('IS Proforma'!I:I,'IS Proforma'!$B:$B,Summary!$B13)</f>
        <v>-4491</v>
      </c>
      <c r="J13" s="116">
        <f>SUMIFS('IS Proforma'!J:J,'IS Proforma'!$B:$B,Summary!$B13)</f>
        <v>-6055</v>
      </c>
      <c r="K13" s="116">
        <f>SUMIFS('IS Proforma'!K:K,'IS Proforma'!$B:$B,Summary!$B13)</f>
        <v>-899</v>
      </c>
      <c r="L13" s="116">
        <f>SUMIFS('IS Proforma'!L:L,'IS Proforma'!$B:$B,Summary!$B13)</f>
        <v>3977</v>
      </c>
      <c r="M13" s="116">
        <f>SUMIFS('IS Proforma'!M:M,'IS Proforma'!$B:$B,Summary!$B13)</f>
        <v>1699</v>
      </c>
      <c r="N13" s="116">
        <f>SUMIFS('IS Proforma'!N:N,'IS Proforma'!$B:$B,Summary!$B13)</f>
        <v>-2118</v>
      </c>
      <c r="O13" s="116">
        <f>SUMIFS('IS Proforma'!O:O,'IS Proforma'!$B:$B,Summary!$B13)</f>
        <v>2561</v>
      </c>
      <c r="P13" s="116">
        <f>SUMIFS('IS Proforma'!P:P,'IS Proforma'!$B:$B,Summary!$B13)</f>
        <v>-1149</v>
      </c>
      <c r="Q13" s="116">
        <f>SUMIFS('IS Proforma'!Q:Q,'IS Proforma'!$B:$B,Summary!$B13)</f>
        <v>-2038</v>
      </c>
      <c r="R13" s="116">
        <f>SUMIFS('IS Proforma'!R:R,'IS Proforma'!$B:$B,Summary!$B13)</f>
        <v>5023</v>
      </c>
      <c r="S13" s="116">
        <f>SUMIFS('IS Proforma'!S:S,'IS Proforma'!$B:$B,Summary!$B13)</f>
        <v>-1297</v>
      </c>
      <c r="T13" s="116">
        <f>SUMIFS('IS Proforma'!T:T,'IS Proforma'!$B:$B,Summary!$B13)</f>
        <v>5789</v>
      </c>
      <c r="U13" s="116">
        <f>SUMIFS('IS Proforma'!U:U,'IS Proforma'!$B:$B,Summary!$B13)</f>
        <v>-3042</v>
      </c>
      <c r="V13" s="116">
        <f>SUMIFS('IS Proforma'!V:V,'IS Proforma'!$B:$B,Summary!$B13)</f>
        <v>2777</v>
      </c>
      <c r="W13" s="116">
        <f>SUMIFS('IS Proforma'!W:W,'IS Proforma'!$B:$B,Summary!$B13)</f>
        <v>1676</v>
      </c>
      <c r="X13" s="116">
        <f>SUMIFS('IS Proforma'!X:X,'IS Proforma'!$B:$B,Summary!$B13)</f>
        <v>3127</v>
      </c>
      <c r="Y13" s="116">
        <f>SUMIFS('IS Proforma'!Y:Y,'IS Proforma'!$B:$B,Summary!$B13)</f>
        <v>-1900</v>
      </c>
      <c r="Z13" s="116">
        <f>SUMIFS('IS Proforma'!Z:Z,'IS Proforma'!$B:$B,Summary!$B13)</f>
        <v>-7356</v>
      </c>
      <c r="AA13" s="116">
        <f>SUMIFS('IS Proforma'!AA:AA,'IS Proforma'!$B:$B,Summary!$B13)</f>
        <v>4009</v>
      </c>
      <c r="AB13" s="116">
        <f>SUMIFS('IS Proforma'!AB:AB,'IS Proforma'!$B:$B,Summary!$B13)</f>
        <v>-6964</v>
      </c>
      <c r="AC13" s="116">
        <f>SUMIFS('IS Proforma'!AC:AC,'IS Proforma'!$B:$B,Summary!$B13)</f>
        <v>-2787</v>
      </c>
      <c r="AD13" s="116">
        <f>SUMIFS('IS Proforma'!AD:AD,'IS Proforma'!$B:$B,Summary!$B13)</f>
        <v>5092</v>
      </c>
      <c r="AE13" s="116">
        <f>SUMIFS('IS Proforma'!AE:AE,'IS Proforma'!$B:$B,Summary!$B13)</f>
        <v>6226</v>
      </c>
      <c r="AF13" s="116">
        <f>SUMIFS('IS Proforma'!AF:AF,'IS Proforma'!$B:$B,Summary!$B13)</f>
        <v>889</v>
      </c>
      <c r="AG13" s="116">
        <f>SUMIFS('IS Proforma'!AG:AG,'IS Proforma'!$B:$B,Summary!$B13)</f>
        <v>-374</v>
      </c>
      <c r="AH13" s="116">
        <f>SUMIFS('IS Proforma'!AH:AH,'IS Proforma'!$B:$B,Summary!$B13)</f>
        <v>8839</v>
      </c>
      <c r="AI13" s="116">
        <f>SUMIFS('IS Proforma'!AI:AI,'IS Proforma'!$B:$B,Summary!$B13)</f>
        <v>-2947</v>
      </c>
      <c r="AJ13" s="116">
        <f>SUMIFS('IS Proforma'!AJ:AJ,'IS Proforma'!$B:$B,Summary!$B13)</f>
        <v>210</v>
      </c>
      <c r="AK13" s="116">
        <f>SUMIFS('IS Proforma'!AK:AK,'IS Proforma'!$B:$B,Summary!$B13)</f>
        <v>3596</v>
      </c>
      <c r="AL13" s="116">
        <f>SUMIFS('IS Proforma'!AL:AL,'IS Proforma'!$B:$B,Summary!$B13)</f>
        <v>2600</v>
      </c>
      <c r="AM13" s="116">
        <f>SUMIFS('IS Proforma'!AM:AM,'IS Proforma'!$B:$B,Summary!$B13)</f>
        <v>-8518.22</v>
      </c>
      <c r="AN13" s="116">
        <f>SUMIFS('IS Proforma'!AN:AN,'IS Proforma'!$B:$B,Summary!$B13)</f>
        <v>-8475.2688</v>
      </c>
      <c r="AO13" s="116">
        <f>SUMIFS('IS Proforma'!AO:AO,'IS Proforma'!$B:$B,Summary!$B13)</f>
        <v>-8430.599552</v>
      </c>
      <c r="AP13" s="116">
        <f>SUMIFS('IS Proforma'!AP:AP,'IS Proforma'!$B:$B,Summary!$B13)</f>
        <v>-8384.143534</v>
      </c>
      <c r="AQ13" s="116">
        <f>SUMIFS('IS Proforma'!AQ:AQ,'IS Proforma'!$B:$B,Summary!$B13)</f>
        <v>-8335.829275</v>
      </c>
      <c r="AR13" s="116">
        <f>SUMIFS('IS Proforma'!AR:AR,'IS Proforma'!$B:$B,Summary!$B13)</f>
        <v>-8285.582446</v>
      </c>
      <c r="AS13" s="116">
        <f>SUMIFS('IS Proforma'!AS:AS,'IS Proforma'!$B:$B,Summary!$B13)</f>
        <v>1358.674256</v>
      </c>
      <c r="AT13" s="116">
        <f>SUMIFS('IS Proforma'!AT:AT,'IS Proforma'!$B:$B,Summary!$B13)</f>
        <v>1413.021226</v>
      </c>
      <c r="AU13" s="116">
        <f>SUMIFS('IS Proforma'!AU:AU,'IS Proforma'!$B:$B,Summary!$B13)</f>
        <v>1469.542075</v>
      </c>
      <c r="AV13" s="116">
        <f>SUMIFS('IS Proforma'!AV:AV,'IS Proforma'!$B:$B,Summary!$B13)</f>
        <v>1528.323758</v>
      </c>
      <c r="AW13" s="116">
        <f>SUMIFS('IS Proforma'!AW:AW,'IS Proforma'!$B:$B,Summary!$B13)</f>
        <v>1589.456708</v>
      </c>
      <c r="AX13" s="116">
        <f>SUMIFS('IS Proforma'!AX:AX,'IS Proforma'!$B:$B,Summary!$B13)</f>
        <v>1653.034977</v>
      </c>
      <c r="AY13" s="116">
        <f>SUMIFS('IS Proforma'!AY:AY,'IS Proforma'!$B:$B,Summary!$B13)</f>
        <v>1719.156376</v>
      </c>
      <c r="AZ13" s="116">
        <f>SUMIFS('IS Proforma'!AZ:AZ,'IS Proforma'!$B:$B,Summary!$B13)</f>
        <v>1787.922631</v>
      </c>
      <c r="BA13" s="116">
        <f>SUMIFS('IS Proforma'!BA:BA,'IS Proforma'!$B:$B,Summary!$B13)</f>
        <v>1859.439536</v>
      </c>
      <c r="BB13" s="116">
        <f>SUMIFS('IS Proforma'!BB:BB,'IS Proforma'!$B:$B,Summary!$B13)</f>
        <v>1933.817117</v>
      </c>
      <c r="BC13" s="116">
        <f>SUMIFS('IS Proforma'!BC:BC,'IS Proforma'!$B:$B,Summary!$B13)</f>
        <v>2011.169802</v>
      </c>
      <c r="BD13" s="116">
        <f>SUMIFS('IS Proforma'!BD:BD,'IS Proforma'!$B:$B,Summary!$B13)</f>
        <v>2091.616594</v>
      </c>
      <c r="BE13" s="116">
        <f>SUMIFS('IS Proforma'!BE:BE,'IS Proforma'!$B:$B,Summary!$B13)</f>
        <v>2175.281258</v>
      </c>
      <c r="BF13" s="116">
        <f>SUMIFS('IS Proforma'!BF:BF,'IS Proforma'!$B:$B,Summary!$B13)</f>
        <v>2262.292508</v>
      </c>
      <c r="BG13" s="116">
        <f>SUMIFS('IS Proforma'!BG:BG,'IS Proforma'!$B:$B,Summary!$B13)</f>
        <v>2352.784209</v>
      </c>
      <c r="BH13" s="116">
        <f>SUMIFS('IS Proforma'!BH:BH,'IS Proforma'!$B:$B,Summary!$B13)</f>
        <v>2446.895577</v>
      </c>
      <c r="BI13" s="116">
        <f>SUMIFS('IS Proforma'!BI:BI,'IS Proforma'!$B:$B,Summary!$B13)</f>
        <v>2544.7714</v>
      </c>
      <c r="BJ13" s="116">
        <f>SUMIFS('IS Proforma'!BJ:BJ,'IS Proforma'!$B:$B,Summary!$B13)</f>
        <v>2646.562256</v>
      </c>
      <c r="BK13" s="116">
        <f>SUMIFS('IS Proforma'!BK:BK,'IS Proforma'!$B:$B,Summary!$B13)</f>
        <v>2752.424746</v>
      </c>
      <c r="BL13" s="116">
        <f>SUMIFS('IS Proforma'!BL:BL,'IS Proforma'!$B:$B,Summary!$B13)</f>
        <v>2862.521736</v>
      </c>
      <c r="BM13" s="116">
        <f>SUMIFS('IS Proforma'!BM:BM,'IS Proforma'!$B:$B,Summary!$B13)</f>
        <v>2977.022605</v>
      </c>
      <c r="BN13" s="116">
        <f>SUMIFS('IS Proforma'!BN:BN,'IS Proforma'!$B:$B,Summary!$B13)</f>
        <v>3096.10351</v>
      </c>
      <c r="BO13" s="116">
        <f>SUMIFS('IS Proforma'!BO:BO,'IS Proforma'!$B:$B,Summary!$B13)</f>
        <v>3219.94765</v>
      </c>
      <c r="BP13" s="116">
        <f>SUMIFS('IS Proforma'!BP:BP,'IS Proforma'!$B:$B,Summary!$B13)</f>
        <v>3348.745556</v>
      </c>
      <c r="BQ13" s="116">
        <f>SUMIFS('IS Proforma'!BQ:BQ,'IS Proforma'!$B:$B,Summary!$B13)</f>
        <v>3482.695378</v>
      </c>
      <c r="BR13" s="116">
        <f>SUMIFS('IS Proforma'!BR:BR,'IS Proforma'!$B:$B,Summary!$B13)</f>
        <v>3622.003193</v>
      </c>
      <c r="BS13" s="116">
        <f>SUMIFS('IS Proforma'!BS:BS,'IS Proforma'!$B:$B,Summary!$B13)</f>
        <v>3766.883321</v>
      </c>
      <c r="BT13" s="116">
        <f>SUMIFS('IS Proforma'!BT:BT,'IS Proforma'!$B:$B,Summary!$B13)</f>
        <v>3917.558654</v>
      </c>
      <c r="BU13" s="116">
        <f>SUMIFS('IS Proforma'!BU:BU,'IS Proforma'!$B:$B,Summary!$B13)</f>
        <v>4074.261</v>
      </c>
      <c r="BV13" s="116">
        <f>SUMIFS('IS Proforma'!BV:BV,'IS Proforma'!$B:$B,Summary!$B13)</f>
        <v>4237.23144</v>
      </c>
      <c r="BW13" s="116">
        <f>SUMIFS('IS Proforma'!BW:BW,'IS Proforma'!$B:$B,Summary!$B13)</f>
        <v>4406.720698</v>
      </c>
      <c r="BX13" s="116">
        <f>SUMIFS('IS Proforma'!BX:BX,'IS Proforma'!$B:$B,Summary!$B13)</f>
        <v>4582.989526</v>
      </c>
      <c r="BY13" s="116">
        <f>SUMIFS('IS Proforma'!BY:BY,'IS Proforma'!$B:$B,Summary!$B13)</f>
        <v>4766.309107</v>
      </c>
      <c r="BZ13" s="116">
        <f>SUMIFS('IS Proforma'!BZ:BZ,'IS Proforma'!$B:$B,Summary!$B13)</f>
        <v>4956.961471</v>
      </c>
      <c r="CA13" s="116">
        <f>SUMIFS('IS Proforma'!CA:CA,'IS Proforma'!$B:$B,Summary!$B13)</f>
        <v>5155.23993</v>
      </c>
      <c r="CB13" s="116">
        <f>SUMIFS('IS Proforma'!CB:CB,'IS Proforma'!$B:$B,Summary!$B13)</f>
        <v>5361.449527</v>
      </c>
      <c r="CC13" s="116">
        <f>SUMIFS('IS Proforma'!CC:CC,'IS Proforma'!$B:$B,Summary!$B13)</f>
        <v>5575.907508</v>
      </c>
      <c r="CD13" s="116">
        <f>SUMIFS('IS Proforma'!CD:CD,'IS Proforma'!$B:$B,Summary!$B13)</f>
        <v>5798.943808</v>
      </c>
      <c r="CE13" s="116">
        <f>SUMIFS('IS Proforma'!CE:CE,'IS Proforma'!$B:$B,Summary!$B13)</f>
        <v>6030.901561</v>
      </c>
      <c r="CF13" s="116">
        <f>SUMIFS('IS Proforma'!CF:CF,'IS Proforma'!$B:$B,Summary!$B13)</f>
        <v>6272.137623</v>
      </c>
      <c r="CG13" s="116">
        <f>SUMIFS('IS Proforma'!CG:CG,'IS Proforma'!$B:$B,Summary!$B13)</f>
        <v>6523.023128</v>
      </c>
      <c r="CH13" s="116">
        <f>SUMIFS('IS Proforma'!CH:CH,'IS Proforma'!$B:$B,Summary!$B13)</f>
        <v>6783.944053</v>
      </c>
      <c r="CI13" s="116">
        <f>SUMIFS('IS Proforma'!CI:CI,'IS Proforma'!$B:$B,Summary!$B13)</f>
        <v>7055.301815</v>
      </c>
      <c r="CJ13" s="116">
        <f>SUMIFS('IS Proforma'!CJ:CJ,'IS Proforma'!$B:$B,Summary!$B13)</f>
        <v>7337.513888</v>
      </c>
      <c r="CK13" s="116">
        <f>SUMIFS('IS Proforma'!CK:CK,'IS Proforma'!$B:$B,Summary!$B13)</f>
        <v>7631.014444</v>
      </c>
      <c r="CL13" s="116">
        <f>SUMIFS('IS Proforma'!CL:CL,'IS Proforma'!$B:$B,Summary!$B13)</f>
        <v>7936.255021</v>
      </c>
      <c r="CM13" s="116">
        <f>SUMIFS('IS Proforma'!CM:CM,'IS Proforma'!$B:$B,Summary!$B13)</f>
        <v>8253.705222</v>
      </c>
      <c r="CN13" s="116">
        <f>SUMIFS('IS Proforma'!CN:CN,'IS Proforma'!$B:$B,Summary!$B13)</f>
        <v>8583.853431</v>
      </c>
      <c r="CO13" s="116">
        <f>SUMIFS('IS Proforma'!CO:CO,'IS Proforma'!$B:$B,Summary!$B13)</f>
        <v>8927.207568</v>
      </c>
      <c r="CP13" s="116">
        <f>SUMIFS('IS Proforma'!CP:CP,'IS Proforma'!$B:$B,Summary!$B13)</f>
        <v>9284.295871</v>
      </c>
      <c r="CQ13" s="116">
        <f>SUMIFS('IS Proforma'!CQ:CQ,'IS Proforma'!$B:$B,Summary!$B13)</f>
        <v>9655.667706</v>
      </c>
      <c r="CR13" s="116">
        <f>SUMIFS('IS Proforma'!CR:CR,'IS Proforma'!$B:$B,Summary!$B13)</f>
        <v>10041.89441</v>
      </c>
      <c r="CS13" s="116">
        <f>SUMIFS('IS Proforma'!CS:CS,'IS Proforma'!$B:$B,Summary!$B13)</f>
        <v>10443.57019</v>
      </c>
      <c r="CT13" s="116">
        <f>SUMIFS('IS Proforma'!CT:CT,'IS Proforma'!$B:$B,Summary!$B13)</f>
        <v>10861.313</v>
      </c>
      <c r="CU13" s="116">
        <f>SUMIFS('IS Proforma'!CU:CU,'IS Proforma'!$B:$B,Summary!$B13)</f>
        <v>11295.76552</v>
      </c>
      <c r="CW13" s="117">
        <f t="shared" si="1"/>
        <v>-1249</v>
      </c>
      <c r="CX13" s="117">
        <f t="shared" si="2"/>
        <v>-17351</v>
      </c>
      <c r="CY13" s="117">
        <f t="shared" si="3"/>
        <v>6119</v>
      </c>
      <c r="CZ13" s="117">
        <f t="shared" si="4"/>
        <v>539</v>
      </c>
      <c r="DA13" s="117">
        <f t="shared" si="5"/>
        <v>7200</v>
      </c>
      <c r="DB13" s="117">
        <f t="shared" si="6"/>
        <v>-2120</v>
      </c>
      <c r="DC13" s="117">
        <f t="shared" si="7"/>
        <v>1567</v>
      </c>
      <c r="DD13" s="117">
        <f t="shared" si="8"/>
        <v>6407</v>
      </c>
      <c r="DE13" s="117">
        <f t="shared" si="9"/>
        <v>-2112.22</v>
      </c>
      <c r="DF13" s="117">
        <f t="shared" si="10"/>
        <v>-33625.84116</v>
      </c>
      <c r="DG13" s="117">
        <f t="shared" si="11"/>
        <v>-4044.34489</v>
      </c>
      <c r="DH13" s="117">
        <f t="shared" si="12"/>
        <v>6489.971818</v>
      </c>
      <c r="DI13" s="117">
        <f t="shared" si="13"/>
        <v>7592.349086</v>
      </c>
      <c r="DJ13" s="117">
        <f t="shared" si="14"/>
        <v>8881.974569</v>
      </c>
      <c r="DK13" s="117">
        <f t="shared" si="15"/>
        <v>10390.65398</v>
      </c>
      <c r="DL13" s="117">
        <f t="shared" si="16"/>
        <v>12155.5955</v>
      </c>
      <c r="DM13" s="117">
        <f t="shared" si="17"/>
        <v>14220.32745</v>
      </c>
      <c r="DN13" s="117">
        <f t="shared" si="18"/>
        <v>16635.77179</v>
      </c>
      <c r="DO13" s="117">
        <f t="shared" si="19"/>
        <v>19461.50003</v>
      </c>
      <c r="DP13" s="117">
        <f t="shared" si="20"/>
        <v>22767.2024</v>
      </c>
      <c r="DQ13" s="117">
        <f t="shared" si="21"/>
        <v>26634.40662</v>
      </c>
      <c r="DR13" s="117">
        <f t="shared" si="22"/>
        <v>31158.48858</v>
      </c>
      <c r="DS13" s="117">
        <f t="shared" si="23"/>
        <v>36451.02458</v>
      </c>
      <c r="DT13" s="117">
        <f t="shared" si="24"/>
        <v>42642.54312</v>
      </c>
      <c r="DV13" s="117">
        <f t="shared" si="25"/>
        <v>-12481</v>
      </c>
      <c r="DW13" s="117">
        <f t="shared" si="26"/>
        <v>5619</v>
      </c>
      <c r="DX13" s="117">
        <f t="shared" si="27"/>
        <v>5861.78</v>
      </c>
      <c r="DY13" s="117">
        <f t="shared" si="28"/>
        <v>-31180.21423</v>
      </c>
      <c r="DZ13" s="117">
        <f t="shared" si="29"/>
        <v>26864.97763</v>
      </c>
      <c r="EA13" s="117">
        <f t="shared" si="30"/>
        <v>43011.69474</v>
      </c>
      <c r="EB13" s="117">
        <f t="shared" si="31"/>
        <v>68863.10906</v>
      </c>
      <c r="EC13" s="117">
        <f t="shared" si="32"/>
        <v>110252.0563</v>
      </c>
      <c r="ED13" s="118"/>
      <c r="EE13" s="118"/>
    </row>
    <row r="14">
      <c r="A14" s="4"/>
      <c r="B14" s="4"/>
      <c r="C14" s="119" t="s">
        <v>98</v>
      </c>
      <c r="D14" s="120">
        <f t="shared" ref="D14:AI14" si="33">SUM(D7:D13)</f>
        <v>1228943</v>
      </c>
      <c r="E14" s="120">
        <f t="shared" si="33"/>
        <v>1197011</v>
      </c>
      <c r="F14" s="120">
        <f t="shared" si="33"/>
        <v>1157324</v>
      </c>
      <c r="G14" s="120">
        <f t="shared" si="33"/>
        <v>1294414</v>
      </c>
      <c r="H14" s="120">
        <f t="shared" si="33"/>
        <v>1459267</v>
      </c>
      <c r="I14" s="120">
        <f t="shared" si="33"/>
        <v>1324230</v>
      </c>
      <c r="J14" s="120">
        <f t="shared" si="33"/>
        <v>1252935</v>
      </c>
      <c r="K14" s="120">
        <f t="shared" si="33"/>
        <v>1183165</v>
      </c>
      <c r="L14" s="120">
        <f t="shared" si="33"/>
        <v>1211602</v>
      </c>
      <c r="M14" s="120">
        <f t="shared" si="33"/>
        <v>1158748</v>
      </c>
      <c r="N14" s="120">
        <f t="shared" si="33"/>
        <v>1223927</v>
      </c>
      <c r="O14" s="120">
        <f t="shared" si="33"/>
        <v>1272439</v>
      </c>
      <c r="P14" s="120">
        <f t="shared" si="33"/>
        <v>1116739</v>
      </c>
      <c r="Q14" s="120">
        <f t="shared" si="33"/>
        <v>1235749</v>
      </c>
      <c r="R14" s="120">
        <f t="shared" si="33"/>
        <v>1294253</v>
      </c>
      <c r="S14" s="120">
        <f t="shared" si="33"/>
        <v>1376746</v>
      </c>
      <c r="T14" s="120">
        <f t="shared" si="33"/>
        <v>1287712</v>
      </c>
      <c r="U14" s="120">
        <f t="shared" si="33"/>
        <v>1317607</v>
      </c>
      <c r="V14" s="120">
        <f t="shared" si="33"/>
        <v>1171275</v>
      </c>
      <c r="W14" s="120">
        <f t="shared" si="33"/>
        <v>1016879</v>
      </c>
      <c r="X14" s="120">
        <f t="shared" si="33"/>
        <v>1199078</v>
      </c>
      <c r="Y14" s="120">
        <f t="shared" si="33"/>
        <v>1344905</v>
      </c>
      <c r="Z14" s="120">
        <f t="shared" si="33"/>
        <v>1212008</v>
      </c>
      <c r="AA14" s="120">
        <f t="shared" si="33"/>
        <v>1122806</v>
      </c>
      <c r="AB14" s="120">
        <f t="shared" si="33"/>
        <v>1347011</v>
      </c>
      <c r="AC14" s="120">
        <f t="shared" si="33"/>
        <v>1100646</v>
      </c>
      <c r="AD14" s="120">
        <f t="shared" si="33"/>
        <v>1222111</v>
      </c>
      <c r="AE14" s="120">
        <f t="shared" si="33"/>
        <v>1271194</v>
      </c>
      <c r="AF14" s="120">
        <f t="shared" si="33"/>
        <v>1363749</v>
      </c>
      <c r="AG14" s="120">
        <f t="shared" si="33"/>
        <v>1168159</v>
      </c>
      <c r="AH14" s="120">
        <f t="shared" si="33"/>
        <v>1323566</v>
      </c>
      <c r="AI14" s="120">
        <f t="shared" si="33"/>
        <v>1496054</v>
      </c>
      <c r="AJ14" s="120">
        <v>2003085.0</v>
      </c>
      <c r="AK14" s="120">
        <f t="shared" ref="AK14:CU14" si="34">SUM(AK7:AK13)</f>
        <v>1263151</v>
      </c>
      <c r="AL14" s="120">
        <f t="shared" si="34"/>
        <v>1309094</v>
      </c>
      <c r="AM14" s="120">
        <f t="shared" si="34"/>
        <v>1415790.631</v>
      </c>
      <c r="AN14" s="120">
        <f t="shared" si="34"/>
        <v>1667456.392</v>
      </c>
      <c r="AO14" s="120">
        <f t="shared" si="34"/>
        <v>1916164.307</v>
      </c>
      <c r="AP14" s="120">
        <f t="shared" si="34"/>
        <v>2143927.895</v>
      </c>
      <c r="AQ14" s="120">
        <f t="shared" si="34"/>
        <v>2362030.523</v>
      </c>
      <c r="AR14" s="120">
        <f t="shared" si="34"/>
        <v>2578733.721</v>
      </c>
      <c r="AS14" s="120">
        <f t="shared" si="34"/>
        <v>2796714.82</v>
      </c>
      <c r="AT14" s="120">
        <f t="shared" si="34"/>
        <v>2993212.987</v>
      </c>
      <c r="AU14" s="120">
        <f t="shared" si="34"/>
        <v>3185918.325</v>
      </c>
      <c r="AV14" s="120">
        <f t="shared" si="34"/>
        <v>3374588.725</v>
      </c>
      <c r="AW14" s="120">
        <f t="shared" si="34"/>
        <v>3549978.171</v>
      </c>
      <c r="AX14" s="120">
        <f t="shared" si="34"/>
        <v>3723674.445</v>
      </c>
      <c r="AY14" s="120">
        <f t="shared" si="34"/>
        <v>3899557.769</v>
      </c>
      <c r="AZ14" s="120">
        <f t="shared" si="34"/>
        <v>4073318.095</v>
      </c>
      <c r="BA14" s="120">
        <f t="shared" si="34"/>
        <v>4104264.349</v>
      </c>
      <c r="BB14" s="120">
        <f t="shared" si="34"/>
        <v>4147652.518</v>
      </c>
      <c r="BC14" s="120">
        <f t="shared" si="34"/>
        <v>4203892.505</v>
      </c>
      <c r="BD14" s="120">
        <f t="shared" si="34"/>
        <v>4263598.691</v>
      </c>
      <c r="BE14" s="120">
        <f t="shared" si="34"/>
        <v>4325695.573</v>
      </c>
      <c r="BF14" s="120">
        <f t="shared" si="34"/>
        <v>4387113.817</v>
      </c>
      <c r="BG14" s="120">
        <f t="shared" si="34"/>
        <v>4461262.247</v>
      </c>
      <c r="BH14" s="120">
        <f t="shared" si="34"/>
        <v>4521109.201</v>
      </c>
      <c r="BI14" s="120">
        <f t="shared" si="34"/>
        <v>4580106.491</v>
      </c>
      <c r="BJ14" s="120">
        <f t="shared" si="34"/>
        <v>4638288.148</v>
      </c>
      <c r="BK14" s="120">
        <f t="shared" si="34"/>
        <v>4695693.717</v>
      </c>
      <c r="BL14" s="120">
        <f t="shared" si="34"/>
        <v>4820732.602</v>
      </c>
      <c r="BM14" s="120">
        <f t="shared" si="34"/>
        <v>4914856.216</v>
      </c>
      <c r="BN14" s="120">
        <f t="shared" si="34"/>
        <v>5006077.918</v>
      </c>
      <c r="BO14" s="120">
        <f t="shared" si="34"/>
        <v>5094952.155</v>
      </c>
      <c r="BP14" s="120">
        <f t="shared" si="34"/>
        <v>5181837.409</v>
      </c>
      <c r="BQ14" s="120">
        <f t="shared" si="34"/>
        <v>5266964.562</v>
      </c>
      <c r="BR14" s="120">
        <f t="shared" si="34"/>
        <v>5350509.62</v>
      </c>
      <c r="BS14" s="120">
        <f t="shared" si="34"/>
        <v>5432616.125</v>
      </c>
      <c r="BT14" s="120">
        <f t="shared" si="34"/>
        <v>5513405.239</v>
      </c>
      <c r="BU14" s="120">
        <f t="shared" si="34"/>
        <v>5592981.632</v>
      </c>
      <c r="BV14" s="120">
        <f t="shared" si="34"/>
        <v>5671437.41</v>
      </c>
      <c r="BW14" s="120">
        <f t="shared" si="34"/>
        <v>5748854.893</v>
      </c>
      <c r="BX14" s="120">
        <f t="shared" si="34"/>
        <v>5860742.345</v>
      </c>
      <c r="BY14" s="120">
        <f t="shared" si="34"/>
        <v>5947592.72</v>
      </c>
      <c r="BZ14" s="120">
        <f t="shared" si="34"/>
        <v>6026248.645</v>
      </c>
      <c r="CA14" s="120">
        <f t="shared" si="34"/>
        <v>6103350.145</v>
      </c>
      <c r="CB14" s="120">
        <f t="shared" si="34"/>
        <v>6180069.871</v>
      </c>
      <c r="CC14" s="120">
        <f t="shared" si="34"/>
        <v>6256437.323</v>
      </c>
      <c r="CD14" s="120">
        <f t="shared" si="34"/>
        <v>6332503.361</v>
      </c>
      <c r="CE14" s="120">
        <f t="shared" si="34"/>
        <v>6408317.12</v>
      </c>
      <c r="CF14" s="120">
        <f t="shared" si="34"/>
        <v>6483925.121</v>
      </c>
      <c r="CG14" s="120">
        <f t="shared" si="34"/>
        <v>6559372.097</v>
      </c>
      <c r="CH14" s="120">
        <f t="shared" si="34"/>
        <v>6634701.496</v>
      </c>
      <c r="CI14" s="120">
        <f t="shared" si="34"/>
        <v>6709955.734</v>
      </c>
      <c r="CJ14" s="120">
        <f t="shared" si="34"/>
        <v>6812868.679</v>
      </c>
      <c r="CK14" s="120">
        <f t="shared" si="34"/>
        <v>6860970.95</v>
      </c>
      <c r="CL14" s="120">
        <f t="shared" si="34"/>
        <v>6906949.871</v>
      </c>
      <c r="CM14" s="120">
        <f t="shared" si="34"/>
        <v>6955328.654</v>
      </c>
      <c r="CN14" s="120">
        <f t="shared" si="34"/>
        <v>7005105.221</v>
      </c>
      <c r="CO14" s="120">
        <f t="shared" si="34"/>
        <v>7055526.11</v>
      </c>
      <c r="CP14" s="120">
        <f t="shared" si="34"/>
        <v>7106276.176</v>
      </c>
      <c r="CQ14" s="120">
        <f t="shared" si="34"/>
        <v>7157194.211</v>
      </c>
      <c r="CR14" s="120">
        <f t="shared" si="34"/>
        <v>7208189.201</v>
      </c>
      <c r="CS14" s="120">
        <f t="shared" si="34"/>
        <v>7259209.016</v>
      </c>
      <c r="CT14" s="120">
        <f t="shared" si="34"/>
        <v>7310225.906</v>
      </c>
      <c r="CU14" s="120">
        <f t="shared" si="34"/>
        <v>7361228.504</v>
      </c>
      <c r="CV14" s="4"/>
      <c r="CW14" s="121">
        <f t="shared" ref="CW14:CZ14" si="35">SUM(M14:P14)</f>
        <v>4771853</v>
      </c>
      <c r="CX14" s="121">
        <f t="shared" si="35"/>
        <v>4848854</v>
      </c>
      <c r="CY14" s="121">
        <f t="shared" si="35"/>
        <v>4919180</v>
      </c>
      <c r="CZ14" s="121">
        <f t="shared" si="35"/>
        <v>5023487</v>
      </c>
      <c r="DA14" s="121">
        <f t="shared" si="5"/>
        <v>4793473</v>
      </c>
      <c r="DB14" s="121">
        <f t="shared" si="6"/>
        <v>4878797</v>
      </c>
      <c r="DC14" s="121">
        <f t="shared" si="7"/>
        <v>4940962</v>
      </c>
      <c r="DD14" s="121">
        <f t="shared" si="8"/>
        <v>5351528</v>
      </c>
      <c r="DE14" s="121">
        <f t="shared" si="9"/>
        <v>5991120.631</v>
      </c>
      <c r="DF14" s="121">
        <f t="shared" si="10"/>
        <v>8089579.116</v>
      </c>
      <c r="DG14" s="121">
        <f t="shared" si="11"/>
        <v>11554579.85</v>
      </c>
      <c r="DH14" s="121">
        <f t="shared" si="12"/>
        <v>14547799.11</v>
      </c>
      <c r="DI14" s="121">
        <f t="shared" si="13"/>
        <v>16529127.47</v>
      </c>
      <c r="DJ14" s="121">
        <f t="shared" si="14"/>
        <v>17437670.33</v>
      </c>
      <c r="DK14" s="121">
        <f t="shared" si="15"/>
        <v>18435197.56</v>
      </c>
      <c r="DL14" s="121">
        <f t="shared" si="16"/>
        <v>19836618.89</v>
      </c>
      <c r="DM14" s="121">
        <f t="shared" si="17"/>
        <v>21231927.72</v>
      </c>
      <c r="DN14" s="121">
        <f t="shared" si="18"/>
        <v>22526679.17</v>
      </c>
      <c r="DO14" s="121">
        <f t="shared" si="19"/>
        <v>23937933.85</v>
      </c>
      <c r="DP14" s="121">
        <f t="shared" si="20"/>
        <v>25177327.67</v>
      </c>
      <c r="DQ14" s="121">
        <f t="shared" si="21"/>
        <v>26387954.45</v>
      </c>
      <c r="DR14" s="121">
        <f t="shared" si="22"/>
        <v>27536118.15</v>
      </c>
      <c r="DS14" s="121">
        <f t="shared" si="23"/>
        <v>28324101.72</v>
      </c>
      <c r="DT14" s="121">
        <f t="shared" si="24"/>
        <v>29138852.63</v>
      </c>
      <c r="DV14" s="121">
        <f t="shared" si="25"/>
        <v>14964005</v>
      </c>
      <c r="DW14" s="121">
        <f t="shared" si="26"/>
        <v>14695757</v>
      </c>
      <c r="DX14" s="121">
        <f t="shared" si="27"/>
        <v>16283610.63</v>
      </c>
      <c r="DY14" s="121">
        <f t="shared" si="28"/>
        <v>34191958.08</v>
      </c>
      <c r="DZ14" s="121">
        <f t="shared" si="29"/>
        <v>52401995.35</v>
      </c>
      <c r="EA14" s="121">
        <f t="shared" si="30"/>
        <v>63595225.78</v>
      </c>
      <c r="EB14" s="121">
        <f t="shared" si="31"/>
        <v>75503215.98</v>
      </c>
      <c r="EC14" s="121">
        <f t="shared" si="32"/>
        <v>84999072.5</v>
      </c>
      <c r="ED14" s="118"/>
      <c r="EE14" s="118"/>
    </row>
    <row r="15">
      <c r="C15" s="1" t="s">
        <v>60</v>
      </c>
      <c r="E15" s="117">
        <f t="shared" ref="E15:CU15" si="36">E14-D14</f>
        <v>-31932</v>
      </c>
      <c r="F15" s="117">
        <f t="shared" si="36"/>
        <v>-39687</v>
      </c>
      <c r="G15" s="117">
        <f t="shared" si="36"/>
        <v>137090</v>
      </c>
      <c r="H15" s="117">
        <f t="shared" si="36"/>
        <v>164853</v>
      </c>
      <c r="I15" s="117">
        <f t="shared" si="36"/>
        <v>-135037</v>
      </c>
      <c r="J15" s="117">
        <f t="shared" si="36"/>
        <v>-71295</v>
      </c>
      <c r="K15" s="117">
        <f t="shared" si="36"/>
        <v>-69770</v>
      </c>
      <c r="L15" s="117">
        <f t="shared" si="36"/>
        <v>28437</v>
      </c>
      <c r="M15" s="117">
        <f t="shared" si="36"/>
        <v>-52854</v>
      </c>
      <c r="N15" s="117">
        <f t="shared" si="36"/>
        <v>65179</v>
      </c>
      <c r="O15" s="117">
        <f t="shared" si="36"/>
        <v>48512</v>
      </c>
      <c r="P15" s="117">
        <f t="shared" si="36"/>
        <v>-155700</v>
      </c>
      <c r="Q15" s="117">
        <f t="shared" si="36"/>
        <v>119010</v>
      </c>
      <c r="R15" s="117">
        <f t="shared" si="36"/>
        <v>58504</v>
      </c>
      <c r="S15" s="117">
        <f t="shared" si="36"/>
        <v>82493</v>
      </c>
      <c r="T15" s="117">
        <f t="shared" si="36"/>
        <v>-89034</v>
      </c>
      <c r="U15" s="117">
        <f t="shared" si="36"/>
        <v>29895</v>
      </c>
      <c r="V15" s="117">
        <f t="shared" si="36"/>
        <v>-146332</v>
      </c>
      <c r="W15" s="117">
        <f t="shared" si="36"/>
        <v>-154396</v>
      </c>
      <c r="X15" s="117">
        <f t="shared" si="36"/>
        <v>182199</v>
      </c>
      <c r="Y15" s="117">
        <f t="shared" si="36"/>
        <v>145827</v>
      </c>
      <c r="Z15" s="117">
        <f t="shared" si="36"/>
        <v>-132897</v>
      </c>
      <c r="AA15" s="117">
        <f t="shared" si="36"/>
        <v>-89202</v>
      </c>
      <c r="AB15" s="117">
        <f t="shared" si="36"/>
        <v>224205</v>
      </c>
      <c r="AC15" s="117">
        <f t="shared" si="36"/>
        <v>-246365</v>
      </c>
      <c r="AD15" s="117">
        <f t="shared" si="36"/>
        <v>121465</v>
      </c>
      <c r="AE15" s="117">
        <f t="shared" si="36"/>
        <v>49083</v>
      </c>
      <c r="AF15" s="117">
        <f t="shared" si="36"/>
        <v>92555</v>
      </c>
      <c r="AG15" s="117">
        <f t="shared" si="36"/>
        <v>-195590</v>
      </c>
      <c r="AH15" s="117">
        <f t="shared" si="36"/>
        <v>155407</v>
      </c>
      <c r="AI15" s="117">
        <f t="shared" si="36"/>
        <v>172488</v>
      </c>
      <c r="AJ15" s="117">
        <f t="shared" si="36"/>
        <v>507031</v>
      </c>
      <c r="AK15" s="117">
        <f t="shared" si="36"/>
        <v>-739934</v>
      </c>
      <c r="AL15" s="117">
        <f t="shared" si="36"/>
        <v>45943</v>
      </c>
      <c r="AM15" s="117">
        <f t="shared" si="36"/>
        <v>106696.6307</v>
      </c>
      <c r="AN15" s="117">
        <f t="shared" si="36"/>
        <v>251665.7612</v>
      </c>
      <c r="AO15" s="117">
        <f t="shared" si="36"/>
        <v>248707.9147</v>
      </c>
      <c r="AP15" s="117">
        <f t="shared" si="36"/>
        <v>227763.5879</v>
      </c>
      <c r="AQ15" s="117">
        <f t="shared" si="36"/>
        <v>218102.6286</v>
      </c>
      <c r="AR15" s="117">
        <f t="shared" si="36"/>
        <v>216703.1977</v>
      </c>
      <c r="AS15" s="117">
        <f t="shared" si="36"/>
        <v>217981.0995</v>
      </c>
      <c r="AT15" s="117">
        <f t="shared" si="36"/>
        <v>196498.1668</v>
      </c>
      <c r="AU15" s="117">
        <f t="shared" si="36"/>
        <v>192705.3374</v>
      </c>
      <c r="AV15" s="117">
        <f t="shared" si="36"/>
        <v>188670.4005</v>
      </c>
      <c r="AW15" s="117">
        <f t="shared" si="36"/>
        <v>175389.4457</v>
      </c>
      <c r="AX15" s="117">
        <f t="shared" si="36"/>
        <v>173696.2739</v>
      </c>
      <c r="AY15" s="117">
        <f t="shared" si="36"/>
        <v>175883.3241</v>
      </c>
      <c r="AZ15" s="117">
        <f t="shared" si="36"/>
        <v>173760.3262</v>
      </c>
      <c r="BA15" s="117">
        <f t="shared" si="36"/>
        <v>30946.25367</v>
      </c>
      <c r="BB15" s="117">
        <f t="shared" si="36"/>
        <v>43388.16897</v>
      </c>
      <c r="BC15" s="117">
        <f t="shared" si="36"/>
        <v>56239.98748</v>
      </c>
      <c r="BD15" s="117">
        <f t="shared" si="36"/>
        <v>59706.18555</v>
      </c>
      <c r="BE15" s="117">
        <f t="shared" si="36"/>
        <v>62096.88186</v>
      </c>
      <c r="BF15" s="117">
        <f t="shared" si="36"/>
        <v>61418.24467</v>
      </c>
      <c r="BG15" s="117">
        <f t="shared" si="36"/>
        <v>74148.42966</v>
      </c>
      <c r="BH15" s="117">
        <f t="shared" si="36"/>
        <v>59846.95433</v>
      </c>
      <c r="BI15" s="117">
        <f t="shared" si="36"/>
        <v>58997.29005</v>
      </c>
      <c r="BJ15" s="117">
        <f t="shared" si="36"/>
        <v>58181.65697</v>
      </c>
      <c r="BK15" s="117">
        <f t="shared" si="36"/>
        <v>57405.56861</v>
      </c>
      <c r="BL15" s="117">
        <f t="shared" si="36"/>
        <v>125038.885</v>
      </c>
      <c r="BM15" s="117">
        <f t="shared" si="36"/>
        <v>94123.6142</v>
      </c>
      <c r="BN15" s="117">
        <f t="shared" si="36"/>
        <v>91221.70185</v>
      </c>
      <c r="BO15" s="117">
        <f t="shared" si="36"/>
        <v>88874.2369</v>
      </c>
      <c r="BP15" s="117">
        <f t="shared" si="36"/>
        <v>86885.25419</v>
      </c>
      <c r="BQ15" s="117">
        <f t="shared" si="36"/>
        <v>85127.15269</v>
      </c>
      <c r="BR15" s="117">
        <f t="shared" si="36"/>
        <v>83545.05844</v>
      </c>
      <c r="BS15" s="117">
        <f t="shared" si="36"/>
        <v>82106.50473</v>
      </c>
      <c r="BT15" s="117">
        <f t="shared" si="36"/>
        <v>80789.11364</v>
      </c>
      <c r="BU15" s="117">
        <f t="shared" si="36"/>
        <v>79576.39378</v>
      </c>
      <c r="BV15" s="117">
        <f t="shared" si="36"/>
        <v>78455.77766</v>
      </c>
      <c r="BW15" s="117">
        <f t="shared" si="36"/>
        <v>77417.48335</v>
      </c>
      <c r="BX15" s="117">
        <f t="shared" si="36"/>
        <v>111887.4514</v>
      </c>
      <c r="BY15" s="117">
        <f t="shared" si="36"/>
        <v>86850.37488</v>
      </c>
      <c r="BZ15" s="117">
        <f t="shared" si="36"/>
        <v>78655.92506</v>
      </c>
      <c r="CA15" s="117">
        <f t="shared" si="36"/>
        <v>77101.49985</v>
      </c>
      <c r="CB15" s="117">
        <f t="shared" si="36"/>
        <v>76719.72632</v>
      </c>
      <c r="CC15" s="117">
        <f t="shared" si="36"/>
        <v>76367.45167</v>
      </c>
      <c r="CD15" s="117">
        <f t="shared" si="36"/>
        <v>76066.0384</v>
      </c>
      <c r="CE15" s="117">
        <f t="shared" si="36"/>
        <v>75813.75881</v>
      </c>
      <c r="CF15" s="117">
        <f t="shared" si="36"/>
        <v>75608.00114</v>
      </c>
      <c r="CG15" s="117">
        <f t="shared" si="36"/>
        <v>75446.97614</v>
      </c>
      <c r="CH15" s="117">
        <f t="shared" si="36"/>
        <v>75329.3992</v>
      </c>
      <c r="CI15" s="117">
        <f t="shared" si="36"/>
        <v>75254.23745</v>
      </c>
      <c r="CJ15" s="117">
        <f t="shared" si="36"/>
        <v>102912.9452</v>
      </c>
      <c r="CK15" s="117">
        <f t="shared" si="36"/>
        <v>48102.27137</v>
      </c>
      <c r="CL15" s="117">
        <f t="shared" si="36"/>
        <v>45978.92065</v>
      </c>
      <c r="CM15" s="117">
        <f t="shared" si="36"/>
        <v>48378.78346</v>
      </c>
      <c r="CN15" s="117">
        <f t="shared" si="36"/>
        <v>49776.56697</v>
      </c>
      <c r="CO15" s="117">
        <f t="shared" si="36"/>
        <v>50420.88887</v>
      </c>
      <c r="CP15" s="117">
        <f t="shared" si="36"/>
        <v>50750.06539</v>
      </c>
      <c r="CQ15" s="117">
        <f t="shared" si="36"/>
        <v>50918.03502</v>
      </c>
      <c r="CR15" s="117">
        <f t="shared" si="36"/>
        <v>50994.99089</v>
      </c>
      <c r="CS15" s="117">
        <f t="shared" si="36"/>
        <v>51019.81451</v>
      </c>
      <c r="CT15" s="117">
        <f t="shared" si="36"/>
        <v>51016.88993</v>
      </c>
      <c r="CU15" s="117">
        <f t="shared" si="36"/>
        <v>51002.59809</v>
      </c>
      <c r="CW15" s="117"/>
      <c r="CX15" s="117">
        <f t="shared" ref="CX15:DT15" si="37">CX14-CW14</f>
        <v>77001</v>
      </c>
      <c r="CY15" s="117">
        <f t="shared" si="37"/>
        <v>70326</v>
      </c>
      <c r="CZ15" s="117">
        <f t="shared" si="37"/>
        <v>104307</v>
      </c>
      <c r="DA15" s="117">
        <f t="shared" si="37"/>
        <v>-230014</v>
      </c>
      <c r="DB15" s="117">
        <f t="shared" si="37"/>
        <v>85324</v>
      </c>
      <c r="DC15" s="117">
        <f t="shared" si="37"/>
        <v>62165</v>
      </c>
      <c r="DD15" s="117">
        <f t="shared" si="37"/>
        <v>410566</v>
      </c>
      <c r="DE15" s="117">
        <f t="shared" si="37"/>
        <v>639592.6307</v>
      </c>
      <c r="DF15" s="117">
        <f t="shared" si="37"/>
        <v>2098458.486</v>
      </c>
      <c r="DG15" s="117">
        <f t="shared" si="37"/>
        <v>3465000.737</v>
      </c>
      <c r="DH15" s="117">
        <f t="shared" si="37"/>
        <v>2993219.256</v>
      </c>
      <c r="DI15" s="117">
        <f t="shared" si="37"/>
        <v>1981328.357</v>
      </c>
      <c r="DJ15" s="117">
        <f t="shared" si="37"/>
        <v>908542.8608</v>
      </c>
      <c r="DK15" s="117">
        <f t="shared" si="37"/>
        <v>997527.2302</v>
      </c>
      <c r="DL15" s="117">
        <f t="shared" si="37"/>
        <v>1401421.333</v>
      </c>
      <c r="DM15" s="117">
        <f t="shared" si="37"/>
        <v>1395308.825</v>
      </c>
      <c r="DN15" s="117">
        <f t="shared" si="37"/>
        <v>1294751.458</v>
      </c>
      <c r="DO15" s="117">
        <f t="shared" si="37"/>
        <v>1411254.679</v>
      </c>
      <c r="DP15" s="117">
        <f t="shared" si="37"/>
        <v>1239393.82</v>
      </c>
      <c r="DQ15" s="117">
        <f t="shared" si="37"/>
        <v>1210626.774</v>
      </c>
      <c r="DR15" s="117">
        <f t="shared" si="37"/>
        <v>1148163.706</v>
      </c>
      <c r="DS15" s="117">
        <f t="shared" si="37"/>
        <v>787983.5633</v>
      </c>
      <c r="DT15" s="117">
        <f t="shared" si="37"/>
        <v>814750.9098</v>
      </c>
      <c r="DV15" s="117"/>
      <c r="DW15" s="117">
        <f t="shared" ref="DW15:EC15" si="38">DW14-DV14</f>
        <v>-268248</v>
      </c>
      <c r="DX15" s="117">
        <f t="shared" si="38"/>
        <v>1587853.631</v>
      </c>
      <c r="DY15" s="117">
        <f t="shared" si="38"/>
        <v>17908347.45</v>
      </c>
      <c r="DZ15" s="117">
        <f t="shared" si="38"/>
        <v>18210037.27</v>
      </c>
      <c r="EA15" s="117">
        <f t="shared" si="38"/>
        <v>11193230.43</v>
      </c>
      <c r="EB15" s="117">
        <f t="shared" si="38"/>
        <v>11907990.19</v>
      </c>
      <c r="EC15" s="117">
        <f t="shared" si="38"/>
        <v>9495856.523</v>
      </c>
      <c r="ED15" s="118"/>
      <c r="EE15" s="118"/>
    </row>
    <row r="16">
      <c r="C16" s="1" t="s">
        <v>99</v>
      </c>
      <c r="D16" s="122"/>
      <c r="E16" s="122">
        <f t="shared" ref="E16:CU16" si="39">E14/D14-1</f>
        <v>-0.02598330435</v>
      </c>
      <c r="F16" s="122">
        <f t="shared" si="39"/>
        <v>-0.03315508379</v>
      </c>
      <c r="G16" s="122">
        <f t="shared" si="39"/>
        <v>0.1184542963</v>
      </c>
      <c r="H16" s="122">
        <f t="shared" si="39"/>
        <v>0.1273572443</v>
      </c>
      <c r="I16" s="122">
        <f t="shared" si="39"/>
        <v>-0.09253755481</v>
      </c>
      <c r="J16" s="122">
        <f t="shared" si="39"/>
        <v>-0.05383883464</v>
      </c>
      <c r="K16" s="122">
        <f t="shared" si="39"/>
        <v>-0.05568525103</v>
      </c>
      <c r="L16" s="122">
        <f t="shared" si="39"/>
        <v>0.02403468662</v>
      </c>
      <c r="M16" s="122">
        <f t="shared" si="39"/>
        <v>-0.04362323601</v>
      </c>
      <c r="N16" s="122">
        <f t="shared" si="39"/>
        <v>0.05624950377</v>
      </c>
      <c r="O16" s="122">
        <f t="shared" si="39"/>
        <v>0.03963635086</v>
      </c>
      <c r="P16" s="122">
        <f t="shared" si="39"/>
        <v>-0.1223634296</v>
      </c>
      <c r="Q16" s="122">
        <f t="shared" si="39"/>
        <v>0.1065692163</v>
      </c>
      <c r="R16" s="122">
        <f t="shared" si="39"/>
        <v>0.04734294748</v>
      </c>
      <c r="S16" s="122">
        <f t="shared" si="39"/>
        <v>0.0637379245</v>
      </c>
      <c r="T16" s="122">
        <f t="shared" si="39"/>
        <v>-0.06466988101</v>
      </c>
      <c r="U16" s="122">
        <f t="shared" si="39"/>
        <v>0.02321559479</v>
      </c>
      <c r="V16" s="122">
        <f t="shared" si="39"/>
        <v>-0.1110589121</v>
      </c>
      <c r="W16" s="122">
        <f t="shared" si="39"/>
        <v>-0.1318187445</v>
      </c>
      <c r="X16" s="122">
        <f t="shared" si="39"/>
        <v>0.1791747101</v>
      </c>
      <c r="Y16" s="122">
        <f t="shared" si="39"/>
        <v>0.1216159416</v>
      </c>
      <c r="Z16" s="122">
        <f t="shared" si="39"/>
        <v>-0.09881515795</v>
      </c>
      <c r="AA16" s="122">
        <f t="shared" si="39"/>
        <v>-0.0735985241</v>
      </c>
      <c r="AB16" s="122">
        <f t="shared" si="39"/>
        <v>0.1996827591</v>
      </c>
      <c r="AC16" s="122">
        <f t="shared" si="39"/>
        <v>-0.1828975413</v>
      </c>
      <c r="AD16" s="122">
        <f t="shared" si="39"/>
        <v>0.1103579171</v>
      </c>
      <c r="AE16" s="122">
        <f t="shared" si="39"/>
        <v>0.04016247297</v>
      </c>
      <c r="AF16" s="122">
        <f t="shared" si="39"/>
        <v>0.07280950036</v>
      </c>
      <c r="AG16" s="122">
        <f t="shared" si="39"/>
        <v>-0.1434208201</v>
      </c>
      <c r="AH16" s="122">
        <f t="shared" si="39"/>
        <v>0.1330358282</v>
      </c>
      <c r="AI16" s="122">
        <f t="shared" si="39"/>
        <v>0.130320664</v>
      </c>
      <c r="AJ16" s="122">
        <f t="shared" si="39"/>
        <v>0.3389122318</v>
      </c>
      <c r="AK16" s="122">
        <f t="shared" si="39"/>
        <v>-0.3693972048</v>
      </c>
      <c r="AL16" s="122">
        <f t="shared" si="39"/>
        <v>0.0363717402</v>
      </c>
      <c r="AM16" s="122">
        <f t="shared" si="39"/>
        <v>0.08150417827</v>
      </c>
      <c r="AN16" s="122">
        <f t="shared" si="39"/>
        <v>0.1777563403</v>
      </c>
      <c r="AO16" s="122">
        <f t="shared" si="39"/>
        <v>0.1491540744</v>
      </c>
      <c r="AP16" s="122">
        <f t="shared" si="39"/>
        <v>0.1188643308</v>
      </c>
      <c r="AQ16" s="122">
        <f t="shared" si="39"/>
        <v>0.1017303936</v>
      </c>
      <c r="AR16" s="122">
        <f t="shared" si="39"/>
        <v>0.09174445276</v>
      </c>
      <c r="AS16" s="122">
        <f t="shared" si="39"/>
        <v>0.0845302862</v>
      </c>
      <c r="AT16" s="122">
        <f t="shared" si="39"/>
        <v>0.07026035169</v>
      </c>
      <c r="AU16" s="122">
        <f t="shared" si="39"/>
        <v>0.06438076349</v>
      </c>
      <c r="AV16" s="122">
        <f t="shared" si="39"/>
        <v>0.0592200996</v>
      </c>
      <c r="AW16" s="122">
        <f t="shared" si="39"/>
        <v>0.05197357664</v>
      </c>
      <c r="AX16" s="122">
        <f t="shared" si="39"/>
        <v>0.04892882872</v>
      </c>
      <c r="AY16" s="122">
        <f t="shared" si="39"/>
        <v>0.0472338081</v>
      </c>
      <c r="AZ16" s="122">
        <f t="shared" si="39"/>
        <v>0.04455898244</v>
      </c>
      <c r="BA16" s="122">
        <f t="shared" si="39"/>
        <v>0.007597308372</v>
      </c>
      <c r="BB16" s="122">
        <f t="shared" si="39"/>
        <v>0.01057148499</v>
      </c>
      <c r="BC16" s="122">
        <f t="shared" si="39"/>
        <v>0.01355947424</v>
      </c>
      <c r="BD16" s="122">
        <f t="shared" si="39"/>
        <v>0.01420259568</v>
      </c>
      <c r="BE16" s="122">
        <f t="shared" si="39"/>
        <v>0.01456442934</v>
      </c>
      <c r="BF16" s="122">
        <f t="shared" si="39"/>
        <v>0.01419846673</v>
      </c>
      <c r="BG16" s="122">
        <f t="shared" si="39"/>
        <v>0.01690141463</v>
      </c>
      <c r="BH16" s="122">
        <f t="shared" si="39"/>
        <v>0.01341480303</v>
      </c>
      <c r="BI16" s="122">
        <f t="shared" si="39"/>
        <v>0.01304929552</v>
      </c>
      <c r="BJ16" s="122">
        <f t="shared" si="39"/>
        <v>0.01270312319</v>
      </c>
      <c r="BK16" s="122">
        <f t="shared" si="39"/>
        <v>0.01237645588</v>
      </c>
      <c r="BL16" s="122">
        <f t="shared" si="39"/>
        <v>0.02662841586</v>
      </c>
      <c r="BM16" s="122">
        <f t="shared" si="39"/>
        <v>0.01952475318</v>
      </c>
      <c r="BN16" s="122">
        <f t="shared" si="39"/>
        <v>0.01856040092</v>
      </c>
      <c r="BO16" s="122">
        <f t="shared" si="39"/>
        <v>0.0177532668</v>
      </c>
      <c r="BP16" s="122">
        <f t="shared" si="39"/>
        <v>0.01705320316</v>
      </c>
      <c r="BQ16" s="122">
        <f t="shared" si="39"/>
        <v>0.01642798605</v>
      </c>
      <c r="BR16" s="122">
        <f t="shared" si="39"/>
        <v>0.01586208858</v>
      </c>
      <c r="BS16" s="122">
        <f t="shared" si="39"/>
        <v>0.01534554847</v>
      </c>
      <c r="BT16" s="122">
        <f t="shared" si="39"/>
        <v>0.01487112503</v>
      </c>
      <c r="BU16" s="122">
        <f t="shared" si="39"/>
        <v>0.01443325682</v>
      </c>
      <c r="BV16" s="122">
        <f t="shared" si="39"/>
        <v>0.01402754073</v>
      </c>
      <c r="BW16" s="122">
        <f t="shared" si="39"/>
        <v>0.0136504166</v>
      </c>
      <c r="BX16" s="122">
        <f t="shared" si="39"/>
        <v>0.01946256315</v>
      </c>
      <c r="BY16" s="122">
        <f t="shared" si="39"/>
        <v>0.01481900581</v>
      </c>
      <c r="BZ16" s="122">
        <f t="shared" si="39"/>
        <v>0.01322483377</v>
      </c>
      <c r="CA16" s="122">
        <f t="shared" si="39"/>
        <v>0.0127942779</v>
      </c>
      <c r="CB16" s="122">
        <f t="shared" si="39"/>
        <v>0.01257010076</v>
      </c>
      <c r="CC16" s="122">
        <f t="shared" si="39"/>
        <v>0.01235705312</v>
      </c>
      <c r="CD16" s="122">
        <f t="shared" si="39"/>
        <v>0.0121580437</v>
      </c>
      <c r="CE16" s="122">
        <f t="shared" si="39"/>
        <v>0.01197216243</v>
      </c>
      <c r="CF16" s="122">
        <f t="shared" si="39"/>
        <v>0.01179841754</v>
      </c>
      <c r="CG16" s="122">
        <f t="shared" si="39"/>
        <v>0.01163600361</v>
      </c>
      <c r="CH16" s="122">
        <f t="shared" si="39"/>
        <v>0.01148423936</v>
      </c>
      <c r="CI16" s="122">
        <f t="shared" si="39"/>
        <v>0.01134252046</v>
      </c>
      <c r="CJ16" s="122">
        <f t="shared" si="39"/>
        <v>0.01533735083</v>
      </c>
      <c r="CK16" s="122">
        <f t="shared" si="39"/>
        <v>0.007060501771</v>
      </c>
      <c r="CL16" s="122">
        <f t="shared" si="39"/>
        <v>0.006701518048</v>
      </c>
      <c r="CM16" s="122">
        <f t="shared" si="39"/>
        <v>0.007004362904</v>
      </c>
      <c r="CN16" s="122">
        <f t="shared" si="39"/>
        <v>0.007156608903</v>
      </c>
      <c r="CO16" s="122">
        <f t="shared" si="39"/>
        <v>0.007197734692</v>
      </c>
      <c r="CP16" s="122">
        <f t="shared" si="39"/>
        <v>0.007192952672</v>
      </c>
      <c r="CQ16" s="122">
        <f t="shared" si="39"/>
        <v>0.007165220399</v>
      </c>
      <c r="CR16" s="122">
        <f t="shared" si="39"/>
        <v>0.007124997505</v>
      </c>
      <c r="CS16" s="122">
        <f t="shared" si="39"/>
        <v>0.007078034869</v>
      </c>
      <c r="CT16" s="122">
        <f t="shared" si="39"/>
        <v>0.00702788552</v>
      </c>
      <c r="CU16" s="122">
        <f t="shared" si="39"/>
        <v>0.006976883991</v>
      </c>
      <c r="CW16" s="122"/>
      <c r="CX16" s="122">
        <f t="shared" ref="CX16:DT16" si="40">CX14/CW14-1</f>
        <v>0.01613649876</v>
      </c>
      <c r="CY16" s="122">
        <f t="shared" si="40"/>
        <v>0.01450363323</v>
      </c>
      <c r="CZ16" s="122">
        <f t="shared" si="40"/>
        <v>0.02120414378</v>
      </c>
      <c r="DA16" s="122">
        <f t="shared" si="40"/>
        <v>-0.04578771678</v>
      </c>
      <c r="DB16" s="122">
        <f t="shared" si="40"/>
        <v>0.01780003768</v>
      </c>
      <c r="DC16" s="122">
        <f t="shared" si="40"/>
        <v>0.01274187059</v>
      </c>
      <c r="DD16" s="122">
        <f t="shared" si="40"/>
        <v>0.08309434479</v>
      </c>
      <c r="DE16" s="122">
        <f t="shared" si="40"/>
        <v>0.1195158898</v>
      </c>
      <c r="DF16" s="122">
        <f t="shared" si="40"/>
        <v>0.350261431</v>
      </c>
      <c r="DG16" s="122">
        <f t="shared" si="40"/>
        <v>0.4283289262</v>
      </c>
      <c r="DH16" s="122">
        <f t="shared" si="40"/>
        <v>0.2590504626</v>
      </c>
      <c r="DI16" s="122">
        <f t="shared" si="40"/>
        <v>0.1361943715</v>
      </c>
      <c r="DJ16" s="122">
        <f t="shared" si="40"/>
        <v>0.05496617185</v>
      </c>
      <c r="DK16" s="122">
        <f t="shared" si="40"/>
        <v>0.05720530389</v>
      </c>
      <c r="DL16" s="122">
        <f t="shared" si="40"/>
        <v>0.07601878574</v>
      </c>
      <c r="DM16" s="122">
        <f t="shared" si="40"/>
        <v>0.07034005305</v>
      </c>
      <c r="DN16" s="122">
        <f t="shared" si="40"/>
        <v>0.06098134261</v>
      </c>
      <c r="DO16" s="122">
        <f t="shared" si="40"/>
        <v>0.06264814572</v>
      </c>
      <c r="DP16" s="122">
        <f t="shared" si="40"/>
        <v>0.05177530475</v>
      </c>
      <c r="DQ16" s="122">
        <f t="shared" si="40"/>
        <v>0.04808400595</v>
      </c>
      <c r="DR16" s="122">
        <f t="shared" si="40"/>
        <v>0.04351090224</v>
      </c>
      <c r="DS16" s="122">
        <f t="shared" si="40"/>
        <v>0.02861636339</v>
      </c>
      <c r="DT16" s="122">
        <f t="shared" si="40"/>
        <v>0.02876528682</v>
      </c>
      <c r="DV16" s="122"/>
      <c r="DW16" s="122">
        <f t="shared" ref="DW16:EC16" si="41">DW14/DV14-1</f>
        <v>-0.01792621695</v>
      </c>
      <c r="DX16" s="122">
        <f t="shared" si="41"/>
        <v>0.1080484408</v>
      </c>
      <c r="DY16" s="122">
        <f t="shared" si="41"/>
        <v>1.09977743</v>
      </c>
      <c r="DZ16" s="122">
        <f t="shared" si="41"/>
        <v>0.5325824637</v>
      </c>
      <c r="EA16" s="122">
        <f t="shared" si="41"/>
        <v>0.2136031339</v>
      </c>
      <c r="EB16" s="122">
        <f t="shared" si="41"/>
        <v>0.1872466062</v>
      </c>
      <c r="EC16" s="122">
        <f t="shared" si="41"/>
        <v>0.1257675769</v>
      </c>
      <c r="ED16" s="118"/>
      <c r="EE16" s="118"/>
    </row>
    <row r="17">
      <c r="B17" s="115" t="s">
        <v>170</v>
      </c>
      <c r="S17" s="117">
        <f>SUM(P14:S14)</f>
        <v>5023487</v>
      </c>
      <c r="W17" s="117">
        <f>SUM(T14:W14)</f>
        <v>4793473</v>
      </c>
      <c r="X17" s="117"/>
      <c r="AA17" s="117">
        <f>SUM(X14:AA14)</f>
        <v>4878797</v>
      </c>
      <c r="AB17" s="117">
        <f>AA17+W17+S17</f>
        <v>14695757</v>
      </c>
      <c r="AE17" s="117">
        <f>SUM(AB14:AE14)</f>
        <v>4940962</v>
      </c>
      <c r="AI17" s="117">
        <f>SUM(AF14:AI14)</f>
        <v>5351528</v>
      </c>
      <c r="AJ17" s="117"/>
      <c r="AM17" s="117">
        <f>SUM(AJ14:AM14)</f>
        <v>5991120.631</v>
      </c>
      <c r="AN17" s="117">
        <f>AM17+AI17+AE17</f>
        <v>16283610.63</v>
      </c>
      <c r="AQ17" s="117">
        <f>SUM(AN14:AQ14)</f>
        <v>8089579.116</v>
      </c>
      <c r="AR17" s="122">
        <f>AQ17/AM17-1</f>
        <v>0.350261431</v>
      </c>
      <c r="AU17" s="117">
        <f>SUM(AR14:AU14)</f>
        <v>11554579.85</v>
      </c>
      <c r="AV17" s="122">
        <f>AU17/AQ17-1</f>
        <v>0.4283289262</v>
      </c>
      <c r="AY17" s="117">
        <f>SUM(AV14:AY14)</f>
        <v>14547799.11</v>
      </c>
      <c r="AZ17" s="117">
        <f>AY17+AU17+AQ17</f>
        <v>34191958.08</v>
      </c>
      <c r="DD17" s="123"/>
      <c r="DY17" s="122"/>
      <c r="DZ17" s="122"/>
      <c r="EA17" s="122"/>
      <c r="EB17" s="122"/>
      <c r="EC17" s="122"/>
      <c r="ED17" s="122"/>
      <c r="EE17" s="122"/>
    </row>
    <row r="18" outlineLevel="1">
      <c r="B18" s="1"/>
      <c r="C18" s="1"/>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22">
        <f>AN17/AB17-1</f>
        <v>0.1080484408</v>
      </c>
      <c r="AO18" s="116"/>
      <c r="AP18" s="116"/>
      <c r="AQ18" s="116"/>
      <c r="AR18" s="116"/>
      <c r="AS18" s="116"/>
      <c r="AT18" s="116"/>
      <c r="AU18" s="116"/>
      <c r="AV18" s="116"/>
      <c r="AW18" s="116"/>
      <c r="AX18" s="116"/>
      <c r="AY18" s="116"/>
      <c r="AZ18" s="122">
        <f>AZ17/AN17-1</f>
        <v>1.09977743</v>
      </c>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W18" s="117"/>
      <c r="CX18" s="117"/>
      <c r="CY18" s="117"/>
      <c r="CZ18" s="117"/>
      <c r="DA18" s="117"/>
      <c r="DB18" s="117"/>
      <c r="DC18" s="117"/>
      <c r="DD18" s="117"/>
      <c r="DE18" s="117"/>
      <c r="DF18" s="117"/>
      <c r="DG18" s="117"/>
      <c r="DH18" s="117"/>
      <c r="DI18" s="117"/>
      <c r="DJ18" s="117"/>
      <c r="DK18" s="117"/>
      <c r="DL18" s="117"/>
      <c r="DM18" s="117"/>
      <c r="DN18" s="117"/>
      <c r="DO18" s="117"/>
      <c r="DP18" s="117"/>
      <c r="DQ18" s="117"/>
      <c r="DR18" s="117"/>
      <c r="DS18" s="117"/>
      <c r="DT18" s="117"/>
      <c r="DV18" s="117"/>
      <c r="DW18" s="117"/>
      <c r="DX18" s="117"/>
      <c r="DY18" s="117"/>
      <c r="DZ18" s="117"/>
      <c r="EA18" s="117"/>
      <c r="EB18" s="117"/>
      <c r="EC18" s="117"/>
      <c r="ED18" s="117"/>
      <c r="EE18" s="117"/>
    </row>
    <row r="19" outlineLevel="1">
      <c r="B19" s="1" t="s">
        <v>63</v>
      </c>
      <c r="C19" s="1" t="s">
        <v>171</v>
      </c>
      <c r="D19" s="116">
        <f>SUMIFS('IS Proforma'!D:D,'IS Proforma'!$B:$B,Summary!$B19)</f>
        <v>12621</v>
      </c>
      <c r="E19" s="116">
        <f>SUMIFS('IS Proforma'!E:E,'IS Proforma'!$B:$B,Summary!$B19)</f>
        <v>11833</v>
      </c>
      <c r="F19" s="116">
        <f>SUMIFS('IS Proforma'!F:F,'IS Proforma'!$B:$B,Summary!$B19)</f>
        <v>10055</v>
      </c>
      <c r="G19" s="116">
        <f>SUMIFS('IS Proforma'!G:G,'IS Proforma'!$B:$B,Summary!$B19)</f>
        <v>10461</v>
      </c>
      <c r="H19" s="116">
        <f>SUMIFS('IS Proforma'!H:H,'IS Proforma'!$B:$B,Summary!$B19)</f>
        <v>12523</v>
      </c>
      <c r="I19" s="116">
        <f>SUMIFS('IS Proforma'!I:I,'IS Proforma'!$B:$B,Summary!$B19)</f>
        <v>12015</v>
      </c>
      <c r="J19" s="116">
        <f>SUMIFS('IS Proforma'!J:J,'IS Proforma'!$B:$B,Summary!$B19)</f>
        <v>10361</v>
      </c>
      <c r="K19" s="116">
        <f>SUMIFS('IS Proforma'!K:K,'IS Proforma'!$B:$B,Summary!$B19)</f>
        <v>11377</v>
      </c>
      <c r="L19" s="116">
        <f>SUMIFS('IS Proforma'!L:L,'IS Proforma'!$B:$B,Summary!$B19)</f>
        <v>11102</v>
      </c>
      <c r="M19" s="116">
        <f>SUMIFS('IS Proforma'!M:M,'IS Proforma'!$B:$B,Summary!$B19)</f>
        <v>12114</v>
      </c>
      <c r="N19" s="116">
        <f>SUMIFS('IS Proforma'!N:N,'IS Proforma'!$B:$B,Summary!$B19)</f>
        <v>12887</v>
      </c>
      <c r="O19" s="116">
        <f>SUMIFS('IS Proforma'!O:O,'IS Proforma'!$B:$B,Summary!$B19)</f>
        <v>11855</v>
      </c>
      <c r="P19" s="116">
        <f>SUMIFS('IS Proforma'!P:P,'IS Proforma'!$B:$B,Summary!$B19)</f>
        <v>11865</v>
      </c>
      <c r="Q19" s="116">
        <f>SUMIFS('IS Proforma'!Q:Q,'IS Proforma'!$B:$B,Summary!$B19)</f>
        <v>11388</v>
      </c>
      <c r="R19" s="116">
        <f>SUMIFS('IS Proforma'!R:R,'IS Proforma'!$B:$B,Summary!$B19)</f>
        <v>11276</v>
      </c>
      <c r="S19" s="116">
        <f>SUMIFS('IS Proforma'!S:S,'IS Proforma'!$B:$B,Summary!$B19)</f>
        <v>11266</v>
      </c>
      <c r="T19" s="116">
        <f>SUMIFS('IS Proforma'!T:T,'IS Proforma'!$B:$B,Summary!$B19)</f>
        <v>11181</v>
      </c>
      <c r="U19" s="116">
        <f>SUMIFS('IS Proforma'!U:U,'IS Proforma'!$B:$B,Summary!$B19)</f>
        <v>12404</v>
      </c>
      <c r="V19" s="116">
        <f>SUMIFS('IS Proforma'!V:V,'IS Proforma'!$B:$B,Summary!$B19)</f>
        <v>12126</v>
      </c>
      <c r="W19" s="116">
        <f>SUMIFS('IS Proforma'!W:W,'IS Proforma'!$B:$B,Summary!$B19)</f>
        <v>13001</v>
      </c>
      <c r="X19" s="116">
        <f>SUMIFS('IS Proforma'!X:X,'IS Proforma'!$B:$B,Summary!$B19)</f>
        <v>12206</v>
      </c>
      <c r="Y19" s="116">
        <f>SUMIFS('IS Proforma'!Y:Y,'IS Proforma'!$B:$B,Summary!$B19)</f>
        <v>11742</v>
      </c>
      <c r="Z19" s="116">
        <f>SUMIFS('IS Proforma'!Z:Z,'IS Proforma'!$B:$B,Summary!$B19)</f>
        <v>14236</v>
      </c>
      <c r="AA19" s="116">
        <f>SUMIFS('IS Proforma'!AA:AA,'IS Proforma'!$B:$B,Summary!$B19)</f>
        <v>13016</v>
      </c>
      <c r="AB19" s="116">
        <f>SUMIFS('IS Proforma'!AB:AB,'IS Proforma'!$B:$B,Summary!$B19)</f>
        <v>11366</v>
      </c>
      <c r="AC19" s="116">
        <f>SUMIFS('IS Proforma'!AC:AC,'IS Proforma'!$B:$B,Summary!$B19)</f>
        <v>12412</v>
      </c>
      <c r="AD19" s="116">
        <f>SUMIFS('IS Proforma'!AD:AD,'IS Proforma'!$B:$B,Summary!$B19)</f>
        <v>13193</v>
      </c>
      <c r="AE19" s="116">
        <f>SUMIFS('IS Proforma'!AE:AE,'IS Proforma'!$B:$B,Summary!$B19)</f>
        <v>13079</v>
      </c>
      <c r="AF19" s="116">
        <f>SUMIFS('IS Proforma'!AF:AF,'IS Proforma'!$B:$B,Summary!$B19)</f>
        <v>11389</v>
      </c>
      <c r="AG19" s="116">
        <f>SUMIFS('IS Proforma'!AG:AG,'IS Proforma'!$B:$B,Summary!$B19)</f>
        <v>10865</v>
      </c>
      <c r="AH19" s="116">
        <f>SUMIFS('IS Proforma'!AH:AH,'IS Proforma'!$B:$B,Summary!$B19)</f>
        <v>13654</v>
      </c>
      <c r="AI19" s="116">
        <f>SUMIFS('IS Proforma'!AI:AI,'IS Proforma'!$B:$B,Summary!$B19)</f>
        <v>11990</v>
      </c>
      <c r="AJ19" s="116">
        <f>SUMIFS('IS Proforma'!AJ:AJ,'IS Proforma'!$B:$B,Summary!$B19)</f>
        <v>13582</v>
      </c>
      <c r="AK19" s="116">
        <f>SUMIFS('IS Proforma'!AK:AK,'IS Proforma'!$B:$B,Summary!$B19)</f>
        <v>14293</v>
      </c>
      <c r="AL19" s="116">
        <f>SUMIFS('IS Proforma'!AL:AL,'IS Proforma'!$B:$B,Summary!$B19)</f>
        <v>11350</v>
      </c>
      <c r="AM19" s="116">
        <f>SUMIFS('IS Proforma'!AM:AM,'IS Proforma'!$B:$B,Summary!$B19)</f>
        <v>159443.2308</v>
      </c>
      <c r="AN19" s="116">
        <f>SUMIFS('IS Proforma'!AN:AN,'IS Proforma'!$B:$B,Summary!$B19)</f>
        <v>170240.1476</v>
      </c>
      <c r="AO19" s="116">
        <f>SUMIFS('IS Proforma'!AO:AO,'IS Proforma'!$B:$B,Summary!$B19)</f>
        <v>184006.5128</v>
      </c>
      <c r="AP19" s="116">
        <f>SUMIFS('IS Proforma'!AP:AP,'IS Proforma'!$B:$B,Summary!$B19)</f>
        <v>197725.8567</v>
      </c>
      <c r="AQ19" s="116">
        <f>SUMIFS('IS Proforma'!AQ:AQ,'IS Proforma'!$B:$B,Summary!$B19)</f>
        <v>204819.5111</v>
      </c>
      <c r="AR19" s="116">
        <f>SUMIFS('IS Proforma'!AR:AR,'IS Proforma'!$B:$B,Summary!$B19)</f>
        <v>212259.2707</v>
      </c>
      <c r="AS19" s="116">
        <f>SUMIFS('IS Proforma'!AS:AS,'IS Proforma'!$B:$B,Summary!$B19)</f>
        <v>212748.6523</v>
      </c>
      <c r="AT19" s="116">
        <f>SUMIFS('IS Proforma'!AT:AT,'IS Proforma'!$B:$B,Summary!$B19)</f>
        <v>234793.8032</v>
      </c>
      <c r="AU19" s="116">
        <f>SUMIFS('IS Proforma'!AU:AU,'IS Proforma'!$B:$B,Summary!$B19)</f>
        <v>241830.4391</v>
      </c>
      <c r="AV19" s="116">
        <f>SUMIFS('IS Proforma'!AV:AV,'IS Proforma'!$B:$B,Summary!$B19)</f>
        <v>256718.5194</v>
      </c>
      <c r="AW19" s="116">
        <f>SUMIFS('IS Proforma'!AW:AW,'IS Proforma'!$B:$B,Summary!$B19)</f>
        <v>272522.0536</v>
      </c>
      <c r="AX19" s="116">
        <f>SUMIFS('IS Proforma'!AX:AX,'IS Proforma'!$B:$B,Summary!$B19)</f>
        <v>279516.0128</v>
      </c>
      <c r="AY19" s="116">
        <f>SUMIFS('IS Proforma'!AY:AY,'IS Proforma'!$B:$B,Summary!$B19)</f>
        <v>300251.2022</v>
      </c>
      <c r="AZ19" s="116">
        <f>SUMIFS('IS Proforma'!AZ:AZ,'IS Proforma'!$B:$B,Summary!$B19)</f>
        <v>366722.8506</v>
      </c>
      <c r="BA19" s="116">
        <f>SUMIFS('IS Proforma'!BA:BA,'IS Proforma'!$B:$B,Summary!$B19)</f>
        <v>393773.4717</v>
      </c>
      <c r="BB19" s="116">
        <f>SUMIFS('IS Proforma'!BB:BB,'IS Proforma'!$B:$B,Summary!$B19)</f>
        <v>407631.5004</v>
      </c>
      <c r="BC19" s="116">
        <f>SUMIFS('IS Proforma'!BC:BC,'IS Proforma'!$B:$B,Summary!$B19)</f>
        <v>408301.8224</v>
      </c>
      <c r="BD19" s="116">
        <f>SUMIFS('IS Proforma'!BD:BD,'IS Proforma'!$B:$B,Summary!$B19)</f>
        <v>433482.1773</v>
      </c>
      <c r="BE19" s="116">
        <f>SUMIFS('IS Proforma'!BE:BE,'IS Proforma'!$B:$B,Summary!$B19)</f>
        <v>440636.1953</v>
      </c>
      <c r="BF19" s="116">
        <f>SUMIFS('IS Proforma'!BF:BF,'IS Proforma'!$B:$B,Summary!$B19)</f>
        <v>475242.7592</v>
      </c>
      <c r="BG19" s="116">
        <f>SUMIFS('IS Proforma'!BG:BG,'IS Proforma'!$B:$B,Summary!$B19)</f>
        <v>496938.3149</v>
      </c>
      <c r="BH19" s="116">
        <f>SUMIFS('IS Proforma'!BH:BH,'IS Proforma'!$B:$B,Summary!$B19)</f>
        <v>525276.7397</v>
      </c>
      <c r="BI19" s="116">
        <f>SUMIFS('IS Proforma'!BI:BI,'IS Proforma'!$B:$B,Summary!$B19)</f>
        <v>539854.4483</v>
      </c>
      <c r="BJ19" s="116">
        <f>SUMIFS('IS Proforma'!BJ:BJ,'IS Proforma'!$B:$B,Summary!$B19)</f>
        <v>561359.6967</v>
      </c>
      <c r="BK19" s="116">
        <f>SUMIFS('IS Proforma'!BK:BK,'IS Proforma'!$B:$B,Summary!$B19)</f>
        <v>562043.9111</v>
      </c>
      <c r="BL19" s="116">
        <f>SUMIFS('IS Proforma'!BL:BL,'IS Proforma'!$B:$B,Summary!$B19)</f>
        <v>594669.5226</v>
      </c>
      <c r="BM19" s="116">
        <f>SUMIFS('IS Proforma'!BM:BM,'IS Proforma'!$B:$B,Summary!$B19)</f>
        <v>639294.0727</v>
      </c>
      <c r="BN19" s="116">
        <f>SUMIFS('IS Proforma'!BN:BN,'IS Proforma'!$B:$B,Summary!$B19)</f>
        <v>662198.9275</v>
      </c>
      <c r="BO19" s="116">
        <f>SUMIFS('IS Proforma'!BO:BO,'IS Proforma'!$B:$B,Summary!$B19)</f>
        <v>708791.8612</v>
      </c>
      <c r="BP19" s="116">
        <f>SUMIFS('IS Proforma'!BP:BP,'IS Proforma'!$B:$B,Summary!$B19)</f>
        <v>731574.6875</v>
      </c>
      <c r="BQ19" s="116">
        <f>SUMIFS('IS Proforma'!BQ:BQ,'IS Proforma'!$B:$B,Summary!$B19)</f>
        <v>747170.8415</v>
      </c>
      <c r="BR19" s="116">
        <f>SUMIFS('IS Proforma'!BR:BR,'IS Proforma'!$B:$B,Summary!$B19)</f>
        <v>770839.9139</v>
      </c>
      <c r="BS19" s="116">
        <f>SUMIFS('IS Proforma'!BS:BS,'IS Proforma'!$B:$B,Summary!$B19)</f>
        <v>779168.6157</v>
      </c>
      <c r="BT19" s="116">
        <f>SUMIFS('IS Proforma'!BT:BT,'IS Proforma'!$B:$B,Summary!$B19)</f>
        <v>819535.4544</v>
      </c>
      <c r="BU19" s="116">
        <f>SUMIFS('IS Proforma'!BU:BU,'IS Proforma'!$B:$B,Summary!$B19)</f>
        <v>843151.2714</v>
      </c>
      <c r="BV19" s="116">
        <f>SUMIFS('IS Proforma'!BV:BV,'IS Proforma'!$B:$B,Summary!$B19)</f>
        <v>844204.0661</v>
      </c>
      <c r="BW19" s="116">
        <f>SUMIFS('IS Proforma'!BW:BW,'IS Proforma'!$B:$B,Summary!$B19)</f>
        <v>882533.826</v>
      </c>
      <c r="BX19" s="116">
        <f>SUMIFS('IS Proforma'!BX:BX,'IS Proforma'!$B:$B,Summary!$B19)</f>
        <v>953295.0171</v>
      </c>
      <c r="BY19" s="116">
        <f>SUMIFS('IS Proforma'!BY:BY,'IS Proforma'!$B:$B,Summary!$B19)</f>
        <v>1189484.557</v>
      </c>
      <c r="BZ19" s="116">
        <f>SUMIFS('IS Proforma'!BZ:BZ,'IS Proforma'!$B:$B,Summary!$B19)</f>
        <v>1292445.344</v>
      </c>
      <c r="CA19" s="116">
        <f>SUMIFS('IS Proforma'!CA:CA,'IS Proforma'!$B:$B,Summary!$B19)</f>
        <v>1311464.111</v>
      </c>
      <c r="CB19" s="116">
        <f>SUMIFS('IS Proforma'!CB:CB,'IS Proforma'!$B:$B,Summary!$B19)</f>
        <v>1373084.618</v>
      </c>
      <c r="CC19" s="116">
        <f>SUMIFS('IS Proforma'!CC:CC,'IS Proforma'!$B:$B,Summary!$B19)</f>
        <v>1382053.735</v>
      </c>
      <c r="CD19" s="116">
        <f>SUMIFS('IS Proforma'!CD:CD,'IS Proforma'!$B:$B,Summary!$B19)</f>
        <v>1415760.504</v>
      </c>
      <c r="CE19" s="116">
        <f>SUMIFS('IS Proforma'!CE:CE,'IS Proforma'!$B:$B,Summary!$B19)</f>
        <v>1441320.524</v>
      </c>
      <c r="CF19" s="116">
        <f>SUMIFS('IS Proforma'!CF:CF,'IS Proforma'!$B:$B,Summary!$B19)</f>
        <v>1508563.093</v>
      </c>
      <c r="CG19" s="116">
        <f>SUMIFS('IS Proforma'!CG:CG,'IS Proforma'!$B:$B,Summary!$B19)</f>
        <v>1517831.669</v>
      </c>
      <c r="CH19" s="116">
        <f>SUMIFS('IS Proforma'!CH:CH,'IS Proforma'!$B:$B,Summary!$B19)</f>
        <v>1567813.42</v>
      </c>
      <c r="CI19" s="116">
        <f>SUMIFS('IS Proforma'!CI:CI,'IS Proforma'!$B:$B,Summary!$B19)</f>
        <v>1568936.134</v>
      </c>
      <c r="CJ19" s="116">
        <f>SUMIFS('IS Proforma'!CJ:CJ,'IS Proforma'!$B:$B,Summary!$B19)</f>
        <v>1642162.123</v>
      </c>
      <c r="CK19" s="116">
        <f>SUMIFS('IS Proforma'!CK:CK,'IS Proforma'!$B:$B,Summary!$B19)</f>
        <v>1692084.256</v>
      </c>
      <c r="CL19" s="116">
        <f>SUMIFS('IS Proforma'!CL:CL,'IS Proforma'!$B:$B,Summary!$B19)</f>
        <v>1709753.603</v>
      </c>
      <c r="CM19" s="116">
        <f>SUMIFS('IS Proforma'!CM:CM,'IS Proforma'!$B:$B,Summary!$B19)</f>
        <v>1735929.858</v>
      </c>
      <c r="CN19" s="116">
        <f>SUMIFS('IS Proforma'!CN:CN,'IS Proforma'!$B:$B,Summary!$B19)</f>
        <v>1797730.581</v>
      </c>
      <c r="CO19" s="116">
        <f>SUMIFS('IS Proforma'!CO:CO,'IS Proforma'!$B:$B,Summary!$B19)</f>
        <v>1832408.05</v>
      </c>
      <c r="CP19" s="116">
        <f>SUMIFS('IS Proforma'!CP:CP,'IS Proforma'!$B:$B,Summary!$B19)</f>
        <v>1850153.348</v>
      </c>
      <c r="CQ19" s="116">
        <f>SUMIFS('IS Proforma'!CQ:CQ,'IS Proforma'!$B:$B,Summary!$B19)</f>
        <v>1850963.91</v>
      </c>
      <c r="CR19" s="116">
        <f>SUMIFS('IS Proforma'!CR:CR,'IS Proforma'!$B:$B,Summary!$B19)</f>
        <v>1934194.262</v>
      </c>
      <c r="CS19" s="116">
        <f>SUMIFS('IS Proforma'!CS:CS,'IS Proforma'!$B:$B,Summary!$B19)</f>
        <v>1935006.444</v>
      </c>
      <c r="CT19" s="116">
        <f>SUMIFS('IS Proforma'!CT:CT,'IS Proforma'!$B:$B,Summary!$B19)</f>
        <v>1969693.401</v>
      </c>
      <c r="CU19" s="116">
        <f>SUMIFS('IS Proforma'!CU:CU,'IS Proforma'!$B:$B,Summary!$B19)</f>
        <v>1995911.425</v>
      </c>
      <c r="CW19" s="117">
        <f t="shared" ref="CW19:CW24" si="42">SUM(D19:G19)</f>
        <v>44970</v>
      </c>
      <c r="CX19" s="117">
        <f t="shared" ref="CX19:CX24" si="43">SUM(H19:K19)</f>
        <v>46276</v>
      </c>
      <c r="CY19" s="117">
        <f t="shared" ref="CY19:CY24" si="44">SUM(L19:O19)</f>
        <v>47958</v>
      </c>
      <c r="CZ19" s="117">
        <f t="shared" ref="CZ19:CZ24" si="45">SUM(P19:S19)</f>
        <v>45795</v>
      </c>
      <c r="DA19" s="117">
        <f t="shared" ref="DA19:DA24" si="46">SUM(T19:W19)</f>
        <v>48712</v>
      </c>
      <c r="DB19" s="117">
        <f t="shared" ref="DB19:DB25" si="47">SUM(X19:AA19)</f>
        <v>51200</v>
      </c>
      <c r="DC19" s="117">
        <f t="shared" ref="DC19:DC25" si="48">SUM(AB19:AE19)</f>
        <v>50050</v>
      </c>
      <c r="DD19" s="117">
        <f t="shared" ref="DD19:DD25" si="49">SUM(AF19:AI19)</f>
        <v>47898</v>
      </c>
      <c r="DE19" s="117">
        <f t="shared" ref="DE19:DE25" si="50">SUM(AJ19:AM19)</f>
        <v>198668.2308</v>
      </c>
      <c r="DF19" s="117">
        <f t="shared" ref="DF19:DF25" si="51">SUM(AN19:AQ19)</f>
        <v>756792.0282</v>
      </c>
      <c r="DG19" s="117">
        <f t="shared" ref="DG19:DG25" si="52">SUM(AR19:AU19)</f>
        <v>901632.1653</v>
      </c>
      <c r="DH19" s="117">
        <f t="shared" ref="DH19:DH25" si="53">SUM(AV19:AY19)</f>
        <v>1109007.788</v>
      </c>
      <c r="DI19" s="117">
        <f t="shared" ref="DI19:DI25" si="54">SUM(AZ19:BC19)</f>
        <v>1576429.645</v>
      </c>
      <c r="DJ19" s="117">
        <f t="shared" ref="DJ19:DJ25" si="55">SUM(BD19:BG19)</f>
        <v>1846299.447</v>
      </c>
      <c r="DK19" s="117">
        <f t="shared" ref="DK19:DK25" si="56">SUM(BH19:BK19)</f>
        <v>2188534.796</v>
      </c>
      <c r="DL19" s="117">
        <f t="shared" ref="DL19:DL25" si="57">SUM(BL19:BO19)</f>
        <v>2604954.384</v>
      </c>
      <c r="DM19" s="117">
        <f t="shared" ref="DM19:DM25" si="58">SUM(BP19:BS19)</f>
        <v>3028754.059</v>
      </c>
      <c r="DN19" s="117">
        <f t="shared" ref="DN19:DN25" si="59">SUM(BT19:BW19)</f>
        <v>3389424.618</v>
      </c>
      <c r="DO19" s="117">
        <f t="shared" ref="DO19:DO25" si="60">SUM(BX19:CA19)</f>
        <v>4746689.029</v>
      </c>
      <c r="DP19" s="117">
        <f t="shared" ref="DP19:DP25" si="61">SUM(CB19:CE19)</f>
        <v>5612219.38</v>
      </c>
      <c r="DQ19" s="117">
        <f t="shared" ref="DQ19:DQ25" si="62">SUM(CF19:CI19)</f>
        <v>6163144.315</v>
      </c>
      <c r="DR19" s="117">
        <f t="shared" ref="DR19:DR25" si="63">SUM(CJ19:CM19)</f>
        <v>6779929.839</v>
      </c>
      <c r="DS19" s="117">
        <f t="shared" ref="DS19:DS25" si="64">SUM(CN19:CQ19)</f>
        <v>7331255.889</v>
      </c>
      <c r="DT19" s="117">
        <f t="shared" ref="DT19:DT25" si="65">SUM(CR19:CU19)</f>
        <v>7834805.532</v>
      </c>
      <c r="DV19" s="117">
        <f t="shared" ref="DV19:DV24" si="66">SUM(D19:O19)</f>
        <v>139204</v>
      </c>
      <c r="DW19" s="117">
        <f t="shared" ref="DW19:DW24" si="67">SUM(P19:AA19)</f>
        <v>145707</v>
      </c>
      <c r="DX19" s="117">
        <f t="shared" ref="DX19:DX24" si="68">SUM(AB19:AM19)</f>
        <v>296616.2308</v>
      </c>
      <c r="DY19" s="117">
        <f t="shared" ref="DY19:DY24" si="69">SUM(AN19:AY19)</f>
        <v>2767431.982</v>
      </c>
      <c r="DZ19" s="117">
        <f t="shared" ref="DZ19:DZ24" si="70">SUM(AZ19:BK19)</f>
        <v>5611263.888</v>
      </c>
      <c r="EA19" s="117">
        <f t="shared" ref="EA19:EA24" si="71">SUM(BL19:BW19)</f>
        <v>9023133.061</v>
      </c>
      <c r="EB19" s="117">
        <f t="shared" ref="EB19:EB24" si="72">SUM(BX19:CI19)</f>
        <v>16522052.72</v>
      </c>
      <c r="EC19" s="117">
        <f t="shared" ref="EC19:EC24" si="73">SUM(CJ19:CU19)</f>
        <v>21945991.26</v>
      </c>
      <c r="ED19" s="118"/>
      <c r="EE19" s="118"/>
    </row>
    <row r="20" ht="15.75" customHeight="1" outlineLevel="1">
      <c r="B20" s="1" t="s">
        <v>172</v>
      </c>
      <c r="C20" s="1" t="s">
        <v>173</v>
      </c>
      <c r="D20" s="116">
        <f>SUMIFS('IS Proforma'!D:D,'IS Proforma'!$B:$B,Summary!$B20)</f>
        <v>1207</v>
      </c>
      <c r="E20" s="116">
        <f>SUMIFS('IS Proforma'!E:E,'IS Proforma'!$B:$B,Summary!$B20)</f>
        <v>1467</v>
      </c>
      <c r="F20" s="116">
        <f>SUMIFS('IS Proforma'!F:F,'IS Proforma'!$B:$B,Summary!$B20)</f>
        <v>1221</v>
      </c>
      <c r="G20" s="116">
        <f>SUMIFS('IS Proforma'!G:G,'IS Proforma'!$B:$B,Summary!$B20)</f>
        <v>1624</v>
      </c>
      <c r="H20" s="116">
        <f>SUMIFS('IS Proforma'!H:H,'IS Proforma'!$B:$B,Summary!$B20)</f>
        <v>1957</v>
      </c>
      <c r="I20" s="116">
        <f>SUMIFS('IS Proforma'!I:I,'IS Proforma'!$B:$B,Summary!$B20)</f>
        <v>1796</v>
      </c>
      <c r="J20" s="116">
        <f>SUMIFS('IS Proforma'!J:J,'IS Proforma'!$B:$B,Summary!$B20)</f>
        <v>1693</v>
      </c>
      <c r="K20" s="116">
        <f>SUMIFS('IS Proforma'!K:K,'IS Proforma'!$B:$B,Summary!$B20)</f>
        <v>1048</v>
      </c>
      <c r="L20" s="116">
        <f>SUMIFS('IS Proforma'!L:L,'IS Proforma'!$B:$B,Summary!$B20)</f>
        <v>1262</v>
      </c>
      <c r="M20" s="116">
        <f>SUMIFS('IS Proforma'!M:M,'IS Proforma'!$B:$B,Summary!$B20)</f>
        <v>1596</v>
      </c>
      <c r="N20" s="116">
        <f>SUMIFS('IS Proforma'!N:N,'IS Proforma'!$B:$B,Summary!$B20)</f>
        <v>1064</v>
      </c>
      <c r="O20" s="116">
        <f>SUMIFS('IS Proforma'!O:O,'IS Proforma'!$B:$B,Summary!$B20)</f>
        <v>2055</v>
      </c>
      <c r="P20" s="116">
        <f>SUMIFS('IS Proforma'!P:P,'IS Proforma'!$B:$B,Summary!$B20)</f>
        <v>1234</v>
      </c>
      <c r="Q20" s="116">
        <f>SUMIFS('IS Proforma'!Q:Q,'IS Proforma'!$B:$B,Summary!$B20)</f>
        <v>1705</v>
      </c>
      <c r="R20" s="116">
        <f>SUMIFS('IS Proforma'!R:R,'IS Proforma'!$B:$B,Summary!$B20)</f>
        <v>1198</v>
      </c>
      <c r="S20" s="116">
        <f>SUMIFS('IS Proforma'!S:S,'IS Proforma'!$B:$B,Summary!$B20)</f>
        <v>1532</v>
      </c>
      <c r="T20" s="116">
        <f>SUMIFS('IS Proforma'!T:T,'IS Proforma'!$B:$B,Summary!$B20)</f>
        <v>2380</v>
      </c>
      <c r="U20" s="116">
        <f>SUMIFS('IS Proforma'!U:U,'IS Proforma'!$B:$B,Summary!$B20)</f>
        <v>1290</v>
      </c>
      <c r="V20" s="116">
        <f>SUMIFS('IS Proforma'!V:V,'IS Proforma'!$B:$B,Summary!$B20)</f>
        <v>1305</v>
      </c>
      <c r="W20" s="116">
        <f>SUMIFS('IS Proforma'!W:W,'IS Proforma'!$B:$B,Summary!$B20)</f>
        <v>2330</v>
      </c>
      <c r="X20" s="116">
        <f>SUMIFS('IS Proforma'!X:X,'IS Proforma'!$B:$B,Summary!$B20)</f>
        <v>2354</v>
      </c>
      <c r="Y20" s="116">
        <f>SUMIFS('IS Proforma'!Y:Y,'IS Proforma'!$B:$B,Summary!$B20)</f>
        <v>1954</v>
      </c>
      <c r="Z20" s="116">
        <f>SUMIFS('IS Proforma'!Z:Z,'IS Proforma'!$B:$B,Summary!$B20)</f>
        <v>1398</v>
      </c>
      <c r="AA20" s="116">
        <f>SUMIFS('IS Proforma'!AA:AA,'IS Proforma'!$B:$B,Summary!$B20)</f>
        <v>1043</v>
      </c>
      <c r="AB20" s="116">
        <f>SUMIFS('IS Proforma'!AB:AB,'IS Proforma'!$B:$B,Summary!$B20)</f>
        <v>1101</v>
      </c>
      <c r="AC20" s="116">
        <f>SUMIFS('IS Proforma'!AC:AC,'IS Proforma'!$B:$B,Summary!$B20)</f>
        <v>1705</v>
      </c>
      <c r="AD20" s="116">
        <f>SUMIFS('IS Proforma'!AD:AD,'IS Proforma'!$B:$B,Summary!$B20)</f>
        <v>1605</v>
      </c>
      <c r="AE20" s="116">
        <f>SUMIFS('IS Proforma'!AE:AE,'IS Proforma'!$B:$B,Summary!$B20)</f>
        <v>1685</v>
      </c>
      <c r="AF20" s="116">
        <f>SUMIFS('IS Proforma'!AF:AF,'IS Proforma'!$B:$B,Summary!$B20)</f>
        <v>1862</v>
      </c>
      <c r="AG20" s="116">
        <f>SUMIFS('IS Proforma'!AG:AG,'IS Proforma'!$B:$B,Summary!$B20)</f>
        <v>1316</v>
      </c>
      <c r="AH20" s="116">
        <f>SUMIFS('IS Proforma'!AH:AH,'IS Proforma'!$B:$B,Summary!$B20)</f>
        <v>1873</v>
      </c>
      <c r="AI20" s="116">
        <f>SUMIFS('IS Proforma'!AI:AI,'IS Proforma'!$B:$B,Summary!$B20)</f>
        <v>1222</v>
      </c>
      <c r="AJ20" s="116">
        <f>SUMIFS('IS Proforma'!AJ:AJ,'IS Proforma'!$B:$B,Summary!$B20)</f>
        <v>2057</v>
      </c>
      <c r="AK20" s="116">
        <f>SUMIFS('IS Proforma'!AK:AK,'IS Proforma'!$B:$B,Summary!$B20)</f>
        <v>2054</v>
      </c>
      <c r="AL20" s="116">
        <f>SUMIFS('IS Proforma'!AL:AL,'IS Proforma'!$B:$B,Summary!$B20)</f>
        <v>2035</v>
      </c>
      <c r="AM20" s="116">
        <f>SUMIFS('IS Proforma'!AM:AM,'IS Proforma'!$B:$B,Summary!$B20)</f>
        <v>1436.441301</v>
      </c>
      <c r="AN20" s="116">
        <f>SUMIFS('IS Proforma'!AN:AN,'IS Proforma'!$B:$B,Summary!$B20)</f>
        <v>1520.914108</v>
      </c>
      <c r="AO20" s="116">
        <f>SUMIFS('IS Proforma'!AO:AO,'IS Proforma'!$B:$B,Summary!$B20)</f>
        <v>1596.203335</v>
      </c>
      <c r="AP20" s="116">
        <f>SUMIFS('IS Proforma'!AP:AP,'IS Proforma'!$B:$B,Summary!$B20)</f>
        <v>1661.338309</v>
      </c>
      <c r="AQ20" s="116">
        <f>SUMIFS('IS Proforma'!AQ:AQ,'IS Proforma'!$B:$B,Summary!$B20)</f>
        <v>1719.515195</v>
      </c>
      <c r="AR20" s="116">
        <f>SUMIFS('IS Proforma'!AR:AR,'IS Proforma'!$B:$B,Summary!$B20)</f>
        <v>1750.232295</v>
      </c>
      <c r="AS20" s="116">
        <f>SUMIFS('IS Proforma'!AS:AS,'IS Proforma'!$B:$B,Summary!$B20)</f>
        <v>1777.759174</v>
      </c>
      <c r="AT20" s="116">
        <f>SUMIFS('IS Proforma'!AT:AT,'IS Proforma'!$B:$B,Summary!$B20)</f>
        <v>1795.002959</v>
      </c>
      <c r="AU20" s="116">
        <f>SUMIFS('IS Proforma'!AU:AU,'IS Proforma'!$B:$B,Summary!$B20)</f>
        <v>1809.915933</v>
      </c>
      <c r="AV20" s="116">
        <f>SUMIFS('IS Proforma'!AV:AV,'IS Proforma'!$B:$B,Summary!$B20)</f>
        <v>1829.540318</v>
      </c>
      <c r="AW20" s="116">
        <f>SUMIFS('IS Proforma'!AW:AW,'IS Proforma'!$B:$B,Summary!$B20)</f>
        <v>1852.579883</v>
      </c>
      <c r="AX20" s="116">
        <f>SUMIFS('IS Proforma'!AX:AX,'IS Proforma'!$B:$B,Summary!$B20)</f>
        <v>1872.707124</v>
      </c>
      <c r="AY20" s="116">
        <f>SUMIFS('IS Proforma'!AY:AY,'IS Proforma'!$B:$B,Summary!$B20)</f>
        <v>1891.087428</v>
      </c>
      <c r="AZ20" s="116">
        <f>SUMIFS('IS Proforma'!AZ:AZ,'IS Proforma'!$B:$B,Summary!$B20)</f>
        <v>2027.529221</v>
      </c>
      <c r="BA20" s="116">
        <f>SUMIFS('IS Proforma'!BA:BA,'IS Proforma'!$B:$B,Summary!$B20)</f>
        <v>2043.328325</v>
      </c>
      <c r="BB20" s="116">
        <f>SUMIFS('IS Proforma'!BB:BB,'IS Proforma'!$B:$B,Summary!$B20)</f>
        <v>2063.594432</v>
      </c>
      <c r="BC20" s="116">
        <f>SUMIFS('IS Proforma'!BC:BC,'IS Proforma'!$B:$B,Summary!$B20)</f>
        <v>2081.589473</v>
      </c>
      <c r="BD20" s="116">
        <f>SUMIFS('IS Proforma'!BD:BD,'IS Proforma'!$B:$B,Summary!$B20)</f>
        <v>2097.89484</v>
      </c>
      <c r="BE20" s="116">
        <f>SUMIFS('IS Proforma'!BE:BE,'IS Proforma'!$B:$B,Summary!$B20)</f>
        <v>2114.281383</v>
      </c>
      <c r="BF20" s="116">
        <f>SUMIFS('IS Proforma'!BF:BF,'IS Proforma'!$B:$B,Summary!$B20)</f>
        <v>2129.40569</v>
      </c>
      <c r="BG20" s="116">
        <f>SUMIFS('IS Proforma'!BG:BG,'IS Proforma'!$B:$B,Summary!$B20)</f>
        <v>2143.594134</v>
      </c>
      <c r="BH20" s="116">
        <f>SUMIFS('IS Proforma'!BH:BH,'IS Proforma'!$B:$B,Summary!$B20)</f>
        <v>2157.090577</v>
      </c>
      <c r="BI20" s="116">
        <f>SUMIFS('IS Proforma'!BI:BI,'IS Proforma'!$B:$B,Summary!$B20)</f>
        <v>2170.077244</v>
      </c>
      <c r="BJ20" s="116">
        <f>SUMIFS('IS Proforma'!BJ:BJ,'IS Proforma'!$B:$B,Summary!$B20)</f>
        <v>2182.690323</v>
      </c>
      <c r="BK20" s="116">
        <f>SUMIFS('IS Proforma'!BK:BK,'IS Proforma'!$B:$B,Summary!$B20)</f>
        <v>2195.031607</v>
      </c>
      <c r="BL20" s="116">
        <f>SUMIFS('IS Proforma'!BL:BL,'IS Proforma'!$B:$B,Summary!$B20)</f>
        <v>2336.368184</v>
      </c>
      <c r="BM20" s="116">
        <f>SUMIFS('IS Proforma'!BM:BM,'IS Proforma'!$B:$B,Summary!$B20)</f>
        <v>2352.234939</v>
      </c>
      <c r="BN20" s="116">
        <f>SUMIFS('IS Proforma'!BN:BN,'IS Proforma'!$B:$B,Summary!$B20)</f>
        <v>2367.041753</v>
      </c>
      <c r="BO20" s="116">
        <f>SUMIFS('IS Proforma'!BO:BO,'IS Proforma'!$B:$B,Summary!$B20)</f>
        <v>2381.064159</v>
      </c>
      <c r="BP20" s="116">
        <f>SUMIFS('IS Proforma'!BP:BP,'IS Proforma'!$B:$B,Summary!$B20)</f>
        <v>2394.508044</v>
      </c>
      <c r="BQ20" s="116">
        <f>SUMIFS('IS Proforma'!BQ:BQ,'IS Proforma'!$B:$B,Summary!$B20)</f>
        <v>2407.527265</v>
      </c>
      <c r="BR20" s="116">
        <f>SUMIFS('IS Proforma'!BR:BR,'IS Proforma'!$B:$B,Summary!$B20)</f>
        <v>2420.23682</v>
      </c>
      <c r="BS20" s="116">
        <f>SUMIFS('IS Proforma'!BS:BS,'IS Proforma'!$B:$B,Summary!$B20)</f>
        <v>2432.722674</v>
      </c>
      <c r="BT20" s="116">
        <f>SUMIFS('IS Proforma'!BT:BT,'IS Proforma'!$B:$B,Summary!$B20)</f>
        <v>2445.049107</v>
      </c>
      <c r="BU20" s="116">
        <f>SUMIFS('IS Proforma'!BU:BU,'IS Proforma'!$B:$B,Summary!$B20)</f>
        <v>2457.264203</v>
      </c>
      <c r="BV20" s="116">
        <f>SUMIFS('IS Proforma'!BV:BV,'IS Proforma'!$B:$B,Summary!$B20)</f>
        <v>2469.403944</v>
      </c>
      <c r="BW20" s="116">
        <f>SUMIFS('IS Proforma'!BW:BW,'IS Proforma'!$B:$B,Summary!$B20)</f>
        <v>2481.495276</v>
      </c>
      <c r="BX20" s="116">
        <f>SUMIFS('IS Proforma'!BX:BX,'IS Proforma'!$B:$B,Summary!$B20)</f>
        <v>2500.905443</v>
      </c>
      <c r="BY20" s="116">
        <f>SUMIFS('IS Proforma'!BY:BY,'IS Proforma'!$B:$B,Summary!$B20)</f>
        <v>2519.851224</v>
      </c>
      <c r="BZ20" s="116">
        <f>SUMIFS('IS Proforma'!BZ:BZ,'IS Proforma'!$B:$B,Summary!$B20)</f>
        <v>2535.227183</v>
      </c>
      <c r="CA20" s="116">
        <f>SUMIFS('IS Proforma'!CA:CA,'IS Proforma'!$B:$B,Summary!$B20)</f>
        <v>2550.488425</v>
      </c>
      <c r="CB20" s="116">
        <f>SUMIFS('IS Proforma'!CB:CB,'IS Proforma'!$B:$B,Summary!$B20)</f>
        <v>2565.675755</v>
      </c>
      <c r="CC20" s="116">
        <f>SUMIFS('IS Proforma'!CC:CC,'IS Proforma'!$B:$B,Summary!$B20)</f>
        <v>2580.819857</v>
      </c>
      <c r="CD20" s="116">
        <f>SUMIFS('IS Proforma'!CD:CD,'IS Proforma'!$B:$B,Summary!$B20)</f>
        <v>2595.943857</v>
      </c>
      <c r="CE20" s="116">
        <f>SUMIFS('IS Proforma'!CE:CE,'IS Proforma'!$B:$B,Summary!$B20)</f>
        <v>2611.06524</v>
      </c>
      <c r="CF20" s="116">
        <f>SUMIFS('IS Proforma'!CF:CF,'IS Proforma'!$B:$B,Summary!$B20)</f>
        <v>2626.197285</v>
      </c>
      <c r="CG20" s="116">
        <f>SUMIFS('IS Proforma'!CG:CG,'IS Proforma'!$B:$B,Summary!$B20)</f>
        <v>2641.350131</v>
      </c>
      <c r="CH20" s="116">
        <f>SUMIFS('IS Proforma'!CH:CH,'IS Proforma'!$B:$B,Summary!$B20)</f>
        <v>2656.531582</v>
      </c>
      <c r="CI20" s="116">
        <f>SUMIFS('IS Proforma'!CI:CI,'IS Proforma'!$B:$B,Summary!$B20)</f>
        <v>2671.747701</v>
      </c>
      <c r="CJ20" s="116">
        <f>SUMIFS('IS Proforma'!CJ:CJ,'IS Proforma'!$B:$B,Summary!$B20)</f>
        <v>2687.556415</v>
      </c>
      <c r="CK20" s="116">
        <f>SUMIFS('IS Proforma'!CK:CK,'IS Proforma'!$B:$B,Summary!$B20)</f>
        <v>2685.073035</v>
      </c>
      <c r="CL20" s="116">
        <f>SUMIFS('IS Proforma'!CL:CL,'IS Proforma'!$B:$B,Summary!$B20)</f>
        <v>2684.029775</v>
      </c>
      <c r="CM20" s="116">
        <f>SUMIFS('IS Proforma'!CM:CM,'IS Proforma'!$B:$B,Summary!$B20)</f>
        <v>2686.707188</v>
      </c>
      <c r="CN20" s="116">
        <f>SUMIFS('IS Proforma'!CN:CN,'IS Proforma'!$B:$B,Summary!$B20)</f>
        <v>2692.175271</v>
      </c>
      <c r="CO20" s="116">
        <f>SUMIFS('IS Proforma'!CO:CO,'IS Proforma'!$B:$B,Summary!$B20)</f>
        <v>2699.73927</v>
      </c>
      <c r="CP20" s="116">
        <f>SUMIFS('IS Proforma'!CP:CP,'IS Proforma'!$B:$B,Summary!$B20)</f>
        <v>2708.880163</v>
      </c>
      <c r="CQ20" s="116">
        <f>SUMIFS('IS Proforma'!CQ:CQ,'IS Proforma'!$B:$B,Summary!$B20)</f>
        <v>2719.210203</v>
      </c>
      <c r="CR20" s="116">
        <f>SUMIFS('IS Proforma'!CR:CR,'IS Proforma'!$B:$B,Summary!$B20)</f>
        <v>2730.439712</v>
      </c>
      <c r="CS20" s="116">
        <f>SUMIFS('IS Proforma'!CS:CS,'IS Proforma'!$B:$B,Summary!$B20)</f>
        <v>2742.352268</v>
      </c>
      <c r="CT20" s="116">
        <f>SUMIFS('IS Proforma'!CT:CT,'IS Proforma'!$B:$B,Summary!$B20)</f>
        <v>2754.786178</v>
      </c>
      <c r="CU20" s="116">
        <f>SUMIFS('IS Proforma'!CU:CU,'IS Proforma'!$B:$B,Summary!$B20)</f>
        <v>2767.62063</v>
      </c>
      <c r="CW20" s="117">
        <f t="shared" si="42"/>
        <v>5519</v>
      </c>
      <c r="CX20" s="117">
        <f t="shared" si="43"/>
        <v>6494</v>
      </c>
      <c r="CY20" s="117">
        <f t="shared" si="44"/>
        <v>5977</v>
      </c>
      <c r="CZ20" s="117">
        <f t="shared" si="45"/>
        <v>5669</v>
      </c>
      <c r="DA20" s="117">
        <f t="shared" si="46"/>
        <v>7305</v>
      </c>
      <c r="DB20" s="117">
        <f t="shared" si="47"/>
        <v>6749</v>
      </c>
      <c r="DC20" s="117">
        <f t="shared" si="48"/>
        <v>6096</v>
      </c>
      <c r="DD20" s="117">
        <f t="shared" si="49"/>
        <v>6273</v>
      </c>
      <c r="DE20" s="117">
        <f t="shared" si="50"/>
        <v>7582.441301</v>
      </c>
      <c r="DF20" s="117">
        <f t="shared" si="51"/>
        <v>6497.970946</v>
      </c>
      <c r="DG20" s="117">
        <f t="shared" si="52"/>
        <v>7132.91036</v>
      </c>
      <c r="DH20" s="117">
        <f t="shared" si="53"/>
        <v>7445.914754</v>
      </c>
      <c r="DI20" s="117">
        <f t="shared" si="54"/>
        <v>8216.041451</v>
      </c>
      <c r="DJ20" s="117">
        <f t="shared" si="55"/>
        <v>8485.176048</v>
      </c>
      <c r="DK20" s="117">
        <f t="shared" si="56"/>
        <v>8704.889751</v>
      </c>
      <c r="DL20" s="117">
        <f t="shared" si="57"/>
        <v>9436.709035</v>
      </c>
      <c r="DM20" s="117">
        <f t="shared" si="58"/>
        <v>9654.994803</v>
      </c>
      <c r="DN20" s="117">
        <f t="shared" si="59"/>
        <v>9853.212529</v>
      </c>
      <c r="DO20" s="117">
        <f t="shared" si="60"/>
        <v>10106.47227</v>
      </c>
      <c r="DP20" s="117">
        <f t="shared" si="61"/>
        <v>10353.50471</v>
      </c>
      <c r="DQ20" s="117">
        <f t="shared" si="62"/>
        <v>10595.8267</v>
      </c>
      <c r="DR20" s="117">
        <f t="shared" si="63"/>
        <v>10743.36641</v>
      </c>
      <c r="DS20" s="117">
        <f t="shared" si="64"/>
        <v>10820.00491</v>
      </c>
      <c r="DT20" s="117">
        <f t="shared" si="65"/>
        <v>10995.19879</v>
      </c>
      <c r="DV20" s="117">
        <f t="shared" si="66"/>
        <v>17990</v>
      </c>
      <c r="DW20" s="117">
        <f t="shared" si="67"/>
        <v>19723</v>
      </c>
      <c r="DX20" s="117">
        <f t="shared" si="68"/>
        <v>19951.4413</v>
      </c>
      <c r="DY20" s="117">
        <f t="shared" si="69"/>
        <v>21076.79606</v>
      </c>
      <c r="DZ20" s="117">
        <f t="shared" si="70"/>
        <v>25406.10725</v>
      </c>
      <c r="EA20" s="117">
        <f t="shared" si="71"/>
        <v>28944.91637</v>
      </c>
      <c r="EB20" s="117">
        <f t="shared" si="72"/>
        <v>31055.80368</v>
      </c>
      <c r="EC20" s="117">
        <f t="shared" si="73"/>
        <v>32558.57011</v>
      </c>
      <c r="ED20" s="118"/>
      <c r="EE20" s="118"/>
    </row>
    <row r="21" ht="15.75" customHeight="1" outlineLevel="1">
      <c r="B21" s="1" t="s">
        <v>65</v>
      </c>
      <c r="C21" s="1" t="s">
        <v>65</v>
      </c>
      <c r="D21" s="116">
        <f>SUMIFS('IS Proforma'!D:D,'IS Proforma'!$B:$B,Summary!$B21)</f>
        <v>1861</v>
      </c>
      <c r="E21" s="116">
        <f>SUMIFS('IS Proforma'!E:E,'IS Proforma'!$B:$B,Summary!$B21)</f>
        <v>1497</v>
      </c>
      <c r="F21" s="116">
        <f>SUMIFS('IS Proforma'!F:F,'IS Proforma'!$B:$B,Summary!$B21)</f>
        <v>2112</v>
      </c>
      <c r="G21" s="116">
        <f>SUMIFS('IS Proforma'!G:G,'IS Proforma'!$B:$B,Summary!$B21)</f>
        <v>1059</v>
      </c>
      <c r="H21" s="116">
        <f>SUMIFS('IS Proforma'!H:H,'IS Proforma'!$B:$B,Summary!$B21)</f>
        <v>1511</v>
      </c>
      <c r="I21" s="116">
        <f>SUMIFS('IS Proforma'!I:I,'IS Proforma'!$B:$B,Summary!$B21)</f>
        <v>1870</v>
      </c>
      <c r="J21" s="116">
        <f>SUMIFS('IS Proforma'!J:J,'IS Proforma'!$B:$B,Summary!$B21)</f>
        <v>2386</v>
      </c>
      <c r="K21" s="116">
        <f>SUMIFS('IS Proforma'!K:K,'IS Proforma'!$B:$B,Summary!$B21)</f>
        <v>1308</v>
      </c>
      <c r="L21" s="116">
        <f>SUMIFS('IS Proforma'!L:L,'IS Proforma'!$B:$B,Summary!$B21)</f>
        <v>1216</v>
      </c>
      <c r="M21" s="116">
        <f>SUMIFS('IS Proforma'!M:M,'IS Proforma'!$B:$B,Summary!$B21)</f>
        <v>1608</v>
      </c>
      <c r="N21" s="116">
        <f>SUMIFS('IS Proforma'!N:N,'IS Proforma'!$B:$B,Summary!$B21)</f>
        <v>2160</v>
      </c>
      <c r="O21" s="116">
        <f>SUMIFS('IS Proforma'!O:O,'IS Proforma'!$B:$B,Summary!$B21)</f>
        <v>2467</v>
      </c>
      <c r="P21" s="116">
        <f>SUMIFS('IS Proforma'!P:P,'IS Proforma'!$B:$B,Summary!$B21)</f>
        <v>2440</v>
      </c>
      <c r="Q21" s="116">
        <f>SUMIFS('IS Proforma'!Q:Q,'IS Proforma'!$B:$B,Summary!$B21)</f>
        <v>1911</v>
      </c>
      <c r="R21" s="116">
        <f>SUMIFS('IS Proforma'!R:R,'IS Proforma'!$B:$B,Summary!$B21)</f>
        <v>1377</v>
      </c>
      <c r="S21" s="116">
        <f>SUMIFS('IS Proforma'!S:S,'IS Proforma'!$B:$B,Summary!$B21)</f>
        <v>1679</v>
      </c>
      <c r="T21" s="116">
        <f>SUMIFS('IS Proforma'!T:T,'IS Proforma'!$B:$B,Summary!$B21)</f>
        <v>2302</v>
      </c>
      <c r="U21" s="116">
        <f>SUMIFS('IS Proforma'!U:U,'IS Proforma'!$B:$B,Summary!$B21)</f>
        <v>1343</v>
      </c>
      <c r="V21" s="116">
        <f>SUMIFS('IS Proforma'!V:V,'IS Proforma'!$B:$B,Summary!$B21)</f>
        <v>2083</v>
      </c>
      <c r="W21" s="116">
        <f>SUMIFS('IS Proforma'!W:W,'IS Proforma'!$B:$B,Summary!$B21)</f>
        <v>1448</v>
      </c>
      <c r="X21" s="116">
        <f>SUMIFS('IS Proforma'!X:X,'IS Proforma'!$B:$B,Summary!$B21)</f>
        <v>2059</v>
      </c>
      <c r="Y21" s="116">
        <f>SUMIFS('IS Proforma'!Y:Y,'IS Proforma'!$B:$B,Summary!$B21)</f>
        <v>1404</v>
      </c>
      <c r="Z21" s="116">
        <f>SUMIFS('IS Proforma'!Z:Z,'IS Proforma'!$B:$B,Summary!$B21)</f>
        <v>2081</v>
      </c>
      <c r="AA21" s="116">
        <f>SUMIFS('IS Proforma'!AA:AA,'IS Proforma'!$B:$B,Summary!$B21)</f>
        <v>1884</v>
      </c>
      <c r="AB21" s="116">
        <f>SUMIFS('IS Proforma'!AB:AB,'IS Proforma'!$B:$B,Summary!$B21)</f>
        <v>2450</v>
      </c>
      <c r="AC21" s="116">
        <f>SUMIFS('IS Proforma'!AC:AC,'IS Proforma'!$B:$B,Summary!$B21)</f>
        <v>1975</v>
      </c>
      <c r="AD21" s="116">
        <f>SUMIFS('IS Proforma'!AD:AD,'IS Proforma'!$B:$B,Summary!$B21)</f>
        <v>2474</v>
      </c>
      <c r="AE21" s="116">
        <f>SUMIFS('IS Proforma'!AE:AE,'IS Proforma'!$B:$B,Summary!$B21)</f>
        <v>2340</v>
      </c>
      <c r="AF21" s="116">
        <f>SUMIFS('IS Proforma'!AF:AF,'IS Proforma'!$B:$B,Summary!$B21)</f>
        <v>2418</v>
      </c>
      <c r="AG21" s="116">
        <f>SUMIFS('IS Proforma'!AG:AG,'IS Proforma'!$B:$B,Summary!$B21)</f>
        <v>1630</v>
      </c>
      <c r="AH21" s="116">
        <f>SUMIFS('IS Proforma'!AH:AH,'IS Proforma'!$B:$B,Summary!$B21)</f>
        <v>2073</v>
      </c>
      <c r="AI21" s="116">
        <f>SUMIFS('IS Proforma'!AI:AI,'IS Proforma'!$B:$B,Summary!$B21)</f>
        <v>1910</v>
      </c>
      <c r="AJ21" s="116">
        <f>SUMIFS('IS Proforma'!AJ:AJ,'IS Proforma'!$B:$B,Summary!$B21)</f>
        <v>1214</v>
      </c>
      <c r="AK21" s="116">
        <f>SUMIFS('IS Proforma'!AK:AK,'IS Proforma'!$B:$B,Summary!$B21)</f>
        <v>1332</v>
      </c>
      <c r="AL21" s="116">
        <f>SUMIFS('IS Proforma'!AL:AL,'IS Proforma'!$B:$B,Summary!$B21)</f>
        <v>1186</v>
      </c>
      <c r="AM21" s="116">
        <f>SUMIFS('IS Proforma'!AM:AM,'IS Proforma'!$B:$B,Summary!$B21)</f>
        <v>8011.36665</v>
      </c>
      <c r="AN21" s="116">
        <f>SUMIFS('IS Proforma'!AN:AN,'IS Proforma'!$B:$B,Summary!$B21)</f>
        <v>4155.216578</v>
      </c>
      <c r="AO21" s="116">
        <f>SUMIFS('IS Proforma'!AO:AO,'IS Proforma'!$B:$B,Summary!$B21)</f>
        <v>4788.091968</v>
      </c>
      <c r="AP21" s="116">
        <f>SUMIFS('IS Proforma'!AP:AP,'IS Proforma'!$B:$B,Summary!$B21)</f>
        <v>5374.662657</v>
      </c>
      <c r="AQ21" s="116">
        <f>SUMIFS('IS Proforma'!AQ:AQ,'IS Proforma'!$B:$B,Summary!$B21)</f>
        <v>5935.295274</v>
      </c>
      <c r="AR21" s="116">
        <f>SUMIFS('IS Proforma'!AR:AR,'IS Proforma'!$B:$B,Summary!$B21)</f>
        <v>6454.425123</v>
      </c>
      <c r="AS21" s="116">
        <f>SUMIFS('IS Proforma'!AS:AS,'IS Proforma'!$B:$B,Summary!$B21)</f>
        <v>6970.355608</v>
      </c>
      <c r="AT21" s="116">
        <f>SUMIFS('IS Proforma'!AT:AT,'IS Proforma'!$B:$B,Summary!$B21)</f>
        <v>7458.974007</v>
      </c>
      <c r="AU21" s="116">
        <f>SUMIFS('IS Proforma'!AU:AU,'IS Proforma'!$B:$B,Summary!$B21)</f>
        <v>7949.00532</v>
      </c>
      <c r="AV21" s="116">
        <f>SUMIFS('IS Proforma'!AV:AV,'IS Proforma'!$B:$B,Summary!$B21)</f>
        <v>8434.109954</v>
      </c>
      <c r="AW21" s="116">
        <f>SUMIFS('IS Proforma'!AW:AW,'IS Proforma'!$B:$B,Summary!$B21)</f>
        <v>8879.595258</v>
      </c>
      <c r="AX21" s="116">
        <f>SUMIFS('IS Proforma'!AX:AX,'IS Proforma'!$B:$B,Summary!$B21)</f>
        <v>9305.55021</v>
      </c>
      <c r="AY21" s="116">
        <f>SUMIFS('IS Proforma'!AY:AY,'IS Proforma'!$B:$B,Summary!$B21)</f>
        <v>9735.141139</v>
      </c>
      <c r="AZ21" s="116">
        <f>SUMIFS('IS Proforma'!AZ:AZ,'IS Proforma'!$B:$B,Summary!$B21)</f>
        <v>16610.73924</v>
      </c>
      <c r="BA21" s="116">
        <f>SUMIFS('IS Proforma'!BA:BA,'IS Proforma'!$B:$B,Summary!$B21)</f>
        <v>16841.07323</v>
      </c>
      <c r="BB21" s="116">
        <f>SUMIFS('IS Proforma'!BB:BB,'IS Proforma'!$B:$B,Summary!$B21)</f>
        <v>17014.32181</v>
      </c>
      <c r="BC21" s="116">
        <f>SUMIFS('IS Proforma'!BC:BC,'IS Proforma'!$B:$B,Summary!$B21)</f>
        <v>17224.72177</v>
      </c>
      <c r="BD21" s="116">
        <f>SUMIFS('IS Proforma'!BD:BD,'IS Proforma'!$B:$B,Summary!$B21)</f>
        <v>17450.41496</v>
      </c>
      <c r="BE21" s="116">
        <f>SUMIFS('IS Proforma'!BE:BE,'IS Proforma'!$B:$B,Summary!$B21)</f>
        <v>17685.36119</v>
      </c>
      <c r="BF21" s="116">
        <f>SUMIFS('IS Proforma'!BF:BF,'IS Proforma'!$B:$B,Summary!$B21)</f>
        <v>17917.87027</v>
      </c>
      <c r="BG21" s="116">
        <f>SUMIFS('IS Proforma'!BG:BG,'IS Proforma'!$B:$B,Summary!$B21)</f>
        <v>18247.14468</v>
      </c>
      <c r="BH21" s="116">
        <f>SUMIFS('IS Proforma'!BH:BH,'IS Proforma'!$B:$B,Summary!$B21)</f>
        <v>18470.85675</v>
      </c>
      <c r="BI21" s="116">
        <f>SUMIFS('IS Proforma'!BI:BI,'IS Proforma'!$B:$B,Summary!$B21)</f>
        <v>18690.25925</v>
      </c>
      <c r="BJ21" s="116">
        <f>SUMIFS('IS Proforma'!BJ:BJ,'IS Proforma'!$B:$B,Summary!$B21)</f>
        <v>18905.82635</v>
      </c>
      <c r="BK21" s="116">
        <f>SUMIFS('IS Proforma'!BK:BK,'IS Proforma'!$B:$B,Summary!$B21)</f>
        <v>19117.95467</v>
      </c>
      <c r="BL21" s="116">
        <f>SUMIFS('IS Proforma'!BL:BL,'IS Proforma'!$B:$B,Summary!$B21)</f>
        <v>25700.46904</v>
      </c>
      <c r="BM21" s="116">
        <f>SUMIFS('IS Proforma'!BM:BM,'IS Proforma'!$B:$B,Summary!$B21)</f>
        <v>26158.54929</v>
      </c>
      <c r="BN21" s="116">
        <f>SUMIFS('IS Proforma'!BN:BN,'IS Proforma'!$B:$B,Summary!$B21)</f>
        <v>26605.40948</v>
      </c>
      <c r="BO21" s="116">
        <f>SUMIFS('IS Proforma'!BO:BO,'IS Proforma'!$B:$B,Summary!$B21)</f>
        <v>27041.08254</v>
      </c>
      <c r="BP21" s="116">
        <f>SUMIFS('IS Proforma'!BP:BP,'IS Proforma'!$B:$B,Summary!$B21)</f>
        <v>27467.225</v>
      </c>
      <c r="BQ21" s="116">
        <f>SUMIFS('IS Proforma'!BQ:BQ,'IS Proforma'!$B:$B,Summary!$B21)</f>
        <v>27884.85644</v>
      </c>
      <c r="BR21" s="116">
        <f>SUMIFS('IS Proforma'!BR:BR,'IS Proforma'!$B:$B,Summary!$B21)</f>
        <v>28294.72374</v>
      </c>
      <c r="BS21" s="116">
        <f>SUMIFS('IS Proforma'!BS:BS,'IS Proforma'!$B:$B,Summary!$B21)</f>
        <v>28697.43109</v>
      </c>
      <c r="BT21" s="116">
        <f>SUMIFS('IS Proforma'!BT:BT,'IS Proforma'!$B:$B,Summary!$B21)</f>
        <v>29093.4944</v>
      </c>
      <c r="BU21" s="116">
        <f>SUMIFS('IS Proforma'!BU:BU,'IS Proforma'!$B:$B,Summary!$B21)</f>
        <v>29483.36797</v>
      </c>
      <c r="BV21" s="116">
        <f>SUMIFS('IS Proforma'!BV:BV,'IS Proforma'!$B:$B,Summary!$B21)</f>
        <v>29867.45983</v>
      </c>
      <c r="BW21" s="116">
        <f>SUMIFS('IS Proforma'!BW:BW,'IS Proforma'!$B:$B,Summary!$B21)</f>
        <v>30246.14163</v>
      </c>
      <c r="BX21" s="116">
        <f>SUMIFS('IS Proforma'!BX:BX,'IS Proforma'!$B:$B,Summary!$B21)</f>
        <v>64953.02835</v>
      </c>
      <c r="BY21" s="116">
        <f>SUMIFS('IS Proforma'!BY:BY,'IS Proforma'!$B:$B,Summary!$B21)</f>
        <v>65841.73851</v>
      </c>
      <c r="BZ21" s="116">
        <f>SUMIFS('IS Proforma'!BZ:BZ,'IS Proforma'!$B:$B,Summary!$B21)</f>
        <v>66581.4633</v>
      </c>
      <c r="CA21" s="116">
        <f>SUMIFS('IS Proforma'!CA:CA,'IS Proforma'!$B:$B,Summary!$B21)</f>
        <v>67286.92639</v>
      </c>
      <c r="CB21" s="116">
        <f>SUMIFS('IS Proforma'!CB:CB,'IS Proforma'!$B:$B,Summary!$B21)</f>
        <v>67983.91392</v>
      </c>
      <c r="CC21" s="116">
        <f>SUMIFS('IS Proforma'!CC:CC,'IS Proforma'!$B:$B,Summary!$B21)</f>
        <v>68674.09932</v>
      </c>
      <c r="CD21" s="116">
        <f>SUMIFS('IS Proforma'!CD:CD,'IS Proforma'!$B:$B,Summary!$B21)</f>
        <v>69358.80686</v>
      </c>
      <c r="CE21" s="116">
        <f>SUMIFS('IS Proforma'!CE:CE,'IS Proforma'!$B:$B,Summary!$B21)</f>
        <v>70039.06692</v>
      </c>
      <c r="CF21" s="116">
        <f>SUMIFS('IS Proforma'!CF:CF,'IS Proforma'!$B:$B,Summary!$B21)</f>
        <v>70715.71103</v>
      </c>
      <c r="CG21" s="116">
        <f>SUMIFS('IS Proforma'!CG:CG,'IS Proforma'!$B:$B,Summary!$B21)</f>
        <v>71389.43322</v>
      </c>
      <c r="CH21" s="116">
        <f>SUMIFS('IS Proforma'!CH:CH,'IS Proforma'!$B:$B,Summary!$B21)</f>
        <v>72060.82836</v>
      </c>
      <c r="CI21" s="116">
        <f>SUMIFS('IS Proforma'!CI:CI,'IS Proforma'!$B:$B,Summary!$B21)</f>
        <v>72730.41757</v>
      </c>
      <c r="CJ21" s="116">
        <f>SUMIFS('IS Proforma'!CJ:CJ,'IS Proforma'!$B:$B,Summary!$B21)</f>
        <v>98164.28985</v>
      </c>
      <c r="CK21" s="116">
        <f>SUMIFS('IS Proforma'!CK:CK,'IS Proforma'!$B:$B,Summary!$B21)</f>
        <v>97953.19563</v>
      </c>
      <c r="CL21" s="116">
        <f>SUMIFS('IS Proforma'!CL:CL,'IS Proforma'!$B:$B,Summary!$B21)</f>
        <v>97801.1702</v>
      </c>
      <c r="CM21" s="116">
        <f>SUMIFS('IS Proforma'!CM:CM,'IS Proforma'!$B:$B,Summary!$B21)</f>
        <v>97844.38673</v>
      </c>
      <c r="CN21" s="116">
        <f>SUMIFS('IS Proforma'!CN:CN,'IS Proforma'!$B:$B,Summary!$B21)</f>
        <v>98038.857</v>
      </c>
      <c r="CO21" s="116">
        <f>SUMIFS('IS Proforma'!CO:CO,'IS Proforma'!$B:$B,Summary!$B21)</f>
        <v>98340.19854</v>
      </c>
      <c r="CP21" s="116">
        <f>SUMIFS('IS Proforma'!CP:CP,'IS Proforma'!$B:$B,Summary!$B21)</f>
        <v>98719.50126</v>
      </c>
      <c r="CQ21" s="116">
        <f>SUMIFS('IS Proforma'!CQ:CQ,'IS Proforma'!$B:$B,Summary!$B21)</f>
        <v>99156.55297</v>
      </c>
      <c r="CR21" s="116">
        <f>SUMIFS('IS Proforma'!CR:CR,'IS Proforma'!$B:$B,Summary!$B21)</f>
        <v>99636.75486</v>
      </c>
      <c r="CS21" s="116">
        <f>SUMIFS('IS Proforma'!CS:CS,'IS Proforma'!$B:$B,Summary!$B21)</f>
        <v>100149.4082</v>
      </c>
      <c r="CT21" s="116">
        <f>SUMIFS('IS Proforma'!CT:CT,'IS Proforma'!$B:$B,Summary!$B21)</f>
        <v>100686.6266</v>
      </c>
      <c r="CU21" s="116">
        <f>SUMIFS('IS Proforma'!CU:CU,'IS Proforma'!$B:$B,Summary!$B21)</f>
        <v>101242.5877</v>
      </c>
      <c r="CW21" s="117">
        <f t="shared" si="42"/>
        <v>6529</v>
      </c>
      <c r="CX21" s="117">
        <f t="shared" si="43"/>
        <v>7075</v>
      </c>
      <c r="CY21" s="117">
        <f t="shared" si="44"/>
        <v>7451</v>
      </c>
      <c r="CZ21" s="117">
        <f t="shared" si="45"/>
        <v>7407</v>
      </c>
      <c r="DA21" s="117">
        <f t="shared" si="46"/>
        <v>7176</v>
      </c>
      <c r="DB21" s="117">
        <f t="shared" si="47"/>
        <v>7428</v>
      </c>
      <c r="DC21" s="117">
        <f t="shared" si="48"/>
        <v>9239</v>
      </c>
      <c r="DD21" s="117">
        <f t="shared" si="49"/>
        <v>8031</v>
      </c>
      <c r="DE21" s="117">
        <f t="shared" si="50"/>
        <v>11743.36665</v>
      </c>
      <c r="DF21" s="117">
        <f t="shared" si="51"/>
        <v>20253.26648</v>
      </c>
      <c r="DG21" s="117">
        <f t="shared" si="52"/>
        <v>28832.76006</v>
      </c>
      <c r="DH21" s="117">
        <f t="shared" si="53"/>
        <v>36354.39656</v>
      </c>
      <c r="DI21" s="117">
        <f t="shared" si="54"/>
        <v>67690.85606</v>
      </c>
      <c r="DJ21" s="117">
        <f t="shared" si="55"/>
        <v>71300.79109</v>
      </c>
      <c r="DK21" s="117">
        <f t="shared" si="56"/>
        <v>75184.89703</v>
      </c>
      <c r="DL21" s="117">
        <f t="shared" si="57"/>
        <v>105505.5104</v>
      </c>
      <c r="DM21" s="117">
        <f t="shared" si="58"/>
        <v>112344.2363</v>
      </c>
      <c r="DN21" s="117">
        <f t="shared" si="59"/>
        <v>118690.4638</v>
      </c>
      <c r="DO21" s="117">
        <f t="shared" si="60"/>
        <v>264663.1566</v>
      </c>
      <c r="DP21" s="117">
        <f t="shared" si="61"/>
        <v>276055.887</v>
      </c>
      <c r="DQ21" s="117">
        <f t="shared" si="62"/>
        <v>286896.3902</v>
      </c>
      <c r="DR21" s="117">
        <f t="shared" si="63"/>
        <v>391763.0424</v>
      </c>
      <c r="DS21" s="117">
        <f t="shared" si="64"/>
        <v>394255.1098</v>
      </c>
      <c r="DT21" s="117">
        <f t="shared" si="65"/>
        <v>401715.3774</v>
      </c>
      <c r="DV21" s="117">
        <f t="shared" si="66"/>
        <v>21055</v>
      </c>
      <c r="DW21" s="117">
        <f t="shared" si="67"/>
        <v>22011</v>
      </c>
      <c r="DX21" s="117">
        <f t="shared" si="68"/>
        <v>29013.36665</v>
      </c>
      <c r="DY21" s="117">
        <f t="shared" si="69"/>
        <v>85440.4231</v>
      </c>
      <c r="DZ21" s="117">
        <f t="shared" si="70"/>
        <v>214176.5442</v>
      </c>
      <c r="EA21" s="117">
        <f t="shared" si="71"/>
        <v>336540.2105</v>
      </c>
      <c r="EB21" s="117">
        <f t="shared" si="72"/>
        <v>827615.4337</v>
      </c>
      <c r="EC21" s="117">
        <f t="shared" si="73"/>
        <v>1187733.53</v>
      </c>
      <c r="ED21" s="118"/>
      <c r="EE21" s="118"/>
    </row>
    <row r="22" ht="15.75" customHeight="1" outlineLevel="1">
      <c r="B22" s="1" t="s">
        <v>69</v>
      </c>
      <c r="C22" s="1" t="s">
        <v>69</v>
      </c>
      <c r="D22" s="116">
        <f>SUMIFS('IS Proforma'!D:D,'IS Proforma'!$B:$B,Summary!$B22)</f>
        <v>1618</v>
      </c>
      <c r="E22" s="116">
        <f>SUMIFS('IS Proforma'!E:E,'IS Proforma'!$B:$B,Summary!$B22)</f>
        <v>1211</v>
      </c>
      <c r="F22" s="116">
        <f>SUMIFS('IS Proforma'!F:F,'IS Proforma'!$B:$B,Summary!$B22)</f>
        <v>1545</v>
      </c>
      <c r="G22" s="116">
        <f>SUMIFS('IS Proforma'!G:G,'IS Proforma'!$B:$B,Summary!$B22)</f>
        <v>1241</v>
      </c>
      <c r="H22" s="116">
        <f>SUMIFS('IS Proforma'!H:H,'IS Proforma'!$B:$B,Summary!$B22)</f>
        <v>1204</v>
      </c>
      <c r="I22" s="116">
        <f>SUMIFS('IS Proforma'!I:I,'IS Proforma'!$B:$B,Summary!$B22)</f>
        <v>1789</v>
      </c>
      <c r="J22" s="116">
        <f>SUMIFS('IS Proforma'!J:J,'IS Proforma'!$B:$B,Summary!$B22)</f>
        <v>1773</v>
      </c>
      <c r="K22" s="116">
        <f>SUMIFS('IS Proforma'!K:K,'IS Proforma'!$B:$B,Summary!$B22)</f>
        <v>2420</v>
      </c>
      <c r="L22" s="116">
        <f>SUMIFS('IS Proforma'!L:L,'IS Proforma'!$B:$B,Summary!$B22)</f>
        <v>2288</v>
      </c>
      <c r="M22" s="116">
        <f>SUMIFS('IS Proforma'!M:M,'IS Proforma'!$B:$B,Summary!$B22)</f>
        <v>1838</v>
      </c>
      <c r="N22" s="116">
        <f>SUMIFS('IS Proforma'!N:N,'IS Proforma'!$B:$B,Summary!$B22)</f>
        <v>1231</v>
      </c>
      <c r="O22" s="116">
        <f>SUMIFS('IS Proforma'!O:O,'IS Proforma'!$B:$B,Summary!$B22)</f>
        <v>2124</v>
      </c>
      <c r="P22" s="116">
        <f>SUMIFS('IS Proforma'!P:P,'IS Proforma'!$B:$B,Summary!$B22)</f>
        <v>2109</v>
      </c>
      <c r="Q22" s="116">
        <f>SUMIFS('IS Proforma'!Q:Q,'IS Proforma'!$B:$B,Summary!$B22)</f>
        <v>2342</v>
      </c>
      <c r="R22" s="116">
        <f>SUMIFS('IS Proforma'!R:R,'IS Proforma'!$B:$B,Summary!$B22)</f>
        <v>1271</v>
      </c>
      <c r="S22" s="116">
        <f>SUMIFS('IS Proforma'!S:S,'IS Proforma'!$B:$B,Summary!$B22)</f>
        <v>1755</v>
      </c>
      <c r="T22" s="116">
        <f>SUMIFS('IS Proforma'!T:T,'IS Proforma'!$B:$B,Summary!$B22)</f>
        <v>2220</v>
      </c>
      <c r="U22" s="116">
        <f>SUMIFS('IS Proforma'!U:U,'IS Proforma'!$B:$B,Summary!$B22)</f>
        <v>1413</v>
      </c>
      <c r="V22" s="116">
        <f>SUMIFS('IS Proforma'!V:V,'IS Proforma'!$B:$B,Summary!$B22)</f>
        <v>1653</v>
      </c>
      <c r="W22" s="116">
        <f>SUMIFS('IS Proforma'!W:W,'IS Proforma'!$B:$B,Summary!$B22)</f>
        <v>1854</v>
      </c>
      <c r="X22" s="116">
        <f>SUMIFS('IS Proforma'!X:X,'IS Proforma'!$B:$B,Summary!$B22)</f>
        <v>2013</v>
      </c>
      <c r="Y22" s="116">
        <f>SUMIFS('IS Proforma'!Y:Y,'IS Proforma'!$B:$B,Summary!$B22)</f>
        <v>2167</v>
      </c>
      <c r="Z22" s="116">
        <f>SUMIFS('IS Proforma'!Z:Z,'IS Proforma'!$B:$B,Summary!$B22)</f>
        <v>1758</v>
      </c>
      <c r="AA22" s="116">
        <f>SUMIFS('IS Proforma'!AA:AA,'IS Proforma'!$B:$B,Summary!$B22)</f>
        <v>1172</v>
      </c>
      <c r="AB22" s="116">
        <f>SUMIFS('IS Proforma'!AB:AB,'IS Proforma'!$B:$B,Summary!$B22)</f>
        <v>1635</v>
      </c>
      <c r="AC22" s="116">
        <f>SUMIFS('IS Proforma'!AC:AC,'IS Proforma'!$B:$B,Summary!$B22)</f>
        <v>1473</v>
      </c>
      <c r="AD22" s="116">
        <f>SUMIFS('IS Proforma'!AD:AD,'IS Proforma'!$B:$B,Summary!$B22)</f>
        <v>2190</v>
      </c>
      <c r="AE22" s="116">
        <f>SUMIFS('IS Proforma'!AE:AE,'IS Proforma'!$B:$B,Summary!$B22)</f>
        <v>2108</v>
      </c>
      <c r="AF22" s="116">
        <f>SUMIFS('IS Proforma'!AF:AF,'IS Proforma'!$B:$B,Summary!$B22)</f>
        <v>2264</v>
      </c>
      <c r="AG22" s="116">
        <f>SUMIFS('IS Proforma'!AG:AG,'IS Proforma'!$B:$B,Summary!$B22)</f>
        <v>1583</v>
      </c>
      <c r="AH22" s="116">
        <f>SUMIFS('IS Proforma'!AH:AH,'IS Proforma'!$B:$B,Summary!$B22)</f>
        <v>2242</v>
      </c>
      <c r="AI22" s="116">
        <f>SUMIFS('IS Proforma'!AI:AI,'IS Proforma'!$B:$B,Summary!$B22)</f>
        <v>1515</v>
      </c>
      <c r="AJ22" s="116">
        <f>SUMIFS('IS Proforma'!AJ:AJ,'IS Proforma'!$B:$B,Summary!$B22)</f>
        <v>2271</v>
      </c>
      <c r="AK22" s="116">
        <f>SUMIFS('IS Proforma'!AK:AK,'IS Proforma'!$B:$B,Summary!$B22)</f>
        <v>1132</v>
      </c>
      <c r="AL22" s="116">
        <f>SUMIFS('IS Proforma'!AL:AL,'IS Proforma'!$B:$B,Summary!$B22)</f>
        <v>2244</v>
      </c>
      <c r="AM22" s="116">
        <f>SUMIFS('IS Proforma'!AM:AM,'IS Proforma'!$B:$B,Summary!$B22)</f>
        <v>1662.8</v>
      </c>
      <c r="AN22" s="116">
        <f>SUMIFS('IS Proforma'!AN:AN,'IS Proforma'!$B:$B,Summary!$B22)</f>
        <v>3662.8</v>
      </c>
      <c r="AO22" s="116">
        <f>SUMIFS('IS Proforma'!AO:AO,'IS Proforma'!$B:$B,Summary!$B22)</f>
        <v>3662.8</v>
      </c>
      <c r="AP22" s="116">
        <f>SUMIFS('IS Proforma'!AP:AP,'IS Proforma'!$B:$B,Summary!$B22)</f>
        <v>3662.8</v>
      </c>
      <c r="AQ22" s="116">
        <f>SUMIFS('IS Proforma'!AQ:AQ,'IS Proforma'!$B:$B,Summary!$B22)</f>
        <v>3662.8</v>
      </c>
      <c r="AR22" s="116">
        <f>SUMIFS('IS Proforma'!AR:AR,'IS Proforma'!$B:$B,Summary!$B22)</f>
        <v>5662.8</v>
      </c>
      <c r="AS22" s="116">
        <f>SUMIFS('IS Proforma'!AS:AS,'IS Proforma'!$B:$B,Summary!$B22)</f>
        <v>5662.8</v>
      </c>
      <c r="AT22" s="116">
        <f>SUMIFS('IS Proforma'!AT:AT,'IS Proforma'!$B:$B,Summary!$B22)</f>
        <v>5662.8</v>
      </c>
      <c r="AU22" s="116">
        <f>SUMIFS('IS Proforma'!AU:AU,'IS Proforma'!$B:$B,Summary!$B22)</f>
        <v>5662.8</v>
      </c>
      <c r="AV22" s="116">
        <f>SUMIFS('IS Proforma'!AV:AV,'IS Proforma'!$B:$B,Summary!$B22)</f>
        <v>7662.8</v>
      </c>
      <c r="AW22" s="116">
        <f>SUMIFS('IS Proforma'!AW:AW,'IS Proforma'!$B:$B,Summary!$B22)</f>
        <v>7662.8</v>
      </c>
      <c r="AX22" s="116">
        <f>SUMIFS('IS Proforma'!AX:AX,'IS Proforma'!$B:$B,Summary!$B22)</f>
        <v>7662.8</v>
      </c>
      <c r="AY22" s="116">
        <f>SUMIFS('IS Proforma'!AY:AY,'IS Proforma'!$B:$B,Summary!$B22)</f>
        <v>7662.8</v>
      </c>
      <c r="AZ22" s="116">
        <f>SUMIFS('IS Proforma'!AZ:AZ,'IS Proforma'!$B:$B,Summary!$B22)</f>
        <v>7662.8</v>
      </c>
      <c r="BA22" s="116">
        <f>SUMIFS('IS Proforma'!BA:BA,'IS Proforma'!$B:$B,Summary!$B22)</f>
        <v>7662.8</v>
      </c>
      <c r="BB22" s="116">
        <f>SUMIFS('IS Proforma'!BB:BB,'IS Proforma'!$B:$B,Summary!$B22)</f>
        <v>7662.8</v>
      </c>
      <c r="BC22" s="116">
        <f>SUMIFS('IS Proforma'!BC:BC,'IS Proforma'!$B:$B,Summary!$B22)</f>
        <v>7662.8</v>
      </c>
      <c r="BD22" s="116">
        <f>SUMIFS('IS Proforma'!BD:BD,'IS Proforma'!$B:$B,Summary!$B22)</f>
        <v>7662.8</v>
      </c>
      <c r="BE22" s="116">
        <f>SUMIFS('IS Proforma'!BE:BE,'IS Proforma'!$B:$B,Summary!$B22)</f>
        <v>7662.8</v>
      </c>
      <c r="BF22" s="116">
        <f>SUMIFS('IS Proforma'!BF:BF,'IS Proforma'!$B:$B,Summary!$B22)</f>
        <v>7662.8</v>
      </c>
      <c r="BG22" s="116">
        <f>SUMIFS('IS Proforma'!BG:BG,'IS Proforma'!$B:$B,Summary!$B22)</f>
        <v>7662.8</v>
      </c>
      <c r="BH22" s="116">
        <f>SUMIFS('IS Proforma'!BH:BH,'IS Proforma'!$B:$B,Summary!$B22)</f>
        <v>9262.8</v>
      </c>
      <c r="BI22" s="116">
        <f>SUMIFS('IS Proforma'!BI:BI,'IS Proforma'!$B:$B,Summary!$B22)</f>
        <v>9262.8</v>
      </c>
      <c r="BJ22" s="116">
        <f>SUMIFS('IS Proforma'!BJ:BJ,'IS Proforma'!$B:$B,Summary!$B22)</f>
        <v>9262.8</v>
      </c>
      <c r="BK22" s="116">
        <f>SUMIFS('IS Proforma'!BK:BK,'IS Proforma'!$B:$B,Summary!$B22)</f>
        <v>9262.8</v>
      </c>
      <c r="BL22" s="116">
        <f>SUMIFS('IS Proforma'!BL:BL,'IS Proforma'!$B:$B,Summary!$B22)</f>
        <v>13262.8</v>
      </c>
      <c r="BM22" s="116">
        <f>SUMIFS('IS Proforma'!BM:BM,'IS Proforma'!$B:$B,Summary!$B22)</f>
        <v>13262.8</v>
      </c>
      <c r="BN22" s="116">
        <f>SUMIFS('IS Proforma'!BN:BN,'IS Proforma'!$B:$B,Summary!$B22)</f>
        <v>13262.8</v>
      </c>
      <c r="BO22" s="116">
        <f>SUMIFS('IS Proforma'!BO:BO,'IS Proforma'!$B:$B,Summary!$B22)</f>
        <v>13262.8</v>
      </c>
      <c r="BP22" s="116">
        <f>SUMIFS('IS Proforma'!BP:BP,'IS Proforma'!$B:$B,Summary!$B22)</f>
        <v>17262.8</v>
      </c>
      <c r="BQ22" s="116">
        <f>SUMIFS('IS Proforma'!BQ:BQ,'IS Proforma'!$B:$B,Summary!$B22)</f>
        <v>17262.8</v>
      </c>
      <c r="BR22" s="116">
        <f>SUMIFS('IS Proforma'!BR:BR,'IS Proforma'!$B:$B,Summary!$B22)</f>
        <v>17262.8</v>
      </c>
      <c r="BS22" s="116">
        <f>SUMIFS('IS Proforma'!BS:BS,'IS Proforma'!$B:$B,Summary!$B22)</f>
        <v>17262.8</v>
      </c>
      <c r="BT22" s="116">
        <f>SUMIFS('IS Proforma'!BT:BT,'IS Proforma'!$B:$B,Summary!$B22)</f>
        <v>21262.8</v>
      </c>
      <c r="BU22" s="116">
        <f>SUMIFS('IS Proforma'!BU:BU,'IS Proforma'!$B:$B,Summary!$B22)</f>
        <v>21262.8</v>
      </c>
      <c r="BV22" s="116">
        <f>SUMIFS('IS Proforma'!BV:BV,'IS Proforma'!$B:$B,Summary!$B22)</f>
        <v>21262.8</v>
      </c>
      <c r="BW22" s="116">
        <f>SUMIFS('IS Proforma'!BW:BW,'IS Proforma'!$B:$B,Summary!$B22)</f>
        <v>21262.8</v>
      </c>
      <c r="BX22" s="116">
        <f>SUMIFS('IS Proforma'!BX:BX,'IS Proforma'!$B:$B,Summary!$B22)</f>
        <v>21342.8</v>
      </c>
      <c r="BY22" s="116">
        <f>SUMIFS('IS Proforma'!BY:BY,'IS Proforma'!$B:$B,Summary!$B22)</f>
        <v>21342.8</v>
      </c>
      <c r="BZ22" s="116">
        <f>SUMIFS('IS Proforma'!BZ:BZ,'IS Proforma'!$B:$B,Summary!$B22)</f>
        <v>21342.8</v>
      </c>
      <c r="CA22" s="116">
        <f>SUMIFS('IS Proforma'!CA:CA,'IS Proforma'!$B:$B,Summary!$B22)</f>
        <v>21342.8</v>
      </c>
      <c r="CB22" s="116">
        <f>SUMIFS('IS Proforma'!CB:CB,'IS Proforma'!$B:$B,Summary!$B22)</f>
        <v>21422.8</v>
      </c>
      <c r="CC22" s="116">
        <f>SUMIFS('IS Proforma'!CC:CC,'IS Proforma'!$B:$B,Summary!$B22)</f>
        <v>21422.8</v>
      </c>
      <c r="CD22" s="116">
        <f>SUMIFS('IS Proforma'!CD:CD,'IS Proforma'!$B:$B,Summary!$B22)</f>
        <v>21422.8</v>
      </c>
      <c r="CE22" s="116">
        <f>SUMIFS('IS Proforma'!CE:CE,'IS Proforma'!$B:$B,Summary!$B22)</f>
        <v>21422.8</v>
      </c>
      <c r="CF22" s="116">
        <f>SUMIFS('IS Proforma'!CF:CF,'IS Proforma'!$B:$B,Summary!$B22)</f>
        <v>21502.8</v>
      </c>
      <c r="CG22" s="116">
        <f>SUMIFS('IS Proforma'!CG:CG,'IS Proforma'!$B:$B,Summary!$B22)</f>
        <v>21502.8</v>
      </c>
      <c r="CH22" s="116">
        <f>SUMIFS('IS Proforma'!CH:CH,'IS Proforma'!$B:$B,Summary!$B22)</f>
        <v>21502.8</v>
      </c>
      <c r="CI22" s="116">
        <f>SUMIFS('IS Proforma'!CI:CI,'IS Proforma'!$B:$B,Summary!$B22)</f>
        <v>21502.8</v>
      </c>
      <c r="CJ22" s="116">
        <f>SUMIFS('IS Proforma'!CJ:CJ,'IS Proforma'!$B:$B,Summary!$B22)</f>
        <v>21582.8</v>
      </c>
      <c r="CK22" s="116">
        <f>SUMIFS('IS Proforma'!CK:CK,'IS Proforma'!$B:$B,Summary!$B22)</f>
        <v>21582.8</v>
      </c>
      <c r="CL22" s="116">
        <f>SUMIFS('IS Proforma'!CL:CL,'IS Proforma'!$B:$B,Summary!$B22)</f>
        <v>21582.8</v>
      </c>
      <c r="CM22" s="116">
        <f>SUMIFS('IS Proforma'!CM:CM,'IS Proforma'!$B:$B,Summary!$B22)</f>
        <v>21582.8</v>
      </c>
      <c r="CN22" s="116">
        <f>SUMIFS('IS Proforma'!CN:CN,'IS Proforma'!$B:$B,Summary!$B22)</f>
        <v>21662.8</v>
      </c>
      <c r="CO22" s="116">
        <f>SUMIFS('IS Proforma'!CO:CO,'IS Proforma'!$B:$B,Summary!$B22)</f>
        <v>21662.8</v>
      </c>
      <c r="CP22" s="116">
        <f>SUMIFS('IS Proforma'!CP:CP,'IS Proforma'!$B:$B,Summary!$B22)</f>
        <v>21662.8</v>
      </c>
      <c r="CQ22" s="116">
        <f>SUMIFS('IS Proforma'!CQ:CQ,'IS Proforma'!$B:$B,Summary!$B22)</f>
        <v>21662.8</v>
      </c>
      <c r="CR22" s="116">
        <f>SUMIFS('IS Proforma'!CR:CR,'IS Proforma'!$B:$B,Summary!$B22)</f>
        <v>22662.8</v>
      </c>
      <c r="CS22" s="116">
        <f>SUMIFS('IS Proforma'!CS:CS,'IS Proforma'!$B:$B,Summary!$B22)</f>
        <v>22662.8</v>
      </c>
      <c r="CT22" s="116">
        <f>SUMIFS('IS Proforma'!CT:CT,'IS Proforma'!$B:$B,Summary!$B22)</f>
        <v>22662.8</v>
      </c>
      <c r="CU22" s="116">
        <f>SUMIFS('IS Proforma'!CU:CU,'IS Proforma'!$B:$B,Summary!$B22)</f>
        <v>22662.8</v>
      </c>
      <c r="CW22" s="117">
        <f t="shared" si="42"/>
        <v>5615</v>
      </c>
      <c r="CX22" s="117">
        <f t="shared" si="43"/>
        <v>7186</v>
      </c>
      <c r="CY22" s="117">
        <f t="shared" si="44"/>
        <v>7481</v>
      </c>
      <c r="CZ22" s="117">
        <f t="shared" si="45"/>
        <v>7477</v>
      </c>
      <c r="DA22" s="117">
        <f t="shared" si="46"/>
        <v>7140</v>
      </c>
      <c r="DB22" s="117">
        <f t="shared" si="47"/>
        <v>7110</v>
      </c>
      <c r="DC22" s="117">
        <f t="shared" si="48"/>
        <v>7406</v>
      </c>
      <c r="DD22" s="117">
        <f t="shared" si="49"/>
        <v>7604</v>
      </c>
      <c r="DE22" s="117">
        <f t="shared" si="50"/>
        <v>7309.8</v>
      </c>
      <c r="DF22" s="117">
        <f t="shared" si="51"/>
        <v>14651.2</v>
      </c>
      <c r="DG22" s="117">
        <f t="shared" si="52"/>
        <v>22651.2</v>
      </c>
      <c r="DH22" s="117">
        <f t="shared" si="53"/>
        <v>30651.2</v>
      </c>
      <c r="DI22" s="117">
        <f t="shared" si="54"/>
        <v>30651.2</v>
      </c>
      <c r="DJ22" s="117">
        <f t="shared" si="55"/>
        <v>30651.2</v>
      </c>
      <c r="DK22" s="117">
        <f t="shared" si="56"/>
        <v>37051.2</v>
      </c>
      <c r="DL22" s="117">
        <f t="shared" si="57"/>
        <v>53051.2</v>
      </c>
      <c r="DM22" s="117">
        <f t="shared" si="58"/>
        <v>69051.2</v>
      </c>
      <c r="DN22" s="117">
        <f t="shared" si="59"/>
        <v>85051.2</v>
      </c>
      <c r="DO22" s="117">
        <f t="shared" si="60"/>
        <v>85371.2</v>
      </c>
      <c r="DP22" s="117">
        <f t="shared" si="61"/>
        <v>85691.2</v>
      </c>
      <c r="DQ22" s="117">
        <f t="shared" si="62"/>
        <v>86011.2</v>
      </c>
      <c r="DR22" s="117">
        <f t="shared" si="63"/>
        <v>86331.2</v>
      </c>
      <c r="DS22" s="117">
        <f t="shared" si="64"/>
        <v>86651.2</v>
      </c>
      <c r="DT22" s="117">
        <f t="shared" si="65"/>
        <v>90651.2</v>
      </c>
      <c r="DV22" s="117">
        <f t="shared" si="66"/>
        <v>20282</v>
      </c>
      <c r="DW22" s="117">
        <f t="shared" si="67"/>
        <v>21727</v>
      </c>
      <c r="DX22" s="117">
        <f t="shared" si="68"/>
        <v>22319.8</v>
      </c>
      <c r="DY22" s="117">
        <f t="shared" si="69"/>
        <v>67953.6</v>
      </c>
      <c r="DZ22" s="117">
        <f t="shared" si="70"/>
        <v>98353.6</v>
      </c>
      <c r="EA22" s="117">
        <f t="shared" si="71"/>
        <v>207153.6</v>
      </c>
      <c r="EB22" s="117">
        <f t="shared" si="72"/>
        <v>257073.6</v>
      </c>
      <c r="EC22" s="117">
        <f t="shared" si="73"/>
        <v>263633.6</v>
      </c>
      <c r="ED22" s="118"/>
      <c r="EE22" s="118"/>
    </row>
    <row r="23" ht="15.75" customHeight="1" outlineLevel="1">
      <c r="B23" s="1" t="s">
        <v>67</v>
      </c>
      <c r="C23" s="1" t="s">
        <v>67</v>
      </c>
      <c r="D23" s="116">
        <f>SUMIFS('IS Proforma'!D:D,'IS Proforma'!$B:$B,Summary!$B23)</f>
        <v>5289</v>
      </c>
      <c r="E23" s="116">
        <f>SUMIFS('IS Proforma'!E:E,'IS Proforma'!$B:$B,Summary!$B23)</f>
        <v>6304</v>
      </c>
      <c r="F23" s="116">
        <f>SUMIFS('IS Proforma'!F:F,'IS Proforma'!$B:$B,Summary!$B23)</f>
        <v>5274</v>
      </c>
      <c r="G23" s="116">
        <f>SUMIFS('IS Proforma'!G:G,'IS Proforma'!$B:$B,Summary!$B23)</f>
        <v>4957</v>
      </c>
      <c r="H23" s="116">
        <f>SUMIFS('IS Proforma'!H:H,'IS Proforma'!$B:$B,Summary!$B23)</f>
        <v>5843</v>
      </c>
      <c r="I23" s="116">
        <f>SUMIFS('IS Proforma'!I:I,'IS Proforma'!$B:$B,Summary!$B23)</f>
        <v>3833</v>
      </c>
      <c r="J23" s="116">
        <f>SUMIFS('IS Proforma'!J:J,'IS Proforma'!$B:$B,Summary!$B23)</f>
        <v>5785</v>
      </c>
      <c r="K23" s="116">
        <f>SUMIFS('IS Proforma'!K:K,'IS Proforma'!$B:$B,Summary!$B23)</f>
        <v>4796</v>
      </c>
      <c r="L23" s="116">
        <f>SUMIFS('IS Proforma'!L:L,'IS Proforma'!$B:$B,Summary!$B23)</f>
        <v>4570</v>
      </c>
      <c r="M23" s="116">
        <f>SUMIFS('IS Proforma'!M:M,'IS Proforma'!$B:$B,Summary!$B23)</f>
        <v>5453</v>
      </c>
      <c r="N23" s="116">
        <f>SUMIFS('IS Proforma'!N:N,'IS Proforma'!$B:$B,Summary!$B23)</f>
        <v>5411</v>
      </c>
      <c r="O23" s="116">
        <f>SUMIFS('IS Proforma'!O:O,'IS Proforma'!$B:$B,Summary!$B23)</f>
        <v>5335</v>
      </c>
      <c r="P23" s="116">
        <f>SUMIFS('IS Proforma'!P:P,'IS Proforma'!$B:$B,Summary!$B23)</f>
        <v>6168</v>
      </c>
      <c r="Q23" s="116">
        <f>SUMIFS('IS Proforma'!Q:Q,'IS Proforma'!$B:$B,Summary!$B23)</f>
        <v>6572</v>
      </c>
      <c r="R23" s="116">
        <f>SUMIFS('IS Proforma'!R:R,'IS Proforma'!$B:$B,Summary!$B23)</f>
        <v>5958</v>
      </c>
      <c r="S23" s="116">
        <f>SUMIFS('IS Proforma'!S:S,'IS Proforma'!$B:$B,Summary!$B23)</f>
        <v>5225</v>
      </c>
      <c r="T23" s="116">
        <f>SUMIFS('IS Proforma'!T:T,'IS Proforma'!$B:$B,Summary!$B23)</f>
        <v>5523</v>
      </c>
      <c r="U23" s="116">
        <f>SUMIFS('IS Proforma'!U:U,'IS Proforma'!$B:$B,Summary!$B23)</f>
        <v>5353</v>
      </c>
      <c r="V23" s="116">
        <f>SUMIFS('IS Proforma'!V:V,'IS Proforma'!$B:$B,Summary!$B23)</f>
        <v>6573</v>
      </c>
      <c r="W23" s="116">
        <f>SUMIFS('IS Proforma'!W:W,'IS Proforma'!$B:$B,Summary!$B23)</f>
        <v>5857</v>
      </c>
      <c r="X23" s="116">
        <f>SUMIFS('IS Proforma'!X:X,'IS Proforma'!$B:$B,Summary!$B23)</f>
        <v>5676</v>
      </c>
      <c r="Y23" s="116">
        <f>SUMIFS('IS Proforma'!Y:Y,'IS Proforma'!$B:$B,Summary!$B23)</f>
        <v>5542</v>
      </c>
      <c r="Z23" s="116">
        <f>SUMIFS('IS Proforma'!Z:Z,'IS Proforma'!$B:$B,Summary!$B23)</f>
        <v>5445</v>
      </c>
      <c r="AA23" s="116">
        <f>SUMIFS('IS Proforma'!AA:AA,'IS Proforma'!$B:$B,Summary!$B23)</f>
        <v>5293</v>
      </c>
      <c r="AB23" s="116">
        <f>SUMIFS('IS Proforma'!AB:AB,'IS Proforma'!$B:$B,Summary!$B23)</f>
        <v>6145</v>
      </c>
      <c r="AC23" s="116">
        <f>SUMIFS('IS Proforma'!AC:AC,'IS Proforma'!$B:$B,Summary!$B23)</f>
        <v>5766</v>
      </c>
      <c r="AD23" s="116">
        <f>SUMIFS('IS Proforma'!AD:AD,'IS Proforma'!$B:$B,Summary!$B23)</f>
        <v>6152</v>
      </c>
      <c r="AE23" s="116">
        <f>SUMIFS('IS Proforma'!AE:AE,'IS Proforma'!$B:$B,Summary!$B23)</f>
        <v>4830</v>
      </c>
      <c r="AF23" s="116">
        <f>SUMIFS('IS Proforma'!AF:AF,'IS Proforma'!$B:$B,Summary!$B23)</f>
        <v>5177</v>
      </c>
      <c r="AG23" s="116">
        <f>SUMIFS('IS Proforma'!AG:AG,'IS Proforma'!$B:$B,Summary!$B23)</f>
        <v>5439</v>
      </c>
      <c r="AH23" s="116">
        <f>SUMIFS('IS Proforma'!AH:AH,'IS Proforma'!$B:$B,Summary!$B23)</f>
        <v>4934</v>
      </c>
      <c r="AI23" s="116">
        <f>SUMIFS('IS Proforma'!AI:AI,'IS Proforma'!$B:$B,Summary!$B23)</f>
        <v>4231</v>
      </c>
      <c r="AJ23" s="116">
        <f>SUMIFS('IS Proforma'!AJ:AJ,'IS Proforma'!$B:$B,Summary!$B23)</f>
        <v>6206</v>
      </c>
      <c r="AK23" s="116">
        <f>SUMIFS('IS Proforma'!AK:AK,'IS Proforma'!$B:$B,Summary!$B23)</f>
        <v>5726</v>
      </c>
      <c r="AL23" s="116">
        <f>SUMIFS('IS Proforma'!AL:AL,'IS Proforma'!$B:$B,Summary!$B23)</f>
        <v>4564</v>
      </c>
      <c r="AM23" s="116">
        <f>SUMIFS('IS Proforma'!AM:AM,'IS Proforma'!$B:$B,Summary!$B23)</f>
        <v>15685.035</v>
      </c>
      <c r="AN23" s="116">
        <f>SUMIFS('IS Proforma'!AN:AN,'IS Proforma'!$B:$B,Summary!$B23)</f>
        <v>17253.5385</v>
      </c>
      <c r="AO23" s="116">
        <f>SUMIFS('IS Proforma'!AO:AO,'IS Proforma'!$B:$B,Summary!$B23)</f>
        <v>17426.07389</v>
      </c>
      <c r="AP23" s="116">
        <f>SUMIFS('IS Proforma'!AP:AP,'IS Proforma'!$B:$B,Summary!$B23)</f>
        <v>17600.33462</v>
      </c>
      <c r="AQ23" s="116">
        <f>SUMIFS('IS Proforma'!AQ:AQ,'IS Proforma'!$B:$B,Summary!$B23)</f>
        <v>17776.33797</v>
      </c>
      <c r="AR23" s="116">
        <f>SUMIFS('IS Proforma'!AR:AR,'IS Proforma'!$B:$B,Summary!$B23)</f>
        <v>17954.10135</v>
      </c>
      <c r="AS23" s="116">
        <f>SUMIFS('IS Proforma'!AS:AS,'IS Proforma'!$B:$B,Summary!$B23)</f>
        <v>18133.64236</v>
      </c>
      <c r="AT23" s="116">
        <f>SUMIFS('IS Proforma'!AT:AT,'IS Proforma'!$B:$B,Summary!$B23)</f>
        <v>18314.97879</v>
      </c>
      <c r="AU23" s="116">
        <f>SUMIFS('IS Proforma'!AU:AU,'IS Proforma'!$B:$B,Summary!$B23)</f>
        <v>18498.12857</v>
      </c>
      <c r="AV23" s="116">
        <f>SUMIFS('IS Proforma'!AV:AV,'IS Proforma'!$B:$B,Summary!$B23)</f>
        <v>18683.10986</v>
      </c>
      <c r="AW23" s="116">
        <f>SUMIFS('IS Proforma'!AW:AW,'IS Proforma'!$B:$B,Summary!$B23)</f>
        <v>18869.94096</v>
      </c>
      <c r="AX23" s="116">
        <f>SUMIFS('IS Proforma'!AX:AX,'IS Proforma'!$B:$B,Summary!$B23)</f>
        <v>19058.64037</v>
      </c>
      <c r="AY23" s="116">
        <f>SUMIFS('IS Proforma'!AY:AY,'IS Proforma'!$B:$B,Summary!$B23)</f>
        <v>19249.22677</v>
      </c>
      <c r="AZ23" s="116">
        <f>SUMIFS('IS Proforma'!AZ:AZ,'IS Proforma'!$B:$B,Summary!$B23)</f>
        <v>19441.71904</v>
      </c>
      <c r="BA23" s="116">
        <f>SUMIFS('IS Proforma'!BA:BA,'IS Proforma'!$B:$B,Summary!$B23)</f>
        <v>19636.13623</v>
      </c>
      <c r="BB23" s="116">
        <f>SUMIFS('IS Proforma'!BB:BB,'IS Proforma'!$B:$B,Summary!$B23)</f>
        <v>19832.49759</v>
      </c>
      <c r="BC23" s="116">
        <f>SUMIFS('IS Proforma'!BC:BC,'IS Proforma'!$B:$B,Summary!$B23)</f>
        <v>20030.82257</v>
      </c>
      <c r="BD23" s="116">
        <f>SUMIFS('IS Proforma'!BD:BD,'IS Proforma'!$B:$B,Summary!$B23)</f>
        <v>20231.13079</v>
      </c>
      <c r="BE23" s="116">
        <f>SUMIFS('IS Proforma'!BE:BE,'IS Proforma'!$B:$B,Summary!$B23)</f>
        <v>20433.4421</v>
      </c>
      <c r="BF23" s="116">
        <f>SUMIFS('IS Proforma'!BF:BF,'IS Proforma'!$B:$B,Summary!$B23)</f>
        <v>20637.77652</v>
      </c>
      <c r="BG23" s="116">
        <f>SUMIFS('IS Proforma'!BG:BG,'IS Proforma'!$B:$B,Summary!$B23)</f>
        <v>20844.15429</v>
      </c>
      <c r="BH23" s="116">
        <f>SUMIFS('IS Proforma'!BH:BH,'IS Proforma'!$B:$B,Summary!$B23)</f>
        <v>21052.59583</v>
      </c>
      <c r="BI23" s="116">
        <f>SUMIFS('IS Proforma'!BI:BI,'IS Proforma'!$B:$B,Summary!$B23)</f>
        <v>21263.12179</v>
      </c>
      <c r="BJ23" s="116">
        <f>SUMIFS('IS Proforma'!BJ:BJ,'IS Proforma'!$B:$B,Summary!$B23)</f>
        <v>21475.75301</v>
      </c>
      <c r="BK23" s="116">
        <f>SUMIFS('IS Proforma'!BK:BK,'IS Proforma'!$B:$B,Summary!$B23)</f>
        <v>21690.51054</v>
      </c>
      <c r="BL23" s="116">
        <f>SUMIFS('IS Proforma'!BL:BL,'IS Proforma'!$B:$B,Summary!$B23)</f>
        <v>21907.41564</v>
      </c>
      <c r="BM23" s="116">
        <f>SUMIFS('IS Proforma'!BM:BM,'IS Proforma'!$B:$B,Summary!$B23)</f>
        <v>22126.4898</v>
      </c>
      <c r="BN23" s="116">
        <f>SUMIFS('IS Proforma'!BN:BN,'IS Proforma'!$B:$B,Summary!$B23)</f>
        <v>22347.7547</v>
      </c>
      <c r="BO23" s="116">
        <f>SUMIFS('IS Proforma'!BO:BO,'IS Proforma'!$B:$B,Summary!$B23)</f>
        <v>22571.23224</v>
      </c>
      <c r="BP23" s="116">
        <f>SUMIFS('IS Proforma'!BP:BP,'IS Proforma'!$B:$B,Summary!$B23)</f>
        <v>22796.94457</v>
      </c>
      <c r="BQ23" s="116">
        <f>SUMIFS('IS Proforma'!BQ:BQ,'IS Proforma'!$B:$B,Summary!$B23)</f>
        <v>23024.91401</v>
      </c>
      <c r="BR23" s="116">
        <f>SUMIFS('IS Proforma'!BR:BR,'IS Proforma'!$B:$B,Summary!$B23)</f>
        <v>23255.16315</v>
      </c>
      <c r="BS23" s="116">
        <f>SUMIFS('IS Proforma'!BS:BS,'IS Proforma'!$B:$B,Summary!$B23)</f>
        <v>23487.71478</v>
      </c>
      <c r="BT23" s="116">
        <f>SUMIFS('IS Proforma'!BT:BT,'IS Proforma'!$B:$B,Summary!$B23)</f>
        <v>23722.59193</v>
      </c>
      <c r="BU23" s="116">
        <f>SUMIFS('IS Proforma'!BU:BU,'IS Proforma'!$B:$B,Summary!$B23)</f>
        <v>23959.81785</v>
      </c>
      <c r="BV23" s="116">
        <f>SUMIFS('IS Proforma'!BV:BV,'IS Proforma'!$B:$B,Summary!$B23)</f>
        <v>24199.41603</v>
      </c>
      <c r="BW23" s="116">
        <f>SUMIFS('IS Proforma'!BW:BW,'IS Proforma'!$B:$B,Summary!$B23)</f>
        <v>24441.41019</v>
      </c>
      <c r="BX23" s="116">
        <f>SUMIFS('IS Proforma'!BX:BX,'IS Proforma'!$B:$B,Summary!$B23)</f>
        <v>24685.82429</v>
      </c>
      <c r="BY23" s="116">
        <f>SUMIFS('IS Proforma'!BY:BY,'IS Proforma'!$B:$B,Summary!$B23)</f>
        <v>24932.68254</v>
      </c>
      <c r="BZ23" s="116">
        <f>SUMIFS('IS Proforma'!BZ:BZ,'IS Proforma'!$B:$B,Summary!$B23)</f>
        <v>25182.00936</v>
      </c>
      <c r="CA23" s="116">
        <f>SUMIFS('IS Proforma'!CA:CA,'IS Proforma'!$B:$B,Summary!$B23)</f>
        <v>25433.82945</v>
      </c>
      <c r="CB23" s="116">
        <f>SUMIFS('IS Proforma'!CB:CB,'IS Proforma'!$B:$B,Summary!$B23)</f>
        <v>25688.16775</v>
      </c>
      <c r="CC23" s="116">
        <f>SUMIFS('IS Proforma'!CC:CC,'IS Proforma'!$B:$B,Summary!$B23)</f>
        <v>25945.04943</v>
      </c>
      <c r="CD23" s="116">
        <f>SUMIFS('IS Proforma'!CD:CD,'IS Proforma'!$B:$B,Summary!$B23)</f>
        <v>26204.49992</v>
      </c>
      <c r="CE23" s="116">
        <f>SUMIFS('IS Proforma'!CE:CE,'IS Proforma'!$B:$B,Summary!$B23)</f>
        <v>26466.54492</v>
      </c>
      <c r="CF23" s="116">
        <f>SUMIFS('IS Proforma'!CF:CF,'IS Proforma'!$B:$B,Summary!$B23)</f>
        <v>26731.21037</v>
      </c>
      <c r="CG23" s="116">
        <f>SUMIFS('IS Proforma'!CG:CG,'IS Proforma'!$B:$B,Summary!$B23)</f>
        <v>26998.52247</v>
      </c>
      <c r="CH23" s="116">
        <f>SUMIFS('IS Proforma'!CH:CH,'IS Proforma'!$B:$B,Summary!$B23)</f>
        <v>27268.5077</v>
      </c>
      <c r="CI23" s="116">
        <f>SUMIFS('IS Proforma'!CI:CI,'IS Proforma'!$B:$B,Summary!$B23)</f>
        <v>27541.19277</v>
      </c>
      <c r="CJ23" s="116">
        <f>SUMIFS('IS Proforma'!CJ:CJ,'IS Proforma'!$B:$B,Summary!$B23)</f>
        <v>27816.6047</v>
      </c>
      <c r="CK23" s="116">
        <f>SUMIFS('IS Proforma'!CK:CK,'IS Proforma'!$B:$B,Summary!$B23)</f>
        <v>28094.77075</v>
      </c>
      <c r="CL23" s="116">
        <f>SUMIFS('IS Proforma'!CL:CL,'IS Proforma'!$B:$B,Summary!$B23)</f>
        <v>28375.71846</v>
      </c>
      <c r="CM23" s="116">
        <f>SUMIFS('IS Proforma'!CM:CM,'IS Proforma'!$B:$B,Summary!$B23)</f>
        <v>28659.47564</v>
      </c>
      <c r="CN23" s="116">
        <f>SUMIFS('IS Proforma'!CN:CN,'IS Proforma'!$B:$B,Summary!$B23)</f>
        <v>28946.0704</v>
      </c>
      <c r="CO23" s="116">
        <f>SUMIFS('IS Proforma'!CO:CO,'IS Proforma'!$B:$B,Summary!$B23)</f>
        <v>29235.5311</v>
      </c>
      <c r="CP23" s="116">
        <f>SUMIFS('IS Proforma'!CP:CP,'IS Proforma'!$B:$B,Summary!$B23)</f>
        <v>29527.88641</v>
      </c>
      <c r="CQ23" s="116">
        <f>SUMIFS('IS Proforma'!CQ:CQ,'IS Proforma'!$B:$B,Summary!$B23)</f>
        <v>29823.16528</v>
      </c>
      <c r="CR23" s="116">
        <f>SUMIFS('IS Proforma'!CR:CR,'IS Proforma'!$B:$B,Summary!$B23)</f>
        <v>30121.39693</v>
      </c>
      <c r="CS23" s="116">
        <f>SUMIFS('IS Proforma'!CS:CS,'IS Proforma'!$B:$B,Summary!$B23)</f>
        <v>30422.6109</v>
      </c>
      <c r="CT23" s="116">
        <f>SUMIFS('IS Proforma'!CT:CT,'IS Proforma'!$B:$B,Summary!$B23)</f>
        <v>30726.83701</v>
      </c>
      <c r="CU23" s="116">
        <f>SUMIFS('IS Proforma'!CU:CU,'IS Proforma'!$B:$B,Summary!$B23)</f>
        <v>31034.10538</v>
      </c>
      <c r="CW23" s="117">
        <f t="shared" si="42"/>
        <v>21824</v>
      </c>
      <c r="CX23" s="117">
        <f t="shared" si="43"/>
        <v>20257</v>
      </c>
      <c r="CY23" s="117">
        <f t="shared" si="44"/>
        <v>20769</v>
      </c>
      <c r="CZ23" s="117">
        <f t="shared" si="45"/>
        <v>23923</v>
      </c>
      <c r="DA23" s="117">
        <f t="shared" si="46"/>
        <v>23306</v>
      </c>
      <c r="DB23" s="117">
        <f t="shared" si="47"/>
        <v>21956</v>
      </c>
      <c r="DC23" s="117">
        <f t="shared" si="48"/>
        <v>22893</v>
      </c>
      <c r="DD23" s="117">
        <f t="shared" si="49"/>
        <v>19781</v>
      </c>
      <c r="DE23" s="117">
        <f t="shared" si="50"/>
        <v>32181.035</v>
      </c>
      <c r="DF23" s="117">
        <f t="shared" si="51"/>
        <v>70056.28498</v>
      </c>
      <c r="DG23" s="117">
        <f t="shared" si="52"/>
        <v>72900.85107</v>
      </c>
      <c r="DH23" s="117">
        <f t="shared" si="53"/>
        <v>75860.91796</v>
      </c>
      <c r="DI23" s="117">
        <f t="shared" si="54"/>
        <v>78941.17543</v>
      </c>
      <c r="DJ23" s="117">
        <f t="shared" si="55"/>
        <v>82146.50371</v>
      </c>
      <c r="DK23" s="117">
        <f t="shared" si="56"/>
        <v>85481.98117</v>
      </c>
      <c r="DL23" s="117">
        <f t="shared" si="57"/>
        <v>88952.89239</v>
      </c>
      <c r="DM23" s="117">
        <f t="shared" si="58"/>
        <v>92564.73652</v>
      </c>
      <c r="DN23" s="117">
        <f t="shared" si="59"/>
        <v>96323.236</v>
      </c>
      <c r="DO23" s="117">
        <f t="shared" si="60"/>
        <v>100234.3456</v>
      </c>
      <c r="DP23" s="117">
        <f t="shared" si="61"/>
        <v>104304.262</v>
      </c>
      <c r="DQ23" s="117">
        <f t="shared" si="62"/>
        <v>108539.4333</v>
      </c>
      <c r="DR23" s="117">
        <f t="shared" si="63"/>
        <v>112946.5695</v>
      </c>
      <c r="DS23" s="117">
        <f t="shared" si="64"/>
        <v>117532.6532</v>
      </c>
      <c r="DT23" s="117">
        <f t="shared" si="65"/>
        <v>122304.9502</v>
      </c>
      <c r="DV23" s="117">
        <f t="shared" si="66"/>
        <v>62850</v>
      </c>
      <c r="DW23" s="117">
        <f t="shared" si="67"/>
        <v>69185</v>
      </c>
      <c r="DX23" s="117">
        <f t="shared" si="68"/>
        <v>74855.035</v>
      </c>
      <c r="DY23" s="117">
        <f t="shared" si="69"/>
        <v>218818.054</v>
      </c>
      <c r="DZ23" s="117">
        <f t="shared" si="70"/>
        <v>246569.6603</v>
      </c>
      <c r="EA23" s="117">
        <f t="shared" si="71"/>
        <v>277840.8649</v>
      </c>
      <c r="EB23" s="117">
        <f t="shared" si="72"/>
        <v>313078.041</v>
      </c>
      <c r="EC23" s="117">
        <f t="shared" si="73"/>
        <v>352784.173</v>
      </c>
      <c r="ED23" s="118"/>
      <c r="EE23" s="118"/>
    </row>
    <row r="24" ht="15.75" customHeight="1" outlineLevel="1">
      <c r="B24" s="1" t="s">
        <v>71</v>
      </c>
      <c r="C24" s="1" t="s">
        <v>71</v>
      </c>
      <c r="D24" s="116">
        <f>SUMIFS('IS Proforma'!D:D,'IS Proforma'!$B:$B,Summary!$B24)</f>
        <v>0</v>
      </c>
      <c r="E24" s="116">
        <f>SUMIFS('IS Proforma'!E:E,'IS Proforma'!$B:$B,Summary!$B24)</f>
        <v>0</v>
      </c>
      <c r="F24" s="116">
        <f>SUMIFS('IS Proforma'!F:F,'IS Proforma'!$B:$B,Summary!$B24)</f>
        <v>0</v>
      </c>
      <c r="G24" s="116">
        <f>SUMIFS('IS Proforma'!G:G,'IS Proforma'!$B:$B,Summary!$B24)</f>
        <v>0</v>
      </c>
      <c r="H24" s="116">
        <f>SUMIFS('IS Proforma'!H:H,'IS Proforma'!$B:$B,Summary!$B24)</f>
        <v>0</v>
      </c>
      <c r="I24" s="116">
        <f>SUMIFS('IS Proforma'!I:I,'IS Proforma'!$B:$B,Summary!$B24)</f>
        <v>0</v>
      </c>
      <c r="J24" s="116">
        <f>SUMIFS('IS Proforma'!J:J,'IS Proforma'!$B:$B,Summary!$B24)</f>
        <v>0</v>
      </c>
      <c r="K24" s="116">
        <f>SUMIFS('IS Proforma'!K:K,'IS Proforma'!$B:$B,Summary!$B24)</f>
        <v>0</v>
      </c>
      <c r="L24" s="116">
        <f>SUMIFS('IS Proforma'!L:L,'IS Proforma'!$B:$B,Summary!$B24)</f>
        <v>0</v>
      </c>
      <c r="M24" s="116">
        <f>SUMIFS('IS Proforma'!M:M,'IS Proforma'!$B:$B,Summary!$B24)</f>
        <v>0</v>
      </c>
      <c r="N24" s="116">
        <f>SUMIFS('IS Proforma'!N:N,'IS Proforma'!$B:$B,Summary!$B24)</f>
        <v>0</v>
      </c>
      <c r="O24" s="116">
        <f>SUMIFS('IS Proforma'!O:O,'IS Proforma'!$B:$B,Summary!$B24)</f>
        <v>0</v>
      </c>
      <c r="P24" s="116">
        <f>SUMIFS('IS Proforma'!P:P,'IS Proforma'!$B:$B,Summary!$B24)</f>
        <v>0</v>
      </c>
      <c r="Q24" s="116">
        <f>SUMIFS('IS Proforma'!Q:Q,'IS Proforma'!$B:$B,Summary!$B24)</f>
        <v>0</v>
      </c>
      <c r="R24" s="116">
        <f>SUMIFS('IS Proforma'!R:R,'IS Proforma'!$B:$B,Summary!$B24)</f>
        <v>0</v>
      </c>
      <c r="S24" s="116">
        <f>SUMIFS('IS Proforma'!S:S,'IS Proforma'!$B:$B,Summary!$B24)</f>
        <v>0</v>
      </c>
      <c r="T24" s="116">
        <f>SUMIFS('IS Proforma'!T:T,'IS Proforma'!$B:$B,Summary!$B24)</f>
        <v>0</v>
      </c>
      <c r="U24" s="116">
        <f>SUMIFS('IS Proforma'!U:U,'IS Proforma'!$B:$B,Summary!$B24)</f>
        <v>0</v>
      </c>
      <c r="V24" s="116">
        <f>SUMIFS('IS Proforma'!V:V,'IS Proforma'!$B:$B,Summary!$B24)</f>
        <v>0</v>
      </c>
      <c r="W24" s="116">
        <f>SUMIFS('IS Proforma'!W:W,'IS Proforma'!$B:$B,Summary!$B24)</f>
        <v>0</v>
      </c>
      <c r="X24" s="116">
        <f>SUMIFS('IS Proforma'!X:X,'IS Proforma'!$B:$B,Summary!$B24)</f>
        <v>0</v>
      </c>
      <c r="Y24" s="116">
        <f>SUMIFS('IS Proforma'!Y:Y,'IS Proforma'!$B:$B,Summary!$B24)</f>
        <v>0</v>
      </c>
      <c r="Z24" s="116">
        <f>SUMIFS('IS Proforma'!Z:Z,'IS Proforma'!$B:$B,Summary!$B24)</f>
        <v>0</v>
      </c>
      <c r="AA24" s="116">
        <f>SUMIFS('IS Proforma'!AA:AA,'IS Proforma'!$B:$B,Summary!$B24)</f>
        <v>0</v>
      </c>
      <c r="AB24" s="116">
        <f>SUMIFS('IS Proforma'!AB:AB,'IS Proforma'!$B:$B,Summary!$B24)</f>
        <v>0</v>
      </c>
      <c r="AC24" s="116">
        <f>SUMIFS('IS Proforma'!AC:AC,'IS Proforma'!$B:$B,Summary!$B24)</f>
        <v>0</v>
      </c>
      <c r="AD24" s="116">
        <f>SUMIFS('IS Proforma'!AD:AD,'IS Proforma'!$B:$B,Summary!$B24)</f>
        <v>0</v>
      </c>
      <c r="AE24" s="116">
        <f>SUMIFS('IS Proforma'!AE:AE,'IS Proforma'!$B:$B,Summary!$B24)</f>
        <v>0</v>
      </c>
      <c r="AF24" s="116">
        <f>SUMIFS('IS Proforma'!AF:AF,'IS Proforma'!$B:$B,Summary!$B24)</f>
        <v>0</v>
      </c>
      <c r="AG24" s="116">
        <f>SUMIFS('IS Proforma'!AG:AG,'IS Proforma'!$B:$B,Summary!$B24)</f>
        <v>0</v>
      </c>
      <c r="AH24" s="116">
        <f>SUMIFS('IS Proforma'!AH:AH,'IS Proforma'!$B:$B,Summary!$B24)</f>
        <v>0</v>
      </c>
      <c r="AI24" s="116">
        <f>SUMIFS('IS Proforma'!AI:AI,'IS Proforma'!$B:$B,Summary!$B24)</f>
        <v>0</v>
      </c>
      <c r="AJ24" s="116">
        <f>SUMIFS('IS Proforma'!AJ:AJ,'IS Proforma'!$B:$B,Summary!$B24)</f>
        <v>0</v>
      </c>
      <c r="AK24" s="116">
        <f>SUMIFS('IS Proforma'!AK:AK,'IS Proforma'!$B:$B,Summary!$B24)</f>
        <v>0</v>
      </c>
      <c r="AL24" s="116">
        <f>SUMIFS('IS Proforma'!AL:AL,'IS Proforma'!$B:$B,Summary!$B24)</f>
        <v>0</v>
      </c>
      <c r="AM24" s="116">
        <f>SUMIFS('IS Proforma'!AM:AM,'IS Proforma'!$B:$B,Summary!$B24)</f>
        <v>0</v>
      </c>
      <c r="AN24" s="116">
        <f>SUMIFS('IS Proforma'!AN:AN,'IS Proforma'!$B:$B,Summary!$B24)</f>
        <v>0</v>
      </c>
      <c r="AO24" s="116">
        <f>SUMIFS('IS Proforma'!AO:AO,'IS Proforma'!$B:$B,Summary!$B24)</f>
        <v>0</v>
      </c>
      <c r="AP24" s="116">
        <f>SUMIFS('IS Proforma'!AP:AP,'IS Proforma'!$B:$B,Summary!$B24)</f>
        <v>0</v>
      </c>
      <c r="AQ24" s="116">
        <f>SUMIFS('IS Proforma'!AQ:AQ,'IS Proforma'!$B:$B,Summary!$B24)</f>
        <v>0</v>
      </c>
      <c r="AR24" s="116">
        <f>SUMIFS('IS Proforma'!AR:AR,'IS Proforma'!$B:$B,Summary!$B24)</f>
        <v>0</v>
      </c>
      <c r="AS24" s="116">
        <f>SUMIFS('IS Proforma'!AS:AS,'IS Proforma'!$B:$B,Summary!$B24)</f>
        <v>0</v>
      </c>
      <c r="AT24" s="116">
        <f>SUMIFS('IS Proforma'!AT:AT,'IS Proforma'!$B:$B,Summary!$B24)</f>
        <v>0</v>
      </c>
      <c r="AU24" s="116">
        <f>SUMIFS('IS Proforma'!AU:AU,'IS Proforma'!$B:$B,Summary!$B24)</f>
        <v>0</v>
      </c>
      <c r="AV24" s="116">
        <f>SUMIFS('IS Proforma'!AV:AV,'IS Proforma'!$B:$B,Summary!$B24)</f>
        <v>0</v>
      </c>
      <c r="AW24" s="116">
        <f>SUMIFS('IS Proforma'!AW:AW,'IS Proforma'!$B:$B,Summary!$B24)</f>
        <v>0</v>
      </c>
      <c r="AX24" s="116">
        <f>SUMIFS('IS Proforma'!AX:AX,'IS Proforma'!$B:$B,Summary!$B24)</f>
        <v>0</v>
      </c>
      <c r="AY24" s="116">
        <f>SUMIFS('IS Proforma'!AY:AY,'IS Proforma'!$B:$B,Summary!$B24)</f>
        <v>0</v>
      </c>
      <c r="AZ24" s="116">
        <f>SUMIFS('IS Proforma'!AZ:AZ,'IS Proforma'!$B:$B,Summary!$B24)</f>
        <v>0</v>
      </c>
      <c r="BA24" s="116">
        <f>SUMIFS('IS Proforma'!BA:BA,'IS Proforma'!$B:$B,Summary!$B24)</f>
        <v>0</v>
      </c>
      <c r="BB24" s="116">
        <f>SUMIFS('IS Proforma'!BB:BB,'IS Proforma'!$B:$B,Summary!$B24)</f>
        <v>0</v>
      </c>
      <c r="BC24" s="116">
        <f>SUMIFS('IS Proforma'!BC:BC,'IS Proforma'!$B:$B,Summary!$B24)</f>
        <v>0</v>
      </c>
      <c r="BD24" s="116">
        <f>SUMIFS('IS Proforma'!BD:BD,'IS Proforma'!$B:$B,Summary!$B24)</f>
        <v>0</v>
      </c>
      <c r="BE24" s="116">
        <f>SUMIFS('IS Proforma'!BE:BE,'IS Proforma'!$B:$B,Summary!$B24)</f>
        <v>0</v>
      </c>
      <c r="BF24" s="116">
        <f>SUMIFS('IS Proforma'!BF:BF,'IS Proforma'!$B:$B,Summary!$B24)</f>
        <v>0</v>
      </c>
      <c r="BG24" s="116">
        <f>SUMIFS('IS Proforma'!BG:BG,'IS Proforma'!$B:$B,Summary!$B24)</f>
        <v>0</v>
      </c>
      <c r="BH24" s="116">
        <f>SUMIFS('IS Proforma'!BH:BH,'IS Proforma'!$B:$B,Summary!$B24)</f>
        <v>0</v>
      </c>
      <c r="BI24" s="116">
        <f>SUMIFS('IS Proforma'!BI:BI,'IS Proforma'!$B:$B,Summary!$B24)</f>
        <v>0</v>
      </c>
      <c r="BJ24" s="116">
        <f>SUMIFS('IS Proforma'!BJ:BJ,'IS Proforma'!$B:$B,Summary!$B24)</f>
        <v>0</v>
      </c>
      <c r="BK24" s="116">
        <f>SUMIFS('IS Proforma'!BK:BK,'IS Proforma'!$B:$B,Summary!$B24)</f>
        <v>0</v>
      </c>
      <c r="BL24" s="116">
        <f>SUMIFS('IS Proforma'!BL:BL,'IS Proforma'!$B:$B,Summary!$B24)</f>
        <v>0</v>
      </c>
      <c r="BM24" s="116">
        <f>SUMIFS('IS Proforma'!BM:BM,'IS Proforma'!$B:$B,Summary!$B24)</f>
        <v>0</v>
      </c>
      <c r="BN24" s="116">
        <f>SUMIFS('IS Proforma'!BN:BN,'IS Proforma'!$B:$B,Summary!$B24)</f>
        <v>0</v>
      </c>
      <c r="BO24" s="116">
        <f>SUMIFS('IS Proforma'!BO:BO,'IS Proforma'!$B:$B,Summary!$B24)</f>
        <v>0</v>
      </c>
      <c r="BP24" s="116">
        <f>SUMIFS('IS Proforma'!BP:BP,'IS Proforma'!$B:$B,Summary!$B24)</f>
        <v>0</v>
      </c>
      <c r="BQ24" s="116">
        <f>SUMIFS('IS Proforma'!BQ:BQ,'IS Proforma'!$B:$B,Summary!$B24)</f>
        <v>0</v>
      </c>
      <c r="BR24" s="116">
        <f>SUMIFS('IS Proforma'!BR:BR,'IS Proforma'!$B:$B,Summary!$B24)</f>
        <v>0</v>
      </c>
      <c r="BS24" s="116">
        <f>SUMIFS('IS Proforma'!BS:BS,'IS Proforma'!$B:$B,Summary!$B24)</f>
        <v>0</v>
      </c>
      <c r="BT24" s="116">
        <f>SUMIFS('IS Proforma'!BT:BT,'IS Proforma'!$B:$B,Summary!$B24)</f>
        <v>0</v>
      </c>
      <c r="BU24" s="116">
        <f>SUMIFS('IS Proforma'!BU:BU,'IS Proforma'!$B:$B,Summary!$B24)</f>
        <v>0</v>
      </c>
      <c r="BV24" s="116">
        <f>SUMIFS('IS Proforma'!BV:BV,'IS Proforma'!$B:$B,Summary!$B24)</f>
        <v>0</v>
      </c>
      <c r="BW24" s="116">
        <f>SUMIFS('IS Proforma'!BW:BW,'IS Proforma'!$B:$B,Summary!$B24)</f>
        <v>0</v>
      </c>
      <c r="BX24" s="116">
        <f>SUMIFS('IS Proforma'!BX:BX,'IS Proforma'!$B:$B,Summary!$B24)</f>
        <v>0</v>
      </c>
      <c r="BY24" s="116">
        <f>SUMIFS('IS Proforma'!BY:BY,'IS Proforma'!$B:$B,Summary!$B24)</f>
        <v>0</v>
      </c>
      <c r="BZ24" s="116">
        <f>SUMIFS('IS Proforma'!BZ:BZ,'IS Proforma'!$B:$B,Summary!$B24)</f>
        <v>0</v>
      </c>
      <c r="CA24" s="116">
        <f>SUMIFS('IS Proforma'!CA:CA,'IS Proforma'!$B:$B,Summary!$B24)</f>
        <v>0</v>
      </c>
      <c r="CB24" s="116">
        <f>SUMIFS('IS Proforma'!CB:CB,'IS Proforma'!$B:$B,Summary!$B24)</f>
        <v>0</v>
      </c>
      <c r="CC24" s="116">
        <f>SUMIFS('IS Proforma'!CC:CC,'IS Proforma'!$B:$B,Summary!$B24)</f>
        <v>0</v>
      </c>
      <c r="CD24" s="116">
        <f>SUMIFS('IS Proforma'!CD:CD,'IS Proforma'!$B:$B,Summary!$B24)</f>
        <v>0</v>
      </c>
      <c r="CE24" s="116">
        <f>SUMIFS('IS Proforma'!CE:CE,'IS Proforma'!$B:$B,Summary!$B24)</f>
        <v>0</v>
      </c>
      <c r="CF24" s="116">
        <f>SUMIFS('IS Proforma'!CF:CF,'IS Proforma'!$B:$B,Summary!$B24)</f>
        <v>0</v>
      </c>
      <c r="CG24" s="116">
        <f>SUMIFS('IS Proforma'!CG:CG,'IS Proforma'!$B:$B,Summary!$B24)</f>
        <v>0</v>
      </c>
      <c r="CH24" s="116">
        <f>SUMIFS('IS Proforma'!CH:CH,'IS Proforma'!$B:$B,Summary!$B24)</f>
        <v>0</v>
      </c>
      <c r="CI24" s="116">
        <f>SUMIFS('IS Proforma'!CI:CI,'IS Proforma'!$B:$B,Summary!$B24)</f>
        <v>0</v>
      </c>
      <c r="CJ24" s="116">
        <f>SUMIFS('IS Proforma'!CJ:CJ,'IS Proforma'!$B:$B,Summary!$B24)</f>
        <v>0</v>
      </c>
      <c r="CK24" s="116">
        <f>SUMIFS('IS Proforma'!CK:CK,'IS Proforma'!$B:$B,Summary!$B24)</f>
        <v>0</v>
      </c>
      <c r="CL24" s="116">
        <f>SUMIFS('IS Proforma'!CL:CL,'IS Proforma'!$B:$B,Summary!$B24)</f>
        <v>0</v>
      </c>
      <c r="CM24" s="116">
        <f>SUMIFS('IS Proforma'!CM:CM,'IS Proforma'!$B:$B,Summary!$B24)</f>
        <v>0</v>
      </c>
      <c r="CN24" s="116">
        <f>SUMIFS('IS Proforma'!CN:CN,'IS Proforma'!$B:$B,Summary!$B24)</f>
        <v>0</v>
      </c>
      <c r="CO24" s="116">
        <f>SUMIFS('IS Proforma'!CO:CO,'IS Proforma'!$B:$B,Summary!$B24)</f>
        <v>0</v>
      </c>
      <c r="CP24" s="116">
        <f>SUMIFS('IS Proforma'!CP:CP,'IS Proforma'!$B:$B,Summary!$B24)</f>
        <v>0</v>
      </c>
      <c r="CQ24" s="116">
        <f>SUMIFS('IS Proforma'!CQ:CQ,'IS Proforma'!$B:$B,Summary!$B24)</f>
        <v>0</v>
      </c>
      <c r="CR24" s="116">
        <f>SUMIFS('IS Proforma'!CR:CR,'IS Proforma'!$B:$B,Summary!$B24)</f>
        <v>0</v>
      </c>
      <c r="CS24" s="116">
        <f>SUMIFS('IS Proforma'!CS:CS,'IS Proforma'!$B:$B,Summary!$B24)</f>
        <v>0</v>
      </c>
      <c r="CT24" s="116">
        <f>SUMIFS('IS Proforma'!CT:CT,'IS Proforma'!$B:$B,Summary!$B24)</f>
        <v>0</v>
      </c>
      <c r="CU24" s="116">
        <f>SUMIFS('IS Proforma'!CU:CU,'IS Proforma'!$B:$B,Summary!$B24)</f>
        <v>0</v>
      </c>
      <c r="CW24" s="117">
        <f t="shared" si="42"/>
        <v>0</v>
      </c>
      <c r="CX24" s="117">
        <f t="shared" si="43"/>
        <v>0</v>
      </c>
      <c r="CY24" s="117">
        <f t="shared" si="44"/>
        <v>0</v>
      </c>
      <c r="CZ24" s="117">
        <f t="shared" si="45"/>
        <v>0</v>
      </c>
      <c r="DA24" s="117">
        <f t="shared" si="46"/>
        <v>0</v>
      </c>
      <c r="DB24" s="117">
        <f t="shared" si="47"/>
        <v>0</v>
      </c>
      <c r="DC24" s="117">
        <f t="shared" si="48"/>
        <v>0</v>
      </c>
      <c r="DD24" s="117">
        <f t="shared" si="49"/>
        <v>0</v>
      </c>
      <c r="DE24" s="117">
        <f t="shared" si="50"/>
        <v>0</v>
      </c>
      <c r="DF24" s="117">
        <f t="shared" si="51"/>
        <v>0</v>
      </c>
      <c r="DG24" s="117">
        <f t="shared" si="52"/>
        <v>0</v>
      </c>
      <c r="DH24" s="117">
        <f t="shared" si="53"/>
        <v>0</v>
      </c>
      <c r="DI24" s="117">
        <f t="shared" si="54"/>
        <v>0</v>
      </c>
      <c r="DJ24" s="117">
        <f t="shared" si="55"/>
        <v>0</v>
      </c>
      <c r="DK24" s="117">
        <f t="shared" si="56"/>
        <v>0</v>
      </c>
      <c r="DL24" s="117">
        <f t="shared" si="57"/>
        <v>0</v>
      </c>
      <c r="DM24" s="117">
        <f t="shared" si="58"/>
        <v>0</v>
      </c>
      <c r="DN24" s="117">
        <f t="shared" si="59"/>
        <v>0</v>
      </c>
      <c r="DO24" s="117">
        <f t="shared" si="60"/>
        <v>0</v>
      </c>
      <c r="DP24" s="117">
        <f t="shared" si="61"/>
        <v>0</v>
      </c>
      <c r="DQ24" s="117">
        <f t="shared" si="62"/>
        <v>0</v>
      </c>
      <c r="DR24" s="117">
        <f t="shared" si="63"/>
        <v>0</v>
      </c>
      <c r="DS24" s="117">
        <f t="shared" si="64"/>
        <v>0</v>
      </c>
      <c r="DT24" s="117">
        <f t="shared" si="65"/>
        <v>0</v>
      </c>
      <c r="DV24" s="117">
        <f t="shared" si="66"/>
        <v>0</v>
      </c>
      <c r="DW24" s="117">
        <f t="shared" si="67"/>
        <v>0</v>
      </c>
      <c r="DX24" s="117">
        <f t="shared" si="68"/>
        <v>0</v>
      </c>
      <c r="DY24" s="117">
        <f t="shared" si="69"/>
        <v>0</v>
      </c>
      <c r="DZ24" s="117">
        <f t="shared" si="70"/>
        <v>0</v>
      </c>
      <c r="EA24" s="117">
        <f t="shared" si="71"/>
        <v>0</v>
      </c>
      <c r="EB24" s="117">
        <f t="shared" si="72"/>
        <v>0</v>
      </c>
      <c r="EC24" s="117">
        <f t="shared" si="73"/>
        <v>0</v>
      </c>
      <c r="ED24" s="118"/>
      <c r="EE24" s="118"/>
    </row>
    <row r="25" ht="15.75" customHeight="1">
      <c r="A25" s="4"/>
      <c r="B25" s="4"/>
      <c r="C25" s="124" t="s">
        <v>73</v>
      </c>
      <c r="D25" s="120">
        <f t="shared" ref="D25:CU25" si="74">SUM(D19:D24)</f>
        <v>22596</v>
      </c>
      <c r="E25" s="120">
        <f t="shared" si="74"/>
        <v>22312</v>
      </c>
      <c r="F25" s="120">
        <f t="shared" si="74"/>
        <v>20207</v>
      </c>
      <c r="G25" s="120">
        <f t="shared" si="74"/>
        <v>19342</v>
      </c>
      <c r="H25" s="120">
        <f t="shared" si="74"/>
        <v>23038</v>
      </c>
      <c r="I25" s="120">
        <f t="shared" si="74"/>
        <v>21303</v>
      </c>
      <c r="J25" s="120">
        <f t="shared" si="74"/>
        <v>21998</v>
      </c>
      <c r="K25" s="120">
        <f t="shared" si="74"/>
        <v>20949</v>
      </c>
      <c r="L25" s="120">
        <f t="shared" si="74"/>
        <v>20438</v>
      </c>
      <c r="M25" s="120">
        <f t="shared" si="74"/>
        <v>22609</v>
      </c>
      <c r="N25" s="120">
        <f t="shared" si="74"/>
        <v>22753</v>
      </c>
      <c r="O25" s="120">
        <f t="shared" si="74"/>
        <v>23836</v>
      </c>
      <c r="P25" s="120">
        <f t="shared" si="74"/>
        <v>23816</v>
      </c>
      <c r="Q25" s="120">
        <f t="shared" si="74"/>
        <v>23918</v>
      </c>
      <c r="R25" s="120">
        <f t="shared" si="74"/>
        <v>21080</v>
      </c>
      <c r="S25" s="120">
        <f t="shared" si="74"/>
        <v>21457</v>
      </c>
      <c r="T25" s="120">
        <f t="shared" si="74"/>
        <v>23606</v>
      </c>
      <c r="U25" s="120">
        <f t="shared" si="74"/>
        <v>21803</v>
      </c>
      <c r="V25" s="120">
        <f t="shared" si="74"/>
        <v>23740</v>
      </c>
      <c r="W25" s="120">
        <f t="shared" si="74"/>
        <v>24490</v>
      </c>
      <c r="X25" s="120">
        <f t="shared" si="74"/>
        <v>24308</v>
      </c>
      <c r="Y25" s="120">
        <f t="shared" si="74"/>
        <v>22809</v>
      </c>
      <c r="Z25" s="120">
        <f t="shared" si="74"/>
        <v>24918</v>
      </c>
      <c r="AA25" s="120">
        <f t="shared" si="74"/>
        <v>22408</v>
      </c>
      <c r="AB25" s="120">
        <f t="shared" si="74"/>
        <v>22697</v>
      </c>
      <c r="AC25" s="120">
        <f t="shared" si="74"/>
        <v>23331</v>
      </c>
      <c r="AD25" s="120">
        <f t="shared" si="74"/>
        <v>25614</v>
      </c>
      <c r="AE25" s="120">
        <f t="shared" si="74"/>
        <v>24042</v>
      </c>
      <c r="AF25" s="120">
        <f t="shared" si="74"/>
        <v>23110</v>
      </c>
      <c r="AG25" s="120">
        <f t="shared" si="74"/>
        <v>20833</v>
      </c>
      <c r="AH25" s="120">
        <f t="shared" si="74"/>
        <v>24776</v>
      </c>
      <c r="AI25" s="120">
        <f t="shared" si="74"/>
        <v>20868</v>
      </c>
      <c r="AJ25" s="120">
        <f t="shared" si="74"/>
        <v>25330</v>
      </c>
      <c r="AK25" s="120">
        <f t="shared" si="74"/>
        <v>24537</v>
      </c>
      <c r="AL25" s="120">
        <f t="shared" si="74"/>
        <v>21379</v>
      </c>
      <c r="AM25" s="120">
        <f t="shared" si="74"/>
        <v>186238.8737</v>
      </c>
      <c r="AN25" s="120">
        <f t="shared" si="74"/>
        <v>196832.6168</v>
      </c>
      <c r="AO25" s="120">
        <f t="shared" si="74"/>
        <v>211479.682</v>
      </c>
      <c r="AP25" s="120">
        <f t="shared" si="74"/>
        <v>226024.9923</v>
      </c>
      <c r="AQ25" s="120">
        <f t="shared" si="74"/>
        <v>233913.4595</v>
      </c>
      <c r="AR25" s="120">
        <f t="shared" si="74"/>
        <v>244080.8295</v>
      </c>
      <c r="AS25" s="120">
        <f t="shared" si="74"/>
        <v>245293.2094</v>
      </c>
      <c r="AT25" s="120">
        <f t="shared" si="74"/>
        <v>268025.559</v>
      </c>
      <c r="AU25" s="120">
        <f t="shared" si="74"/>
        <v>275750.2889</v>
      </c>
      <c r="AV25" s="120">
        <f t="shared" si="74"/>
        <v>293328.0795</v>
      </c>
      <c r="AW25" s="120">
        <f t="shared" si="74"/>
        <v>309786.9697</v>
      </c>
      <c r="AX25" s="120">
        <f t="shared" si="74"/>
        <v>317415.7105</v>
      </c>
      <c r="AY25" s="120">
        <f t="shared" si="74"/>
        <v>338789.4575</v>
      </c>
      <c r="AZ25" s="120">
        <f t="shared" si="74"/>
        <v>412465.6381</v>
      </c>
      <c r="BA25" s="120">
        <f t="shared" si="74"/>
        <v>439956.8095</v>
      </c>
      <c r="BB25" s="120">
        <f t="shared" si="74"/>
        <v>454204.7143</v>
      </c>
      <c r="BC25" s="120">
        <f t="shared" si="74"/>
        <v>455301.7562</v>
      </c>
      <c r="BD25" s="120">
        <f t="shared" si="74"/>
        <v>480924.4179</v>
      </c>
      <c r="BE25" s="120">
        <f t="shared" si="74"/>
        <v>488532.08</v>
      </c>
      <c r="BF25" s="120">
        <f t="shared" si="74"/>
        <v>523590.6117</v>
      </c>
      <c r="BG25" s="120">
        <f t="shared" si="74"/>
        <v>545836.008</v>
      </c>
      <c r="BH25" s="120">
        <f t="shared" si="74"/>
        <v>576220.0828</v>
      </c>
      <c r="BI25" s="120">
        <f t="shared" si="74"/>
        <v>591240.7066</v>
      </c>
      <c r="BJ25" s="120">
        <f t="shared" si="74"/>
        <v>613186.7664</v>
      </c>
      <c r="BK25" s="120">
        <f t="shared" si="74"/>
        <v>614310.208</v>
      </c>
      <c r="BL25" s="120">
        <f t="shared" si="74"/>
        <v>657876.5755</v>
      </c>
      <c r="BM25" s="120">
        <f t="shared" si="74"/>
        <v>703194.1468</v>
      </c>
      <c r="BN25" s="120">
        <f t="shared" si="74"/>
        <v>726781.9334</v>
      </c>
      <c r="BO25" s="120">
        <f t="shared" si="74"/>
        <v>774048.0402</v>
      </c>
      <c r="BP25" s="120">
        <f t="shared" si="74"/>
        <v>801496.1651</v>
      </c>
      <c r="BQ25" s="120">
        <f t="shared" si="74"/>
        <v>817750.9392</v>
      </c>
      <c r="BR25" s="120">
        <f t="shared" si="74"/>
        <v>842072.8376</v>
      </c>
      <c r="BS25" s="120">
        <f t="shared" si="74"/>
        <v>851049.2843</v>
      </c>
      <c r="BT25" s="120">
        <f t="shared" si="74"/>
        <v>896059.3898</v>
      </c>
      <c r="BU25" s="120">
        <f t="shared" si="74"/>
        <v>920314.5214</v>
      </c>
      <c r="BV25" s="120">
        <f t="shared" si="74"/>
        <v>922003.1459</v>
      </c>
      <c r="BW25" s="120">
        <f t="shared" si="74"/>
        <v>960965.6731</v>
      </c>
      <c r="BX25" s="120">
        <f t="shared" si="74"/>
        <v>1066777.575</v>
      </c>
      <c r="BY25" s="120">
        <f t="shared" si="74"/>
        <v>1304121.629</v>
      </c>
      <c r="BZ25" s="120">
        <f t="shared" si="74"/>
        <v>1408086.844</v>
      </c>
      <c r="CA25" s="120">
        <f t="shared" si="74"/>
        <v>1428078.156</v>
      </c>
      <c r="CB25" s="120">
        <f t="shared" si="74"/>
        <v>1490745.175</v>
      </c>
      <c r="CC25" s="120">
        <f t="shared" si="74"/>
        <v>1500676.503</v>
      </c>
      <c r="CD25" s="120">
        <f t="shared" si="74"/>
        <v>1535342.555</v>
      </c>
      <c r="CE25" s="120">
        <f t="shared" si="74"/>
        <v>1561860.001</v>
      </c>
      <c r="CF25" s="120">
        <f t="shared" si="74"/>
        <v>1630139.011</v>
      </c>
      <c r="CG25" s="120">
        <f t="shared" si="74"/>
        <v>1640363.774</v>
      </c>
      <c r="CH25" s="120">
        <f t="shared" si="74"/>
        <v>1691302.087</v>
      </c>
      <c r="CI25" s="120">
        <f t="shared" si="74"/>
        <v>1693382.292</v>
      </c>
      <c r="CJ25" s="120">
        <f t="shared" si="74"/>
        <v>1792413.374</v>
      </c>
      <c r="CK25" s="120">
        <f t="shared" si="74"/>
        <v>1842400.095</v>
      </c>
      <c r="CL25" s="120">
        <f t="shared" si="74"/>
        <v>1860197.321</v>
      </c>
      <c r="CM25" s="120">
        <f t="shared" si="74"/>
        <v>1886703.228</v>
      </c>
      <c r="CN25" s="120">
        <f t="shared" si="74"/>
        <v>1949070.483</v>
      </c>
      <c r="CO25" s="120">
        <f t="shared" si="74"/>
        <v>1984346.319</v>
      </c>
      <c r="CP25" s="120">
        <f t="shared" si="74"/>
        <v>2002772.416</v>
      </c>
      <c r="CQ25" s="120">
        <f t="shared" si="74"/>
        <v>2004325.639</v>
      </c>
      <c r="CR25" s="120">
        <f t="shared" si="74"/>
        <v>2089345.653</v>
      </c>
      <c r="CS25" s="120">
        <f t="shared" si="74"/>
        <v>2090983.615</v>
      </c>
      <c r="CT25" s="120">
        <f t="shared" si="74"/>
        <v>2126524.451</v>
      </c>
      <c r="CU25" s="120">
        <f t="shared" si="74"/>
        <v>2153618.538</v>
      </c>
      <c r="CV25" s="4"/>
      <c r="CW25" s="121">
        <f t="shared" ref="CW25:DA25" si="75">SUM(P25:S25)</f>
        <v>90271</v>
      </c>
      <c r="CX25" s="121">
        <f t="shared" si="75"/>
        <v>90061</v>
      </c>
      <c r="CY25" s="121">
        <f t="shared" si="75"/>
        <v>87946</v>
      </c>
      <c r="CZ25" s="121">
        <f t="shared" si="75"/>
        <v>90606</v>
      </c>
      <c r="DA25" s="121">
        <f t="shared" si="75"/>
        <v>93639</v>
      </c>
      <c r="DB25" s="121">
        <f t="shared" si="47"/>
        <v>94443</v>
      </c>
      <c r="DC25" s="121">
        <f t="shared" si="48"/>
        <v>95684</v>
      </c>
      <c r="DD25" s="121">
        <f t="shared" si="49"/>
        <v>89587</v>
      </c>
      <c r="DE25" s="121">
        <f t="shared" si="50"/>
        <v>257484.8737</v>
      </c>
      <c r="DF25" s="121">
        <f t="shared" si="51"/>
        <v>868250.7506</v>
      </c>
      <c r="DG25" s="121">
        <f t="shared" si="52"/>
        <v>1033149.887</v>
      </c>
      <c r="DH25" s="121">
        <f t="shared" si="53"/>
        <v>1259320.217</v>
      </c>
      <c r="DI25" s="121">
        <f t="shared" si="54"/>
        <v>1761928.918</v>
      </c>
      <c r="DJ25" s="121">
        <f t="shared" si="55"/>
        <v>2038883.118</v>
      </c>
      <c r="DK25" s="121">
        <f t="shared" si="56"/>
        <v>2394957.764</v>
      </c>
      <c r="DL25" s="121">
        <f t="shared" si="57"/>
        <v>2861900.696</v>
      </c>
      <c r="DM25" s="121">
        <f t="shared" si="58"/>
        <v>3312369.226</v>
      </c>
      <c r="DN25" s="121">
        <f t="shared" si="59"/>
        <v>3699342.73</v>
      </c>
      <c r="DO25" s="121">
        <f t="shared" si="60"/>
        <v>5207064.204</v>
      </c>
      <c r="DP25" s="121">
        <f t="shared" si="61"/>
        <v>6088624.234</v>
      </c>
      <c r="DQ25" s="121">
        <f t="shared" si="62"/>
        <v>6655187.165</v>
      </c>
      <c r="DR25" s="121">
        <f t="shared" si="63"/>
        <v>7381714.017</v>
      </c>
      <c r="DS25" s="121">
        <f t="shared" si="64"/>
        <v>7940514.857</v>
      </c>
      <c r="DT25" s="121">
        <f t="shared" si="65"/>
        <v>8460472.258</v>
      </c>
      <c r="DV25" s="121">
        <f t="shared" ref="DV25:EC25" si="76">SUM(DV19:DV24)</f>
        <v>261381</v>
      </c>
      <c r="DW25" s="121">
        <f t="shared" si="76"/>
        <v>278353</v>
      </c>
      <c r="DX25" s="121">
        <f t="shared" si="76"/>
        <v>442755.8737</v>
      </c>
      <c r="DY25" s="121">
        <f t="shared" si="76"/>
        <v>3160720.855</v>
      </c>
      <c r="DZ25" s="121">
        <f t="shared" si="76"/>
        <v>6195769.799</v>
      </c>
      <c r="EA25" s="121">
        <f t="shared" si="76"/>
        <v>9873612.652</v>
      </c>
      <c r="EB25" s="121">
        <f t="shared" si="76"/>
        <v>17950875.6</v>
      </c>
      <c r="EC25" s="121">
        <f t="shared" si="76"/>
        <v>23782701.13</v>
      </c>
      <c r="ED25" s="118"/>
      <c r="EE25" s="118"/>
    </row>
    <row r="26" ht="15.75" customHeight="1">
      <c r="C26" s="1" t="s">
        <v>99</v>
      </c>
      <c r="Q26" s="122">
        <f t="shared" ref="Q26:CU26" si="77">Q25/P25-1</f>
        <v>0.004282835069</v>
      </c>
      <c r="R26" s="122">
        <f t="shared" si="77"/>
        <v>-0.118655406</v>
      </c>
      <c r="S26" s="122">
        <f t="shared" si="77"/>
        <v>0.01788425047</v>
      </c>
      <c r="T26" s="122">
        <f t="shared" si="77"/>
        <v>0.100153796</v>
      </c>
      <c r="U26" s="122">
        <f t="shared" si="77"/>
        <v>-0.07637888672</v>
      </c>
      <c r="V26" s="122">
        <f t="shared" si="77"/>
        <v>0.08884098519</v>
      </c>
      <c r="W26" s="122">
        <f t="shared" si="77"/>
        <v>0.03159224937</v>
      </c>
      <c r="X26" s="122">
        <f t="shared" si="77"/>
        <v>-0.007431604737</v>
      </c>
      <c r="Y26" s="122">
        <f t="shared" si="77"/>
        <v>-0.06166694092</v>
      </c>
      <c r="Z26" s="122">
        <f t="shared" si="77"/>
        <v>0.09246350125</v>
      </c>
      <c r="AA26" s="122">
        <f t="shared" si="77"/>
        <v>-0.1007303957</v>
      </c>
      <c r="AB26" s="122">
        <f t="shared" si="77"/>
        <v>0.01289717958</v>
      </c>
      <c r="AC26" s="122">
        <f t="shared" si="77"/>
        <v>0.02793320703</v>
      </c>
      <c r="AD26" s="122">
        <f t="shared" si="77"/>
        <v>0.09785264241</v>
      </c>
      <c r="AE26" s="122">
        <f t="shared" si="77"/>
        <v>-0.06137268681</v>
      </c>
      <c r="AF26" s="122">
        <f t="shared" si="77"/>
        <v>-0.03876549372</v>
      </c>
      <c r="AG26" s="122">
        <f t="shared" si="77"/>
        <v>-0.09852877542</v>
      </c>
      <c r="AH26" s="122">
        <f t="shared" si="77"/>
        <v>0.1892670283</v>
      </c>
      <c r="AI26" s="122">
        <f t="shared" si="77"/>
        <v>-0.1577332903</v>
      </c>
      <c r="AJ26" s="122">
        <f t="shared" si="77"/>
        <v>0.2138202032</v>
      </c>
      <c r="AK26" s="122">
        <f t="shared" si="77"/>
        <v>-0.03130675089</v>
      </c>
      <c r="AL26" s="122">
        <f t="shared" si="77"/>
        <v>-0.1287035905</v>
      </c>
      <c r="AM26" s="122">
        <f t="shared" si="77"/>
        <v>7.711299581</v>
      </c>
      <c r="AN26" s="122">
        <f t="shared" si="77"/>
        <v>0.05688255544</v>
      </c>
      <c r="AO26" s="122">
        <f t="shared" si="77"/>
        <v>0.0744138114</v>
      </c>
      <c r="AP26" s="122">
        <f t="shared" si="77"/>
        <v>0.06877875986</v>
      </c>
      <c r="AQ26" s="122">
        <f t="shared" si="77"/>
        <v>0.03490086278</v>
      </c>
      <c r="AR26" s="122">
        <f t="shared" si="77"/>
        <v>0.04346637417</v>
      </c>
      <c r="AS26" s="122">
        <f t="shared" si="77"/>
        <v>0.004967124744</v>
      </c>
      <c r="AT26" s="122">
        <f t="shared" si="77"/>
        <v>0.09267419041</v>
      </c>
      <c r="AU26" s="122">
        <f t="shared" si="77"/>
        <v>0.02882087047</v>
      </c>
      <c r="AV26" s="122">
        <f t="shared" si="77"/>
        <v>0.06374532078</v>
      </c>
      <c r="AW26" s="122">
        <f t="shared" si="77"/>
        <v>0.05611085768</v>
      </c>
      <c r="AX26" s="122">
        <f t="shared" si="77"/>
        <v>0.02462576424</v>
      </c>
      <c r="AY26" s="122">
        <f t="shared" si="77"/>
        <v>0.0673367646</v>
      </c>
      <c r="AZ26" s="122">
        <f t="shared" si="77"/>
        <v>0.2174689293</v>
      </c>
      <c r="BA26" s="122">
        <f t="shared" si="77"/>
        <v>0.06665081613</v>
      </c>
      <c r="BB26" s="122">
        <f t="shared" si="77"/>
        <v>0.03238478064</v>
      </c>
      <c r="BC26" s="122">
        <f t="shared" si="77"/>
        <v>0.002415302826</v>
      </c>
      <c r="BD26" s="122">
        <f t="shared" si="77"/>
        <v>0.05627621979</v>
      </c>
      <c r="BE26" s="122">
        <f t="shared" si="77"/>
        <v>0.015818831</v>
      </c>
      <c r="BF26" s="122">
        <f t="shared" si="77"/>
        <v>0.07176300826</v>
      </c>
      <c r="BG26" s="122">
        <f t="shared" si="77"/>
        <v>0.0424862398</v>
      </c>
      <c r="BH26" s="122">
        <f t="shared" si="77"/>
        <v>0.05566520785</v>
      </c>
      <c r="BI26" s="122">
        <f t="shared" si="77"/>
        <v>0.02606751172</v>
      </c>
      <c r="BJ26" s="122">
        <f t="shared" si="77"/>
        <v>0.03711865497</v>
      </c>
      <c r="BK26" s="122">
        <f t="shared" si="77"/>
        <v>0.001832136075</v>
      </c>
      <c r="BL26" s="122">
        <f t="shared" si="77"/>
        <v>0.07091916589</v>
      </c>
      <c r="BM26" s="122">
        <f t="shared" si="77"/>
        <v>0.06888460987</v>
      </c>
      <c r="BN26" s="122">
        <f t="shared" si="77"/>
        <v>0.03354377558</v>
      </c>
      <c r="BO26" s="122">
        <f t="shared" si="77"/>
        <v>0.06503478497</v>
      </c>
      <c r="BP26" s="122">
        <f t="shared" si="77"/>
        <v>0.03546049279</v>
      </c>
      <c r="BQ26" s="122">
        <f t="shared" si="77"/>
        <v>0.02028053887</v>
      </c>
      <c r="BR26" s="122">
        <f t="shared" si="77"/>
        <v>0.02974242793</v>
      </c>
      <c r="BS26" s="122">
        <f t="shared" si="77"/>
        <v>0.01065994088</v>
      </c>
      <c r="BT26" s="122">
        <f t="shared" si="77"/>
        <v>0.0528877779</v>
      </c>
      <c r="BU26" s="122">
        <f t="shared" si="77"/>
        <v>0.02706866521</v>
      </c>
      <c r="BV26" s="122">
        <f t="shared" si="77"/>
        <v>0.001834834046</v>
      </c>
      <c r="BW26" s="122">
        <f t="shared" si="77"/>
        <v>0.04225856214</v>
      </c>
      <c r="BX26" s="122">
        <f t="shared" si="77"/>
        <v>0.1101099707</v>
      </c>
      <c r="BY26" s="122">
        <f t="shared" si="77"/>
        <v>0.2224869169</v>
      </c>
      <c r="BZ26" s="122">
        <f t="shared" si="77"/>
        <v>0.07972048979</v>
      </c>
      <c r="CA26" s="122">
        <f t="shared" si="77"/>
        <v>0.01419749922</v>
      </c>
      <c r="CB26" s="122">
        <f t="shared" si="77"/>
        <v>0.04388206572</v>
      </c>
      <c r="CC26" s="122">
        <f t="shared" si="77"/>
        <v>0.006661988976</v>
      </c>
      <c r="CD26" s="122">
        <f t="shared" si="77"/>
        <v>0.02310028261</v>
      </c>
      <c r="CE26" s="122">
        <f t="shared" si="77"/>
        <v>0.01727135489</v>
      </c>
      <c r="CF26" s="122">
        <f t="shared" si="77"/>
        <v>0.04371647304</v>
      </c>
      <c r="CG26" s="122">
        <f t="shared" si="77"/>
        <v>0.006272325885</v>
      </c>
      <c r="CH26" s="122">
        <f t="shared" si="77"/>
        <v>0.03105305891</v>
      </c>
      <c r="CI26" s="122">
        <f t="shared" si="77"/>
        <v>0.001229942947</v>
      </c>
      <c r="CJ26" s="122">
        <f t="shared" si="77"/>
        <v>0.05848123109</v>
      </c>
      <c r="CK26" s="122">
        <f t="shared" si="77"/>
        <v>0.02788794272</v>
      </c>
      <c r="CL26" s="122">
        <f t="shared" si="77"/>
        <v>0.009659805194</v>
      </c>
      <c r="CM26" s="122">
        <f t="shared" si="77"/>
        <v>0.01424897586</v>
      </c>
      <c r="CN26" s="122">
        <f t="shared" si="77"/>
        <v>0.03305620864</v>
      </c>
      <c r="CO26" s="122">
        <f t="shared" si="77"/>
        <v>0.0180987992</v>
      </c>
      <c r="CP26" s="122">
        <f t="shared" si="77"/>
        <v>0.009285726679</v>
      </c>
      <c r="CQ26" s="122">
        <f t="shared" si="77"/>
        <v>0.0007755362367</v>
      </c>
      <c r="CR26" s="122">
        <f t="shared" si="77"/>
        <v>0.04241826427</v>
      </c>
      <c r="CS26" s="122">
        <f t="shared" si="77"/>
        <v>0.0007839593689</v>
      </c>
      <c r="CT26" s="122">
        <f t="shared" si="77"/>
        <v>0.0169971849</v>
      </c>
      <c r="CU26" s="122">
        <f t="shared" si="77"/>
        <v>0.01274101876</v>
      </c>
      <c r="CW26" s="122"/>
      <c r="CX26" s="122">
        <f t="shared" ref="CX26:DT26" si="78">CX25/CW25-1</f>
        <v>-0.0023263285</v>
      </c>
      <c r="CY26" s="122">
        <f t="shared" si="78"/>
        <v>-0.02348408301</v>
      </c>
      <c r="CZ26" s="122">
        <f t="shared" si="78"/>
        <v>0.03024583267</v>
      </c>
      <c r="DA26" s="122">
        <f t="shared" si="78"/>
        <v>0.03347460433</v>
      </c>
      <c r="DB26" s="122">
        <f t="shared" si="78"/>
        <v>0.008586166021</v>
      </c>
      <c r="DC26" s="122">
        <f t="shared" si="78"/>
        <v>0.01314020097</v>
      </c>
      <c r="DD26" s="122">
        <f t="shared" si="78"/>
        <v>-0.0637201622</v>
      </c>
      <c r="DE26" s="122">
        <f t="shared" si="78"/>
        <v>1.874132114</v>
      </c>
      <c r="DF26" s="122">
        <f t="shared" si="78"/>
        <v>2.372045659</v>
      </c>
      <c r="DG26" s="122">
        <f t="shared" si="78"/>
        <v>0.1899210983</v>
      </c>
      <c r="DH26" s="122">
        <f t="shared" si="78"/>
        <v>0.2189133768</v>
      </c>
      <c r="DI26" s="122">
        <f t="shared" si="78"/>
        <v>0.3991111188</v>
      </c>
      <c r="DJ26" s="122">
        <f t="shared" si="78"/>
        <v>0.1571880662</v>
      </c>
      <c r="DK26" s="122">
        <f t="shared" si="78"/>
        <v>0.1746420102</v>
      </c>
      <c r="DL26" s="122">
        <f t="shared" si="78"/>
        <v>0.194969172</v>
      </c>
      <c r="DM26" s="122">
        <f t="shared" si="78"/>
        <v>0.1574018732</v>
      </c>
      <c r="DN26" s="122">
        <f t="shared" si="78"/>
        <v>0.1168268021</v>
      </c>
      <c r="DO26" s="122">
        <f t="shared" si="78"/>
        <v>0.4075646901</v>
      </c>
      <c r="DP26" s="122">
        <f t="shared" si="78"/>
        <v>0.1693007797</v>
      </c>
      <c r="DQ26" s="122">
        <f t="shared" si="78"/>
        <v>0.09305270123</v>
      </c>
      <c r="DR26" s="122">
        <f t="shared" si="78"/>
        <v>0.1091670052</v>
      </c>
      <c r="DS26" s="122">
        <f t="shared" si="78"/>
        <v>0.07570068931</v>
      </c>
      <c r="DT26" s="122">
        <f t="shared" si="78"/>
        <v>0.06548157273</v>
      </c>
      <c r="DV26" s="122"/>
      <c r="DW26" s="122">
        <f t="shared" ref="DW26:EC26" si="79">DW25/DV25-1</f>
        <v>0.06493203408</v>
      </c>
      <c r="DX26" s="122">
        <f t="shared" si="79"/>
        <v>0.5906272745</v>
      </c>
      <c r="DY26" s="122">
        <f t="shared" si="79"/>
        <v>6.13874404</v>
      </c>
      <c r="DZ26" s="122">
        <f t="shared" si="79"/>
        <v>0.9602394783</v>
      </c>
      <c r="EA26" s="122">
        <f t="shared" si="79"/>
        <v>0.5936054715</v>
      </c>
      <c r="EB26" s="122">
        <f t="shared" si="79"/>
        <v>0.8180656093</v>
      </c>
      <c r="EC26" s="122">
        <f t="shared" si="79"/>
        <v>0.3248769396</v>
      </c>
      <c r="ED26" s="118"/>
      <c r="EE26" s="118"/>
    </row>
    <row r="27" ht="15.75" customHeight="1">
      <c r="C27" s="1"/>
      <c r="AK27" s="125"/>
      <c r="AL27" s="126">
        <v>1100000.0</v>
      </c>
      <c r="DN27" s="122"/>
      <c r="ED27" s="118"/>
      <c r="EE27" s="118"/>
    </row>
    <row r="28" ht="15.75" customHeight="1">
      <c r="A28" s="4"/>
      <c r="B28" s="4"/>
      <c r="C28" s="127" t="s">
        <v>104</v>
      </c>
      <c r="D28" s="127">
        <f t="shared" ref="D28:AI28" si="80">D14-D25</f>
        <v>1206347</v>
      </c>
      <c r="E28" s="127">
        <f t="shared" si="80"/>
        <v>1174699</v>
      </c>
      <c r="F28" s="127">
        <f t="shared" si="80"/>
        <v>1137117</v>
      </c>
      <c r="G28" s="127">
        <f t="shared" si="80"/>
        <v>1275072</v>
      </c>
      <c r="H28" s="127">
        <f t="shared" si="80"/>
        <v>1436229</v>
      </c>
      <c r="I28" s="127">
        <f t="shared" si="80"/>
        <v>1302927</v>
      </c>
      <c r="J28" s="127">
        <f t="shared" si="80"/>
        <v>1230937</v>
      </c>
      <c r="K28" s="127">
        <f t="shared" si="80"/>
        <v>1162216</v>
      </c>
      <c r="L28" s="127">
        <f t="shared" si="80"/>
        <v>1191164</v>
      </c>
      <c r="M28" s="127">
        <f t="shared" si="80"/>
        <v>1136139</v>
      </c>
      <c r="N28" s="127">
        <f t="shared" si="80"/>
        <v>1201174</v>
      </c>
      <c r="O28" s="127">
        <f t="shared" si="80"/>
        <v>1248603</v>
      </c>
      <c r="P28" s="127">
        <f t="shared" si="80"/>
        <v>1092923</v>
      </c>
      <c r="Q28" s="127">
        <f t="shared" si="80"/>
        <v>1211831</v>
      </c>
      <c r="R28" s="127">
        <f t="shared" si="80"/>
        <v>1273173</v>
      </c>
      <c r="S28" s="127">
        <f t="shared" si="80"/>
        <v>1355289</v>
      </c>
      <c r="T28" s="127">
        <f t="shared" si="80"/>
        <v>1264106</v>
      </c>
      <c r="U28" s="127">
        <f t="shared" si="80"/>
        <v>1295804</v>
      </c>
      <c r="V28" s="127">
        <f t="shared" si="80"/>
        <v>1147535</v>
      </c>
      <c r="W28" s="127">
        <f t="shared" si="80"/>
        <v>992389</v>
      </c>
      <c r="X28" s="127">
        <f t="shared" si="80"/>
        <v>1174770</v>
      </c>
      <c r="Y28" s="127">
        <f t="shared" si="80"/>
        <v>1322096</v>
      </c>
      <c r="Z28" s="127">
        <f t="shared" si="80"/>
        <v>1187090</v>
      </c>
      <c r="AA28" s="127">
        <f t="shared" si="80"/>
        <v>1100398</v>
      </c>
      <c r="AB28" s="127">
        <f t="shared" si="80"/>
        <v>1324314</v>
      </c>
      <c r="AC28" s="127">
        <f t="shared" si="80"/>
        <v>1077315</v>
      </c>
      <c r="AD28" s="127">
        <f t="shared" si="80"/>
        <v>1196497</v>
      </c>
      <c r="AE28" s="127">
        <f t="shared" si="80"/>
        <v>1247152</v>
      </c>
      <c r="AF28" s="127">
        <f t="shared" si="80"/>
        <v>1340639</v>
      </c>
      <c r="AG28" s="127">
        <f t="shared" si="80"/>
        <v>1147326</v>
      </c>
      <c r="AH28" s="127">
        <f t="shared" si="80"/>
        <v>1298790</v>
      </c>
      <c r="AI28" s="127">
        <f t="shared" si="80"/>
        <v>1475186</v>
      </c>
      <c r="AJ28" s="127">
        <v>1185717.0</v>
      </c>
      <c r="AK28" s="127">
        <f t="shared" ref="AK28:CU28" si="81">AK14-AK25</f>
        <v>1238614</v>
      </c>
      <c r="AL28" s="127">
        <f t="shared" si="81"/>
        <v>1287715</v>
      </c>
      <c r="AM28" s="127">
        <f t="shared" si="81"/>
        <v>1229551.757</v>
      </c>
      <c r="AN28" s="127">
        <f t="shared" si="81"/>
        <v>1470623.775</v>
      </c>
      <c r="AO28" s="127">
        <f t="shared" si="81"/>
        <v>1704684.625</v>
      </c>
      <c r="AP28" s="127">
        <f t="shared" si="81"/>
        <v>1917902.902</v>
      </c>
      <c r="AQ28" s="127">
        <f t="shared" si="81"/>
        <v>2128117.064</v>
      </c>
      <c r="AR28" s="127">
        <f t="shared" si="81"/>
        <v>2334652.891</v>
      </c>
      <c r="AS28" s="127">
        <f t="shared" si="81"/>
        <v>2551421.611</v>
      </c>
      <c r="AT28" s="127">
        <f t="shared" si="81"/>
        <v>2725187.428</v>
      </c>
      <c r="AU28" s="127">
        <f t="shared" si="81"/>
        <v>2910168.036</v>
      </c>
      <c r="AV28" s="127">
        <f t="shared" si="81"/>
        <v>3081260.646</v>
      </c>
      <c r="AW28" s="127">
        <f t="shared" si="81"/>
        <v>3240191.201</v>
      </c>
      <c r="AX28" s="127">
        <f t="shared" si="81"/>
        <v>3406258.734</v>
      </c>
      <c r="AY28" s="127">
        <f t="shared" si="81"/>
        <v>3560768.311</v>
      </c>
      <c r="AZ28" s="127">
        <f t="shared" si="81"/>
        <v>3660852.457</v>
      </c>
      <c r="BA28" s="127">
        <f t="shared" si="81"/>
        <v>3664307.539</v>
      </c>
      <c r="BB28" s="127">
        <f t="shared" si="81"/>
        <v>3693447.803</v>
      </c>
      <c r="BC28" s="127">
        <f t="shared" si="81"/>
        <v>3748590.749</v>
      </c>
      <c r="BD28" s="127">
        <f t="shared" si="81"/>
        <v>3782674.273</v>
      </c>
      <c r="BE28" s="127">
        <f t="shared" si="81"/>
        <v>3837163.493</v>
      </c>
      <c r="BF28" s="127">
        <f t="shared" si="81"/>
        <v>3863523.206</v>
      </c>
      <c r="BG28" s="127">
        <f t="shared" si="81"/>
        <v>3915426.239</v>
      </c>
      <c r="BH28" s="127">
        <f t="shared" si="81"/>
        <v>3944889.118</v>
      </c>
      <c r="BI28" s="127">
        <f t="shared" si="81"/>
        <v>3988865.785</v>
      </c>
      <c r="BJ28" s="127">
        <f t="shared" si="81"/>
        <v>4025101.382</v>
      </c>
      <c r="BK28" s="127">
        <f t="shared" si="81"/>
        <v>4081383.509</v>
      </c>
      <c r="BL28" s="127">
        <f t="shared" si="81"/>
        <v>4162856.026</v>
      </c>
      <c r="BM28" s="127">
        <f t="shared" si="81"/>
        <v>4211662.069</v>
      </c>
      <c r="BN28" s="127">
        <f t="shared" si="81"/>
        <v>4279295.985</v>
      </c>
      <c r="BO28" s="127">
        <f t="shared" si="81"/>
        <v>4320904.115</v>
      </c>
      <c r="BP28" s="127">
        <f t="shared" si="81"/>
        <v>4380341.244</v>
      </c>
      <c r="BQ28" s="127">
        <f t="shared" si="81"/>
        <v>4449213.622</v>
      </c>
      <c r="BR28" s="127">
        <f t="shared" si="81"/>
        <v>4508436.783</v>
      </c>
      <c r="BS28" s="127">
        <f t="shared" si="81"/>
        <v>4581566.841</v>
      </c>
      <c r="BT28" s="127">
        <f t="shared" si="81"/>
        <v>4617345.849</v>
      </c>
      <c r="BU28" s="127">
        <f t="shared" si="81"/>
        <v>4672667.111</v>
      </c>
      <c r="BV28" s="127">
        <f t="shared" si="81"/>
        <v>4749434.264</v>
      </c>
      <c r="BW28" s="127">
        <f t="shared" si="81"/>
        <v>4787889.22</v>
      </c>
      <c r="BX28" s="127">
        <f t="shared" si="81"/>
        <v>4793964.77</v>
      </c>
      <c r="BY28" s="127">
        <f t="shared" si="81"/>
        <v>4643471.091</v>
      </c>
      <c r="BZ28" s="127">
        <f t="shared" si="81"/>
        <v>4618161.801</v>
      </c>
      <c r="CA28" s="127">
        <f t="shared" si="81"/>
        <v>4675271.989</v>
      </c>
      <c r="CB28" s="127">
        <f t="shared" si="81"/>
        <v>4689324.696</v>
      </c>
      <c r="CC28" s="127">
        <f t="shared" si="81"/>
        <v>4755760.819</v>
      </c>
      <c r="CD28" s="127">
        <f t="shared" si="81"/>
        <v>4797160.806</v>
      </c>
      <c r="CE28" s="127">
        <f t="shared" si="81"/>
        <v>4846457.119</v>
      </c>
      <c r="CF28" s="127">
        <f t="shared" si="81"/>
        <v>4853786.11</v>
      </c>
      <c r="CG28" s="127">
        <f t="shared" si="81"/>
        <v>4919008.323</v>
      </c>
      <c r="CH28" s="127">
        <f t="shared" si="81"/>
        <v>4943399.409</v>
      </c>
      <c r="CI28" s="127">
        <f t="shared" si="81"/>
        <v>5016573.441</v>
      </c>
      <c r="CJ28" s="127">
        <f t="shared" si="81"/>
        <v>5020455.305</v>
      </c>
      <c r="CK28" s="127">
        <f t="shared" si="81"/>
        <v>5018570.855</v>
      </c>
      <c r="CL28" s="127">
        <f t="shared" si="81"/>
        <v>5046752.55</v>
      </c>
      <c r="CM28" s="127">
        <f t="shared" si="81"/>
        <v>5068625.427</v>
      </c>
      <c r="CN28" s="127">
        <f t="shared" si="81"/>
        <v>5056034.738</v>
      </c>
      <c r="CO28" s="127">
        <f t="shared" si="81"/>
        <v>5071179.792</v>
      </c>
      <c r="CP28" s="127">
        <f t="shared" si="81"/>
        <v>5103503.759</v>
      </c>
      <c r="CQ28" s="127">
        <f t="shared" si="81"/>
        <v>5152868.572</v>
      </c>
      <c r="CR28" s="127">
        <f t="shared" si="81"/>
        <v>5118843.548</v>
      </c>
      <c r="CS28" s="127">
        <f t="shared" si="81"/>
        <v>5168225.4</v>
      </c>
      <c r="CT28" s="127">
        <f t="shared" si="81"/>
        <v>5183701.455</v>
      </c>
      <c r="CU28" s="127">
        <f t="shared" si="81"/>
        <v>5207609.965</v>
      </c>
      <c r="CV28" s="4"/>
      <c r="CW28" s="127">
        <f t="shared" ref="CW28:CZ28" si="82">SUM(M28:P28)</f>
        <v>4678839</v>
      </c>
      <c r="CX28" s="127">
        <f t="shared" si="82"/>
        <v>4754531</v>
      </c>
      <c r="CY28" s="127">
        <f t="shared" si="82"/>
        <v>4826530</v>
      </c>
      <c r="CZ28" s="127">
        <f t="shared" si="82"/>
        <v>4933216</v>
      </c>
      <c r="DA28" s="127">
        <f>SUM(T28:W28)</f>
        <v>4699834</v>
      </c>
      <c r="DB28" s="127">
        <f>SUM(X28:AA28)</f>
        <v>4784354</v>
      </c>
      <c r="DC28" s="127">
        <f>SUM(AB28:AE28)</f>
        <v>4845278</v>
      </c>
      <c r="DD28" s="127">
        <f>SUM(AF28:AI28)</f>
        <v>5261941</v>
      </c>
      <c r="DE28" s="127">
        <f>SUM(AJ28:AM28)</f>
        <v>4941597.757</v>
      </c>
      <c r="DF28" s="127">
        <f>SUM(AN28:AQ28)</f>
        <v>7221328.366</v>
      </c>
      <c r="DG28" s="127">
        <f>SUM(AR28:AU28)</f>
        <v>10521429.97</v>
      </c>
      <c r="DH28" s="127">
        <f>SUM(AV28:AY28)</f>
        <v>13288478.89</v>
      </c>
      <c r="DI28" s="127">
        <f>SUM(AZ28:BC28)</f>
        <v>14767198.55</v>
      </c>
      <c r="DJ28" s="127">
        <f>SUM(BD28:BG28)</f>
        <v>15398787.21</v>
      </c>
      <c r="DK28" s="127">
        <f>SUM(BH28:BK28)</f>
        <v>16040239.79</v>
      </c>
      <c r="DL28" s="127">
        <f>SUM(BL28:BO28)</f>
        <v>16974718.19</v>
      </c>
      <c r="DM28" s="127">
        <f>SUM(BP28:BS28)</f>
        <v>17919558.49</v>
      </c>
      <c r="DN28" s="127">
        <f>SUM(BT28:BW28)</f>
        <v>18827336.44</v>
      </c>
      <c r="DO28" s="127">
        <f>SUM(BX28:CA28)</f>
        <v>18730869.65</v>
      </c>
      <c r="DP28" s="127">
        <f>SUM(CB28:CE28)</f>
        <v>19088703.44</v>
      </c>
      <c r="DQ28" s="127">
        <f>SUM(CF28:CI28)</f>
        <v>19732767.28</v>
      </c>
      <c r="DR28" s="127">
        <f>SUM(CJ28:CM28)</f>
        <v>20154404.14</v>
      </c>
      <c r="DS28" s="127">
        <f>SUM(CN28:CQ28)</f>
        <v>20383586.86</v>
      </c>
      <c r="DT28" s="127">
        <f>SUM(CR28:CU28)</f>
        <v>20678380.37</v>
      </c>
      <c r="DV28" s="127">
        <f t="shared" ref="DV28:EC28" si="83">DV14-DV25</f>
        <v>14702624</v>
      </c>
      <c r="DW28" s="127">
        <f t="shared" si="83"/>
        <v>14417404</v>
      </c>
      <c r="DX28" s="127">
        <f t="shared" si="83"/>
        <v>15840854.76</v>
      </c>
      <c r="DY28" s="127">
        <f t="shared" si="83"/>
        <v>31031237.22</v>
      </c>
      <c r="DZ28" s="127">
        <f t="shared" si="83"/>
        <v>46206225.55</v>
      </c>
      <c r="EA28" s="127">
        <f t="shared" si="83"/>
        <v>53721613.13</v>
      </c>
      <c r="EB28" s="127">
        <f t="shared" si="83"/>
        <v>57552340.37</v>
      </c>
      <c r="EC28" s="127">
        <f t="shared" si="83"/>
        <v>61216371.37</v>
      </c>
      <c r="ED28" s="118"/>
      <c r="EE28" s="118"/>
    </row>
    <row r="29" ht="15.75" customHeight="1">
      <c r="C29" s="1" t="s">
        <v>75</v>
      </c>
      <c r="D29" s="128">
        <f t="shared" ref="D29:CU29" si="84">D28/D14</f>
        <v>0.9816134678</v>
      </c>
      <c r="E29" s="128">
        <f t="shared" si="84"/>
        <v>0.9813602381</v>
      </c>
      <c r="F29" s="128">
        <f t="shared" si="84"/>
        <v>0.9825398938</v>
      </c>
      <c r="G29" s="128">
        <f t="shared" si="84"/>
        <v>0.985057331</v>
      </c>
      <c r="H29" s="128">
        <f t="shared" si="84"/>
        <v>0.9842126218</v>
      </c>
      <c r="I29" s="128">
        <f t="shared" si="84"/>
        <v>0.9839129154</v>
      </c>
      <c r="J29" s="128">
        <f t="shared" si="84"/>
        <v>0.9824428242</v>
      </c>
      <c r="K29" s="128">
        <f t="shared" si="84"/>
        <v>0.982294101</v>
      </c>
      <c r="L29" s="128">
        <f t="shared" si="84"/>
        <v>0.9831314243</v>
      </c>
      <c r="M29" s="128">
        <f t="shared" si="84"/>
        <v>0.9804884237</v>
      </c>
      <c r="N29" s="128">
        <f t="shared" si="84"/>
        <v>0.981409839</v>
      </c>
      <c r="O29" s="128">
        <f t="shared" si="84"/>
        <v>0.9812674714</v>
      </c>
      <c r="P29" s="128">
        <f t="shared" si="84"/>
        <v>0.9786736202</v>
      </c>
      <c r="Q29" s="128">
        <f t="shared" si="84"/>
        <v>0.9806449368</v>
      </c>
      <c r="R29" s="128">
        <f t="shared" si="84"/>
        <v>0.9837126126</v>
      </c>
      <c r="S29" s="128">
        <f t="shared" si="84"/>
        <v>0.9844146996</v>
      </c>
      <c r="T29" s="128">
        <f t="shared" si="84"/>
        <v>0.9816682612</v>
      </c>
      <c r="U29" s="128">
        <f t="shared" si="84"/>
        <v>0.9834525773</v>
      </c>
      <c r="V29" s="128">
        <f t="shared" si="84"/>
        <v>0.9797314892</v>
      </c>
      <c r="W29" s="128">
        <f t="shared" si="84"/>
        <v>0.9759165053</v>
      </c>
      <c r="X29" s="128">
        <f t="shared" si="84"/>
        <v>0.9797277575</v>
      </c>
      <c r="Y29" s="128">
        <f t="shared" si="84"/>
        <v>0.9830404378</v>
      </c>
      <c r="Z29" s="128">
        <f t="shared" si="84"/>
        <v>0.9794407298</v>
      </c>
      <c r="AA29" s="128">
        <f t="shared" si="84"/>
        <v>0.9800428569</v>
      </c>
      <c r="AB29" s="128">
        <f t="shared" si="84"/>
        <v>0.9831501005</v>
      </c>
      <c r="AC29" s="128">
        <f t="shared" si="84"/>
        <v>0.9788024487</v>
      </c>
      <c r="AD29" s="128">
        <f t="shared" si="84"/>
        <v>0.9790411837</v>
      </c>
      <c r="AE29" s="128">
        <f t="shared" si="84"/>
        <v>0.9810870725</v>
      </c>
      <c r="AF29" s="128">
        <f t="shared" si="84"/>
        <v>0.9830540664</v>
      </c>
      <c r="AG29" s="128">
        <f t="shared" si="84"/>
        <v>0.9821659551</v>
      </c>
      <c r="AH29" s="128">
        <f t="shared" si="84"/>
        <v>0.981280873</v>
      </c>
      <c r="AI29" s="128">
        <f t="shared" si="84"/>
        <v>0.9860513056</v>
      </c>
      <c r="AJ29" s="128">
        <f t="shared" si="84"/>
        <v>0.5919454242</v>
      </c>
      <c r="AK29" s="128">
        <f t="shared" si="84"/>
        <v>0.980574769</v>
      </c>
      <c r="AL29" s="128">
        <f t="shared" si="84"/>
        <v>0.983668858</v>
      </c>
      <c r="AM29" s="128">
        <f t="shared" si="84"/>
        <v>0.8684559216</v>
      </c>
      <c r="AN29" s="128">
        <f t="shared" si="84"/>
        <v>0.8819563631</v>
      </c>
      <c r="AO29" s="128">
        <f t="shared" si="84"/>
        <v>0.8896338475</v>
      </c>
      <c r="AP29" s="128">
        <f t="shared" si="84"/>
        <v>0.8945743498</v>
      </c>
      <c r="AQ29" s="128">
        <f t="shared" si="84"/>
        <v>0.9009693324</v>
      </c>
      <c r="AR29" s="128">
        <f t="shared" si="84"/>
        <v>0.9053485719</v>
      </c>
      <c r="AS29" s="128">
        <f t="shared" si="84"/>
        <v>0.9122923769</v>
      </c>
      <c r="AT29" s="128">
        <f t="shared" si="84"/>
        <v>0.9104555673</v>
      </c>
      <c r="AU29" s="128">
        <f t="shared" si="84"/>
        <v>0.9134471569</v>
      </c>
      <c r="AV29" s="128">
        <f t="shared" si="84"/>
        <v>0.9130773841</v>
      </c>
      <c r="AW29" s="128">
        <f t="shared" si="84"/>
        <v>0.9127355283</v>
      </c>
      <c r="AX29" s="128">
        <f t="shared" si="84"/>
        <v>0.9147573948</v>
      </c>
      <c r="AY29" s="128">
        <f t="shared" si="84"/>
        <v>0.9131210569</v>
      </c>
      <c r="AZ29" s="128">
        <f t="shared" si="84"/>
        <v>0.8987396446</v>
      </c>
      <c r="BA29" s="128">
        <f t="shared" si="84"/>
        <v>0.8928049531</v>
      </c>
      <c r="BB29" s="128">
        <f t="shared" si="84"/>
        <v>0.8904911363</v>
      </c>
      <c r="BC29" s="128">
        <f t="shared" si="84"/>
        <v>0.8916951954</v>
      </c>
      <c r="BD29" s="128">
        <f t="shared" si="84"/>
        <v>0.8872022315</v>
      </c>
      <c r="BE29" s="128">
        <f t="shared" si="84"/>
        <v>0.887062769</v>
      </c>
      <c r="BF29" s="128">
        <f t="shared" si="84"/>
        <v>0.8806526036</v>
      </c>
      <c r="BG29" s="128">
        <f t="shared" si="84"/>
        <v>0.8776498718</v>
      </c>
      <c r="BH29" s="128">
        <f t="shared" si="84"/>
        <v>0.8725489571</v>
      </c>
      <c r="BI29" s="128">
        <f t="shared" si="84"/>
        <v>0.8709111442</v>
      </c>
      <c r="BJ29" s="128">
        <f t="shared" si="84"/>
        <v>0.8677989062</v>
      </c>
      <c r="BK29" s="128">
        <f t="shared" si="84"/>
        <v>0.8691758353</v>
      </c>
      <c r="BL29" s="128">
        <f t="shared" si="84"/>
        <v>0.863531826</v>
      </c>
      <c r="BM29" s="128">
        <f t="shared" si="84"/>
        <v>0.8569247775</v>
      </c>
      <c r="BN29" s="128">
        <f t="shared" si="84"/>
        <v>0.8548200916</v>
      </c>
      <c r="BO29" s="128">
        <f t="shared" si="84"/>
        <v>0.8480755036</v>
      </c>
      <c r="BP29" s="128">
        <f t="shared" si="84"/>
        <v>0.8453258754</v>
      </c>
      <c r="BQ29" s="128">
        <f t="shared" si="84"/>
        <v>0.8447396162</v>
      </c>
      <c r="BR29" s="128">
        <f t="shared" si="84"/>
        <v>0.8426181995</v>
      </c>
      <c r="BS29" s="128">
        <f t="shared" si="84"/>
        <v>0.8433444836</v>
      </c>
      <c r="BT29" s="128">
        <f t="shared" si="84"/>
        <v>0.8374762327</v>
      </c>
      <c r="BU29" s="128">
        <f t="shared" si="84"/>
        <v>0.8354518963</v>
      </c>
      <c r="BV29" s="128">
        <f t="shared" si="84"/>
        <v>0.8374304291</v>
      </c>
      <c r="BW29" s="128">
        <f t="shared" si="84"/>
        <v>0.8328422458</v>
      </c>
      <c r="BX29" s="128">
        <f t="shared" si="84"/>
        <v>0.8179791036</v>
      </c>
      <c r="BY29" s="128">
        <f t="shared" si="84"/>
        <v>0.7807311814</v>
      </c>
      <c r="BZ29" s="128">
        <f t="shared" si="84"/>
        <v>0.7663410644</v>
      </c>
      <c r="CA29" s="128">
        <f t="shared" si="84"/>
        <v>0.7660173311</v>
      </c>
      <c r="CB29" s="128">
        <f t="shared" si="84"/>
        <v>0.7587818251</v>
      </c>
      <c r="CC29" s="128">
        <f t="shared" si="84"/>
        <v>0.7601388097</v>
      </c>
      <c r="CD29" s="128">
        <f t="shared" si="84"/>
        <v>0.7575457182</v>
      </c>
      <c r="CE29" s="128">
        <f t="shared" si="84"/>
        <v>0.7562761063</v>
      </c>
      <c r="CF29" s="128">
        <f t="shared" si="84"/>
        <v>0.7485876254</v>
      </c>
      <c r="CG29" s="128">
        <f t="shared" si="84"/>
        <v>0.7499206098</v>
      </c>
      <c r="CH29" s="128">
        <f t="shared" si="84"/>
        <v>0.7450824143</v>
      </c>
      <c r="CI29" s="128">
        <f t="shared" si="84"/>
        <v>0.7476313765</v>
      </c>
      <c r="CJ29" s="128">
        <f t="shared" si="84"/>
        <v>0.7369076878</v>
      </c>
      <c r="CK29" s="128">
        <f t="shared" si="84"/>
        <v>0.7314665652</v>
      </c>
      <c r="CL29" s="128">
        <f t="shared" si="84"/>
        <v>0.7306774545</v>
      </c>
      <c r="CM29" s="128">
        <f t="shared" si="84"/>
        <v>0.7287398883</v>
      </c>
      <c r="CN29" s="128">
        <f t="shared" si="84"/>
        <v>0.7217642817</v>
      </c>
      <c r="CO29" s="128">
        <f t="shared" si="84"/>
        <v>0.7187528913</v>
      </c>
      <c r="CP29" s="128">
        <f t="shared" si="84"/>
        <v>0.7181685081</v>
      </c>
      <c r="CQ29" s="128">
        <f t="shared" si="84"/>
        <v>0.7199565109</v>
      </c>
      <c r="CR29" s="128">
        <f t="shared" si="84"/>
        <v>0.7101427841</v>
      </c>
      <c r="CS29" s="128">
        <f t="shared" si="84"/>
        <v>0.711954345</v>
      </c>
      <c r="CT29" s="128">
        <f t="shared" si="84"/>
        <v>0.7091027722</v>
      </c>
      <c r="CU29" s="128">
        <f t="shared" si="84"/>
        <v>0.707437619</v>
      </c>
      <c r="CW29" s="128"/>
      <c r="CX29" s="128"/>
      <c r="CY29" s="128"/>
      <c r="CZ29" s="128">
        <f t="shared" ref="CZ29:DT29" si="85">CZ28/CZ14</f>
        <v>0.9820302113</v>
      </c>
      <c r="DA29" s="128">
        <f t="shared" si="85"/>
        <v>0.9804653119</v>
      </c>
      <c r="DB29" s="128">
        <f t="shared" si="85"/>
        <v>0.9806421542</v>
      </c>
      <c r="DC29" s="128">
        <f t="shared" si="85"/>
        <v>0.9806345404</v>
      </c>
      <c r="DD29" s="128">
        <f t="shared" si="85"/>
        <v>0.9832595476</v>
      </c>
      <c r="DE29" s="128">
        <f t="shared" si="85"/>
        <v>0.8248202735</v>
      </c>
      <c r="DF29" s="128">
        <f t="shared" si="85"/>
        <v>0.8926704668</v>
      </c>
      <c r="DG29" s="128">
        <f t="shared" si="85"/>
        <v>0.9105852485</v>
      </c>
      <c r="DH29" s="128">
        <f t="shared" si="85"/>
        <v>0.9134356883</v>
      </c>
      <c r="DI29" s="128">
        <f t="shared" si="85"/>
        <v>0.8934046022</v>
      </c>
      <c r="DJ29" s="128">
        <f t="shared" si="85"/>
        <v>0.8830759454</v>
      </c>
      <c r="DK29" s="128">
        <f t="shared" si="85"/>
        <v>0.8700877625</v>
      </c>
      <c r="DL29" s="128">
        <f t="shared" si="85"/>
        <v>0.8557263861</v>
      </c>
      <c r="DM29" s="128">
        <f t="shared" si="85"/>
        <v>0.8439911217</v>
      </c>
      <c r="DN29" s="128">
        <f t="shared" si="85"/>
        <v>0.8357794905</v>
      </c>
      <c r="DO29" s="128">
        <f t="shared" si="85"/>
        <v>0.7824764562</v>
      </c>
      <c r="DP29" s="128">
        <f t="shared" si="85"/>
        <v>0.7581703542</v>
      </c>
      <c r="DQ29" s="128">
        <f t="shared" si="85"/>
        <v>0.747794503</v>
      </c>
      <c r="DR29" s="128">
        <f t="shared" si="85"/>
        <v>0.7319261206</v>
      </c>
      <c r="DS29" s="128">
        <f t="shared" si="85"/>
        <v>0.719655192</v>
      </c>
      <c r="DT29" s="128">
        <f t="shared" si="85"/>
        <v>0.7096497804</v>
      </c>
      <c r="DV29" s="128">
        <f t="shared" ref="DV29:EC29" si="86">DV28/DV14</f>
        <v>0.9825326843</v>
      </c>
      <c r="DW29" s="128">
        <f t="shared" si="86"/>
        <v>0.9810589546</v>
      </c>
      <c r="DX29" s="128">
        <f t="shared" si="86"/>
        <v>0.9728097236</v>
      </c>
      <c r="DY29" s="128">
        <f t="shared" si="86"/>
        <v>0.9075595247</v>
      </c>
      <c r="DZ29" s="128">
        <f t="shared" si="86"/>
        <v>0.8817646206</v>
      </c>
      <c r="EA29" s="128">
        <f t="shared" si="86"/>
        <v>0.8447428635</v>
      </c>
      <c r="EB29" s="128">
        <f t="shared" si="86"/>
        <v>0.7622501854</v>
      </c>
      <c r="EC29" s="128">
        <f t="shared" si="86"/>
        <v>0.720200463</v>
      </c>
      <c r="ED29" s="118"/>
      <c r="EE29" s="118"/>
    </row>
    <row r="30" ht="15.75" customHeight="1">
      <c r="B30" s="129"/>
      <c r="C30" s="1"/>
      <c r="AB30" s="130"/>
      <c r="AC30" s="130"/>
      <c r="AD30" s="130"/>
      <c r="AE30" s="130"/>
      <c r="AF30" s="130"/>
      <c r="AG30" s="130"/>
      <c r="AH30" s="130"/>
      <c r="AI30" s="130"/>
      <c r="AJ30" s="130"/>
      <c r="AK30" s="122"/>
      <c r="AL30" s="130"/>
      <c r="AM30" s="130"/>
      <c r="AQ30" s="1">
        <f>SUM(AN28:AQ28)/SUM(AN14:AQ14)</f>
        <v>0.8926704668</v>
      </c>
      <c r="AU30" s="1">
        <f>SUM(AR28:AU28)/SUM(AR14:AU14)</f>
        <v>0.9105852485</v>
      </c>
      <c r="AY30" s="1">
        <f>SUM(AV28:AY28)/SUM(AV14:AY14)</f>
        <v>0.9134356883</v>
      </c>
      <c r="DV30" s="130"/>
      <c r="DW30" s="130"/>
      <c r="DX30" s="125"/>
      <c r="DY30" s="125"/>
      <c r="DZ30" s="125"/>
      <c r="EA30" s="125"/>
      <c r="EB30" s="125"/>
      <c r="EC30" s="125"/>
      <c r="ED30" s="118"/>
      <c r="EE30" s="118"/>
    </row>
    <row r="31" ht="15.75" customHeight="1">
      <c r="B31" s="115" t="s">
        <v>174</v>
      </c>
      <c r="C31" s="1"/>
      <c r="AB31" s="130"/>
      <c r="AC31" s="130"/>
      <c r="AD31" s="130"/>
      <c r="AE31" s="130"/>
      <c r="AF31" s="130"/>
      <c r="AG31" s="130"/>
      <c r="AH31" s="130"/>
      <c r="AI31" s="130"/>
      <c r="AJ31" s="130"/>
      <c r="AK31" s="122"/>
      <c r="AL31" s="130"/>
      <c r="AM31" s="130"/>
      <c r="DV31" s="130"/>
      <c r="DW31" s="130"/>
      <c r="DX31" s="125"/>
      <c r="DY31" s="125"/>
      <c r="DZ31" s="125"/>
      <c r="EA31" s="125"/>
      <c r="EB31" s="125"/>
      <c r="EC31" s="125"/>
      <c r="ED31" s="118"/>
      <c r="EE31" s="118"/>
    </row>
    <row r="32" ht="15.75" customHeight="1" outlineLevel="1">
      <c r="B32" s="91" t="s">
        <v>175</v>
      </c>
      <c r="C32" s="1" t="s">
        <v>102</v>
      </c>
      <c r="D32" s="116">
        <f>SUMIFS('IS Proforma'!D:D,'IS Proforma'!$B:$B,Summary!$B32)</f>
        <v>14615</v>
      </c>
      <c r="E32" s="116">
        <f>SUMIFS('IS Proforma'!E:E,'IS Proforma'!$B:$B,Summary!$B32)</f>
        <v>16067</v>
      </c>
      <c r="F32" s="116">
        <f>SUMIFS('IS Proforma'!F:F,'IS Proforma'!$B:$B,Summary!$B32)</f>
        <v>17116</v>
      </c>
      <c r="G32" s="116">
        <f>SUMIFS('IS Proforma'!G:G,'IS Proforma'!$B:$B,Summary!$B32)</f>
        <v>15035</v>
      </c>
      <c r="H32" s="116">
        <f>SUMIFS('IS Proforma'!H:H,'IS Proforma'!$B:$B,Summary!$B32)</f>
        <v>15316</v>
      </c>
      <c r="I32" s="116">
        <f>SUMIFS('IS Proforma'!I:I,'IS Proforma'!$B:$B,Summary!$B32)</f>
        <v>16466</v>
      </c>
      <c r="J32" s="116">
        <f>SUMIFS('IS Proforma'!J:J,'IS Proforma'!$B:$B,Summary!$B32)</f>
        <v>14149</v>
      </c>
      <c r="K32" s="116">
        <f>SUMIFS('IS Proforma'!K:K,'IS Proforma'!$B:$B,Summary!$B32)</f>
        <v>17178</v>
      </c>
      <c r="L32" s="116">
        <f>SUMIFS('IS Proforma'!L:L,'IS Proforma'!$B:$B,Summary!$B32)</f>
        <v>16406</v>
      </c>
      <c r="M32" s="116">
        <f>SUMIFS('IS Proforma'!M:M,'IS Proforma'!$B:$B,Summary!$B32)</f>
        <v>15270</v>
      </c>
      <c r="N32" s="116">
        <f>SUMIFS('IS Proforma'!N:N,'IS Proforma'!$B:$B,Summary!$B32)</f>
        <v>14668</v>
      </c>
      <c r="O32" s="116">
        <f>SUMIFS('IS Proforma'!O:O,'IS Proforma'!$B:$B,Summary!$B32)</f>
        <v>14329</v>
      </c>
      <c r="P32" s="116">
        <f>SUMIFS('IS Proforma'!P:P,'IS Proforma'!$B:$B,Summary!$B32)</f>
        <v>16401</v>
      </c>
      <c r="Q32" s="116">
        <f>SUMIFS('IS Proforma'!Q:Q,'IS Proforma'!$B:$B,Summary!$B32)</f>
        <v>13974</v>
      </c>
      <c r="R32" s="116">
        <f>SUMIFS('IS Proforma'!R:R,'IS Proforma'!$B:$B,Summary!$B32)</f>
        <v>16144</v>
      </c>
      <c r="S32" s="116">
        <f>SUMIFS('IS Proforma'!S:S,'IS Proforma'!$B:$B,Summary!$B32)</f>
        <v>14185</v>
      </c>
      <c r="T32" s="116">
        <f>SUMIFS('IS Proforma'!T:T,'IS Proforma'!$B:$B,Summary!$B32)</f>
        <v>15253</v>
      </c>
      <c r="U32" s="116">
        <f>SUMIFS('IS Proforma'!U:U,'IS Proforma'!$B:$B,Summary!$B32)</f>
        <v>13452</v>
      </c>
      <c r="V32" s="116">
        <f>SUMIFS('IS Proforma'!V:V,'IS Proforma'!$B:$B,Summary!$B32)</f>
        <v>14008</v>
      </c>
      <c r="W32" s="116">
        <f>SUMIFS('IS Proforma'!W:W,'IS Proforma'!$B:$B,Summary!$B32)</f>
        <v>19690</v>
      </c>
      <c r="X32" s="116">
        <f>SUMIFS('IS Proforma'!X:X,'IS Proforma'!$B:$B,Summary!$B32)</f>
        <v>17755</v>
      </c>
      <c r="Y32" s="116">
        <f>SUMIFS('IS Proforma'!Y:Y,'IS Proforma'!$B:$B,Summary!$B32)</f>
        <v>16203</v>
      </c>
      <c r="Z32" s="116">
        <f>SUMIFS('IS Proforma'!Z:Z,'IS Proforma'!$B:$B,Summary!$B32)</f>
        <v>15455</v>
      </c>
      <c r="AA32" s="116">
        <f>SUMIFS('IS Proforma'!AA:AA,'IS Proforma'!$B:$B,Summary!$B32)</f>
        <v>17753</v>
      </c>
      <c r="AB32" s="116">
        <f>SUMIFS('IS Proforma'!AB:AB,'IS Proforma'!$B:$B,Summary!$B32)</f>
        <v>15742</v>
      </c>
      <c r="AC32" s="116">
        <f>SUMIFS('IS Proforma'!AC:AC,'IS Proforma'!$B:$B,Summary!$B32)</f>
        <v>14967</v>
      </c>
      <c r="AD32" s="116">
        <f>SUMIFS('IS Proforma'!AD:AD,'IS Proforma'!$B:$B,Summary!$B32)</f>
        <v>17120</v>
      </c>
      <c r="AE32" s="116">
        <f>SUMIFS('IS Proforma'!AE:AE,'IS Proforma'!$B:$B,Summary!$B32)</f>
        <v>17920</v>
      </c>
      <c r="AF32" s="116">
        <f>SUMIFS('IS Proforma'!AF:AF,'IS Proforma'!$B:$B,Summary!$B32)</f>
        <v>18432</v>
      </c>
      <c r="AG32" s="116">
        <f>SUMIFS('IS Proforma'!AG:AG,'IS Proforma'!$B:$B,Summary!$B32)</f>
        <v>15342</v>
      </c>
      <c r="AH32" s="116">
        <f>SUMIFS('IS Proforma'!AH:AH,'IS Proforma'!$B:$B,Summary!$B32)</f>
        <v>13243</v>
      </c>
      <c r="AI32" s="116">
        <f>SUMIFS('IS Proforma'!AI:AI,'IS Proforma'!$B:$B,Summary!$B32)</f>
        <v>14701</v>
      </c>
      <c r="AJ32" s="116">
        <f>SUMIFS('IS Proforma'!AJ:AJ,'IS Proforma'!$B:$B,Summary!$B32)</f>
        <v>14572</v>
      </c>
      <c r="AK32" s="116">
        <f>SUMIFS('IS Proforma'!AK:AK,'IS Proforma'!$B:$B,Summary!$B32)</f>
        <v>14466</v>
      </c>
      <c r="AL32" s="116">
        <f>SUMIFS('IS Proforma'!AL:AL,'IS Proforma'!$B:$B,Summary!$B32)</f>
        <v>17133</v>
      </c>
      <c r="AM32" s="116">
        <f>SUMIFS('IS Proforma'!AM:AM,'IS Proforma'!$B:$B,Summary!$B32)</f>
        <v>101897.0664</v>
      </c>
      <c r="AN32" s="116">
        <f>SUMIFS('IS Proforma'!AN:AN,'IS Proforma'!$B:$B,Summary!$B32)</f>
        <v>165379.8064</v>
      </c>
      <c r="AO32" s="116">
        <f>SUMIFS('IS Proforma'!AO:AO,'IS Proforma'!$B:$B,Summary!$B32)</f>
        <v>187939.1449</v>
      </c>
      <c r="AP32" s="116">
        <f>SUMIFS('IS Proforma'!AP:AP,'IS Proforma'!$B:$B,Summary!$B32)</f>
        <v>196699.1113</v>
      </c>
      <c r="AQ32" s="116">
        <f>SUMIFS('IS Proforma'!AQ:AQ,'IS Proforma'!$B:$B,Summary!$B32)</f>
        <v>214691.7391</v>
      </c>
      <c r="AR32" s="116">
        <f>SUMIFS('IS Proforma'!AR:AR,'IS Proforma'!$B:$B,Summary!$B32)</f>
        <v>223178.4274</v>
      </c>
      <c r="AS32" s="116">
        <f>SUMIFS('IS Proforma'!AS:AS,'IS Proforma'!$B:$B,Summary!$B32)</f>
        <v>224075.5551</v>
      </c>
      <c r="AT32" s="116">
        <f>SUMIFS('IS Proforma'!AT:AT,'IS Proforma'!$B:$B,Summary!$B32)</f>
        <v>243999.1471</v>
      </c>
      <c r="AU32" s="116">
        <f>SUMIFS('IS Proforma'!AU:AU,'IS Proforma'!$B:$B,Summary!$B32)</f>
        <v>265693.1293</v>
      </c>
      <c r="AV32" s="116">
        <f>SUMIFS('IS Proforma'!AV:AV,'IS Proforma'!$B:$B,Summary!$B32)</f>
        <v>291725.6545</v>
      </c>
      <c r="AW32" s="116">
        <f>SUMIFS('IS Proforma'!AW:AW,'IS Proforma'!$B:$B,Summary!$B32)</f>
        <v>306562.371</v>
      </c>
      <c r="AX32" s="116">
        <f>SUMIFS('IS Proforma'!AX:AX,'IS Proforma'!$B:$B,Summary!$B32)</f>
        <v>328178.1191</v>
      </c>
      <c r="AY32" s="116">
        <f>SUMIFS('IS Proforma'!AY:AY,'IS Proforma'!$B:$B,Summary!$B32)</f>
        <v>343016.8682</v>
      </c>
      <c r="AZ32" s="116">
        <f>SUMIFS('IS Proforma'!AZ:AZ,'IS Proforma'!$B:$B,Summary!$B32)</f>
        <v>396656.7762</v>
      </c>
      <c r="BA32" s="116">
        <f>SUMIFS('IS Proforma'!BA:BA,'IS Proforma'!$B:$B,Summary!$B32)</f>
        <v>396938.8705</v>
      </c>
      <c r="BB32" s="116">
        <f>SUMIFS('IS Proforma'!BB:BB,'IS Proforma'!$B:$B,Summary!$B32)</f>
        <v>397334.3806</v>
      </c>
      <c r="BC32" s="116">
        <f>SUMIFS('IS Proforma'!BC:BC,'IS Proforma'!$B:$B,Summary!$B32)</f>
        <v>397847.043</v>
      </c>
      <c r="BD32" s="116">
        <f>SUMIFS('IS Proforma'!BD:BD,'IS Proforma'!$B:$B,Summary!$B32)</f>
        <v>412372.3401</v>
      </c>
      <c r="BE32" s="116">
        <f>SUMIFS('IS Proforma'!BE:BE,'IS Proforma'!$B:$B,Summary!$B32)</f>
        <v>412938.3917</v>
      </c>
      <c r="BF32" s="116">
        <f>SUMIFS('IS Proforma'!BF:BF,'IS Proforma'!$B:$B,Summary!$B32)</f>
        <v>418498.2572</v>
      </c>
      <c r="BG32" s="116">
        <f>SUMIFS('IS Proforma'!BG:BG,'IS Proforma'!$B:$B,Summary!$B32)</f>
        <v>419174.1662</v>
      </c>
      <c r="BH32" s="116">
        <f>SUMIFS('IS Proforma'!BH:BH,'IS Proforma'!$B:$B,Summary!$B32)</f>
        <v>434259.9879</v>
      </c>
      <c r="BI32" s="116">
        <f>SUMIFS('IS Proforma'!BI:BI,'IS Proforma'!$B:$B,Summary!$B32)</f>
        <v>434797.7849</v>
      </c>
      <c r="BJ32" s="116">
        <f>SUMIFS('IS Proforma'!BJ:BJ,'IS Proforma'!$B:$B,Summary!$B32)</f>
        <v>435328.1468</v>
      </c>
      <c r="BK32" s="116">
        <f>SUMIFS('IS Proforma'!BK:BK,'IS Proforma'!$B:$B,Summary!$B32)</f>
        <v>435851.4342</v>
      </c>
      <c r="BL32" s="116">
        <f>SUMIFS('IS Proforma'!BL:BL,'IS Proforma'!$B:$B,Summary!$B32)</f>
        <v>461933.8647</v>
      </c>
      <c r="BM32" s="116">
        <f>SUMIFS('IS Proforma'!BM:BM,'IS Proforma'!$B:$B,Summary!$B32)</f>
        <v>467885.9835</v>
      </c>
      <c r="BN32" s="116">
        <f>SUMIFS('IS Proforma'!BN:BN,'IS Proforma'!$B:$B,Summary!$B32)</f>
        <v>473808.7477</v>
      </c>
      <c r="BO32" s="116">
        <f>SUMIFS('IS Proforma'!BO:BO,'IS Proforma'!$B:$B,Summary!$B32)</f>
        <v>479707.7658</v>
      </c>
      <c r="BP32" s="116">
        <f>SUMIFS('IS Proforma'!BP:BP,'IS Proforma'!$B:$B,Summary!$B32)</f>
        <v>517190.7509</v>
      </c>
      <c r="BQ32" s="116">
        <f>SUMIFS('IS Proforma'!BQ:BQ,'IS Proforma'!$B:$B,Summary!$B32)</f>
        <v>523051.8649</v>
      </c>
      <c r="BR32" s="116">
        <f>SUMIFS('IS Proforma'!BR:BR,'IS Proforma'!$B:$B,Summary!$B32)</f>
        <v>536835.6353</v>
      </c>
      <c r="BS32" s="116">
        <f>SUMIFS('IS Proforma'!BS:BS,'IS Proforma'!$B:$B,Summary!$B32)</f>
        <v>559178.6068</v>
      </c>
      <c r="BT32" s="116">
        <f>SUMIFS('IS Proforma'!BT:BT,'IS Proforma'!$B:$B,Summary!$B32)</f>
        <v>582964.8117</v>
      </c>
      <c r="BU32" s="116">
        <f>SUMIFS('IS Proforma'!BU:BU,'IS Proforma'!$B:$B,Summary!$B32)</f>
        <v>605282.1895</v>
      </c>
      <c r="BV32" s="116">
        <f>SUMIFS('IS Proforma'!BV:BV,'IS Proforma'!$B:$B,Summary!$B32)</f>
        <v>611075.8184</v>
      </c>
      <c r="BW32" s="116">
        <f>SUMIFS('IS Proforma'!BW:BW,'IS Proforma'!$B:$B,Summary!$B32)</f>
        <v>616858.9444</v>
      </c>
      <c r="BX32" s="116">
        <f>SUMIFS('IS Proforma'!BX:BX,'IS Proforma'!$B:$B,Summary!$B32)</f>
        <v>668303.0069</v>
      </c>
      <c r="BY32" s="116">
        <f>SUMIFS('IS Proforma'!BY:BY,'IS Proforma'!$B:$B,Summary!$B32)</f>
        <v>674311.828</v>
      </c>
      <c r="BZ32" s="116">
        <f>SUMIFS('IS Proforma'!BZ:BZ,'IS Proforma'!$B:$B,Summary!$B32)</f>
        <v>680225.4654</v>
      </c>
      <c r="CA32" s="116">
        <f>SUMIFS('IS Proforma'!CA:CA,'IS Proforma'!$B:$B,Summary!$B32)</f>
        <v>703293.9569</v>
      </c>
      <c r="CB32" s="116">
        <f>SUMIFS('IS Proforma'!CB:CB,'IS Proforma'!$B:$B,Summary!$B32)</f>
        <v>738937.3009</v>
      </c>
      <c r="CC32" s="116">
        <f>SUMIFS('IS Proforma'!CC:CC,'IS Proforma'!$B:$B,Summary!$B32)</f>
        <v>744824.3563</v>
      </c>
      <c r="CD32" s="116">
        <f>SUMIFS('IS Proforma'!CD:CD,'IS Proforma'!$B:$B,Summary!$B32)</f>
        <v>768567.7367</v>
      </c>
      <c r="CE32" s="116">
        <f>SUMIFS('IS Proforma'!CE:CE,'IS Proforma'!$B:$B,Summary!$B32)</f>
        <v>774448.3606</v>
      </c>
      <c r="CF32" s="116">
        <f>SUMIFS('IS Proforma'!CF:CF,'IS Proforma'!$B:$B,Summary!$B32)</f>
        <v>803727.0656</v>
      </c>
      <c r="CG32" s="116">
        <f>SUMIFS('IS Proforma'!CG:CG,'IS Proforma'!$B:$B,Summary!$B32)</f>
        <v>827463.2552</v>
      </c>
      <c r="CH32" s="116">
        <f>SUMIFS('IS Proforma'!CH:CH,'IS Proforma'!$B:$B,Summary!$B32)</f>
        <v>833338.253</v>
      </c>
      <c r="CI32" s="116">
        <f>SUMIFS('IS Proforma'!CI:CI,'IS Proforma'!$B:$B,Summary!$B32)</f>
        <v>839212.3777</v>
      </c>
      <c r="CJ32" s="116">
        <f>SUMIFS('IS Proforma'!CJ:CJ,'IS Proforma'!$B:$B,Summary!$B32)</f>
        <v>899252.1806</v>
      </c>
      <c r="CK32" s="116">
        <f>SUMIFS('IS Proforma'!CK:CK,'IS Proforma'!$B:$B,Summary!$B32)</f>
        <v>904883.0718</v>
      </c>
      <c r="CL32" s="116">
        <f>SUMIFS('IS Proforma'!CL:CL,'IS Proforma'!$B:$B,Summary!$B32)</f>
        <v>910486.1139</v>
      </c>
      <c r="CM32" s="116">
        <f>SUMIFS('IS Proforma'!CM:CM,'IS Proforma'!$B:$B,Summary!$B32)</f>
        <v>916120.6317</v>
      </c>
      <c r="CN32" s="116">
        <f>SUMIFS('IS Proforma'!CN:CN,'IS Proforma'!$B:$B,Summary!$B32)</f>
        <v>948569.3693</v>
      </c>
      <c r="CO32" s="116">
        <f>SUMIFS('IS Proforma'!CO:CO,'IS Proforma'!$B:$B,Summary!$B32)</f>
        <v>954230.6706</v>
      </c>
      <c r="CP32" s="116">
        <f>SUMIFS('IS Proforma'!CP:CP,'IS Proforma'!$B:$B,Summary!$B32)</f>
        <v>959896.2892</v>
      </c>
      <c r="CQ32" s="116">
        <f>SUMIFS('IS Proforma'!CQ:CQ,'IS Proforma'!$B:$B,Summary!$B32)</f>
        <v>965564.1109</v>
      </c>
      <c r="CR32" s="116">
        <f>SUMIFS('IS Proforma'!CR:CR,'IS Proforma'!$B:$B,Summary!$B32)</f>
        <v>999100.6644</v>
      </c>
      <c r="CS32" s="116">
        <f>SUMIFS('IS Proforma'!CS:CS,'IS Proforma'!$B:$B,Summary!$B32)</f>
        <v>1004769.821</v>
      </c>
      <c r="CT32" s="116">
        <f>SUMIFS('IS Proforma'!CT:CT,'IS Proforma'!$B:$B,Summary!$B32)</f>
        <v>1010438.939</v>
      </c>
      <c r="CU32" s="116">
        <f>SUMIFS('IS Proforma'!CU:CU,'IS Proforma'!$B:$B,Summary!$B32)</f>
        <v>1016107.87</v>
      </c>
      <c r="CW32" s="117">
        <f t="shared" ref="CW32:CW40" si="87">SUM(D32:G32)</f>
        <v>62833</v>
      </c>
      <c r="CX32" s="117">
        <f t="shared" ref="CX32:CX40" si="88">SUM(H32:K32)</f>
        <v>63109</v>
      </c>
      <c r="CY32" s="117">
        <f t="shared" ref="CY32:CY40" si="89">SUM(L32:O32)</f>
        <v>60673</v>
      </c>
      <c r="CZ32" s="117">
        <f t="shared" ref="CZ32:CZ40" si="90">SUM(P32:S32)</f>
        <v>60704</v>
      </c>
      <c r="DA32" s="117">
        <f t="shared" ref="DA32:DA41" si="91">SUM(T32:W32)</f>
        <v>62403</v>
      </c>
      <c r="DB32" s="117">
        <f t="shared" ref="DB32:DB41" si="92">SUM(X32:AA32)</f>
        <v>67166</v>
      </c>
      <c r="DC32" s="117">
        <f t="shared" ref="DC32:DC41" si="93">SUM(AB32:AE32)</f>
        <v>65749</v>
      </c>
      <c r="DD32" s="117">
        <f t="shared" ref="DD32:DD41" si="94">SUM(AF32:AI32)</f>
        <v>61718</v>
      </c>
      <c r="DE32" s="117">
        <f t="shared" ref="DE32:DE41" si="95">SUM(AJ32:AM32)</f>
        <v>148068.0664</v>
      </c>
      <c r="DF32" s="117">
        <f t="shared" ref="DF32:DF41" si="96">SUM(AN32:AQ32)</f>
        <v>764709.8017</v>
      </c>
      <c r="DG32" s="117">
        <f t="shared" ref="DG32:DG41" si="97">SUM(AR32:AU32)</f>
        <v>956946.2588</v>
      </c>
      <c r="DH32" s="117">
        <f t="shared" ref="DH32:DH41" si="98">SUM(AV32:AY32)</f>
        <v>1269483.013</v>
      </c>
      <c r="DI32" s="117">
        <f t="shared" ref="DI32:DI41" si="99">SUM(AZ32:BC32)</f>
        <v>1588777.07</v>
      </c>
      <c r="DJ32" s="117">
        <f t="shared" ref="DJ32:DJ41" si="100">SUM(BD32:BG32)</f>
        <v>1662983.155</v>
      </c>
      <c r="DK32" s="117">
        <f t="shared" ref="DK32:DK41" si="101">SUM(BH32:BK32)</f>
        <v>1740237.354</v>
      </c>
      <c r="DL32" s="117">
        <f t="shared" ref="DL32:DL41" si="102">SUM(BL32:BO32)</f>
        <v>1883336.362</v>
      </c>
      <c r="DM32" s="117">
        <f t="shared" ref="DM32:DM41" si="103">SUM(BP32:BS32)</f>
        <v>2136256.858</v>
      </c>
      <c r="DN32" s="117">
        <f t="shared" ref="DN32:DN41" si="104">SUM(BT32:BW32)</f>
        <v>2416181.764</v>
      </c>
      <c r="DO32" s="117">
        <f t="shared" ref="DO32:DO41" si="105">SUM(BX32:CA32)</f>
        <v>2726134.257</v>
      </c>
      <c r="DP32" s="117">
        <f t="shared" ref="DP32:DP41" si="106">SUM(CB32:CE32)</f>
        <v>3026777.755</v>
      </c>
      <c r="DQ32" s="117">
        <f t="shared" ref="DQ32:DQ41" si="107">SUM(CF32:CI32)</f>
        <v>3303740.951</v>
      </c>
      <c r="DR32" s="117">
        <f t="shared" ref="DR32:DR41" si="108">SUM(CJ32:CM32)</f>
        <v>3630741.998</v>
      </c>
      <c r="DS32" s="117">
        <f t="shared" ref="DS32:DS41" si="109">SUM(CN32:CQ32)</f>
        <v>3828260.44</v>
      </c>
      <c r="DT32" s="117">
        <f t="shared" ref="DT32:DT41" si="110">SUM(CR32:CU32)</f>
        <v>4030417.294</v>
      </c>
      <c r="DV32" s="117">
        <f t="shared" ref="DV32:DV40" si="111">SUM(D32:O32)</f>
        <v>186615</v>
      </c>
      <c r="DW32" s="117">
        <f t="shared" ref="DW32:DW40" si="112">SUM(P32:AA32)</f>
        <v>190273</v>
      </c>
      <c r="DX32" s="131">
        <f t="shared" ref="DX32:DX40" si="113">SUM(AB32:AM32)</f>
        <v>275535.0664</v>
      </c>
      <c r="DY32" s="131">
        <f t="shared" ref="DY32:DY40" si="114">SUM(AN32:AY32)</f>
        <v>2991139.073</v>
      </c>
      <c r="DZ32" s="131">
        <f t="shared" ref="DZ32:DZ40" si="115">SUM(AZ32:BK32)</f>
        <v>4991997.579</v>
      </c>
      <c r="EA32" s="131">
        <f t="shared" ref="EA32:EA40" si="116">SUM(BL32:BW32)</f>
        <v>6435774.984</v>
      </c>
      <c r="EB32" s="131">
        <f t="shared" ref="EB32:EB40" si="117">SUM(BX32:CI32)</f>
        <v>9056652.963</v>
      </c>
      <c r="EC32" s="131">
        <f t="shared" ref="EC32:EC40" si="118">SUM(CJ32:CU32)</f>
        <v>11489419.73</v>
      </c>
      <c r="ED32" s="118"/>
      <c r="EE32" s="118"/>
    </row>
    <row r="33" ht="15.75" customHeight="1" outlineLevel="1">
      <c r="B33" s="91" t="s">
        <v>176</v>
      </c>
      <c r="C33" s="1" t="s">
        <v>107</v>
      </c>
      <c r="D33" s="116">
        <f>SUMIFS('IS Proforma'!D:D,'IS Proforma'!$B:$B,Summary!$B33)</f>
        <v>4636</v>
      </c>
      <c r="E33" s="116">
        <f>SUMIFS('IS Proforma'!E:E,'IS Proforma'!$B:$B,Summary!$B33)</f>
        <v>5909</v>
      </c>
      <c r="F33" s="116">
        <f>SUMIFS('IS Proforma'!F:F,'IS Proforma'!$B:$B,Summary!$B33)</f>
        <v>4595</v>
      </c>
      <c r="G33" s="116">
        <f>SUMIFS('IS Proforma'!G:G,'IS Proforma'!$B:$B,Summary!$B33)</f>
        <v>5421</v>
      </c>
      <c r="H33" s="116">
        <f>SUMIFS('IS Proforma'!H:H,'IS Proforma'!$B:$B,Summary!$B33)</f>
        <v>4806</v>
      </c>
      <c r="I33" s="116">
        <f>SUMIFS('IS Proforma'!I:I,'IS Proforma'!$B:$B,Summary!$B33)</f>
        <v>5481</v>
      </c>
      <c r="J33" s="116">
        <f>SUMIFS('IS Proforma'!J:J,'IS Proforma'!$B:$B,Summary!$B33)</f>
        <v>4794</v>
      </c>
      <c r="K33" s="116">
        <f>SUMIFS('IS Proforma'!K:K,'IS Proforma'!$B:$B,Summary!$B33)</f>
        <v>5516</v>
      </c>
      <c r="L33" s="116">
        <f>SUMIFS('IS Proforma'!L:L,'IS Proforma'!$B:$B,Summary!$B33)</f>
        <v>5195</v>
      </c>
      <c r="M33" s="116">
        <f>SUMIFS('IS Proforma'!M:M,'IS Proforma'!$B:$B,Summary!$B33)</f>
        <v>6193</v>
      </c>
      <c r="N33" s="116">
        <f>SUMIFS('IS Proforma'!N:N,'IS Proforma'!$B:$B,Summary!$B33)</f>
        <v>5700</v>
      </c>
      <c r="O33" s="116">
        <f>SUMIFS('IS Proforma'!O:O,'IS Proforma'!$B:$B,Summary!$B33)</f>
        <v>5610</v>
      </c>
      <c r="P33" s="116">
        <f>SUMIFS('IS Proforma'!P:P,'IS Proforma'!$B:$B,Summary!$B33)</f>
        <v>4219</v>
      </c>
      <c r="Q33" s="116">
        <f>SUMIFS('IS Proforma'!Q:Q,'IS Proforma'!$B:$B,Summary!$B33)</f>
        <v>5267</v>
      </c>
      <c r="R33" s="116">
        <f>SUMIFS('IS Proforma'!R:R,'IS Proforma'!$B:$B,Summary!$B33)</f>
        <v>5633</v>
      </c>
      <c r="S33" s="116">
        <f>SUMIFS('IS Proforma'!S:S,'IS Proforma'!$B:$B,Summary!$B33)</f>
        <v>4852</v>
      </c>
      <c r="T33" s="116">
        <f>SUMIFS('IS Proforma'!T:T,'IS Proforma'!$B:$B,Summary!$B33)</f>
        <v>5535</v>
      </c>
      <c r="U33" s="116">
        <f>SUMIFS('IS Proforma'!U:U,'IS Proforma'!$B:$B,Summary!$B33)</f>
        <v>4902</v>
      </c>
      <c r="V33" s="116">
        <f>SUMIFS('IS Proforma'!V:V,'IS Proforma'!$B:$B,Summary!$B33)</f>
        <v>3998</v>
      </c>
      <c r="W33" s="116">
        <f>SUMIFS('IS Proforma'!W:W,'IS Proforma'!$B:$B,Summary!$B33)</f>
        <v>5737</v>
      </c>
      <c r="X33" s="116">
        <f>SUMIFS('IS Proforma'!X:X,'IS Proforma'!$B:$B,Summary!$B33)</f>
        <v>5531</v>
      </c>
      <c r="Y33" s="116">
        <f>SUMIFS('IS Proforma'!Y:Y,'IS Proforma'!$B:$B,Summary!$B33)</f>
        <v>6570</v>
      </c>
      <c r="Z33" s="116">
        <f>SUMIFS('IS Proforma'!Z:Z,'IS Proforma'!$B:$B,Summary!$B33)</f>
        <v>5495</v>
      </c>
      <c r="AA33" s="116">
        <f>SUMIFS('IS Proforma'!AA:AA,'IS Proforma'!$B:$B,Summary!$B33)</f>
        <v>6098</v>
      </c>
      <c r="AB33" s="116">
        <f>SUMIFS('IS Proforma'!AB:AB,'IS Proforma'!$B:$B,Summary!$B33)</f>
        <v>4933</v>
      </c>
      <c r="AC33" s="116">
        <f>SUMIFS('IS Proforma'!AC:AC,'IS Proforma'!$B:$B,Summary!$B33)</f>
        <v>5912</v>
      </c>
      <c r="AD33" s="116">
        <f>SUMIFS('IS Proforma'!AD:AD,'IS Proforma'!$B:$B,Summary!$B33)</f>
        <v>4439</v>
      </c>
      <c r="AE33" s="116">
        <f>SUMIFS('IS Proforma'!AE:AE,'IS Proforma'!$B:$B,Summary!$B33)</f>
        <v>5981</v>
      </c>
      <c r="AF33" s="116">
        <f>SUMIFS('IS Proforma'!AF:AF,'IS Proforma'!$B:$B,Summary!$B33)</f>
        <v>4819</v>
      </c>
      <c r="AG33" s="116">
        <f>SUMIFS('IS Proforma'!AG:AG,'IS Proforma'!$B:$B,Summary!$B33)</f>
        <v>5064</v>
      </c>
      <c r="AH33" s="116">
        <f>SUMIFS('IS Proforma'!AH:AH,'IS Proforma'!$B:$B,Summary!$B33)</f>
        <v>4596</v>
      </c>
      <c r="AI33" s="116">
        <f>SUMIFS('IS Proforma'!AI:AI,'IS Proforma'!$B:$B,Summary!$B33)</f>
        <v>4797</v>
      </c>
      <c r="AJ33" s="116">
        <f>SUMIFS('IS Proforma'!AJ:AJ,'IS Proforma'!$B:$B,Summary!$B33)</f>
        <v>5513</v>
      </c>
      <c r="AK33" s="116">
        <f>SUMIFS('IS Proforma'!AK:AK,'IS Proforma'!$B:$B,Summary!$B33)</f>
        <v>4887</v>
      </c>
      <c r="AL33" s="116">
        <f>SUMIFS('IS Proforma'!AL:AL,'IS Proforma'!$B:$B,Summary!$B33)</f>
        <v>5020</v>
      </c>
      <c r="AM33" s="116">
        <f>SUMIFS('IS Proforma'!AM:AM,'IS Proforma'!$B:$B,Summary!$B33)</f>
        <v>788.117</v>
      </c>
      <c r="AN33" s="116">
        <f>SUMIFS('IS Proforma'!AN:AN,'IS Proforma'!$B:$B,Summary!$B33)</f>
        <v>1281.182265</v>
      </c>
      <c r="AO33" s="116">
        <f>SUMIFS('IS Proforma'!AO:AO,'IS Proforma'!$B:$B,Summary!$B33)</f>
        <v>1483.582265</v>
      </c>
      <c r="AP33" s="116">
        <f>SUMIFS('IS Proforma'!AP:AP,'IS Proforma'!$B:$B,Summary!$B33)</f>
        <v>1571.582265</v>
      </c>
      <c r="AQ33" s="116">
        <f>SUMIFS('IS Proforma'!AQ:AQ,'IS Proforma'!$B:$B,Summary!$B33)</f>
        <v>1714.582265</v>
      </c>
      <c r="AR33" s="116">
        <f>SUMIFS('IS Proforma'!AR:AR,'IS Proforma'!$B:$B,Summary!$B33)</f>
        <v>1791.738467</v>
      </c>
      <c r="AS33" s="116">
        <f>SUMIFS('IS Proforma'!AS:AS,'IS Proforma'!$B:$B,Summary!$B33)</f>
        <v>1791.738467</v>
      </c>
      <c r="AT33" s="116">
        <f>SUMIFS('IS Proforma'!AT:AT,'IS Proforma'!$B:$B,Summary!$B33)</f>
        <v>1910.714467</v>
      </c>
      <c r="AU33" s="116">
        <f>SUMIFS('IS Proforma'!AU:AU,'IS Proforma'!$B:$B,Summary!$B33)</f>
        <v>2086.890467</v>
      </c>
      <c r="AV33" s="116">
        <f>SUMIFS('IS Proforma'!AV:AV,'IS Proforma'!$B:$B,Summary!$B33)</f>
        <v>2299.776538</v>
      </c>
      <c r="AW33" s="116">
        <f>SUMIFS('IS Proforma'!AW:AW,'IS Proforma'!$B:$B,Summary!$B33)</f>
        <v>2418.752538</v>
      </c>
      <c r="AX33" s="116">
        <f>SUMIFS('IS Proforma'!AX:AX,'IS Proforma'!$B:$B,Summary!$B33)</f>
        <v>2594.928538</v>
      </c>
      <c r="AY33" s="116">
        <f>SUMIFS('IS Proforma'!AY:AY,'IS Proforma'!$B:$B,Summary!$B33)</f>
        <v>2713.904538</v>
      </c>
      <c r="AZ33" s="116">
        <f>SUMIFS('IS Proforma'!AZ:AZ,'IS Proforma'!$B:$B,Summary!$B33)</f>
        <v>3749.703694</v>
      </c>
      <c r="BA33" s="116">
        <f>SUMIFS('IS Proforma'!BA:BA,'IS Proforma'!$B:$B,Summary!$B33)</f>
        <v>3749.703694</v>
      </c>
      <c r="BB33" s="116">
        <f>SUMIFS('IS Proforma'!BB:BB,'IS Proforma'!$B:$B,Summary!$B33)</f>
        <v>3749.703694</v>
      </c>
      <c r="BC33" s="116">
        <f>SUMIFS('IS Proforma'!BC:BC,'IS Proforma'!$B:$B,Summary!$B33)</f>
        <v>3749.703694</v>
      </c>
      <c r="BD33" s="116">
        <f>SUMIFS('IS Proforma'!BD:BD,'IS Proforma'!$B:$B,Summary!$B33)</f>
        <v>3899.691842</v>
      </c>
      <c r="BE33" s="116">
        <f>SUMIFS('IS Proforma'!BE:BE,'IS Proforma'!$B:$B,Summary!$B33)</f>
        <v>3899.691842</v>
      </c>
      <c r="BF33" s="116">
        <f>SUMIFS('IS Proforma'!BF:BF,'IS Proforma'!$B:$B,Summary!$B33)</f>
        <v>3899.691842</v>
      </c>
      <c r="BG33" s="116">
        <f>SUMIFS('IS Proforma'!BG:BG,'IS Proforma'!$B:$B,Summary!$B33)</f>
        <v>3899.691842</v>
      </c>
      <c r="BH33" s="116">
        <f>SUMIFS('IS Proforma'!BH:BH,'IS Proforma'!$B:$B,Summary!$B33)</f>
        <v>4055.679515</v>
      </c>
      <c r="BI33" s="116">
        <f>SUMIFS('IS Proforma'!BI:BI,'IS Proforma'!$B:$B,Summary!$B33)</f>
        <v>4055.679515</v>
      </c>
      <c r="BJ33" s="116">
        <f>SUMIFS('IS Proforma'!BJ:BJ,'IS Proforma'!$B:$B,Summary!$B33)</f>
        <v>4055.679515</v>
      </c>
      <c r="BK33" s="116">
        <f>SUMIFS('IS Proforma'!BK:BK,'IS Proforma'!$B:$B,Summary!$B33)</f>
        <v>4055.679515</v>
      </c>
      <c r="BL33" s="116">
        <f>SUMIFS('IS Proforma'!BL:BL,'IS Proforma'!$B:$B,Summary!$B33)</f>
        <v>5121.743845</v>
      </c>
      <c r="BM33" s="116">
        <f>SUMIFS('IS Proforma'!BM:BM,'IS Proforma'!$B:$B,Summary!$B33)</f>
        <v>5121.743845</v>
      </c>
      <c r="BN33" s="116">
        <f>SUMIFS('IS Proforma'!BN:BN,'IS Proforma'!$B:$B,Summary!$B33)</f>
        <v>5121.743845</v>
      </c>
      <c r="BO33" s="116">
        <f>SUMIFS('IS Proforma'!BO:BO,'IS Proforma'!$B:$B,Summary!$B33)</f>
        <v>5121.743845</v>
      </c>
      <c r="BP33" s="116">
        <f>SUMIFS('IS Proforma'!BP:BP,'IS Proforma'!$B:$B,Summary!$B33)</f>
        <v>5533.444592</v>
      </c>
      <c r="BQ33" s="116">
        <f>SUMIFS('IS Proforma'!BQ:BQ,'IS Proforma'!$B:$B,Summary!$B33)</f>
        <v>5533.444592</v>
      </c>
      <c r="BR33" s="116">
        <f>SUMIFS('IS Proforma'!BR:BR,'IS Proforma'!$B:$B,Summary!$B33)</f>
        <v>5636.860089</v>
      </c>
      <c r="BS33" s="116">
        <f>SUMIFS('IS Proforma'!BS:BS,'IS Proforma'!$B:$B,Summary!$B33)</f>
        <v>5851.964322</v>
      </c>
      <c r="BT33" s="116">
        <f>SUMIFS('IS Proforma'!BT:BT,'IS Proforma'!$B:$B,Summary!$B33)</f>
        <v>6086.042895</v>
      </c>
      <c r="BU33" s="116">
        <f>SUMIFS('IS Proforma'!BU:BU,'IS Proforma'!$B:$B,Summary!$B33)</f>
        <v>6301.147128</v>
      </c>
      <c r="BV33" s="116">
        <f>SUMIFS('IS Proforma'!BV:BV,'IS Proforma'!$B:$B,Summary!$B33)</f>
        <v>6301.147128</v>
      </c>
      <c r="BW33" s="116">
        <f>SUMIFS('IS Proforma'!BW:BW,'IS Proforma'!$B:$B,Summary!$B33)</f>
        <v>6301.147128</v>
      </c>
      <c r="BX33" s="116">
        <f>SUMIFS('IS Proforma'!BX:BX,'IS Proforma'!$B:$B,Summary!$B33)</f>
        <v>6776.901416</v>
      </c>
      <c r="BY33" s="116">
        <f>SUMIFS('IS Proforma'!BY:BY,'IS Proforma'!$B:$B,Summary!$B33)</f>
        <v>7972.825195</v>
      </c>
      <c r="BZ33" s="116">
        <f>SUMIFS('IS Proforma'!BZ:BZ,'IS Proforma'!$B:$B,Summary!$B33)</f>
        <v>7972.825195</v>
      </c>
      <c r="CA33" s="116">
        <f>SUMIFS('IS Proforma'!CA:CA,'IS Proforma'!$B:$B,Summary!$B33)</f>
        <v>8236.011551</v>
      </c>
      <c r="CB33" s="116">
        <f>SUMIFS('IS Proforma'!CB:CB,'IS Proforma'!$B:$B,Summary!$B33)</f>
        <v>8691.983915</v>
      </c>
      <c r="CC33" s="116">
        <f>SUMIFS('IS Proforma'!CC:CC,'IS Proforma'!$B:$B,Summary!$B33)</f>
        <v>8691.983915</v>
      </c>
      <c r="CD33" s="116">
        <f>SUMIFS('IS Proforma'!CD:CD,'IS Proforma'!$B:$B,Summary!$B33)</f>
        <v>8965.697725</v>
      </c>
      <c r="CE33" s="116">
        <f>SUMIFS('IS Proforma'!CE:CE,'IS Proforma'!$B:$B,Summary!$B33)</f>
        <v>8965.697725</v>
      </c>
      <c r="CF33" s="116">
        <f>SUMIFS('IS Proforma'!CF:CF,'IS Proforma'!$B:$B,Summary!$B33)</f>
        <v>9324.325634</v>
      </c>
      <c r="CG33" s="116">
        <f>SUMIFS('IS Proforma'!CG:CG,'IS Proforma'!$B:$B,Summary!$B33)</f>
        <v>9598.039444</v>
      </c>
      <c r="CH33" s="116">
        <f>SUMIFS('IS Proforma'!CH:CH,'IS Proforma'!$B:$B,Summary!$B33)</f>
        <v>9598.039444</v>
      </c>
      <c r="CI33" s="116">
        <f>SUMIFS('IS Proforma'!CI:CI,'IS Proforma'!$B:$B,Summary!$B33)</f>
        <v>9598.039444</v>
      </c>
      <c r="CJ33" s="116">
        <f>SUMIFS('IS Proforma'!CJ:CJ,'IS Proforma'!$B:$B,Summary!$B33)</f>
        <v>11806.61689</v>
      </c>
      <c r="CK33" s="116">
        <f>SUMIFS('IS Proforma'!CK:CK,'IS Proforma'!$B:$B,Summary!$B33)</f>
        <v>11806.61689</v>
      </c>
      <c r="CL33" s="116">
        <f>SUMIFS('IS Proforma'!CL:CL,'IS Proforma'!$B:$B,Summary!$B33)</f>
        <v>11806.61689</v>
      </c>
      <c r="CM33" s="116">
        <f>SUMIFS('IS Proforma'!CM:CM,'IS Proforma'!$B:$B,Summary!$B33)</f>
        <v>11806.61689</v>
      </c>
      <c r="CN33" s="116">
        <f>SUMIFS('IS Proforma'!CN:CN,'IS Proforma'!$B:$B,Summary!$B33)</f>
        <v>12278.88157</v>
      </c>
      <c r="CO33" s="116">
        <f>SUMIFS('IS Proforma'!CO:CO,'IS Proforma'!$B:$B,Summary!$B33)</f>
        <v>12278.88157</v>
      </c>
      <c r="CP33" s="116">
        <f>SUMIFS('IS Proforma'!CP:CP,'IS Proforma'!$B:$B,Summary!$B33)</f>
        <v>12278.88157</v>
      </c>
      <c r="CQ33" s="116">
        <f>SUMIFS('IS Proforma'!CQ:CQ,'IS Proforma'!$B:$B,Summary!$B33)</f>
        <v>12278.88157</v>
      </c>
      <c r="CR33" s="116">
        <f>SUMIFS('IS Proforma'!CR:CR,'IS Proforma'!$B:$B,Summary!$B33)</f>
        <v>12770.03683</v>
      </c>
      <c r="CS33" s="116">
        <f>SUMIFS('IS Proforma'!CS:CS,'IS Proforma'!$B:$B,Summary!$B33)</f>
        <v>12770.03683</v>
      </c>
      <c r="CT33" s="116">
        <f>SUMIFS('IS Proforma'!CT:CT,'IS Proforma'!$B:$B,Summary!$B33)</f>
        <v>12770.03683</v>
      </c>
      <c r="CU33" s="116">
        <f>SUMIFS('IS Proforma'!CU:CU,'IS Proforma'!$B:$B,Summary!$B33)</f>
        <v>12770.03683</v>
      </c>
      <c r="CW33" s="117">
        <f t="shared" si="87"/>
        <v>20561</v>
      </c>
      <c r="CX33" s="117">
        <f t="shared" si="88"/>
        <v>20597</v>
      </c>
      <c r="CY33" s="117">
        <f t="shared" si="89"/>
        <v>22698</v>
      </c>
      <c r="CZ33" s="117">
        <f t="shared" si="90"/>
        <v>19971</v>
      </c>
      <c r="DA33" s="117">
        <f t="shared" si="91"/>
        <v>20172</v>
      </c>
      <c r="DB33" s="117">
        <f t="shared" si="92"/>
        <v>23694</v>
      </c>
      <c r="DC33" s="117">
        <f t="shared" si="93"/>
        <v>21265</v>
      </c>
      <c r="DD33" s="117">
        <f t="shared" si="94"/>
        <v>19276</v>
      </c>
      <c r="DE33" s="117">
        <f t="shared" si="95"/>
        <v>16208.117</v>
      </c>
      <c r="DF33" s="117">
        <f t="shared" si="96"/>
        <v>6050.92906</v>
      </c>
      <c r="DG33" s="117">
        <f t="shared" si="97"/>
        <v>7581.081868</v>
      </c>
      <c r="DH33" s="117">
        <f t="shared" si="98"/>
        <v>10027.36215</v>
      </c>
      <c r="DI33" s="117">
        <f t="shared" si="99"/>
        <v>14998.81478</v>
      </c>
      <c r="DJ33" s="117">
        <f t="shared" si="100"/>
        <v>15598.76737</v>
      </c>
      <c r="DK33" s="117">
        <f t="shared" si="101"/>
        <v>16222.71806</v>
      </c>
      <c r="DL33" s="117">
        <f t="shared" si="102"/>
        <v>20486.97538</v>
      </c>
      <c r="DM33" s="117">
        <f t="shared" si="103"/>
        <v>22555.7136</v>
      </c>
      <c r="DN33" s="117">
        <f t="shared" si="104"/>
        <v>24989.48428</v>
      </c>
      <c r="DO33" s="117">
        <f t="shared" si="105"/>
        <v>30958.56336</v>
      </c>
      <c r="DP33" s="117">
        <f t="shared" si="106"/>
        <v>35315.36328</v>
      </c>
      <c r="DQ33" s="117">
        <f t="shared" si="107"/>
        <v>38118.44397</v>
      </c>
      <c r="DR33" s="117">
        <f t="shared" si="108"/>
        <v>47226.46757</v>
      </c>
      <c r="DS33" s="117">
        <f t="shared" si="109"/>
        <v>49115.52627</v>
      </c>
      <c r="DT33" s="117">
        <f t="shared" si="110"/>
        <v>51080.14732</v>
      </c>
      <c r="DV33" s="117">
        <f t="shared" si="111"/>
        <v>63856</v>
      </c>
      <c r="DW33" s="117">
        <f t="shared" si="112"/>
        <v>63837</v>
      </c>
      <c r="DX33" s="117">
        <f t="shared" si="113"/>
        <v>56749.117</v>
      </c>
      <c r="DY33" s="117">
        <f t="shared" si="114"/>
        <v>23659.37308</v>
      </c>
      <c r="DZ33" s="117">
        <f t="shared" si="115"/>
        <v>46820.3002</v>
      </c>
      <c r="EA33" s="117">
        <f t="shared" si="116"/>
        <v>68032.17325</v>
      </c>
      <c r="EB33" s="117">
        <f t="shared" si="117"/>
        <v>104392.3706</v>
      </c>
      <c r="EC33" s="117">
        <f t="shared" si="118"/>
        <v>147422.1412</v>
      </c>
      <c r="ED33" s="118"/>
      <c r="EE33" s="118"/>
    </row>
    <row r="34" ht="15.75" customHeight="1" outlineLevel="1">
      <c r="B34" s="1" t="s">
        <v>177</v>
      </c>
      <c r="C34" s="1" t="s">
        <v>108</v>
      </c>
      <c r="D34" s="116">
        <f>SUMIFS('IS Proforma'!D:D,'IS Proforma'!$B:$B,Summary!$B34)</f>
        <v>1438</v>
      </c>
      <c r="E34" s="116">
        <f>SUMIFS('IS Proforma'!E:E,'IS Proforma'!$B:$B,Summary!$B34)</f>
        <v>1922</v>
      </c>
      <c r="F34" s="116">
        <f>SUMIFS('IS Proforma'!F:F,'IS Proforma'!$B:$B,Summary!$B34)</f>
        <v>1895</v>
      </c>
      <c r="G34" s="116">
        <f>SUMIFS('IS Proforma'!G:G,'IS Proforma'!$B:$B,Summary!$B34)</f>
        <v>1078</v>
      </c>
      <c r="H34" s="116">
        <f>SUMIFS('IS Proforma'!H:H,'IS Proforma'!$B:$B,Summary!$B34)</f>
        <v>1143</v>
      </c>
      <c r="I34" s="116">
        <f>SUMIFS('IS Proforma'!I:I,'IS Proforma'!$B:$B,Summary!$B34)</f>
        <v>2418</v>
      </c>
      <c r="J34" s="116">
        <f>SUMIFS('IS Proforma'!J:J,'IS Proforma'!$B:$B,Summary!$B34)</f>
        <v>1407</v>
      </c>
      <c r="K34" s="116">
        <f>SUMIFS('IS Proforma'!K:K,'IS Proforma'!$B:$B,Summary!$B34)</f>
        <v>1492</v>
      </c>
      <c r="L34" s="116">
        <f>SUMIFS('IS Proforma'!L:L,'IS Proforma'!$B:$B,Summary!$B34)</f>
        <v>2328</v>
      </c>
      <c r="M34" s="116">
        <f>SUMIFS('IS Proforma'!M:M,'IS Proforma'!$B:$B,Summary!$B34)</f>
        <v>1491</v>
      </c>
      <c r="N34" s="116">
        <f>SUMIFS('IS Proforma'!N:N,'IS Proforma'!$B:$B,Summary!$B34)</f>
        <v>1223</v>
      </c>
      <c r="O34" s="116">
        <f>SUMIFS('IS Proforma'!O:O,'IS Proforma'!$B:$B,Summary!$B34)</f>
        <v>1714</v>
      </c>
      <c r="P34" s="116">
        <f>SUMIFS('IS Proforma'!P:P,'IS Proforma'!$B:$B,Summary!$B34)</f>
        <v>1462</v>
      </c>
      <c r="Q34" s="116">
        <f>SUMIFS('IS Proforma'!Q:Q,'IS Proforma'!$B:$B,Summary!$B34)</f>
        <v>2088</v>
      </c>
      <c r="R34" s="116">
        <f>SUMIFS('IS Proforma'!R:R,'IS Proforma'!$B:$B,Summary!$B34)</f>
        <v>2133</v>
      </c>
      <c r="S34" s="116">
        <f>SUMIFS('IS Proforma'!S:S,'IS Proforma'!$B:$B,Summary!$B34)</f>
        <v>1851</v>
      </c>
      <c r="T34" s="116">
        <f>SUMIFS('IS Proforma'!T:T,'IS Proforma'!$B:$B,Summary!$B34)</f>
        <v>2221</v>
      </c>
      <c r="U34" s="116">
        <f>SUMIFS('IS Proforma'!U:U,'IS Proforma'!$B:$B,Summary!$B34)</f>
        <v>2035</v>
      </c>
      <c r="V34" s="116">
        <f>SUMIFS('IS Proforma'!V:V,'IS Proforma'!$B:$B,Summary!$B34)</f>
        <v>1908</v>
      </c>
      <c r="W34" s="116">
        <f>SUMIFS('IS Proforma'!W:W,'IS Proforma'!$B:$B,Summary!$B34)</f>
        <v>1578</v>
      </c>
      <c r="X34" s="116">
        <f>SUMIFS('IS Proforma'!X:X,'IS Proforma'!$B:$B,Summary!$B34)</f>
        <v>2458</v>
      </c>
      <c r="Y34" s="116">
        <f>SUMIFS('IS Proforma'!Y:Y,'IS Proforma'!$B:$B,Summary!$B34)</f>
        <v>1781</v>
      </c>
      <c r="Z34" s="116">
        <f>SUMIFS('IS Proforma'!Z:Z,'IS Proforma'!$B:$B,Summary!$B34)</f>
        <v>1425</v>
      </c>
      <c r="AA34" s="116">
        <f>SUMIFS('IS Proforma'!AA:AA,'IS Proforma'!$B:$B,Summary!$B34)</f>
        <v>1338</v>
      </c>
      <c r="AB34" s="116">
        <f>SUMIFS('IS Proforma'!AB:AB,'IS Proforma'!$B:$B,Summary!$B34)</f>
        <v>1110</v>
      </c>
      <c r="AC34" s="116">
        <f>SUMIFS('IS Proforma'!AC:AC,'IS Proforma'!$B:$B,Summary!$B34)</f>
        <v>1905</v>
      </c>
      <c r="AD34" s="116">
        <f>SUMIFS('IS Proforma'!AD:AD,'IS Proforma'!$B:$B,Summary!$B34)</f>
        <v>2287</v>
      </c>
      <c r="AE34" s="116">
        <f>SUMIFS('IS Proforma'!AE:AE,'IS Proforma'!$B:$B,Summary!$B34)</f>
        <v>2048</v>
      </c>
      <c r="AF34" s="116">
        <f>SUMIFS('IS Proforma'!AF:AF,'IS Proforma'!$B:$B,Summary!$B34)</f>
        <v>1271</v>
      </c>
      <c r="AG34" s="116">
        <f>SUMIFS('IS Proforma'!AG:AG,'IS Proforma'!$B:$B,Summary!$B34)</f>
        <v>1961</v>
      </c>
      <c r="AH34" s="116">
        <f>SUMIFS('IS Proforma'!AH:AH,'IS Proforma'!$B:$B,Summary!$B34)</f>
        <v>2362</v>
      </c>
      <c r="AI34" s="116">
        <f>SUMIFS('IS Proforma'!AI:AI,'IS Proforma'!$B:$B,Summary!$B34)</f>
        <v>1582</v>
      </c>
      <c r="AJ34" s="116">
        <f>SUMIFS('IS Proforma'!AJ:AJ,'IS Proforma'!$B:$B,Summary!$B34)</f>
        <v>1027</v>
      </c>
      <c r="AK34" s="116">
        <f>SUMIFS('IS Proforma'!AK:AK,'IS Proforma'!$B:$B,Summary!$B34)</f>
        <v>2134</v>
      </c>
      <c r="AL34" s="116">
        <f>SUMIFS('IS Proforma'!AL:AL,'IS Proforma'!$B:$B,Summary!$B34)</f>
        <v>2058</v>
      </c>
      <c r="AM34" s="116">
        <f>SUMIFS('IS Proforma'!AM:AM,'IS Proforma'!$B:$B,Summary!$B34)</f>
        <v>39336.9375</v>
      </c>
      <c r="AN34" s="116">
        <f>SUMIFS('IS Proforma'!AN:AN,'IS Proforma'!$B:$B,Summary!$B34)</f>
        <v>65462.39687</v>
      </c>
      <c r="AO34" s="116">
        <f>SUMIFS('IS Proforma'!AO:AO,'IS Proforma'!$B:$B,Summary!$B34)</f>
        <v>72873.98023</v>
      </c>
      <c r="AP34" s="116">
        <f>SUMIFS('IS Proforma'!AP:AP,'IS Proforma'!$B:$B,Summary!$B34)</f>
        <v>75204.09349</v>
      </c>
      <c r="AQ34" s="116">
        <f>SUMIFS('IS Proforma'!AQ:AQ,'IS Proforma'!$B:$B,Summary!$B34)</f>
        <v>77035.53214</v>
      </c>
      <c r="AR34" s="116">
        <f>SUMIFS('IS Proforma'!AR:AR,'IS Proforma'!$B:$B,Summary!$B34)</f>
        <v>87013.87002</v>
      </c>
      <c r="AS34" s="116">
        <f>SUMIFS('IS Proforma'!AS:AS,'IS Proforma'!$B:$B,Summary!$B34)</f>
        <v>88595.58488</v>
      </c>
      <c r="AT34" s="116">
        <f>SUMIFS('IS Proforma'!AT:AT,'IS Proforma'!$B:$B,Summary!$B34)</f>
        <v>89121.39255</v>
      </c>
      <c r="AU34" s="116">
        <f>SUMIFS('IS Proforma'!AU:AU,'IS Proforma'!$B:$B,Summary!$B34)</f>
        <v>89607.56763</v>
      </c>
      <c r="AV34" s="116">
        <f>SUMIFS('IS Proforma'!AV:AV,'IS Proforma'!$B:$B,Summary!$B34)</f>
        <v>91419.98819</v>
      </c>
      <c r="AW34" s="116">
        <f>SUMIFS('IS Proforma'!AW:AW,'IS Proforma'!$B:$B,Summary!$B34)</f>
        <v>90114.26979</v>
      </c>
      <c r="AX34" s="116">
        <f>SUMIFS('IS Proforma'!AX:AX,'IS Proforma'!$B:$B,Summary!$B34)</f>
        <v>91197.11396</v>
      </c>
      <c r="AY34" s="116">
        <f>SUMIFS('IS Proforma'!AY:AY,'IS Proforma'!$B:$B,Summary!$B34)</f>
        <v>92671.81397</v>
      </c>
      <c r="AZ34" s="116">
        <f>SUMIFS('IS Proforma'!AZ:AZ,'IS Proforma'!$B:$B,Summary!$B34)</f>
        <v>83832.90752</v>
      </c>
      <c r="BA34" s="116">
        <f>SUMIFS('IS Proforma'!BA:BA,'IS Proforma'!$B:$B,Summary!$B34)</f>
        <v>72801.51798</v>
      </c>
      <c r="BB34" s="116">
        <f>SUMIFS('IS Proforma'!BB:BB,'IS Proforma'!$B:$B,Summary!$B34)</f>
        <v>71412.43937</v>
      </c>
      <c r="BC34" s="116">
        <f>SUMIFS('IS Proforma'!BC:BC,'IS Proforma'!$B:$B,Summary!$B34)</f>
        <v>71874.95258</v>
      </c>
      <c r="BD34" s="116">
        <f>SUMIFS('IS Proforma'!BD:BD,'IS Proforma'!$B:$B,Summary!$B34)</f>
        <v>72341.71707</v>
      </c>
      <c r="BE34" s="116">
        <f>SUMIFS('IS Proforma'!BE:BE,'IS Proforma'!$B:$B,Summary!$B34)</f>
        <v>73068.8989</v>
      </c>
      <c r="BF34" s="116">
        <f>SUMIFS('IS Proforma'!BF:BF,'IS Proforma'!$B:$B,Summary!$B34)</f>
        <v>73545.58381</v>
      </c>
      <c r="BG34" s="116">
        <f>SUMIFS('IS Proforma'!BG:BG,'IS Proforma'!$B:$B,Summary!$B34)</f>
        <v>74026.66473</v>
      </c>
      <c r="BH34" s="116">
        <f>SUMIFS('IS Proforma'!BH:BH,'IS Proforma'!$B:$B,Summary!$B34)</f>
        <v>74512.18892</v>
      </c>
      <c r="BI34" s="116">
        <f>SUMIFS('IS Proforma'!BI:BI,'IS Proforma'!$B:$B,Summary!$B34)</f>
        <v>75002.20416</v>
      </c>
      <c r="BJ34" s="116">
        <f>SUMIFS('IS Proforma'!BJ:BJ,'IS Proforma'!$B:$B,Summary!$B34)</f>
        <v>75496.75881</v>
      </c>
      <c r="BK34" s="116">
        <f>SUMIFS('IS Proforma'!BK:BK,'IS Proforma'!$B:$B,Summary!$B34)</f>
        <v>75995.9018</v>
      </c>
      <c r="BL34" s="116">
        <f>SUMIFS('IS Proforma'!BL:BL,'IS Proforma'!$B:$B,Summary!$B34)</f>
        <v>76764.59193</v>
      </c>
      <c r="BM34" s="116">
        <f>SUMIFS('IS Proforma'!BM:BM,'IS Proforma'!$B:$B,Summary!$B34)</f>
        <v>77448.94923</v>
      </c>
      <c r="BN34" s="116">
        <f>SUMIFS('IS Proforma'!BN:BN,'IS Proforma'!$B:$B,Summary!$B34)</f>
        <v>77953.04767</v>
      </c>
      <c r="BO34" s="116">
        <f>SUMIFS('IS Proforma'!BO:BO,'IS Proforma'!$B:$B,Summary!$B34)</f>
        <v>78461.66771</v>
      </c>
      <c r="BP34" s="116">
        <f>SUMIFS('IS Proforma'!BP:BP,'IS Proforma'!$B:$B,Summary!$B34)</f>
        <v>78974.856</v>
      </c>
      <c r="BQ34" s="116">
        <f>SUMIFS('IS Proforma'!BQ:BQ,'IS Proforma'!$B:$B,Summary!$B34)</f>
        <v>79112.92389</v>
      </c>
      <c r="BR34" s="116">
        <f>SUMIFS('IS Proforma'!BR:BR,'IS Proforma'!$B:$B,Summary!$B34)</f>
        <v>79633.49204</v>
      </c>
      <c r="BS34" s="116">
        <f>SUMIFS('IS Proforma'!BS:BS,'IS Proforma'!$B:$B,Summary!$B34)</f>
        <v>80158.76203</v>
      </c>
      <c r="BT34" s="116">
        <f>SUMIFS('IS Proforma'!BT:BT,'IS Proforma'!$B:$B,Summary!$B34)</f>
        <v>80688.7826</v>
      </c>
      <c r="BU34" s="116">
        <f>SUMIFS('IS Proforma'!BU:BU,'IS Proforma'!$B:$B,Summary!$B34)</f>
        <v>81223.60302</v>
      </c>
      <c r="BV34" s="116">
        <f>SUMIFS('IS Proforma'!BV:BV,'IS Proforma'!$B:$B,Summary!$B34)</f>
        <v>81763.2731</v>
      </c>
      <c r="BW34" s="116">
        <f>SUMIFS('IS Proforma'!BW:BW,'IS Proforma'!$B:$B,Summary!$B34)</f>
        <v>82307.84322</v>
      </c>
      <c r="BX34" s="116">
        <f>SUMIFS('IS Proforma'!BX:BX,'IS Proforma'!$B:$B,Summary!$B34)</f>
        <v>84993.22926</v>
      </c>
      <c r="BY34" s="116">
        <f>SUMIFS('IS Proforma'!BY:BY,'IS Proforma'!$B:$B,Summary!$B34)</f>
        <v>85633.20029</v>
      </c>
      <c r="BZ34" s="116">
        <f>SUMIFS('IS Proforma'!BZ:BZ,'IS Proforma'!$B:$B,Summary!$B34)</f>
        <v>85209.3806</v>
      </c>
      <c r="CA34" s="116">
        <f>SUMIFS('IS Proforma'!CA:CA,'IS Proforma'!$B:$B,Summary!$B34)</f>
        <v>84858.38343</v>
      </c>
      <c r="CB34" s="116">
        <f>SUMIFS('IS Proforma'!CB:CB,'IS Proforma'!$B:$B,Summary!$B34)</f>
        <v>85496.37225</v>
      </c>
      <c r="CC34" s="116">
        <f>SUMIFS('IS Proforma'!CC:CC,'IS Proforma'!$B:$B,Summary!$B34)</f>
        <v>86143.02053</v>
      </c>
      <c r="CD34" s="116">
        <f>SUMIFS('IS Proforma'!CD:CD,'IS Proforma'!$B:$B,Summary!$B34)</f>
        <v>86798.51139</v>
      </c>
      <c r="CE34" s="116">
        <f>SUMIFS('IS Proforma'!CE:CE,'IS Proforma'!$B:$B,Summary!$B34)</f>
        <v>87463.03299</v>
      </c>
      <c r="CF34" s="116">
        <f>SUMIFS('IS Proforma'!CF:CF,'IS Proforma'!$B:$B,Summary!$B34)</f>
        <v>88136.77864</v>
      </c>
      <c r="CG34" s="116">
        <f>SUMIFS('IS Proforma'!CG:CG,'IS Proforma'!$B:$B,Summary!$B34)</f>
        <v>88819.94696</v>
      </c>
      <c r="CH34" s="116">
        <f>SUMIFS('IS Proforma'!CH:CH,'IS Proforma'!$B:$B,Summary!$B34)</f>
        <v>89512.74207</v>
      </c>
      <c r="CI34" s="116">
        <f>SUMIFS('IS Proforma'!CI:CI,'IS Proforma'!$B:$B,Summary!$B34)</f>
        <v>90215.37374</v>
      </c>
      <c r="CJ34" s="116">
        <f>SUMIFS('IS Proforma'!CJ:CJ,'IS Proforma'!$B:$B,Summary!$B34)</f>
        <v>99253.04967</v>
      </c>
      <c r="CK34" s="116">
        <f>SUMIFS('IS Proforma'!CK:CK,'IS Proforma'!$B:$B,Summary!$B34)</f>
        <v>99672.60472</v>
      </c>
      <c r="CL34" s="116">
        <f>SUMIFS('IS Proforma'!CL:CL,'IS Proforma'!$B:$B,Summary!$B34)</f>
        <v>97542.5219</v>
      </c>
      <c r="CM34" s="116">
        <f>SUMIFS('IS Proforma'!CM:CM,'IS Proforma'!$B:$B,Summary!$B34)</f>
        <v>92596.4892</v>
      </c>
      <c r="CN34" s="116">
        <f>SUMIFS('IS Proforma'!CN:CN,'IS Proforma'!$B:$B,Summary!$B34)</f>
        <v>92984.80585</v>
      </c>
      <c r="CO34" s="116">
        <f>SUMIFS('IS Proforma'!CO:CO,'IS Proforma'!$B:$B,Summary!$B34)</f>
        <v>93381.39487</v>
      </c>
      <c r="CP34" s="116">
        <f>SUMIFS('IS Proforma'!CP:CP,'IS Proforma'!$B:$B,Summary!$B34)</f>
        <v>93786.20512</v>
      </c>
      <c r="CQ34" s="116">
        <f>SUMIFS('IS Proforma'!CQ:CQ,'IS Proforma'!$B:$B,Summary!$B34)</f>
        <v>94199.18854</v>
      </c>
      <c r="CR34" s="116">
        <f>SUMIFS('IS Proforma'!CR:CR,'IS Proforma'!$B:$B,Summary!$B34)</f>
        <v>94620.29999</v>
      </c>
      <c r="CS34" s="116">
        <f>SUMIFS('IS Proforma'!CS:CS,'IS Proforma'!$B:$B,Summary!$B34)</f>
        <v>95049.49731</v>
      </c>
      <c r="CT34" s="116">
        <f>SUMIFS('IS Proforma'!CT:CT,'IS Proforma'!$B:$B,Summary!$B34)</f>
        <v>95486.74117</v>
      </c>
      <c r="CU34" s="116">
        <f>SUMIFS('IS Proforma'!CU:CU,'IS Proforma'!$B:$B,Summary!$B34)</f>
        <v>95931.99506</v>
      </c>
      <c r="CW34" s="117">
        <f t="shared" si="87"/>
        <v>6333</v>
      </c>
      <c r="CX34" s="117">
        <f t="shared" si="88"/>
        <v>6460</v>
      </c>
      <c r="CY34" s="117">
        <f t="shared" si="89"/>
        <v>6756</v>
      </c>
      <c r="CZ34" s="117">
        <f t="shared" si="90"/>
        <v>7534</v>
      </c>
      <c r="DA34" s="117">
        <f t="shared" si="91"/>
        <v>7742</v>
      </c>
      <c r="DB34" s="117">
        <f t="shared" si="92"/>
        <v>7002</v>
      </c>
      <c r="DC34" s="117">
        <f t="shared" si="93"/>
        <v>7350</v>
      </c>
      <c r="DD34" s="117">
        <f t="shared" si="94"/>
        <v>7176</v>
      </c>
      <c r="DE34" s="117">
        <f t="shared" si="95"/>
        <v>44555.9375</v>
      </c>
      <c r="DF34" s="117">
        <f t="shared" si="96"/>
        <v>290576.0027</v>
      </c>
      <c r="DG34" s="117">
        <f t="shared" si="97"/>
        <v>354338.4151</v>
      </c>
      <c r="DH34" s="117">
        <f t="shared" si="98"/>
        <v>365403.1859</v>
      </c>
      <c r="DI34" s="117">
        <f t="shared" si="99"/>
        <v>299921.8174</v>
      </c>
      <c r="DJ34" s="117">
        <f t="shared" si="100"/>
        <v>292982.8645</v>
      </c>
      <c r="DK34" s="117">
        <f t="shared" si="101"/>
        <v>301007.0537</v>
      </c>
      <c r="DL34" s="117">
        <f t="shared" si="102"/>
        <v>310628.2565</v>
      </c>
      <c r="DM34" s="117">
        <f t="shared" si="103"/>
        <v>317880.034</v>
      </c>
      <c r="DN34" s="117">
        <f t="shared" si="104"/>
        <v>325983.5019</v>
      </c>
      <c r="DO34" s="117">
        <f t="shared" si="105"/>
        <v>340694.1936</v>
      </c>
      <c r="DP34" s="117">
        <f t="shared" si="106"/>
        <v>345900.9372</v>
      </c>
      <c r="DQ34" s="117">
        <f t="shared" si="107"/>
        <v>356684.8414</v>
      </c>
      <c r="DR34" s="117">
        <f t="shared" si="108"/>
        <v>389064.6655</v>
      </c>
      <c r="DS34" s="117">
        <f t="shared" si="109"/>
        <v>374351.5944</v>
      </c>
      <c r="DT34" s="117">
        <f t="shared" si="110"/>
        <v>381088.5335</v>
      </c>
      <c r="DV34" s="117">
        <f t="shared" si="111"/>
        <v>19549</v>
      </c>
      <c r="DW34" s="117">
        <f t="shared" si="112"/>
        <v>22278</v>
      </c>
      <c r="DX34" s="117">
        <f t="shared" si="113"/>
        <v>59081.9375</v>
      </c>
      <c r="DY34" s="117">
        <f t="shared" si="114"/>
        <v>1010317.604</v>
      </c>
      <c r="DZ34" s="117">
        <f t="shared" si="115"/>
        <v>893911.7356</v>
      </c>
      <c r="EA34" s="117">
        <f t="shared" si="116"/>
        <v>954491.7924</v>
      </c>
      <c r="EB34" s="117">
        <f t="shared" si="117"/>
        <v>1043279.972</v>
      </c>
      <c r="EC34" s="117">
        <f t="shared" si="118"/>
        <v>1144504.793</v>
      </c>
      <c r="ED34" s="118"/>
      <c r="EE34" s="118"/>
    </row>
    <row r="35" ht="15.75" customHeight="1" outlineLevel="1">
      <c r="B35" s="1" t="s">
        <v>66</v>
      </c>
      <c r="C35" s="1" t="s">
        <v>109</v>
      </c>
      <c r="D35" s="116">
        <f>SUMIFS('IS Proforma'!D:D,'IS Proforma'!$B:$B,Summary!$B35)</f>
        <v>3184</v>
      </c>
      <c r="E35" s="116">
        <f>SUMIFS('IS Proforma'!E:E,'IS Proforma'!$B:$B,Summary!$B35)</f>
        <v>2960</v>
      </c>
      <c r="F35" s="116">
        <f>SUMIFS('IS Proforma'!F:F,'IS Proforma'!$B:$B,Summary!$B35)</f>
        <v>3386</v>
      </c>
      <c r="G35" s="116">
        <f>SUMIFS('IS Proforma'!G:G,'IS Proforma'!$B:$B,Summary!$B35)</f>
        <v>3984</v>
      </c>
      <c r="H35" s="116">
        <f>SUMIFS('IS Proforma'!H:H,'IS Proforma'!$B:$B,Summary!$B35)</f>
        <v>3669</v>
      </c>
      <c r="I35" s="116">
        <f>SUMIFS('IS Proforma'!I:I,'IS Proforma'!$B:$B,Summary!$B35)</f>
        <v>2888</v>
      </c>
      <c r="J35" s="116">
        <f>SUMIFS('IS Proforma'!J:J,'IS Proforma'!$B:$B,Summary!$B35)</f>
        <v>3969</v>
      </c>
      <c r="K35" s="116">
        <f>SUMIFS('IS Proforma'!K:K,'IS Proforma'!$B:$B,Summary!$B35)</f>
        <v>3815</v>
      </c>
      <c r="L35" s="116">
        <f>SUMIFS('IS Proforma'!L:L,'IS Proforma'!$B:$B,Summary!$B35)</f>
        <v>3436</v>
      </c>
      <c r="M35" s="116">
        <f>SUMIFS('IS Proforma'!M:M,'IS Proforma'!$B:$B,Summary!$B35)</f>
        <v>3118</v>
      </c>
      <c r="N35" s="116">
        <f>SUMIFS('IS Proforma'!N:N,'IS Proforma'!$B:$B,Summary!$B35)</f>
        <v>2414</v>
      </c>
      <c r="O35" s="116">
        <f>SUMIFS('IS Proforma'!O:O,'IS Proforma'!$B:$B,Summary!$B35)</f>
        <v>3567</v>
      </c>
      <c r="P35" s="116">
        <f>SUMIFS('IS Proforma'!P:P,'IS Proforma'!$B:$B,Summary!$B35)</f>
        <v>3211</v>
      </c>
      <c r="Q35" s="116">
        <f>SUMIFS('IS Proforma'!Q:Q,'IS Proforma'!$B:$B,Summary!$B35)</f>
        <v>2565</v>
      </c>
      <c r="R35" s="116">
        <f>SUMIFS('IS Proforma'!R:R,'IS Proforma'!$B:$B,Summary!$B35)</f>
        <v>3699</v>
      </c>
      <c r="S35" s="116">
        <f>SUMIFS('IS Proforma'!S:S,'IS Proforma'!$B:$B,Summary!$B35)</f>
        <v>2872</v>
      </c>
      <c r="T35" s="116">
        <f>SUMIFS('IS Proforma'!T:T,'IS Proforma'!$B:$B,Summary!$B35)</f>
        <v>4140</v>
      </c>
      <c r="U35" s="116">
        <f>SUMIFS('IS Proforma'!U:U,'IS Proforma'!$B:$B,Summary!$B35)</f>
        <v>3926</v>
      </c>
      <c r="V35" s="116">
        <f>SUMIFS('IS Proforma'!V:V,'IS Proforma'!$B:$B,Summary!$B35)</f>
        <v>3219</v>
      </c>
      <c r="W35" s="116">
        <f>SUMIFS('IS Proforma'!W:W,'IS Proforma'!$B:$B,Summary!$B35)</f>
        <v>3194</v>
      </c>
      <c r="X35" s="116">
        <f>SUMIFS('IS Proforma'!X:X,'IS Proforma'!$B:$B,Summary!$B35)</f>
        <v>3052</v>
      </c>
      <c r="Y35" s="116">
        <f>SUMIFS('IS Proforma'!Y:Y,'IS Proforma'!$B:$B,Summary!$B35)</f>
        <v>2978</v>
      </c>
      <c r="Z35" s="116">
        <f>SUMIFS('IS Proforma'!Z:Z,'IS Proforma'!$B:$B,Summary!$B35)</f>
        <v>3955</v>
      </c>
      <c r="AA35" s="116">
        <f>SUMIFS('IS Proforma'!AA:AA,'IS Proforma'!$B:$B,Summary!$B35)</f>
        <v>3349</v>
      </c>
      <c r="AB35" s="116">
        <f>SUMIFS('IS Proforma'!AB:AB,'IS Proforma'!$B:$B,Summary!$B35)</f>
        <v>4002</v>
      </c>
      <c r="AC35" s="116">
        <f>SUMIFS('IS Proforma'!AC:AC,'IS Proforma'!$B:$B,Summary!$B35)</f>
        <v>2406</v>
      </c>
      <c r="AD35" s="116">
        <f>SUMIFS('IS Proforma'!AD:AD,'IS Proforma'!$B:$B,Summary!$B35)</f>
        <v>2835</v>
      </c>
      <c r="AE35" s="116">
        <f>SUMIFS('IS Proforma'!AE:AE,'IS Proforma'!$B:$B,Summary!$B35)</f>
        <v>3667</v>
      </c>
      <c r="AF35" s="116">
        <f>SUMIFS('IS Proforma'!AF:AF,'IS Proforma'!$B:$B,Summary!$B35)</f>
        <v>3879</v>
      </c>
      <c r="AG35" s="116">
        <f>SUMIFS('IS Proforma'!AG:AG,'IS Proforma'!$B:$B,Summary!$B35)</f>
        <v>4346</v>
      </c>
      <c r="AH35" s="116">
        <f>SUMIFS('IS Proforma'!AH:AH,'IS Proforma'!$B:$B,Summary!$B35)</f>
        <v>3474</v>
      </c>
      <c r="AI35" s="116">
        <f>SUMIFS('IS Proforma'!AI:AI,'IS Proforma'!$B:$B,Summary!$B35)</f>
        <v>3404</v>
      </c>
      <c r="AJ35" s="116">
        <f>SUMIFS('IS Proforma'!AJ:AJ,'IS Proforma'!$B:$B,Summary!$B35)</f>
        <v>3606</v>
      </c>
      <c r="AK35" s="116">
        <f>SUMIFS('IS Proforma'!AK:AK,'IS Proforma'!$B:$B,Summary!$B35)</f>
        <v>4087</v>
      </c>
      <c r="AL35" s="116">
        <f>SUMIFS('IS Proforma'!AL:AL,'IS Proforma'!$B:$B,Summary!$B35)</f>
        <v>3657</v>
      </c>
      <c r="AM35" s="116">
        <f>SUMIFS('IS Proforma'!AM:AM,'IS Proforma'!$B:$B,Summary!$B35)</f>
        <v>15483.73</v>
      </c>
      <c r="AN35" s="116">
        <f>SUMIFS('IS Proforma'!AN:AN,'IS Proforma'!$B:$B,Summary!$B35)</f>
        <v>20517.07365</v>
      </c>
      <c r="AO35" s="116">
        <f>SUMIFS('IS Proforma'!AO:AO,'IS Proforma'!$B:$B,Summary!$B35)</f>
        <v>20575.58402</v>
      </c>
      <c r="AP35" s="116">
        <f>SUMIFS('IS Proforma'!AP:AP,'IS Proforma'!$B:$B,Summary!$B35)</f>
        <v>20634.38694</v>
      </c>
      <c r="AQ35" s="116">
        <f>SUMIFS('IS Proforma'!AQ:AQ,'IS Proforma'!$B:$B,Summary!$B35)</f>
        <v>20693.48387</v>
      </c>
      <c r="AR35" s="116">
        <f>SUMIFS('IS Proforma'!AR:AR,'IS Proforma'!$B:$B,Summary!$B35)</f>
        <v>20752.87629</v>
      </c>
      <c r="AS35" s="116">
        <f>SUMIFS('IS Proforma'!AS:AS,'IS Proforma'!$B:$B,Summary!$B35)</f>
        <v>20812.56567</v>
      </c>
      <c r="AT35" s="116">
        <f>SUMIFS('IS Proforma'!AT:AT,'IS Proforma'!$B:$B,Summary!$B35)</f>
        <v>20872.5535</v>
      </c>
      <c r="AU35" s="116">
        <f>SUMIFS('IS Proforma'!AU:AU,'IS Proforma'!$B:$B,Summary!$B35)</f>
        <v>20932.84127</v>
      </c>
      <c r="AV35" s="116">
        <f>SUMIFS('IS Proforma'!AV:AV,'IS Proforma'!$B:$B,Summary!$B35)</f>
        <v>20993.43048</v>
      </c>
      <c r="AW35" s="116">
        <f>SUMIFS('IS Proforma'!AW:AW,'IS Proforma'!$B:$B,Summary!$B35)</f>
        <v>21054.32263</v>
      </c>
      <c r="AX35" s="116">
        <f>SUMIFS('IS Proforma'!AX:AX,'IS Proforma'!$B:$B,Summary!$B35)</f>
        <v>21115.51924</v>
      </c>
      <c r="AY35" s="116">
        <f>SUMIFS('IS Proforma'!AY:AY,'IS Proforma'!$B:$B,Summary!$B35)</f>
        <v>21177.02184</v>
      </c>
      <c r="AZ35" s="116">
        <f>SUMIFS('IS Proforma'!AZ:AZ,'IS Proforma'!$B:$B,Summary!$B35)</f>
        <v>21232.90695</v>
      </c>
      <c r="BA35" s="116">
        <f>SUMIFS('IS Proforma'!BA:BA,'IS Proforma'!$B:$B,Summary!$B35)</f>
        <v>21289.07148</v>
      </c>
      <c r="BB35" s="116">
        <f>SUMIFS('IS Proforma'!BB:BB,'IS Proforma'!$B:$B,Summary!$B35)</f>
        <v>21345.51684</v>
      </c>
      <c r="BC35" s="116">
        <f>SUMIFS('IS Proforma'!BC:BC,'IS Proforma'!$B:$B,Summary!$B35)</f>
        <v>21402.24442</v>
      </c>
      <c r="BD35" s="116">
        <f>SUMIFS('IS Proforma'!BD:BD,'IS Proforma'!$B:$B,Summary!$B35)</f>
        <v>21459.25565</v>
      </c>
      <c r="BE35" s="116">
        <f>SUMIFS('IS Proforma'!BE:BE,'IS Proforma'!$B:$B,Summary!$B35)</f>
        <v>21516.55192</v>
      </c>
      <c r="BF35" s="116">
        <f>SUMIFS('IS Proforma'!BF:BF,'IS Proforma'!$B:$B,Summary!$B35)</f>
        <v>21574.13468</v>
      </c>
      <c r="BG35" s="116">
        <f>SUMIFS('IS Proforma'!BG:BG,'IS Proforma'!$B:$B,Summary!$B35)</f>
        <v>21632.00536</v>
      </c>
      <c r="BH35" s="116">
        <f>SUMIFS('IS Proforma'!BH:BH,'IS Proforma'!$B:$B,Summary!$B35)</f>
        <v>21690.16538</v>
      </c>
      <c r="BI35" s="116">
        <f>SUMIFS('IS Proforma'!BI:BI,'IS Proforma'!$B:$B,Summary!$B35)</f>
        <v>21748.61621</v>
      </c>
      <c r="BJ35" s="116">
        <f>SUMIFS('IS Proforma'!BJ:BJ,'IS Proforma'!$B:$B,Summary!$B35)</f>
        <v>21807.35929</v>
      </c>
      <c r="BK35" s="116">
        <f>SUMIFS('IS Proforma'!BK:BK,'IS Proforma'!$B:$B,Summary!$B35)</f>
        <v>21866.39609</v>
      </c>
      <c r="BL35" s="116">
        <f>SUMIFS('IS Proforma'!BL:BL,'IS Proforma'!$B:$B,Summary!$B35)</f>
        <v>21925.72807</v>
      </c>
      <c r="BM35" s="116">
        <f>SUMIFS('IS Proforma'!BM:BM,'IS Proforma'!$B:$B,Summary!$B35)</f>
        <v>21985.35671</v>
      </c>
      <c r="BN35" s="116">
        <f>SUMIFS('IS Proforma'!BN:BN,'IS Proforma'!$B:$B,Summary!$B35)</f>
        <v>22045.28349</v>
      </c>
      <c r="BO35" s="116">
        <f>SUMIFS('IS Proforma'!BO:BO,'IS Proforma'!$B:$B,Summary!$B35)</f>
        <v>22105.50991</v>
      </c>
      <c r="BP35" s="116">
        <f>SUMIFS('IS Proforma'!BP:BP,'IS Proforma'!$B:$B,Summary!$B35)</f>
        <v>22166.03746</v>
      </c>
      <c r="BQ35" s="116">
        <f>SUMIFS('IS Proforma'!BQ:BQ,'IS Proforma'!$B:$B,Summary!$B35)</f>
        <v>22226.86765</v>
      </c>
      <c r="BR35" s="116">
        <f>SUMIFS('IS Proforma'!BR:BR,'IS Proforma'!$B:$B,Summary!$B35)</f>
        <v>22288.00198</v>
      </c>
      <c r="BS35" s="116">
        <f>SUMIFS('IS Proforma'!BS:BS,'IS Proforma'!$B:$B,Summary!$B35)</f>
        <v>22349.44199</v>
      </c>
      <c r="BT35" s="116">
        <f>SUMIFS('IS Proforma'!BT:BT,'IS Proforma'!$B:$B,Summary!$B35)</f>
        <v>22411.1892</v>
      </c>
      <c r="BU35" s="116">
        <f>SUMIFS('IS Proforma'!BU:BU,'IS Proforma'!$B:$B,Summary!$B35)</f>
        <v>22473.24515</v>
      </c>
      <c r="BV35" s="116">
        <f>SUMIFS('IS Proforma'!BV:BV,'IS Proforma'!$B:$B,Summary!$B35)</f>
        <v>22535.61138</v>
      </c>
      <c r="BW35" s="116">
        <f>SUMIFS('IS Proforma'!BW:BW,'IS Proforma'!$B:$B,Summary!$B35)</f>
        <v>22598.28943</v>
      </c>
      <c r="BX35" s="116">
        <f>SUMIFS('IS Proforma'!BX:BX,'IS Proforma'!$B:$B,Summary!$B35)</f>
        <v>22661.28088</v>
      </c>
      <c r="BY35" s="116">
        <f>SUMIFS('IS Proforma'!BY:BY,'IS Proforma'!$B:$B,Summary!$B35)</f>
        <v>22724.58728</v>
      </c>
      <c r="BZ35" s="116">
        <f>SUMIFS('IS Proforma'!BZ:BZ,'IS Proforma'!$B:$B,Summary!$B35)</f>
        <v>22788.21022</v>
      </c>
      <c r="CA35" s="116">
        <f>SUMIFS('IS Proforma'!CA:CA,'IS Proforma'!$B:$B,Summary!$B35)</f>
        <v>22852.15127</v>
      </c>
      <c r="CB35" s="116">
        <f>SUMIFS('IS Proforma'!CB:CB,'IS Proforma'!$B:$B,Summary!$B35)</f>
        <v>22916.41203</v>
      </c>
      <c r="CC35" s="116">
        <f>SUMIFS('IS Proforma'!CC:CC,'IS Proforma'!$B:$B,Summary!$B35)</f>
        <v>22980.99409</v>
      </c>
      <c r="CD35" s="116">
        <f>SUMIFS('IS Proforma'!CD:CD,'IS Proforma'!$B:$B,Summary!$B35)</f>
        <v>23045.89906</v>
      </c>
      <c r="CE35" s="116">
        <f>SUMIFS('IS Proforma'!CE:CE,'IS Proforma'!$B:$B,Summary!$B35)</f>
        <v>23111.12855</v>
      </c>
      <c r="CF35" s="116">
        <f>SUMIFS('IS Proforma'!CF:CF,'IS Proforma'!$B:$B,Summary!$B35)</f>
        <v>23176.6842</v>
      </c>
      <c r="CG35" s="116">
        <f>SUMIFS('IS Proforma'!CG:CG,'IS Proforma'!$B:$B,Summary!$B35)</f>
        <v>23242.56762</v>
      </c>
      <c r="CH35" s="116">
        <f>SUMIFS('IS Proforma'!CH:CH,'IS Proforma'!$B:$B,Summary!$B35)</f>
        <v>23308.78046</v>
      </c>
      <c r="CI35" s="116">
        <f>SUMIFS('IS Proforma'!CI:CI,'IS Proforma'!$B:$B,Summary!$B35)</f>
        <v>23375.32436</v>
      </c>
      <c r="CJ35" s="116">
        <f>SUMIFS('IS Proforma'!CJ:CJ,'IS Proforma'!$B:$B,Summary!$B35)</f>
        <v>23442.20098</v>
      </c>
      <c r="CK35" s="116">
        <f>SUMIFS('IS Proforma'!CK:CK,'IS Proforma'!$B:$B,Summary!$B35)</f>
        <v>23509.41199</v>
      </c>
      <c r="CL35" s="116">
        <f>SUMIFS('IS Proforma'!CL:CL,'IS Proforma'!$B:$B,Summary!$B35)</f>
        <v>23576.95905</v>
      </c>
      <c r="CM35" s="116">
        <f>SUMIFS('IS Proforma'!CM:CM,'IS Proforma'!$B:$B,Summary!$B35)</f>
        <v>23644.84384</v>
      </c>
      <c r="CN35" s="116">
        <f>SUMIFS('IS Proforma'!CN:CN,'IS Proforma'!$B:$B,Summary!$B35)</f>
        <v>23713.06806</v>
      </c>
      <c r="CO35" s="116">
        <f>SUMIFS('IS Proforma'!CO:CO,'IS Proforma'!$B:$B,Summary!$B35)</f>
        <v>23781.6334</v>
      </c>
      <c r="CP35" s="116">
        <f>SUMIFS('IS Proforma'!CP:CP,'IS Proforma'!$B:$B,Summary!$B35)</f>
        <v>23850.54157</v>
      </c>
      <c r="CQ35" s="116">
        <f>SUMIFS('IS Proforma'!CQ:CQ,'IS Proforma'!$B:$B,Summary!$B35)</f>
        <v>23919.79428</v>
      </c>
      <c r="CR35" s="116">
        <f>SUMIFS('IS Proforma'!CR:CR,'IS Proforma'!$B:$B,Summary!$B35)</f>
        <v>23989.39325</v>
      </c>
      <c r="CS35" s="116">
        <f>SUMIFS('IS Proforma'!CS:CS,'IS Proforma'!$B:$B,Summary!$B35)</f>
        <v>24059.34021</v>
      </c>
      <c r="CT35" s="116">
        <f>SUMIFS('IS Proforma'!CT:CT,'IS Proforma'!$B:$B,Summary!$B35)</f>
        <v>24129.63691</v>
      </c>
      <c r="CU35" s="116">
        <f>SUMIFS('IS Proforma'!CU:CU,'IS Proforma'!$B:$B,Summary!$B35)</f>
        <v>24200.2851</v>
      </c>
      <c r="CW35" s="117">
        <f t="shared" si="87"/>
        <v>13514</v>
      </c>
      <c r="CX35" s="117">
        <f t="shared" si="88"/>
        <v>14341</v>
      </c>
      <c r="CY35" s="117">
        <f t="shared" si="89"/>
        <v>12535</v>
      </c>
      <c r="CZ35" s="117">
        <f t="shared" si="90"/>
        <v>12347</v>
      </c>
      <c r="DA35" s="117">
        <f t="shared" si="91"/>
        <v>14479</v>
      </c>
      <c r="DB35" s="117">
        <f t="shared" si="92"/>
        <v>13334</v>
      </c>
      <c r="DC35" s="117">
        <f t="shared" si="93"/>
        <v>12910</v>
      </c>
      <c r="DD35" s="117">
        <f t="shared" si="94"/>
        <v>15103</v>
      </c>
      <c r="DE35" s="117">
        <f t="shared" si="95"/>
        <v>26833.73</v>
      </c>
      <c r="DF35" s="117">
        <f t="shared" si="96"/>
        <v>82420.52848</v>
      </c>
      <c r="DG35" s="117">
        <f t="shared" si="97"/>
        <v>83370.83674</v>
      </c>
      <c r="DH35" s="117">
        <f t="shared" si="98"/>
        <v>84340.29418</v>
      </c>
      <c r="DI35" s="117">
        <f t="shared" si="99"/>
        <v>85269.73969</v>
      </c>
      <c r="DJ35" s="117">
        <f t="shared" si="100"/>
        <v>86181.94761</v>
      </c>
      <c r="DK35" s="117">
        <f t="shared" si="101"/>
        <v>87112.53697</v>
      </c>
      <c r="DL35" s="117">
        <f t="shared" si="102"/>
        <v>88061.87818</v>
      </c>
      <c r="DM35" s="117">
        <f t="shared" si="103"/>
        <v>89030.34909</v>
      </c>
      <c r="DN35" s="117">
        <f t="shared" si="104"/>
        <v>90018.33517</v>
      </c>
      <c r="DO35" s="117">
        <f t="shared" si="105"/>
        <v>91026.22966</v>
      </c>
      <c r="DP35" s="117">
        <f t="shared" si="106"/>
        <v>92054.43373</v>
      </c>
      <c r="DQ35" s="117">
        <f t="shared" si="107"/>
        <v>93103.35663</v>
      </c>
      <c r="DR35" s="117">
        <f t="shared" si="108"/>
        <v>94173.41585</v>
      </c>
      <c r="DS35" s="117">
        <f t="shared" si="109"/>
        <v>95265.0373</v>
      </c>
      <c r="DT35" s="117">
        <f t="shared" si="110"/>
        <v>96378.65547</v>
      </c>
      <c r="DV35" s="117">
        <f t="shared" si="111"/>
        <v>40390</v>
      </c>
      <c r="DW35" s="117">
        <f t="shared" si="112"/>
        <v>40160</v>
      </c>
      <c r="DX35" s="117">
        <f t="shared" si="113"/>
        <v>54846.73</v>
      </c>
      <c r="DY35" s="117">
        <f t="shared" si="114"/>
        <v>250131.6594</v>
      </c>
      <c r="DZ35" s="117">
        <f t="shared" si="115"/>
        <v>258564.2243</v>
      </c>
      <c r="EA35" s="117">
        <f t="shared" si="116"/>
        <v>267110.5624</v>
      </c>
      <c r="EB35" s="117">
        <f t="shared" si="117"/>
        <v>276184.02</v>
      </c>
      <c r="EC35" s="117">
        <f t="shared" si="118"/>
        <v>285817.1086</v>
      </c>
      <c r="ED35" s="118"/>
      <c r="EE35" s="118"/>
    </row>
    <row r="36" ht="15.75" customHeight="1" outlineLevel="1">
      <c r="B36" s="91" t="s">
        <v>70</v>
      </c>
      <c r="C36" s="1" t="s">
        <v>110</v>
      </c>
      <c r="D36" s="116">
        <f>SUMIFS('IS Proforma'!D:D,'IS Proforma'!$B:$B,Summary!$B36)</f>
        <v>2262</v>
      </c>
      <c r="E36" s="116">
        <f>SUMIFS('IS Proforma'!E:E,'IS Proforma'!$B:$B,Summary!$B36)</f>
        <v>1961</v>
      </c>
      <c r="F36" s="116">
        <f>SUMIFS('IS Proforma'!F:F,'IS Proforma'!$B:$B,Summary!$B36)</f>
        <v>1511</v>
      </c>
      <c r="G36" s="116">
        <f>SUMIFS('IS Proforma'!G:G,'IS Proforma'!$B:$B,Summary!$B36)</f>
        <v>2400</v>
      </c>
      <c r="H36" s="116">
        <f>SUMIFS('IS Proforma'!H:H,'IS Proforma'!$B:$B,Summary!$B36)</f>
        <v>2337</v>
      </c>
      <c r="I36" s="116">
        <f>SUMIFS('IS Proforma'!I:I,'IS Proforma'!$B:$B,Summary!$B36)</f>
        <v>1328</v>
      </c>
      <c r="J36" s="116">
        <f>SUMIFS('IS Proforma'!J:J,'IS Proforma'!$B:$B,Summary!$B36)</f>
        <v>2098</v>
      </c>
      <c r="K36" s="116">
        <f>SUMIFS('IS Proforma'!K:K,'IS Proforma'!$B:$B,Summary!$B36)</f>
        <v>1371</v>
      </c>
      <c r="L36" s="116">
        <f>SUMIFS('IS Proforma'!L:L,'IS Proforma'!$B:$B,Summary!$B36)</f>
        <v>1267</v>
      </c>
      <c r="M36" s="116">
        <f>SUMIFS('IS Proforma'!M:M,'IS Proforma'!$B:$B,Summary!$B36)</f>
        <v>1067</v>
      </c>
      <c r="N36" s="116">
        <f>SUMIFS('IS Proforma'!N:N,'IS Proforma'!$B:$B,Summary!$B36)</f>
        <v>2117</v>
      </c>
      <c r="O36" s="116">
        <f>SUMIFS('IS Proforma'!O:O,'IS Proforma'!$B:$B,Summary!$B36)</f>
        <v>1435</v>
      </c>
      <c r="P36" s="116">
        <f>SUMIFS('IS Proforma'!P:P,'IS Proforma'!$B:$B,Summary!$B36)</f>
        <v>2355</v>
      </c>
      <c r="Q36" s="116">
        <f>SUMIFS('IS Proforma'!Q:Q,'IS Proforma'!$B:$B,Summary!$B36)</f>
        <v>1011</v>
      </c>
      <c r="R36" s="116">
        <f>SUMIFS('IS Proforma'!R:R,'IS Proforma'!$B:$B,Summary!$B36)</f>
        <v>1217</v>
      </c>
      <c r="S36" s="116">
        <f>SUMIFS('IS Proforma'!S:S,'IS Proforma'!$B:$B,Summary!$B36)</f>
        <v>1485</v>
      </c>
      <c r="T36" s="116">
        <f>SUMIFS('IS Proforma'!T:T,'IS Proforma'!$B:$B,Summary!$B36)</f>
        <v>2024</v>
      </c>
      <c r="U36" s="116">
        <f>SUMIFS('IS Proforma'!U:U,'IS Proforma'!$B:$B,Summary!$B36)</f>
        <v>2283</v>
      </c>
      <c r="V36" s="116">
        <f>SUMIFS('IS Proforma'!V:V,'IS Proforma'!$B:$B,Summary!$B36)</f>
        <v>1546</v>
      </c>
      <c r="W36" s="116">
        <f>SUMIFS('IS Proforma'!W:W,'IS Proforma'!$B:$B,Summary!$B36)</f>
        <v>1301</v>
      </c>
      <c r="X36" s="116">
        <f>SUMIFS('IS Proforma'!X:X,'IS Proforma'!$B:$B,Summary!$B36)</f>
        <v>1214</v>
      </c>
      <c r="Y36" s="116">
        <f>SUMIFS('IS Proforma'!Y:Y,'IS Proforma'!$B:$B,Summary!$B36)</f>
        <v>2290</v>
      </c>
      <c r="Z36" s="116">
        <f>SUMIFS('IS Proforma'!Z:Z,'IS Proforma'!$B:$B,Summary!$B36)</f>
        <v>2072</v>
      </c>
      <c r="AA36" s="116">
        <f>SUMIFS('IS Proforma'!AA:AA,'IS Proforma'!$B:$B,Summary!$B36)</f>
        <v>2319</v>
      </c>
      <c r="AB36" s="116">
        <f>SUMIFS('IS Proforma'!AB:AB,'IS Proforma'!$B:$B,Summary!$B36)</f>
        <v>2164</v>
      </c>
      <c r="AC36" s="116">
        <f>SUMIFS('IS Proforma'!AC:AC,'IS Proforma'!$B:$B,Summary!$B36)</f>
        <v>1688</v>
      </c>
      <c r="AD36" s="116">
        <f>SUMIFS('IS Proforma'!AD:AD,'IS Proforma'!$B:$B,Summary!$B36)</f>
        <v>2037</v>
      </c>
      <c r="AE36" s="116">
        <f>SUMIFS('IS Proforma'!AE:AE,'IS Proforma'!$B:$B,Summary!$B36)</f>
        <v>2131</v>
      </c>
      <c r="AF36" s="116">
        <f>SUMIFS('IS Proforma'!AF:AF,'IS Proforma'!$B:$B,Summary!$B36)</f>
        <v>1392</v>
      </c>
      <c r="AG36" s="116">
        <f>SUMIFS('IS Proforma'!AG:AG,'IS Proforma'!$B:$B,Summary!$B36)</f>
        <v>1200</v>
      </c>
      <c r="AH36" s="116">
        <f>SUMIFS('IS Proforma'!AH:AH,'IS Proforma'!$B:$B,Summary!$B36)</f>
        <v>2014</v>
      </c>
      <c r="AI36" s="116">
        <f>SUMIFS('IS Proforma'!AI:AI,'IS Proforma'!$B:$B,Summary!$B36)</f>
        <v>1314</v>
      </c>
      <c r="AJ36" s="116">
        <f>SUMIFS('IS Proforma'!AJ:AJ,'IS Proforma'!$B:$B,Summary!$B36)</f>
        <v>2048</v>
      </c>
      <c r="AK36" s="116">
        <f>SUMIFS('IS Proforma'!AK:AK,'IS Proforma'!$B:$B,Summary!$B36)</f>
        <v>1053</v>
      </c>
      <c r="AL36" s="116">
        <f>SUMIFS('IS Proforma'!AL:AL,'IS Proforma'!$B:$B,Summary!$B36)</f>
        <v>1913</v>
      </c>
      <c r="AM36" s="116">
        <f>SUMIFS('IS Proforma'!AM:AM,'IS Proforma'!$B:$B,Summary!$B36)</f>
        <v>2494.2</v>
      </c>
      <c r="AN36" s="116">
        <f>SUMIFS('IS Proforma'!AN:AN,'IS Proforma'!$B:$B,Summary!$B36)</f>
        <v>5494.2</v>
      </c>
      <c r="AO36" s="116">
        <f>SUMIFS('IS Proforma'!AO:AO,'IS Proforma'!$B:$B,Summary!$B36)</f>
        <v>5494.2</v>
      </c>
      <c r="AP36" s="116">
        <f>SUMIFS('IS Proforma'!AP:AP,'IS Proforma'!$B:$B,Summary!$B36)</f>
        <v>5494.2</v>
      </c>
      <c r="AQ36" s="116">
        <f>SUMIFS('IS Proforma'!AQ:AQ,'IS Proforma'!$B:$B,Summary!$B36)</f>
        <v>5494.2</v>
      </c>
      <c r="AR36" s="116">
        <f>SUMIFS('IS Proforma'!AR:AR,'IS Proforma'!$B:$B,Summary!$B36)</f>
        <v>8494.2</v>
      </c>
      <c r="AS36" s="116">
        <f>SUMIFS('IS Proforma'!AS:AS,'IS Proforma'!$B:$B,Summary!$B36)</f>
        <v>8494.2</v>
      </c>
      <c r="AT36" s="116">
        <f>SUMIFS('IS Proforma'!AT:AT,'IS Proforma'!$B:$B,Summary!$B36)</f>
        <v>8494.2</v>
      </c>
      <c r="AU36" s="116">
        <f>SUMIFS('IS Proforma'!AU:AU,'IS Proforma'!$B:$B,Summary!$B36)</f>
        <v>8494.2</v>
      </c>
      <c r="AV36" s="116">
        <f>SUMIFS('IS Proforma'!AV:AV,'IS Proforma'!$B:$B,Summary!$B36)</f>
        <v>11494.2</v>
      </c>
      <c r="AW36" s="116">
        <f>SUMIFS('IS Proforma'!AW:AW,'IS Proforma'!$B:$B,Summary!$B36)</f>
        <v>11494.2</v>
      </c>
      <c r="AX36" s="116">
        <f>SUMIFS('IS Proforma'!AX:AX,'IS Proforma'!$B:$B,Summary!$B36)</f>
        <v>11494.2</v>
      </c>
      <c r="AY36" s="116">
        <f>SUMIFS('IS Proforma'!AY:AY,'IS Proforma'!$B:$B,Summary!$B36)</f>
        <v>11494.2</v>
      </c>
      <c r="AZ36" s="116">
        <f>SUMIFS('IS Proforma'!AZ:AZ,'IS Proforma'!$B:$B,Summary!$B36)</f>
        <v>11494.2</v>
      </c>
      <c r="BA36" s="116">
        <f>SUMIFS('IS Proforma'!BA:BA,'IS Proforma'!$B:$B,Summary!$B36)</f>
        <v>11494.2</v>
      </c>
      <c r="BB36" s="116">
        <f>SUMIFS('IS Proforma'!BB:BB,'IS Proforma'!$B:$B,Summary!$B36)</f>
        <v>11494.2</v>
      </c>
      <c r="BC36" s="116">
        <f>SUMIFS('IS Proforma'!BC:BC,'IS Proforma'!$B:$B,Summary!$B36)</f>
        <v>11494.2</v>
      </c>
      <c r="BD36" s="116">
        <f>SUMIFS('IS Proforma'!BD:BD,'IS Proforma'!$B:$B,Summary!$B36)</f>
        <v>11494.2</v>
      </c>
      <c r="BE36" s="116">
        <f>SUMIFS('IS Proforma'!BE:BE,'IS Proforma'!$B:$B,Summary!$B36)</f>
        <v>11494.2</v>
      </c>
      <c r="BF36" s="116">
        <f>SUMIFS('IS Proforma'!BF:BF,'IS Proforma'!$B:$B,Summary!$B36)</f>
        <v>11494.2</v>
      </c>
      <c r="BG36" s="116">
        <f>SUMIFS('IS Proforma'!BG:BG,'IS Proforma'!$B:$B,Summary!$B36)</f>
        <v>11494.2</v>
      </c>
      <c r="BH36" s="116">
        <f>SUMIFS('IS Proforma'!BH:BH,'IS Proforma'!$B:$B,Summary!$B36)</f>
        <v>13894.2</v>
      </c>
      <c r="BI36" s="116">
        <f>SUMIFS('IS Proforma'!BI:BI,'IS Proforma'!$B:$B,Summary!$B36)</f>
        <v>13894.2</v>
      </c>
      <c r="BJ36" s="116">
        <f>SUMIFS('IS Proforma'!BJ:BJ,'IS Proforma'!$B:$B,Summary!$B36)</f>
        <v>13894.2</v>
      </c>
      <c r="BK36" s="116">
        <f>SUMIFS('IS Proforma'!BK:BK,'IS Proforma'!$B:$B,Summary!$B36)</f>
        <v>13894.2</v>
      </c>
      <c r="BL36" s="116">
        <f>SUMIFS('IS Proforma'!BL:BL,'IS Proforma'!$B:$B,Summary!$B36)</f>
        <v>19894.2</v>
      </c>
      <c r="BM36" s="116">
        <f>SUMIFS('IS Proforma'!BM:BM,'IS Proforma'!$B:$B,Summary!$B36)</f>
        <v>19894.2</v>
      </c>
      <c r="BN36" s="116">
        <f>SUMIFS('IS Proforma'!BN:BN,'IS Proforma'!$B:$B,Summary!$B36)</f>
        <v>19894.2</v>
      </c>
      <c r="BO36" s="116">
        <f>SUMIFS('IS Proforma'!BO:BO,'IS Proforma'!$B:$B,Summary!$B36)</f>
        <v>19894.2</v>
      </c>
      <c r="BP36" s="116">
        <f>SUMIFS('IS Proforma'!BP:BP,'IS Proforma'!$B:$B,Summary!$B36)</f>
        <v>25894.2</v>
      </c>
      <c r="BQ36" s="116">
        <f>SUMIFS('IS Proforma'!BQ:BQ,'IS Proforma'!$B:$B,Summary!$B36)</f>
        <v>25894.2</v>
      </c>
      <c r="BR36" s="116">
        <f>SUMIFS('IS Proforma'!BR:BR,'IS Proforma'!$B:$B,Summary!$B36)</f>
        <v>25894.2</v>
      </c>
      <c r="BS36" s="116">
        <f>SUMIFS('IS Proforma'!BS:BS,'IS Proforma'!$B:$B,Summary!$B36)</f>
        <v>25894.2</v>
      </c>
      <c r="BT36" s="116">
        <f>SUMIFS('IS Proforma'!BT:BT,'IS Proforma'!$B:$B,Summary!$B36)</f>
        <v>31894.2</v>
      </c>
      <c r="BU36" s="116">
        <f>SUMIFS('IS Proforma'!BU:BU,'IS Proforma'!$B:$B,Summary!$B36)</f>
        <v>31894.2</v>
      </c>
      <c r="BV36" s="116">
        <f>SUMIFS('IS Proforma'!BV:BV,'IS Proforma'!$B:$B,Summary!$B36)</f>
        <v>31894.2</v>
      </c>
      <c r="BW36" s="116">
        <f>SUMIFS('IS Proforma'!BW:BW,'IS Proforma'!$B:$B,Summary!$B36)</f>
        <v>31894.2</v>
      </c>
      <c r="BX36" s="116">
        <f>SUMIFS('IS Proforma'!BX:BX,'IS Proforma'!$B:$B,Summary!$B36)</f>
        <v>32014.2</v>
      </c>
      <c r="BY36" s="116">
        <f>SUMIFS('IS Proforma'!BY:BY,'IS Proforma'!$B:$B,Summary!$B36)</f>
        <v>32014.2</v>
      </c>
      <c r="BZ36" s="116">
        <f>SUMIFS('IS Proforma'!BZ:BZ,'IS Proforma'!$B:$B,Summary!$B36)</f>
        <v>32014.2</v>
      </c>
      <c r="CA36" s="116">
        <f>SUMIFS('IS Proforma'!CA:CA,'IS Proforma'!$B:$B,Summary!$B36)</f>
        <v>32014.2</v>
      </c>
      <c r="CB36" s="116">
        <f>SUMIFS('IS Proforma'!CB:CB,'IS Proforma'!$B:$B,Summary!$B36)</f>
        <v>32134.2</v>
      </c>
      <c r="CC36" s="116">
        <f>SUMIFS('IS Proforma'!CC:CC,'IS Proforma'!$B:$B,Summary!$B36)</f>
        <v>32134.2</v>
      </c>
      <c r="CD36" s="116">
        <f>SUMIFS('IS Proforma'!CD:CD,'IS Proforma'!$B:$B,Summary!$B36)</f>
        <v>32134.2</v>
      </c>
      <c r="CE36" s="116">
        <f>SUMIFS('IS Proforma'!CE:CE,'IS Proforma'!$B:$B,Summary!$B36)</f>
        <v>32134.2</v>
      </c>
      <c r="CF36" s="116">
        <f>SUMIFS('IS Proforma'!CF:CF,'IS Proforma'!$B:$B,Summary!$B36)</f>
        <v>32254.2</v>
      </c>
      <c r="CG36" s="116">
        <f>SUMIFS('IS Proforma'!CG:CG,'IS Proforma'!$B:$B,Summary!$B36)</f>
        <v>32254.2</v>
      </c>
      <c r="CH36" s="116">
        <f>SUMIFS('IS Proforma'!CH:CH,'IS Proforma'!$B:$B,Summary!$B36)</f>
        <v>32254.2</v>
      </c>
      <c r="CI36" s="116">
        <f>SUMIFS('IS Proforma'!CI:CI,'IS Proforma'!$B:$B,Summary!$B36)</f>
        <v>32254.2</v>
      </c>
      <c r="CJ36" s="116">
        <f>SUMIFS('IS Proforma'!CJ:CJ,'IS Proforma'!$B:$B,Summary!$B36)</f>
        <v>32374.2</v>
      </c>
      <c r="CK36" s="116">
        <f>SUMIFS('IS Proforma'!CK:CK,'IS Proforma'!$B:$B,Summary!$B36)</f>
        <v>32374.2</v>
      </c>
      <c r="CL36" s="116">
        <f>SUMIFS('IS Proforma'!CL:CL,'IS Proforma'!$B:$B,Summary!$B36)</f>
        <v>32374.2</v>
      </c>
      <c r="CM36" s="116">
        <f>SUMIFS('IS Proforma'!CM:CM,'IS Proforma'!$B:$B,Summary!$B36)</f>
        <v>32374.2</v>
      </c>
      <c r="CN36" s="116">
        <f>SUMIFS('IS Proforma'!CN:CN,'IS Proforma'!$B:$B,Summary!$B36)</f>
        <v>32494.2</v>
      </c>
      <c r="CO36" s="116">
        <f>SUMIFS('IS Proforma'!CO:CO,'IS Proforma'!$B:$B,Summary!$B36)</f>
        <v>32494.2</v>
      </c>
      <c r="CP36" s="116">
        <f>SUMIFS('IS Proforma'!CP:CP,'IS Proforma'!$B:$B,Summary!$B36)</f>
        <v>32494.2</v>
      </c>
      <c r="CQ36" s="116">
        <f>SUMIFS('IS Proforma'!CQ:CQ,'IS Proforma'!$B:$B,Summary!$B36)</f>
        <v>32494.2</v>
      </c>
      <c r="CR36" s="116">
        <f>SUMIFS('IS Proforma'!CR:CR,'IS Proforma'!$B:$B,Summary!$B36)</f>
        <v>33994.2</v>
      </c>
      <c r="CS36" s="116">
        <f>SUMIFS('IS Proforma'!CS:CS,'IS Proforma'!$B:$B,Summary!$B36)</f>
        <v>33994.2</v>
      </c>
      <c r="CT36" s="116">
        <f>SUMIFS('IS Proforma'!CT:CT,'IS Proforma'!$B:$B,Summary!$B36)</f>
        <v>33994.2</v>
      </c>
      <c r="CU36" s="116">
        <f>SUMIFS('IS Proforma'!CU:CU,'IS Proforma'!$B:$B,Summary!$B36)</f>
        <v>33994.2</v>
      </c>
      <c r="CW36" s="117">
        <f t="shared" si="87"/>
        <v>8134</v>
      </c>
      <c r="CX36" s="117">
        <f t="shared" si="88"/>
        <v>7134</v>
      </c>
      <c r="CY36" s="117">
        <f t="shared" si="89"/>
        <v>5886</v>
      </c>
      <c r="CZ36" s="117">
        <f t="shared" si="90"/>
        <v>6068</v>
      </c>
      <c r="DA36" s="117">
        <f t="shared" si="91"/>
        <v>7154</v>
      </c>
      <c r="DB36" s="117">
        <f t="shared" si="92"/>
        <v>7895</v>
      </c>
      <c r="DC36" s="117">
        <f t="shared" si="93"/>
        <v>8020</v>
      </c>
      <c r="DD36" s="117">
        <f t="shared" si="94"/>
        <v>5920</v>
      </c>
      <c r="DE36" s="117">
        <f t="shared" si="95"/>
        <v>7508.2</v>
      </c>
      <c r="DF36" s="117">
        <f t="shared" si="96"/>
        <v>21976.8</v>
      </c>
      <c r="DG36" s="117">
        <f t="shared" si="97"/>
        <v>33976.8</v>
      </c>
      <c r="DH36" s="117">
        <f t="shared" si="98"/>
        <v>45976.8</v>
      </c>
      <c r="DI36" s="117">
        <f t="shared" si="99"/>
        <v>45976.8</v>
      </c>
      <c r="DJ36" s="117">
        <f t="shared" si="100"/>
        <v>45976.8</v>
      </c>
      <c r="DK36" s="117">
        <f t="shared" si="101"/>
        <v>55576.8</v>
      </c>
      <c r="DL36" s="117">
        <f t="shared" si="102"/>
        <v>79576.8</v>
      </c>
      <c r="DM36" s="117">
        <f t="shared" si="103"/>
        <v>103576.8</v>
      </c>
      <c r="DN36" s="117">
        <f t="shared" si="104"/>
        <v>127576.8</v>
      </c>
      <c r="DO36" s="117">
        <f t="shared" si="105"/>
        <v>128056.8</v>
      </c>
      <c r="DP36" s="117">
        <f t="shared" si="106"/>
        <v>128536.8</v>
      </c>
      <c r="DQ36" s="117">
        <f t="shared" si="107"/>
        <v>129016.8</v>
      </c>
      <c r="DR36" s="117">
        <f t="shared" si="108"/>
        <v>129496.8</v>
      </c>
      <c r="DS36" s="117">
        <f t="shared" si="109"/>
        <v>129976.8</v>
      </c>
      <c r="DT36" s="117">
        <f t="shared" si="110"/>
        <v>135976.8</v>
      </c>
      <c r="DV36" s="117">
        <f t="shared" si="111"/>
        <v>21154</v>
      </c>
      <c r="DW36" s="117">
        <f t="shared" si="112"/>
        <v>21117</v>
      </c>
      <c r="DX36" s="117">
        <f t="shared" si="113"/>
        <v>21448.2</v>
      </c>
      <c r="DY36" s="117">
        <f t="shared" si="114"/>
        <v>101930.4</v>
      </c>
      <c r="DZ36" s="117">
        <f t="shared" si="115"/>
        <v>147530.4</v>
      </c>
      <c r="EA36" s="117">
        <f t="shared" si="116"/>
        <v>310730.4</v>
      </c>
      <c r="EB36" s="117">
        <f t="shared" si="117"/>
        <v>385610.4</v>
      </c>
      <c r="EC36" s="117">
        <f t="shared" si="118"/>
        <v>395450.4</v>
      </c>
      <c r="ED36" s="118"/>
      <c r="EE36" s="118"/>
    </row>
    <row r="37" ht="15.75" customHeight="1" outlineLevel="1">
      <c r="B37" s="91" t="s">
        <v>120</v>
      </c>
      <c r="C37" s="1" t="s">
        <v>111</v>
      </c>
      <c r="D37" s="116">
        <f>SUMIFS('IS Proforma'!D:D,'IS Proforma'!$B:$B,Summary!$B37)</f>
        <v>11095</v>
      </c>
      <c r="E37" s="116">
        <f>SUMIFS('IS Proforma'!E:E,'IS Proforma'!$B:$B,Summary!$B37)</f>
        <v>7813</v>
      </c>
      <c r="F37" s="116">
        <f>SUMIFS('IS Proforma'!F:F,'IS Proforma'!$B:$B,Summary!$B37)</f>
        <v>8556</v>
      </c>
      <c r="G37" s="116">
        <f>SUMIFS('IS Proforma'!G:G,'IS Proforma'!$B:$B,Summary!$B37)</f>
        <v>7156</v>
      </c>
      <c r="H37" s="116">
        <f>SUMIFS('IS Proforma'!H:H,'IS Proforma'!$B:$B,Summary!$B37)</f>
        <v>9864</v>
      </c>
      <c r="I37" s="116">
        <f>SUMIFS('IS Proforma'!I:I,'IS Proforma'!$B:$B,Summary!$B37)</f>
        <v>9775</v>
      </c>
      <c r="J37" s="116">
        <f>SUMIFS('IS Proforma'!J:J,'IS Proforma'!$B:$B,Summary!$B37)</f>
        <v>7170</v>
      </c>
      <c r="K37" s="116">
        <f>SUMIFS('IS Proforma'!K:K,'IS Proforma'!$B:$B,Summary!$B37)</f>
        <v>6582</v>
      </c>
      <c r="L37" s="116">
        <f>SUMIFS('IS Proforma'!L:L,'IS Proforma'!$B:$B,Summary!$B37)</f>
        <v>7935</v>
      </c>
      <c r="M37" s="116">
        <f>SUMIFS('IS Proforma'!M:M,'IS Proforma'!$B:$B,Summary!$B37)</f>
        <v>10076</v>
      </c>
      <c r="N37" s="116">
        <f>SUMIFS('IS Proforma'!N:N,'IS Proforma'!$B:$B,Summary!$B37)</f>
        <v>8977</v>
      </c>
      <c r="O37" s="116">
        <f>SUMIFS('IS Proforma'!O:O,'IS Proforma'!$B:$B,Summary!$B37)</f>
        <v>9423</v>
      </c>
      <c r="P37" s="116">
        <f>SUMIFS('IS Proforma'!P:P,'IS Proforma'!$B:$B,Summary!$B37)</f>
        <v>9572</v>
      </c>
      <c r="Q37" s="116">
        <f>SUMIFS('IS Proforma'!Q:Q,'IS Proforma'!$B:$B,Summary!$B37)</f>
        <v>8468</v>
      </c>
      <c r="R37" s="116">
        <f>SUMIFS('IS Proforma'!R:R,'IS Proforma'!$B:$B,Summary!$B37)</f>
        <v>7899</v>
      </c>
      <c r="S37" s="116">
        <f>SUMIFS('IS Proforma'!S:S,'IS Proforma'!$B:$B,Summary!$B37)</f>
        <v>9238</v>
      </c>
      <c r="T37" s="116">
        <f>SUMIFS('IS Proforma'!T:T,'IS Proforma'!$B:$B,Summary!$B37)</f>
        <v>7511</v>
      </c>
      <c r="U37" s="116">
        <f>SUMIFS('IS Proforma'!U:U,'IS Proforma'!$B:$B,Summary!$B37)</f>
        <v>7757</v>
      </c>
      <c r="V37" s="116">
        <f>SUMIFS('IS Proforma'!V:V,'IS Proforma'!$B:$B,Summary!$B37)</f>
        <v>8539</v>
      </c>
      <c r="W37" s="116">
        <f>SUMIFS('IS Proforma'!W:W,'IS Proforma'!$B:$B,Summary!$B37)</f>
        <v>7220</v>
      </c>
      <c r="X37" s="116">
        <f>SUMIFS('IS Proforma'!X:X,'IS Proforma'!$B:$B,Summary!$B37)</f>
        <v>9023</v>
      </c>
      <c r="Y37" s="116">
        <f>SUMIFS('IS Proforma'!Y:Y,'IS Proforma'!$B:$B,Summary!$B37)</f>
        <v>8450</v>
      </c>
      <c r="Z37" s="116">
        <f>SUMIFS('IS Proforma'!Z:Z,'IS Proforma'!$B:$B,Summary!$B37)</f>
        <v>8902</v>
      </c>
      <c r="AA37" s="116">
        <f>SUMIFS('IS Proforma'!AA:AA,'IS Proforma'!$B:$B,Summary!$B37)</f>
        <v>9034</v>
      </c>
      <c r="AB37" s="116">
        <f>SUMIFS('IS Proforma'!AB:AB,'IS Proforma'!$B:$B,Summary!$B37)</f>
        <v>8658</v>
      </c>
      <c r="AC37" s="116">
        <f>SUMIFS('IS Proforma'!AC:AC,'IS Proforma'!$B:$B,Summary!$B37)</f>
        <v>9182</v>
      </c>
      <c r="AD37" s="116">
        <f>SUMIFS('IS Proforma'!AD:AD,'IS Proforma'!$B:$B,Summary!$B37)</f>
        <v>9497</v>
      </c>
      <c r="AE37" s="116">
        <f>SUMIFS('IS Proforma'!AE:AE,'IS Proforma'!$B:$B,Summary!$B37)</f>
        <v>9473</v>
      </c>
      <c r="AF37" s="116">
        <f>SUMIFS('IS Proforma'!AF:AF,'IS Proforma'!$B:$B,Summary!$B37)</f>
        <v>7523</v>
      </c>
      <c r="AG37" s="116">
        <f>SUMIFS('IS Proforma'!AG:AG,'IS Proforma'!$B:$B,Summary!$B37)</f>
        <v>9014</v>
      </c>
      <c r="AH37" s="116">
        <f>SUMIFS('IS Proforma'!AH:AH,'IS Proforma'!$B:$B,Summary!$B37)</f>
        <v>7100</v>
      </c>
      <c r="AI37" s="116">
        <f>SUMIFS('IS Proforma'!AI:AI,'IS Proforma'!$B:$B,Summary!$B37)</f>
        <v>8481</v>
      </c>
      <c r="AJ37" s="116">
        <f>SUMIFS('IS Proforma'!AJ:AJ,'IS Proforma'!$B:$B,Summary!$B37)</f>
        <v>9799</v>
      </c>
      <c r="AK37" s="116">
        <f>SUMIFS('IS Proforma'!AK:AK,'IS Proforma'!$B:$B,Summary!$B37)</f>
        <v>9469</v>
      </c>
      <c r="AL37" s="116">
        <f>SUMIFS('IS Proforma'!AL:AL,'IS Proforma'!$B:$B,Summary!$B37)</f>
        <v>8293</v>
      </c>
      <c r="AM37" s="116">
        <f>SUMIFS('IS Proforma'!AM:AM,'IS Proforma'!$B:$B,Summary!$B37)</f>
        <v>8310.15</v>
      </c>
      <c r="AN37" s="116">
        <f>SUMIFS('IS Proforma'!AN:AN,'IS Proforma'!$B:$B,Summary!$B37)</f>
        <v>8559.093</v>
      </c>
      <c r="AO37" s="116">
        <f>SUMIFS('IS Proforma'!AO:AO,'IS Proforma'!$B:$B,Summary!$B37)</f>
        <v>111967.3883</v>
      </c>
      <c r="AP37" s="116">
        <f>SUMIFS('IS Proforma'!AP:AP,'IS Proforma'!$B:$B,Summary!$B37)</f>
        <v>9089.475657</v>
      </c>
      <c r="AQ37" s="116">
        <f>SUMIFS('IS Proforma'!AQ:AQ,'IS Proforma'!$B:$B,Summary!$B37)</f>
        <v>9112.899022</v>
      </c>
      <c r="AR37" s="116">
        <f>SUMIFS('IS Proforma'!AR:AR,'IS Proforma'!$B:$B,Summary!$B37)</f>
        <v>9136.439505</v>
      </c>
      <c r="AS37" s="116">
        <f>SUMIFS('IS Proforma'!AS:AS,'IS Proforma'!$B:$B,Summary!$B37)</f>
        <v>9160.09769</v>
      </c>
      <c r="AT37" s="116">
        <f>SUMIFS('IS Proforma'!AT:AT,'IS Proforma'!$B:$B,Summary!$B37)</f>
        <v>117956.0765</v>
      </c>
      <c r="AU37" s="116">
        <f>SUMIFS('IS Proforma'!AU:AU,'IS Proforma'!$B:$B,Summary!$B37)</f>
        <v>9361.96754</v>
      </c>
      <c r="AV37" s="116">
        <f>SUMIFS('IS Proforma'!AV:AV,'IS Proforma'!$B:$B,Summary!$B37)</f>
        <v>9398.607865</v>
      </c>
      <c r="AW37" s="116">
        <f>SUMIFS('IS Proforma'!AW:AW,'IS Proforma'!$B:$B,Summary!$B37)</f>
        <v>9435.431392</v>
      </c>
      <c r="AX37" s="116">
        <f>SUMIFS('IS Proforma'!AX:AX,'IS Proforma'!$B:$B,Summary!$B37)</f>
        <v>9472.439036</v>
      </c>
      <c r="AY37" s="116">
        <f>SUMIFS('IS Proforma'!AY:AY,'IS Proforma'!$B:$B,Summary!$B37)</f>
        <v>9509.631719</v>
      </c>
      <c r="AZ37" s="116">
        <f>SUMIFS('IS Proforma'!AZ:AZ,'IS Proforma'!$B:$B,Summary!$B37)</f>
        <v>120340.8263</v>
      </c>
      <c r="BA37" s="116">
        <f>SUMIFS('IS Proforma'!BA:BA,'IS Proforma'!$B:$B,Summary!$B37)</f>
        <v>9579.176698</v>
      </c>
      <c r="BB37" s="116">
        <f>SUMIFS('IS Proforma'!BB:BB,'IS Proforma'!$B:$B,Summary!$B37)</f>
        <v>9637.446501</v>
      </c>
      <c r="BC37" s="116">
        <f>SUMIFS('IS Proforma'!BC:BC,'IS Proforma'!$B:$B,Summary!$B37)</f>
        <v>9696.111393</v>
      </c>
      <c r="BD37" s="116">
        <f>SUMIFS('IS Proforma'!BD:BD,'IS Proforma'!$B:$B,Summary!$B37)</f>
        <v>9755.174385</v>
      </c>
      <c r="BE37" s="116">
        <f>SUMIFS('IS Proforma'!BE:BE,'IS Proforma'!$B:$B,Summary!$B37)</f>
        <v>9814.638517</v>
      </c>
      <c r="BF37" s="116">
        <f>SUMIFS('IS Proforma'!BF:BF,'IS Proforma'!$B:$B,Summary!$B37)</f>
        <v>113461.0276</v>
      </c>
      <c r="BG37" s="116">
        <f>SUMIFS('IS Proforma'!BG:BG,'IS Proforma'!$B:$B,Summary!$B37)</f>
        <v>10594.00154</v>
      </c>
      <c r="BH37" s="116">
        <f>SUMIFS('IS Proforma'!BH:BH,'IS Proforma'!$B:$B,Summary!$B37)</f>
        <v>10657.98367</v>
      </c>
      <c r="BI37" s="116">
        <f>SUMIFS('IS Proforma'!BI:BI,'IS Proforma'!$B:$B,Summary!$B37)</f>
        <v>10722.39584</v>
      </c>
      <c r="BJ37" s="116">
        <f>SUMIFS('IS Proforma'!BJ:BJ,'IS Proforma'!$B:$B,Summary!$B37)</f>
        <v>10787.24129</v>
      </c>
      <c r="BK37" s="116">
        <f>SUMIFS('IS Proforma'!BK:BK,'IS Proforma'!$B:$B,Summary!$B37)</f>
        <v>10852.5233</v>
      </c>
      <c r="BL37" s="116">
        <f>SUMIFS('IS Proforma'!BL:BL,'IS Proforma'!$B:$B,Summary!$B37)</f>
        <v>132443.1623</v>
      </c>
      <c r="BM37" s="116">
        <f>SUMIFS('IS Proforma'!BM:BM,'IS Proforma'!$B:$B,Summary!$B37)</f>
        <v>11757.78831</v>
      </c>
      <c r="BN37" s="116">
        <f>SUMIFS('IS Proforma'!BN:BN,'IS Proforma'!$B:$B,Summary!$B37)</f>
        <v>11828.26684</v>
      </c>
      <c r="BO37" s="116">
        <f>SUMIFS('IS Proforma'!BO:BO,'IS Proforma'!$B:$B,Summary!$B37)</f>
        <v>11899.21466</v>
      </c>
      <c r="BP37" s="116">
        <f>SUMIFS('IS Proforma'!BP:BP,'IS Proforma'!$B:$B,Summary!$B37)</f>
        <v>11970.63529</v>
      </c>
      <c r="BQ37" s="116">
        <f>SUMIFS('IS Proforma'!BQ:BQ,'IS Proforma'!$B:$B,Summary!$B37)</f>
        <v>12042.53226</v>
      </c>
      <c r="BR37" s="116">
        <f>SUMIFS('IS Proforma'!BR:BR,'IS Proforma'!$B:$B,Summary!$B37)</f>
        <v>141720.8363</v>
      </c>
      <c r="BS37" s="116">
        <f>SUMIFS('IS Proforma'!BS:BS,'IS Proforma'!$B:$B,Summary!$B37)</f>
        <v>12446.88421</v>
      </c>
      <c r="BT37" s="116">
        <f>SUMIFS('IS Proforma'!BT:BT,'IS Proforma'!$B:$B,Summary!$B37)</f>
        <v>12521.52737</v>
      </c>
      <c r="BU37" s="116">
        <f>SUMIFS('IS Proforma'!BU:BU,'IS Proforma'!$B:$B,Summary!$B37)</f>
        <v>12596.66783</v>
      </c>
      <c r="BV37" s="116">
        <f>SUMIFS('IS Proforma'!BV:BV,'IS Proforma'!$B:$B,Summary!$B37)</f>
        <v>12672.30933</v>
      </c>
      <c r="BW37" s="116">
        <f>SUMIFS('IS Proforma'!BW:BW,'IS Proforma'!$B:$B,Summary!$B37)</f>
        <v>12748.45561</v>
      </c>
      <c r="BX37" s="116">
        <f>SUMIFS('IS Proforma'!BX:BX,'IS Proforma'!$B:$B,Summary!$B37)</f>
        <v>137767.225</v>
      </c>
      <c r="BY37" s="116">
        <f>SUMIFS('IS Proforma'!BY:BY,'IS Proforma'!$B:$B,Summary!$B37)</f>
        <v>12485.51472</v>
      </c>
      <c r="BZ37" s="116">
        <f>SUMIFS('IS Proforma'!BZ:BZ,'IS Proforma'!$B:$B,Summary!$B37)</f>
        <v>12561.11441</v>
      </c>
      <c r="CA37" s="116">
        <f>SUMIFS('IS Proforma'!CA:CA,'IS Proforma'!$B:$B,Summary!$B37)</f>
        <v>12637.22383</v>
      </c>
      <c r="CB37" s="116">
        <f>SUMIFS('IS Proforma'!CB:CB,'IS Proforma'!$B:$B,Summary!$B37)</f>
        <v>12713.84684</v>
      </c>
      <c r="CC37" s="116">
        <f>SUMIFS('IS Proforma'!CC:CC,'IS Proforma'!$B:$B,Summary!$B37)</f>
        <v>12790.98732</v>
      </c>
      <c r="CD37" s="116">
        <f>SUMIFS('IS Proforma'!CD:CD,'IS Proforma'!$B:$B,Summary!$B37)</f>
        <v>133955.4219</v>
      </c>
      <c r="CE37" s="116">
        <f>SUMIFS('IS Proforma'!CE:CE,'IS Proforma'!$B:$B,Summary!$B37)</f>
        <v>12542.93356</v>
      </c>
      <c r="CF37" s="116">
        <f>SUMIFS('IS Proforma'!CF:CF,'IS Proforma'!$B:$B,Summary!$B37)</f>
        <v>12619.63071</v>
      </c>
      <c r="CG37" s="116">
        <f>SUMIFS('IS Proforma'!CG:CG,'IS Proforma'!$B:$B,Summary!$B37)</f>
        <v>12696.85116</v>
      </c>
      <c r="CH37" s="116">
        <f>SUMIFS('IS Proforma'!CH:CH,'IS Proforma'!$B:$B,Summary!$B37)</f>
        <v>12774.59894</v>
      </c>
      <c r="CI37" s="116">
        <f>SUMIFS('IS Proforma'!CI:CI,'IS Proforma'!$B:$B,Summary!$B37)</f>
        <v>12852.8781</v>
      </c>
      <c r="CJ37" s="116">
        <f>SUMIFS('IS Proforma'!CJ:CJ,'IS Proforma'!$B:$B,Summary!$B37)</f>
        <v>130282.0879</v>
      </c>
      <c r="CK37" s="116">
        <f>SUMIFS('IS Proforma'!CK:CK,'IS Proforma'!$B:$B,Summary!$B37)</f>
        <v>12619.60719</v>
      </c>
      <c r="CL37" s="116">
        <f>SUMIFS('IS Proforma'!CL:CL,'IS Proforma'!$B:$B,Summary!$B37)</f>
        <v>12697.54791</v>
      </c>
      <c r="CM37" s="116">
        <f>SUMIFS('IS Proforma'!CM:CM,'IS Proforma'!$B:$B,Summary!$B37)</f>
        <v>12776.02675</v>
      </c>
      <c r="CN37" s="116">
        <f>SUMIFS('IS Proforma'!CN:CN,'IS Proforma'!$B:$B,Summary!$B37)</f>
        <v>12855.04791</v>
      </c>
      <c r="CO37" s="116">
        <f>SUMIFS('IS Proforma'!CO:CO,'IS Proforma'!$B:$B,Summary!$B37)</f>
        <v>12934.61557</v>
      </c>
      <c r="CP37" s="116">
        <f>SUMIFS('IS Proforma'!CP:CP,'IS Proforma'!$B:$B,Summary!$B37)</f>
        <v>114103.9439</v>
      </c>
      <c r="CQ37" s="116">
        <f>SUMIFS('IS Proforma'!CQ:CQ,'IS Proforma'!$B:$B,Summary!$B37)</f>
        <v>12084.04138</v>
      </c>
      <c r="CR37" s="116">
        <f>SUMIFS('IS Proforma'!CR:CR,'IS Proforma'!$B:$B,Summary!$B37)</f>
        <v>12160.21739</v>
      </c>
      <c r="CS37" s="116">
        <f>SUMIFS('IS Proforma'!CS:CS,'IS Proforma'!$B:$B,Summary!$B37)</f>
        <v>12236.93184</v>
      </c>
      <c r="CT37" s="116">
        <f>SUMIFS('IS Proforma'!CT:CT,'IS Proforma'!$B:$B,Summary!$B37)</f>
        <v>12314.18899</v>
      </c>
      <c r="CU37" s="116">
        <f>SUMIFS('IS Proforma'!CU:CU,'IS Proforma'!$B:$B,Summary!$B37)</f>
        <v>12391.99316</v>
      </c>
      <c r="CW37" s="117">
        <f t="shared" si="87"/>
        <v>34620</v>
      </c>
      <c r="CX37" s="117">
        <f t="shared" si="88"/>
        <v>33391</v>
      </c>
      <c r="CY37" s="117">
        <f t="shared" si="89"/>
        <v>36411</v>
      </c>
      <c r="CZ37" s="117">
        <f t="shared" si="90"/>
        <v>35177</v>
      </c>
      <c r="DA37" s="117">
        <f t="shared" si="91"/>
        <v>31027</v>
      </c>
      <c r="DB37" s="117">
        <f t="shared" si="92"/>
        <v>35409</v>
      </c>
      <c r="DC37" s="117">
        <f t="shared" si="93"/>
        <v>36810</v>
      </c>
      <c r="DD37" s="117">
        <f t="shared" si="94"/>
        <v>32118</v>
      </c>
      <c r="DE37" s="117">
        <f t="shared" si="95"/>
        <v>35871.15</v>
      </c>
      <c r="DF37" s="117">
        <f t="shared" si="96"/>
        <v>138728.856</v>
      </c>
      <c r="DG37" s="117">
        <f t="shared" si="97"/>
        <v>145614.5812</v>
      </c>
      <c r="DH37" s="117">
        <f t="shared" si="98"/>
        <v>37816.11001</v>
      </c>
      <c r="DI37" s="117">
        <f t="shared" si="99"/>
        <v>149253.5608</v>
      </c>
      <c r="DJ37" s="117">
        <f t="shared" si="100"/>
        <v>143624.842</v>
      </c>
      <c r="DK37" s="117">
        <f t="shared" si="101"/>
        <v>43020.14409</v>
      </c>
      <c r="DL37" s="117">
        <f t="shared" si="102"/>
        <v>167928.4321</v>
      </c>
      <c r="DM37" s="117">
        <f t="shared" si="103"/>
        <v>178180.8881</v>
      </c>
      <c r="DN37" s="117">
        <f t="shared" si="104"/>
        <v>50538.96014</v>
      </c>
      <c r="DO37" s="117">
        <f t="shared" si="105"/>
        <v>175451.078</v>
      </c>
      <c r="DP37" s="117">
        <f t="shared" si="106"/>
        <v>172003.1896</v>
      </c>
      <c r="DQ37" s="117">
        <f t="shared" si="107"/>
        <v>50943.95891</v>
      </c>
      <c r="DR37" s="117">
        <f t="shared" si="108"/>
        <v>168375.2697</v>
      </c>
      <c r="DS37" s="117">
        <f t="shared" si="109"/>
        <v>151977.6488</v>
      </c>
      <c r="DT37" s="117">
        <f t="shared" si="110"/>
        <v>49103.33138</v>
      </c>
      <c r="DV37" s="117">
        <f t="shared" si="111"/>
        <v>104422</v>
      </c>
      <c r="DW37" s="117">
        <f t="shared" si="112"/>
        <v>101613</v>
      </c>
      <c r="DX37" s="117">
        <f t="shared" si="113"/>
        <v>104799.15</v>
      </c>
      <c r="DY37" s="117">
        <f t="shared" si="114"/>
        <v>322159.5472</v>
      </c>
      <c r="DZ37" s="117">
        <f t="shared" si="115"/>
        <v>335898.547</v>
      </c>
      <c r="EA37" s="117">
        <f t="shared" si="116"/>
        <v>396648.2803</v>
      </c>
      <c r="EB37" s="117">
        <f t="shared" si="117"/>
        <v>398398.2265</v>
      </c>
      <c r="EC37" s="117">
        <f t="shared" si="118"/>
        <v>369456.2499</v>
      </c>
      <c r="ED37" s="118"/>
      <c r="EE37" s="118"/>
    </row>
    <row r="38" ht="15.75" customHeight="1" outlineLevel="1">
      <c r="B38" s="91" t="s">
        <v>178</v>
      </c>
      <c r="C38" s="1" t="s">
        <v>112</v>
      </c>
      <c r="D38" s="116">
        <f>SUMIFS('IS Proforma'!D:D,'IS Proforma'!$B:$B,Summary!$B38)</f>
        <v>10132</v>
      </c>
      <c r="E38" s="116">
        <f>SUMIFS('IS Proforma'!E:E,'IS Proforma'!$B:$B,Summary!$B38)</f>
        <v>9711</v>
      </c>
      <c r="F38" s="116">
        <f>SUMIFS('IS Proforma'!F:F,'IS Proforma'!$B:$B,Summary!$B38)</f>
        <v>8492</v>
      </c>
      <c r="G38" s="116">
        <f>SUMIFS('IS Proforma'!G:G,'IS Proforma'!$B:$B,Summary!$B38)</f>
        <v>8091</v>
      </c>
      <c r="H38" s="116">
        <f>SUMIFS('IS Proforma'!H:H,'IS Proforma'!$B:$B,Summary!$B38)</f>
        <v>8423</v>
      </c>
      <c r="I38" s="116">
        <f>SUMIFS('IS Proforma'!I:I,'IS Proforma'!$B:$B,Summary!$B38)</f>
        <v>8645</v>
      </c>
      <c r="J38" s="116">
        <f>SUMIFS('IS Proforma'!J:J,'IS Proforma'!$B:$B,Summary!$B38)</f>
        <v>9287</v>
      </c>
      <c r="K38" s="116">
        <f>SUMIFS('IS Proforma'!K:K,'IS Proforma'!$B:$B,Summary!$B38)</f>
        <v>8082</v>
      </c>
      <c r="L38" s="116">
        <f>SUMIFS('IS Proforma'!L:L,'IS Proforma'!$B:$B,Summary!$B38)</f>
        <v>7582</v>
      </c>
      <c r="M38" s="116">
        <f>SUMIFS('IS Proforma'!M:M,'IS Proforma'!$B:$B,Summary!$B38)</f>
        <v>9408</v>
      </c>
      <c r="N38" s="116">
        <f>SUMIFS('IS Proforma'!N:N,'IS Proforma'!$B:$B,Summary!$B38)</f>
        <v>7933</v>
      </c>
      <c r="O38" s="116">
        <f>SUMIFS('IS Proforma'!O:O,'IS Proforma'!$B:$B,Summary!$B38)</f>
        <v>8307</v>
      </c>
      <c r="P38" s="116">
        <f>SUMIFS('IS Proforma'!P:P,'IS Proforma'!$B:$B,Summary!$B38)</f>
        <v>9111</v>
      </c>
      <c r="Q38" s="116">
        <f>SUMIFS('IS Proforma'!Q:Q,'IS Proforma'!$B:$B,Summary!$B38)</f>
        <v>9178</v>
      </c>
      <c r="R38" s="116">
        <f>SUMIFS('IS Proforma'!R:R,'IS Proforma'!$B:$B,Summary!$B38)</f>
        <v>9183</v>
      </c>
      <c r="S38" s="116">
        <f>SUMIFS('IS Proforma'!S:S,'IS Proforma'!$B:$B,Summary!$B38)</f>
        <v>11378</v>
      </c>
      <c r="T38" s="116">
        <f>SUMIFS('IS Proforma'!T:T,'IS Proforma'!$B:$B,Summary!$B38)</f>
        <v>10813</v>
      </c>
      <c r="U38" s="116">
        <f>SUMIFS('IS Proforma'!U:U,'IS Proforma'!$B:$B,Summary!$B38)</f>
        <v>8848</v>
      </c>
      <c r="V38" s="116">
        <f>SUMIFS('IS Proforma'!V:V,'IS Proforma'!$B:$B,Summary!$B38)</f>
        <v>7481</v>
      </c>
      <c r="W38" s="116">
        <f>SUMIFS('IS Proforma'!W:W,'IS Proforma'!$B:$B,Summary!$B38)</f>
        <v>6698</v>
      </c>
      <c r="X38" s="116">
        <f>SUMIFS('IS Proforma'!X:X,'IS Proforma'!$B:$B,Summary!$B38)</f>
        <v>9133</v>
      </c>
      <c r="Y38" s="116">
        <f>SUMIFS('IS Proforma'!Y:Y,'IS Proforma'!$B:$B,Summary!$B38)</f>
        <v>9004</v>
      </c>
      <c r="Z38" s="116">
        <f>SUMIFS('IS Proforma'!Z:Z,'IS Proforma'!$B:$B,Summary!$B38)</f>
        <v>7683</v>
      </c>
      <c r="AA38" s="116">
        <f>SUMIFS('IS Proforma'!AA:AA,'IS Proforma'!$B:$B,Summary!$B38)</f>
        <v>10876</v>
      </c>
      <c r="AB38" s="116">
        <f>SUMIFS('IS Proforma'!AB:AB,'IS Proforma'!$B:$B,Summary!$B38)</f>
        <v>8785</v>
      </c>
      <c r="AC38" s="116">
        <f>SUMIFS('IS Proforma'!AC:AC,'IS Proforma'!$B:$B,Summary!$B38)</f>
        <v>9684</v>
      </c>
      <c r="AD38" s="116">
        <f>SUMIFS('IS Proforma'!AD:AD,'IS Proforma'!$B:$B,Summary!$B38)</f>
        <v>7890</v>
      </c>
      <c r="AE38" s="116">
        <f>SUMIFS('IS Proforma'!AE:AE,'IS Proforma'!$B:$B,Summary!$B38)</f>
        <v>7304</v>
      </c>
      <c r="AF38" s="116">
        <f>SUMIFS('IS Proforma'!AF:AF,'IS Proforma'!$B:$B,Summary!$B38)</f>
        <v>9840</v>
      </c>
      <c r="AG38" s="116">
        <f>SUMIFS('IS Proforma'!AG:AG,'IS Proforma'!$B:$B,Summary!$B38)</f>
        <v>9333</v>
      </c>
      <c r="AH38" s="116">
        <f>SUMIFS('IS Proforma'!AH:AH,'IS Proforma'!$B:$B,Summary!$B38)</f>
        <v>8554</v>
      </c>
      <c r="AI38" s="116">
        <f>SUMIFS('IS Proforma'!AI:AI,'IS Proforma'!$B:$B,Summary!$B38)</f>
        <v>7912</v>
      </c>
      <c r="AJ38" s="116">
        <f>SUMIFS('IS Proforma'!AJ:AJ,'IS Proforma'!$B:$B,Summary!$B38)</f>
        <v>10330</v>
      </c>
      <c r="AK38" s="116">
        <f>SUMIFS('IS Proforma'!AK:AK,'IS Proforma'!$B:$B,Summary!$B38)</f>
        <v>9174</v>
      </c>
      <c r="AL38" s="116">
        <f>SUMIFS('IS Proforma'!AL:AL,'IS Proforma'!$B:$B,Summary!$B38)</f>
        <v>8803</v>
      </c>
      <c r="AM38" s="116">
        <f>SUMIFS('IS Proforma'!AM:AM,'IS Proforma'!$B:$B,Summary!$B38)</f>
        <v>5387.638607</v>
      </c>
      <c r="AN38" s="116">
        <f>SUMIFS('IS Proforma'!AN:AN,'IS Proforma'!$B:$B,Summary!$B38)</f>
        <v>5465.197387</v>
      </c>
      <c r="AO38" s="116">
        <f>SUMIFS('IS Proforma'!AO:AO,'IS Proforma'!$B:$B,Summary!$B38)</f>
        <v>5924.770531</v>
      </c>
      <c r="AP38" s="116">
        <f>SUMIFS('IS Proforma'!AP:AP,'IS Proforma'!$B:$B,Summary!$B38)</f>
        <v>6345.641851</v>
      </c>
      <c r="AQ38" s="116">
        <f>SUMIFS('IS Proforma'!AQ:AQ,'IS Proforma'!$B:$B,Summary!$B38)</f>
        <v>6748.661236</v>
      </c>
      <c r="AR38" s="116">
        <f>SUMIFS('IS Proforma'!AR:AR,'IS Proforma'!$B:$B,Summary!$B38)</f>
        <v>7149.094692</v>
      </c>
      <c r="AS38" s="116">
        <f>SUMIFS('IS Proforma'!AS:AS,'IS Proforma'!$B:$B,Summary!$B38)</f>
        <v>7551.88951</v>
      </c>
      <c r="AT38" s="116">
        <f>SUMIFS('IS Proforma'!AT:AT,'IS Proforma'!$B:$B,Summary!$B38)</f>
        <v>7914.987245</v>
      </c>
      <c r="AU38" s="116">
        <f>SUMIFS('IS Proforma'!AU:AU,'IS Proforma'!$B:$B,Summary!$B38)</f>
        <v>8271.076426</v>
      </c>
      <c r="AV38" s="116">
        <f>SUMIFS('IS Proforma'!AV:AV,'IS Proforma'!$B:$B,Summary!$B38)</f>
        <v>8619.709679</v>
      </c>
      <c r="AW38" s="116">
        <f>SUMIFS('IS Proforma'!AW:AW,'IS Proforma'!$B:$B,Summary!$B38)</f>
        <v>8943.801814</v>
      </c>
      <c r="AX38" s="116">
        <f>SUMIFS('IS Proforma'!AX:AX,'IS Proforma'!$B:$B,Summary!$B38)</f>
        <v>9264.765233</v>
      </c>
      <c r="AY38" s="116">
        <f>SUMIFS('IS Proforma'!AY:AY,'IS Proforma'!$B:$B,Summary!$B38)</f>
        <v>9589.769977</v>
      </c>
      <c r="AZ38" s="116">
        <f>SUMIFS('IS Proforma'!AZ:AZ,'IS Proforma'!$B:$B,Summary!$B38)</f>
        <v>12410.85176</v>
      </c>
      <c r="BA38" s="116">
        <f>SUMIFS('IS Proforma'!BA:BA,'IS Proforma'!$B:$B,Summary!$B38)</f>
        <v>12468.03557</v>
      </c>
      <c r="BB38" s="116">
        <f>SUMIFS('IS Proforma'!BB:BB,'IS Proforma'!$B:$B,Summary!$B38)</f>
        <v>12548.21009</v>
      </c>
      <c r="BC38" s="116">
        <f>SUMIFS('IS Proforma'!BC:BC,'IS Proforma'!$B:$B,Summary!$B38)</f>
        <v>12652.13275</v>
      </c>
      <c r="BD38" s="116">
        <f>SUMIFS('IS Proforma'!BD:BD,'IS Proforma'!$B:$B,Summary!$B38)</f>
        <v>12762.4604</v>
      </c>
      <c r="BE38" s="116">
        <f>SUMIFS('IS Proforma'!BE:BE,'IS Proforma'!$B:$B,Summary!$B38)</f>
        <v>12877.20568</v>
      </c>
      <c r="BF38" s="116">
        <f>SUMIFS('IS Proforma'!BF:BF,'IS Proforma'!$B:$B,Summary!$B38)</f>
        <v>15490.69694</v>
      </c>
      <c r="BG38" s="116">
        <f>SUMIFS('IS Proforma'!BG:BG,'IS Proforma'!$B:$B,Summary!$B38)</f>
        <v>15627.71159</v>
      </c>
      <c r="BH38" s="116">
        <f>SUMIFS('IS Proforma'!BH:BH,'IS Proforma'!$B:$B,Summary!$B38)</f>
        <v>15738.29935</v>
      </c>
      <c r="BI38" s="116">
        <f>SUMIFS('IS Proforma'!BI:BI,'IS Proforma'!$B:$B,Summary!$B38)</f>
        <v>15847.31707</v>
      </c>
      <c r="BJ38" s="116">
        <f>SUMIFS('IS Proforma'!BJ:BJ,'IS Proforma'!$B:$B,Summary!$B38)</f>
        <v>15954.82763</v>
      </c>
      <c r="BK38" s="116">
        <f>SUMIFS('IS Proforma'!BK:BK,'IS Proforma'!$B:$B,Summary!$B38)</f>
        <v>16060.9041</v>
      </c>
      <c r="BL38" s="116">
        <f>SUMIFS('IS Proforma'!BL:BL,'IS Proforma'!$B:$B,Summary!$B38)</f>
        <v>18791.95631</v>
      </c>
      <c r="BM38" s="116">
        <f>SUMIFS('IS Proforma'!BM:BM,'IS Proforma'!$B:$B,Summary!$B38)</f>
        <v>18965.88196</v>
      </c>
      <c r="BN38" s="116">
        <f>SUMIFS('IS Proforma'!BN:BN,'IS Proforma'!$B:$B,Summary!$B38)</f>
        <v>19134.44533</v>
      </c>
      <c r="BO38" s="116">
        <f>SUMIFS('IS Proforma'!BO:BO,'IS Proforma'!$B:$B,Summary!$B38)</f>
        <v>19298.67096</v>
      </c>
      <c r="BP38" s="116">
        <f>SUMIFS('IS Proforma'!BP:BP,'IS Proforma'!$B:$B,Summary!$B38)</f>
        <v>19459.22125</v>
      </c>
      <c r="BQ38" s="116">
        <f>SUMIFS('IS Proforma'!BQ:BQ,'IS Proforma'!$B:$B,Summary!$B38)</f>
        <v>19616.52286</v>
      </c>
      <c r="BR38" s="116">
        <f>SUMIFS('IS Proforma'!BR:BR,'IS Proforma'!$B:$B,Summary!$B38)</f>
        <v>22270.90099</v>
      </c>
      <c r="BS38" s="116">
        <f>SUMIFS('IS Proforma'!BS:BS,'IS Proforma'!$B:$B,Summary!$B38)</f>
        <v>22422.62091</v>
      </c>
      <c r="BT38" s="116">
        <f>SUMIFS('IS Proforma'!BT:BT,'IS Proforma'!$B:$B,Summary!$B38)</f>
        <v>22571.9065</v>
      </c>
      <c r="BU38" s="116">
        <f>SUMIFS('IS Proforma'!BU:BU,'IS Proforma'!$B:$B,Summary!$B38)</f>
        <v>22718.95117</v>
      </c>
      <c r="BV38" s="116">
        <f>SUMIFS('IS Proforma'!BV:BV,'IS Proforma'!$B:$B,Summary!$B38)</f>
        <v>22863.92512</v>
      </c>
      <c r="BW38" s="116">
        <f>SUMIFS('IS Proforma'!BW:BW,'IS Proforma'!$B:$B,Summary!$B38)</f>
        <v>23006.98046</v>
      </c>
      <c r="BX38" s="116">
        <f>SUMIFS('IS Proforma'!BX:BX,'IS Proforma'!$B:$B,Summary!$B38)</f>
        <v>25713.73089</v>
      </c>
      <c r="BY38" s="116">
        <f>SUMIFS('IS Proforma'!BY:BY,'IS Proforma'!$B:$B,Summary!$B38)</f>
        <v>25874.21674</v>
      </c>
      <c r="BZ38" s="116">
        <f>SUMIFS('IS Proforma'!BZ:BZ,'IS Proforma'!$B:$B,Summary!$B38)</f>
        <v>26019.56053</v>
      </c>
      <c r="CA38" s="116">
        <f>SUMIFS('IS Proforma'!CA:CA,'IS Proforma'!$B:$B,Summary!$B38)</f>
        <v>26162.03198</v>
      </c>
      <c r="CB38" s="116">
        <f>SUMIFS('IS Proforma'!CB:CB,'IS Proforma'!$B:$B,Summary!$B38)</f>
        <v>26303.79798</v>
      </c>
      <c r="CC38" s="116">
        <f>SUMIFS('IS Proforma'!CC:CC,'IS Proforma'!$B:$B,Summary!$B38)</f>
        <v>26444.91303</v>
      </c>
      <c r="CD38" s="116">
        <f>SUMIFS('IS Proforma'!CD:CD,'IS Proforma'!$B:$B,Summary!$B38)</f>
        <v>29085.47112</v>
      </c>
      <c r="CE38" s="116">
        <f>SUMIFS('IS Proforma'!CE:CE,'IS Proforma'!$B:$B,Summary!$B38)</f>
        <v>29225.56303</v>
      </c>
      <c r="CF38" s="116">
        <f>SUMIFS('IS Proforma'!CF:CF,'IS Proforma'!$B:$B,Summary!$B38)</f>
        <v>29365.27473</v>
      </c>
      <c r="CG38" s="116">
        <f>SUMIFS('IS Proforma'!CG:CG,'IS Proforma'!$B:$B,Summary!$B38)</f>
        <v>29504.68889</v>
      </c>
      <c r="CH38" s="116">
        <f>SUMIFS('IS Proforma'!CH:CH,'IS Proforma'!$B:$B,Summary!$B38)</f>
        <v>29643.88578</v>
      </c>
      <c r="CI38" s="116">
        <f>SUMIFS('IS Proforma'!CI:CI,'IS Proforma'!$B:$B,Summary!$B38)</f>
        <v>29782.94379</v>
      </c>
      <c r="CJ38" s="116">
        <f>SUMIFS('IS Proforma'!CJ:CJ,'IS Proforma'!$B:$B,Summary!$B38)</f>
        <v>32473.11074</v>
      </c>
      <c r="CK38" s="116">
        <f>SUMIFS('IS Proforma'!CK:CK,'IS Proforma'!$B:$B,Summary!$B38)</f>
        <v>32561.99618</v>
      </c>
      <c r="CL38" s="116">
        <f>SUMIFS('IS Proforma'!CL:CL,'IS Proforma'!$B:$B,Summary!$B38)</f>
        <v>32646.958</v>
      </c>
      <c r="CM38" s="116">
        <f>SUMIFS('IS Proforma'!CM:CM,'IS Proforma'!$B:$B,Summary!$B38)</f>
        <v>32736.35439</v>
      </c>
      <c r="CN38" s="116">
        <f>SUMIFS('IS Proforma'!CN:CN,'IS Proforma'!$B:$B,Summary!$B38)</f>
        <v>32828.33366</v>
      </c>
      <c r="CO38" s="116">
        <f>SUMIFS('IS Proforma'!CO:CO,'IS Proforma'!$B:$B,Summary!$B38)</f>
        <v>32921.50354</v>
      </c>
      <c r="CP38" s="116">
        <f>SUMIFS('IS Proforma'!CP:CP,'IS Proforma'!$B:$B,Summary!$B38)</f>
        <v>35515.28169</v>
      </c>
      <c r="CQ38" s="116">
        <f>SUMIFS('IS Proforma'!CQ:CQ,'IS Proforma'!$B:$B,Summary!$B38)</f>
        <v>35609.37021</v>
      </c>
      <c r="CR38" s="116">
        <f>SUMIFS('IS Proforma'!CR:CR,'IS Proforma'!$B:$B,Summary!$B38)</f>
        <v>35703.60094</v>
      </c>
      <c r="CS38" s="116">
        <f>SUMIFS('IS Proforma'!CS:CS,'IS Proforma'!$B:$B,Summary!$B38)</f>
        <v>35797.87754</v>
      </c>
      <c r="CT38" s="116">
        <f>SUMIFS('IS Proforma'!CT:CT,'IS Proforma'!$B:$B,Summary!$B38)</f>
        <v>35892.14874</v>
      </c>
      <c r="CU38" s="116">
        <f>SUMIFS('IS Proforma'!CU:CU,'IS Proforma'!$B:$B,Summary!$B38)</f>
        <v>35986.39353</v>
      </c>
      <c r="CW38" s="117">
        <f t="shared" si="87"/>
        <v>36426</v>
      </c>
      <c r="CX38" s="117">
        <f t="shared" si="88"/>
        <v>34437</v>
      </c>
      <c r="CY38" s="117">
        <f t="shared" si="89"/>
        <v>33230</v>
      </c>
      <c r="CZ38" s="117">
        <f t="shared" si="90"/>
        <v>38850</v>
      </c>
      <c r="DA38" s="117">
        <f t="shared" si="91"/>
        <v>33840</v>
      </c>
      <c r="DB38" s="117">
        <f t="shared" si="92"/>
        <v>36696</v>
      </c>
      <c r="DC38" s="117">
        <f t="shared" si="93"/>
        <v>33663</v>
      </c>
      <c r="DD38" s="117">
        <f t="shared" si="94"/>
        <v>35639</v>
      </c>
      <c r="DE38" s="117">
        <f t="shared" si="95"/>
        <v>33694.63861</v>
      </c>
      <c r="DF38" s="117">
        <f t="shared" si="96"/>
        <v>24484.271</v>
      </c>
      <c r="DG38" s="117">
        <f t="shared" si="97"/>
        <v>30887.04787</v>
      </c>
      <c r="DH38" s="117">
        <f t="shared" si="98"/>
        <v>36418.0467</v>
      </c>
      <c r="DI38" s="117">
        <f t="shared" si="99"/>
        <v>50079.23016</v>
      </c>
      <c r="DJ38" s="117">
        <f t="shared" si="100"/>
        <v>56758.0746</v>
      </c>
      <c r="DK38" s="117">
        <f t="shared" si="101"/>
        <v>63601.34817</v>
      </c>
      <c r="DL38" s="117">
        <f t="shared" si="102"/>
        <v>76190.95457</v>
      </c>
      <c r="DM38" s="117">
        <f t="shared" si="103"/>
        <v>83769.26602</v>
      </c>
      <c r="DN38" s="117">
        <f t="shared" si="104"/>
        <v>91161.76325</v>
      </c>
      <c r="DO38" s="117">
        <f t="shared" si="105"/>
        <v>103769.5401</v>
      </c>
      <c r="DP38" s="117">
        <f t="shared" si="106"/>
        <v>111059.7452</v>
      </c>
      <c r="DQ38" s="117">
        <f t="shared" si="107"/>
        <v>118296.7932</v>
      </c>
      <c r="DR38" s="117">
        <f t="shared" si="108"/>
        <v>130418.4193</v>
      </c>
      <c r="DS38" s="117">
        <f t="shared" si="109"/>
        <v>136874.4891</v>
      </c>
      <c r="DT38" s="117">
        <f t="shared" si="110"/>
        <v>143380.0208</v>
      </c>
      <c r="DV38" s="117">
        <f t="shared" si="111"/>
        <v>104093</v>
      </c>
      <c r="DW38" s="117">
        <f t="shared" si="112"/>
        <v>109386</v>
      </c>
      <c r="DX38" s="117">
        <f t="shared" si="113"/>
        <v>102996.6386</v>
      </c>
      <c r="DY38" s="117">
        <f t="shared" si="114"/>
        <v>91789.36558</v>
      </c>
      <c r="DZ38" s="117">
        <f t="shared" si="115"/>
        <v>170438.6529</v>
      </c>
      <c r="EA38" s="117">
        <f t="shared" si="116"/>
        <v>251121.9838</v>
      </c>
      <c r="EB38" s="117">
        <f t="shared" si="117"/>
        <v>333126.0785</v>
      </c>
      <c r="EC38" s="117">
        <f t="shared" si="118"/>
        <v>410672.9292</v>
      </c>
      <c r="ED38" s="118"/>
      <c r="EE38" s="118"/>
    </row>
    <row r="39" ht="15.75" customHeight="1" outlineLevel="1">
      <c r="B39" s="132" t="s">
        <v>179</v>
      </c>
      <c r="C39" s="1" t="s">
        <v>180</v>
      </c>
      <c r="D39" s="116">
        <f>SUMIFS('IS Proforma'!D:D,'IS Proforma'!$B:$B,Summary!$B39)</f>
        <v>7923</v>
      </c>
      <c r="E39" s="116">
        <f>SUMIFS('IS Proforma'!E:E,'IS Proforma'!$B:$B,Summary!$B39)</f>
        <v>8851</v>
      </c>
      <c r="F39" s="116">
        <f>SUMIFS('IS Proforma'!F:F,'IS Proforma'!$B:$B,Summary!$B39)</f>
        <v>8065</v>
      </c>
      <c r="G39" s="116">
        <f>SUMIFS('IS Proforma'!G:G,'IS Proforma'!$B:$B,Summary!$B39)</f>
        <v>9730</v>
      </c>
      <c r="H39" s="116">
        <f>SUMIFS('IS Proforma'!H:H,'IS Proforma'!$B:$B,Summary!$B39)</f>
        <v>7872</v>
      </c>
      <c r="I39" s="116">
        <f>SUMIFS('IS Proforma'!I:I,'IS Proforma'!$B:$B,Summary!$B39)</f>
        <v>10517</v>
      </c>
      <c r="J39" s="116">
        <f>SUMIFS('IS Proforma'!J:J,'IS Proforma'!$B:$B,Summary!$B39)</f>
        <v>8396</v>
      </c>
      <c r="K39" s="116">
        <f>SUMIFS('IS Proforma'!K:K,'IS Proforma'!$B:$B,Summary!$B39)</f>
        <v>8111</v>
      </c>
      <c r="L39" s="116">
        <f>SUMIFS('IS Proforma'!L:L,'IS Proforma'!$B:$B,Summary!$B39)</f>
        <v>9514</v>
      </c>
      <c r="M39" s="116">
        <f>SUMIFS('IS Proforma'!M:M,'IS Proforma'!$B:$B,Summary!$B39)</f>
        <v>8119</v>
      </c>
      <c r="N39" s="116">
        <f>SUMIFS('IS Proforma'!N:N,'IS Proforma'!$B:$B,Summary!$B39)</f>
        <v>9690</v>
      </c>
      <c r="O39" s="116">
        <f>SUMIFS('IS Proforma'!O:O,'IS Proforma'!$B:$B,Summary!$B39)</f>
        <v>9276</v>
      </c>
      <c r="P39" s="116">
        <f>SUMIFS('IS Proforma'!P:P,'IS Proforma'!$B:$B,Summary!$B39)</f>
        <v>9066</v>
      </c>
      <c r="Q39" s="116">
        <f>SUMIFS('IS Proforma'!Q:Q,'IS Proforma'!$B:$B,Summary!$B39)</f>
        <v>7821</v>
      </c>
      <c r="R39" s="116">
        <f>SUMIFS('IS Proforma'!R:R,'IS Proforma'!$B:$B,Summary!$B39)</f>
        <v>7226</v>
      </c>
      <c r="S39" s="116">
        <f>SUMIFS('IS Proforma'!S:S,'IS Proforma'!$B:$B,Summary!$B39)</f>
        <v>8690</v>
      </c>
      <c r="T39" s="116">
        <f>SUMIFS('IS Proforma'!T:T,'IS Proforma'!$B:$B,Summary!$B39)</f>
        <v>8890</v>
      </c>
      <c r="U39" s="116">
        <f>SUMIFS('IS Proforma'!U:U,'IS Proforma'!$B:$B,Summary!$B39)</f>
        <v>6883</v>
      </c>
      <c r="V39" s="116">
        <f>SUMIFS('IS Proforma'!V:V,'IS Proforma'!$B:$B,Summary!$B39)</f>
        <v>9143</v>
      </c>
      <c r="W39" s="116">
        <f>SUMIFS('IS Proforma'!W:W,'IS Proforma'!$B:$B,Summary!$B39)</f>
        <v>9588</v>
      </c>
      <c r="X39" s="116">
        <f>SUMIFS('IS Proforma'!X:X,'IS Proforma'!$B:$B,Summary!$B39)</f>
        <v>9270</v>
      </c>
      <c r="Y39" s="116">
        <f>SUMIFS('IS Proforma'!Y:Y,'IS Proforma'!$B:$B,Summary!$B39)</f>
        <v>8468</v>
      </c>
      <c r="Z39" s="116">
        <f>SUMIFS('IS Proforma'!Z:Z,'IS Proforma'!$B:$B,Summary!$B39)</f>
        <v>8541</v>
      </c>
      <c r="AA39" s="116">
        <f>SUMIFS('IS Proforma'!AA:AA,'IS Proforma'!$B:$B,Summary!$B39)</f>
        <v>9377</v>
      </c>
      <c r="AB39" s="116">
        <f>SUMIFS('IS Proforma'!AB:AB,'IS Proforma'!$B:$B,Summary!$B39)</f>
        <v>7681</v>
      </c>
      <c r="AC39" s="116">
        <f>SUMIFS('IS Proforma'!AC:AC,'IS Proforma'!$B:$B,Summary!$B39)</f>
        <v>8937</v>
      </c>
      <c r="AD39" s="116">
        <f>SUMIFS('IS Proforma'!AD:AD,'IS Proforma'!$B:$B,Summary!$B39)</f>
        <v>7092</v>
      </c>
      <c r="AE39" s="116">
        <f>SUMIFS('IS Proforma'!AE:AE,'IS Proforma'!$B:$B,Summary!$B39)</f>
        <v>10265</v>
      </c>
      <c r="AF39" s="116">
        <f>SUMIFS('IS Proforma'!AF:AF,'IS Proforma'!$B:$B,Summary!$B39)</f>
        <v>10723</v>
      </c>
      <c r="AG39" s="116">
        <f>SUMIFS('IS Proforma'!AG:AG,'IS Proforma'!$B:$B,Summary!$B39)</f>
        <v>9835</v>
      </c>
      <c r="AH39" s="116">
        <f>SUMIFS('IS Proforma'!AH:AH,'IS Proforma'!$B:$B,Summary!$B39)</f>
        <v>9199</v>
      </c>
      <c r="AI39" s="116">
        <f>SUMIFS('IS Proforma'!AI:AI,'IS Proforma'!$B:$B,Summary!$B39)</f>
        <v>8202</v>
      </c>
      <c r="AJ39" s="116">
        <f>SUMIFS('IS Proforma'!AJ:AJ,'IS Proforma'!$B:$B,Summary!$B39)</f>
        <v>8775</v>
      </c>
      <c r="AK39" s="116">
        <f>SUMIFS('IS Proforma'!AK:AK,'IS Proforma'!$B:$B,Summary!$B39)</f>
        <v>8045</v>
      </c>
      <c r="AL39" s="116">
        <f>SUMIFS('IS Proforma'!AL:AL,'IS Proforma'!$B:$B,Summary!$B39)</f>
        <v>8244</v>
      </c>
      <c r="AM39" s="116">
        <f>SUMIFS('IS Proforma'!AM:AM,'IS Proforma'!$B:$B,Summary!$B39)</f>
        <v>59573</v>
      </c>
      <c r="AN39" s="116">
        <f>SUMIFS('IS Proforma'!AN:AN,'IS Proforma'!$B:$B,Summary!$B39)</f>
        <v>32070</v>
      </c>
      <c r="AO39" s="116">
        <f>SUMIFS('IS Proforma'!AO:AO,'IS Proforma'!$B:$B,Summary!$B39)</f>
        <v>14812.1628</v>
      </c>
      <c r="AP39" s="116">
        <f>SUMIFS('IS Proforma'!AP:AP,'IS Proforma'!$B:$B,Summary!$B39)</f>
        <v>14960.28443</v>
      </c>
      <c r="AQ39" s="116">
        <f>SUMIFS('IS Proforma'!AQ:AQ,'IS Proforma'!$B:$B,Summary!$B39)</f>
        <v>15109.88727</v>
      </c>
      <c r="AR39" s="116">
        <f>SUMIFS('IS Proforma'!AR:AR,'IS Proforma'!$B:$B,Summary!$B39)</f>
        <v>120250</v>
      </c>
      <c r="AS39" s="116">
        <f>SUMIFS('IS Proforma'!AS:AS,'IS Proforma'!$B:$B,Summary!$B39)</f>
        <v>15413.59601</v>
      </c>
      <c r="AT39" s="116">
        <f>SUMIFS('IS Proforma'!AT:AT,'IS Proforma'!$B:$B,Summary!$B39)</f>
        <v>15567.73197</v>
      </c>
      <c r="AU39" s="116">
        <f>SUMIFS('IS Proforma'!AU:AU,'IS Proforma'!$B:$B,Summary!$B39)</f>
        <v>15723.40929</v>
      </c>
      <c r="AV39" s="116">
        <f>SUMIFS('IS Proforma'!AV:AV,'IS Proforma'!$B:$B,Summary!$B39)</f>
        <v>123500</v>
      </c>
      <c r="AW39" s="116">
        <f>SUMIFS('IS Proforma'!AW:AW,'IS Proforma'!$B:$B,Summary!$B39)</f>
        <v>16039.44982</v>
      </c>
      <c r="AX39" s="116">
        <f>SUMIFS('IS Proforma'!AX:AX,'IS Proforma'!$B:$B,Summary!$B39)</f>
        <v>16199.84431</v>
      </c>
      <c r="AY39" s="116">
        <f>SUMIFS('IS Proforma'!AY:AY,'IS Proforma'!$B:$B,Summary!$B39)</f>
        <v>16361.84276</v>
      </c>
      <c r="AZ39" s="116">
        <f>SUMIFS('IS Proforma'!AZ:AZ,'IS Proforma'!$B:$B,Summary!$B39)</f>
        <v>130650</v>
      </c>
      <c r="BA39" s="116">
        <f>SUMIFS('IS Proforma'!BA:BA,'IS Proforma'!$B:$B,Summary!$B39)</f>
        <v>4909.034058</v>
      </c>
      <c r="BB39" s="116">
        <f>SUMIFS('IS Proforma'!BB:BB,'IS Proforma'!$B:$B,Summary!$B39)</f>
        <v>4958.124398</v>
      </c>
      <c r="BC39" s="116">
        <f>SUMIFS('IS Proforma'!BC:BC,'IS Proforma'!$B:$B,Summary!$B39)</f>
        <v>5007.705642</v>
      </c>
      <c r="BD39" s="116">
        <f>SUMIFS('IS Proforma'!BD:BD,'IS Proforma'!$B:$B,Summary!$B39)</f>
        <v>133900</v>
      </c>
      <c r="BE39" s="116">
        <f>SUMIFS('IS Proforma'!BE:BE,'IS Proforma'!$B:$B,Summary!$B39)</f>
        <v>5108.360526</v>
      </c>
      <c r="BF39" s="116">
        <f>SUMIFS('IS Proforma'!BF:BF,'IS Proforma'!$B:$B,Summary!$B39)</f>
        <v>5159.444131</v>
      </c>
      <c r="BG39" s="116">
        <f>SUMIFS('IS Proforma'!BG:BG,'IS Proforma'!$B:$B,Summary!$B39)</f>
        <v>5211.038572</v>
      </c>
      <c r="BH39" s="116">
        <f>SUMIFS('IS Proforma'!BH:BH,'IS Proforma'!$B:$B,Summary!$B39)</f>
        <v>137150</v>
      </c>
      <c r="BI39" s="116">
        <f>SUMIFS('IS Proforma'!BI:BI,'IS Proforma'!$B:$B,Summary!$B39)</f>
        <v>5315.780447</v>
      </c>
      <c r="BJ39" s="116">
        <f>SUMIFS('IS Proforma'!BJ:BJ,'IS Proforma'!$B:$B,Summary!$B39)</f>
        <v>5368.938252</v>
      </c>
      <c r="BK39" s="116">
        <f>SUMIFS('IS Proforma'!BK:BK,'IS Proforma'!$B:$B,Summary!$B39)</f>
        <v>5422.627634</v>
      </c>
      <c r="BL39" s="116">
        <f>SUMIFS('IS Proforma'!BL:BL,'IS Proforma'!$B:$B,Summary!$B39)</f>
        <v>139750</v>
      </c>
      <c r="BM39" s="116">
        <f>SUMIFS('IS Proforma'!BM:BM,'IS Proforma'!$B:$B,Summary!$B39)</f>
        <v>5531.62245</v>
      </c>
      <c r="BN39" s="116">
        <f>SUMIFS('IS Proforma'!BN:BN,'IS Proforma'!$B:$B,Summary!$B39)</f>
        <v>5586.938674</v>
      </c>
      <c r="BO39" s="116">
        <f>SUMIFS('IS Proforma'!BO:BO,'IS Proforma'!$B:$B,Summary!$B39)</f>
        <v>5642.808061</v>
      </c>
      <c r="BP39" s="116">
        <f>SUMIFS('IS Proforma'!BP:BP,'IS Proforma'!$B:$B,Summary!$B39)</f>
        <v>146250</v>
      </c>
      <c r="BQ39" s="116">
        <f>SUMIFS('IS Proforma'!BQ:BQ,'IS Proforma'!$B:$B,Summary!$B39)</f>
        <v>5756.228503</v>
      </c>
      <c r="BR39" s="116">
        <f>SUMIFS('IS Proforma'!BR:BR,'IS Proforma'!$B:$B,Summary!$B39)</f>
        <v>5813.790788</v>
      </c>
      <c r="BS39" s="116">
        <f>SUMIFS('IS Proforma'!BS:BS,'IS Proforma'!$B:$B,Summary!$B39)</f>
        <v>5871.928696</v>
      </c>
      <c r="BT39" s="116">
        <f>SUMIFS('IS Proforma'!BT:BT,'IS Proforma'!$B:$B,Summary!$B39)</f>
        <v>150800</v>
      </c>
      <c r="BU39" s="116">
        <f>SUMIFS('IS Proforma'!BU:BU,'IS Proforma'!$B:$B,Summary!$B39)</f>
        <v>5989.954463</v>
      </c>
      <c r="BV39" s="116">
        <f>SUMIFS('IS Proforma'!BV:BV,'IS Proforma'!$B:$B,Summary!$B39)</f>
        <v>6049.854008</v>
      </c>
      <c r="BW39" s="116">
        <f>SUMIFS('IS Proforma'!BW:BW,'IS Proforma'!$B:$B,Summary!$B39)</f>
        <v>6110.352548</v>
      </c>
      <c r="BX39" s="116">
        <f>SUMIFS('IS Proforma'!BX:BX,'IS Proforma'!$B:$B,Summary!$B39)</f>
        <v>155350</v>
      </c>
      <c r="BY39" s="116">
        <f>SUMIFS('IS Proforma'!BY:BY,'IS Proforma'!$B:$B,Summary!$B39)</f>
        <v>6233.170634</v>
      </c>
      <c r="BZ39" s="116">
        <f>SUMIFS('IS Proforma'!BZ:BZ,'IS Proforma'!$B:$B,Summary!$B39)</f>
        <v>6295.50234</v>
      </c>
      <c r="CA39" s="116">
        <f>SUMIFS('IS Proforma'!CA:CA,'IS Proforma'!$B:$B,Summary!$B39)</f>
        <v>6358.457364</v>
      </c>
      <c r="CB39" s="116">
        <f>SUMIFS('IS Proforma'!CB:CB,'IS Proforma'!$B:$B,Summary!$B39)</f>
        <v>174200</v>
      </c>
      <c r="CC39" s="116">
        <f>SUMIFS('IS Proforma'!CC:CC,'IS Proforma'!$B:$B,Summary!$B39)</f>
        <v>6486.262357</v>
      </c>
      <c r="CD39" s="116">
        <f>SUMIFS('IS Proforma'!CD:CD,'IS Proforma'!$B:$B,Summary!$B39)</f>
        <v>6551.12498</v>
      </c>
      <c r="CE39" s="116">
        <f>SUMIFS('IS Proforma'!CE:CE,'IS Proforma'!$B:$B,Summary!$B39)</f>
        <v>6616.63623</v>
      </c>
      <c r="CF39" s="116">
        <f>SUMIFS('IS Proforma'!CF:CF,'IS Proforma'!$B:$B,Summary!$B39)</f>
        <v>179400</v>
      </c>
      <c r="CG39" s="116">
        <f>SUMIFS('IS Proforma'!CG:CG,'IS Proforma'!$B:$B,Summary!$B39)</f>
        <v>6749.630618</v>
      </c>
      <c r="CH39" s="116">
        <f>SUMIFS('IS Proforma'!CH:CH,'IS Proforma'!$B:$B,Summary!$B39)</f>
        <v>6817.126924</v>
      </c>
      <c r="CI39" s="116">
        <f>SUMIFS('IS Proforma'!CI:CI,'IS Proforma'!$B:$B,Summary!$B39)</f>
        <v>6885.298194</v>
      </c>
      <c r="CJ39" s="116">
        <f>SUMIFS('IS Proforma'!CJ:CJ,'IS Proforma'!$B:$B,Summary!$B39)</f>
        <v>183300</v>
      </c>
      <c r="CK39" s="116">
        <f>SUMIFS('IS Proforma'!CK:CK,'IS Proforma'!$B:$B,Summary!$B39)</f>
        <v>7023.692687</v>
      </c>
      <c r="CL39" s="116">
        <f>SUMIFS('IS Proforma'!CL:CL,'IS Proforma'!$B:$B,Summary!$B39)</f>
        <v>7093.929614</v>
      </c>
      <c r="CM39" s="116">
        <f>SUMIFS('IS Proforma'!CM:CM,'IS Proforma'!$B:$B,Summary!$B39)</f>
        <v>7164.86891</v>
      </c>
      <c r="CN39" s="116">
        <f>SUMIFS('IS Proforma'!CN:CN,'IS Proforma'!$B:$B,Summary!$B39)</f>
        <v>188500</v>
      </c>
      <c r="CO39" s="116">
        <f>SUMIFS('IS Proforma'!CO:CO,'IS Proforma'!$B:$B,Summary!$B39)</f>
        <v>7308.882775</v>
      </c>
      <c r="CP39" s="116">
        <f>SUMIFS('IS Proforma'!CP:CP,'IS Proforma'!$B:$B,Summary!$B39)</f>
        <v>7381.971603</v>
      </c>
      <c r="CQ39" s="116">
        <f>SUMIFS('IS Proforma'!CQ:CQ,'IS Proforma'!$B:$B,Summary!$B39)</f>
        <v>7455.791319</v>
      </c>
      <c r="CR39" s="116">
        <f>SUMIFS('IS Proforma'!CR:CR,'IS Proforma'!$B:$B,Summary!$B39)</f>
        <v>191100</v>
      </c>
      <c r="CS39" s="116">
        <f>SUMIFS('IS Proforma'!CS:CS,'IS Proforma'!$B:$B,Summary!$B39)</f>
        <v>7605.652725</v>
      </c>
      <c r="CT39" s="116">
        <f>SUMIFS('IS Proforma'!CT:CT,'IS Proforma'!$B:$B,Summary!$B39)</f>
        <v>7681.709252</v>
      </c>
      <c r="CU39" s="116">
        <f>SUMIFS('IS Proforma'!CU:CU,'IS Proforma'!$B:$B,Summary!$B39)</f>
        <v>7758.526344</v>
      </c>
      <c r="CW39" s="117">
        <f t="shared" si="87"/>
        <v>34569</v>
      </c>
      <c r="CX39" s="117">
        <f t="shared" si="88"/>
        <v>34896</v>
      </c>
      <c r="CY39" s="117">
        <f t="shared" si="89"/>
        <v>36599</v>
      </c>
      <c r="CZ39" s="117">
        <f t="shared" si="90"/>
        <v>32803</v>
      </c>
      <c r="DA39" s="117">
        <f t="shared" si="91"/>
        <v>34504</v>
      </c>
      <c r="DB39" s="117">
        <f t="shared" si="92"/>
        <v>35656</v>
      </c>
      <c r="DC39" s="117">
        <f t="shared" si="93"/>
        <v>33975</v>
      </c>
      <c r="DD39" s="117">
        <f t="shared" si="94"/>
        <v>37959</v>
      </c>
      <c r="DE39" s="117">
        <f t="shared" si="95"/>
        <v>84637</v>
      </c>
      <c r="DF39" s="117">
        <f t="shared" si="96"/>
        <v>76952.33451</v>
      </c>
      <c r="DG39" s="117">
        <f t="shared" si="97"/>
        <v>166954.7373</v>
      </c>
      <c r="DH39" s="117">
        <f t="shared" si="98"/>
        <v>172101.1369</v>
      </c>
      <c r="DI39" s="117">
        <f t="shared" si="99"/>
        <v>145524.8641</v>
      </c>
      <c r="DJ39" s="117">
        <f t="shared" si="100"/>
        <v>149378.8432</v>
      </c>
      <c r="DK39" s="117">
        <f t="shared" si="101"/>
        <v>153257.3463</v>
      </c>
      <c r="DL39" s="117">
        <f t="shared" si="102"/>
        <v>156511.3692</v>
      </c>
      <c r="DM39" s="117">
        <f t="shared" si="103"/>
        <v>163691.948</v>
      </c>
      <c r="DN39" s="117">
        <f t="shared" si="104"/>
        <v>168950.161</v>
      </c>
      <c r="DO39" s="117">
        <f t="shared" si="105"/>
        <v>174237.1303</v>
      </c>
      <c r="DP39" s="117">
        <f t="shared" si="106"/>
        <v>193854.0236</v>
      </c>
      <c r="DQ39" s="117">
        <f t="shared" si="107"/>
        <v>199852.0557</v>
      </c>
      <c r="DR39" s="117">
        <f t="shared" si="108"/>
        <v>204582.4912</v>
      </c>
      <c r="DS39" s="117">
        <f t="shared" si="109"/>
        <v>210646.6457</v>
      </c>
      <c r="DT39" s="117">
        <f t="shared" si="110"/>
        <v>214145.8883</v>
      </c>
      <c r="DV39" s="117">
        <f t="shared" si="111"/>
        <v>106064</v>
      </c>
      <c r="DW39" s="117">
        <f t="shared" si="112"/>
        <v>102963</v>
      </c>
      <c r="DX39" s="117">
        <f t="shared" si="113"/>
        <v>156571</v>
      </c>
      <c r="DY39" s="117">
        <f t="shared" si="114"/>
        <v>416008.2087</v>
      </c>
      <c r="DZ39" s="117">
        <f t="shared" si="115"/>
        <v>448161.0537</v>
      </c>
      <c r="EA39" s="117">
        <f t="shared" si="116"/>
        <v>489153.4782</v>
      </c>
      <c r="EB39" s="117">
        <f t="shared" si="117"/>
        <v>567943.2096</v>
      </c>
      <c r="EC39" s="117">
        <f t="shared" si="118"/>
        <v>629375.0252</v>
      </c>
      <c r="ED39" s="118"/>
      <c r="EE39" s="118"/>
    </row>
    <row r="40" ht="15.75" customHeight="1" outlineLevel="1">
      <c r="B40" s="132" t="s">
        <v>72</v>
      </c>
      <c r="C40" s="1" t="s">
        <v>113</v>
      </c>
      <c r="D40" s="116">
        <f>SUMIFS('IS Proforma'!D:D,'IS Proforma'!$B:$B,Summary!$B40)</f>
        <v>9390</v>
      </c>
      <c r="E40" s="116">
        <f>SUMIFS('IS Proforma'!E:E,'IS Proforma'!$B:$B,Summary!$B40)</f>
        <v>11840</v>
      </c>
      <c r="F40" s="116">
        <f>SUMIFS('IS Proforma'!F:F,'IS Proforma'!$B:$B,Summary!$B40)</f>
        <v>11282</v>
      </c>
      <c r="G40" s="116">
        <f>SUMIFS('IS Proforma'!G:G,'IS Proforma'!$B:$B,Summary!$B40)</f>
        <v>10445</v>
      </c>
      <c r="H40" s="116">
        <f>SUMIFS('IS Proforma'!H:H,'IS Proforma'!$B:$B,Summary!$B40)</f>
        <v>9481</v>
      </c>
      <c r="I40" s="116">
        <f>SUMIFS('IS Proforma'!I:I,'IS Proforma'!$B:$B,Summary!$B40)</f>
        <v>9608</v>
      </c>
      <c r="J40" s="116">
        <f>SUMIFS('IS Proforma'!J:J,'IS Proforma'!$B:$B,Summary!$B40)</f>
        <v>10724</v>
      </c>
      <c r="K40" s="116">
        <f>SUMIFS('IS Proforma'!K:K,'IS Proforma'!$B:$B,Summary!$B40)</f>
        <v>10824</v>
      </c>
      <c r="L40" s="116">
        <f>SUMIFS('IS Proforma'!L:L,'IS Proforma'!$B:$B,Summary!$B40)</f>
        <v>10831</v>
      </c>
      <c r="M40" s="116">
        <f>SUMIFS('IS Proforma'!M:M,'IS Proforma'!$B:$B,Summary!$B40)</f>
        <v>10864</v>
      </c>
      <c r="N40" s="116">
        <f>SUMIFS('IS Proforma'!N:N,'IS Proforma'!$B:$B,Summary!$B40)</f>
        <v>9371</v>
      </c>
      <c r="O40" s="116">
        <f>SUMIFS('IS Proforma'!O:O,'IS Proforma'!$B:$B,Summary!$B40)</f>
        <v>11346</v>
      </c>
      <c r="P40" s="116">
        <f>SUMIFS('IS Proforma'!P:P,'IS Proforma'!$B:$B,Summary!$B40)</f>
        <v>10815</v>
      </c>
      <c r="Q40" s="116">
        <f>SUMIFS('IS Proforma'!Q:Q,'IS Proforma'!$B:$B,Summary!$B40)</f>
        <v>10005</v>
      </c>
      <c r="R40" s="116">
        <f>SUMIFS('IS Proforma'!R:R,'IS Proforma'!$B:$B,Summary!$B40)</f>
        <v>12049</v>
      </c>
      <c r="S40" s="116">
        <f>SUMIFS('IS Proforma'!S:S,'IS Proforma'!$B:$B,Summary!$B40)</f>
        <v>12014</v>
      </c>
      <c r="T40" s="116">
        <f>SUMIFS('IS Proforma'!T:T,'IS Proforma'!$B:$B,Summary!$B40)</f>
        <v>9374</v>
      </c>
      <c r="U40" s="116">
        <f>SUMIFS('IS Proforma'!U:U,'IS Proforma'!$B:$B,Summary!$B40)</f>
        <v>10163</v>
      </c>
      <c r="V40" s="116">
        <f>SUMIFS('IS Proforma'!V:V,'IS Proforma'!$B:$B,Summary!$B40)</f>
        <v>7115</v>
      </c>
      <c r="W40" s="116">
        <f>SUMIFS('IS Proforma'!W:W,'IS Proforma'!$B:$B,Summary!$B40)</f>
        <v>11365</v>
      </c>
      <c r="X40" s="116">
        <f>SUMIFS('IS Proforma'!X:X,'IS Proforma'!$B:$B,Summary!$B40)</f>
        <v>10072</v>
      </c>
      <c r="Y40" s="116">
        <f>SUMIFS('IS Proforma'!Y:Y,'IS Proforma'!$B:$B,Summary!$B40)</f>
        <v>11284</v>
      </c>
      <c r="Z40" s="116">
        <f>SUMIFS('IS Proforma'!Z:Z,'IS Proforma'!$B:$B,Summary!$B40)</f>
        <v>11241</v>
      </c>
      <c r="AA40" s="116">
        <f>SUMIFS('IS Proforma'!AA:AA,'IS Proforma'!$B:$B,Summary!$B40)</f>
        <v>8829</v>
      </c>
      <c r="AB40" s="116">
        <f>SUMIFS('IS Proforma'!AB:AB,'IS Proforma'!$B:$B,Summary!$B40)</f>
        <v>9308</v>
      </c>
      <c r="AC40" s="116">
        <f>SUMIFS('IS Proforma'!AC:AC,'IS Proforma'!$B:$B,Summary!$B40)</f>
        <v>11240</v>
      </c>
      <c r="AD40" s="116">
        <f>SUMIFS('IS Proforma'!AD:AD,'IS Proforma'!$B:$B,Summary!$B40)</f>
        <v>7579</v>
      </c>
      <c r="AE40" s="116">
        <f>SUMIFS('IS Proforma'!AE:AE,'IS Proforma'!$B:$B,Summary!$B40)</f>
        <v>10382</v>
      </c>
      <c r="AF40" s="116">
        <f>SUMIFS('IS Proforma'!AF:AF,'IS Proforma'!$B:$B,Summary!$B40)</f>
        <v>9090</v>
      </c>
      <c r="AG40" s="116">
        <f>SUMIFS('IS Proforma'!AG:AG,'IS Proforma'!$B:$B,Summary!$B40)</f>
        <v>11165</v>
      </c>
      <c r="AH40" s="116">
        <f>SUMIFS('IS Proforma'!AH:AH,'IS Proforma'!$B:$B,Summary!$B40)</f>
        <v>12691</v>
      </c>
      <c r="AI40" s="116">
        <f>SUMIFS('IS Proforma'!AI:AI,'IS Proforma'!$B:$B,Summary!$B40)</f>
        <v>11253</v>
      </c>
      <c r="AJ40" s="116">
        <f>SUMIFS('IS Proforma'!AJ:AJ,'IS Proforma'!$B:$B,Summary!$B40)</f>
        <v>10690</v>
      </c>
      <c r="AK40" s="116">
        <f>SUMIFS('IS Proforma'!AK:AK,'IS Proforma'!$B:$B,Summary!$B40)</f>
        <v>8961</v>
      </c>
      <c r="AL40" s="116">
        <f>SUMIFS('IS Proforma'!AL:AL,'IS Proforma'!$B:$B,Summary!$B40)</f>
        <v>11204</v>
      </c>
      <c r="AM40" s="116">
        <f>SUMIFS('IS Proforma'!AM:AM,'IS Proforma'!$B:$B,Summary!$B40)</f>
        <v>13268.42423</v>
      </c>
      <c r="AN40" s="116">
        <f>SUMIFS('IS Proforma'!AN:AN,'IS Proforma'!$B:$B,Summary!$B40)</f>
        <v>13960.50508</v>
      </c>
      <c r="AO40" s="116">
        <f>SUMIFS('IS Proforma'!AO:AO,'IS Proforma'!$B:$B,Summary!$B40)</f>
        <v>14644.45184</v>
      </c>
      <c r="AP40" s="116">
        <f>SUMIFS('IS Proforma'!AP:AP,'IS Proforma'!$B:$B,Summary!$B40)</f>
        <v>15270.80171</v>
      </c>
      <c r="AQ40" s="116">
        <f>SUMIFS('IS Proforma'!AQ:AQ,'IS Proforma'!$B:$B,Summary!$B40)</f>
        <v>15870.58394</v>
      </c>
      <c r="AR40" s="116">
        <f>SUMIFS('IS Proforma'!AR:AR,'IS Proforma'!$B:$B,Summary!$B40)</f>
        <v>16466.51773</v>
      </c>
      <c r="AS40" s="116">
        <f>SUMIFS('IS Proforma'!AS:AS,'IS Proforma'!$B:$B,Summary!$B40)</f>
        <v>17265.96576</v>
      </c>
      <c r="AT40" s="116">
        <f>SUMIFS('IS Proforma'!AT:AT,'IS Proforma'!$B:$B,Summary!$B40)</f>
        <v>17806.33571</v>
      </c>
      <c r="AU40" s="116">
        <f>SUMIFS('IS Proforma'!AU:AU,'IS Proforma'!$B:$B,Summary!$B40)</f>
        <v>18336.27539</v>
      </c>
      <c r="AV40" s="116">
        <f>SUMIFS('IS Proforma'!AV:AV,'IS Proforma'!$B:$B,Summary!$B40)</f>
        <v>18855.11899</v>
      </c>
      <c r="AW40" s="116">
        <f>SUMIFS('IS Proforma'!AW:AW,'IS Proforma'!$B:$B,Summary!$B40)</f>
        <v>19337.43997</v>
      </c>
      <c r="AX40" s="116">
        <f>SUMIFS('IS Proforma'!AX:AX,'IS Proforma'!$B:$B,Summary!$B40)</f>
        <v>19815.10472</v>
      </c>
      <c r="AY40" s="116">
        <f>SUMIFS('IS Proforma'!AY:AY,'IS Proforma'!$B:$B,Summary!$B40)</f>
        <v>20298.78386</v>
      </c>
      <c r="AZ40" s="116">
        <f>SUMIFS('IS Proforma'!AZ:AZ,'IS Proforma'!$B:$B,Summary!$B40)</f>
        <v>20776.62476</v>
      </c>
      <c r="BA40" s="116">
        <f>SUMIFS('IS Proforma'!BA:BA,'IS Proforma'!$B:$B,Summary!$B40)</f>
        <v>20861.72696</v>
      </c>
      <c r="BB40" s="116">
        <f>SUMIFS('IS Proforma'!BB:BB,'IS Proforma'!$B:$B,Summary!$B40)</f>
        <v>20981.04442</v>
      </c>
      <c r="BC40" s="116">
        <f>SUMIFS('IS Proforma'!BC:BC,'IS Proforma'!$B:$B,Summary!$B40)</f>
        <v>21135.70439</v>
      </c>
      <c r="BD40" s="116">
        <f>SUMIFS('IS Proforma'!BD:BD,'IS Proforma'!$B:$B,Summary!$B40)</f>
        <v>21299.8964</v>
      </c>
      <c r="BE40" s="116">
        <f>SUMIFS('IS Proforma'!BE:BE,'IS Proforma'!$B:$B,Summary!$B40)</f>
        <v>21470.66282</v>
      </c>
      <c r="BF40" s="116">
        <f>SUMIFS('IS Proforma'!BF:BF,'IS Proforma'!$B:$B,Summary!$B40)</f>
        <v>21639.563</v>
      </c>
      <c r="BG40" s="116">
        <f>SUMIFS('IS Proforma'!BG:BG,'IS Proforma'!$B:$B,Summary!$B40)</f>
        <v>21843.47118</v>
      </c>
      <c r="BH40" s="116">
        <f>SUMIFS('IS Proforma'!BH:BH,'IS Proforma'!$B:$B,Summary!$B40)</f>
        <v>22008.0503</v>
      </c>
      <c r="BI40" s="116">
        <f>SUMIFS('IS Proforma'!BI:BI,'IS Proforma'!$B:$B,Summary!$B40)</f>
        <v>22170.29285</v>
      </c>
      <c r="BJ40" s="116">
        <f>SUMIFS('IS Proforma'!BJ:BJ,'IS Proforma'!$B:$B,Summary!$B40)</f>
        <v>22330.29241</v>
      </c>
      <c r="BK40" s="116">
        <f>SUMIFS('IS Proforma'!BK:BK,'IS Proforma'!$B:$B,Summary!$B40)</f>
        <v>22488.15772</v>
      </c>
      <c r="BL40" s="116">
        <f>SUMIFS('IS Proforma'!BL:BL,'IS Proforma'!$B:$B,Summary!$B40)</f>
        <v>22832.01466</v>
      </c>
      <c r="BM40" s="116">
        <f>SUMIFS('IS Proforma'!BM:BM,'IS Proforma'!$B:$B,Summary!$B40)</f>
        <v>23090.85459</v>
      </c>
      <c r="BN40" s="116">
        <f>SUMIFS('IS Proforma'!BN:BN,'IS Proforma'!$B:$B,Summary!$B40)</f>
        <v>23341.71427</v>
      </c>
      <c r="BO40" s="116">
        <f>SUMIFS('IS Proforma'!BO:BO,'IS Proforma'!$B:$B,Summary!$B40)</f>
        <v>23586.11843</v>
      </c>
      <c r="BP40" s="116">
        <f>SUMIFS('IS Proforma'!BP:BP,'IS Proforma'!$B:$B,Summary!$B40)</f>
        <v>23825.05287</v>
      </c>
      <c r="BQ40" s="116">
        <f>SUMIFS('IS Proforma'!BQ:BQ,'IS Proforma'!$B:$B,Summary!$B40)</f>
        <v>24059.15254</v>
      </c>
      <c r="BR40" s="116">
        <f>SUMIFS('IS Proforma'!BR:BR,'IS Proforma'!$B:$B,Summary!$B40)</f>
        <v>24288.90146</v>
      </c>
      <c r="BS40" s="116">
        <f>SUMIFS('IS Proforma'!BS:BS,'IS Proforma'!$B:$B,Summary!$B40)</f>
        <v>24514.69434</v>
      </c>
      <c r="BT40" s="116">
        <f>SUMIFS('IS Proforma'!BT:BT,'IS Proforma'!$B:$B,Summary!$B40)</f>
        <v>24736.86441</v>
      </c>
      <c r="BU40" s="116">
        <f>SUMIFS('IS Proforma'!BU:BU,'IS Proforma'!$B:$B,Summary!$B40)</f>
        <v>24955.69949</v>
      </c>
      <c r="BV40" s="116">
        <f>SUMIFS('IS Proforma'!BV:BV,'IS Proforma'!$B:$B,Summary!$B40)</f>
        <v>25171.45288</v>
      </c>
      <c r="BW40" s="116">
        <f>SUMIFS('IS Proforma'!BW:BW,'IS Proforma'!$B:$B,Summary!$B40)</f>
        <v>25384.35096</v>
      </c>
      <c r="BX40" s="116">
        <f>SUMIFS('IS Proforma'!BX:BX,'IS Proforma'!$B:$B,Summary!$B40)</f>
        <v>25692.04145</v>
      </c>
      <c r="BY40" s="116">
        <f>SUMIFS('IS Proforma'!BY:BY,'IS Proforma'!$B:$B,Summary!$B40)</f>
        <v>25930.87998</v>
      </c>
      <c r="BZ40" s="116">
        <f>SUMIFS('IS Proforma'!BZ:BZ,'IS Proforma'!$B:$B,Summary!$B40)</f>
        <v>26147.18377</v>
      </c>
      <c r="CA40" s="116">
        <f>SUMIFS('IS Proforma'!CA:CA,'IS Proforma'!$B:$B,Summary!$B40)</f>
        <v>26359.2129</v>
      </c>
      <c r="CB40" s="116">
        <f>SUMIFS('IS Proforma'!CB:CB,'IS Proforma'!$B:$B,Summary!$B40)</f>
        <v>26570.19214</v>
      </c>
      <c r="CC40" s="116">
        <f>SUMIFS('IS Proforma'!CC:CC,'IS Proforma'!$B:$B,Summary!$B40)</f>
        <v>26780.20264</v>
      </c>
      <c r="CD40" s="116">
        <f>SUMIFS('IS Proforma'!CD:CD,'IS Proforma'!$B:$B,Summary!$B40)</f>
        <v>26989.38424</v>
      </c>
      <c r="CE40" s="116">
        <f>SUMIFS('IS Proforma'!CE:CE,'IS Proforma'!$B:$B,Summary!$B40)</f>
        <v>27197.87208</v>
      </c>
      <c r="CF40" s="116">
        <f>SUMIFS('IS Proforma'!CF:CF,'IS Proforma'!$B:$B,Summary!$B40)</f>
        <v>27405.79408</v>
      </c>
      <c r="CG40" s="116">
        <f>SUMIFS('IS Proforma'!CG:CG,'IS Proforma'!$B:$B,Summary!$B40)</f>
        <v>27613.27327</v>
      </c>
      <c r="CH40" s="116">
        <f>SUMIFS('IS Proforma'!CH:CH,'IS Proforma'!$B:$B,Summary!$B40)</f>
        <v>27820.42911</v>
      </c>
      <c r="CI40" s="116">
        <f>SUMIFS('IS Proforma'!CI:CI,'IS Proforma'!$B:$B,Summary!$B40)</f>
        <v>28027.37827</v>
      </c>
      <c r="CJ40" s="116">
        <f>SUMIFS('IS Proforma'!CJ:CJ,'IS Proforma'!$B:$B,Summary!$B40)</f>
        <v>28310.38887</v>
      </c>
      <c r="CK40" s="116">
        <f>SUMIFS('IS Proforma'!CK:CK,'IS Proforma'!$B:$B,Summary!$B40)</f>
        <v>28442.67011</v>
      </c>
      <c r="CL40" s="116">
        <f>SUMIFS('IS Proforma'!CL:CL,'IS Proforma'!$B:$B,Summary!$B40)</f>
        <v>28569.11214</v>
      </c>
      <c r="CM40" s="116">
        <f>SUMIFS('IS Proforma'!CM:CM,'IS Proforma'!$B:$B,Summary!$B40)</f>
        <v>28702.1538</v>
      </c>
      <c r="CN40" s="116">
        <f>SUMIFS('IS Proforma'!CN:CN,'IS Proforma'!$B:$B,Summary!$B40)</f>
        <v>28839.03936</v>
      </c>
      <c r="CO40" s="116">
        <f>SUMIFS('IS Proforma'!CO:CO,'IS Proforma'!$B:$B,Summary!$B40)</f>
        <v>28977.6968</v>
      </c>
      <c r="CP40" s="116">
        <f>SUMIFS('IS Proforma'!CP:CP,'IS Proforma'!$B:$B,Summary!$B40)</f>
        <v>29117.25948</v>
      </c>
      <c r="CQ40" s="116">
        <f>SUMIFS('IS Proforma'!CQ:CQ,'IS Proforma'!$B:$B,Summary!$B40)</f>
        <v>29257.28408</v>
      </c>
      <c r="CR40" s="116">
        <f>SUMIFS('IS Proforma'!CR:CR,'IS Proforma'!$B:$B,Summary!$B40)</f>
        <v>29397.5203</v>
      </c>
      <c r="CS40" s="116">
        <f>SUMIFS('IS Proforma'!CS:CS,'IS Proforma'!$B:$B,Summary!$B40)</f>
        <v>29537.82479</v>
      </c>
      <c r="CT40" s="116">
        <f>SUMIFS('IS Proforma'!CT:CT,'IS Proforma'!$B:$B,Summary!$B40)</f>
        <v>29678.12124</v>
      </c>
      <c r="CU40" s="116">
        <f>SUMIFS('IS Proforma'!CU:CU,'IS Proforma'!$B:$B,Summary!$B40)</f>
        <v>29818.37839</v>
      </c>
      <c r="CW40" s="117">
        <f t="shared" si="87"/>
        <v>42957</v>
      </c>
      <c r="CX40" s="117">
        <f t="shared" si="88"/>
        <v>40637</v>
      </c>
      <c r="CY40" s="117">
        <f t="shared" si="89"/>
        <v>42412</v>
      </c>
      <c r="CZ40" s="117">
        <f t="shared" si="90"/>
        <v>44883</v>
      </c>
      <c r="DA40" s="117">
        <f t="shared" si="91"/>
        <v>38017</v>
      </c>
      <c r="DB40" s="117">
        <f t="shared" si="92"/>
        <v>41426</v>
      </c>
      <c r="DC40" s="117">
        <f t="shared" si="93"/>
        <v>38509</v>
      </c>
      <c r="DD40" s="117">
        <f t="shared" si="94"/>
        <v>44199</v>
      </c>
      <c r="DE40" s="117">
        <f t="shared" si="95"/>
        <v>44123.42423</v>
      </c>
      <c r="DF40" s="117">
        <f t="shared" si="96"/>
        <v>59746.34257</v>
      </c>
      <c r="DG40" s="117">
        <f t="shared" si="97"/>
        <v>69875.0946</v>
      </c>
      <c r="DH40" s="117">
        <f t="shared" si="98"/>
        <v>78306.44755</v>
      </c>
      <c r="DI40" s="117">
        <f t="shared" si="99"/>
        <v>83755.10053</v>
      </c>
      <c r="DJ40" s="117">
        <f t="shared" si="100"/>
        <v>86253.5934</v>
      </c>
      <c r="DK40" s="117">
        <f t="shared" si="101"/>
        <v>88996.79328</v>
      </c>
      <c r="DL40" s="117">
        <f t="shared" si="102"/>
        <v>92850.70195</v>
      </c>
      <c r="DM40" s="117">
        <f t="shared" si="103"/>
        <v>96687.80122</v>
      </c>
      <c r="DN40" s="117">
        <f t="shared" si="104"/>
        <v>100248.3677</v>
      </c>
      <c r="DO40" s="117">
        <f t="shared" si="105"/>
        <v>104129.3181</v>
      </c>
      <c r="DP40" s="117">
        <f t="shared" si="106"/>
        <v>107537.6511</v>
      </c>
      <c r="DQ40" s="117">
        <f t="shared" si="107"/>
        <v>110866.8747</v>
      </c>
      <c r="DR40" s="117">
        <f t="shared" si="108"/>
        <v>114024.3249</v>
      </c>
      <c r="DS40" s="117">
        <f t="shared" si="109"/>
        <v>116191.2797</v>
      </c>
      <c r="DT40" s="117">
        <f t="shared" si="110"/>
        <v>118431.8447</v>
      </c>
      <c r="DV40" s="133">
        <f t="shared" si="111"/>
        <v>126006</v>
      </c>
      <c r="DW40" s="117">
        <f t="shared" si="112"/>
        <v>124326</v>
      </c>
      <c r="DX40" s="117">
        <f t="shared" si="113"/>
        <v>126831.4242</v>
      </c>
      <c r="DY40" s="117">
        <f t="shared" si="114"/>
        <v>207927.8847</v>
      </c>
      <c r="DZ40" s="117">
        <f t="shared" si="115"/>
        <v>259005.4872</v>
      </c>
      <c r="EA40" s="117">
        <f t="shared" si="116"/>
        <v>289786.8709</v>
      </c>
      <c r="EB40" s="117">
        <f t="shared" si="117"/>
        <v>322533.8439</v>
      </c>
      <c r="EC40" s="117">
        <f t="shared" si="118"/>
        <v>348647.4494</v>
      </c>
      <c r="ED40" s="118"/>
      <c r="EE40" s="118"/>
    </row>
    <row r="41" ht="15.75" customHeight="1">
      <c r="A41" s="4"/>
      <c r="B41" s="4"/>
      <c r="C41" s="124" t="s">
        <v>114</v>
      </c>
      <c r="D41" s="120">
        <f t="shared" ref="D41:CU41" si="119">SUM(D32:D40)</f>
        <v>64675</v>
      </c>
      <c r="E41" s="120">
        <f t="shared" si="119"/>
        <v>67034</v>
      </c>
      <c r="F41" s="120">
        <f t="shared" si="119"/>
        <v>64898</v>
      </c>
      <c r="G41" s="120">
        <f t="shared" si="119"/>
        <v>63340</v>
      </c>
      <c r="H41" s="120">
        <f t="shared" si="119"/>
        <v>62911</v>
      </c>
      <c r="I41" s="120">
        <f t="shared" si="119"/>
        <v>67126</v>
      </c>
      <c r="J41" s="120">
        <f t="shared" si="119"/>
        <v>61994</v>
      </c>
      <c r="K41" s="120">
        <f t="shared" si="119"/>
        <v>62971</v>
      </c>
      <c r="L41" s="120">
        <f t="shared" si="119"/>
        <v>64494</v>
      </c>
      <c r="M41" s="120">
        <f t="shared" si="119"/>
        <v>65606</v>
      </c>
      <c r="N41" s="120">
        <f t="shared" si="119"/>
        <v>62093</v>
      </c>
      <c r="O41" s="120">
        <f t="shared" si="119"/>
        <v>65007</v>
      </c>
      <c r="P41" s="120">
        <f t="shared" si="119"/>
        <v>66212</v>
      </c>
      <c r="Q41" s="120">
        <f t="shared" si="119"/>
        <v>60377</v>
      </c>
      <c r="R41" s="120">
        <f t="shared" si="119"/>
        <v>65183</v>
      </c>
      <c r="S41" s="120">
        <f t="shared" si="119"/>
        <v>66565</v>
      </c>
      <c r="T41" s="120">
        <f t="shared" si="119"/>
        <v>65761</v>
      </c>
      <c r="U41" s="120">
        <f t="shared" si="119"/>
        <v>60249</v>
      </c>
      <c r="V41" s="120">
        <f t="shared" si="119"/>
        <v>56957</v>
      </c>
      <c r="W41" s="120">
        <f t="shared" si="119"/>
        <v>66371</v>
      </c>
      <c r="X41" s="120">
        <f t="shared" si="119"/>
        <v>67508</v>
      </c>
      <c r="Y41" s="120">
        <f t="shared" si="119"/>
        <v>67028</v>
      </c>
      <c r="Z41" s="120">
        <f t="shared" si="119"/>
        <v>64769</v>
      </c>
      <c r="AA41" s="120">
        <f t="shared" si="119"/>
        <v>68973</v>
      </c>
      <c r="AB41" s="120">
        <f t="shared" si="119"/>
        <v>62383</v>
      </c>
      <c r="AC41" s="120">
        <f t="shared" si="119"/>
        <v>65921</v>
      </c>
      <c r="AD41" s="120">
        <f t="shared" si="119"/>
        <v>60776</v>
      </c>
      <c r="AE41" s="120">
        <f t="shared" si="119"/>
        <v>69171</v>
      </c>
      <c r="AF41" s="120">
        <f t="shared" si="119"/>
        <v>66969</v>
      </c>
      <c r="AG41" s="120">
        <f t="shared" si="119"/>
        <v>67260</v>
      </c>
      <c r="AH41" s="120">
        <f t="shared" si="119"/>
        <v>63233</v>
      </c>
      <c r="AI41" s="120">
        <f t="shared" si="119"/>
        <v>61646</v>
      </c>
      <c r="AJ41" s="120">
        <f t="shared" si="119"/>
        <v>66360</v>
      </c>
      <c r="AK41" s="120">
        <f t="shared" si="119"/>
        <v>62276</v>
      </c>
      <c r="AL41" s="120">
        <f t="shared" si="119"/>
        <v>66325</v>
      </c>
      <c r="AM41" s="120">
        <f t="shared" si="119"/>
        <v>246539.2638</v>
      </c>
      <c r="AN41" s="120">
        <f t="shared" si="119"/>
        <v>318189.4546</v>
      </c>
      <c r="AO41" s="120">
        <f t="shared" si="119"/>
        <v>435715.2649</v>
      </c>
      <c r="AP41" s="120">
        <f t="shared" si="119"/>
        <v>345269.5776</v>
      </c>
      <c r="AQ41" s="120">
        <f t="shared" si="119"/>
        <v>366471.5688</v>
      </c>
      <c r="AR41" s="120">
        <f t="shared" si="119"/>
        <v>494233.1641</v>
      </c>
      <c r="AS41" s="120">
        <f t="shared" si="119"/>
        <v>393161.1931</v>
      </c>
      <c r="AT41" s="120">
        <f t="shared" si="119"/>
        <v>523643.139</v>
      </c>
      <c r="AU41" s="120">
        <f t="shared" si="119"/>
        <v>438507.3573</v>
      </c>
      <c r="AV41" s="120">
        <f t="shared" si="119"/>
        <v>578306.4862</v>
      </c>
      <c r="AW41" s="120">
        <f t="shared" si="119"/>
        <v>485400.0389</v>
      </c>
      <c r="AX41" s="120">
        <f t="shared" si="119"/>
        <v>509332.0341</v>
      </c>
      <c r="AY41" s="120">
        <f t="shared" si="119"/>
        <v>526833.8369</v>
      </c>
      <c r="AZ41" s="120">
        <f t="shared" si="119"/>
        <v>801144.7971</v>
      </c>
      <c r="BA41" s="120">
        <f t="shared" si="119"/>
        <v>554091.3369</v>
      </c>
      <c r="BB41" s="120">
        <f t="shared" si="119"/>
        <v>553461.0659</v>
      </c>
      <c r="BC41" s="120">
        <f t="shared" si="119"/>
        <v>554859.7979</v>
      </c>
      <c r="BD41" s="120">
        <f t="shared" si="119"/>
        <v>699284.7358</v>
      </c>
      <c r="BE41" s="120">
        <f t="shared" si="119"/>
        <v>572188.6019</v>
      </c>
      <c r="BF41" s="120">
        <f t="shared" si="119"/>
        <v>684762.5992</v>
      </c>
      <c r="BG41" s="120">
        <f t="shared" si="119"/>
        <v>583502.951</v>
      </c>
      <c r="BH41" s="120">
        <f t="shared" si="119"/>
        <v>733966.5551</v>
      </c>
      <c r="BI41" s="120">
        <f t="shared" si="119"/>
        <v>603554.271</v>
      </c>
      <c r="BJ41" s="120">
        <f t="shared" si="119"/>
        <v>605023.444</v>
      </c>
      <c r="BK41" s="120">
        <f t="shared" si="119"/>
        <v>606487.8244</v>
      </c>
      <c r="BL41" s="120">
        <f t="shared" si="119"/>
        <v>899457.2618</v>
      </c>
      <c r="BM41" s="120">
        <f t="shared" si="119"/>
        <v>651682.3806</v>
      </c>
      <c r="BN41" s="120">
        <f t="shared" si="119"/>
        <v>658714.3878</v>
      </c>
      <c r="BO41" s="120">
        <f t="shared" si="119"/>
        <v>665717.6994</v>
      </c>
      <c r="BP41" s="120">
        <f t="shared" si="119"/>
        <v>851264.1984</v>
      </c>
      <c r="BQ41" s="120">
        <f t="shared" si="119"/>
        <v>717293.7372</v>
      </c>
      <c r="BR41" s="120">
        <f t="shared" si="119"/>
        <v>864382.619</v>
      </c>
      <c r="BS41" s="120">
        <f t="shared" si="119"/>
        <v>758689.1033</v>
      </c>
      <c r="BT41" s="120">
        <f t="shared" si="119"/>
        <v>934675.3246</v>
      </c>
      <c r="BU41" s="120">
        <f t="shared" si="119"/>
        <v>813435.6577</v>
      </c>
      <c r="BV41" s="120">
        <f t="shared" si="119"/>
        <v>820327.5914</v>
      </c>
      <c r="BW41" s="120">
        <f t="shared" si="119"/>
        <v>827210.5637</v>
      </c>
      <c r="BX41" s="120">
        <f t="shared" si="119"/>
        <v>1159271.616</v>
      </c>
      <c r="BY41" s="120">
        <f t="shared" si="119"/>
        <v>893180.4228</v>
      </c>
      <c r="BZ41" s="120">
        <f t="shared" si="119"/>
        <v>899233.4425</v>
      </c>
      <c r="CA41" s="120">
        <f t="shared" si="119"/>
        <v>922771.6293</v>
      </c>
      <c r="CB41" s="120">
        <f t="shared" si="119"/>
        <v>1127964.106</v>
      </c>
      <c r="CC41" s="120">
        <f t="shared" si="119"/>
        <v>967276.9202</v>
      </c>
      <c r="CD41" s="120">
        <f t="shared" si="119"/>
        <v>1116093.447</v>
      </c>
      <c r="CE41" s="120">
        <f t="shared" si="119"/>
        <v>1001705.425</v>
      </c>
      <c r="CF41" s="120">
        <f t="shared" si="119"/>
        <v>1205409.754</v>
      </c>
      <c r="CG41" s="120">
        <f t="shared" si="119"/>
        <v>1057942.453</v>
      </c>
      <c r="CH41" s="120">
        <f t="shared" si="119"/>
        <v>1065068.056</v>
      </c>
      <c r="CI41" s="120">
        <f t="shared" si="119"/>
        <v>1072203.814</v>
      </c>
      <c r="CJ41" s="120">
        <f t="shared" si="119"/>
        <v>1440493.836</v>
      </c>
      <c r="CK41" s="120">
        <f t="shared" si="119"/>
        <v>1152893.872</v>
      </c>
      <c r="CL41" s="120">
        <f t="shared" si="119"/>
        <v>1156793.959</v>
      </c>
      <c r="CM41" s="120">
        <f t="shared" si="119"/>
        <v>1157922.185</v>
      </c>
      <c r="CN41" s="120">
        <f t="shared" si="119"/>
        <v>1373062.746</v>
      </c>
      <c r="CO41" s="120">
        <f t="shared" si="119"/>
        <v>1198309.479</v>
      </c>
      <c r="CP41" s="120">
        <f t="shared" si="119"/>
        <v>1308424.574</v>
      </c>
      <c r="CQ41" s="120">
        <f t="shared" si="119"/>
        <v>1212862.662</v>
      </c>
      <c r="CR41" s="120">
        <f t="shared" si="119"/>
        <v>1432835.933</v>
      </c>
      <c r="CS41" s="120">
        <f t="shared" si="119"/>
        <v>1255821.182</v>
      </c>
      <c r="CT41" s="120">
        <f t="shared" si="119"/>
        <v>1262385.722</v>
      </c>
      <c r="CU41" s="120">
        <f t="shared" si="119"/>
        <v>1268959.678</v>
      </c>
      <c r="CV41" s="4"/>
      <c r="CW41" s="121">
        <f t="shared" ref="CW41:CZ41" si="120">SUM(M41:P41)</f>
        <v>258918</v>
      </c>
      <c r="CX41" s="121">
        <f t="shared" si="120"/>
        <v>253689</v>
      </c>
      <c r="CY41" s="121">
        <f t="shared" si="120"/>
        <v>256779</v>
      </c>
      <c r="CZ41" s="121">
        <f t="shared" si="120"/>
        <v>258337</v>
      </c>
      <c r="DA41" s="121">
        <f t="shared" si="91"/>
        <v>249338</v>
      </c>
      <c r="DB41" s="121">
        <f t="shared" si="92"/>
        <v>268278</v>
      </c>
      <c r="DC41" s="121">
        <f t="shared" si="93"/>
        <v>258251</v>
      </c>
      <c r="DD41" s="121">
        <f t="shared" si="94"/>
        <v>259108</v>
      </c>
      <c r="DE41" s="121">
        <f t="shared" si="95"/>
        <v>441500.2638</v>
      </c>
      <c r="DF41" s="121">
        <f t="shared" si="96"/>
        <v>1465645.866</v>
      </c>
      <c r="DG41" s="121">
        <f t="shared" si="97"/>
        <v>1849544.853</v>
      </c>
      <c r="DH41" s="121">
        <f t="shared" si="98"/>
        <v>2099872.396</v>
      </c>
      <c r="DI41" s="121">
        <f t="shared" si="99"/>
        <v>2463556.998</v>
      </c>
      <c r="DJ41" s="121">
        <f t="shared" si="100"/>
        <v>2539738.888</v>
      </c>
      <c r="DK41" s="121">
        <f t="shared" si="101"/>
        <v>2549032.094</v>
      </c>
      <c r="DL41" s="121">
        <f t="shared" si="102"/>
        <v>2875571.73</v>
      </c>
      <c r="DM41" s="121">
        <f t="shared" si="103"/>
        <v>3191629.658</v>
      </c>
      <c r="DN41" s="121">
        <f t="shared" si="104"/>
        <v>3395649.137</v>
      </c>
      <c r="DO41" s="121">
        <f t="shared" si="105"/>
        <v>3874457.11</v>
      </c>
      <c r="DP41" s="121">
        <f t="shared" si="106"/>
        <v>4213039.898</v>
      </c>
      <c r="DQ41" s="121">
        <f t="shared" si="107"/>
        <v>4400624.076</v>
      </c>
      <c r="DR41" s="121">
        <f t="shared" si="108"/>
        <v>4908103.852</v>
      </c>
      <c r="DS41" s="121">
        <f t="shared" si="109"/>
        <v>5092659.461</v>
      </c>
      <c r="DT41" s="121">
        <f t="shared" si="110"/>
        <v>5220002.516</v>
      </c>
      <c r="DV41" s="121">
        <f t="shared" ref="DV41:EC41" si="121">SUM(DV32:DV40)</f>
        <v>772149</v>
      </c>
      <c r="DW41" s="121">
        <f t="shared" si="121"/>
        <v>775953</v>
      </c>
      <c r="DX41" s="121">
        <f t="shared" si="121"/>
        <v>958859.2638</v>
      </c>
      <c r="DY41" s="121">
        <f t="shared" si="121"/>
        <v>5415063.116</v>
      </c>
      <c r="DZ41" s="121">
        <f t="shared" si="121"/>
        <v>7552327.98</v>
      </c>
      <c r="EA41" s="121">
        <f t="shared" si="121"/>
        <v>9462850.525</v>
      </c>
      <c r="EB41" s="121">
        <f t="shared" si="121"/>
        <v>12488121.08</v>
      </c>
      <c r="EC41" s="121">
        <f t="shared" si="121"/>
        <v>15220765.83</v>
      </c>
      <c r="ED41" s="118"/>
      <c r="EE41" s="118"/>
    </row>
    <row r="42" ht="15.75" customHeight="1">
      <c r="C42" s="4" t="s">
        <v>99</v>
      </c>
      <c r="Q42" s="122">
        <f t="shared" ref="Q42:CU42" si="122">Q41/P41-1</f>
        <v>-0.08812601945</v>
      </c>
      <c r="R42" s="122">
        <f t="shared" si="122"/>
        <v>0.07959984762</v>
      </c>
      <c r="S42" s="122">
        <f t="shared" si="122"/>
        <v>0.02120184711</v>
      </c>
      <c r="T42" s="122">
        <f t="shared" si="122"/>
        <v>-0.01207841959</v>
      </c>
      <c r="U42" s="122">
        <f t="shared" si="122"/>
        <v>-0.08381867672</v>
      </c>
      <c r="V42" s="122">
        <f t="shared" si="122"/>
        <v>-0.05463991104</v>
      </c>
      <c r="W42" s="122">
        <f t="shared" si="122"/>
        <v>0.1652825816</v>
      </c>
      <c r="X42" s="122">
        <f t="shared" si="122"/>
        <v>0.01713097588</v>
      </c>
      <c r="Y42" s="122">
        <f t="shared" si="122"/>
        <v>-0.007110268413</v>
      </c>
      <c r="Z42" s="122">
        <f t="shared" si="122"/>
        <v>-0.03370233335</v>
      </c>
      <c r="AA42" s="122">
        <f t="shared" si="122"/>
        <v>0.06490759468</v>
      </c>
      <c r="AB42" s="122">
        <f t="shared" si="122"/>
        <v>-0.09554463341</v>
      </c>
      <c r="AC42" s="122">
        <f t="shared" si="122"/>
        <v>0.05671416892</v>
      </c>
      <c r="AD42" s="122">
        <f t="shared" si="122"/>
        <v>-0.07804796651</v>
      </c>
      <c r="AE42" s="122">
        <f t="shared" si="122"/>
        <v>0.138130183</v>
      </c>
      <c r="AF42" s="122">
        <f t="shared" si="122"/>
        <v>-0.03183415015</v>
      </c>
      <c r="AG42" s="122">
        <f t="shared" si="122"/>
        <v>0.004345294091</v>
      </c>
      <c r="AH42" s="122">
        <f t="shared" si="122"/>
        <v>-0.05987213797</v>
      </c>
      <c r="AI42" s="122">
        <f t="shared" si="122"/>
        <v>-0.02509765471</v>
      </c>
      <c r="AJ42" s="122">
        <f t="shared" si="122"/>
        <v>0.07646887065</v>
      </c>
      <c r="AK42" s="122">
        <f t="shared" si="122"/>
        <v>-0.06154309825</v>
      </c>
      <c r="AL42" s="122">
        <f t="shared" si="122"/>
        <v>0.065017021</v>
      </c>
      <c r="AM42" s="122">
        <f t="shared" si="122"/>
        <v>2.717139296</v>
      </c>
      <c r="AN42" s="122">
        <f t="shared" si="122"/>
        <v>0.2906238533</v>
      </c>
      <c r="AO42" s="122">
        <f t="shared" si="122"/>
        <v>0.3693579677</v>
      </c>
      <c r="AP42" s="122">
        <f t="shared" si="122"/>
        <v>-0.2075797994</v>
      </c>
      <c r="AQ42" s="122">
        <f t="shared" si="122"/>
        <v>0.06140706448</v>
      </c>
      <c r="AR42" s="122">
        <f t="shared" si="122"/>
        <v>0.3486262132</v>
      </c>
      <c r="AS42" s="122">
        <f t="shared" si="122"/>
        <v>-0.2045026081</v>
      </c>
      <c r="AT42" s="122">
        <f t="shared" si="122"/>
        <v>0.331879006</v>
      </c>
      <c r="AU42" s="122">
        <f t="shared" si="122"/>
        <v>-0.1625835906</v>
      </c>
      <c r="AV42" s="122">
        <f t="shared" si="122"/>
        <v>0.3188068037</v>
      </c>
      <c r="AW42" s="122">
        <f t="shared" si="122"/>
        <v>-0.1606526115</v>
      </c>
      <c r="AX42" s="122">
        <f t="shared" si="122"/>
        <v>0.04930365317</v>
      </c>
      <c r="AY42" s="122">
        <f t="shared" si="122"/>
        <v>0.03436226583</v>
      </c>
      <c r="AZ42" s="122">
        <f t="shared" si="122"/>
        <v>0.520678326</v>
      </c>
      <c r="BA42" s="122">
        <f t="shared" si="122"/>
        <v>-0.3083755409</v>
      </c>
      <c r="BB42" s="122">
        <f t="shared" si="122"/>
        <v>-0.001137485771</v>
      </c>
      <c r="BC42" s="122">
        <f t="shared" si="122"/>
        <v>0.002527245485</v>
      </c>
      <c r="BD42" s="122">
        <f t="shared" si="122"/>
        <v>0.2602908671</v>
      </c>
      <c r="BE42" s="122">
        <f t="shared" si="122"/>
        <v>-0.1817516204</v>
      </c>
      <c r="BF42" s="122">
        <f t="shared" si="122"/>
        <v>0.1967428167</v>
      </c>
      <c r="BG42" s="122">
        <f t="shared" si="122"/>
        <v>-0.1478755532</v>
      </c>
      <c r="BH42" s="122">
        <f t="shared" si="122"/>
        <v>0.2578626275</v>
      </c>
      <c r="BI42" s="122">
        <f t="shared" si="122"/>
        <v>-0.1776815077</v>
      </c>
      <c r="BJ42" s="122">
        <f t="shared" si="122"/>
        <v>0.002434202052</v>
      </c>
      <c r="BK42" s="122">
        <f t="shared" si="122"/>
        <v>0.002420369647</v>
      </c>
      <c r="BL42" s="122">
        <f t="shared" si="122"/>
        <v>0.4830590585</v>
      </c>
      <c r="BM42" s="122">
        <f t="shared" si="122"/>
        <v>-0.2754715446</v>
      </c>
      <c r="BN42" s="122">
        <f t="shared" si="122"/>
        <v>0.0107905437</v>
      </c>
      <c r="BO42" s="122">
        <f t="shared" si="122"/>
        <v>0.01063178775</v>
      </c>
      <c r="BP42" s="122">
        <f t="shared" si="122"/>
        <v>0.2787164877</v>
      </c>
      <c r="BQ42" s="122">
        <f t="shared" si="122"/>
        <v>-0.1573782398</v>
      </c>
      <c r="BR42" s="122">
        <f t="shared" si="122"/>
        <v>0.2050608755</v>
      </c>
      <c r="BS42" s="122">
        <f t="shared" si="122"/>
        <v>-0.1222763084</v>
      </c>
      <c r="BT42" s="122">
        <f t="shared" si="122"/>
        <v>0.2319609186</v>
      </c>
      <c r="BU42" s="122">
        <f t="shared" si="122"/>
        <v>-0.1297131353</v>
      </c>
      <c r="BV42" s="122">
        <f t="shared" si="122"/>
        <v>0.00847262293</v>
      </c>
      <c r="BW42" s="122">
        <f t="shared" si="122"/>
        <v>0.008390516711</v>
      </c>
      <c r="BX42" s="122">
        <f t="shared" si="122"/>
        <v>0.4014226446</v>
      </c>
      <c r="BY42" s="122">
        <f t="shared" si="122"/>
        <v>-0.2295330873</v>
      </c>
      <c r="BZ42" s="122">
        <f t="shared" si="122"/>
        <v>0.006776928274</v>
      </c>
      <c r="CA42" s="122">
        <f t="shared" si="122"/>
        <v>0.02617583565</v>
      </c>
      <c r="CB42" s="122">
        <f t="shared" si="122"/>
        <v>0.2223653939</v>
      </c>
      <c r="CC42" s="122">
        <f t="shared" si="122"/>
        <v>-0.1424577121</v>
      </c>
      <c r="CD42" s="122">
        <f t="shared" si="122"/>
        <v>0.1538510057</v>
      </c>
      <c r="CE42" s="122">
        <f t="shared" si="122"/>
        <v>-0.102489646</v>
      </c>
      <c r="CF42" s="122">
        <f t="shared" si="122"/>
        <v>0.2033575178</v>
      </c>
      <c r="CG42" s="122">
        <f t="shared" si="122"/>
        <v>-0.1223379021</v>
      </c>
      <c r="CH42" s="122">
        <f t="shared" si="122"/>
        <v>0.006735340396</v>
      </c>
      <c r="CI42" s="122">
        <f t="shared" si="122"/>
        <v>0.006699813996</v>
      </c>
      <c r="CJ42" s="122">
        <f t="shared" si="122"/>
        <v>0.3434888194</v>
      </c>
      <c r="CK42" s="122">
        <f t="shared" si="122"/>
        <v>-0.1996537278</v>
      </c>
      <c r="CL42" s="122">
        <f t="shared" si="122"/>
        <v>0.003382868052</v>
      </c>
      <c r="CM42" s="122">
        <f t="shared" si="122"/>
        <v>0.0009753042587</v>
      </c>
      <c r="CN42" s="122">
        <f t="shared" si="122"/>
        <v>0.1857988066</v>
      </c>
      <c r="CO42" s="122">
        <f t="shared" si="122"/>
        <v>-0.1272726007</v>
      </c>
      <c r="CP42" s="122">
        <f t="shared" si="122"/>
        <v>0.09189203371</v>
      </c>
      <c r="CQ42" s="122">
        <f t="shared" si="122"/>
        <v>-0.07303585839</v>
      </c>
      <c r="CR42" s="122">
        <f t="shared" si="122"/>
        <v>0.1813670069</v>
      </c>
      <c r="CS42" s="122">
        <f t="shared" si="122"/>
        <v>-0.1235415352</v>
      </c>
      <c r="CT42" s="122">
        <f t="shared" si="122"/>
        <v>0.005227288869</v>
      </c>
      <c r="CU42" s="122">
        <f t="shared" si="122"/>
        <v>0.005207565253</v>
      </c>
      <c r="CX42" s="122">
        <f t="shared" ref="CX42:DT42" si="123">CX41/CW41-1</f>
        <v>-0.02019558316</v>
      </c>
      <c r="CY42" s="122">
        <f t="shared" si="123"/>
        <v>0.01218026797</v>
      </c>
      <c r="CZ42" s="122">
        <f t="shared" si="123"/>
        <v>0.006067474365</v>
      </c>
      <c r="DA42" s="122">
        <f t="shared" si="123"/>
        <v>-0.03483434429</v>
      </c>
      <c r="DB42" s="122">
        <f t="shared" si="123"/>
        <v>0.07596114511</v>
      </c>
      <c r="DC42" s="122">
        <f t="shared" si="123"/>
        <v>-0.03737540909</v>
      </c>
      <c r="DD42" s="122">
        <f t="shared" si="123"/>
        <v>0.003318476986</v>
      </c>
      <c r="DE42" s="122">
        <f t="shared" si="123"/>
        <v>0.7039237067</v>
      </c>
      <c r="DF42" s="122">
        <f t="shared" si="123"/>
        <v>2.319694202</v>
      </c>
      <c r="DG42" s="122">
        <f t="shared" si="123"/>
        <v>0.2619316141</v>
      </c>
      <c r="DH42" s="122">
        <f t="shared" si="123"/>
        <v>0.1353454836</v>
      </c>
      <c r="DI42" s="122">
        <f t="shared" si="123"/>
        <v>0.1731936676</v>
      </c>
      <c r="DJ42" s="122">
        <f t="shared" si="123"/>
        <v>0.03092353457</v>
      </c>
      <c r="DK42" s="122">
        <f t="shared" si="123"/>
        <v>0.003659118877</v>
      </c>
      <c r="DL42" s="122">
        <f t="shared" si="123"/>
        <v>0.1281033832</v>
      </c>
      <c r="DM42" s="122">
        <f t="shared" si="123"/>
        <v>0.1099113352</v>
      </c>
      <c r="DN42" s="122">
        <f t="shared" si="123"/>
        <v>0.06392329357</v>
      </c>
      <c r="DO42" s="122">
        <f t="shared" si="123"/>
        <v>0.1410063153</v>
      </c>
      <c r="DP42" s="122">
        <f t="shared" si="123"/>
        <v>0.08738844651</v>
      </c>
      <c r="DQ42" s="122">
        <f t="shared" si="123"/>
        <v>0.04452466207</v>
      </c>
      <c r="DR42" s="122">
        <f t="shared" si="123"/>
        <v>0.1153199562</v>
      </c>
      <c r="DS42" s="122">
        <f t="shared" si="123"/>
        <v>0.03760222171</v>
      </c>
      <c r="DT42" s="122">
        <f t="shared" si="123"/>
        <v>0.02500521694</v>
      </c>
      <c r="DW42" s="122">
        <f t="shared" ref="DW42:EC42" si="124">DW41/DV41-1</f>
        <v>0.004926510298</v>
      </c>
      <c r="DX42" s="122">
        <f t="shared" si="124"/>
        <v>0.2357182249</v>
      </c>
      <c r="DY42" s="122">
        <f t="shared" si="124"/>
        <v>4.647401366</v>
      </c>
      <c r="DZ42" s="122">
        <f t="shared" si="124"/>
        <v>0.3946888187</v>
      </c>
      <c r="EA42" s="122">
        <f t="shared" si="124"/>
        <v>0.2529713421</v>
      </c>
      <c r="EB42" s="122">
        <f t="shared" si="124"/>
        <v>0.3196997091</v>
      </c>
      <c r="EC42" s="122">
        <f t="shared" si="124"/>
        <v>0.2188195266</v>
      </c>
      <c r="ED42" s="118"/>
      <c r="EE42" s="118"/>
    </row>
    <row r="43" ht="15.75" customHeight="1">
      <c r="C43" s="1"/>
      <c r="AL43" s="1">
        <v>191183.0</v>
      </c>
      <c r="BO43" s="1">
        <v>79000.0</v>
      </c>
      <c r="ED43" s="118"/>
      <c r="EE43" s="118"/>
    </row>
    <row r="44" ht="15.75" customHeight="1">
      <c r="A44" s="4"/>
      <c r="B44" s="4"/>
      <c r="C44" s="134" t="s">
        <v>106</v>
      </c>
      <c r="D44" s="127">
        <f t="shared" ref="D44:CU44" si="125">D28-D41</f>
        <v>1141672</v>
      </c>
      <c r="E44" s="127">
        <f t="shared" si="125"/>
        <v>1107665</v>
      </c>
      <c r="F44" s="127">
        <f t="shared" si="125"/>
        <v>1072219</v>
      </c>
      <c r="G44" s="127">
        <f t="shared" si="125"/>
        <v>1211732</v>
      </c>
      <c r="H44" s="127">
        <f t="shared" si="125"/>
        <v>1373318</v>
      </c>
      <c r="I44" s="127">
        <f t="shared" si="125"/>
        <v>1235801</v>
      </c>
      <c r="J44" s="127">
        <f t="shared" si="125"/>
        <v>1168943</v>
      </c>
      <c r="K44" s="127">
        <f t="shared" si="125"/>
        <v>1099245</v>
      </c>
      <c r="L44" s="127">
        <f t="shared" si="125"/>
        <v>1126670</v>
      </c>
      <c r="M44" s="127">
        <f t="shared" si="125"/>
        <v>1070533</v>
      </c>
      <c r="N44" s="127">
        <f t="shared" si="125"/>
        <v>1139081</v>
      </c>
      <c r="O44" s="127">
        <f t="shared" si="125"/>
        <v>1183596</v>
      </c>
      <c r="P44" s="127">
        <f t="shared" si="125"/>
        <v>1026711</v>
      </c>
      <c r="Q44" s="127">
        <f t="shared" si="125"/>
        <v>1151454</v>
      </c>
      <c r="R44" s="127">
        <f t="shared" si="125"/>
        <v>1207990</v>
      </c>
      <c r="S44" s="127">
        <f t="shared" si="125"/>
        <v>1288724</v>
      </c>
      <c r="T44" s="127">
        <f t="shared" si="125"/>
        <v>1198345</v>
      </c>
      <c r="U44" s="127">
        <f t="shared" si="125"/>
        <v>1235555</v>
      </c>
      <c r="V44" s="127">
        <f t="shared" si="125"/>
        <v>1090578</v>
      </c>
      <c r="W44" s="127">
        <f t="shared" si="125"/>
        <v>926018</v>
      </c>
      <c r="X44" s="127">
        <f t="shared" si="125"/>
        <v>1107262</v>
      </c>
      <c r="Y44" s="127">
        <f t="shared" si="125"/>
        <v>1255068</v>
      </c>
      <c r="Z44" s="127">
        <f t="shared" si="125"/>
        <v>1122321</v>
      </c>
      <c r="AA44" s="127">
        <f t="shared" si="125"/>
        <v>1031425</v>
      </c>
      <c r="AB44" s="127">
        <f t="shared" si="125"/>
        <v>1261931</v>
      </c>
      <c r="AC44" s="127">
        <f t="shared" si="125"/>
        <v>1011394</v>
      </c>
      <c r="AD44" s="127">
        <f t="shared" si="125"/>
        <v>1135721</v>
      </c>
      <c r="AE44" s="127">
        <f t="shared" si="125"/>
        <v>1177981</v>
      </c>
      <c r="AF44" s="127">
        <f t="shared" si="125"/>
        <v>1273670</v>
      </c>
      <c r="AG44" s="127">
        <f t="shared" si="125"/>
        <v>1080066</v>
      </c>
      <c r="AH44" s="127">
        <f t="shared" si="125"/>
        <v>1235557</v>
      </c>
      <c r="AI44" s="127">
        <f t="shared" si="125"/>
        <v>1413540</v>
      </c>
      <c r="AJ44" s="127">
        <f t="shared" si="125"/>
        <v>1119357</v>
      </c>
      <c r="AK44" s="127">
        <f t="shared" si="125"/>
        <v>1176338</v>
      </c>
      <c r="AL44" s="127">
        <f t="shared" si="125"/>
        <v>1221390</v>
      </c>
      <c r="AM44" s="127">
        <f t="shared" si="125"/>
        <v>983012.4932</v>
      </c>
      <c r="AN44" s="127">
        <f t="shared" si="125"/>
        <v>1152434.321</v>
      </c>
      <c r="AO44" s="127">
        <f t="shared" si="125"/>
        <v>1268969.36</v>
      </c>
      <c r="AP44" s="127">
        <f t="shared" si="125"/>
        <v>1572633.325</v>
      </c>
      <c r="AQ44" s="127">
        <f t="shared" si="125"/>
        <v>1761645.495</v>
      </c>
      <c r="AR44" s="127">
        <f t="shared" si="125"/>
        <v>1840419.727</v>
      </c>
      <c r="AS44" s="127">
        <f t="shared" si="125"/>
        <v>2158260.418</v>
      </c>
      <c r="AT44" s="127">
        <f t="shared" si="125"/>
        <v>2201544.289</v>
      </c>
      <c r="AU44" s="127">
        <f t="shared" si="125"/>
        <v>2471660.678</v>
      </c>
      <c r="AV44" s="127">
        <f t="shared" si="125"/>
        <v>2502954.159</v>
      </c>
      <c r="AW44" s="127">
        <f t="shared" si="125"/>
        <v>2754791.162</v>
      </c>
      <c r="AX44" s="127">
        <f t="shared" si="125"/>
        <v>2896926.7</v>
      </c>
      <c r="AY44" s="127">
        <f t="shared" si="125"/>
        <v>3033934.474</v>
      </c>
      <c r="AZ44" s="127">
        <f t="shared" si="125"/>
        <v>2859707.66</v>
      </c>
      <c r="BA44" s="127">
        <f t="shared" si="125"/>
        <v>3110216.202</v>
      </c>
      <c r="BB44" s="127">
        <f t="shared" si="125"/>
        <v>3139986.737</v>
      </c>
      <c r="BC44" s="127">
        <f t="shared" si="125"/>
        <v>3193730.951</v>
      </c>
      <c r="BD44" s="127">
        <f t="shared" si="125"/>
        <v>3083389.537</v>
      </c>
      <c r="BE44" s="127">
        <f t="shared" si="125"/>
        <v>3264974.891</v>
      </c>
      <c r="BF44" s="127">
        <f t="shared" si="125"/>
        <v>3178760.606</v>
      </c>
      <c r="BG44" s="127">
        <f t="shared" si="125"/>
        <v>3331923.288</v>
      </c>
      <c r="BH44" s="127">
        <f t="shared" si="125"/>
        <v>3210922.563</v>
      </c>
      <c r="BI44" s="127">
        <f t="shared" si="125"/>
        <v>3385311.514</v>
      </c>
      <c r="BJ44" s="127">
        <f t="shared" si="125"/>
        <v>3420077.938</v>
      </c>
      <c r="BK44" s="127">
        <f t="shared" si="125"/>
        <v>3474895.684</v>
      </c>
      <c r="BL44" s="127">
        <f t="shared" si="125"/>
        <v>3263398.765</v>
      </c>
      <c r="BM44" s="127">
        <f t="shared" si="125"/>
        <v>3559979.689</v>
      </c>
      <c r="BN44" s="127">
        <f t="shared" si="125"/>
        <v>3620581.597</v>
      </c>
      <c r="BO44" s="127">
        <f t="shared" si="125"/>
        <v>3655186.415</v>
      </c>
      <c r="BP44" s="127">
        <f t="shared" si="125"/>
        <v>3529077.046</v>
      </c>
      <c r="BQ44" s="127">
        <f t="shared" si="125"/>
        <v>3731919.885</v>
      </c>
      <c r="BR44" s="127">
        <f t="shared" si="125"/>
        <v>3644054.164</v>
      </c>
      <c r="BS44" s="127">
        <f t="shared" si="125"/>
        <v>3822877.737</v>
      </c>
      <c r="BT44" s="127">
        <f t="shared" si="125"/>
        <v>3682670.524</v>
      </c>
      <c r="BU44" s="127">
        <f t="shared" si="125"/>
        <v>3859231.453</v>
      </c>
      <c r="BV44" s="127">
        <f t="shared" si="125"/>
        <v>3929106.673</v>
      </c>
      <c r="BW44" s="127">
        <f t="shared" si="125"/>
        <v>3960678.657</v>
      </c>
      <c r="BX44" s="127">
        <f t="shared" si="125"/>
        <v>3634693.154</v>
      </c>
      <c r="BY44" s="127">
        <f t="shared" si="125"/>
        <v>3750290.668</v>
      </c>
      <c r="BZ44" s="127">
        <f t="shared" si="125"/>
        <v>3718928.358</v>
      </c>
      <c r="CA44" s="127">
        <f t="shared" si="125"/>
        <v>3752500.36</v>
      </c>
      <c r="CB44" s="127">
        <f t="shared" si="125"/>
        <v>3561360.589</v>
      </c>
      <c r="CC44" s="127">
        <f t="shared" si="125"/>
        <v>3788483.899</v>
      </c>
      <c r="CD44" s="127">
        <f t="shared" si="125"/>
        <v>3681067.359</v>
      </c>
      <c r="CE44" s="127">
        <f t="shared" si="125"/>
        <v>3844751.694</v>
      </c>
      <c r="CF44" s="127">
        <f t="shared" si="125"/>
        <v>3648376.356</v>
      </c>
      <c r="CG44" s="127">
        <f t="shared" si="125"/>
        <v>3861065.869</v>
      </c>
      <c r="CH44" s="127">
        <f t="shared" si="125"/>
        <v>3878331.353</v>
      </c>
      <c r="CI44" s="127">
        <f t="shared" si="125"/>
        <v>3944369.628</v>
      </c>
      <c r="CJ44" s="127">
        <f t="shared" si="125"/>
        <v>3579961.47</v>
      </c>
      <c r="CK44" s="127">
        <f t="shared" si="125"/>
        <v>3865676.984</v>
      </c>
      <c r="CL44" s="127">
        <f t="shared" si="125"/>
        <v>3889958.59</v>
      </c>
      <c r="CM44" s="127">
        <f t="shared" si="125"/>
        <v>3910703.241</v>
      </c>
      <c r="CN44" s="127">
        <f t="shared" si="125"/>
        <v>3682971.992</v>
      </c>
      <c r="CO44" s="127">
        <f t="shared" si="125"/>
        <v>3872870.312</v>
      </c>
      <c r="CP44" s="127">
        <f t="shared" si="125"/>
        <v>3795079.185</v>
      </c>
      <c r="CQ44" s="127">
        <f t="shared" si="125"/>
        <v>3940005.91</v>
      </c>
      <c r="CR44" s="127">
        <f t="shared" si="125"/>
        <v>3686007.615</v>
      </c>
      <c r="CS44" s="127">
        <f t="shared" si="125"/>
        <v>3912404.218</v>
      </c>
      <c r="CT44" s="127">
        <f t="shared" si="125"/>
        <v>3921315.733</v>
      </c>
      <c r="CU44" s="127">
        <f t="shared" si="125"/>
        <v>3938650.287</v>
      </c>
      <c r="CV44" s="4"/>
      <c r="CW44" s="127">
        <f t="shared" ref="CW44:CZ44" si="126">SUM(M44:P44)</f>
        <v>4419921</v>
      </c>
      <c r="CX44" s="127">
        <f t="shared" si="126"/>
        <v>4500842</v>
      </c>
      <c r="CY44" s="127">
        <f t="shared" si="126"/>
        <v>4569751</v>
      </c>
      <c r="CZ44" s="127">
        <f t="shared" si="126"/>
        <v>4674879</v>
      </c>
      <c r="DA44" s="127">
        <f>SUM(T44:W44)</f>
        <v>4450496</v>
      </c>
      <c r="DB44" s="127">
        <f>SUM(X44:AA44)</f>
        <v>4516076</v>
      </c>
      <c r="DC44" s="127">
        <f>SUM(AB44:AE44)</f>
        <v>4587027</v>
      </c>
      <c r="DD44" s="127">
        <f>SUM(AF44:AI44)</f>
        <v>5002833</v>
      </c>
      <c r="DE44" s="127">
        <f>SUM(AJ44:AM44)</f>
        <v>4500097.493</v>
      </c>
      <c r="DF44" s="127">
        <f>SUM(AN44:AQ44)</f>
        <v>5755682.5</v>
      </c>
      <c r="DG44" s="127">
        <f>SUM(AR44:AU44)</f>
        <v>8671885.113</v>
      </c>
      <c r="DH44" s="127">
        <f>SUM(AV44:AY44)</f>
        <v>11188606.5</v>
      </c>
      <c r="DI44" s="127">
        <f>SUM(AZ44:BC44)</f>
        <v>12303641.55</v>
      </c>
      <c r="DJ44" s="127">
        <f>SUM(BD44:BG44)</f>
        <v>12859048.32</v>
      </c>
      <c r="DK44" s="127">
        <f>SUM(BH44:BK44)</f>
        <v>13491207.7</v>
      </c>
      <c r="DL44" s="127">
        <f>SUM(BL44:BO44)</f>
        <v>14099146.47</v>
      </c>
      <c r="DM44" s="127">
        <f>SUM(BP44:BS44)</f>
        <v>14727928.83</v>
      </c>
      <c r="DN44" s="127">
        <f>SUM(BT44:BW44)</f>
        <v>15431687.31</v>
      </c>
      <c r="DO44" s="127">
        <f>SUM(BX44:CA44)</f>
        <v>14856412.54</v>
      </c>
      <c r="DP44" s="127">
        <f>SUM(CB44:CE44)</f>
        <v>14875663.54</v>
      </c>
      <c r="DQ44" s="127">
        <f>SUM(CF44:CI44)</f>
        <v>15332143.21</v>
      </c>
      <c r="DR44" s="127">
        <f>SUM(CJ44:CM44)</f>
        <v>15246300.28</v>
      </c>
      <c r="DS44" s="127">
        <f>SUM(CN44:CQ44)</f>
        <v>15290927.4</v>
      </c>
      <c r="DT44" s="127">
        <f>SUM(CR44:CU44)</f>
        <v>15458377.85</v>
      </c>
      <c r="DV44" s="127">
        <f t="shared" ref="DV44:EC44" si="127">DV28-DV41</f>
        <v>13930475</v>
      </c>
      <c r="DW44" s="127">
        <f t="shared" si="127"/>
        <v>13641451</v>
      </c>
      <c r="DX44" s="127">
        <f t="shared" si="127"/>
        <v>14881995.49</v>
      </c>
      <c r="DY44" s="127">
        <f t="shared" si="127"/>
        <v>25616174.11</v>
      </c>
      <c r="DZ44" s="127">
        <f t="shared" si="127"/>
        <v>38653897.57</v>
      </c>
      <c r="EA44" s="127">
        <f t="shared" si="127"/>
        <v>44258762.6</v>
      </c>
      <c r="EB44" s="127">
        <f t="shared" si="127"/>
        <v>45064219.29</v>
      </c>
      <c r="EC44" s="127">
        <f t="shared" si="127"/>
        <v>45995605.54</v>
      </c>
      <c r="ED44" s="118"/>
      <c r="EE44" s="118"/>
    </row>
    <row r="45" ht="15.75" customHeight="1">
      <c r="A45" s="135"/>
      <c r="C45" s="1" t="s">
        <v>181</v>
      </c>
      <c r="D45" s="128">
        <f t="shared" ref="D45:CU45" si="128">D44/D14</f>
        <v>0.9289869424</v>
      </c>
      <c r="E45" s="128">
        <f t="shared" si="128"/>
        <v>0.9253590819</v>
      </c>
      <c r="F45" s="128">
        <f t="shared" si="128"/>
        <v>0.9264639807</v>
      </c>
      <c r="G45" s="128">
        <f t="shared" si="128"/>
        <v>0.9361239912</v>
      </c>
      <c r="H45" s="128">
        <f t="shared" si="128"/>
        <v>0.9411012515</v>
      </c>
      <c r="I45" s="128">
        <f t="shared" si="128"/>
        <v>0.9332223254</v>
      </c>
      <c r="J45" s="128">
        <f t="shared" si="128"/>
        <v>0.932963801</v>
      </c>
      <c r="K45" s="128">
        <f t="shared" si="128"/>
        <v>0.9290716003</v>
      </c>
      <c r="L45" s="128">
        <f t="shared" si="128"/>
        <v>0.9299010731</v>
      </c>
      <c r="M45" s="128">
        <f t="shared" si="128"/>
        <v>0.9238704188</v>
      </c>
      <c r="N45" s="128">
        <f t="shared" si="128"/>
        <v>0.9306772381</v>
      </c>
      <c r="O45" s="128">
        <f t="shared" si="128"/>
        <v>0.9301789713</v>
      </c>
      <c r="P45" s="128">
        <f t="shared" si="128"/>
        <v>0.9193831325</v>
      </c>
      <c r="Q45" s="128">
        <f t="shared" si="128"/>
        <v>0.9317863094</v>
      </c>
      <c r="R45" s="128">
        <f t="shared" si="128"/>
        <v>0.9333491983</v>
      </c>
      <c r="S45" s="128">
        <f t="shared" si="128"/>
        <v>0.9360651856</v>
      </c>
      <c r="T45" s="128">
        <f t="shared" si="128"/>
        <v>0.9306001653</v>
      </c>
      <c r="U45" s="128">
        <f t="shared" si="128"/>
        <v>0.9377264996</v>
      </c>
      <c r="V45" s="128">
        <f t="shared" si="128"/>
        <v>0.9311032849</v>
      </c>
      <c r="W45" s="128">
        <f t="shared" si="128"/>
        <v>0.9106471861</v>
      </c>
      <c r="X45" s="128">
        <f t="shared" si="128"/>
        <v>0.9234278337</v>
      </c>
      <c r="Y45" s="128">
        <f t="shared" si="128"/>
        <v>0.9332019734</v>
      </c>
      <c r="Z45" s="128">
        <f t="shared" si="128"/>
        <v>0.9260013135</v>
      </c>
      <c r="AA45" s="128">
        <f t="shared" si="128"/>
        <v>0.9186137231</v>
      </c>
      <c r="AB45" s="128">
        <f t="shared" si="128"/>
        <v>0.9368379323</v>
      </c>
      <c r="AC45" s="128">
        <f t="shared" si="128"/>
        <v>0.9189094405</v>
      </c>
      <c r="AD45" s="128">
        <f t="shared" si="128"/>
        <v>0.92931084</v>
      </c>
      <c r="AE45" s="128">
        <f t="shared" si="128"/>
        <v>0.9266728761</v>
      </c>
      <c r="AF45" s="128">
        <f t="shared" si="128"/>
        <v>0.9339475226</v>
      </c>
      <c r="AG45" s="128">
        <f t="shared" si="128"/>
        <v>0.9245881768</v>
      </c>
      <c r="AH45" s="128">
        <f t="shared" si="128"/>
        <v>0.9335061493</v>
      </c>
      <c r="AI45" s="128">
        <f t="shared" si="128"/>
        <v>0.9448455738</v>
      </c>
      <c r="AJ45" s="128">
        <f t="shared" si="128"/>
        <v>0.5588165255</v>
      </c>
      <c r="AK45" s="128">
        <f t="shared" si="128"/>
        <v>0.9312726665</v>
      </c>
      <c r="AL45" s="128">
        <f t="shared" si="128"/>
        <v>0.9330040471</v>
      </c>
      <c r="AM45" s="128">
        <f t="shared" si="128"/>
        <v>0.6943205244</v>
      </c>
      <c r="AN45" s="128">
        <f t="shared" si="128"/>
        <v>0.6911331091</v>
      </c>
      <c r="AO45" s="128">
        <f t="shared" si="128"/>
        <v>0.6622445452</v>
      </c>
      <c r="AP45" s="128">
        <f t="shared" si="128"/>
        <v>0.7335290187</v>
      </c>
      <c r="AQ45" s="128">
        <f t="shared" si="128"/>
        <v>0.74581826</v>
      </c>
      <c r="AR45" s="128">
        <f t="shared" si="128"/>
        <v>0.7136912634</v>
      </c>
      <c r="AS45" s="128">
        <f t="shared" si="128"/>
        <v>0.771712726</v>
      </c>
      <c r="AT45" s="128">
        <f t="shared" si="128"/>
        <v>0.735512073</v>
      </c>
      <c r="AU45" s="128">
        <f t="shared" si="128"/>
        <v>0.7758079231</v>
      </c>
      <c r="AV45" s="128">
        <f t="shared" si="128"/>
        <v>0.741706431</v>
      </c>
      <c r="AW45" s="128">
        <f t="shared" si="128"/>
        <v>0.7760022822</v>
      </c>
      <c r="AX45" s="128">
        <f t="shared" si="128"/>
        <v>0.7779752884</v>
      </c>
      <c r="AY45" s="128">
        <f t="shared" si="128"/>
        <v>0.7780201383</v>
      </c>
      <c r="AZ45" s="128">
        <f t="shared" si="128"/>
        <v>0.7020585167</v>
      </c>
      <c r="BA45" s="128">
        <f t="shared" si="128"/>
        <v>0.75780114</v>
      </c>
      <c r="BB45" s="128">
        <f t="shared" si="128"/>
        <v>0.7570515428</v>
      </c>
      <c r="BC45" s="128">
        <f t="shared" si="128"/>
        <v>0.7597080437</v>
      </c>
      <c r="BD45" s="128">
        <f t="shared" si="128"/>
        <v>0.7231894371</v>
      </c>
      <c r="BE45" s="128">
        <f t="shared" si="128"/>
        <v>0.7547860999</v>
      </c>
      <c r="BF45" s="128">
        <f t="shared" si="128"/>
        <v>0.7245676175</v>
      </c>
      <c r="BG45" s="128">
        <f t="shared" si="128"/>
        <v>0.7468566302</v>
      </c>
      <c r="BH45" s="128">
        <f t="shared" si="128"/>
        <v>0.7102068144</v>
      </c>
      <c r="BI45" s="128">
        <f t="shared" si="128"/>
        <v>0.7391337997</v>
      </c>
      <c r="BJ45" s="128">
        <f t="shared" si="128"/>
        <v>0.7373577985</v>
      </c>
      <c r="BK45" s="128">
        <f t="shared" si="128"/>
        <v>0.7400175339</v>
      </c>
      <c r="BL45" s="128">
        <f t="shared" si="128"/>
        <v>0.6769507944</v>
      </c>
      <c r="BM45" s="128">
        <f t="shared" si="128"/>
        <v>0.7243303837</v>
      </c>
      <c r="BN45" s="128">
        <f t="shared" si="128"/>
        <v>0.7232371641</v>
      </c>
      <c r="BO45" s="128">
        <f t="shared" si="128"/>
        <v>0.7174132954</v>
      </c>
      <c r="BP45" s="128">
        <f t="shared" si="128"/>
        <v>0.6810474291</v>
      </c>
      <c r="BQ45" s="128">
        <f t="shared" si="128"/>
        <v>0.7085523059</v>
      </c>
      <c r="BR45" s="128">
        <f t="shared" si="128"/>
        <v>0.6810667436</v>
      </c>
      <c r="BS45" s="128">
        <f t="shared" si="128"/>
        <v>0.7036900177</v>
      </c>
      <c r="BT45" s="128">
        <f t="shared" si="128"/>
        <v>0.6679484574</v>
      </c>
      <c r="BU45" s="128">
        <f t="shared" si="128"/>
        <v>0.6900132535</v>
      </c>
      <c r="BV45" s="128">
        <f t="shared" si="128"/>
        <v>0.69278851</v>
      </c>
      <c r="BW45" s="128">
        <f t="shared" si="128"/>
        <v>0.6889508833</v>
      </c>
      <c r="BX45" s="128">
        <f t="shared" si="128"/>
        <v>0.6201762405</v>
      </c>
      <c r="BY45" s="128">
        <f t="shared" si="128"/>
        <v>0.6305560661</v>
      </c>
      <c r="BZ45" s="128">
        <f t="shared" si="128"/>
        <v>0.6171216253</v>
      </c>
      <c r="CA45" s="128">
        <f t="shared" si="128"/>
        <v>0.6148263283</v>
      </c>
      <c r="CB45" s="128">
        <f t="shared" si="128"/>
        <v>0.5762654248</v>
      </c>
      <c r="CC45" s="128">
        <f t="shared" si="128"/>
        <v>0.6055337413</v>
      </c>
      <c r="CD45" s="128">
        <f t="shared" si="128"/>
        <v>0.58129734</v>
      </c>
      <c r="CE45" s="128">
        <f t="shared" si="128"/>
        <v>0.5999627706</v>
      </c>
      <c r="CF45" s="128">
        <f t="shared" si="128"/>
        <v>0.5626802111</v>
      </c>
      <c r="CG45" s="128">
        <f t="shared" si="128"/>
        <v>0.5886334564</v>
      </c>
      <c r="CH45" s="128">
        <f t="shared" si="128"/>
        <v>0.584552501</v>
      </c>
      <c r="CI45" s="128">
        <f t="shared" si="128"/>
        <v>0.5878383978</v>
      </c>
      <c r="CJ45" s="128">
        <f t="shared" si="128"/>
        <v>0.5254704939</v>
      </c>
      <c r="CK45" s="128">
        <f t="shared" si="128"/>
        <v>0.5634300177</v>
      </c>
      <c r="CL45" s="128">
        <f t="shared" si="128"/>
        <v>0.5631948491</v>
      </c>
      <c r="CM45" s="128">
        <f t="shared" si="128"/>
        <v>0.5622600218</v>
      </c>
      <c r="CN45" s="128">
        <f t="shared" si="128"/>
        <v>0.5257554135</v>
      </c>
      <c r="CO45" s="128">
        <f t="shared" si="128"/>
        <v>0.5489130438</v>
      </c>
      <c r="CP45" s="128">
        <f t="shared" si="128"/>
        <v>0.5340461152</v>
      </c>
      <c r="CQ45" s="128">
        <f t="shared" si="128"/>
        <v>0.5504958778</v>
      </c>
      <c r="CR45" s="128">
        <f t="shared" si="128"/>
        <v>0.5113638824</v>
      </c>
      <c r="CS45" s="128">
        <f t="shared" si="128"/>
        <v>0.5389573726</v>
      </c>
      <c r="CT45" s="128">
        <f t="shared" si="128"/>
        <v>0.5364151236</v>
      </c>
      <c r="CU45" s="128">
        <f t="shared" si="128"/>
        <v>0.5350533929</v>
      </c>
      <c r="CW45" s="128">
        <f t="shared" ref="CW45:DT45" si="129">CW44/CW14</f>
        <v>0.9262483568</v>
      </c>
      <c r="CX45" s="128">
        <f t="shared" si="129"/>
        <v>0.9282279895</v>
      </c>
      <c r="CY45" s="128">
        <f t="shared" si="129"/>
        <v>0.9289660065</v>
      </c>
      <c r="CZ45" s="128">
        <f t="shared" si="129"/>
        <v>0.930604379</v>
      </c>
      <c r="DA45" s="128">
        <f t="shared" si="129"/>
        <v>0.9284491641</v>
      </c>
      <c r="DB45" s="128">
        <f t="shared" si="129"/>
        <v>0.9256535986</v>
      </c>
      <c r="DC45" s="128">
        <f t="shared" si="129"/>
        <v>0.9283671884</v>
      </c>
      <c r="DD45" s="128">
        <f t="shared" si="129"/>
        <v>0.9348419741</v>
      </c>
      <c r="DE45" s="128">
        <f t="shared" si="129"/>
        <v>0.7511278391</v>
      </c>
      <c r="DF45" s="128">
        <f t="shared" si="129"/>
        <v>0.7114934432</v>
      </c>
      <c r="DG45" s="128">
        <f t="shared" si="129"/>
        <v>0.7505149666</v>
      </c>
      <c r="DH45" s="128">
        <f t="shared" si="129"/>
        <v>0.7690927275</v>
      </c>
      <c r="DI45" s="128">
        <f t="shared" si="129"/>
        <v>0.7443612239</v>
      </c>
      <c r="DJ45" s="128">
        <f t="shared" si="129"/>
        <v>0.7374292598</v>
      </c>
      <c r="DK45" s="128">
        <f t="shared" si="129"/>
        <v>0.7318179074</v>
      </c>
      <c r="DL45" s="128">
        <f t="shared" si="129"/>
        <v>0.7107635905</v>
      </c>
      <c r="DM45" s="128">
        <f t="shared" si="129"/>
        <v>0.6936689418</v>
      </c>
      <c r="DN45" s="128">
        <f t="shared" si="129"/>
        <v>0.6850404885</v>
      </c>
      <c r="DO45" s="128">
        <f t="shared" si="129"/>
        <v>0.6206221736</v>
      </c>
      <c r="DP45" s="128">
        <f t="shared" si="129"/>
        <v>0.590835681</v>
      </c>
      <c r="DQ45" s="128">
        <f t="shared" si="129"/>
        <v>0.5810281065</v>
      </c>
      <c r="DR45" s="128">
        <f t="shared" si="129"/>
        <v>0.5536837182</v>
      </c>
      <c r="DS45" s="128">
        <f t="shared" si="129"/>
        <v>0.5398556873</v>
      </c>
      <c r="DT45" s="128">
        <f t="shared" si="129"/>
        <v>0.5305074311</v>
      </c>
      <c r="DV45" s="128">
        <f t="shared" ref="DV45:EC45" si="130">DV44/DV14</f>
        <v>0.9309322604</v>
      </c>
      <c r="DW45" s="128">
        <f t="shared" si="130"/>
        <v>0.9282577958</v>
      </c>
      <c r="DX45" s="128">
        <f t="shared" si="130"/>
        <v>0.9139247941</v>
      </c>
      <c r="DY45" s="128">
        <f t="shared" si="130"/>
        <v>0.7491871056</v>
      </c>
      <c r="DZ45" s="128">
        <f t="shared" si="130"/>
        <v>0.7376417122</v>
      </c>
      <c r="EA45" s="128">
        <f t="shared" si="130"/>
        <v>0.6959447358</v>
      </c>
      <c r="EB45" s="128">
        <f t="shared" si="130"/>
        <v>0.5968516533</v>
      </c>
      <c r="EC45" s="128">
        <f t="shared" si="130"/>
        <v>0.5411306757</v>
      </c>
      <c r="ED45" s="118"/>
      <c r="EE45" s="118"/>
    </row>
    <row r="46" ht="15.75" customHeight="1">
      <c r="A46" s="135"/>
      <c r="C46" s="136"/>
      <c r="AK46" s="122"/>
      <c r="AL46" s="1"/>
      <c r="AM46" s="1"/>
      <c r="AN46" s="1"/>
      <c r="AY46" s="1"/>
      <c r="CW46" s="1"/>
      <c r="CX46" s="1"/>
      <c r="CY46" s="1"/>
      <c r="CZ46" s="1"/>
      <c r="DA46" s="1"/>
      <c r="DB46" s="1"/>
      <c r="DC46" s="1"/>
      <c r="DD46" s="1"/>
      <c r="DE46" s="1"/>
      <c r="DF46" s="1"/>
      <c r="DG46" s="1"/>
      <c r="DH46" s="1"/>
      <c r="DI46" s="1"/>
      <c r="DJ46" s="1"/>
      <c r="DK46" s="1"/>
      <c r="DL46" s="1"/>
      <c r="DM46" s="1"/>
      <c r="DN46" s="1"/>
      <c r="DO46" s="1"/>
      <c r="DP46" s="1"/>
      <c r="DQ46" s="1"/>
      <c r="DR46" s="1"/>
      <c r="DS46" s="1"/>
      <c r="DT46" s="1"/>
      <c r="DV46" s="1"/>
      <c r="DW46" s="1"/>
      <c r="DX46" s="1"/>
      <c r="DY46" s="1"/>
      <c r="DZ46" s="1"/>
      <c r="EA46" s="1"/>
      <c r="EB46" s="1"/>
      <c r="EC46" s="1"/>
      <c r="ED46" s="118"/>
      <c r="EE46" s="118"/>
    </row>
    <row r="47" ht="15.75" customHeight="1">
      <c r="A47" s="135"/>
      <c r="B47" s="1"/>
      <c r="C47" s="1" t="s">
        <v>182</v>
      </c>
      <c r="D47" s="116">
        <f>'IS Proforma'!D94</f>
        <v>3453</v>
      </c>
      <c r="E47" s="116">
        <f>'IS Proforma'!E94</f>
        <v>2826</v>
      </c>
      <c r="F47" s="116">
        <f>'IS Proforma'!F94</f>
        <v>3319</v>
      </c>
      <c r="G47" s="116">
        <f>'IS Proforma'!G94</f>
        <v>3538</v>
      </c>
      <c r="H47" s="116">
        <f>'IS Proforma'!H94</f>
        <v>3832</v>
      </c>
      <c r="I47" s="116">
        <f>'IS Proforma'!I94</f>
        <v>3696</v>
      </c>
      <c r="J47" s="116">
        <f>'IS Proforma'!J94</f>
        <v>3603</v>
      </c>
      <c r="K47" s="116">
        <f>'IS Proforma'!K94</f>
        <v>3814</v>
      </c>
      <c r="L47" s="116">
        <f>'IS Proforma'!L94</f>
        <v>4573</v>
      </c>
      <c r="M47" s="116">
        <f>'IS Proforma'!M94</f>
        <v>3022</v>
      </c>
      <c r="N47" s="116">
        <f>'IS Proforma'!N94</f>
        <v>3256</v>
      </c>
      <c r="O47" s="116">
        <f>'IS Proforma'!O94</f>
        <v>3682</v>
      </c>
      <c r="P47" s="116">
        <f>'IS Proforma'!P94</f>
        <v>2749</v>
      </c>
      <c r="Q47" s="116">
        <f>'IS Proforma'!Q94</f>
        <v>3774</v>
      </c>
      <c r="R47" s="116">
        <f>'IS Proforma'!R94</f>
        <v>2934</v>
      </c>
      <c r="S47" s="116">
        <f>'IS Proforma'!S94</f>
        <v>4116</v>
      </c>
      <c r="T47" s="116">
        <f>'IS Proforma'!T94</f>
        <v>2979</v>
      </c>
      <c r="U47" s="116">
        <f>'IS Proforma'!U94</f>
        <v>2345</v>
      </c>
      <c r="V47" s="116">
        <f>'IS Proforma'!V94</f>
        <v>3137</v>
      </c>
      <c r="W47" s="116">
        <f>'IS Proforma'!W94</f>
        <v>3161</v>
      </c>
      <c r="X47" s="116">
        <f>'IS Proforma'!X94</f>
        <v>3834</v>
      </c>
      <c r="Y47" s="116">
        <f>'IS Proforma'!Y94</f>
        <v>3788</v>
      </c>
      <c r="Z47" s="116">
        <f>'IS Proforma'!Z94</f>
        <v>2998</v>
      </c>
      <c r="AA47" s="116">
        <f>'IS Proforma'!AA94</f>
        <v>2934</v>
      </c>
      <c r="AB47" s="116">
        <f>'IS Proforma'!AB94</f>
        <v>2599</v>
      </c>
      <c r="AC47" s="116">
        <f>'IS Proforma'!AC94</f>
        <v>3554</v>
      </c>
      <c r="AD47" s="116">
        <f>'IS Proforma'!AD94</f>
        <v>2748</v>
      </c>
      <c r="AE47" s="116">
        <f>'IS Proforma'!AE94</f>
        <v>3451</v>
      </c>
      <c r="AF47" s="116">
        <f>'IS Proforma'!AF94</f>
        <v>3569</v>
      </c>
      <c r="AG47" s="116">
        <f>'IS Proforma'!AG94</f>
        <v>2481</v>
      </c>
      <c r="AH47" s="116">
        <f>'IS Proforma'!AH94</f>
        <v>2486</v>
      </c>
      <c r="AI47" s="116">
        <f>'IS Proforma'!AI94</f>
        <v>4178</v>
      </c>
      <c r="AJ47" s="116">
        <f>'IS Proforma'!AJ94</f>
        <v>2645</v>
      </c>
      <c r="AK47" s="116">
        <f>'IS Proforma'!AK94</f>
        <v>3056</v>
      </c>
      <c r="AL47" s="116">
        <f>'IS Proforma'!AL94</f>
        <v>4357</v>
      </c>
      <c r="AM47" s="116">
        <f>'IS Proforma'!AM94</f>
        <v>0</v>
      </c>
      <c r="AN47" s="116">
        <f>'IS Proforma'!AN94</f>
        <v>0</v>
      </c>
      <c r="AO47" s="116">
        <f>'IS Proforma'!AO94</f>
        <v>0</v>
      </c>
      <c r="AP47" s="116">
        <f>'IS Proforma'!AP94</f>
        <v>0</v>
      </c>
      <c r="AQ47" s="116">
        <f>'IS Proforma'!AQ94</f>
        <v>0</v>
      </c>
      <c r="AR47" s="116">
        <f>'IS Proforma'!AR94</f>
        <v>0</v>
      </c>
      <c r="AS47" s="116">
        <f>'IS Proforma'!AS94</f>
        <v>0</v>
      </c>
      <c r="AT47" s="116">
        <f>'IS Proforma'!AT94</f>
        <v>0</v>
      </c>
      <c r="AU47" s="116">
        <f>'IS Proforma'!AU94</f>
        <v>0</v>
      </c>
      <c r="AV47" s="116">
        <f>'IS Proforma'!AV94</f>
        <v>0</v>
      </c>
      <c r="AW47" s="116">
        <f>'IS Proforma'!AW94</f>
        <v>0</v>
      </c>
      <c r="AX47" s="116">
        <f>'IS Proforma'!AX94</f>
        <v>0</v>
      </c>
      <c r="AY47" s="116">
        <f>'IS Proforma'!AY94</f>
        <v>0</v>
      </c>
      <c r="AZ47" s="116">
        <f>'IS Proforma'!AZ94</f>
        <v>0</v>
      </c>
      <c r="BA47" s="116">
        <f>'IS Proforma'!BA94</f>
        <v>0</v>
      </c>
      <c r="BB47" s="116">
        <f>'IS Proforma'!BB94</f>
        <v>0</v>
      </c>
      <c r="BC47" s="116">
        <f>'IS Proforma'!BC94</f>
        <v>0</v>
      </c>
      <c r="BD47" s="116">
        <f>'IS Proforma'!BD94</f>
        <v>0</v>
      </c>
      <c r="BE47" s="116">
        <f>'IS Proforma'!BE94</f>
        <v>0</v>
      </c>
      <c r="BF47" s="116">
        <f>'IS Proforma'!BF94</f>
        <v>0</v>
      </c>
      <c r="BG47" s="116">
        <f>'IS Proforma'!BG94</f>
        <v>0</v>
      </c>
      <c r="BH47" s="116">
        <f>'IS Proforma'!BH94</f>
        <v>0</v>
      </c>
      <c r="BI47" s="116">
        <f>'IS Proforma'!BI94</f>
        <v>0</v>
      </c>
      <c r="BJ47" s="116">
        <f>'IS Proforma'!BJ94</f>
        <v>0</v>
      </c>
      <c r="BK47" s="116">
        <f>'IS Proforma'!BK94</f>
        <v>0</v>
      </c>
      <c r="BL47" s="116">
        <f>'IS Proforma'!BL94</f>
        <v>0</v>
      </c>
      <c r="BM47" s="116">
        <f>'IS Proforma'!BM94</f>
        <v>0</v>
      </c>
      <c r="BN47" s="116">
        <f>'IS Proforma'!BN94</f>
        <v>0</v>
      </c>
      <c r="BO47" s="116">
        <f>'IS Proforma'!BO94</f>
        <v>0</v>
      </c>
      <c r="BP47" s="116">
        <f>'IS Proforma'!BP94</f>
        <v>0</v>
      </c>
      <c r="BQ47" s="116">
        <f>'IS Proforma'!BQ94</f>
        <v>0</v>
      </c>
      <c r="BR47" s="116">
        <f>'IS Proforma'!BR94</f>
        <v>0</v>
      </c>
      <c r="BS47" s="116">
        <f>'IS Proforma'!BS94</f>
        <v>0</v>
      </c>
      <c r="BT47" s="116">
        <f>'IS Proforma'!BT94</f>
        <v>0</v>
      </c>
      <c r="BU47" s="116">
        <f>'IS Proforma'!BU94</f>
        <v>0</v>
      </c>
      <c r="BV47" s="116">
        <f>'IS Proforma'!BV94</f>
        <v>0</v>
      </c>
      <c r="BW47" s="116">
        <f>'IS Proforma'!BW94</f>
        <v>0</v>
      </c>
      <c r="BX47" s="116">
        <f>'IS Proforma'!BX94</f>
        <v>0</v>
      </c>
      <c r="BY47" s="116">
        <f>'IS Proforma'!BY94</f>
        <v>0</v>
      </c>
      <c r="BZ47" s="116">
        <f>'IS Proforma'!BZ94</f>
        <v>0</v>
      </c>
      <c r="CA47" s="116">
        <f>'IS Proforma'!CA94</f>
        <v>0</v>
      </c>
      <c r="CB47" s="116">
        <f>'IS Proforma'!CB94</f>
        <v>0</v>
      </c>
      <c r="CC47" s="116">
        <f>'IS Proforma'!CC94</f>
        <v>0</v>
      </c>
      <c r="CD47" s="116">
        <f>'IS Proforma'!CD94</f>
        <v>0</v>
      </c>
      <c r="CE47" s="116">
        <f>'IS Proforma'!CE94</f>
        <v>0</v>
      </c>
      <c r="CF47" s="116">
        <f>'IS Proforma'!CF94</f>
        <v>0</v>
      </c>
      <c r="CG47" s="116">
        <f>'IS Proforma'!CG94</f>
        <v>0</v>
      </c>
      <c r="CH47" s="116">
        <f>'IS Proforma'!CH94</f>
        <v>0</v>
      </c>
      <c r="CI47" s="116">
        <f>'IS Proforma'!CI94</f>
        <v>0</v>
      </c>
      <c r="CJ47" s="116">
        <f>'IS Proforma'!CJ94</f>
        <v>0</v>
      </c>
      <c r="CK47" s="116">
        <f>'IS Proforma'!CK94</f>
        <v>0</v>
      </c>
      <c r="CL47" s="116">
        <f>'IS Proforma'!CL94</f>
        <v>0</v>
      </c>
      <c r="CM47" s="116">
        <f>'IS Proforma'!CM94</f>
        <v>0</v>
      </c>
      <c r="CN47" s="116">
        <f>'IS Proforma'!CN94</f>
        <v>0</v>
      </c>
      <c r="CO47" s="116">
        <f>'IS Proforma'!CO94</f>
        <v>0</v>
      </c>
      <c r="CP47" s="116">
        <f>'IS Proforma'!CP94</f>
        <v>0</v>
      </c>
      <c r="CQ47" s="116">
        <f>'IS Proforma'!CQ94</f>
        <v>0</v>
      </c>
      <c r="CR47" s="116">
        <f>'IS Proforma'!CR94</f>
        <v>0</v>
      </c>
      <c r="CS47" s="116">
        <f>'IS Proforma'!CS94</f>
        <v>0</v>
      </c>
      <c r="CT47" s="116">
        <f>'IS Proforma'!CT94</f>
        <v>0</v>
      </c>
      <c r="CU47" s="116">
        <f>'IS Proforma'!CU94</f>
        <v>0</v>
      </c>
      <c r="CV47" s="1"/>
      <c r="CW47" s="117">
        <f t="shared" ref="CW47:CZ47" si="131">SUM(M47:P47)</f>
        <v>12709</v>
      </c>
      <c r="CX47" s="117">
        <f t="shared" si="131"/>
        <v>13461</v>
      </c>
      <c r="CY47" s="117">
        <f t="shared" si="131"/>
        <v>13139</v>
      </c>
      <c r="CZ47" s="117">
        <f t="shared" si="131"/>
        <v>13573</v>
      </c>
      <c r="DA47" s="117">
        <f t="shared" ref="DA47:DA48" si="133">SUM(T47:W47)</f>
        <v>11622</v>
      </c>
      <c r="DB47" s="117">
        <f t="shared" ref="DB47:DB48" si="134">SUM(X47:AA47)</f>
        <v>13554</v>
      </c>
      <c r="DC47" s="117">
        <f t="shared" ref="DC47:DC48" si="135">SUM(AB47:AE47)</f>
        <v>12352</v>
      </c>
      <c r="DD47" s="117">
        <f t="shared" ref="DD47:DD48" si="136">SUM(AF47:AI47)</f>
        <v>12714</v>
      </c>
      <c r="DE47" s="117">
        <f t="shared" ref="DE47:DE48" si="137">SUM(AJ47:AM47)</f>
        <v>10058</v>
      </c>
      <c r="DF47" s="117">
        <f t="shared" ref="DF47:DF48" si="138">SUM(AN47:AQ47)</f>
        <v>0</v>
      </c>
      <c r="DG47" s="117">
        <f t="shared" ref="DG47:DG48" si="139">SUM(AR47:AU47)</f>
        <v>0</v>
      </c>
      <c r="DH47" s="117">
        <f t="shared" ref="DH47:DH48" si="140">SUM(AV47:AY47)</f>
        <v>0</v>
      </c>
      <c r="DI47" s="117">
        <f t="shared" ref="DI47:DI48" si="141">SUM(AZ47:BC47)</f>
        <v>0</v>
      </c>
      <c r="DJ47" s="117">
        <f t="shared" ref="DJ47:DJ48" si="142">SUM(BD47:BG47)</f>
        <v>0</v>
      </c>
      <c r="DK47" s="117">
        <f t="shared" ref="DK47:DK48" si="143">SUM(BH47:BK47)</f>
        <v>0</v>
      </c>
      <c r="DL47" s="117">
        <f t="shared" ref="DL47:DL48" si="144">SUM(BL47:BO47)</f>
        <v>0</v>
      </c>
      <c r="DM47" s="117">
        <f t="shared" ref="DM47:DM48" si="145">SUM(BP47:BS47)</f>
        <v>0</v>
      </c>
      <c r="DN47" s="117">
        <f t="shared" ref="DN47:DN48" si="146">SUM(BT47:BW47)</f>
        <v>0</v>
      </c>
      <c r="DO47" s="117">
        <f t="shared" ref="DO47:DO48" si="147">SUM(BX47:CA47)</f>
        <v>0</v>
      </c>
      <c r="DP47" s="117">
        <f t="shared" ref="DP47:DP48" si="148">SUM(CB47:CE47)</f>
        <v>0</v>
      </c>
      <c r="DQ47" s="117">
        <f t="shared" ref="DQ47:DQ48" si="149">SUM(CF47:CI47)</f>
        <v>0</v>
      </c>
      <c r="DR47" s="117">
        <f t="shared" ref="DR47:DR48" si="150">SUM(CJ47:CM47)</f>
        <v>0</v>
      </c>
      <c r="DS47" s="117">
        <f t="shared" ref="DS47:DS48" si="151">SUM(CN47:CQ47)</f>
        <v>0</v>
      </c>
      <c r="DT47" s="117">
        <f t="shared" ref="DT47:DT48" si="152">SUM(CR47:CU47)</f>
        <v>0</v>
      </c>
      <c r="DV47" s="117">
        <f t="shared" ref="DV47:DV48" si="153">SUM(D47:O47)</f>
        <v>42614</v>
      </c>
      <c r="DW47" s="117">
        <f t="shared" ref="DW47:DW48" si="154">SUM(P47:AA47)</f>
        <v>38749</v>
      </c>
      <c r="DX47" s="117">
        <f t="shared" ref="DX47:DX48" si="155">SUM(AB47:AM47)</f>
        <v>35124</v>
      </c>
      <c r="DY47" s="117">
        <f t="shared" ref="DY47:DY48" si="156">SUM(AN47:AY47)</f>
        <v>0</v>
      </c>
      <c r="DZ47" s="117">
        <f t="shared" ref="DZ47:DZ48" si="157">SUM(AZ47:BK47)</f>
        <v>0</v>
      </c>
      <c r="EA47" s="117">
        <f t="shared" ref="EA47:EA48" si="158">SUM(BL47:BW47)</f>
        <v>0</v>
      </c>
      <c r="EB47" s="117">
        <f t="shared" ref="EB47:EB48" si="159">SUM(BX47:CI47)</f>
        <v>0</v>
      </c>
      <c r="EC47" s="117">
        <f t="shared" ref="EC47:EC48" si="160">SUM(CJ47:CU47)</f>
        <v>0</v>
      </c>
      <c r="ED47" s="118"/>
      <c r="EE47" s="118"/>
    </row>
    <row r="48" ht="15.75" customHeight="1">
      <c r="A48" s="1"/>
      <c r="B48" s="1"/>
      <c r="C48" s="1" t="s">
        <v>183</v>
      </c>
      <c r="D48" s="116">
        <f>'IS Proforma'!D100</f>
        <v>1110</v>
      </c>
      <c r="E48" s="116">
        <f>'IS Proforma'!E100</f>
        <v>1794</v>
      </c>
      <c r="F48" s="116">
        <f>'IS Proforma'!F100</f>
        <v>1051</v>
      </c>
      <c r="G48" s="116">
        <f>'IS Proforma'!G100</f>
        <v>1958</v>
      </c>
      <c r="H48" s="116">
        <f>'IS Proforma'!H100</f>
        <v>1843</v>
      </c>
      <c r="I48" s="116">
        <f>'IS Proforma'!I100</f>
        <v>2244</v>
      </c>
      <c r="J48" s="116">
        <f>'IS Proforma'!J100</f>
        <v>1529</v>
      </c>
      <c r="K48" s="116">
        <f>'IS Proforma'!K100</f>
        <v>2263</v>
      </c>
      <c r="L48" s="116">
        <f>'IS Proforma'!L100</f>
        <v>1468</v>
      </c>
      <c r="M48" s="116">
        <f>'IS Proforma'!M100</f>
        <v>1652</v>
      </c>
      <c r="N48" s="116">
        <f>'IS Proforma'!N100</f>
        <v>1354</v>
      </c>
      <c r="O48" s="116">
        <f>'IS Proforma'!O100</f>
        <v>2438</v>
      </c>
      <c r="P48" s="116">
        <f>'IS Proforma'!P100</f>
        <v>1586</v>
      </c>
      <c r="Q48" s="116">
        <f>'IS Proforma'!Q100</f>
        <v>2489</v>
      </c>
      <c r="R48" s="116">
        <f>'IS Proforma'!R100</f>
        <v>1541</v>
      </c>
      <c r="S48" s="116">
        <f>'IS Proforma'!S100</f>
        <v>1832</v>
      </c>
      <c r="T48" s="116">
        <f>'IS Proforma'!T100</f>
        <v>1992</v>
      </c>
      <c r="U48" s="116">
        <f>'IS Proforma'!U100</f>
        <v>1062</v>
      </c>
      <c r="V48" s="116">
        <f>'IS Proforma'!V100</f>
        <v>1472</v>
      </c>
      <c r="W48" s="116">
        <f>'IS Proforma'!W100</f>
        <v>2220</v>
      </c>
      <c r="X48" s="116">
        <f>'IS Proforma'!X100</f>
        <v>1467</v>
      </c>
      <c r="Y48" s="116">
        <f>'IS Proforma'!Y100</f>
        <v>2260</v>
      </c>
      <c r="Z48" s="116">
        <f>'IS Proforma'!Z100</f>
        <v>1748</v>
      </c>
      <c r="AA48" s="116">
        <f>'IS Proforma'!AA100</f>
        <v>2091</v>
      </c>
      <c r="AB48" s="116">
        <f>'IS Proforma'!AB100</f>
        <v>1724</v>
      </c>
      <c r="AC48" s="116">
        <f>'IS Proforma'!AC100</f>
        <v>2001</v>
      </c>
      <c r="AD48" s="116">
        <f>'IS Proforma'!AD100</f>
        <v>2429</v>
      </c>
      <c r="AE48" s="116">
        <f>'IS Proforma'!AE100</f>
        <v>2286</v>
      </c>
      <c r="AF48" s="116">
        <f>'IS Proforma'!AF100</f>
        <v>1077</v>
      </c>
      <c r="AG48" s="116">
        <f>'IS Proforma'!AG100</f>
        <v>2322</v>
      </c>
      <c r="AH48" s="116">
        <f>'IS Proforma'!AH100</f>
        <v>2297</v>
      </c>
      <c r="AI48" s="116">
        <f>'IS Proforma'!AI100</f>
        <v>2056</v>
      </c>
      <c r="AJ48" s="116">
        <f>'IS Proforma'!AJ100</f>
        <v>1629</v>
      </c>
      <c r="AK48" s="116">
        <f>'IS Proforma'!AK100</f>
        <v>2118</v>
      </c>
      <c r="AL48" s="116">
        <f>'IS Proforma'!AL100</f>
        <v>1359</v>
      </c>
      <c r="AM48" s="116">
        <f>'IS Proforma'!AM100</f>
        <v>3953.458507</v>
      </c>
      <c r="AN48" s="116">
        <f>'IS Proforma'!AN100</f>
        <v>4375.109896</v>
      </c>
      <c r="AO48" s="116">
        <f>'IS Proforma'!AO100</f>
        <v>4766.649177</v>
      </c>
      <c r="AP48" s="116">
        <f>'IS Proforma'!AP100</f>
        <v>5106.599915</v>
      </c>
      <c r="AQ48" s="116">
        <f>'IS Proforma'!AQ100</f>
        <v>5418.297767</v>
      </c>
      <c r="AR48" s="116">
        <f>'IS Proforma'!AR100</f>
        <v>5716.557025</v>
      </c>
      <c r="AS48" s="116">
        <f>'IS Proforma'!AS100</f>
        <v>6006.490346</v>
      </c>
      <c r="AT48" s="116">
        <f>'IS Proforma'!AT100</f>
        <v>6259.70122</v>
      </c>
      <c r="AU48" s="116">
        <f>'IS Proforma'!AU100</f>
        <v>6501.503826</v>
      </c>
      <c r="AV48" s="116">
        <f>'IS Proforma'!AV100</f>
        <v>6732.515649</v>
      </c>
      <c r="AW48" s="116">
        <f>'IS Proforma'!AW100</f>
        <v>6942.4634</v>
      </c>
      <c r="AX48" s="116">
        <f>'IS Proforma'!AX100</f>
        <v>7146.275361</v>
      </c>
      <c r="AY48" s="116">
        <f>'IS Proforma'!AY100</f>
        <v>7348.802841</v>
      </c>
      <c r="AZ48" s="116">
        <f>'IS Proforma'!AZ100</f>
        <v>7545.275947</v>
      </c>
      <c r="BA48" s="116">
        <f>'IS Proforma'!BA100</f>
        <v>7579.67022</v>
      </c>
      <c r="BB48" s="116">
        <f>'IS Proforma'!BB100</f>
        <v>7627.747242</v>
      </c>
      <c r="BC48" s="116">
        <f>'IS Proforma'!BC100</f>
        <v>7689.804187</v>
      </c>
      <c r="BD48" s="116">
        <f>'IS Proforma'!BD100</f>
        <v>7755.333295</v>
      </c>
      <c r="BE48" s="116">
        <f>'IS Proforma'!BE100</f>
        <v>7823.104497</v>
      </c>
      <c r="BF48" s="116">
        <f>'IS Proforma'!BF100</f>
        <v>7889.750151</v>
      </c>
      <c r="BG48" s="116">
        <f>'IS Proforma'!BG100</f>
        <v>7969.758914</v>
      </c>
      <c r="BH48" s="116">
        <f>'IS Proforma'!BH100</f>
        <v>8033.906561</v>
      </c>
      <c r="BI48" s="116">
        <f>'IS Proforma'!BI100</f>
        <v>8096.808654</v>
      </c>
      <c r="BJ48" s="116">
        <f>'IS Proforma'!BJ100</f>
        <v>8158.521509</v>
      </c>
      <c r="BK48" s="116">
        <f>'IS Proforma'!BK100</f>
        <v>8219.105657</v>
      </c>
      <c r="BL48" s="116">
        <f>'IS Proforma'!BL100</f>
        <v>8350.422715</v>
      </c>
      <c r="BM48" s="116">
        <f>'IS Proforma'!BM100</f>
        <v>8448.246681</v>
      </c>
      <c r="BN48" s="116">
        <f>'IS Proforma'!BN100</f>
        <v>8542.328388</v>
      </c>
      <c r="BO48" s="116">
        <f>'IS Proforma'!BO100</f>
        <v>8633.320929</v>
      </c>
      <c r="BP48" s="116">
        <f>'IS Proforma'!BP100</f>
        <v>8721.656395</v>
      </c>
      <c r="BQ48" s="116">
        <f>'IS Proforma'!BQ100</f>
        <v>8807.623944</v>
      </c>
      <c r="BR48" s="116">
        <f>'IS Proforma'!BR100</f>
        <v>8891.448331</v>
      </c>
      <c r="BS48" s="116">
        <f>'IS Proforma'!BS100</f>
        <v>8973.314822</v>
      </c>
      <c r="BT48" s="116">
        <f>'IS Proforma'!BT100</f>
        <v>9053.380794</v>
      </c>
      <c r="BU48" s="116">
        <f>'IS Proforma'!BU100</f>
        <v>9131.782656</v>
      </c>
      <c r="BV48" s="116">
        <f>'IS Proforma'!BV100</f>
        <v>9208.640528</v>
      </c>
      <c r="BW48" s="116">
        <f>'IS Proforma'!BW100</f>
        <v>9284.061596</v>
      </c>
      <c r="BX48" s="116">
        <f>'IS Proforma'!BX100</f>
        <v>9392.476577</v>
      </c>
      <c r="BY48" s="116">
        <f>'IS Proforma'!BY100</f>
        <v>9475.988876</v>
      </c>
      <c r="BZ48" s="116">
        <f>'IS Proforma'!BZ100</f>
        <v>9551.179902</v>
      </c>
      <c r="CA48" s="116">
        <f>'IS Proforma'!CA100</f>
        <v>9624.500172</v>
      </c>
      <c r="CB48" s="116">
        <f>'IS Proforma'!CB100</f>
        <v>9697.088735</v>
      </c>
      <c r="CC48" s="116">
        <f>'IS Proforma'!CC100</f>
        <v>9768.985199</v>
      </c>
      <c r="CD48" s="116">
        <f>'IS Proforma'!CD100</f>
        <v>9840.248248</v>
      </c>
      <c r="CE48" s="116">
        <f>'IS Proforma'!CE100</f>
        <v>9910.933679</v>
      </c>
      <c r="CF48" s="116">
        <f>'IS Proforma'!CF100</f>
        <v>9981.093679</v>
      </c>
      <c r="CG48" s="116">
        <f>'IS Proforma'!CG100</f>
        <v>10050.7777</v>
      </c>
      <c r="CH48" s="116">
        <f>'IS Proforma'!CH100</f>
        <v>10120.03303</v>
      </c>
      <c r="CI48" s="116">
        <f>'IS Proforma'!CI100</f>
        <v>10188.90504</v>
      </c>
      <c r="CJ48" s="116">
        <f>'IS Proforma'!CJ100</f>
        <v>10282.66752</v>
      </c>
      <c r="CK48" s="116">
        <f>'IS Proforma'!CK100</f>
        <v>10326.228</v>
      </c>
      <c r="CL48" s="116">
        <f>'IS Proforma'!CL100</f>
        <v>10367.74884</v>
      </c>
      <c r="CM48" s="116">
        <f>'IS Proforma'!CM100</f>
        <v>10411.32052</v>
      </c>
      <c r="CN48" s="116">
        <f>'IS Proforma'!CN100</f>
        <v>10456.02637</v>
      </c>
      <c r="CO48" s="116">
        <f>'IS Proforma'!CO100</f>
        <v>10501.1822</v>
      </c>
      <c r="CP48" s="116">
        <f>'IS Proforma'!CP100</f>
        <v>10546.5029</v>
      </c>
      <c r="CQ48" s="116">
        <f>'IS Proforma'!CQ100</f>
        <v>10591.84371</v>
      </c>
      <c r="CR48" s="116">
        <f>'IS Proforma'!CR100</f>
        <v>10637.12383</v>
      </c>
      <c r="CS48" s="116">
        <f>'IS Proforma'!CS100</f>
        <v>10682.29779</v>
      </c>
      <c r="CT48" s="116">
        <f>'IS Proforma'!CT100</f>
        <v>10727.34217</v>
      </c>
      <c r="CU48" s="116">
        <f>'IS Proforma'!CU100</f>
        <v>10772.24822</v>
      </c>
      <c r="CV48" s="1"/>
      <c r="CW48" s="117">
        <f t="shared" ref="CW48:CZ48" si="132">SUM(M48:P48)</f>
        <v>7030</v>
      </c>
      <c r="CX48" s="117">
        <f t="shared" si="132"/>
        <v>7867</v>
      </c>
      <c r="CY48" s="117">
        <f t="shared" si="132"/>
        <v>8054</v>
      </c>
      <c r="CZ48" s="117">
        <f t="shared" si="132"/>
        <v>7448</v>
      </c>
      <c r="DA48" s="117">
        <f t="shared" si="133"/>
        <v>6746</v>
      </c>
      <c r="DB48" s="117">
        <f t="shared" si="134"/>
        <v>7566</v>
      </c>
      <c r="DC48" s="117">
        <f t="shared" si="135"/>
        <v>8440</v>
      </c>
      <c r="DD48" s="117">
        <f t="shared" si="136"/>
        <v>7752</v>
      </c>
      <c r="DE48" s="117">
        <f t="shared" si="137"/>
        <v>9059.458507</v>
      </c>
      <c r="DF48" s="117">
        <f t="shared" si="138"/>
        <v>19666.65676</v>
      </c>
      <c r="DG48" s="117">
        <f t="shared" si="139"/>
        <v>24484.25242</v>
      </c>
      <c r="DH48" s="117">
        <f t="shared" si="140"/>
        <v>28170.05725</v>
      </c>
      <c r="DI48" s="117">
        <f t="shared" si="141"/>
        <v>30442.4976</v>
      </c>
      <c r="DJ48" s="117">
        <f t="shared" si="142"/>
        <v>31437.94686</v>
      </c>
      <c r="DK48" s="117">
        <f t="shared" si="143"/>
        <v>32508.34238</v>
      </c>
      <c r="DL48" s="117">
        <f t="shared" si="144"/>
        <v>33974.31871</v>
      </c>
      <c r="DM48" s="117">
        <f t="shared" si="145"/>
        <v>35394.04349</v>
      </c>
      <c r="DN48" s="117">
        <f t="shared" si="146"/>
        <v>36677.86557</v>
      </c>
      <c r="DO48" s="117">
        <f t="shared" si="147"/>
        <v>38044.14553</v>
      </c>
      <c r="DP48" s="117">
        <f t="shared" si="148"/>
        <v>39217.25586</v>
      </c>
      <c r="DQ48" s="117">
        <f t="shared" si="149"/>
        <v>40340.80944</v>
      </c>
      <c r="DR48" s="117">
        <f t="shared" si="150"/>
        <v>41387.96488</v>
      </c>
      <c r="DS48" s="117">
        <f t="shared" si="151"/>
        <v>42095.55518</v>
      </c>
      <c r="DT48" s="117">
        <f t="shared" si="152"/>
        <v>42819.012</v>
      </c>
      <c r="DV48" s="117">
        <f t="shared" si="153"/>
        <v>20704</v>
      </c>
      <c r="DW48" s="117">
        <f t="shared" si="154"/>
        <v>21760</v>
      </c>
      <c r="DX48" s="117">
        <f t="shared" si="155"/>
        <v>25251.45851</v>
      </c>
      <c r="DY48" s="117">
        <f t="shared" si="156"/>
        <v>72320.96642</v>
      </c>
      <c r="DZ48" s="117">
        <f t="shared" si="157"/>
        <v>94388.78683</v>
      </c>
      <c r="EA48" s="117">
        <f t="shared" si="158"/>
        <v>106046.2278</v>
      </c>
      <c r="EB48" s="117">
        <f t="shared" si="159"/>
        <v>117602.2108</v>
      </c>
      <c r="EC48" s="117">
        <f t="shared" si="160"/>
        <v>126302.5321</v>
      </c>
      <c r="ED48" s="118"/>
      <c r="EE48" s="118"/>
    </row>
    <row r="49" ht="15.75" customHeight="1">
      <c r="A49" s="1"/>
      <c r="B49" s="1"/>
      <c r="C49" s="1"/>
      <c r="D49" s="1"/>
      <c r="E49" s="1"/>
      <c r="F49" s="1"/>
      <c r="G49" s="1"/>
      <c r="H49" s="1"/>
      <c r="I49" s="1"/>
      <c r="J49" s="1"/>
      <c r="K49" s="1"/>
      <c r="L49" s="1"/>
      <c r="M49" s="1"/>
      <c r="N49" s="1"/>
      <c r="O49" s="1"/>
      <c r="P49" s="122">
        <f t="shared" ref="P49:AE49" si="161">P48/O48-1</f>
        <v>-0.349466776</v>
      </c>
      <c r="Q49" s="122">
        <f t="shared" si="161"/>
        <v>0.5693568726</v>
      </c>
      <c r="R49" s="122">
        <f t="shared" si="161"/>
        <v>-0.3808758538</v>
      </c>
      <c r="S49" s="122">
        <f t="shared" si="161"/>
        <v>0.1888384166</v>
      </c>
      <c r="T49" s="122">
        <f t="shared" si="161"/>
        <v>0.08733624454</v>
      </c>
      <c r="U49" s="122">
        <f t="shared" si="161"/>
        <v>-0.4668674699</v>
      </c>
      <c r="V49" s="122">
        <f t="shared" si="161"/>
        <v>0.3860640301</v>
      </c>
      <c r="W49" s="122">
        <f t="shared" si="161"/>
        <v>0.5081521739</v>
      </c>
      <c r="X49" s="122">
        <f t="shared" si="161"/>
        <v>-0.3391891892</v>
      </c>
      <c r="Y49" s="122">
        <f t="shared" si="161"/>
        <v>0.5405589639</v>
      </c>
      <c r="Z49" s="122">
        <f t="shared" si="161"/>
        <v>-0.2265486726</v>
      </c>
      <c r="AA49" s="122">
        <f t="shared" si="161"/>
        <v>0.1962242563</v>
      </c>
      <c r="AB49" s="122">
        <f t="shared" si="161"/>
        <v>-0.1755141081</v>
      </c>
      <c r="AC49" s="122">
        <f t="shared" si="161"/>
        <v>0.1606728538</v>
      </c>
      <c r="AD49" s="122">
        <f t="shared" si="161"/>
        <v>0.2138930535</v>
      </c>
      <c r="AE49" s="122">
        <f t="shared" si="161"/>
        <v>-0.05887196377</v>
      </c>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V49" s="1"/>
      <c r="DW49" s="1"/>
      <c r="DX49" s="1"/>
      <c r="DY49" s="1"/>
      <c r="DZ49" s="1"/>
      <c r="EA49" s="1"/>
      <c r="EB49" s="1"/>
      <c r="EC49" s="1"/>
      <c r="ED49" s="118"/>
      <c r="EE49" s="118"/>
    </row>
    <row r="50" ht="15.75" customHeight="1">
      <c r="A50" s="4"/>
      <c r="B50" s="4"/>
      <c r="C50" s="127" t="s">
        <v>184</v>
      </c>
      <c r="D50" s="127">
        <f t="shared" ref="D50:CU50" si="162">D44+D47-D48</f>
        <v>1144015</v>
      </c>
      <c r="E50" s="127">
        <f t="shared" si="162"/>
        <v>1108697</v>
      </c>
      <c r="F50" s="127">
        <f t="shared" si="162"/>
        <v>1074487</v>
      </c>
      <c r="G50" s="127">
        <f t="shared" si="162"/>
        <v>1213312</v>
      </c>
      <c r="H50" s="127">
        <f t="shared" si="162"/>
        <v>1375307</v>
      </c>
      <c r="I50" s="127">
        <f t="shared" si="162"/>
        <v>1237253</v>
      </c>
      <c r="J50" s="127">
        <f t="shared" si="162"/>
        <v>1171017</v>
      </c>
      <c r="K50" s="127">
        <f t="shared" si="162"/>
        <v>1100796</v>
      </c>
      <c r="L50" s="127">
        <f t="shared" si="162"/>
        <v>1129775</v>
      </c>
      <c r="M50" s="127">
        <f t="shared" si="162"/>
        <v>1071903</v>
      </c>
      <c r="N50" s="127">
        <f t="shared" si="162"/>
        <v>1140983</v>
      </c>
      <c r="O50" s="127">
        <f t="shared" si="162"/>
        <v>1184840</v>
      </c>
      <c r="P50" s="127">
        <f t="shared" si="162"/>
        <v>1027874</v>
      </c>
      <c r="Q50" s="127">
        <f t="shared" si="162"/>
        <v>1152739</v>
      </c>
      <c r="R50" s="127">
        <f t="shared" si="162"/>
        <v>1209383</v>
      </c>
      <c r="S50" s="127">
        <f t="shared" si="162"/>
        <v>1291008</v>
      </c>
      <c r="T50" s="127">
        <f t="shared" si="162"/>
        <v>1199332</v>
      </c>
      <c r="U50" s="127">
        <f t="shared" si="162"/>
        <v>1236838</v>
      </c>
      <c r="V50" s="127">
        <f t="shared" si="162"/>
        <v>1092243</v>
      </c>
      <c r="W50" s="127">
        <f t="shared" si="162"/>
        <v>926959</v>
      </c>
      <c r="X50" s="127">
        <f t="shared" si="162"/>
        <v>1109629</v>
      </c>
      <c r="Y50" s="127">
        <f t="shared" si="162"/>
        <v>1256596</v>
      </c>
      <c r="Z50" s="127">
        <f t="shared" si="162"/>
        <v>1123571</v>
      </c>
      <c r="AA50" s="127">
        <f t="shared" si="162"/>
        <v>1032268</v>
      </c>
      <c r="AB50" s="127">
        <f t="shared" si="162"/>
        <v>1262806</v>
      </c>
      <c r="AC50" s="127">
        <f t="shared" si="162"/>
        <v>1012947</v>
      </c>
      <c r="AD50" s="127">
        <f t="shared" si="162"/>
        <v>1136040</v>
      </c>
      <c r="AE50" s="127">
        <f t="shared" si="162"/>
        <v>1179146</v>
      </c>
      <c r="AF50" s="127">
        <f t="shared" si="162"/>
        <v>1276162</v>
      </c>
      <c r="AG50" s="127">
        <f t="shared" si="162"/>
        <v>1080225</v>
      </c>
      <c r="AH50" s="127">
        <f t="shared" si="162"/>
        <v>1235746</v>
      </c>
      <c r="AI50" s="127">
        <f t="shared" si="162"/>
        <v>1415662</v>
      </c>
      <c r="AJ50" s="127">
        <f t="shared" si="162"/>
        <v>1120373</v>
      </c>
      <c r="AK50" s="127">
        <f t="shared" si="162"/>
        <v>1177276</v>
      </c>
      <c r="AL50" s="127">
        <f t="shared" si="162"/>
        <v>1224388</v>
      </c>
      <c r="AM50" s="127">
        <f t="shared" si="162"/>
        <v>979059.0347</v>
      </c>
      <c r="AN50" s="127">
        <f t="shared" si="162"/>
        <v>1148059.211</v>
      </c>
      <c r="AO50" s="127">
        <f t="shared" si="162"/>
        <v>1264202.711</v>
      </c>
      <c r="AP50" s="127">
        <f t="shared" si="162"/>
        <v>1567526.725</v>
      </c>
      <c r="AQ50" s="127">
        <f t="shared" si="162"/>
        <v>1756227.197</v>
      </c>
      <c r="AR50" s="127">
        <f t="shared" si="162"/>
        <v>1834703.17</v>
      </c>
      <c r="AS50" s="127">
        <f t="shared" si="162"/>
        <v>2152253.928</v>
      </c>
      <c r="AT50" s="127">
        <f t="shared" si="162"/>
        <v>2195284.588</v>
      </c>
      <c r="AU50" s="127">
        <f t="shared" si="162"/>
        <v>2465159.175</v>
      </c>
      <c r="AV50" s="127">
        <f t="shared" si="162"/>
        <v>2496221.644</v>
      </c>
      <c r="AW50" s="127">
        <f t="shared" si="162"/>
        <v>2747848.699</v>
      </c>
      <c r="AX50" s="127">
        <f t="shared" si="162"/>
        <v>2889780.425</v>
      </c>
      <c r="AY50" s="127">
        <f t="shared" si="162"/>
        <v>3026585.672</v>
      </c>
      <c r="AZ50" s="127">
        <f t="shared" si="162"/>
        <v>2852162.384</v>
      </c>
      <c r="BA50" s="127">
        <f t="shared" si="162"/>
        <v>3102636.532</v>
      </c>
      <c r="BB50" s="127">
        <f t="shared" si="162"/>
        <v>3132358.99</v>
      </c>
      <c r="BC50" s="127">
        <f t="shared" si="162"/>
        <v>3186041.147</v>
      </c>
      <c r="BD50" s="127">
        <f t="shared" si="162"/>
        <v>3075634.204</v>
      </c>
      <c r="BE50" s="127">
        <f t="shared" si="162"/>
        <v>3257151.786</v>
      </c>
      <c r="BF50" s="127">
        <f t="shared" si="162"/>
        <v>3170870.856</v>
      </c>
      <c r="BG50" s="127">
        <f t="shared" si="162"/>
        <v>3323953.529</v>
      </c>
      <c r="BH50" s="127">
        <f t="shared" si="162"/>
        <v>3202888.657</v>
      </c>
      <c r="BI50" s="127">
        <f t="shared" si="162"/>
        <v>3377214.705</v>
      </c>
      <c r="BJ50" s="127">
        <f t="shared" si="162"/>
        <v>3411919.416</v>
      </c>
      <c r="BK50" s="127">
        <f t="shared" si="162"/>
        <v>3466676.579</v>
      </c>
      <c r="BL50" s="127">
        <f t="shared" si="162"/>
        <v>3255048.342</v>
      </c>
      <c r="BM50" s="127">
        <f t="shared" si="162"/>
        <v>3551531.442</v>
      </c>
      <c r="BN50" s="127">
        <f t="shared" si="162"/>
        <v>3612039.268</v>
      </c>
      <c r="BO50" s="127">
        <f t="shared" si="162"/>
        <v>3646553.094</v>
      </c>
      <c r="BP50" s="127">
        <f t="shared" si="162"/>
        <v>3520355.389</v>
      </c>
      <c r="BQ50" s="127">
        <f t="shared" si="162"/>
        <v>3723112.261</v>
      </c>
      <c r="BR50" s="127">
        <f t="shared" si="162"/>
        <v>3635162.715</v>
      </c>
      <c r="BS50" s="127">
        <f t="shared" si="162"/>
        <v>3813904.422</v>
      </c>
      <c r="BT50" s="127">
        <f t="shared" si="162"/>
        <v>3673617.143</v>
      </c>
      <c r="BU50" s="127">
        <f t="shared" si="162"/>
        <v>3850099.67</v>
      </c>
      <c r="BV50" s="127">
        <f t="shared" si="162"/>
        <v>3919898.032</v>
      </c>
      <c r="BW50" s="127">
        <f t="shared" si="162"/>
        <v>3951394.595</v>
      </c>
      <c r="BX50" s="127">
        <f t="shared" si="162"/>
        <v>3625300.677</v>
      </c>
      <c r="BY50" s="127">
        <f t="shared" si="162"/>
        <v>3740814.679</v>
      </c>
      <c r="BZ50" s="127">
        <f t="shared" si="162"/>
        <v>3709377.178</v>
      </c>
      <c r="CA50" s="127">
        <f t="shared" si="162"/>
        <v>3742875.859</v>
      </c>
      <c r="CB50" s="127">
        <f t="shared" si="162"/>
        <v>3551663.501</v>
      </c>
      <c r="CC50" s="127">
        <f t="shared" si="162"/>
        <v>3778714.914</v>
      </c>
      <c r="CD50" s="127">
        <f t="shared" si="162"/>
        <v>3671227.111</v>
      </c>
      <c r="CE50" s="127">
        <f t="shared" si="162"/>
        <v>3834840.761</v>
      </c>
      <c r="CF50" s="127">
        <f t="shared" si="162"/>
        <v>3638395.262</v>
      </c>
      <c r="CG50" s="127">
        <f t="shared" si="162"/>
        <v>3851015.092</v>
      </c>
      <c r="CH50" s="127">
        <f t="shared" si="162"/>
        <v>3868211.32</v>
      </c>
      <c r="CI50" s="127">
        <f t="shared" si="162"/>
        <v>3934180.723</v>
      </c>
      <c r="CJ50" s="127">
        <f t="shared" si="162"/>
        <v>3569678.802</v>
      </c>
      <c r="CK50" s="127">
        <f t="shared" si="162"/>
        <v>3855350.756</v>
      </c>
      <c r="CL50" s="127">
        <f t="shared" si="162"/>
        <v>3879590.842</v>
      </c>
      <c r="CM50" s="127">
        <f t="shared" si="162"/>
        <v>3900291.921</v>
      </c>
      <c r="CN50" s="127">
        <f t="shared" si="162"/>
        <v>3672515.966</v>
      </c>
      <c r="CO50" s="127">
        <f t="shared" si="162"/>
        <v>3862369.13</v>
      </c>
      <c r="CP50" s="127">
        <f t="shared" si="162"/>
        <v>3784532.682</v>
      </c>
      <c r="CQ50" s="127">
        <f t="shared" si="162"/>
        <v>3929414.066</v>
      </c>
      <c r="CR50" s="127">
        <f t="shared" si="162"/>
        <v>3675370.491</v>
      </c>
      <c r="CS50" s="127">
        <f t="shared" si="162"/>
        <v>3901721.921</v>
      </c>
      <c r="CT50" s="127">
        <f t="shared" si="162"/>
        <v>3910588.391</v>
      </c>
      <c r="CU50" s="127">
        <f t="shared" si="162"/>
        <v>3927878.039</v>
      </c>
      <c r="CV50" s="4"/>
      <c r="CW50" s="127">
        <f t="shared" ref="CW50:CZ50" si="163">SUM(M50:P50)</f>
        <v>4425600</v>
      </c>
      <c r="CX50" s="127">
        <f t="shared" si="163"/>
        <v>4506436</v>
      </c>
      <c r="CY50" s="127">
        <f t="shared" si="163"/>
        <v>4574836</v>
      </c>
      <c r="CZ50" s="127">
        <f t="shared" si="163"/>
        <v>4681004</v>
      </c>
      <c r="DA50" s="127">
        <f>SUM(T50:W50)</f>
        <v>4455372</v>
      </c>
      <c r="DB50" s="127">
        <f>SUM(X50:AA50)</f>
        <v>4522064</v>
      </c>
      <c r="DC50" s="127">
        <f>SUM(AB50:AE50)</f>
        <v>4590939</v>
      </c>
      <c r="DD50" s="127">
        <f>SUM(AF50:AI50)</f>
        <v>5007795</v>
      </c>
      <c r="DE50" s="127">
        <f>SUM(AJ50:AM50)</f>
        <v>4501096.035</v>
      </c>
      <c r="DF50" s="127">
        <f>SUM(AN50:AQ50)</f>
        <v>5736015.843</v>
      </c>
      <c r="DG50" s="127">
        <f>SUM(AR50:AU50)</f>
        <v>8647400.86</v>
      </c>
      <c r="DH50" s="127">
        <f>SUM(AV50:AY50)</f>
        <v>11160436.44</v>
      </c>
      <c r="DI50" s="127">
        <f>SUM(AZ50:BC50)</f>
        <v>12273199.05</v>
      </c>
      <c r="DJ50" s="127">
        <f>SUM(BD50:BG50)</f>
        <v>12827610.38</v>
      </c>
      <c r="DK50" s="127">
        <f>SUM(BH50:BK50)</f>
        <v>13458699.36</v>
      </c>
      <c r="DL50" s="127">
        <f>SUM(BL50:BO50)</f>
        <v>14065172.15</v>
      </c>
      <c r="DM50" s="127">
        <f>SUM(BP50:BS50)</f>
        <v>14692534.79</v>
      </c>
      <c r="DN50" s="127">
        <f>SUM(BT50:BW50)</f>
        <v>15395009.44</v>
      </c>
      <c r="DO50" s="127">
        <f>SUM(BX50:CA50)</f>
        <v>14818368.39</v>
      </c>
      <c r="DP50" s="127">
        <f>SUM(CB50:CE50)</f>
        <v>14836446.29</v>
      </c>
      <c r="DQ50" s="127">
        <f>SUM(CF50:CI50)</f>
        <v>15291802.4</v>
      </c>
      <c r="DR50" s="127">
        <f>SUM(CJ50:CM50)</f>
        <v>15204912.32</v>
      </c>
      <c r="DS50" s="127">
        <f>SUM(CN50:CQ50)</f>
        <v>15248831.84</v>
      </c>
      <c r="DT50" s="127">
        <f>SUM(CR50:CU50)</f>
        <v>15415558.84</v>
      </c>
      <c r="DV50" s="127">
        <f>SUM(D50:O50)</f>
        <v>13952385</v>
      </c>
      <c r="DW50" s="127">
        <f>SUM(P50:AA50)</f>
        <v>13658440</v>
      </c>
      <c r="DX50" s="127">
        <f>SUM(AB50:AM50)</f>
        <v>14099830.03</v>
      </c>
      <c r="DY50" s="127">
        <f>SUM(AN50:AY50)</f>
        <v>25543853.14</v>
      </c>
      <c r="DZ50" s="127">
        <f>SUM(AZ50:BK50)</f>
        <v>38559508.79</v>
      </c>
      <c r="EA50" s="127">
        <f>SUM(BL50:BW50)</f>
        <v>44152716.38</v>
      </c>
      <c r="EB50" s="127">
        <f>SUM(BX50:CI50)</f>
        <v>44946617.08</v>
      </c>
      <c r="EC50" s="127">
        <f>SUM(CJ50:CU50)</f>
        <v>45869303.01</v>
      </c>
      <c r="ED50" s="118"/>
      <c r="EE50" s="118"/>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V51" s="1"/>
      <c r="DW51" s="1"/>
      <c r="DX51" s="1"/>
      <c r="DY51" s="1"/>
      <c r="DZ51" s="1"/>
      <c r="EA51" s="1"/>
      <c r="EB51" s="1"/>
      <c r="EC51" s="1"/>
      <c r="ED51" s="118"/>
      <c r="EE51" s="118"/>
    </row>
    <row r="52" ht="15.75" customHeight="1">
      <c r="B52" s="129"/>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7"/>
      <c r="CD52" s="137"/>
      <c r="CE52" s="137"/>
      <c r="CF52" s="137"/>
      <c r="CG52" s="137"/>
      <c r="CH52" s="137"/>
      <c r="CI52" s="137"/>
      <c r="CJ52" s="137"/>
      <c r="CK52" s="137"/>
      <c r="CL52" s="137"/>
      <c r="CM52" s="137"/>
      <c r="CN52" s="137"/>
      <c r="CO52" s="137"/>
      <c r="CP52" s="137"/>
      <c r="CQ52" s="137"/>
      <c r="CR52" s="137"/>
      <c r="CS52" s="137"/>
      <c r="CT52" s="137"/>
      <c r="CU52" s="137"/>
      <c r="ED52" s="118"/>
      <c r="EE52" s="118"/>
    </row>
    <row r="53" ht="15.75" customHeight="1">
      <c r="B53" s="129"/>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ED53" s="118"/>
      <c r="EE53" s="118"/>
    </row>
    <row r="54" ht="15.75" customHeight="1">
      <c r="B54" s="129"/>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ED54" s="118"/>
      <c r="EE54" s="118"/>
    </row>
    <row r="55" ht="15.75" customHeight="1">
      <c r="B55" s="129"/>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c r="CA55" s="137"/>
      <c r="CB55" s="137"/>
      <c r="CC55" s="137"/>
      <c r="CD55" s="137"/>
      <c r="CE55" s="137"/>
      <c r="CF55" s="137"/>
      <c r="CG55" s="137"/>
      <c r="CH55" s="137"/>
      <c r="CI55" s="137"/>
      <c r="CJ55" s="137"/>
      <c r="CK55" s="137"/>
      <c r="CL55" s="137"/>
      <c r="CM55" s="137"/>
      <c r="CN55" s="137"/>
      <c r="CO55" s="137"/>
      <c r="CP55" s="137"/>
      <c r="CQ55" s="137"/>
      <c r="CR55" s="137"/>
      <c r="CS55" s="137"/>
      <c r="CT55" s="137"/>
      <c r="CU55" s="137"/>
      <c r="ED55" s="118"/>
      <c r="EE55" s="118"/>
    </row>
    <row r="56" ht="15.75" customHeight="1">
      <c r="B56" s="129"/>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ED56" s="118"/>
      <c r="EE56" s="118"/>
    </row>
    <row r="57" ht="15.75" customHeight="1">
      <c r="B57" s="129"/>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c r="CA57" s="137"/>
      <c r="CB57" s="137"/>
      <c r="CC57" s="137"/>
      <c r="CD57" s="137"/>
      <c r="CE57" s="137"/>
      <c r="CF57" s="137"/>
      <c r="CG57" s="137"/>
      <c r="CH57" s="137"/>
      <c r="CI57" s="137"/>
      <c r="CJ57" s="137"/>
      <c r="CK57" s="137"/>
      <c r="CL57" s="137"/>
      <c r="CM57" s="137"/>
      <c r="CN57" s="137"/>
      <c r="CO57" s="137"/>
      <c r="CP57" s="137"/>
      <c r="CQ57" s="137"/>
      <c r="CR57" s="137"/>
      <c r="CS57" s="137"/>
      <c r="CT57" s="137"/>
      <c r="CU57" s="137"/>
      <c r="ED57" s="118"/>
      <c r="EE57" s="118"/>
    </row>
    <row r="58" ht="15.75" customHeight="1">
      <c r="B58" s="129"/>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137"/>
      <c r="BN58" s="137"/>
      <c r="BO58" s="137"/>
      <c r="BP58" s="137"/>
      <c r="BQ58" s="137"/>
      <c r="BR58" s="137"/>
      <c r="BS58" s="137"/>
      <c r="BT58" s="137"/>
      <c r="BU58" s="137"/>
      <c r="BV58" s="137"/>
      <c r="BW58" s="137"/>
      <c r="BX58" s="137"/>
      <c r="BY58" s="137"/>
      <c r="BZ58" s="137"/>
      <c r="CA58" s="137"/>
      <c r="CB58" s="137"/>
      <c r="CC58" s="137"/>
      <c r="CD58" s="137"/>
      <c r="CE58" s="137"/>
      <c r="CF58" s="137"/>
      <c r="CG58" s="137"/>
      <c r="CH58" s="137"/>
      <c r="CI58" s="137"/>
      <c r="CJ58" s="137"/>
      <c r="CK58" s="137"/>
      <c r="CL58" s="137"/>
      <c r="CM58" s="137"/>
      <c r="CN58" s="137"/>
      <c r="CO58" s="137"/>
      <c r="CP58" s="137"/>
      <c r="CQ58" s="137"/>
      <c r="CR58" s="137"/>
      <c r="CS58" s="137"/>
      <c r="CT58" s="137"/>
      <c r="CU58" s="137"/>
      <c r="ED58" s="118"/>
      <c r="EE58" s="118"/>
    </row>
    <row r="59" ht="15.75" customHeight="1">
      <c r="B59" s="129"/>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7"/>
      <c r="BA59" s="137"/>
      <c r="BB59" s="137"/>
      <c r="BC59" s="137"/>
      <c r="BD59" s="137"/>
      <c r="BE59" s="137"/>
      <c r="BF59" s="137"/>
      <c r="BG59" s="137"/>
      <c r="BH59" s="137"/>
      <c r="BI59" s="137"/>
      <c r="BJ59" s="137"/>
      <c r="BK59" s="137"/>
      <c r="BL59" s="137"/>
      <c r="BM59" s="137"/>
      <c r="BN59" s="137"/>
      <c r="BO59" s="137"/>
      <c r="BP59" s="137"/>
      <c r="BQ59" s="137"/>
      <c r="BR59" s="137"/>
      <c r="BS59" s="137"/>
      <c r="BT59" s="137"/>
      <c r="BU59" s="137"/>
      <c r="BV59" s="137"/>
      <c r="BW59" s="137"/>
      <c r="BX59" s="137"/>
      <c r="BY59" s="137"/>
      <c r="BZ59" s="137"/>
      <c r="CA59" s="137"/>
      <c r="CB59" s="137"/>
      <c r="CC59" s="137"/>
      <c r="CD59" s="137"/>
      <c r="CE59" s="137"/>
      <c r="CF59" s="137"/>
      <c r="CG59" s="137"/>
      <c r="CH59" s="137"/>
      <c r="CI59" s="137"/>
      <c r="CJ59" s="137"/>
      <c r="CK59" s="137"/>
      <c r="CL59" s="137"/>
      <c r="CM59" s="137"/>
      <c r="CN59" s="137"/>
      <c r="CO59" s="137"/>
      <c r="CP59" s="137"/>
      <c r="CQ59" s="137"/>
      <c r="CR59" s="137"/>
      <c r="CS59" s="137"/>
      <c r="CT59" s="137"/>
      <c r="CU59" s="137"/>
      <c r="ED59" s="118"/>
      <c r="EE59" s="118"/>
    </row>
    <row r="60" ht="15.75" customHeight="1">
      <c r="B60" s="129"/>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ED60" s="118"/>
      <c r="EE60" s="118"/>
    </row>
    <row r="61" ht="15.75" customHeight="1">
      <c r="B61" s="129"/>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c r="AH61" s="137"/>
      <c r="AI61" s="137"/>
      <c r="AJ61" s="137"/>
      <c r="AK61" s="137"/>
      <c r="AL61" s="137"/>
      <c r="AM61" s="137"/>
      <c r="AN61" s="137"/>
      <c r="AO61" s="137"/>
      <c r="AP61" s="137"/>
      <c r="AQ61" s="137"/>
      <c r="AR61" s="137"/>
      <c r="AS61" s="137"/>
      <c r="AT61" s="137"/>
      <c r="AU61" s="137"/>
      <c r="AV61" s="137"/>
      <c r="AW61" s="137"/>
      <c r="AX61" s="137"/>
      <c r="AY61" s="137"/>
      <c r="AZ61" s="137"/>
      <c r="BA61" s="137"/>
      <c r="BB61" s="137"/>
      <c r="BC61" s="137"/>
      <c r="BD61" s="137"/>
      <c r="BE61" s="137"/>
      <c r="BF61" s="137"/>
      <c r="BG61" s="137"/>
      <c r="BH61" s="137"/>
      <c r="BI61" s="137"/>
      <c r="BJ61" s="137"/>
      <c r="BK61" s="137"/>
      <c r="BL61" s="137"/>
      <c r="BM61" s="137"/>
      <c r="BN61" s="137"/>
      <c r="BO61" s="137"/>
      <c r="BP61" s="137"/>
      <c r="BQ61" s="137"/>
      <c r="BR61" s="137"/>
      <c r="BS61" s="137"/>
      <c r="BT61" s="137"/>
      <c r="BU61" s="137"/>
      <c r="BV61" s="137"/>
      <c r="BW61" s="137"/>
      <c r="BX61" s="137"/>
      <c r="BY61" s="137"/>
      <c r="BZ61" s="137"/>
      <c r="CA61" s="137"/>
      <c r="CB61" s="137"/>
      <c r="CC61" s="137"/>
      <c r="CD61" s="137"/>
      <c r="CE61" s="137"/>
      <c r="CF61" s="137"/>
      <c r="CG61" s="137"/>
      <c r="CH61" s="137"/>
      <c r="CI61" s="137"/>
      <c r="CJ61" s="137"/>
      <c r="CK61" s="137"/>
      <c r="CL61" s="137"/>
      <c r="CM61" s="137"/>
      <c r="CN61" s="137"/>
      <c r="CO61" s="137"/>
      <c r="CP61" s="137"/>
      <c r="CQ61" s="137"/>
      <c r="CR61" s="137"/>
      <c r="CS61" s="137"/>
      <c r="CT61" s="137"/>
      <c r="CU61" s="137"/>
      <c r="ED61" s="118"/>
      <c r="EE61" s="118"/>
    </row>
    <row r="62" ht="15.75" customHeight="1">
      <c r="B62" s="129"/>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7"/>
      <c r="BA62" s="137"/>
      <c r="BB62" s="137"/>
      <c r="BC62" s="137"/>
      <c r="BD62" s="137"/>
      <c r="BE62" s="137"/>
      <c r="BF62" s="137"/>
      <c r="BG62" s="137"/>
      <c r="BH62" s="137"/>
      <c r="BI62" s="137"/>
      <c r="BJ62" s="137"/>
      <c r="BK62" s="137"/>
      <c r="BL62" s="137"/>
      <c r="BM62" s="137"/>
      <c r="BN62" s="137"/>
      <c r="BO62" s="137"/>
      <c r="BP62" s="137"/>
      <c r="BQ62" s="137"/>
      <c r="BR62" s="137"/>
      <c r="BS62" s="137"/>
      <c r="BT62" s="137"/>
      <c r="BU62" s="137"/>
      <c r="BV62" s="137"/>
      <c r="BW62" s="137"/>
      <c r="BX62" s="137"/>
      <c r="BY62" s="137"/>
      <c r="BZ62" s="137"/>
      <c r="CA62" s="137"/>
      <c r="CB62" s="137"/>
      <c r="CC62" s="137"/>
      <c r="CD62" s="137"/>
      <c r="CE62" s="137"/>
      <c r="CF62" s="137"/>
      <c r="CG62" s="137"/>
      <c r="CH62" s="137"/>
      <c r="CI62" s="137"/>
      <c r="CJ62" s="137"/>
      <c r="CK62" s="137"/>
      <c r="CL62" s="137"/>
      <c r="CM62" s="137"/>
      <c r="CN62" s="137"/>
      <c r="CO62" s="137"/>
      <c r="CP62" s="137"/>
      <c r="CQ62" s="137"/>
      <c r="CR62" s="137"/>
      <c r="CS62" s="137"/>
      <c r="CT62" s="137"/>
      <c r="CU62" s="137"/>
      <c r="ED62" s="118"/>
      <c r="EE62" s="118"/>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4.43" defaultRowHeight="15.0"/>
  <cols>
    <col customWidth="1" min="11" max="11" width="33.57"/>
  </cols>
  <sheetData>
    <row r="2">
      <c r="B2" s="1">
        <f>Summary!DV4</f>
        <v>2020</v>
      </c>
      <c r="C2" s="1" t="str">
        <f>Summary!DW4</f>
        <v>2021</v>
      </c>
      <c r="D2" s="1" t="str">
        <f>Summary!DX4</f>
        <v>2022</v>
      </c>
      <c r="E2" s="1" t="str">
        <f>Summary!DY4</f>
        <v>2023</v>
      </c>
      <c r="F2" s="1" t="str">
        <f>Summary!DZ4</f>
        <v>2024</v>
      </c>
      <c r="G2" s="1" t="str">
        <f>Summary!EA4</f>
        <v>2025</v>
      </c>
      <c r="H2" s="1" t="str">
        <f>Summary!EB4</f>
        <v>2026</v>
      </c>
      <c r="I2" s="1" t="str">
        <f>Summary!EC4</f>
        <v>2027</v>
      </c>
    </row>
    <row r="3">
      <c r="B3" s="1" t="str">
        <f>Summary!DV5</f>
        <v>Actuals</v>
      </c>
      <c r="C3" s="1" t="str">
        <f>Summary!DW5</f>
        <v>Actuals</v>
      </c>
      <c r="D3" s="1" t="str">
        <f>Summary!DX5</f>
        <v>Forecast</v>
      </c>
      <c r="E3" s="1" t="str">
        <f>Summary!DY5</f>
        <v>Forecast</v>
      </c>
      <c r="F3" s="1" t="str">
        <f>Summary!DZ5</f>
        <v>Forecast</v>
      </c>
      <c r="G3" s="1" t="str">
        <f>Summary!EA5</f>
        <v>Forecast</v>
      </c>
      <c r="H3" s="1" t="str">
        <f>Summary!EB5</f>
        <v>Forecast</v>
      </c>
      <c r="I3" s="1" t="str">
        <f>Summary!EC5</f>
        <v>Forecast</v>
      </c>
    </row>
    <row r="4">
      <c r="B4" s="1" t="str">
        <f>Summary!DV6</f>
        <v/>
      </c>
      <c r="C4" s="1" t="str">
        <f>Summary!DW6</f>
        <v/>
      </c>
      <c r="D4" s="1" t="str">
        <f>Summary!DX6</f>
        <v/>
      </c>
      <c r="E4" s="1" t="str">
        <f>Summary!DY6</f>
        <v/>
      </c>
      <c r="F4" s="1" t="str">
        <f>Summary!DZ6</f>
        <v/>
      </c>
      <c r="G4" s="1" t="str">
        <f>Summary!EA6</f>
        <v/>
      </c>
      <c r="H4" s="1" t="str">
        <f>Summary!EB6</f>
        <v/>
      </c>
      <c r="I4" s="1" t="str">
        <f>Summary!EC6</f>
        <v/>
      </c>
      <c r="L4" s="112">
        <v>2020.0</v>
      </c>
      <c r="M4" s="112" t="s">
        <v>157</v>
      </c>
      <c r="N4" s="112" t="s">
        <v>158</v>
      </c>
      <c r="O4" s="112" t="s">
        <v>159</v>
      </c>
      <c r="P4" s="112" t="s">
        <v>160</v>
      </c>
      <c r="Q4" s="112" t="s">
        <v>161</v>
      </c>
      <c r="R4" s="112" t="s">
        <v>162</v>
      </c>
      <c r="S4" s="112" t="s">
        <v>163</v>
      </c>
    </row>
    <row r="5">
      <c r="A5" s="1" t="s">
        <v>47</v>
      </c>
      <c r="B5" s="117">
        <f>Summary!DV7</f>
        <v>2650607</v>
      </c>
      <c r="C5" s="117">
        <f>Summary!DW7</f>
        <v>2522985</v>
      </c>
      <c r="D5" s="117">
        <f>Summary!DX7</f>
        <v>3043381.359</v>
      </c>
      <c r="E5" s="117">
        <f>Summary!DY7</f>
        <v>11081887.95</v>
      </c>
      <c r="F5" s="117">
        <f>Summary!DZ7</f>
        <v>18445740.18</v>
      </c>
      <c r="G5" s="117">
        <f>Summary!EA7</f>
        <v>23224590.37</v>
      </c>
      <c r="H5" s="117">
        <f>Summary!EB7</f>
        <v>28122529.02</v>
      </c>
      <c r="I5" s="117">
        <f>Summary!EC7</f>
        <v>32113783.67</v>
      </c>
      <c r="K5" s="1" t="s">
        <v>47</v>
      </c>
      <c r="L5" s="125">
        <f t="shared" ref="L5:S5" si="1">B5/B$12</f>
        <v>0.1771321915</v>
      </c>
      <c r="M5" s="125">
        <f t="shared" si="1"/>
        <v>0.1716811866</v>
      </c>
      <c r="N5" s="125">
        <f t="shared" si="1"/>
        <v>0.186898436</v>
      </c>
      <c r="O5" s="125">
        <f t="shared" si="1"/>
        <v>0.3241080236</v>
      </c>
      <c r="P5" s="125">
        <f t="shared" si="1"/>
        <v>0.3520045382</v>
      </c>
      <c r="Q5" s="125">
        <f t="shared" si="1"/>
        <v>0.365193929</v>
      </c>
      <c r="R5" s="125">
        <f t="shared" si="1"/>
        <v>0.3724679626</v>
      </c>
      <c r="S5" s="125">
        <f t="shared" si="1"/>
        <v>0.3778133422</v>
      </c>
    </row>
    <row r="6">
      <c r="A6" s="1" t="s">
        <v>85</v>
      </c>
      <c r="B6" s="117">
        <f>Summary!DV8</f>
        <v>2441801</v>
      </c>
      <c r="C6" s="117">
        <f>Summary!DW8</f>
        <v>2626796</v>
      </c>
      <c r="D6" s="117">
        <f>Summary!DX8</f>
        <v>2407338.904</v>
      </c>
      <c r="E6" s="117">
        <f>Summary!DY8</f>
        <v>7791498.084</v>
      </c>
      <c r="F6" s="117">
        <f>Summary!DZ8</f>
        <v>12588711.46</v>
      </c>
      <c r="G6" s="117">
        <f>Summary!EA8</f>
        <v>15664027.02</v>
      </c>
      <c r="H6" s="117">
        <f>Summary!EB8</f>
        <v>18854855.35</v>
      </c>
      <c r="I6" s="117">
        <f>Summary!EC8</f>
        <v>21357482.63</v>
      </c>
      <c r="K6" s="1" t="s">
        <v>85</v>
      </c>
      <c r="L6" s="125">
        <f t="shared" ref="L6:S6" si="2">B6/B$12</f>
        <v>0.1631783069</v>
      </c>
      <c r="M6" s="125">
        <f t="shared" si="2"/>
        <v>0.1787451984</v>
      </c>
      <c r="N6" s="125">
        <f t="shared" si="2"/>
        <v>0.1478381521</v>
      </c>
      <c r="O6" s="125">
        <f t="shared" si="2"/>
        <v>0.2278751649</v>
      </c>
      <c r="P6" s="125">
        <f t="shared" si="2"/>
        <v>0.2402334372</v>
      </c>
      <c r="Q6" s="125">
        <f t="shared" si="2"/>
        <v>0.2463082225</v>
      </c>
      <c r="R6" s="125">
        <f t="shared" si="2"/>
        <v>0.2497225463</v>
      </c>
      <c r="S6" s="125">
        <f t="shared" si="2"/>
        <v>0.2512672433</v>
      </c>
    </row>
    <row r="7">
      <c r="A7" s="1" t="s">
        <v>168</v>
      </c>
      <c r="B7" s="117">
        <f>Summary!DV9</f>
        <v>4833012</v>
      </c>
      <c r="C7" s="117">
        <f>Summary!DW9</f>
        <v>4440160</v>
      </c>
      <c r="D7" s="117">
        <f>Summary!DX9</f>
        <v>4709423.975</v>
      </c>
      <c r="E7" s="117">
        <f>Summary!DY9</f>
        <v>8383563.529</v>
      </c>
      <c r="F7" s="117">
        <f>Summary!DZ9</f>
        <v>13332627.78</v>
      </c>
      <c r="G7" s="117">
        <f>Summary!EA9</f>
        <v>15720727.34</v>
      </c>
      <c r="H7" s="117">
        <f>Summary!EB9</f>
        <v>18702814.53</v>
      </c>
      <c r="I7" s="117">
        <f>Summary!EC9</f>
        <v>21054980.96</v>
      </c>
      <c r="K7" s="1" t="s">
        <v>87</v>
      </c>
      <c r="L7" s="125">
        <f t="shared" ref="L7:S7" si="3">B7/B$12</f>
        <v>0.3229758343</v>
      </c>
      <c r="M7" s="125">
        <f t="shared" si="3"/>
        <v>0.3021389099</v>
      </c>
      <c r="N7" s="125">
        <f t="shared" si="3"/>
        <v>0.2892125145</v>
      </c>
      <c r="O7" s="125">
        <f t="shared" si="3"/>
        <v>0.2451910917</v>
      </c>
      <c r="P7" s="125">
        <f t="shared" si="3"/>
        <v>0.2544297729</v>
      </c>
      <c r="Q7" s="125">
        <f t="shared" si="3"/>
        <v>0.2471998038</v>
      </c>
      <c r="R7" s="125">
        <f t="shared" si="3"/>
        <v>0.2477088465</v>
      </c>
      <c r="S7" s="125">
        <f t="shared" si="3"/>
        <v>0.2477083613</v>
      </c>
    </row>
    <row r="8">
      <c r="A8" s="1" t="s">
        <v>89</v>
      </c>
      <c r="B8" s="117">
        <f>Summary!DV10</f>
        <v>2329725</v>
      </c>
      <c r="C8" s="117">
        <f>Summary!DW10</f>
        <v>2283632</v>
      </c>
      <c r="D8" s="117">
        <f>Summary!DX10</f>
        <v>2575146.352</v>
      </c>
      <c r="E8" s="117">
        <f>Summary!DY10</f>
        <v>2750829.513</v>
      </c>
      <c r="F8" s="117">
        <f>Summary!DZ10</f>
        <v>2926829.515</v>
      </c>
      <c r="G8" s="117">
        <f>Summary!EA10</f>
        <v>3153886.088</v>
      </c>
      <c r="H8" s="117">
        <f>Summary!EB10</f>
        <v>3542993.227</v>
      </c>
      <c r="I8" s="117">
        <f>Summary!EC10</f>
        <v>3850859.168</v>
      </c>
      <c r="K8" s="1" t="s">
        <v>89</v>
      </c>
      <c r="L8" s="125">
        <f t="shared" ref="L8:S8" si="4">B8/B$12</f>
        <v>0.1556886007</v>
      </c>
      <c r="M8" s="125">
        <f t="shared" si="4"/>
        <v>0.1553939685</v>
      </c>
      <c r="N8" s="125">
        <f t="shared" si="4"/>
        <v>0.1581434493</v>
      </c>
      <c r="O8" s="125">
        <f t="shared" si="4"/>
        <v>0.08045252942</v>
      </c>
      <c r="P8" s="125">
        <f t="shared" si="4"/>
        <v>0.05585339824</v>
      </c>
      <c r="Q8" s="125">
        <f t="shared" si="4"/>
        <v>0.04959312667</v>
      </c>
      <c r="R8" s="125">
        <f t="shared" si="4"/>
        <v>0.0469250638</v>
      </c>
      <c r="S8" s="125">
        <f t="shared" si="4"/>
        <v>0.04530471986</v>
      </c>
    </row>
    <row r="9">
      <c r="A9" s="1" t="s">
        <v>94</v>
      </c>
      <c r="B9" s="117">
        <f>Summary!DV11</f>
        <v>2378393</v>
      </c>
      <c r="C9" s="117">
        <f>Summary!DW11</f>
        <v>2437345</v>
      </c>
      <c r="D9" s="117">
        <f>Summary!DX11</f>
        <v>2616012.26</v>
      </c>
      <c r="E9" s="117">
        <f>Summary!DY11</f>
        <v>3615359.212</v>
      </c>
      <c r="F9" s="117">
        <f>Summary!DZ11</f>
        <v>4181221.45</v>
      </c>
      <c r="G9" s="117">
        <f>Summary!EA11</f>
        <v>4588983.274</v>
      </c>
      <c r="H9" s="117">
        <f>Summary!EB11</f>
        <v>5011160.737</v>
      </c>
      <c r="I9" s="117">
        <f>Summary!EC11</f>
        <v>5311714.022</v>
      </c>
      <c r="K9" s="1" t="s">
        <v>94</v>
      </c>
      <c r="L9" s="125">
        <f t="shared" ref="L9:S9" si="5">B9/B$12</f>
        <v>0.1589409386</v>
      </c>
      <c r="M9" s="125">
        <f t="shared" si="5"/>
        <v>0.1658536542</v>
      </c>
      <c r="N9" s="125">
        <f t="shared" si="5"/>
        <v>0.1606530836</v>
      </c>
      <c r="O9" s="125">
        <f t="shared" si="5"/>
        <v>0.1057371211</v>
      </c>
      <c r="P9" s="125">
        <f t="shared" si="5"/>
        <v>0.07979126409</v>
      </c>
      <c r="Q9" s="125">
        <f t="shared" si="5"/>
        <v>0.07215924179</v>
      </c>
      <c r="R9" s="125">
        <f t="shared" si="5"/>
        <v>0.06637016281</v>
      </c>
      <c r="S9" s="125">
        <f t="shared" si="5"/>
        <v>0.06249143509</v>
      </c>
    </row>
    <row r="10">
      <c r="A10" s="1" t="s">
        <v>96</v>
      </c>
      <c r="B10" s="117">
        <f>Summary!DV12</f>
        <v>342948</v>
      </c>
      <c r="C10" s="117">
        <f>Summary!DW12</f>
        <v>379220</v>
      </c>
      <c r="D10" s="117">
        <f>Summary!DX12</f>
        <v>374888</v>
      </c>
      <c r="E10" s="117">
        <f>Summary!DY12</f>
        <v>600000</v>
      </c>
      <c r="F10" s="117">
        <f>Summary!DZ12</f>
        <v>900000</v>
      </c>
      <c r="G10" s="117">
        <f>Summary!EA12</f>
        <v>1200000</v>
      </c>
      <c r="H10" s="117">
        <f>Summary!EB12</f>
        <v>1200000</v>
      </c>
      <c r="I10" s="117">
        <f>Summary!EC12</f>
        <v>1200000</v>
      </c>
      <c r="K10" s="1" t="s">
        <v>96</v>
      </c>
      <c r="L10" s="125">
        <f t="shared" ref="L10:S10" si="6">B10/B$12</f>
        <v>0.02291819603</v>
      </c>
      <c r="M10" s="125">
        <f t="shared" si="6"/>
        <v>0.02580472717</v>
      </c>
      <c r="N10" s="125">
        <f t="shared" si="6"/>
        <v>0.02302241244</v>
      </c>
      <c r="O10" s="125">
        <f t="shared" si="6"/>
        <v>0.01754798595</v>
      </c>
      <c r="P10" s="125">
        <f t="shared" si="6"/>
        <v>0.01717491851</v>
      </c>
      <c r="Q10" s="125">
        <f t="shared" si="6"/>
        <v>0.01886934098</v>
      </c>
      <c r="R10" s="125">
        <f t="shared" si="6"/>
        <v>0.01589336275</v>
      </c>
      <c r="S10" s="125">
        <f t="shared" si="6"/>
        <v>0.01411780111</v>
      </c>
    </row>
    <row r="11">
      <c r="A11" s="1" t="s">
        <v>169</v>
      </c>
      <c r="B11" s="117">
        <f>Summary!DV13</f>
        <v>-12481</v>
      </c>
      <c r="C11" s="117">
        <f>Summary!DW13</f>
        <v>5619</v>
      </c>
      <c r="D11" s="117">
        <f>Summary!DX13</f>
        <v>5861.78</v>
      </c>
      <c r="E11" s="117">
        <f>Summary!DY13</f>
        <v>-31180.21423</v>
      </c>
      <c r="F11" s="117">
        <f>Summary!DZ13</f>
        <v>26864.97763</v>
      </c>
      <c r="G11" s="117">
        <f>Summary!EA13</f>
        <v>43011.69474</v>
      </c>
      <c r="H11" s="117">
        <f>Summary!EB13</f>
        <v>68863.10906</v>
      </c>
      <c r="I11" s="117">
        <f>Summary!EC13</f>
        <v>110252.0563</v>
      </c>
      <c r="K11" s="1" t="s">
        <v>169</v>
      </c>
      <c r="L11" s="125">
        <f t="shared" ref="L11:S11" si="7">B11/B$12</f>
        <v>-0.0008340681522</v>
      </c>
      <c r="M11" s="125">
        <f t="shared" si="7"/>
        <v>0.0003823552608</v>
      </c>
      <c r="N11" s="125">
        <f t="shared" si="7"/>
        <v>0.000359980359</v>
      </c>
      <c r="O11" s="125">
        <f t="shared" si="7"/>
        <v>-0.0009119166022</v>
      </c>
      <c r="P11" s="125">
        <f t="shared" si="7"/>
        <v>0.0005126708907</v>
      </c>
      <c r="Q11" s="125">
        <f t="shared" si="7"/>
        <v>0.0006763352785</v>
      </c>
      <c r="R11" s="125">
        <f t="shared" si="7"/>
        <v>0.0009120553101</v>
      </c>
      <c r="S11" s="125">
        <f t="shared" si="7"/>
        <v>0.001297097169</v>
      </c>
    </row>
    <row r="12">
      <c r="A12" s="119" t="s">
        <v>98</v>
      </c>
      <c r="B12" s="117">
        <f>Summary!DV14</f>
        <v>14964005</v>
      </c>
      <c r="C12" s="117">
        <f>Summary!DW14</f>
        <v>14695757</v>
      </c>
      <c r="D12" s="117">
        <f>Summary!DX14</f>
        <v>16283610.63</v>
      </c>
      <c r="E12" s="117">
        <f>Summary!DY14</f>
        <v>34191958.08</v>
      </c>
      <c r="F12" s="117">
        <f>Summary!DZ14</f>
        <v>52401995.35</v>
      </c>
      <c r="G12" s="117">
        <f>Summary!EA14</f>
        <v>63595225.78</v>
      </c>
      <c r="H12" s="117">
        <f>Summary!EB14</f>
        <v>75503215.98</v>
      </c>
      <c r="I12" s="117">
        <f>Summary!EC14</f>
        <v>84999072.5</v>
      </c>
    </row>
    <row r="13">
      <c r="A13" s="1" t="s">
        <v>60</v>
      </c>
      <c r="B13" s="117" t="str">
        <f>Summary!DV15</f>
        <v/>
      </c>
      <c r="C13" s="117">
        <f>Summary!DW15</f>
        <v>-268248</v>
      </c>
      <c r="D13" s="117">
        <f>Summary!DX15</f>
        <v>1587853.631</v>
      </c>
      <c r="E13" s="117">
        <f>Summary!DY15</f>
        <v>17908347.45</v>
      </c>
      <c r="F13" s="117">
        <f>Summary!DZ15</f>
        <v>18210037.27</v>
      </c>
      <c r="G13" s="117">
        <f>Summary!EA15</f>
        <v>11193230.43</v>
      </c>
      <c r="H13" s="117">
        <f>Summary!EB15</f>
        <v>11907990.19</v>
      </c>
      <c r="I13" s="117">
        <f>Summary!EC15</f>
        <v>9495856.523</v>
      </c>
    </row>
    <row r="14">
      <c r="A14" s="1" t="s">
        <v>99</v>
      </c>
      <c r="B14" s="122" t="str">
        <f>Summary!DV16</f>
        <v/>
      </c>
      <c r="C14" s="122">
        <f>Summary!DW16</f>
        <v>-0.01792621695</v>
      </c>
      <c r="D14" s="122">
        <f>Summary!DX16</f>
        <v>0.1080484408</v>
      </c>
      <c r="E14" s="122">
        <f>Summary!DY16</f>
        <v>1.09977743</v>
      </c>
      <c r="F14" s="122">
        <f>Summary!DZ16</f>
        <v>0.5325824637</v>
      </c>
      <c r="G14" s="122">
        <f>Summary!EA16</f>
        <v>0.2136031339</v>
      </c>
      <c r="H14" s="122">
        <f>Summary!EB16</f>
        <v>0.1872466062</v>
      </c>
      <c r="I14" s="122">
        <f>Summary!EC16</f>
        <v>0.1257675769</v>
      </c>
    </row>
    <row r="15">
      <c r="B15" s="1" t="str">
        <f>Summary!DV17</f>
        <v/>
      </c>
      <c r="C15" s="1" t="str">
        <f>Summary!DW17</f>
        <v/>
      </c>
      <c r="D15" s="1" t="str">
        <f>Summary!DX17</f>
        <v/>
      </c>
      <c r="E15" s="122" t="str">
        <f>Summary!DY17</f>
        <v/>
      </c>
      <c r="F15" s="122" t="str">
        <f>Summary!DZ17</f>
        <v/>
      </c>
      <c r="G15" s="122" t="str">
        <f>Summary!EA17</f>
        <v/>
      </c>
      <c r="H15" s="122" t="str">
        <f>Summary!EB17</f>
        <v/>
      </c>
      <c r="I15" s="122" t="str">
        <f>Summary!EC17</f>
        <v/>
      </c>
    </row>
    <row r="16">
      <c r="A16" s="1"/>
      <c r="B16" s="117" t="str">
        <f>Summary!DV18</f>
        <v/>
      </c>
      <c r="C16" s="117" t="str">
        <f>Summary!DW18</f>
        <v/>
      </c>
      <c r="D16" s="117" t="str">
        <f>Summary!DX18</f>
        <v/>
      </c>
      <c r="E16" s="138" t="str">
        <f>Summary!DY18</f>
        <v/>
      </c>
      <c r="F16" s="138" t="str">
        <f>Summary!DZ18</f>
        <v/>
      </c>
      <c r="G16" s="138" t="str">
        <f>Summary!EA18</f>
        <v/>
      </c>
      <c r="H16" s="138" t="str">
        <f>Summary!EB18</f>
        <v/>
      </c>
      <c r="I16" s="138" t="str">
        <f>Summary!EC18</f>
        <v/>
      </c>
      <c r="L16" s="112">
        <v>2020.0</v>
      </c>
      <c r="M16" s="111" t="s">
        <v>157</v>
      </c>
      <c r="N16" s="111" t="s">
        <v>158</v>
      </c>
      <c r="O16" s="111" t="s">
        <v>159</v>
      </c>
      <c r="P16" s="111" t="s">
        <v>160</v>
      </c>
      <c r="Q16" s="111" t="s">
        <v>161</v>
      </c>
      <c r="R16" s="112" t="s">
        <v>162</v>
      </c>
      <c r="S16" s="112" t="s">
        <v>163</v>
      </c>
    </row>
    <row r="17">
      <c r="A17" s="1" t="s">
        <v>171</v>
      </c>
      <c r="B17" s="117">
        <f>Summary!DV19</f>
        <v>139204</v>
      </c>
      <c r="C17" s="117">
        <f>Summary!DW19</f>
        <v>145707</v>
      </c>
      <c r="D17" s="117">
        <f>Summary!DX19</f>
        <v>296616.2308</v>
      </c>
      <c r="E17" s="117">
        <f>Summary!DY19</f>
        <v>2767431.982</v>
      </c>
      <c r="F17" s="117">
        <f>Summary!DZ19</f>
        <v>5611263.888</v>
      </c>
      <c r="G17" s="117">
        <f>Summary!EA19</f>
        <v>9023133.061</v>
      </c>
      <c r="H17" s="117">
        <f>Summary!EB19</f>
        <v>16522052.72</v>
      </c>
      <c r="I17" s="117">
        <f>Summary!EC19</f>
        <v>21945991.26</v>
      </c>
      <c r="K17" s="1" t="s">
        <v>171</v>
      </c>
      <c r="L17" s="125">
        <f t="shared" ref="L17:S17" si="8">IFERROR(B17/B$12,0)</f>
        <v>0.009302589781</v>
      </c>
      <c r="M17" s="125">
        <f t="shared" si="8"/>
        <v>0.009914902648</v>
      </c>
      <c r="N17" s="125">
        <f t="shared" si="8"/>
        <v>0.01821563027</v>
      </c>
      <c r="O17" s="125">
        <f t="shared" si="8"/>
        <v>0.08093809589</v>
      </c>
      <c r="P17" s="125">
        <f t="shared" si="8"/>
        <v>0.1070811111</v>
      </c>
      <c r="Q17" s="125">
        <f t="shared" si="8"/>
        <v>0.141883812</v>
      </c>
      <c r="R17" s="125">
        <f t="shared" si="8"/>
        <v>0.2188258144</v>
      </c>
      <c r="S17" s="125">
        <f t="shared" si="8"/>
        <v>0.2581909498</v>
      </c>
    </row>
    <row r="18">
      <c r="A18" s="1" t="s">
        <v>173</v>
      </c>
      <c r="B18" s="117">
        <f>Summary!DV20</f>
        <v>17990</v>
      </c>
      <c r="C18" s="117">
        <f>Summary!DW20</f>
        <v>19723</v>
      </c>
      <c r="D18" s="117">
        <f>Summary!DX20</f>
        <v>19951.4413</v>
      </c>
      <c r="E18" s="117">
        <f>Summary!DY20</f>
        <v>21076.79606</v>
      </c>
      <c r="F18" s="117">
        <f>Summary!DZ20</f>
        <v>25406.10725</v>
      </c>
      <c r="G18" s="117">
        <f>Summary!EA20</f>
        <v>28944.91637</v>
      </c>
      <c r="H18" s="117">
        <f>Summary!EB20</f>
        <v>31055.80368</v>
      </c>
      <c r="I18" s="117">
        <f>Summary!EC20</f>
        <v>32558.57011</v>
      </c>
      <c r="K18" s="1" t="s">
        <v>173</v>
      </c>
      <c r="L18" s="125">
        <f t="shared" ref="L18:S18" si="9">IFERROR(B18/B$12,0)</f>
        <v>0.001202218256</v>
      </c>
      <c r="M18" s="125">
        <f t="shared" si="9"/>
        <v>0.00134208806</v>
      </c>
      <c r="N18" s="125">
        <f t="shared" si="9"/>
        <v>0.001225246768</v>
      </c>
      <c r="O18" s="125">
        <f t="shared" si="9"/>
        <v>0.0006164255352</v>
      </c>
      <c r="P18" s="125">
        <f t="shared" si="9"/>
        <v>0.000484830913</v>
      </c>
      <c r="Q18" s="125">
        <f t="shared" si="9"/>
        <v>0.0004551429138</v>
      </c>
      <c r="R18" s="125">
        <f t="shared" si="9"/>
        <v>0.0004113176278</v>
      </c>
      <c r="S18" s="125">
        <f t="shared" si="9"/>
        <v>0.000383046181</v>
      </c>
    </row>
    <row r="19">
      <c r="A19" s="1" t="s">
        <v>65</v>
      </c>
      <c r="B19" s="117">
        <f>Summary!DV21</f>
        <v>21055</v>
      </c>
      <c r="C19" s="117">
        <f>Summary!DW21</f>
        <v>22011</v>
      </c>
      <c r="D19" s="117">
        <f>Summary!DX21</f>
        <v>29013.36665</v>
      </c>
      <c r="E19" s="117">
        <f>Summary!DY21</f>
        <v>85440.4231</v>
      </c>
      <c r="F19" s="117">
        <f>Summary!DZ21</f>
        <v>214176.5442</v>
      </c>
      <c r="G19" s="117">
        <f>Summary!EA21</f>
        <v>336540.2105</v>
      </c>
      <c r="H19" s="117">
        <f>Summary!EB21</f>
        <v>827615.4337</v>
      </c>
      <c r="I19" s="117">
        <f>Summary!EC21</f>
        <v>1187733.53</v>
      </c>
      <c r="K19" s="1" t="s">
        <v>65</v>
      </c>
      <c r="L19" s="125">
        <f t="shared" ref="L19:S19" si="10">IFERROR(B19/B$12,0)</f>
        <v>0.001407043101</v>
      </c>
      <c r="M19" s="125">
        <f t="shared" si="10"/>
        <v>0.001497779257</v>
      </c>
      <c r="N19" s="125">
        <f t="shared" si="10"/>
        <v>0.001781752666</v>
      </c>
      <c r="O19" s="125">
        <f t="shared" si="10"/>
        <v>0.002498845574</v>
      </c>
      <c r="P19" s="125">
        <f t="shared" si="10"/>
        <v>0.004087182993</v>
      </c>
      <c r="Q19" s="125">
        <f t="shared" si="10"/>
        <v>0.005291909987</v>
      </c>
      <c r="R19" s="125">
        <f t="shared" si="10"/>
        <v>0.01096132692</v>
      </c>
      <c r="S19" s="125">
        <f t="shared" si="10"/>
        <v>0.01397348812</v>
      </c>
    </row>
    <row r="20" ht="15.75" customHeight="1">
      <c r="A20" s="1" t="s">
        <v>69</v>
      </c>
      <c r="B20" s="117">
        <f>Summary!DV22</f>
        <v>20282</v>
      </c>
      <c r="C20" s="117">
        <f>Summary!DW22</f>
        <v>21727</v>
      </c>
      <c r="D20" s="117">
        <f>Summary!DX22</f>
        <v>22319.8</v>
      </c>
      <c r="E20" s="117">
        <f>Summary!DY22</f>
        <v>67953.6</v>
      </c>
      <c r="F20" s="117">
        <f>Summary!DZ22</f>
        <v>98353.6</v>
      </c>
      <c r="G20" s="117">
        <f>Summary!EA22</f>
        <v>207153.6</v>
      </c>
      <c r="H20" s="117">
        <f>Summary!EB22</f>
        <v>257073.6</v>
      </c>
      <c r="I20" s="117">
        <f>Summary!EC22</f>
        <v>263633.6</v>
      </c>
      <c r="K20" s="1" t="s">
        <v>69</v>
      </c>
      <c r="L20" s="125">
        <f t="shared" ref="L20:S20" si="11">IFERROR(B20/B$12,0)</f>
        <v>0.001355385807</v>
      </c>
      <c r="M20" s="125">
        <f t="shared" si="11"/>
        <v>0.001478453951</v>
      </c>
      <c r="N20" s="125">
        <f t="shared" si="11"/>
        <v>0.00137069109</v>
      </c>
      <c r="O20" s="139">
        <f t="shared" si="11"/>
        <v>0.001987414697</v>
      </c>
      <c r="P20" s="139">
        <f t="shared" si="11"/>
        <v>0.001876905628</v>
      </c>
      <c r="Q20" s="139">
        <f t="shared" si="11"/>
        <v>0.003257376595</v>
      </c>
      <c r="R20" s="139">
        <f t="shared" si="11"/>
        <v>0.003404803314</v>
      </c>
      <c r="S20" s="139">
        <f t="shared" si="11"/>
        <v>0.003101605609</v>
      </c>
    </row>
    <row r="21" ht="15.75" customHeight="1">
      <c r="A21" s="1" t="s">
        <v>67</v>
      </c>
      <c r="B21" s="117"/>
      <c r="C21" s="117"/>
      <c r="D21" s="117">
        <f>Summary!DX23</f>
        <v>74855.035</v>
      </c>
      <c r="E21" s="117">
        <f>Summary!DY23</f>
        <v>218818.054</v>
      </c>
      <c r="F21" s="117">
        <f>Summary!DZ23</f>
        <v>246569.6603</v>
      </c>
      <c r="G21" s="117">
        <f>Summary!EA23</f>
        <v>277840.8649</v>
      </c>
      <c r="H21" s="117">
        <f>Summary!EB23</f>
        <v>313078.041</v>
      </c>
      <c r="I21" s="117">
        <f>Summary!EC23</f>
        <v>352784.173</v>
      </c>
      <c r="K21" s="1" t="s">
        <v>67</v>
      </c>
      <c r="L21" s="125"/>
      <c r="M21" s="125">
        <f t="shared" ref="M21:S21" si="12">IFERROR(C21/C$12,0)</f>
        <v>0</v>
      </c>
      <c r="N21" s="125">
        <f t="shared" si="12"/>
        <v>0.004596955595</v>
      </c>
      <c r="O21" s="125">
        <f t="shared" si="12"/>
        <v>0.006399693563</v>
      </c>
      <c r="P21" s="125">
        <f t="shared" si="12"/>
        <v>0.004705348692</v>
      </c>
      <c r="Q21" s="125">
        <f t="shared" si="12"/>
        <v>0.004368895015</v>
      </c>
      <c r="R21" s="125">
        <f t="shared" si="12"/>
        <v>0.004146552394</v>
      </c>
      <c r="S21" s="125">
        <f t="shared" si="12"/>
        <v>0.004150447323</v>
      </c>
    </row>
    <row r="22" ht="15.75" customHeight="1">
      <c r="A22" s="1" t="s">
        <v>71</v>
      </c>
      <c r="B22" s="117">
        <f>Summary!DV24</f>
        <v>0</v>
      </c>
      <c r="C22" s="117">
        <f>Summary!DW24</f>
        <v>0</v>
      </c>
      <c r="D22" s="117">
        <f>Summary!DX24</f>
        <v>0</v>
      </c>
      <c r="E22" s="117">
        <f>Summary!DY24</f>
        <v>0</v>
      </c>
      <c r="F22" s="117">
        <f>Summary!DZ24</f>
        <v>0</v>
      </c>
      <c r="G22" s="117">
        <f>Summary!EA24</f>
        <v>0</v>
      </c>
      <c r="H22" s="117">
        <f>Summary!EB24</f>
        <v>0</v>
      </c>
      <c r="I22" s="117">
        <f>Summary!EC24</f>
        <v>0</v>
      </c>
      <c r="K22" s="1" t="s">
        <v>71</v>
      </c>
      <c r="L22" s="125">
        <f t="shared" ref="L22:S22" si="13">IFERROR(B22/B$12,0)</f>
        <v>0</v>
      </c>
      <c r="M22" s="125">
        <f t="shared" si="13"/>
        <v>0</v>
      </c>
      <c r="N22" s="125">
        <f t="shared" si="13"/>
        <v>0</v>
      </c>
      <c r="O22" s="125">
        <f t="shared" si="13"/>
        <v>0</v>
      </c>
      <c r="P22" s="125">
        <f t="shared" si="13"/>
        <v>0</v>
      </c>
      <c r="Q22" s="125">
        <f t="shared" si="13"/>
        <v>0</v>
      </c>
      <c r="R22" s="125">
        <f t="shared" si="13"/>
        <v>0</v>
      </c>
      <c r="S22" s="125">
        <f t="shared" si="13"/>
        <v>0</v>
      </c>
    </row>
    <row r="23" ht="15.75" customHeight="1">
      <c r="A23" s="1" t="s">
        <v>73</v>
      </c>
      <c r="B23" s="117">
        <f>Summary!DV25</f>
        <v>261381</v>
      </c>
      <c r="C23" s="117">
        <f>Summary!DW25</f>
        <v>278353</v>
      </c>
      <c r="D23" s="117">
        <f>Summary!DX25</f>
        <v>442755.8737</v>
      </c>
      <c r="E23" s="117">
        <f>Summary!DY25</f>
        <v>3160720.855</v>
      </c>
      <c r="F23" s="117">
        <f>Summary!DZ25</f>
        <v>6195769.799</v>
      </c>
      <c r="G23" s="117">
        <f>Summary!EA25</f>
        <v>9873612.652</v>
      </c>
      <c r="H23" s="117">
        <f>Summary!EB25</f>
        <v>17950875.6</v>
      </c>
      <c r="I23" s="117">
        <f>Summary!EC25</f>
        <v>23782701.13</v>
      </c>
      <c r="K23" s="1" t="s">
        <v>73</v>
      </c>
      <c r="L23" s="125">
        <f t="shared" ref="L23:S23" si="14">IFERROR(B23/B$12,0)</f>
        <v>0.01746731574</v>
      </c>
      <c r="M23" s="125">
        <f t="shared" si="14"/>
        <v>0.01894104536</v>
      </c>
      <c r="N23" s="125">
        <f t="shared" si="14"/>
        <v>0.02719027639</v>
      </c>
      <c r="O23" s="125">
        <f t="shared" si="14"/>
        <v>0.09244047525</v>
      </c>
      <c r="P23" s="125">
        <f t="shared" si="14"/>
        <v>0.1182353794</v>
      </c>
      <c r="Q23" s="125">
        <f t="shared" si="14"/>
        <v>0.1552571365</v>
      </c>
      <c r="R23" s="125">
        <f t="shared" si="14"/>
        <v>0.2377498146</v>
      </c>
      <c r="S23" s="125">
        <f t="shared" si="14"/>
        <v>0.279799537</v>
      </c>
    </row>
    <row r="24" ht="15.75" customHeight="1">
      <c r="A24" s="1" t="s">
        <v>99</v>
      </c>
      <c r="B24" s="122" t="str">
        <f>Summary!DV26</f>
        <v/>
      </c>
      <c r="C24" s="122">
        <f>Summary!DW26</f>
        <v>0.06493203408</v>
      </c>
      <c r="D24" s="122">
        <f>Summary!DX26</f>
        <v>0.5906272745</v>
      </c>
      <c r="E24" s="122">
        <f>Summary!DY26</f>
        <v>6.13874404</v>
      </c>
      <c r="F24" s="122">
        <f>Summary!DZ26</f>
        <v>0.9602394783</v>
      </c>
      <c r="G24" s="122">
        <f>Summary!EA26</f>
        <v>0.5936054715</v>
      </c>
      <c r="H24" s="122">
        <f>Summary!EB26</f>
        <v>0.8180656093</v>
      </c>
      <c r="I24" s="122">
        <f>Summary!EC26</f>
        <v>0.3248769396</v>
      </c>
      <c r="K24" s="1"/>
      <c r="L24" s="140"/>
      <c r="M24" s="140"/>
      <c r="N24" s="140"/>
      <c r="O24" s="140"/>
      <c r="P24" s="140"/>
      <c r="Q24" s="140"/>
      <c r="R24" s="140"/>
      <c r="S24" s="140"/>
    </row>
    <row r="25" ht="15.75" customHeight="1">
      <c r="A25" s="1"/>
      <c r="B25" s="1" t="str">
        <f>Summary!DV27</f>
        <v/>
      </c>
      <c r="C25" s="1" t="str">
        <f>Summary!DW27</f>
        <v/>
      </c>
      <c r="D25" s="1" t="str">
        <f>Summary!DX27</f>
        <v/>
      </c>
      <c r="E25" s="1" t="str">
        <f>Summary!DY27</f>
        <v/>
      </c>
      <c r="F25" s="1" t="str">
        <f>Summary!DZ27</f>
        <v/>
      </c>
      <c r="G25" s="1" t="str">
        <f>Summary!EA27</f>
        <v/>
      </c>
      <c r="H25" s="1" t="str">
        <f>Summary!EB27</f>
        <v/>
      </c>
      <c r="I25" s="1" t="str">
        <f>Summary!EC27</f>
        <v/>
      </c>
      <c r="K25" s="134" t="s">
        <v>101</v>
      </c>
      <c r="L25" s="141">
        <f t="shared" ref="L25:S25" si="15">IFERROR(B26/B$12,0)</f>
        <v>0.9825326843</v>
      </c>
      <c r="M25" s="141">
        <f t="shared" si="15"/>
        <v>0.9810589546</v>
      </c>
      <c r="N25" s="141">
        <f t="shared" si="15"/>
        <v>0.9728097236</v>
      </c>
      <c r="O25" s="141">
        <f t="shared" si="15"/>
        <v>0.9075595247</v>
      </c>
      <c r="P25" s="141">
        <f t="shared" si="15"/>
        <v>0.8817646206</v>
      </c>
      <c r="Q25" s="141">
        <f t="shared" si="15"/>
        <v>0.8447428635</v>
      </c>
      <c r="R25" s="141">
        <f t="shared" si="15"/>
        <v>0.7622501854</v>
      </c>
      <c r="S25" s="141">
        <f t="shared" si="15"/>
        <v>0.720200463</v>
      </c>
    </row>
    <row r="26" ht="15.75" customHeight="1">
      <c r="A26" s="1" t="s">
        <v>104</v>
      </c>
      <c r="B26" s="117">
        <f>Summary!DV28</f>
        <v>14702624</v>
      </c>
      <c r="C26" s="117">
        <f>Summary!DW28</f>
        <v>14417404</v>
      </c>
      <c r="D26" s="117">
        <f>Summary!DX28</f>
        <v>15840854.76</v>
      </c>
      <c r="E26" s="117">
        <f>Summary!DY28</f>
        <v>31031237.22</v>
      </c>
      <c r="F26" s="117">
        <f>Summary!DZ28</f>
        <v>46206225.55</v>
      </c>
      <c r="G26" s="117">
        <f>Summary!EA28</f>
        <v>53721613.13</v>
      </c>
      <c r="H26" s="117">
        <f>Summary!EB28</f>
        <v>57552340.37</v>
      </c>
      <c r="I26" s="117">
        <f>Summary!EC28</f>
        <v>61216371.37</v>
      </c>
      <c r="K26" s="1"/>
      <c r="L26" s="125"/>
      <c r="M26" s="125"/>
      <c r="N26" s="125"/>
      <c r="O26" s="125"/>
      <c r="P26" s="125"/>
      <c r="Q26" s="125"/>
      <c r="R26" s="125"/>
      <c r="S26" s="125"/>
    </row>
    <row r="27" ht="15.75" customHeight="1">
      <c r="A27" s="1" t="s">
        <v>75</v>
      </c>
      <c r="B27" s="122">
        <f>Summary!DV29</f>
        <v>0.9825326843</v>
      </c>
      <c r="C27" s="122">
        <f>Summary!DW29</f>
        <v>0.9810589546</v>
      </c>
      <c r="D27" s="122">
        <f>Summary!DX29</f>
        <v>0.9728097236</v>
      </c>
      <c r="E27" s="122">
        <f>Summary!DY29</f>
        <v>0.9075595247</v>
      </c>
      <c r="F27" s="122">
        <f>Summary!DZ29</f>
        <v>0.8817646206</v>
      </c>
      <c r="G27" s="122">
        <f>Summary!EA29</f>
        <v>0.8447428635</v>
      </c>
      <c r="H27" s="122">
        <f>Summary!EB29</f>
        <v>0.7622501854</v>
      </c>
      <c r="I27" s="122">
        <f>Summary!EC29</f>
        <v>0.720200463</v>
      </c>
      <c r="K27" s="1"/>
      <c r="L27" s="112">
        <v>2020.0</v>
      </c>
      <c r="M27" s="111" t="s">
        <v>157</v>
      </c>
      <c r="N27" s="111" t="s">
        <v>158</v>
      </c>
      <c r="O27" s="111" t="s">
        <v>159</v>
      </c>
      <c r="P27" s="111" t="s">
        <v>160</v>
      </c>
      <c r="Q27" s="111" t="s">
        <v>161</v>
      </c>
      <c r="R27" s="112" t="s">
        <v>162</v>
      </c>
      <c r="S27" s="112" t="s">
        <v>163</v>
      </c>
    </row>
    <row r="28" ht="15.75" customHeight="1">
      <c r="A28" s="1"/>
      <c r="B28" s="130" t="str">
        <f>Summary!DV31</f>
        <v/>
      </c>
      <c r="C28" s="130" t="str">
        <f>Summary!DW31</f>
        <v/>
      </c>
      <c r="D28" s="125" t="str">
        <f>Summary!DX31</f>
        <v/>
      </c>
      <c r="E28" s="125" t="str">
        <f>Summary!DY31</f>
        <v/>
      </c>
      <c r="F28" s="125" t="str">
        <f>Summary!DZ31</f>
        <v/>
      </c>
      <c r="G28" s="125" t="str">
        <f>Summary!EA31</f>
        <v/>
      </c>
      <c r="H28" s="125" t="str">
        <f>Summary!EB31</f>
        <v/>
      </c>
      <c r="I28" s="125" t="str">
        <f>Summary!EC31</f>
        <v/>
      </c>
      <c r="K28" s="1" t="s">
        <v>102</v>
      </c>
      <c r="L28" s="125">
        <f t="shared" ref="L28:S28" si="16">IFERROR(B29/B$12,0)</f>
        <v>0.01247092607</v>
      </c>
      <c r="M28" s="125">
        <f t="shared" si="16"/>
        <v>0.01294747865</v>
      </c>
      <c r="N28" s="125">
        <f t="shared" si="16"/>
        <v>0.01692100559</v>
      </c>
      <c r="O28" s="125">
        <f t="shared" si="16"/>
        <v>0.08748077739</v>
      </c>
      <c r="P28" s="125">
        <f t="shared" si="16"/>
        <v>0.09526350182</v>
      </c>
      <c r="Q28" s="125">
        <f t="shared" si="16"/>
        <v>0.1011990272</v>
      </c>
      <c r="R28" s="125">
        <f t="shared" si="16"/>
        <v>0.119950559</v>
      </c>
      <c r="S28" s="125">
        <f t="shared" si="16"/>
        <v>0.1351711189</v>
      </c>
    </row>
    <row r="29" ht="15.75" customHeight="1">
      <c r="A29" s="1" t="s">
        <v>102</v>
      </c>
      <c r="B29" s="117">
        <f>Summary!DV32</f>
        <v>186615</v>
      </c>
      <c r="C29" s="117">
        <f>Summary!DW32</f>
        <v>190273</v>
      </c>
      <c r="D29" s="117">
        <f>Summary!DX32</f>
        <v>275535.0664</v>
      </c>
      <c r="E29" s="117">
        <f>Summary!DY32</f>
        <v>2991139.073</v>
      </c>
      <c r="F29" s="117">
        <f>Summary!DZ32</f>
        <v>4991997.579</v>
      </c>
      <c r="G29" s="117">
        <f>Summary!EA32</f>
        <v>6435774.984</v>
      </c>
      <c r="H29" s="117">
        <f>Summary!EB32</f>
        <v>9056652.963</v>
      </c>
      <c r="I29" s="117">
        <f>Summary!EC32</f>
        <v>11489419.73</v>
      </c>
      <c r="K29" s="1" t="s">
        <v>107</v>
      </c>
      <c r="L29" s="125">
        <f t="shared" ref="L29:S29" si="17">IFERROR(B30/B$12,0)</f>
        <v>0.004267306781</v>
      </c>
      <c r="M29" s="125">
        <f t="shared" si="17"/>
        <v>0.004343906884</v>
      </c>
      <c r="N29" s="125">
        <f t="shared" si="17"/>
        <v>0.003485045073</v>
      </c>
      <c r="O29" s="125">
        <f t="shared" si="17"/>
        <v>0.000691957244</v>
      </c>
      <c r="P29" s="125">
        <f t="shared" si="17"/>
        <v>0.0008934831563</v>
      </c>
      <c r="Q29" s="125">
        <f t="shared" si="17"/>
        <v>0.001069768562</v>
      </c>
      <c r="R29" s="125">
        <f t="shared" si="17"/>
        <v>0.001382621512</v>
      </c>
      <c r="S29" s="125">
        <f t="shared" si="17"/>
        <v>0.001734397057</v>
      </c>
    </row>
    <row r="30" ht="15.75" customHeight="1">
      <c r="A30" s="1" t="s">
        <v>107</v>
      </c>
      <c r="B30" s="117">
        <f>Summary!DV33</f>
        <v>63856</v>
      </c>
      <c r="C30" s="117">
        <f>Summary!DW33</f>
        <v>63837</v>
      </c>
      <c r="D30" s="117">
        <f>Summary!DX33</f>
        <v>56749.117</v>
      </c>
      <c r="E30" s="117">
        <f>Summary!DY33</f>
        <v>23659.37308</v>
      </c>
      <c r="F30" s="117">
        <f>Summary!DZ33</f>
        <v>46820.3002</v>
      </c>
      <c r="G30" s="117">
        <f>Summary!EA33</f>
        <v>68032.17325</v>
      </c>
      <c r="H30" s="117">
        <f>Summary!EB33</f>
        <v>104392.3706</v>
      </c>
      <c r="I30" s="117">
        <f>Summary!EC33</f>
        <v>147422.1412</v>
      </c>
      <c r="K30" s="1" t="s">
        <v>108</v>
      </c>
      <c r="L30" s="125">
        <f t="shared" ref="L30:S30" si="18">IFERROR(B31/B$12,0)</f>
        <v>0.001306401595</v>
      </c>
      <c r="M30" s="125">
        <f t="shared" si="18"/>
        <v>0.001515947766</v>
      </c>
      <c r="N30" s="125">
        <f t="shared" si="18"/>
        <v>0.003628306942</v>
      </c>
      <c r="O30" s="125">
        <f t="shared" si="18"/>
        <v>0.02954839853</v>
      </c>
      <c r="P30" s="125">
        <f t="shared" si="18"/>
        <v>0.01705873468</v>
      </c>
      <c r="Q30" s="125">
        <f t="shared" si="18"/>
        <v>0.01500885925</v>
      </c>
      <c r="R30" s="125">
        <f t="shared" si="18"/>
        <v>0.0138176892</v>
      </c>
      <c r="S30" s="125">
        <f t="shared" si="18"/>
        <v>0.0134649092</v>
      </c>
    </row>
    <row r="31" ht="15.75" customHeight="1">
      <c r="A31" s="1" t="s">
        <v>108</v>
      </c>
      <c r="B31" s="117">
        <f>Summary!DV34</f>
        <v>19549</v>
      </c>
      <c r="C31" s="117">
        <f>Summary!DW34</f>
        <v>22278</v>
      </c>
      <c r="D31" s="117">
        <f>Summary!DX34</f>
        <v>59081.9375</v>
      </c>
      <c r="E31" s="117">
        <f>Summary!DY34</f>
        <v>1010317.604</v>
      </c>
      <c r="F31" s="117">
        <f>Summary!DZ34</f>
        <v>893911.7356</v>
      </c>
      <c r="G31" s="117">
        <f>Summary!EA34</f>
        <v>954491.7924</v>
      </c>
      <c r="H31" s="117">
        <f>Summary!EB34</f>
        <v>1043279.972</v>
      </c>
      <c r="I31" s="117">
        <f>Summary!EC34</f>
        <v>1144504.793</v>
      </c>
      <c r="K31" s="1" t="s">
        <v>109</v>
      </c>
      <c r="L31" s="125">
        <f t="shared" ref="L31:S31" si="19">IFERROR(B32/B$12,0)</f>
        <v>0.002699143712</v>
      </c>
      <c r="M31" s="125">
        <f t="shared" si="19"/>
        <v>0.002732761572</v>
      </c>
      <c r="N31" s="125">
        <f t="shared" si="19"/>
        <v>0.003368216745</v>
      </c>
      <c r="O31" s="125">
        <f t="shared" si="19"/>
        <v>0.007315511408</v>
      </c>
      <c r="P31" s="125">
        <f t="shared" si="19"/>
        <v>0.004934243869</v>
      </c>
      <c r="Q31" s="125">
        <f t="shared" si="19"/>
        <v>0.004200166902</v>
      </c>
      <c r="R31" s="125">
        <f t="shared" si="19"/>
        <v>0.003657910679</v>
      </c>
      <c r="S31" s="125">
        <f t="shared" si="19"/>
        <v>0.003362590911</v>
      </c>
    </row>
    <row r="32" ht="15.75" customHeight="1">
      <c r="A32" s="1" t="s">
        <v>109</v>
      </c>
      <c r="B32" s="117">
        <f>Summary!DV35</f>
        <v>40390</v>
      </c>
      <c r="C32" s="117">
        <f>Summary!DW35</f>
        <v>40160</v>
      </c>
      <c r="D32" s="117">
        <f>Summary!DX35</f>
        <v>54846.73</v>
      </c>
      <c r="E32" s="117">
        <f>Summary!DY35</f>
        <v>250131.6594</v>
      </c>
      <c r="F32" s="117">
        <f>Summary!DZ35</f>
        <v>258564.2243</v>
      </c>
      <c r="G32" s="117">
        <f>Summary!EA35</f>
        <v>267110.5624</v>
      </c>
      <c r="H32" s="117">
        <f>Summary!EB35</f>
        <v>276184.02</v>
      </c>
      <c r="I32" s="117">
        <f>Summary!EC35</f>
        <v>285817.1086</v>
      </c>
      <c r="K32" s="1" t="s">
        <v>110</v>
      </c>
      <c r="L32" s="125">
        <f t="shared" ref="L32:S32" si="20">IFERROR(B33/B$12,0)</f>
        <v>0.001413658977</v>
      </c>
      <c r="M32" s="125">
        <f t="shared" si="20"/>
        <v>0.001436945371</v>
      </c>
      <c r="N32" s="125">
        <f t="shared" si="20"/>
        <v>0.001317164877</v>
      </c>
      <c r="O32" s="125">
        <f t="shared" si="20"/>
        <v>0.002981122045</v>
      </c>
      <c r="P32" s="125">
        <f t="shared" si="20"/>
        <v>0.002815358442</v>
      </c>
      <c r="Q32" s="125">
        <f t="shared" si="20"/>
        <v>0.004886064892</v>
      </c>
      <c r="R32" s="125">
        <f t="shared" si="20"/>
        <v>0.005107204972</v>
      </c>
      <c r="S32" s="125">
        <f t="shared" si="20"/>
        <v>0.004652408413</v>
      </c>
    </row>
    <row r="33" ht="15.75" customHeight="1">
      <c r="A33" s="1" t="s">
        <v>110</v>
      </c>
      <c r="B33" s="117">
        <f>Summary!DV36</f>
        <v>21154</v>
      </c>
      <c r="C33" s="117">
        <f>Summary!DW36</f>
        <v>21117</v>
      </c>
      <c r="D33" s="117">
        <f>Summary!DX36</f>
        <v>21448.2</v>
      </c>
      <c r="E33" s="117">
        <f>Summary!DY36</f>
        <v>101930.4</v>
      </c>
      <c r="F33" s="117">
        <f>Summary!DZ36</f>
        <v>147530.4</v>
      </c>
      <c r="G33" s="117">
        <f>Summary!EA36</f>
        <v>310730.4</v>
      </c>
      <c r="H33" s="117">
        <f>Summary!EB36</f>
        <v>385610.4</v>
      </c>
      <c r="I33" s="117">
        <f>Summary!EC36</f>
        <v>395450.4</v>
      </c>
      <c r="K33" s="1" t="s">
        <v>111</v>
      </c>
      <c r="L33" s="125">
        <f t="shared" ref="L33:S33" si="21">IFERROR(B34/B$12,0)</f>
        <v>0.00697821205</v>
      </c>
      <c r="M33" s="125">
        <f t="shared" si="21"/>
        <v>0.006914444761</v>
      </c>
      <c r="N33" s="125">
        <f t="shared" si="21"/>
        <v>0.006435866859</v>
      </c>
      <c r="O33" s="125">
        <f t="shared" si="21"/>
        <v>0.009422085347</v>
      </c>
      <c r="P33" s="125">
        <f t="shared" si="21"/>
        <v>0.006410033525</v>
      </c>
      <c r="Q33" s="125">
        <f t="shared" si="21"/>
        <v>0.006237076376</v>
      </c>
      <c r="R33" s="125">
        <f t="shared" si="21"/>
        <v>0.005276572943</v>
      </c>
      <c r="S33" s="125">
        <f t="shared" si="21"/>
        <v>0.004346591545</v>
      </c>
    </row>
    <row r="34" ht="15.75" customHeight="1">
      <c r="A34" s="1" t="s">
        <v>111</v>
      </c>
      <c r="B34" s="117">
        <f>Summary!DV37</f>
        <v>104422</v>
      </c>
      <c r="C34" s="117">
        <f>Summary!DW37</f>
        <v>101613</v>
      </c>
      <c r="D34" s="117">
        <f>Summary!DX37</f>
        <v>104799.15</v>
      </c>
      <c r="E34" s="117">
        <f>Summary!DY37</f>
        <v>322159.5472</v>
      </c>
      <c r="F34" s="117">
        <f>Summary!DZ37</f>
        <v>335898.547</v>
      </c>
      <c r="G34" s="117">
        <f>Summary!EA37</f>
        <v>396648.2803</v>
      </c>
      <c r="H34" s="117">
        <f>Summary!EB37</f>
        <v>398398.2265</v>
      </c>
      <c r="I34" s="117">
        <f>Summary!EC37</f>
        <v>369456.2499</v>
      </c>
      <c r="K34" s="1" t="s">
        <v>112</v>
      </c>
      <c r="L34" s="125">
        <f t="shared" ref="L34:S34" si="22">IFERROR(B35/B$12,0)</f>
        <v>0.006956225957</v>
      </c>
      <c r="M34" s="125">
        <f t="shared" si="22"/>
        <v>0.007443372941</v>
      </c>
      <c r="N34" s="125">
        <f t="shared" si="22"/>
        <v>0.006325172036</v>
      </c>
      <c r="O34" s="125">
        <f t="shared" si="22"/>
        <v>0.002684530829</v>
      </c>
      <c r="P34" s="125">
        <f t="shared" si="22"/>
        <v>0.003252522195</v>
      </c>
      <c r="Q34" s="125">
        <f t="shared" si="22"/>
        <v>0.003948755284</v>
      </c>
      <c r="R34" s="125">
        <f t="shared" si="22"/>
        <v>0.004412078005</v>
      </c>
      <c r="S34" s="125">
        <f t="shared" si="22"/>
        <v>0.004831498946</v>
      </c>
    </row>
    <row r="35" ht="15.75" customHeight="1">
      <c r="A35" s="1" t="s">
        <v>112</v>
      </c>
      <c r="B35" s="117">
        <f>Summary!DV38</f>
        <v>104093</v>
      </c>
      <c r="C35" s="117">
        <f>Summary!DW38</f>
        <v>109386</v>
      </c>
      <c r="D35" s="117">
        <f>Summary!DX38</f>
        <v>102996.6386</v>
      </c>
      <c r="E35" s="117">
        <f>Summary!DY38</f>
        <v>91789.36558</v>
      </c>
      <c r="F35" s="117">
        <f>Summary!DZ38</f>
        <v>170438.6529</v>
      </c>
      <c r="G35" s="117">
        <f>Summary!EA38</f>
        <v>251121.9838</v>
      </c>
      <c r="H35" s="117">
        <f>Summary!EB38</f>
        <v>333126.0785</v>
      </c>
      <c r="I35" s="117">
        <f>Summary!EC38</f>
        <v>410672.9292</v>
      </c>
      <c r="K35" s="1" t="s">
        <v>180</v>
      </c>
      <c r="L35" s="125">
        <f t="shared" ref="L35:S35" si="23">IFERROR(B36/B$12,0)</f>
        <v>0.007087942032</v>
      </c>
      <c r="M35" s="125">
        <f t="shared" si="23"/>
        <v>0.007006308011</v>
      </c>
      <c r="N35" s="125">
        <f t="shared" si="23"/>
        <v>0.009615250791</v>
      </c>
      <c r="O35" s="125">
        <f t="shared" si="23"/>
        <v>0.01216684367</v>
      </c>
      <c r="P35" s="125">
        <f t="shared" si="23"/>
        <v>0.008552366196</v>
      </c>
      <c r="Q35" s="125">
        <f t="shared" si="23"/>
        <v>0.00769166981</v>
      </c>
      <c r="R35" s="125">
        <f t="shared" si="23"/>
        <v>0.007522106208</v>
      </c>
      <c r="S35" s="125">
        <f t="shared" si="23"/>
        <v>0.007404492858</v>
      </c>
    </row>
    <row r="36" ht="15.75" customHeight="1">
      <c r="A36" s="1" t="s">
        <v>180</v>
      </c>
      <c r="B36" s="117">
        <f>Summary!DV39</f>
        <v>106064</v>
      </c>
      <c r="C36" s="117">
        <f>Summary!DW39</f>
        <v>102963</v>
      </c>
      <c r="D36" s="117">
        <f>Summary!DX39</f>
        <v>156571</v>
      </c>
      <c r="E36" s="117">
        <f>Summary!DY39</f>
        <v>416008.2087</v>
      </c>
      <c r="F36" s="117">
        <f>Summary!DZ39</f>
        <v>448161.0537</v>
      </c>
      <c r="G36" s="117">
        <f>Summary!EA39</f>
        <v>489153.4782</v>
      </c>
      <c r="H36" s="117">
        <f>Summary!EB39</f>
        <v>567943.2096</v>
      </c>
      <c r="I36" s="117">
        <f>Summary!EC39</f>
        <v>629375.0252</v>
      </c>
      <c r="K36" s="1" t="s">
        <v>113</v>
      </c>
      <c r="L36" s="125">
        <f t="shared" ref="L36:S36" si="24">IFERROR(B37/B$12,0)</f>
        <v>0.008420606649</v>
      </c>
      <c r="M36" s="125">
        <f t="shared" si="24"/>
        <v>0.008459992908</v>
      </c>
      <c r="N36" s="125">
        <f t="shared" si="24"/>
        <v>0.007788900577</v>
      </c>
      <c r="O36" s="125">
        <f t="shared" si="24"/>
        <v>0.006081192666</v>
      </c>
      <c r="P36" s="125">
        <f t="shared" si="24"/>
        <v>0.004942664597</v>
      </c>
      <c r="Q36" s="125">
        <f t="shared" si="24"/>
        <v>0.004556739399</v>
      </c>
      <c r="R36" s="125">
        <f t="shared" si="24"/>
        <v>0.004271789483</v>
      </c>
      <c r="S36" s="125">
        <f t="shared" si="24"/>
        <v>0.004101779456</v>
      </c>
    </row>
    <row r="37" ht="15.75" customHeight="1">
      <c r="A37" s="1" t="s">
        <v>113</v>
      </c>
      <c r="B37" s="117">
        <f>Summary!DV40</f>
        <v>126006</v>
      </c>
      <c r="C37" s="117">
        <f>Summary!DW40</f>
        <v>124326</v>
      </c>
      <c r="D37" s="117">
        <f>Summary!DX40</f>
        <v>126831.4242</v>
      </c>
      <c r="E37" s="117">
        <f>Summary!DY40</f>
        <v>207927.8847</v>
      </c>
      <c r="F37" s="117">
        <f>Summary!DZ40</f>
        <v>259005.4872</v>
      </c>
      <c r="G37" s="117">
        <f>Summary!EA40</f>
        <v>289786.8709</v>
      </c>
      <c r="H37" s="117">
        <f>Summary!EB40</f>
        <v>322533.8439</v>
      </c>
      <c r="I37" s="117">
        <f>Summary!EC40</f>
        <v>348647.4494</v>
      </c>
      <c r="K37" s="1" t="s">
        <v>114</v>
      </c>
      <c r="L37" s="125">
        <f t="shared" ref="L37:S37" si="25">SUM(L28:L36)</f>
        <v>0.05160042382</v>
      </c>
      <c r="M37" s="125">
        <f t="shared" si="25"/>
        <v>0.05280115887</v>
      </c>
      <c r="N37" s="125">
        <f t="shared" si="25"/>
        <v>0.05888492949</v>
      </c>
      <c r="O37" s="125">
        <f t="shared" si="25"/>
        <v>0.1583724191</v>
      </c>
      <c r="P37" s="125">
        <f t="shared" si="25"/>
        <v>0.1441229085</v>
      </c>
      <c r="Q37" s="125">
        <f t="shared" si="25"/>
        <v>0.1487981277</v>
      </c>
      <c r="R37" s="125">
        <f t="shared" si="25"/>
        <v>0.165398532</v>
      </c>
      <c r="S37" s="125">
        <f t="shared" si="25"/>
        <v>0.1790697873</v>
      </c>
    </row>
    <row r="38" ht="15.75" customHeight="1">
      <c r="A38" s="119" t="s">
        <v>99</v>
      </c>
      <c r="B38" s="1" t="str">
        <f>Summary!DV42</f>
        <v/>
      </c>
      <c r="C38" s="122">
        <f>Summary!DW42</f>
        <v>0.004926510298</v>
      </c>
      <c r="D38" s="122">
        <f>Summary!DX42</f>
        <v>0.2357182249</v>
      </c>
      <c r="E38" s="122">
        <f>Summary!DY42</f>
        <v>4.647401366</v>
      </c>
      <c r="F38" s="122">
        <f>Summary!DZ42</f>
        <v>0.3946888187</v>
      </c>
      <c r="G38" s="122">
        <f>Summary!EA42</f>
        <v>0.2529713421</v>
      </c>
      <c r="H38" s="122">
        <f>Summary!EB42</f>
        <v>0.3196997091</v>
      </c>
      <c r="I38" s="122">
        <f>Summary!EC42</f>
        <v>0.2188195266</v>
      </c>
      <c r="K38" s="4"/>
      <c r="L38" s="125"/>
      <c r="M38" s="125"/>
      <c r="N38" s="125"/>
      <c r="O38" s="125"/>
      <c r="P38" s="125"/>
      <c r="Q38" s="125"/>
      <c r="R38" s="125"/>
      <c r="S38" s="125"/>
    </row>
    <row r="39" ht="15.75" customHeight="1">
      <c r="A39" s="1"/>
      <c r="B39" s="1" t="str">
        <f>Summary!DV43</f>
        <v/>
      </c>
      <c r="C39" s="1" t="str">
        <f>Summary!DW43</f>
        <v/>
      </c>
      <c r="D39" s="1" t="str">
        <f>Summary!DX43</f>
        <v/>
      </c>
      <c r="E39" s="1" t="str">
        <f>Summary!DY43</f>
        <v/>
      </c>
      <c r="F39" s="1" t="str">
        <f>Summary!DZ43</f>
        <v/>
      </c>
      <c r="G39" s="1" t="str">
        <f>Summary!EA43</f>
        <v/>
      </c>
      <c r="H39" s="1" t="str">
        <f>Summary!EB43</f>
        <v/>
      </c>
      <c r="I39" s="1" t="str">
        <f>Summary!EC43</f>
        <v/>
      </c>
      <c r="K39" s="134" t="s">
        <v>181</v>
      </c>
      <c r="L39" s="141">
        <f t="shared" ref="L39:S39" si="26">IFERROR(B40/B$12,0)</f>
        <v>0.9309322604</v>
      </c>
      <c r="M39" s="141">
        <f t="shared" si="26"/>
        <v>0.9282577958</v>
      </c>
      <c r="N39" s="141">
        <f t="shared" si="26"/>
        <v>0.9139247941</v>
      </c>
      <c r="O39" s="141">
        <f t="shared" si="26"/>
        <v>0.7491871056</v>
      </c>
      <c r="P39" s="141">
        <f t="shared" si="26"/>
        <v>0.7376417122</v>
      </c>
      <c r="Q39" s="141">
        <f t="shared" si="26"/>
        <v>0.6959447358</v>
      </c>
      <c r="R39" s="141">
        <f t="shared" si="26"/>
        <v>0.5968516533</v>
      </c>
      <c r="S39" s="141">
        <f t="shared" si="26"/>
        <v>0.5411306757</v>
      </c>
    </row>
    <row r="40" ht="15.75" customHeight="1">
      <c r="A40" s="1" t="s">
        <v>106</v>
      </c>
      <c r="B40" s="117">
        <f>Summary!DV44</f>
        <v>13930475</v>
      </c>
      <c r="C40" s="117">
        <f>Summary!DW44</f>
        <v>13641451</v>
      </c>
      <c r="D40" s="117">
        <f>Summary!DX44</f>
        <v>14881995.49</v>
      </c>
      <c r="E40" s="117">
        <f>Summary!DY44</f>
        <v>25616174.11</v>
      </c>
      <c r="F40" s="117">
        <f>Summary!DZ44</f>
        <v>38653897.57</v>
      </c>
      <c r="G40" s="117">
        <f>Summary!EA44</f>
        <v>44258762.6</v>
      </c>
      <c r="H40" s="117">
        <f>Summary!EB44</f>
        <v>45064219.29</v>
      </c>
      <c r="I40" s="117">
        <f>Summary!EC44</f>
        <v>45995605.54</v>
      </c>
      <c r="L40" s="125"/>
      <c r="M40" s="125"/>
      <c r="N40" s="125"/>
      <c r="O40" s="125"/>
      <c r="P40" s="125"/>
      <c r="Q40" s="125"/>
      <c r="R40" s="125"/>
      <c r="S40" s="125"/>
    </row>
    <row r="41" ht="15.75" customHeight="1">
      <c r="A41" s="134" t="s">
        <v>181</v>
      </c>
      <c r="B41" s="122">
        <f>Summary!DV45</f>
        <v>0.9309322604</v>
      </c>
      <c r="C41" s="122">
        <f>Summary!DW45</f>
        <v>0.9282577958</v>
      </c>
      <c r="D41" s="122">
        <f>Summary!DX45</f>
        <v>0.9139247941</v>
      </c>
      <c r="E41" s="122">
        <f>Summary!DY45</f>
        <v>0.7491871056</v>
      </c>
      <c r="F41" s="122">
        <f>Summary!DZ45</f>
        <v>0.7376417122</v>
      </c>
      <c r="G41" s="122">
        <f>Summary!EA45</f>
        <v>0.6959447358</v>
      </c>
      <c r="H41" s="122">
        <f>Summary!EB45</f>
        <v>0.5968516533</v>
      </c>
      <c r="I41" s="122">
        <f>Summary!EC45</f>
        <v>0.5411306757</v>
      </c>
      <c r="K41" s="136"/>
      <c r="L41" s="125"/>
      <c r="M41" s="125"/>
      <c r="N41" s="125"/>
      <c r="O41" s="125"/>
      <c r="P41" s="125"/>
      <c r="Q41" s="125"/>
      <c r="R41" s="125"/>
      <c r="S41" s="125"/>
    </row>
    <row r="42" ht="15.75" customHeight="1">
      <c r="A42" s="136"/>
      <c r="B42" s="1" t="str">
        <f>Summary!DV46</f>
        <v/>
      </c>
      <c r="C42" s="1" t="str">
        <f>Summary!DW46</f>
        <v/>
      </c>
      <c r="D42" s="1" t="str">
        <f>Summary!DX46</f>
        <v/>
      </c>
      <c r="E42" s="1" t="str">
        <f>Summary!DY46</f>
        <v/>
      </c>
      <c r="F42" s="1" t="str">
        <f>Summary!DZ46</f>
        <v/>
      </c>
      <c r="G42" s="1" t="str">
        <f>Summary!EA46</f>
        <v/>
      </c>
      <c r="H42" s="1" t="str">
        <f>Summary!EB46</f>
        <v/>
      </c>
      <c r="I42" s="1" t="str">
        <f>Summary!EC46</f>
        <v/>
      </c>
      <c r="K42" s="1" t="s">
        <v>182</v>
      </c>
      <c r="L42" s="125">
        <f t="shared" ref="L42:S42" si="27">IFERROR(B43/B$12,0)</f>
        <v>0.002847767025</v>
      </c>
      <c r="M42" s="125">
        <f t="shared" si="27"/>
        <v>0.002636747464</v>
      </c>
      <c r="N42" s="125">
        <f t="shared" si="27"/>
        <v>0.002157015468</v>
      </c>
      <c r="O42" s="125">
        <f t="shared" si="27"/>
        <v>0</v>
      </c>
      <c r="P42" s="125">
        <f t="shared" si="27"/>
        <v>0</v>
      </c>
      <c r="Q42" s="125">
        <f t="shared" si="27"/>
        <v>0</v>
      </c>
      <c r="R42" s="125">
        <f t="shared" si="27"/>
        <v>0</v>
      </c>
      <c r="S42" s="125">
        <f t="shared" si="27"/>
        <v>0</v>
      </c>
    </row>
    <row r="43" ht="15.75" customHeight="1">
      <c r="A43" s="1" t="s">
        <v>182</v>
      </c>
      <c r="B43" s="117">
        <f>Summary!DV47</f>
        <v>42614</v>
      </c>
      <c r="C43" s="117">
        <f>Summary!DW47</f>
        <v>38749</v>
      </c>
      <c r="D43" s="117">
        <f>Summary!DX47</f>
        <v>35124</v>
      </c>
      <c r="E43" s="117">
        <f>Summary!DY47</f>
        <v>0</v>
      </c>
      <c r="F43" s="117">
        <f>Summary!DZ47</f>
        <v>0</v>
      </c>
      <c r="G43" s="117">
        <f>Summary!EA47</f>
        <v>0</v>
      </c>
      <c r="H43" s="117">
        <f>Summary!EB47</f>
        <v>0</v>
      </c>
      <c r="I43" s="117">
        <f>Summary!EC47</f>
        <v>0</v>
      </c>
      <c r="K43" s="1" t="s">
        <v>183</v>
      </c>
      <c r="L43" s="125">
        <f t="shared" ref="L43:S43" si="28">IFERROR(B44/B$12,0)</f>
        <v>0.001383586814</v>
      </c>
      <c r="M43" s="125">
        <f t="shared" si="28"/>
        <v>0.001480699497</v>
      </c>
      <c r="N43" s="125">
        <f t="shared" si="28"/>
        <v>0.001550728464</v>
      </c>
      <c r="O43" s="125">
        <f t="shared" si="28"/>
        <v>0.002115145505</v>
      </c>
      <c r="P43" s="125">
        <f t="shared" si="28"/>
        <v>0.001801244136</v>
      </c>
      <c r="Q43" s="125">
        <f t="shared" si="28"/>
        <v>0.001667518693</v>
      </c>
      <c r="R43" s="125">
        <f t="shared" si="28"/>
        <v>0.00155757883</v>
      </c>
      <c r="S43" s="125">
        <f t="shared" si="28"/>
        <v>0.001485928356</v>
      </c>
    </row>
    <row r="44" ht="15.75" customHeight="1">
      <c r="A44" s="1" t="s">
        <v>183</v>
      </c>
      <c r="B44" s="117">
        <f>Summary!DV48</f>
        <v>20704</v>
      </c>
      <c r="C44" s="117">
        <f>Summary!DW48</f>
        <v>21760</v>
      </c>
      <c r="D44" s="117">
        <f>Summary!DX48</f>
        <v>25251.45851</v>
      </c>
      <c r="E44" s="117">
        <f>Summary!DY48</f>
        <v>72320.96642</v>
      </c>
      <c r="F44" s="117">
        <f>Summary!DZ48</f>
        <v>94388.78683</v>
      </c>
      <c r="G44" s="117">
        <f>Summary!EA48</f>
        <v>106046.2278</v>
      </c>
      <c r="H44" s="117">
        <f>Summary!EB48</f>
        <v>117602.2108</v>
      </c>
      <c r="I44" s="117">
        <f>Summary!EC48</f>
        <v>126302.5321</v>
      </c>
      <c r="K44" s="1"/>
      <c r="L44" s="125"/>
      <c r="M44" s="125"/>
      <c r="N44" s="125"/>
      <c r="O44" s="125"/>
      <c r="P44" s="125"/>
      <c r="Q44" s="125"/>
      <c r="R44" s="125"/>
      <c r="S44" s="125"/>
    </row>
    <row r="45" ht="15.75" customHeight="1">
      <c r="A45" s="1"/>
      <c r="B45" s="1" t="str">
        <f>Summary!DV49</f>
        <v/>
      </c>
      <c r="C45" s="1" t="str">
        <f>Summary!DW49</f>
        <v/>
      </c>
      <c r="D45" s="1" t="str">
        <f>Summary!DX49</f>
        <v/>
      </c>
      <c r="E45" s="1" t="str">
        <f>Summary!DY49</f>
        <v/>
      </c>
      <c r="F45" s="1" t="str">
        <f>Summary!DZ49</f>
        <v/>
      </c>
      <c r="G45" s="1" t="str">
        <f>Summary!EA49</f>
        <v/>
      </c>
      <c r="H45" s="1" t="str">
        <f>Summary!EB49</f>
        <v/>
      </c>
      <c r="I45" s="1" t="str">
        <f>Summary!EC49</f>
        <v/>
      </c>
      <c r="K45" s="1" t="s">
        <v>184</v>
      </c>
      <c r="L45" s="125">
        <f t="shared" ref="L45:S45" si="29">IFERROR(B46/B$12,0)</f>
        <v>0.9323964407</v>
      </c>
      <c r="M45" s="125">
        <f t="shared" si="29"/>
        <v>0.9294138437</v>
      </c>
      <c r="N45" s="125">
        <f t="shared" si="29"/>
        <v>0.8658908859</v>
      </c>
      <c r="O45" s="125">
        <f t="shared" si="29"/>
        <v>0.7470719601</v>
      </c>
      <c r="P45" s="125">
        <f t="shared" si="29"/>
        <v>0.735840468</v>
      </c>
      <c r="Q45" s="125">
        <f t="shared" si="29"/>
        <v>0.6942772171</v>
      </c>
      <c r="R45" s="125">
        <f t="shared" si="29"/>
        <v>0.5952940745</v>
      </c>
      <c r="S45" s="125">
        <f t="shared" si="29"/>
        <v>0.5396447474</v>
      </c>
    </row>
    <row r="46" ht="15.75" customHeight="1">
      <c r="A46" s="1" t="s">
        <v>184</v>
      </c>
      <c r="B46" s="117">
        <f>Summary!DV50</f>
        <v>13952385</v>
      </c>
      <c r="C46" s="117">
        <f>Summary!DW50</f>
        <v>13658440</v>
      </c>
      <c r="D46" s="117">
        <f>Summary!DX50</f>
        <v>14099830.03</v>
      </c>
      <c r="E46" s="117">
        <f>Summary!DY50</f>
        <v>25543853.14</v>
      </c>
      <c r="F46" s="117">
        <f>Summary!DZ50</f>
        <v>38559508.79</v>
      </c>
      <c r="G46" s="117">
        <f>Summary!EA50</f>
        <v>44152716.38</v>
      </c>
      <c r="H46" s="117">
        <f>Summary!EB50</f>
        <v>44946617.08</v>
      </c>
      <c r="I46" s="117">
        <f>Summary!EC50</f>
        <v>45869303.01</v>
      </c>
    </row>
    <row r="47" ht="15.75" customHeight="1">
      <c r="B47" s="1" t="str">
        <f>Summary!DV51</f>
        <v/>
      </c>
      <c r="C47" s="1" t="str">
        <f>Summary!DW51</f>
        <v/>
      </c>
      <c r="D47" s="1" t="str">
        <f>Summary!DX51</f>
        <v/>
      </c>
      <c r="E47" s="1" t="str">
        <f>Summary!DY51</f>
        <v/>
      </c>
      <c r="F47" s="1" t="str">
        <f>Summary!DZ51</f>
        <v/>
      </c>
      <c r="G47" s="1" t="str">
        <f>Summary!EA51</f>
        <v/>
      </c>
      <c r="H47" s="1" t="str">
        <f>Summary!EB51</f>
        <v/>
      </c>
      <c r="I47" s="1" t="str">
        <f>Summary!EC51</f>
        <v/>
      </c>
    </row>
    <row r="48" ht="15.75" customHeight="1">
      <c r="B48" s="1"/>
      <c r="C48" s="1"/>
      <c r="D48" s="1"/>
      <c r="E48" s="1"/>
      <c r="F48" s="1"/>
      <c r="G48" s="1"/>
      <c r="H48" s="1"/>
      <c r="I48" s="1"/>
      <c r="K48" s="1" t="s">
        <v>185</v>
      </c>
      <c r="L48" s="112">
        <v>2020.0</v>
      </c>
      <c r="M48" s="111" t="s">
        <v>157</v>
      </c>
      <c r="N48" s="111" t="s">
        <v>158</v>
      </c>
      <c r="O48" s="111" t="s">
        <v>159</v>
      </c>
      <c r="P48" s="111" t="s">
        <v>160</v>
      </c>
      <c r="Q48" s="111" t="s">
        <v>161</v>
      </c>
      <c r="R48" s="112" t="s">
        <v>162</v>
      </c>
      <c r="S48" s="112" t="s">
        <v>163</v>
      </c>
    </row>
    <row r="49" ht="15.75" customHeight="1">
      <c r="B49" s="1"/>
      <c r="C49" s="1"/>
      <c r="D49" s="1"/>
      <c r="E49" s="1"/>
      <c r="F49" s="1"/>
      <c r="G49" s="1"/>
      <c r="H49" s="1"/>
      <c r="I49" s="1"/>
      <c r="K49" s="1" t="s">
        <v>118</v>
      </c>
      <c r="L49" s="125">
        <f t="shared" ref="L49:S49" si="30">B23/B12</f>
        <v>0.01746731574</v>
      </c>
      <c r="M49" s="125">
        <f t="shared" si="30"/>
        <v>0.01894104536</v>
      </c>
      <c r="N49" s="125">
        <f t="shared" si="30"/>
        <v>0.02719027639</v>
      </c>
      <c r="O49" s="125">
        <f t="shared" si="30"/>
        <v>0.09244047525</v>
      </c>
      <c r="P49" s="125">
        <f t="shared" si="30"/>
        <v>0.1182353794</v>
      </c>
      <c r="Q49" s="125">
        <f t="shared" si="30"/>
        <v>0.1552571365</v>
      </c>
      <c r="R49" s="125">
        <f t="shared" si="30"/>
        <v>0.2377498146</v>
      </c>
      <c r="S49" s="125">
        <f t="shared" si="30"/>
        <v>0.279799537</v>
      </c>
    </row>
    <row r="50" ht="15.75" customHeight="1">
      <c r="B50" s="137"/>
      <c r="K50" s="1" t="s">
        <v>119</v>
      </c>
      <c r="M50" s="125">
        <f>SUM('Opex Departments'!D27:O27)/$B$12</f>
        <v>0.04035189777</v>
      </c>
      <c r="N50" s="125">
        <f>SUM('Opex Departments'!P27:AA27)/C$12</f>
        <v>0.05397176317</v>
      </c>
      <c r="O50" s="125">
        <f>SUM('Opex Departments'!AB27:AM27)/D$12</f>
        <v>0.3588652024</v>
      </c>
      <c r="P50" s="125">
        <f>SUM('Opex Departments'!AN27:AY27)/F$12</f>
        <v>0.1277536909</v>
      </c>
      <c r="Q50" s="125">
        <f>SUM('Opex Departments'!AZ27:BK27)/G$12</f>
        <v>0.1181638837</v>
      </c>
      <c r="R50" s="125">
        <f>SUM('Opex Departments'!BL27:BW27)/H$12</f>
        <v>0.1113657681</v>
      </c>
      <c r="S50" s="125">
        <f>SUM('Opex Departments'!BX27:CI27)/I$12</f>
        <v>0.1102522113</v>
      </c>
    </row>
    <row r="51" ht="15.75" customHeight="1">
      <c r="B51" s="137"/>
      <c r="K51" s="1" t="s">
        <v>120</v>
      </c>
      <c r="M51" s="125">
        <f>SUM('Opex Departments'!D54:O54)/$B$12</f>
        <v>0.03810249997</v>
      </c>
      <c r="N51" s="125">
        <f>SUM('Opex Departments'!P54:AA54)/C$12</f>
        <v>0.05706676336</v>
      </c>
      <c r="O51" s="125">
        <f>SUM('Opex Departments'!AB54:AM54)/D$12</f>
        <v>0.5573473211</v>
      </c>
      <c r="P51" s="125">
        <f>SUM('Opex Departments'!AN54:AY54)/F$12</f>
        <v>0.1934244741</v>
      </c>
      <c r="Q51" s="125">
        <f>SUM('Opex Departments'!AZ54:BK54)/G$12</f>
        <v>0.1863762069</v>
      </c>
      <c r="R51" s="125">
        <f>SUM('Opex Departments'!BL54:BW54)/H$12</f>
        <v>0.1850466247</v>
      </c>
      <c r="S51" s="125">
        <f>SUM('Opex Departments'!BX54:CI54)/I$12</f>
        <v>0.1909135635</v>
      </c>
    </row>
    <row r="52" ht="15.75" customHeight="1">
      <c r="K52" s="1" t="s">
        <v>121</v>
      </c>
      <c r="M52" s="125">
        <f>SUM('Opex Departments'!D71:O71)/$B$12</f>
        <v>0.02835430755</v>
      </c>
      <c r="N52" s="125">
        <f>SUM('Opex Departments'!P71:AA71)/C$12</f>
        <v>0.02987004278</v>
      </c>
      <c r="O52" s="125">
        <f>SUM('Opex Departments'!AB71:AM71)/D$12</f>
        <v>0.06508234924</v>
      </c>
      <c r="P52" s="125">
        <f>SUM('Opex Departments'!AN71:AY71)/F$12</f>
        <v>0.03799711472</v>
      </c>
      <c r="Q52" s="125">
        <f>SUM('Opex Departments'!AZ71:BK71)/G$12</f>
        <v>0.03921912408</v>
      </c>
      <c r="R52" s="125">
        <f>SUM('Opex Departments'!BL71:BW71)/H$12</f>
        <v>0.04571769518</v>
      </c>
      <c r="S52" s="125">
        <f>SUM('Opex Departments'!BX71:CI71)/I$12</f>
        <v>0.04780345281</v>
      </c>
    </row>
    <row r="53" ht="15.75" customHeight="1">
      <c r="K53" s="1" t="s">
        <v>122</v>
      </c>
      <c r="M53" s="125">
        <f>SUM('Opex Departments'!D95:O95)/$B$12</f>
        <v>0.03759434724</v>
      </c>
      <c r="N53" s="125">
        <f>SUM('Opex Departments'!P95:AA95)/C$12</f>
        <v>0.04614105981</v>
      </c>
      <c r="O53" s="125">
        <f>SUM('Opex Departments'!AB95:AM95)/D$12</f>
        <v>0.1988431096</v>
      </c>
      <c r="P53" s="125">
        <f>SUM('Opex Departments'!AN95:AY95)/F$12</f>
        <v>0.1525522863</v>
      </c>
      <c r="Q53" s="125">
        <f>SUM('Opex Departments'!AZ95:BK95)/G$12</f>
        <v>0.1605137106</v>
      </c>
      <c r="R53" s="125">
        <f>SUM('Opex Departments'!BL95:BW95)/H$12</f>
        <v>0.2055154561</v>
      </c>
      <c r="S53" s="125">
        <f>SUM('Opex Departments'!BX95:CI95)/I$12</f>
        <v>0.2359549274</v>
      </c>
    </row>
    <row r="54" ht="15.75" customHeight="1">
      <c r="K54" s="1" t="s">
        <v>123</v>
      </c>
      <c r="M54" s="125">
        <f>SUM('Opex Departments'!D132:O132)/$B$12</f>
        <v>-0.1051913575</v>
      </c>
      <c r="N54" s="125">
        <f>SUM('Opex Departments'!P132:AA132)/C$12</f>
        <v>-0.1333338039</v>
      </c>
      <c r="O54" s="125">
        <f>SUM('Opex Departments'!AB132:AM132)/D$12</f>
        <v>-0.8565328334</v>
      </c>
      <c r="P54" s="125">
        <f>SUM('Opex Departments'!AN132:AY132)/F$12</f>
        <v>-0.3705979857</v>
      </c>
      <c r="Q54" s="125">
        <f>SUM('Opex Departments'!AZ132:BK132)/G$12</f>
        <v>-0.358166882</v>
      </c>
      <c r="R54" s="125">
        <f>SUM('Opex Departments'!BL132:BW132)/H$12</f>
        <v>-0.3848797493</v>
      </c>
      <c r="S54" s="125">
        <f>SUM('Opex Departments'!BX132:CI132)/I$12</f>
        <v>-0.4084459403</v>
      </c>
    </row>
    <row r="55" ht="15.75" customHeight="1">
      <c r="K55" s="142" t="s">
        <v>124</v>
      </c>
      <c r="L55" s="143"/>
      <c r="M55" s="143">
        <f t="shared" ref="M55:S55" si="31">SUM(M49:M54)</f>
        <v>0.05815274036</v>
      </c>
      <c r="N55" s="143">
        <f t="shared" si="31"/>
        <v>0.08090610157</v>
      </c>
      <c r="O55" s="143">
        <f t="shared" si="31"/>
        <v>0.4160456241</v>
      </c>
      <c r="P55" s="143">
        <f t="shared" si="31"/>
        <v>0.2593649597</v>
      </c>
      <c r="Q55" s="143">
        <f t="shared" si="31"/>
        <v>0.3013631798</v>
      </c>
      <c r="R55" s="143">
        <f t="shared" si="31"/>
        <v>0.4005156095</v>
      </c>
      <c r="S55" s="143">
        <f t="shared" si="31"/>
        <v>0.4562777518</v>
      </c>
    </row>
    <row r="56" ht="15.75" customHeight="1">
      <c r="K56" s="1" t="s">
        <v>115</v>
      </c>
      <c r="L56" s="125">
        <f t="shared" ref="L56:S56" si="32">L39</f>
        <v>0.9309322604</v>
      </c>
      <c r="M56" s="125">
        <f t="shared" si="32"/>
        <v>0.9282577958</v>
      </c>
      <c r="N56" s="125">
        <f t="shared" si="32"/>
        <v>0.9139247941</v>
      </c>
      <c r="O56" s="125">
        <f t="shared" si="32"/>
        <v>0.7491871056</v>
      </c>
      <c r="P56" s="125">
        <f t="shared" si="32"/>
        <v>0.7376417122</v>
      </c>
      <c r="Q56" s="125">
        <f t="shared" si="32"/>
        <v>0.6959447358</v>
      </c>
      <c r="R56" s="125">
        <f t="shared" si="32"/>
        <v>0.5968516533</v>
      </c>
      <c r="S56" s="125">
        <f t="shared" si="32"/>
        <v>0.5411306757</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cols>
    <col customWidth="1" min="1" max="1" width="12.43"/>
    <col customWidth="1" min="2" max="2" width="19.57"/>
    <col customWidth="1" min="3" max="3" width="43.86"/>
    <col customWidth="1" min="4" max="4" width="12.0" outlineLevel="1"/>
    <col customWidth="1" min="5" max="15" width="10.29" outlineLevel="1"/>
    <col customWidth="1" min="16" max="19" width="10.29"/>
    <col customWidth="1" min="20" max="40" width="12.0"/>
    <col customWidth="1" min="41" max="41" width="14.29"/>
  </cols>
  <sheetData>
    <row r="1">
      <c r="A1" s="144"/>
      <c r="B1" s="144"/>
      <c r="C1" s="145" t="s">
        <v>186</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f t="shared" ref="AB1:AG1" si="1">AB17+AB18</f>
        <v>183152</v>
      </c>
      <c r="AC1" s="144">
        <f t="shared" si="1"/>
        <v>164354</v>
      </c>
      <c r="AD1" s="144">
        <f t="shared" si="1"/>
        <v>220307</v>
      </c>
      <c r="AE1" s="144">
        <f t="shared" si="1"/>
        <v>239857</v>
      </c>
      <c r="AF1" s="144">
        <f t="shared" si="1"/>
        <v>228761</v>
      </c>
      <c r="AG1" s="144">
        <f t="shared" si="1"/>
        <v>182009</v>
      </c>
      <c r="AH1" s="144" t="str">
        <f t="shared" ref="AH1:AY1" si="2">#REF!+#REF!+#REF!</f>
        <v>#REF!</v>
      </c>
      <c r="AI1" s="144" t="str">
        <f t="shared" si="2"/>
        <v>#REF!</v>
      </c>
      <c r="AJ1" s="144" t="str">
        <f t="shared" si="2"/>
        <v>#REF!</v>
      </c>
      <c r="AK1" s="144" t="str">
        <f t="shared" si="2"/>
        <v>#REF!</v>
      </c>
      <c r="AL1" s="144" t="str">
        <f t="shared" si="2"/>
        <v>#REF!</v>
      </c>
      <c r="AM1" s="144" t="str">
        <f t="shared" si="2"/>
        <v>#REF!</v>
      </c>
      <c r="AN1" s="144" t="str">
        <f t="shared" si="2"/>
        <v>#REF!</v>
      </c>
      <c r="AO1" s="144" t="str">
        <f t="shared" si="2"/>
        <v>#REF!</v>
      </c>
      <c r="AP1" s="144" t="str">
        <f t="shared" si="2"/>
        <v>#REF!</v>
      </c>
      <c r="AQ1" s="144" t="str">
        <f t="shared" si="2"/>
        <v>#REF!</v>
      </c>
      <c r="AR1" s="144" t="str">
        <f t="shared" si="2"/>
        <v>#REF!</v>
      </c>
      <c r="AS1" s="144" t="str">
        <f t="shared" si="2"/>
        <v>#REF!</v>
      </c>
      <c r="AT1" s="144" t="str">
        <f t="shared" si="2"/>
        <v>#REF!</v>
      </c>
      <c r="AU1" s="144" t="str">
        <f t="shared" si="2"/>
        <v>#REF!</v>
      </c>
      <c r="AV1" s="144" t="str">
        <f t="shared" si="2"/>
        <v>#REF!</v>
      </c>
      <c r="AW1" s="144" t="str">
        <f t="shared" si="2"/>
        <v>#REF!</v>
      </c>
      <c r="AX1" s="144" t="str">
        <f t="shared" si="2"/>
        <v>#REF!</v>
      </c>
      <c r="AY1" s="144" t="str">
        <f t="shared" si="2"/>
        <v>#REF!</v>
      </c>
      <c r="AZ1" s="146"/>
      <c r="BA1" s="146"/>
      <c r="BB1" s="146"/>
      <c r="BC1" s="146"/>
      <c r="BD1" s="146"/>
      <c r="BE1" s="146"/>
      <c r="BF1" s="146"/>
      <c r="BG1" s="146"/>
      <c r="BH1" s="146"/>
      <c r="BI1" s="146"/>
      <c r="BJ1" s="146"/>
      <c r="BK1" s="146"/>
      <c r="BL1" s="146"/>
      <c r="BM1" s="146"/>
      <c r="BN1" s="146"/>
      <c r="BO1" s="146"/>
      <c r="BP1" s="146"/>
      <c r="BQ1" s="146"/>
      <c r="BR1" s="146"/>
      <c r="BS1" s="146"/>
      <c r="BT1" s="146"/>
      <c r="BU1" s="146"/>
      <c r="BV1" s="146"/>
      <c r="BW1" s="146"/>
      <c r="BX1" s="146"/>
      <c r="BY1" s="146"/>
      <c r="BZ1" s="146"/>
      <c r="CA1" s="146"/>
      <c r="CB1" s="146"/>
      <c r="CC1" s="146"/>
      <c r="CD1" s="146"/>
      <c r="CE1" s="146"/>
      <c r="CF1" s="146"/>
      <c r="CG1" s="146"/>
      <c r="CH1" s="146"/>
      <c r="CI1" s="146"/>
      <c r="CJ1" s="146"/>
      <c r="CK1" s="146"/>
      <c r="CL1" s="146"/>
      <c r="CM1" s="146"/>
      <c r="CN1" s="146"/>
      <c r="CO1" s="146"/>
      <c r="CP1" s="146"/>
      <c r="CQ1" s="146"/>
      <c r="CR1" s="146"/>
      <c r="CS1" s="146"/>
      <c r="CT1" s="146"/>
      <c r="CU1" s="146"/>
      <c r="CV1" s="146"/>
      <c r="CW1" s="146"/>
      <c r="CX1" s="146"/>
      <c r="CY1" s="146"/>
      <c r="CZ1" s="146"/>
      <c r="DA1" s="146"/>
      <c r="DB1" s="146"/>
      <c r="DC1" s="146"/>
    </row>
    <row r="2">
      <c r="A2" s="144"/>
      <c r="B2" s="144"/>
      <c r="C2" s="145" t="s">
        <v>187</v>
      </c>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c r="CC2" s="146"/>
      <c r="CD2" s="146"/>
      <c r="CE2" s="146"/>
      <c r="CF2" s="146"/>
      <c r="CG2" s="146"/>
      <c r="CH2" s="146"/>
      <c r="CI2" s="146"/>
      <c r="CJ2" s="146"/>
      <c r="CK2" s="146"/>
      <c r="CL2" s="146"/>
      <c r="CM2" s="146"/>
      <c r="CN2" s="146"/>
      <c r="CO2" s="146"/>
      <c r="CP2" s="146"/>
      <c r="CQ2" s="146"/>
      <c r="CR2" s="146"/>
      <c r="CS2" s="146"/>
      <c r="CT2" s="146"/>
      <c r="CU2" s="146"/>
      <c r="CV2" s="146"/>
      <c r="CW2" s="146"/>
      <c r="CX2" s="146"/>
      <c r="CY2" s="146"/>
      <c r="CZ2" s="146"/>
      <c r="DA2" s="146"/>
      <c r="DB2" s="146"/>
      <c r="DC2" s="146"/>
    </row>
    <row r="3">
      <c r="A3" s="144"/>
      <c r="B3" s="144"/>
      <c r="C3" s="145"/>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row>
    <row r="4">
      <c r="A4" s="147"/>
      <c r="B4" s="147"/>
      <c r="C4" s="147"/>
      <c r="D4" s="148">
        <v>43831.0</v>
      </c>
      <c r="E4" s="148">
        <v>43862.0</v>
      </c>
      <c r="F4" s="148">
        <v>43891.0</v>
      </c>
      <c r="G4" s="148">
        <v>43922.0</v>
      </c>
      <c r="H4" s="148">
        <v>43952.0</v>
      </c>
      <c r="I4" s="148">
        <v>43983.0</v>
      </c>
      <c r="J4" s="148">
        <v>44013.0</v>
      </c>
      <c r="K4" s="148">
        <v>44044.0</v>
      </c>
      <c r="L4" s="148">
        <v>44075.0</v>
      </c>
      <c r="M4" s="148">
        <v>44105.0</v>
      </c>
      <c r="N4" s="148">
        <v>44136.0</v>
      </c>
      <c r="O4" s="148">
        <v>44166.0</v>
      </c>
      <c r="P4" s="149">
        <v>44197.0</v>
      </c>
      <c r="Q4" s="149">
        <v>44228.0</v>
      </c>
      <c r="R4" s="149">
        <v>44256.0</v>
      </c>
      <c r="S4" s="149">
        <v>44287.0</v>
      </c>
      <c r="T4" s="149">
        <v>44317.0</v>
      </c>
      <c r="U4" s="149">
        <v>44348.0</v>
      </c>
      <c r="V4" s="149">
        <v>44378.0</v>
      </c>
      <c r="W4" s="149">
        <v>44409.0</v>
      </c>
      <c r="X4" s="149">
        <v>44440.0</v>
      </c>
      <c r="Y4" s="149">
        <v>44470.0</v>
      </c>
      <c r="Z4" s="149">
        <v>44501.0</v>
      </c>
      <c r="AA4" s="149">
        <v>44531.0</v>
      </c>
      <c r="AB4" s="92">
        <v>44562.0</v>
      </c>
      <c r="AC4" s="93">
        <v>44593.0</v>
      </c>
      <c r="AD4" s="93">
        <v>44621.0</v>
      </c>
      <c r="AE4" s="93">
        <v>44652.0</v>
      </c>
      <c r="AF4" s="93">
        <v>44682.0</v>
      </c>
      <c r="AG4" s="93">
        <v>44713.0</v>
      </c>
      <c r="AH4" s="93">
        <v>44743.0</v>
      </c>
      <c r="AI4" s="93">
        <v>44774.0</v>
      </c>
      <c r="AJ4" s="95">
        <v>44805.0</v>
      </c>
      <c r="AK4" s="95">
        <v>44835.0</v>
      </c>
      <c r="AL4" s="95">
        <v>44866.0</v>
      </c>
      <c r="AM4" s="95">
        <v>44896.0</v>
      </c>
      <c r="AN4" s="150">
        <v>44927.0</v>
      </c>
      <c r="AO4" s="97">
        <v>44958.0</v>
      </c>
      <c r="AP4" s="97">
        <v>44986.0</v>
      </c>
      <c r="AQ4" s="97">
        <v>45017.0</v>
      </c>
      <c r="AR4" s="151">
        <v>45047.0</v>
      </c>
      <c r="AS4" s="151">
        <v>45078.0</v>
      </c>
      <c r="AT4" s="151">
        <v>45108.0</v>
      </c>
      <c r="AU4" s="151">
        <v>45139.0</v>
      </c>
      <c r="AV4" s="152">
        <v>45170.0</v>
      </c>
      <c r="AW4" s="152">
        <v>45200.0</v>
      </c>
      <c r="AX4" s="152">
        <v>45231.0</v>
      </c>
      <c r="AY4" s="153">
        <v>45261.0</v>
      </c>
      <c r="AZ4" s="154">
        <v>45292.0</v>
      </c>
      <c r="BA4" s="152">
        <v>45323.0</v>
      </c>
      <c r="BB4" s="152">
        <v>45352.0</v>
      </c>
      <c r="BC4" s="152">
        <v>45383.0</v>
      </c>
      <c r="BD4" s="152">
        <v>45413.0</v>
      </c>
      <c r="BE4" s="152">
        <v>45444.0</v>
      </c>
      <c r="BF4" s="152">
        <v>45474.0</v>
      </c>
      <c r="BG4" s="152">
        <v>45505.0</v>
      </c>
      <c r="BH4" s="151">
        <v>45536.0</v>
      </c>
      <c r="BI4" s="151">
        <v>45566.0</v>
      </c>
      <c r="BJ4" s="151">
        <v>45597.0</v>
      </c>
      <c r="BK4" s="155">
        <v>45627.0</v>
      </c>
      <c r="BL4" s="156">
        <v>45658.0</v>
      </c>
      <c r="BM4" s="151">
        <v>45689.0</v>
      </c>
      <c r="BN4" s="151">
        <v>45717.0</v>
      </c>
      <c r="BO4" s="151">
        <v>45748.0</v>
      </c>
      <c r="BP4" s="151">
        <v>45778.0</v>
      </c>
      <c r="BQ4" s="151">
        <v>45809.0</v>
      </c>
      <c r="BR4" s="151">
        <v>45839.0</v>
      </c>
      <c r="BS4" s="151">
        <v>45870.0</v>
      </c>
      <c r="BT4" s="152">
        <v>45901.0</v>
      </c>
      <c r="BU4" s="152">
        <v>45931.0</v>
      </c>
      <c r="BV4" s="152">
        <v>45962.0</v>
      </c>
      <c r="BW4" s="153">
        <v>45992.0</v>
      </c>
      <c r="BX4" s="154">
        <v>46023.0</v>
      </c>
      <c r="BY4" s="152">
        <v>46054.0</v>
      </c>
      <c r="BZ4" s="152">
        <v>46082.0</v>
      </c>
      <c r="CA4" s="152">
        <v>46113.0</v>
      </c>
      <c r="CB4" s="152">
        <v>46143.0</v>
      </c>
      <c r="CC4" s="152">
        <v>46174.0</v>
      </c>
      <c r="CD4" s="152">
        <v>46204.0</v>
      </c>
      <c r="CE4" s="152">
        <v>46235.0</v>
      </c>
      <c r="CF4" s="151">
        <v>46266.0</v>
      </c>
      <c r="CG4" s="151">
        <v>46296.0</v>
      </c>
      <c r="CH4" s="151">
        <v>46327.0</v>
      </c>
      <c r="CI4" s="155">
        <v>46357.0</v>
      </c>
      <c r="CJ4" s="156">
        <v>46388.0</v>
      </c>
      <c r="CK4" s="151">
        <v>46419.0</v>
      </c>
      <c r="CL4" s="151">
        <v>46447.0</v>
      </c>
      <c r="CM4" s="151">
        <v>46478.0</v>
      </c>
      <c r="CN4" s="151">
        <v>46508.0</v>
      </c>
      <c r="CO4" s="151">
        <v>46539.0</v>
      </c>
      <c r="CP4" s="151">
        <v>46569.0</v>
      </c>
      <c r="CQ4" s="151">
        <v>46600.0</v>
      </c>
      <c r="CR4" s="152">
        <v>46631.0</v>
      </c>
      <c r="CS4" s="152">
        <v>46661.0</v>
      </c>
      <c r="CT4" s="152">
        <v>46692.0</v>
      </c>
      <c r="CU4" s="153">
        <v>46722.0</v>
      </c>
      <c r="CV4" s="149"/>
      <c r="CW4" s="149"/>
      <c r="CX4" s="149"/>
      <c r="CY4" s="149"/>
      <c r="CZ4" s="149"/>
      <c r="DA4" s="149"/>
      <c r="DB4" s="149"/>
      <c r="DC4" s="149"/>
    </row>
    <row r="5">
      <c r="A5" s="157" t="s">
        <v>164</v>
      </c>
      <c r="B5" s="157" t="s">
        <v>165</v>
      </c>
      <c r="C5" s="146"/>
      <c r="D5" s="158" t="s">
        <v>166</v>
      </c>
      <c r="E5" s="158" t="s">
        <v>166</v>
      </c>
      <c r="F5" s="158" t="s">
        <v>166</v>
      </c>
      <c r="G5" s="158" t="s">
        <v>166</v>
      </c>
      <c r="H5" s="158" t="s">
        <v>166</v>
      </c>
      <c r="I5" s="158" t="s">
        <v>166</v>
      </c>
      <c r="J5" s="158" t="s">
        <v>166</v>
      </c>
      <c r="K5" s="158" t="s">
        <v>166</v>
      </c>
      <c r="L5" s="158" t="s">
        <v>166</v>
      </c>
      <c r="M5" s="158" t="s">
        <v>166</v>
      </c>
      <c r="N5" s="158" t="s">
        <v>166</v>
      </c>
      <c r="O5" s="158" t="s">
        <v>166</v>
      </c>
      <c r="P5" s="158" t="s">
        <v>166</v>
      </c>
      <c r="Q5" s="158" t="s">
        <v>166</v>
      </c>
      <c r="R5" s="158" t="s">
        <v>166</v>
      </c>
      <c r="S5" s="158" t="s">
        <v>166</v>
      </c>
      <c r="T5" s="158" t="s">
        <v>166</v>
      </c>
      <c r="U5" s="158" t="s">
        <v>166</v>
      </c>
      <c r="V5" s="158" t="s">
        <v>166</v>
      </c>
      <c r="W5" s="158" t="s">
        <v>166</v>
      </c>
      <c r="X5" s="158" t="s">
        <v>166</v>
      </c>
      <c r="Y5" s="158" t="s">
        <v>166</v>
      </c>
      <c r="Z5" s="158" t="s">
        <v>166</v>
      </c>
      <c r="AA5" s="158" t="s">
        <v>166</v>
      </c>
      <c r="AB5" s="158" t="s">
        <v>166</v>
      </c>
      <c r="AC5" s="158" t="s">
        <v>166</v>
      </c>
      <c r="AD5" s="158" t="s">
        <v>166</v>
      </c>
      <c r="AE5" s="158" t="s">
        <v>166</v>
      </c>
      <c r="AF5" s="158" t="s">
        <v>166</v>
      </c>
      <c r="AG5" s="158" t="s">
        <v>166</v>
      </c>
      <c r="AH5" s="158" t="s">
        <v>166</v>
      </c>
      <c r="AI5" s="158" t="s">
        <v>166</v>
      </c>
      <c r="AJ5" s="158" t="s">
        <v>166</v>
      </c>
      <c r="AK5" s="158" t="s">
        <v>166</v>
      </c>
      <c r="AL5" s="158" t="s">
        <v>166</v>
      </c>
      <c r="AM5" s="159" t="s">
        <v>167</v>
      </c>
      <c r="AN5" s="159" t="s">
        <v>167</v>
      </c>
      <c r="AO5" s="159" t="s">
        <v>167</v>
      </c>
      <c r="AP5" s="159" t="s">
        <v>167</v>
      </c>
      <c r="AQ5" s="159" t="s">
        <v>167</v>
      </c>
      <c r="AR5" s="159" t="s">
        <v>167</v>
      </c>
      <c r="AS5" s="159" t="s">
        <v>167</v>
      </c>
      <c r="AT5" s="159" t="s">
        <v>167</v>
      </c>
      <c r="AU5" s="159" t="s">
        <v>167</v>
      </c>
      <c r="AV5" s="159" t="s">
        <v>167</v>
      </c>
      <c r="AW5" s="159" t="s">
        <v>167</v>
      </c>
      <c r="AX5" s="159" t="s">
        <v>167</v>
      </c>
      <c r="AY5" s="159" t="s">
        <v>167</v>
      </c>
      <c r="AZ5" s="159" t="s">
        <v>167</v>
      </c>
      <c r="BA5" s="159" t="s">
        <v>167</v>
      </c>
      <c r="BB5" s="159" t="s">
        <v>167</v>
      </c>
      <c r="BC5" s="159" t="s">
        <v>167</v>
      </c>
      <c r="BD5" s="159" t="s">
        <v>167</v>
      </c>
      <c r="BE5" s="159" t="s">
        <v>167</v>
      </c>
      <c r="BF5" s="159" t="s">
        <v>167</v>
      </c>
      <c r="BG5" s="159" t="s">
        <v>167</v>
      </c>
      <c r="BH5" s="159" t="s">
        <v>167</v>
      </c>
      <c r="BI5" s="159" t="s">
        <v>167</v>
      </c>
      <c r="BJ5" s="159" t="s">
        <v>167</v>
      </c>
      <c r="BK5" s="159" t="s">
        <v>167</v>
      </c>
      <c r="BL5" s="159" t="s">
        <v>167</v>
      </c>
      <c r="BM5" s="159" t="s">
        <v>167</v>
      </c>
      <c r="BN5" s="159" t="s">
        <v>167</v>
      </c>
      <c r="BO5" s="159" t="s">
        <v>167</v>
      </c>
      <c r="BP5" s="159" t="s">
        <v>167</v>
      </c>
      <c r="BQ5" s="159" t="s">
        <v>167</v>
      </c>
      <c r="BR5" s="159" t="s">
        <v>167</v>
      </c>
      <c r="BS5" s="159" t="s">
        <v>167</v>
      </c>
      <c r="BT5" s="159" t="s">
        <v>167</v>
      </c>
      <c r="BU5" s="159" t="s">
        <v>167</v>
      </c>
      <c r="BV5" s="159" t="s">
        <v>167</v>
      </c>
      <c r="BW5" s="159" t="s">
        <v>167</v>
      </c>
      <c r="BX5" s="159" t="s">
        <v>167</v>
      </c>
      <c r="BY5" s="159" t="s">
        <v>167</v>
      </c>
      <c r="BZ5" s="159" t="s">
        <v>167</v>
      </c>
      <c r="CA5" s="159" t="s">
        <v>167</v>
      </c>
      <c r="CB5" s="159" t="s">
        <v>167</v>
      </c>
      <c r="CC5" s="159" t="s">
        <v>167</v>
      </c>
      <c r="CD5" s="159" t="s">
        <v>167</v>
      </c>
      <c r="CE5" s="159" t="s">
        <v>167</v>
      </c>
      <c r="CF5" s="159" t="s">
        <v>167</v>
      </c>
      <c r="CG5" s="159" t="s">
        <v>167</v>
      </c>
      <c r="CH5" s="159" t="s">
        <v>167</v>
      </c>
      <c r="CI5" s="159" t="s">
        <v>167</v>
      </c>
      <c r="CJ5" s="159" t="s">
        <v>167</v>
      </c>
      <c r="CK5" s="159" t="s">
        <v>167</v>
      </c>
      <c r="CL5" s="159" t="s">
        <v>167</v>
      </c>
      <c r="CM5" s="159" t="s">
        <v>167</v>
      </c>
      <c r="CN5" s="159" t="s">
        <v>167</v>
      </c>
      <c r="CO5" s="159" t="s">
        <v>167</v>
      </c>
      <c r="CP5" s="159" t="s">
        <v>167</v>
      </c>
      <c r="CQ5" s="159" t="s">
        <v>167</v>
      </c>
      <c r="CR5" s="159" t="s">
        <v>167</v>
      </c>
      <c r="CS5" s="159" t="s">
        <v>167</v>
      </c>
      <c r="CT5" s="159" t="s">
        <v>167</v>
      </c>
      <c r="CU5" s="159" t="s">
        <v>167</v>
      </c>
      <c r="CV5" s="159"/>
      <c r="CW5" s="159"/>
      <c r="CX5" s="159"/>
      <c r="CY5" s="159"/>
      <c r="CZ5" s="159"/>
      <c r="DA5" s="159"/>
      <c r="DB5" s="159"/>
      <c r="DC5" s="159"/>
    </row>
    <row r="6">
      <c r="A6" s="146"/>
      <c r="B6" s="146"/>
      <c r="C6" s="160" t="s">
        <v>188</v>
      </c>
      <c r="D6" s="146"/>
      <c r="E6" s="146"/>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4"/>
      <c r="AI6" s="144"/>
      <c r="AJ6" s="144"/>
      <c r="AK6" s="144"/>
      <c r="AL6" s="144"/>
      <c r="AM6" s="144"/>
      <c r="AN6" s="144"/>
      <c r="AO6" s="144"/>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6"/>
      <c r="BY6" s="146"/>
      <c r="BZ6" s="146"/>
      <c r="CA6" s="146"/>
      <c r="CB6" s="146"/>
      <c r="CC6" s="146"/>
      <c r="CD6" s="146"/>
      <c r="CE6" s="146"/>
      <c r="CF6" s="146"/>
      <c r="CG6" s="146"/>
      <c r="CH6" s="146"/>
      <c r="CI6" s="146"/>
      <c r="CJ6" s="146"/>
      <c r="CK6" s="146"/>
      <c r="CL6" s="146"/>
      <c r="CM6" s="146"/>
      <c r="CN6" s="146"/>
      <c r="CO6" s="146"/>
      <c r="CP6" s="146"/>
      <c r="CQ6" s="146"/>
      <c r="CR6" s="146"/>
      <c r="CS6" s="146"/>
      <c r="CT6" s="146"/>
      <c r="CU6" s="146"/>
      <c r="CV6" s="146"/>
      <c r="CW6" s="146"/>
      <c r="CX6" s="146"/>
      <c r="CY6" s="146"/>
      <c r="CZ6" s="146"/>
      <c r="DA6" s="146"/>
      <c r="DB6" s="146"/>
      <c r="DC6" s="146"/>
    </row>
    <row r="7">
      <c r="A7" s="146"/>
      <c r="B7" s="146" t="s">
        <v>47</v>
      </c>
      <c r="C7" s="160" t="s">
        <v>189</v>
      </c>
      <c r="D7" s="161">
        <f t="shared" ref="D7:AL7" si="3">RANDBETWEEN(100000,250000)</f>
        <v>168205</v>
      </c>
      <c r="E7" s="161">
        <f t="shared" si="3"/>
        <v>115923</v>
      </c>
      <c r="F7" s="161">
        <f t="shared" si="3"/>
        <v>248443</v>
      </c>
      <c r="G7" s="161">
        <f t="shared" si="3"/>
        <v>242038</v>
      </c>
      <c r="H7" s="161">
        <f t="shared" si="3"/>
        <v>234656</v>
      </c>
      <c r="I7" s="161">
        <f t="shared" si="3"/>
        <v>163185</v>
      </c>
      <c r="J7" s="161">
        <f t="shared" si="3"/>
        <v>195921</v>
      </c>
      <c r="K7" s="161">
        <f t="shared" si="3"/>
        <v>113900</v>
      </c>
      <c r="L7" s="161">
        <f t="shared" si="3"/>
        <v>220038</v>
      </c>
      <c r="M7" s="161">
        <f t="shared" si="3"/>
        <v>129828</v>
      </c>
      <c r="N7" s="161">
        <f t="shared" si="3"/>
        <v>131453</v>
      </c>
      <c r="O7" s="161">
        <f t="shared" si="3"/>
        <v>121481</v>
      </c>
      <c r="P7" s="161">
        <f t="shared" si="3"/>
        <v>106993</v>
      </c>
      <c r="Q7" s="161">
        <f t="shared" si="3"/>
        <v>218072</v>
      </c>
      <c r="R7" s="161">
        <f t="shared" si="3"/>
        <v>171140</v>
      </c>
      <c r="S7" s="161">
        <f t="shared" si="3"/>
        <v>195113</v>
      </c>
      <c r="T7" s="161">
        <f t="shared" si="3"/>
        <v>188731</v>
      </c>
      <c r="U7" s="161">
        <f t="shared" si="3"/>
        <v>126240</v>
      </c>
      <c r="V7" s="161">
        <f t="shared" si="3"/>
        <v>137662</v>
      </c>
      <c r="W7" s="161">
        <f t="shared" si="3"/>
        <v>118535</v>
      </c>
      <c r="X7" s="161">
        <f t="shared" si="3"/>
        <v>160659</v>
      </c>
      <c r="Y7" s="161">
        <f t="shared" si="3"/>
        <v>190646</v>
      </c>
      <c r="Z7" s="161">
        <f t="shared" si="3"/>
        <v>178043</v>
      </c>
      <c r="AA7" s="161">
        <f t="shared" si="3"/>
        <v>158666</v>
      </c>
      <c r="AB7" s="161">
        <f t="shared" si="3"/>
        <v>186157</v>
      </c>
      <c r="AC7" s="161">
        <f t="shared" si="3"/>
        <v>153018</v>
      </c>
      <c r="AD7" s="161">
        <f t="shared" si="3"/>
        <v>178634</v>
      </c>
      <c r="AE7" s="161">
        <f t="shared" si="3"/>
        <v>157636</v>
      </c>
      <c r="AF7" s="161">
        <f t="shared" si="3"/>
        <v>223831</v>
      </c>
      <c r="AG7" s="161">
        <f t="shared" si="3"/>
        <v>145513</v>
      </c>
      <c r="AH7" s="161">
        <f t="shared" si="3"/>
        <v>216724</v>
      </c>
      <c r="AI7" s="161">
        <f t="shared" si="3"/>
        <v>221974</v>
      </c>
      <c r="AJ7" s="161">
        <f t="shared" si="3"/>
        <v>181486</v>
      </c>
      <c r="AK7" s="161">
        <f t="shared" si="3"/>
        <v>141717</v>
      </c>
      <c r="AL7" s="161">
        <f t="shared" si="3"/>
        <v>232415</v>
      </c>
      <c r="AM7" s="162">
        <f>Revenue!Z28</f>
        <v>339922.1377</v>
      </c>
      <c r="AN7" s="162">
        <f>Revenue!AA28</f>
        <v>396872.1732</v>
      </c>
      <c r="AO7" s="162">
        <f>Revenue!AB28</f>
        <v>461134.7543</v>
      </c>
      <c r="AP7" s="162">
        <f>Revenue!AC28</f>
        <v>527311.7682</v>
      </c>
      <c r="AQ7" s="162">
        <f>Revenue!AD28</f>
        <v>594180.7295</v>
      </c>
      <c r="AR7" s="162">
        <f>Revenue!AE28</f>
        <v>662951.6649</v>
      </c>
      <c r="AS7" s="162">
        <f>Revenue!AF28</f>
        <v>732581.0818</v>
      </c>
      <c r="AT7" s="162">
        <f>Revenue!AG28</f>
        <v>801173.4165</v>
      </c>
      <c r="AU7" s="162">
        <f>Revenue!AH28</f>
        <v>869092.604</v>
      </c>
      <c r="AV7" s="162">
        <f>Revenue!AI28</f>
        <v>938883.3464</v>
      </c>
      <c r="AW7" s="162">
        <f>Revenue!AJ28</f>
        <v>1006073.986</v>
      </c>
      <c r="AX7" s="162">
        <f>Revenue!AK28</f>
        <v>1074685.166</v>
      </c>
      <c r="AY7" s="162">
        <f>Revenue!AL28</f>
        <v>1145641.814</v>
      </c>
      <c r="AZ7" s="162">
        <f>Revenue!AM28</f>
        <v>1189448.826</v>
      </c>
      <c r="BA7" s="162">
        <f>Revenue!AN28</f>
        <v>1218365.755</v>
      </c>
      <c r="BB7" s="162">
        <f>Revenue!AO28</f>
        <v>1244125.937</v>
      </c>
      <c r="BC7" s="162">
        <f>Revenue!AP28</f>
        <v>1269315.184</v>
      </c>
      <c r="BD7" s="162">
        <f>Revenue!AQ28</f>
        <v>1293967.286</v>
      </c>
      <c r="BE7" s="162">
        <f>Revenue!AR28</f>
        <v>1318328.397</v>
      </c>
      <c r="BF7" s="162">
        <f>Revenue!AS28</f>
        <v>1342206.165</v>
      </c>
      <c r="BG7" s="162">
        <f>Revenue!AT28</f>
        <v>1365630.394</v>
      </c>
      <c r="BH7" s="162">
        <f>Revenue!AU28</f>
        <v>1388629.531</v>
      </c>
      <c r="BI7" s="162">
        <f>Revenue!AV28</f>
        <v>1411230.731</v>
      </c>
      <c r="BJ7" s="162">
        <f>Revenue!AW28</f>
        <v>1433459.919</v>
      </c>
      <c r="BK7" s="162">
        <f>Revenue!AX28</f>
        <v>1455341.852</v>
      </c>
      <c r="BL7" s="162">
        <f>Revenue!AY28</f>
        <v>1488761.811</v>
      </c>
      <c r="BM7" s="162">
        <f>Revenue!AZ28</f>
        <v>1521786.083</v>
      </c>
      <c r="BN7" s="162">
        <f>Revenue!BA28</f>
        <v>1554214.585</v>
      </c>
      <c r="BO7" s="162">
        <f>Revenue!BB28</f>
        <v>1586077.93</v>
      </c>
      <c r="BP7" s="162">
        <f>Revenue!BC28</f>
        <v>1617405.576</v>
      </c>
      <c r="BQ7" s="162">
        <f>Revenue!BD28</f>
        <v>1648225.878</v>
      </c>
      <c r="BR7" s="162">
        <f>Revenue!BE28</f>
        <v>1678566.13</v>
      </c>
      <c r="BS7" s="162">
        <f>Revenue!BF28</f>
        <v>1708452.606</v>
      </c>
      <c r="BT7" s="162">
        <f>Revenue!BG28</f>
        <v>1737910.607</v>
      </c>
      <c r="BU7" s="162">
        <f>Revenue!BH28</f>
        <v>1766964.497</v>
      </c>
      <c r="BV7" s="162">
        <f>Revenue!BI28</f>
        <v>1795637.743</v>
      </c>
      <c r="BW7" s="162">
        <f>Revenue!BJ28</f>
        <v>1823952.948</v>
      </c>
      <c r="BX7" s="162">
        <f>Revenue!BK28</f>
        <v>1856029.465</v>
      </c>
      <c r="BY7" s="162">
        <f>Revenue!BL28</f>
        <v>1886061.883</v>
      </c>
      <c r="BZ7" s="162">
        <f>Revenue!BM28</f>
        <v>1911993.277</v>
      </c>
      <c r="CA7" s="162">
        <f>Revenue!BN28</f>
        <v>1937837.819</v>
      </c>
      <c r="CB7" s="162">
        <f>Revenue!BO28</f>
        <v>1963611.715</v>
      </c>
      <c r="CC7" s="162">
        <f>Revenue!BP28</f>
        <v>1989330.831</v>
      </c>
      <c r="CD7" s="162">
        <f>Revenue!BQ28</f>
        <v>2015010.716</v>
      </c>
      <c r="CE7" s="162">
        <f>Revenue!BR28</f>
        <v>2040666.626</v>
      </c>
      <c r="CF7" s="162">
        <f>Revenue!BS28</f>
        <v>2066313.535</v>
      </c>
      <c r="CG7" s="162">
        <f>Revenue!BT28</f>
        <v>2091966.163</v>
      </c>
      <c r="CH7" s="162">
        <f>Revenue!BU28</f>
        <v>2117638.989</v>
      </c>
      <c r="CI7" s="162">
        <f>Revenue!BV28</f>
        <v>2143346.267</v>
      </c>
      <c r="CJ7" s="162">
        <f>Revenue!BW28</f>
        <v>2172082.797</v>
      </c>
      <c r="CK7" s="162">
        <f>Revenue!BX28</f>
        <v>2195034.761</v>
      </c>
      <c r="CL7" s="162">
        <f>Revenue!BY28</f>
        <v>2213602.911</v>
      </c>
      <c r="CM7" s="162">
        <f>Revenue!BZ28</f>
        <v>2231948.753</v>
      </c>
      <c r="CN7" s="162">
        <f>Revenue!CA28</f>
        <v>2250092.972</v>
      </c>
      <c r="CO7" s="162">
        <f>Revenue!CB28</f>
        <v>2268055.397</v>
      </c>
      <c r="CP7" s="162">
        <f>Revenue!CC28</f>
        <v>2285855.039</v>
      </c>
      <c r="CQ7" s="162">
        <f>Revenue!CD28</f>
        <v>2303510.127</v>
      </c>
      <c r="CR7" s="162">
        <f>Revenue!CE28</f>
        <v>2321038.14</v>
      </c>
      <c r="CS7" s="162">
        <f>Revenue!CF28</f>
        <v>2338455.842</v>
      </c>
      <c r="CT7" s="162">
        <f>Revenue!CG28</f>
        <v>2355779.31</v>
      </c>
      <c r="CU7" s="162">
        <f>Revenue!CH28</f>
        <v>2373023.966</v>
      </c>
      <c r="CV7" s="162"/>
      <c r="CW7" s="162"/>
      <c r="CX7" s="162"/>
      <c r="CY7" s="162"/>
      <c r="CZ7" s="162"/>
      <c r="DA7" s="162"/>
      <c r="DB7" s="162"/>
      <c r="DC7" s="162"/>
    </row>
    <row r="8">
      <c r="A8" s="146"/>
      <c r="B8" s="146" t="s">
        <v>47</v>
      </c>
      <c r="C8" s="160" t="s">
        <v>190</v>
      </c>
      <c r="D8" s="161">
        <f t="shared" ref="D8:AL8" si="4">RANDBETWEEN(10000,25000)</f>
        <v>22672</v>
      </c>
      <c r="E8" s="161">
        <f t="shared" si="4"/>
        <v>24159</v>
      </c>
      <c r="F8" s="161">
        <f t="shared" si="4"/>
        <v>13488</v>
      </c>
      <c r="G8" s="161">
        <f t="shared" si="4"/>
        <v>21983</v>
      </c>
      <c r="H8" s="161">
        <f t="shared" si="4"/>
        <v>17529</v>
      </c>
      <c r="I8" s="161">
        <f t="shared" si="4"/>
        <v>14788</v>
      </c>
      <c r="J8" s="161">
        <f t="shared" si="4"/>
        <v>18441</v>
      </c>
      <c r="K8" s="161">
        <f t="shared" si="4"/>
        <v>15806</v>
      </c>
      <c r="L8" s="161">
        <f t="shared" si="4"/>
        <v>18859</v>
      </c>
      <c r="M8" s="161">
        <f t="shared" si="4"/>
        <v>21386</v>
      </c>
      <c r="N8" s="161">
        <f t="shared" si="4"/>
        <v>14522</v>
      </c>
      <c r="O8" s="161">
        <f t="shared" si="4"/>
        <v>17269</v>
      </c>
      <c r="P8" s="161">
        <f t="shared" si="4"/>
        <v>12023</v>
      </c>
      <c r="Q8" s="161">
        <f t="shared" si="4"/>
        <v>20782</v>
      </c>
      <c r="R8" s="161">
        <f t="shared" si="4"/>
        <v>11278</v>
      </c>
      <c r="S8" s="161">
        <f t="shared" si="4"/>
        <v>20420</v>
      </c>
      <c r="T8" s="161">
        <f t="shared" si="4"/>
        <v>23011</v>
      </c>
      <c r="U8" s="161">
        <f t="shared" si="4"/>
        <v>13680</v>
      </c>
      <c r="V8" s="161">
        <f t="shared" si="4"/>
        <v>12132</v>
      </c>
      <c r="W8" s="161">
        <f t="shared" si="4"/>
        <v>19844</v>
      </c>
      <c r="X8" s="161">
        <f t="shared" si="4"/>
        <v>16083</v>
      </c>
      <c r="Y8" s="161">
        <f t="shared" si="4"/>
        <v>20934</v>
      </c>
      <c r="Z8" s="161">
        <f t="shared" si="4"/>
        <v>18647</v>
      </c>
      <c r="AA8" s="161">
        <f t="shared" si="4"/>
        <v>14663</v>
      </c>
      <c r="AB8" s="161">
        <f t="shared" si="4"/>
        <v>13909</v>
      </c>
      <c r="AC8" s="161">
        <f t="shared" si="4"/>
        <v>18960</v>
      </c>
      <c r="AD8" s="161">
        <f t="shared" si="4"/>
        <v>18276</v>
      </c>
      <c r="AE8" s="161">
        <f t="shared" si="4"/>
        <v>21600</v>
      </c>
      <c r="AF8" s="161">
        <f t="shared" si="4"/>
        <v>13658</v>
      </c>
      <c r="AG8" s="161">
        <f t="shared" si="4"/>
        <v>23740</v>
      </c>
      <c r="AH8" s="161">
        <f t="shared" si="4"/>
        <v>19142</v>
      </c>
      <c r="AI8" s="161">
        <f t="shared" si="4"/>
        <v>10213</v>
      </c>
      <c r="AJ8" s="161">
        <f t="shared" si="4"/>
        <v>22812</v>
      </c>
      <c r="AK8" s="161">
        <f t="shared" si="4"/>
        <v>22540</v>
      </c>
      <c r="AL8" s="161">
        <f t="shared" si="4"/>
        <v>22863</v>
      </c>
      <c r="AM8" s="162">
        <f>Revenue!Z34</f>
        <v>27193.77101</v>
      </c>
      <c r="AN8" s="162">
        <f>Revenue!AA34</f>
        <v>35718.49559</v>
      </c>
      <c r="AO8" s="162">
        <f>Revenue!AB34</f>
        <v>41502.12788</v>
      </c>
      <c r="AP8" s="162">
        <f>Revenue!AC34</f>
        <v>47458.05914</v>
      </c>
      <c r="AQ8" s="162">
        <f>Revenue!AD34</f>
        <v>53476.26565</v>
      </c>
      <c r="AR8" s="162">
        <f>Revenue!AE34</f>
        <v>66295.16649</v>
      </c>
      <c r="AS8" s="162">
        <f>Revenue!AF34</f>
        <v>73258.10818</v>
      </c>
      <c r="AT8" s="162">
        <f>Revenue!AG34</f>
        <v>80117.34165</v>
      </c>
      <c r="AU8" s="162">
        <f>Revenue!AH34</f>
        <v>86909.2604</v>
      </c>
      <c r="AV8" s="162">
        <f>Revenue!AI34</f>
        <v>93888.33464</v>
      </c>
      <c r="AW8" s="162">
        <f>Revenue!AJ34</f>
        <v>100607.3986</v>
      </c>
      <c r="AX8" s="162">
        <f>Revenue!AK34</f>
        <v>107468.5166</v>
      </c>
      <c r="AY8" s="162">
        <f>Revenue!AL34</f>
        <v>114564.1814</v>
      </c>
      <c r="AZ8" s="162">
        <f>Revenue!AM34</f>
        <v>130839.3708</v>
      </c>
      <c r="BA8" s="162">
        <f>Revenue!AN34</f>
        <v>134020.2331</v>
      </c>
      <c r="BB8" s="162">
        <f>Revenue!AO34</f>
        <v>136853.853</v>
      </c>
      <c r="BC8" s="162">
        <f>Revenue!AP34</f>
        <v>139624.6702</v>
      </c>
      <c r="BD8" s="162">
        <f>Revenue!AQ34</f>
        <v>142336.4015</v>
      </c>
      <c r="BE8" s="162">
        <f>Revenue!AR34</f>
        <v>145016.1237</v>
      </c>
      <c r="BF8" s="162">
        <f>Revenue!AS34</f>
        <v>147642.6781</v>
      </c>
      <c r="BG8" s="162">
        <f>Revenue!AT34</f>
        <v>163875.6473</v>
      </c>
      <c r="BH8" s="162">
        <f>Revenue!AU34</f>
        <v>166635.5438</v>
      </c>
      <c r="BI8" s="162">
        <f>Revenue!AV34</f>
        <v>169347.6877</v>
      </c>
      <c r="BJ8" s="162">
        <f>Revenue!AW34</f>
        <v>172015.1903</v>
      </c>
      <c r="BK8" s="162">
        <f>Revenue!AX34</f>
        <v>174641.0223</v>
      </c>
      <c r="BL8" s="162">
        <f>Revenue!AY34</f>
        <v>193539.0354</v>
      </c>
      <c r="BM8" s="162">
        <f>Revenue!AZ34</f>
        <v>197832.1908</v>
      </c>
      <c r="BN8" s="162">
        <f>Revenue!BA34</f>
        <v>202047.8961</v>
      </c>
      <c r="BO8" s="162">
        <f>Revenue!BB34</f>
        <v>206190.1309</v>
      </c>
      <c r="BP8" s="162">
        <f>Revenue!BC34</f>
        <v>210262.7249</v>
      </c>
      <c r="BQ8" s="162">
        <f>Revenue!BD34</f>
        <v>214269.3642</v>
      </c>
      <c r="BR8" s="162">
        <f>Revenue!BE34</f>
        <v>218213.5969</v>
      </c>
      <c r="BS8" s="162">
        <f>Revenue!BF34</f>
        <v>222098.8388</v>
      </c>
      <c r="BT8" s="162">
        <f>Revenue!BG34</f>
        <v>225928.379</v>
      </c>
      <c r="BU8" s="162">
        <f>Revenue!BH34</f>
        <v>229705.3847</v>
      </c>
      <c r="BV8" s="162">
        <f>Revenue!BI34</f>
        <v>233432.9065</v>
      </c>
      <c r="BW8" s="162">
        <f>Revenue!BJ34</f>
        <v>237113.8832</v>
      </c>
      <c r="BX8" s="162">
        <f>Revenue!BK34</f>
        <v>259844.1251</v>
      </c>
      <c r="BY8" s="162">
        <f>Revenue!BL34</f>
        <v>264048.6636</v>
      </c>
      <c r="BZ8" s="162">
        <f>Revenue!BM34</f>
        <v>267679.0587</v>
      </c>
      <c r="CA8" s="162">
        <f>Revenue!BN34</f>
        <v>271297.2947</v>
      </c>
      <c r="CB8" s="162">
        <f>Revenue!BO34</f>
        <v>274905.6401</v>
      </c>
      <c r="CC8" s="162">
        <f>Revenue!BP34</f>
        <v>278506.3163</v>
      </c>
      <c r="CD8" s="162">
        <f>Revenue!BQ34</f>
        <v>282101.5003</v>
      </c>
      <c r="CE8" s="162">
        <f>Revenue!BR34</f>
        <v>285693.3276</v>
      </c>
      <c r="CF8" s="162">
        <f>Revenue!BS34</f>
        <v>289283.8949</v>
      </c>
      <c r="CG8" s="162">
        <f>Revenue!BT34</f>
        <v>292875.2629</v>
      </c>
      <c r="CH8" s="162">
        <f>Revenue!BU34</f>
        <v>296469.4584</v>
      </c>
      <c r="CI8" s="162">
        <f>Revenue!BV34</f>
        <v>300068.4774</v>
      </c>
      <c r="CJ8" s="162">
        <f>Revenue!BW34</f>
        <v>325812.4195</v>
      </c>
      <c r="CK8" s="162">
        <f>Revenue!BX34</f>
        <v>329255.2142</v>
      </c>
      <c r="CL8" s="162">
        <f>Revenue!BY34</f>
        <v>332040.4366</v>
      </c>
      <c r="CM8" s="162">
        <f>Revenue!BZ34</f>
        <v>334792.313</v>
      </c>
      <c r="CN8" s="162">
        <f>Revenue!CA34</f>
        <v>337513.9458</v>
      </c>
      <c r="CO8" s="162">
        <f>Revenue!CB34</f>
        <v>340208.3096</v>
      </c>
      <c r="CP8" s="162">
        <f>Revenue!CC34</f>
        <v>342878.2559</v>
      </c>
      <c r="CQ8" s="162">
        <f>Revenue!CD34</f>
        <v>345526.519</v>
      </c>
      <c r="CR8" s="162">
        <f>Revenue!CE34</f>
        <v>348155.721</v>
      </c>
      <c r="CS8" s="162">
        <f>Revenue!CF34</f>
        <v>350768.3763</v>
      </c>
      <c r="CT8" s="162">
        <f>Revenue!CG34</f>
        <v>353366.8966</v>
      </c>
      <c r="CU8" s="162">
        <f>Revenue!CH34</f>
        <v>355953.5949</v>
      </c>
      <c r="CV8" s="162"/>
      <c r="CW8" s="162"/>
      <c r="CX8" s="162"/>
      <c r="CY8" s="162"/>
      <c r="CZ8" s="162"/>
      <c r="DA8" s="162"/>
      <c r="DB8" s="162"/>
      <c r="DC8" s="162"/>
    </row>
    <row r="9">
      <c r="A9" s="146"/>
      <c r="B9" s="146" t="s">
        <v>47</v>
      </c>
      <c r="C9" s="160" t="s">
        <v>191</v>
      </c>
      <c r="D9" s="161">
        <f t="shared" ref="D9:AL9" si="5">RANDBETWEEN(20000,40000)</f>
        <v>29399</v>
      </c>
      <c r="E9" s="161">
        <f t="shared" si="5"/>
        <v>34259</v>
      </c>
      <c r="F9" s="161">
        <f t="shared" si="5"/>
        <v>22103</v>
      </c>
      <c r="G9" s="161">
        <f t="shared" si="5"/>
        <v>36434</v>
      </c>
      <c r="H9" s="161">
        <f t="shared" si="5"/>
        <v>33055</v>
      </c>
      <c r="I9" s="161">
        <f t="shared" si="5"/>
        <v>36679</v>
      </c>
      <c r="J9" s="161">
        <f t="shared" si="5"/>
        <v>22122</v>
      </c>
      <c r="K9" s="161">
        <f t="shared" si="5"/>
        <v>24326</v>
      </c>
      <c r="L9" s="161">
        <f t="shared" si="5"/>
        <v>37512</v>
      </c>
      <c r="M9" s="161">
        <f t="shared" si="5"/>
        <v>22339</v>
      </c>
      <c r="N9" s="161">
        <f t="shared" si="5"/>
        <v>21273</v>
      </c>
      <c r="O9" s="161">
        <f t="shared" si="5"/>
        <v>25133</v>
      </c>
      <c r="P9" s="161">
        <f t="shared" si="5"/>
        <v>26205</v>
      </c>
      <c r="Q9" s="161">
        <f t="shared" si="5"/>
        <v>29299</v>
      </c>
      <c r="R9" s="161">
        <f t="shared" si="5"/>
        <v>20184</v>
      </c>
      <c r="S9" s="161">
        <f t="shared" si="5"/>
        <v>33902</v>
      </c>
      <c r="T9" s="161">
        <f t="shared" si="5"/>
        <v>39462</v>
      </c>
      <c r="U9" s="161">
        <f t="shared" si="5"/>
        <v>35815</v>
      </c>
      <c r="V9" s="161">
        <f t="shared" si="5"/>
        <v>23833</v>
      </c>
      <c r="W9" s="161">
        <f t="shared" si="5"/>
        <v>24937</v>
      </c>
      <c r="X9" s="161">
        <f t="shared" si="5"/>
        <v>38184</v>
      </c>
      <c r="Y9" s="161">
        <f t="shared" si="5"/>
        <v>31291</v>
      </c>
      <c r="Z9" s="161">
        <f t="shared" si="5"/>
        <v>38035</v>
      </c>
      <c r="AA9" s="161">
        <f t="shared" si="5"/>
        <v>27841</v>
      </c>
      <c r="AB9" s="161">
        <f t="shared" si="5"/>
        <v>25102</v>
      </c>
      <c r="AC9" s="161">
        <f t="shared" si="5"/>
        <v>31006</v>
      </c>
      <c r="AD9" s="161">
        <f t="shared" si="5"/>
        <v>33227</v>
      </c>
      <c r="AE9" s="161">
        <f t="shared" si="5"/>
        <v>36474</v>
      </c>
      <c r="AF9" s="161">
        <f t="shared" si="5"/>
        <v>38396</v>
      </c>
      <c r="AG9" s="161">
        <f t="shared" si="5"/>
        <v>27096</v>
      </c>
      <c r="AH9" s="161">
        <f t="shared" si="5"/>
        <v>39103</v>
      </c>
      <c r="AI9" s="161">
        <f t="shared" si="5"/>
        <v>37913</v>
      </c>
      <c r="AJ9" s="161">
        <f t="shared" si="5"/>
        <v>37351</v>
      </c>
      <c r="AK9" s="161">
        <f t="shared" si="5"/>
        <v>31124</v>
      </c>
      <c r="AL9" s="161">
        <f t="shared" si="5"/>
        <v>35733</v>
      </c>
      <c r="AM9" s="162">
        <f>Revenue!Z39</f>
        <v>56922.45</v>
      </c>
      <c r="AN9" s="162">
        <f>Revenue!AA39</f>
        <v>71650.8675</v>
      </c>
      <c r="AO9" s="162">
        <f>Revenue!AB39</f>
        <v>80171.38013</v>
      </c>
      <c r="AP9" s="162">
        <f>Revenue!AC39</f>
        <v>81449.45702</v>
      </c>
      <c r="AQ9" s="162">
        <f>Revenue!AD39</f>
        <v>81641.16855</v>
      </c>
      <c r="AR9" s="162">
        <f>Revenue!AE39</f>
        <v>81669.92528</v>
      </c>
      <c r="AS9" s="162">
        <f>Revenue!AF39</f>
        <v>83062.71379</v>
      </c>
      <c r="AT9" s="162">
        <f>Revenue!AG39</f>
        <v>83271.63207</v>
      </c>
      <c r="AU9" s="162">
        <f>Revenue!AH39</f>
        <v>83302.96981</v>
      </c>
      <c r="AV9" s="162">
        <f>Revenue!AI39</f>
        <v>83307.67047</v>
      </c>
      <c r="AW9" s="162">
        <f>Revenue!AJ39</f>
        <v>80475.88657</v>
      </c>
      <c r="AX9" s="162">
        <f>Revenue!AK39</f>
        <v>80051.11899</v>
      </c>
      <c r="AY9" s="162">
        <f>Revenue!AL39</f>
        <v>79987.40385</v>
      </c>
      <c r="AZ9" s="162">
        <f>Revenue!AM39</f>
        <v>80659.34343</v>
      </c>
      <c r="BA9" s="162">
        <f>Revenue!AN39</f>
        <v>60161.76451</v>
      </c>
      <c r="BB9" s="162">
        <f>Revenue!AO39</f>
        <v>54683.98452</v>
      </c>
      <c r="BC9" s="162">
        <f>Revenue!AP39</f>
        <v>54090.61613</v>
      </c>
      <c r="BD9" s="162">
        <f>Revenue!AQ39</f>
        <v>54231.05096</v>
      </c>
      <c r="BE9" s="162">
        <f>Revenue!AR39</f>
        <v>54714.4437</v>
      </c>
      <c r="BF9" s="162">
        <f>Revenue!AS39</f>
        <v>55019.85155</v>
      </c>
      <c r="BG9" s="162">
        <f>Revenue!AT39</f>
        <v>55299.72615</v>
      </c>
      <c r="BH9" s="162">
        <f>Revenue!AU39</f>
        <v>55576.94108</v>
      </c>
      <c r="BI9" s="162">
        <f>Revenue!AV39</f>
        <v>55854.93323</v>
      </c>
      <c r="BJ9" s="162">
        <f>Revenue!AW39</f>
        <v>56134.22401</v>
      </c>
      <c r="BK9" s="162">
        <f>Revenue!AX39</f>
        <v>56414.89755</v>
      </c>
      <c r="BL9" s="162">
        <f>Revenue!AY39</f>
        <v>56938.14609</v>
      </c>
      <c r="BM9" s="162">
        <f>Revenue!AZ39</f>
        <v>57501.39249</v>
      </c>
      <c r="BN9" s="162">
        <f>Revenue!BA39</f>
        <v>57830.6828</v>
      </c>
      <c r="BO9" s="162">
        <f>Revenue!BB39</f>
        <v>58126.10371</v>
      </c>
      <c r="BP9" s="162">
        <f>Revenue!BC39</f>
        <v>58417.67436</v>
      </c>
      <c r="BQ9" s="162">
        <f>Revenue!BD39</f>
        <v>58709.90375</v>
      </c>
      <c r="BR9" s="162">
        <f>Revenue!BE39</f>
        <v>59003.47442</v>
      </c>
      <c r="BS9" s="162">
        <f>Revenue!BF39</f>
        <v>59298.49497</v>
      </c>
      <c r="BT9" s="162">
        <f>Revenue!BG39</f>
        <v>59594.98792</v>
      </c>
      <c r="BU9" s="162">
        <f>Revenue!BH39</f>
        <v>59892.96293</v>
      </c>
      <c r="BV9" s="162">
        <f>Revenue!BI39</f>
        <v>60192.42775</v>
      </c>
      <c r="BW9" s="162">
        <f>Revenue!BJ39</f>
        <v>60493.38989</v>
      </c>
      <c r="BX9" s="162">
        <f>Revenue!BK39</f>
        <v>61830.29381</v>
      </c>
      <c r="BY9" s="162">
        <f>Revenue!BL39</f>
        <v>60395.38455</v>
      </c>
      <c r="BZ9" s="162">
        <f>Revenue!BM39</f>
        <v>60435.75237</v>
      </c>
      <c r="CA9" s="162">
        <f>Revenue!BN39</f>
        <v>60698.68976</v>
      </c>
      <c r="CB9" s="162">
        <f>Revenue!BO39</f>
        <v>60996.29701</v>
      </c>
      <c r="CC9" s="162">
        <f>Revenue!BP39</f>
        <v>61300.39556</v>
      </c>
      <c r="CD9" s="162">
        <f>Revenue!BQ39</f>
        <v>61606.7651</v>
      </c>
      <c r="CE9" s="162">
        <f>Revenue!BR39</f>
        <v>61914.77906</v>
      </c>
      <c r="CF9" s="162">
        <f>Revenue!BS39</f>
        <v>62224.34997</v>
      </c>
      <c r="CG9" s="162">
        <f>Revenue!BT39</f>
        <v>62535.47128</v>
      </c>
      <c r="CH9" s="162">
        <f>Revenue!BU39</f>
        <v>62848.14857</v>
      </c>
      <c r="CI9" s="162">
        <f>Revenue!BV39</f>
        <v>63162.3893</v>
      </c>
      <c r="CJ9" s="162">
        <f>Revenue!BW39</f>
        <v>63478.20124</v>
      </c>
      <c r="CK9" s="162">
        <f>Revenue!BX39</f>
        <v>58125.18875</v>
      </c>
      <c r="CL9" s="162">
        <f>Revenue!BY39</f>
        <v>57565.25417</v>
      </c>
      <c r="CM9" s="162">
        <f>Revenue!BZ39</f>
        <v>57725.49636</v>
      </c>
      <c r="CN9" s="162">
        <f>Revenue!CA39</f>
        <v>57994.98623</v>
      </c>
      <c r="CO9" s="162">
        <f>Revenue!CB39</f>
        <v>58282.09052</v>
      </c>
      <c r="CP9" s="162">
        <f>Revenue!CC39</f>
        <v>58573.07038</v>
      </c>
      <c r="CQ9" s="162">
        <f>Revenue!CD39</f>
        <v>58865.87114</v>
      </c>
      <c r="CR9" s="162">
        <f>Revenue!CE39</f>
        <v>59160.19081</v>
      </c>
      <c r="CS9" s="162">
        <f>Revenue!CF39</f>
        <v>59455.99031</v>
      </c>
      <c r="CT9" s="162">
        <f>Revenue!CG39</f>
        <v>59753.27004</v>
      </c>
      <c r="CU9" s="162">
        <f>Revenue!CH39</f>
        <v>60052.03636</v>
      </c>
      <c r="CV9" s="162"/>
      <c r="CW9" s="162"/>
      <c r="CX9" s="162"/>
      <c r="CY9" s="162"/>
      <c r="CZ9" s="162"/>
      <c r="DA9" s="162"/>
      <c r="DB9" s="162"/>
      <c r="DC9" s="162"/>
    </row>
    <row r="10">
      <c r="A10" s="146"/>
      <c r="B10" s="146" t="s">
        <v>168</v>
      </c>
      <c r="C10" s="160" t="s">
        <v>192</v>
      </c>
      <c r="D10" s="161">
        <f t="shared" ref="D10:AL10" si="6">RANDBETWEEN(100000,250000)</f>
        <v>146636</v>
      </c>
      <c r="E10" s="161">
        <f t="shared" si="6"/>
        <v>138477</v>
      </c>
      <c r="F10" s="161">
        <f t="shared" si="6"/>
        <v>144052</v>
      </c>
      <c r="G10" s="161">
        <f t="shared" si="6"/>
        <v>150816</v>
      </c>
      <c r="H10" s="161">
        <f t="shared" si="6"/>
        <v>248796</v>
      </c>
      <c r="I10" s="161">
        <f t="shared" si="6"/>
        <v>187438</v>
      </c>
      <c r="J10" s="161">
        <f t="shared" si="6"/>
        <v>188430</v>
      </c>
      <c r="K10" s="161">
        <f t="shared" si="6"/>
        <v>148473</v>
      </c>
      <c r="L10" s="161">
        <f t="shared" si="6"/>
        <v>117531</v>
      </c>
      <c r="M10" s="161">
        <f t="shared" si="6"/>
        <v>124174</v>
      </c>
      <c r="N10" s="161">
        <f t="shared" si="6"/>
        <v>232823</v>
      </c>
      <c r="O10" s="161">
        <f t="shared" si="6"/>
        <v>157347</v>
      </c>
      <c r="P10" s="161">
        <f t="shared" si="6"/>
        <v>184349</v>
      </c>
      <c r="Q10" s="161">
        <f t="shared" si="6"/>
        <v>101389</v>
      </c>
      <c r="R10" s="161">
        <f t="shared" si="6"/>
        <v>243150</v>
      </c>
      <c r="S10" s="161">
        <f t="shared" si="6"/>
        <v>220718</v>
      </c>
      <c r="T10" s="161">
        <f t="shared" si="6"/>
        <v>229471</v>
      </c>
      <c r="U10" s="161">
        <f t="shared" si="6"/>
        <v>130029</v>
      </c>
      <c r="V10" s="161">
        <f t="shared" si="6"/>
        <v>155275</v>
      </c>
      <c r="W10" s="161">
        <f t="shared" si="6"/>
        <v>130633</v>
      </c>
      <c r="X10" s="161">
        <f t="shared" si="6"/>
        <v>228437</v>
      </c>
      <c r="Y10" s="161">
        <f t="shared" si="6"/>
        <v>201367</v>
      </c>
      <c r="Z10" s="161">
        <f t="shared" si="6"/>
        <v>101212</v>
      </c>
      <c r="AA10" s="161">
        <f t="shared" si="6"/>
        <v>117918</v>
      </c>
      <c r="AB10" s="161">
        <f t="shared" si="6"/>
        <v>217936</v>
      </c>
      <c r="AC10" s="161">
        <f t="shared" si="6"/>
        <v>128581</v>
      </c>
      <c r="AD10" s="161">
        <f t="shared" si="6"/>
        <v>156909</v>
      </c>
      <c r="AE10" s="161">
        <f t="shared" si="6"/>
        <v>106218</v>
      </c>
      <c r="AF10" s="161">
        <f t="shared" si="6"/>
        <v>222534</v>
      </c>
      <c r="AG10" s="161">
        <f t="shared" si="6"/>
        <v>141775</v>
      </c>
      <c r="AH10" s="161">
        <f t="shared" si="6"/>
        <v>239124</v>
      </c>
      <c r="AI10" s="161">
        <f t="shared" si="6"/>
        <v>214114</v>
      </c>
      <c r="AJ10" s="161">
        <f t="shared" si="6"/>
        <v>238844</v>
      </c>
      <c r="AK10" s="161">
        <f t="shared" si="6"/>
        <v>175615</v>
      </c>
      <c r="AL10" s="161">
        <f t="shared" si="6"/>
        <v>218880</v>
      </c>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2"/>
      <c r="DC10" s="162"/>
    </row>
    <row r="11">
      <c r="A11" s="146"/>
      <c r="B11" s="146" t="s">
        <v>85</v>
      </c>
      <c r="C11" s="160" t="s">
        <v>193</v>
      </c>
      <c r="D11" s="161">
        <f t="shared" ref="D11:AL11" si="7">RANDBETWEEN(100000,250000)</f>
        <v>139709</v>
      </c>
      <c r="E11" s="161">
        <f t="shared" si="7"/>
        <v>171639</v>
      </c>
      <c r="F11" s="161">
        <f t="shared" si="7"/>
        <v>109578</v>
      </c>
      <c r="G11" s="161">
        <f t="shared" si="7"/>
        <v>234661</v>
      </c>
      <c r="H11" s="161">
        <f t="shared" si="7"/>
        <v>227625</v>
      </c>
      <c r="I11" s="161">
        <f t="shared" si="7"/>
        <v>169016</v>
      </c>
      <c r="J11" s="161">
        <f t="shared" si="7"/>
        <v>105279</v>
      </c>
      <c r="K11" s="161">
        <f t="shared" si="7"/>
        <v>213449</v>
      </c>
      <c r="L11" s="161">
        <f t="shared" si="7"/>
        <v>136560</v>
      </c>
      <c r="M11" s="161">
        <f t="shared" si="7"/>
        <v>173378</v>
      </c>
      <c r="N11" s="161">
        <f t="shared" si="7"/>
        <v>183800</v>
      </c>
      <c r="O11" s="161">
        <f t="shared" si="7"/>
        <v>223842</v>
      </c>
      <c r="P11" s="161">
        <f t="shared" si="7"/>
        <v>123547</v>
      </c>
      <c r="Q11" s="161">
        <f t="shared" si="7"/>
        <v>238312</v>
      </c>
      <c r="R11" s="161">
        <f t="shared" si="7"/>
        <v>213880</v>
      </c>
      <c r="S11" s="161">
        <f t="shared" si="7"/>
        <v>225250</v>
      </c>
      <c r="T11" s="161">
        <f t="shared" si="7"/>
        <v>135354</v>
      </c>
      <c r="U11" s="161">
        <f t="shared" si="7"/>
        <v>195395</v>
      </c>
      <c r="V11" s="161">
        <f t="shared" si="7"/>
        <v>150611</v>
      </c>
      <c r="W11" s="161">
        <f t="shared" si="7"/>
        <v>125755</v>
      </c>
      <c r="X11" s="161">
        <f t="shared" si="7"/>
        <v>199991</v>
      </c>
      <c r="Y11" s="161">
        <f t="shared" si="7"/>
        <v>237534</v>
      </c>
      <c r="Z11" s="161">
        <f t="shared" si="7"/>
        <v>196781</v>
      </c>
      <c r="AA11" s="161">
        <f t="shared" si="7"/>
        <v>231390</v>
      </c>
      <c r="AB11" s="161">
        <f t="shared" si="7"/>
        <v>204056</v>
      </c>
      <c r="AC11" s="161">
        <f t="shared" si="7"/>
        <v>188586</v>
      </c>
      <c r="AD11" s="161">
        <f t="shared" si="7"/>
        <v>105100</v>
      </c>
      <c r="AE11" s="161">
        <f t="shared" si="7"/>
        <v>150167</v>
      </c>
      <c r="AF11" s="161">
        <f t="shared" si="7"/>
        <v>139600</v>
      </c>
      <c r="AG11" s="161">
        <f t="shared" si="7"/>
        <v>150378</v>
      </c>
      <c r="AH11" s="161">
        <f t="shared" si="7"/>
        <v>103141</v>
      </c>
      <c r="AI11" s="161">
        <f t="shared" si="7"/>
        <v>237175</v>
      </c>
      <c r="AJ11" s="161">
        <f t="shared" si="7"/>
        <v>236770</v>
      </c>
      <c r="AK11" s="161">
        <f t="shared" si="7"/>
        <v>141767</v>
      </c>
      <c r="AL11" s="161">
        <f t="shared" si="7"/>
        <v>146751</v>
      </c>
      <c r="AM11" s="162">
        <f>Revenue!Z60</f>
        <v>228575.3544</v>
      </c>
      <c r="AN11" s="162">
        <f>Revenue!AA60</f>
        <v>279227.3541</v>
      </c>
      <c r="AO11" s="162">
        <f>Revenue!AB60</f>
        <v>336074.6322</v>
      </c>
      <c r="AP11" s="162">
        <f>Revenue!AC60</f>
        <v>395045.1309</v>
      </c>
      <c r="AQ11" s="162">
        <f>Revenue!AD60</f>
        <v>455076.1482</v>
      </c>
      <c r="AR11" s="162">
        <f>Revenue!AE60</f>
        <v>514708.9953</v>
      </c>
      <c r="AS11" s="162">
        <f>Revenue!AF60</f>
        <v>572425.3267</v>
      </c>
      <c r="AT11" s="162">
        <f>Revenue!AG60</f>
        <v>626675.7805</v>
      </c>
      <c r="AU11" s="162">
        <f>Revenue!AH60</f>
        <v>678795.2285</v>
      </c>
      <c r="AV11" s="162">
        <f>Revenue!AI60</f>
        <v>729540.4684</v>
      </c>
      <c r="AW11" s="162">
        <f>Revenue!AJ60</f>
        <v>776729.9321</v>
      </c>
      <c r="AX11" s="162">
        <f>Revenue!AK60</f>
        <v>823663.8423</v>
      </c>
      <c r="AY11" s="162">
        <f>Revenue!AL60</f>
        <v>870122.7916</v>
      </c>
      <c r="AZ11" s="162">
        <f>Revenue!AM60</f>
        <v>902638.6926</v>
      </c>
      <c r="BA11" s="162">
        <f>Revenue!AN60</f>
        <v>924285.9914</v>
      </c>
      <c r="BB11" s="162">
        <f>Revenue!AO60</f>
        <v>943549.7441</v>
      </c>
      <c r="BC11" s="162">
        <f>Revenue!AP60</f>
        <v>962374.368</v>
      </c>
      <c r="BD11" s="162">
        <f>Revenue!AQ60</f>
        <v>980786.9006</v>
      </c>
      <c r="BE11" s="162">
        <f>Revenue!AR60</f>
        <v>998973.4516</v>
      </c>
      <c r="BF11" s="162">
        <f>Revenue!AS60</f>
        <v>1016790.948</v>
      </c>
      <c r="BG11" s="162">
        <f>Revenue!AT60</f>
        <v>1034263.099</v>
      </c>
      <c r="BH11" s="162">
        <f>Revenue!AU60</f>
        <v>1051412.485</v>
      </c>
      <c r="BI11" s="162">
        <f>Revenue!AV60</f>
        <v>1068260.618</v>
      </c>
      <c r="BJ11" s="162">
        <f>Revenue!AW60</f>
        <v>1084827.993</v>
      </c>
      <c r="BK11" s="162">
        <f>Revenue!AX60</f>
        <v>1101134.143</v>
      </c>
      <c r="BL11" s="162">
        <f>Revenue!AY60</f>
        <v>1127271.79</v>
      </c>
      <c r="BM11" s="162">
        <f>Revenue!AZ60</f>
        <v>1153070.577</v>
      </c>
      <c r="BN11" s="162">
        <f>Revenue!BA60</f>
        <v>1178382.839</v>
      </c>
      <c r="BO11" s="162">
        <f>Revenue!BB60</f>
        <v>1203233.92</v>
      </c>
      <c r="BP11" s="162">
        <f>Revenue!BC60</f>
        <v>1227648.182</v>
      </c>
      <c r="BQ11" s="162">
        <f>Revenue!BD60</f>
        <v>1251649.047</v>
      </c>
      <c r="BR11" s="162">
        <f>Revenue!BE60</f>
        <v>1275259.034</v>
      </c>
      <c r="BS11" s="162">
        <f>Revenue!BF60</f>
        <v>1298499.798</v>
      </c>
      <c r="BT11" s="162">
        <f>Revenue!BG60</f>
        <v>1321392.169</v>
      </c>
      <c r="BU11" s="162">
        <f>Revenue!BH60</f>
        <v>1343956.18</v>
      </c>
      <c r="BV11" s="162">
        <f>Revenue!BI60</f>
        <v>1366211.108</v>
      </c>
      <c r="BW11" s="162">
        <f>Revenue!BJ60</f>
        <v>1388175.5</v>
      </c>
      <c r="BX11" s="162">
        <f>Revenue!BK60</f>
        <v>1412952.779</v>
      </c>
      <c r="BY11" s="162">
        <f>Revenue!BL60</f>
        <v>1436182.888</v>
      </c>
      <c r="BZ11" s="162">
        <f>Revenue!BM60</f>
        <v>1456111.729</v>
      </c>
      <c r="CA11" s="162">
        <f>Revenue!BN60</f>
        <v>1475973.474</v>
      </c>
      <c r="CB11" s="162">
        <f>Revenue!BO60</f>
        <v>1495781.06</v>
      </c>
      <c r="CC11" s="162">
        <f>Revenue!BP60</f>
        <v>1515547.145</v>
      </c>
      <c r="CD11" s="162">
        <f>Revenue!BQ60</f>
        <v>1535284.12</v>
      </c>
      <c r="CE11" s="162">
        <f>Revenue!BR60</f>
        <v>1555004.133</v>
      </c>
      <c r="CF11" s="162">
        <f>Revenue!BS60</f>
        <v>1574719.099</v>
      </c>
      <c r="CG11" s="162">
        <f>Revenue!BT60</f>
        <v>1594440.718</v>
      </c>
      <c r="CH11" s="162">
        <f>Revenue!BU60</f>
        <v>1614180.493</v>
      </c>
      <c r="CI11" s="162">
        <f>Revenue!BV60</f>
        <v>1633949.74</v>
      </c>
      <c r="CJ11" s="162">
        <f>Revenue!BW60</f>
        <v>1656067.56</v>
      </c>
      <c r="CK11" s="162">
        <f>Revenue!BX60</f>
        <v>1673819.96</v>
      </c>
      <c r="CL11" s="162">
        <f>Revenue!BY60</f>
        <v>1688040.471</v>
      </c>
      <c r="CM11" s="162">
        <f>Revenue!BZ60</f>
        <v>1702082.198</v>
      </c>
      <c r="CN11" s="162">
        <f>Revenue!CA60</f>
        <v>1715961.9</v>
      </c>
      <c r="CO11" s="162">
        <f>Revenue!CB60</f>
        <v>1729695.628</v>
      </c>
      <c r="CP11" s="162">
        <f>Revenue!CC60</f>
        <v>1743298.752</v>
      </c>
      <c r="CQ11" s="162">
        <f>Revenue!CD60</f>
        <v>1756785.997</v>
      </c>
      <c r="CR11" s="162">
        <f>Revenue!CE60</f>
        <v>1770171.467</v>
      </c>
      <c r="CS11" s="162">
        <f>Revenue!CF60</f>
        <v>1783468.674</v>
      </c>
      <c r="CT11" s="162">
        <f>Revenue!CG60</f>
        <v>1796690.562</v>
      </c>
      <c r="CU11" s="162">
        <f>Revenue!CH60</f>
        <v>1809849.536</v>
      </c>
      <c r="CV11" s="162"/>
      <c r="CW11" s="162"/>
      <c r="CX11" s="162"/>
      <c r="CY11" s="162"/>
      <c r="CZ11" s="162"/>
      <c r="DA11" s="162"/>
      <c r="DB11" s="162"/>
      <c r="DC11" s="162"/>
    </row>
    <row r="12">
      <c r="A12" s="146"/>
      <c r="B12" s="146" t="s">
        <v>85</v>
      </c>
      <c r="C12" s="160" t="s">
        <v>194</v>
      </c>
      <c r="D12" s="161">
        <f t="shared" ref="D12:AL12" si="8">RANDBETWEEN(20000,40000)</f>
        <v>33556</v>
      </c>
      <c r="E12" s="161">
        <f t="shared" si="8"/>
        <v>31663</v>
      </c>
      <c r="F12" s="161">
        <f t="shared" si="8"/>
        <v>23176</v>
      </c>
      <c r="G12" s="161">
        <f t="shared" si="8"/>
        <v>26378</v>
      </c>
      <c r="H12" s="161">
        <f t="shared" si="8"/>
        <v>32312</v>
      </c>
      <c r="I12" s="161">
        <f t="shared" si="8"/>
        <v>28807</v>
      </c>
      <c r="J12" s="161">
        <f t="shared" si="8"/>
        <v>37007</v>
      </c>
      <c r="K12" s="161">
        <f t="shared" si="8"/>
        <v>35621</v>
      </c>
      <c r="L12" s="161">
        <f t="shared" si="8"/>
        <v>26066</v>
      </c>
      <c r="M12" s="161">
        <f t="shared" si="8"/>
        <v>20373</v>
      </c>
      <c r="N12" s="161">
        <f t="shared" si="8"/>
        <v>26802</v>
      </c>
      <c r="O12" s="161">
        <f t="shared" si="8"/>
        <v>31504</v>
      </c>
      <c r="P12" s="161">
        <f t="shared" si="8"/>
        <v>34442</v>
      </c>
      <c r="Q12" s="161">
        <f t="shared" si="8"/>
        <v>23703</v>
      </c>
      <c r="R12" s="161">
        <f t="shared" si="8"/>
        <v>26039</v>
      </c>
      <c r="S12" s="161">
        <f t="shared" si="8"/>
        <v>21602</v>
      </c>
      <c r="T12" s="161">
        <f t="shared" si="8"/>
        <v>33399</v>
      </c>
      <c r="U12" s="161">
        <f t="shared" si="8"/>
        <v>24032</v>
      </c>
      <c r="V12" s="161">
        <f t="shared" si="8"/>
        <v>29272</v>
      </c>
      <c r="W12" s="161">
        <f t="shared" si="8"/>
        <v>39788</v>
      </c>
      <c r="X12" s="161">
        <f t="shared" si="8"/>
        <v>27189</v>
      </c>
      <c r="Y12" s="161">
        <f t="shared" si="8"/>
        <v>21472</v>
      </c>
      <c r="Z12" s="161">
        <f t="shared" si="8"/>
        <v>37690</v>
      </c>
      <c r="AA12" s="161">
        <f t="shared" si="8"/>
        <v>34368</v>
      </c>
      <c r="AB12" s="161">
        <f t="shared" si="8"/>
        <v>27285</v>
      </c>
      <c r="AC12" s="161">
        <f t="shared" si="8"/>
        <v>31191</v>
      </c>
      <c r="AD12" s="161">
        <f t="shared" si="8"/>
        <v>35431</v>
      </c>
      <c r="AE12" s="161">
        <f t="shared" si="8"/>
        <v>22355</v>
      </c>
      <c r="AF12" s="161">
        <f t="shared" si="8"/>
        <v>28353</v>
      </c>
      <c r="AG12" s="161">
        <f t="shared" si="8"/>
        <v>33063</v>
      </c>
      <c r="AH12" s="161">
        <f t="shared" si="8"/>
        <v>25401</v>
      </c>
      <c r="AI12" s="161">
        <f t="shared" si="8"/>
        <v>23793</v>
      </c>
      <c r="AJ12" s="161">
        <f t="shared" si="8"/>
        <v>37272</v>
      </c>
      <c r="AK12" s="161">
        <f t="shared" si="8"/>
        <v>27277</v>
      </c>
      <c r="AL12" s="161">
        <f t="shared" si="8"/>
        <v>38947</v>
      </c>
      <c r="AM12" s="162">
        <f>Revenue!Z66</f>
        <v>44904.55</v>
      </c>
      <c r="AN12" s="162">
        <f>Revenue!AA66</f>
        <v>54548.1825</v>
      </c>
      <c r="AO12" s="162">
        <f>Revenue!AB66</f>
        <v>60775.97738</v>
      </c>
      <c r="AP12" s="162">
        <f>Revenue!AC66</f>
        <v>61710.14661</v>
      </c>
      <c r="AQ12" s="162">
        <f>Revenue!AD66</f>
        <v>61850.27199</v>
      </c>
      <c r="AR12" s="162">
        <f>Revenue!AE66</f>
        <v>61871.2908</v>
      </c>
      <c r="AS12" s="162">
        <f>Revenue!AF66</f>
        <v>62926.31862</v>
      </c>
      <c r="AT12" s="162">
        <f>Revenue!AG66</f>
        <v>63084.57279</v>
      </c>
      <c r="AU12" s="162">
        <f>Revenue!AH66</f>
        <v>63108.31092</v>
      </c>
      <c r="AV12" s="162">
        <f>Revenue!AI66</f>
        <v>63111.87164</v>
      </c>
      <c r="AW12" s="162">
        <f>Revenue!AJ66</f>
        <v>60430.1245</v>
      </c>
      <c r="AX12" s="162">
        <f>Revenue!AK66</f>
        <v>60027.86242</v>
      </c>
      <c r="AY12" s="162">
        <f>Revenue!AL66</f>
        <v>59967.52311</v>
      </c>
      <c r="AZ12" s="162">
        <f>Revenue!AM66</f>
        <v>60469.37974</v>
      </c>
      <c r="BA12" s="162">
        <f>Revenue!AN66</f>
        <v>45102.38285</v>
      </c>
      <c r="BB12" s="162">
        <f>Revenue!AO66</f>
        <v>40995.73452</v>
      </c>
      <c r="BC12" s="162">
        <f>Revenue!AP66</f>
        <v>40550.88916</v>
      </c>
      <c r="BD12" s="162">
        <f>Revenue!AQ66</f>
        <v>40656.17</v>
      </c>
      <c r="BE12" s="162">
        <f>Revenue!AR66</f>
        <v>41018.56183</v>
      </c>
      <c r="BF12" s="162">
        <f>Revenue!AS66</f>
        <v>41247.52129</v>
      </c>
      <c r="BG12" s="162">
        <f>Revenue!AT66</f>
        <v>41457.33889</v>
      </c>
      <c r="BH12" s="162">
        <f>Revenue!AU66</f>
        <v>41665.16258</v>
      </c>
      <c r="BI12" s="162">
        <f>Revenue!AV66</f>
        <v>41873.56895</v>
      </c>
      <c r="BJ12" s="162">
        <f>Revenue!AW66</f>
        <v>42082.94887</v>
      </c>
      <c r="BK12" s="162">
        <f>Revenue!AX66</f>
        <v>42293.36543</v>
      </c>
      <c r="BL12" s="162">
        <f>Revenue!AY66</f>
        <v>42685.63667</v>
      </c>
      <c r="BM12" s="162">
        <f>Revenue!AZ66</f>
        <v>43107.89367</v>
      </c>
      <c r="BN12" s="162">
        <f>Revenue!BA66</f>
        <v>43354.75746</v>
      </c>
      <c r="BO12" s="162">
        <f>Revenue!BB66</f>
        <v>43576.2299</v>
      </c>
      <c r="BP12" s="162">
        <f>Revenue!BC66</f>
        <v>43794.81585</v>
      </c>
      <c r="BQ12" s="162">
        <f>Revenue!BD66</f>
        <v>44013.89565</v>
      </c>
      <c r="BR12" s="162">
        <f>Revenue!BE66</f>
        <v>44233.98098</v>
      </c>
      <c r="BS12" s="162">
        <f>Revenue!BF66</f>
        <v>44455.15327</v>
      </c>
      <c r="BT12" s="162">
        <f>Revenue!BG66</f>
        <v>44677.42939</v>
      </c>
      <c r="BU12" s="162">
        <f>Revenue!BH66</f>
        <v>44900.81659</v>
      </c>
      <c r="BV12" s="162">
        <f>Revenue!BI66</f>
        <v>45125.32068</v>
      </c>
      <c r="BW12" s="162">
        <f>Revenue!BJ66</f>
        <v>45350.94728</v>
      </c>
      <c r="BX12" s="162">
        <f>Revenue!BK66</f>
        <v>46353.20322</v>
      </c>
      <c r="BY12" s="162">
        <f>Revenue!BL66</f>
        <v>45277.47421</v>
      </c>
      <c r="BZ12" s="162">
        <f>Revenue!BM66</f>
        <v>45307.73733</v>
      </c>
      <c r="CA12" s="162">
        <f>Revenue!BN66</f>
        <v>45504.85738</v>
      </c>
      <c r="CB12" s="162">
        <f>Revenue!BO66</f>
        <v>45727.96887</v>
      </c>
      <c r="CC12" s="162">
        <f>Revenue!BP66</f>
        <v>45955.9468</v>
      </c>
      <c r="CD12" s="162">
        <f>Revenue!BQ66</f>
        <v>46185.62724</v>
      </c>
      <c r="CE12" s="162">
        <f>Revenue!BR66</f>
        <v>46416.54049</v>
      </c>
      <c r="CF12" s="162">
        <f>Revenue!BS66</f>
        <v>46648.62096</v>
      </c>
      <c r="CG12" s="162">
        <f>Revenue!BT66</f>
        <v>46881.86373</v>
      </c>
      <c r="CH12" s="162">
        <f>Revenue!BU66</f>
        <v>47116.27299</v>
      </c>
      <c r="CI12" s="162">
        <f>Revenue!BV66</f>
        <v>47351.85435</v>
      </c>
      <c r="CJ12" s="162">
        <f>Revenue!BW66</f>
        <v>47588.61362</v>
      </c>
      <c r="CK12" s="162">
        <f>Revenue!BX66</f>
        <v>43575.54397</v>
      </c>
      <c r="CL12" s="162">
        <f>Revenue!BY66</f>
        <v>43155.76978</v>
      </c>
      <c r="CM12" s="162">
        <f>Revenue!BZ66</f>
        <v>43275.90084</v>
      </c>
      <c r="CN12" s="162">
        <f>Revenue!CA66</f>
        <v>43477.93318</v>
      </c>
      <c r="CO12" s="162">
        <f>Revenue!CB66</f>
        <v>43693.17077</v>
      </c>
      <c r="CP12" s="162">
        <f>Revenue!CC66</f>
        <v>43911.31381</v>
      </c>
      <c r="CQ12" s="162">
        <f>Revenue!CD66</f>
        <v>44130.82196</v>
      </c>
      <c r="CR12" s="162">
        <f>Revenue!CE66</f>
        <v>44351.4688</v>
      </c>
      <c r="CS12" s="162">
        <f>Revenue!CF66</f>
        <v>44573.22506</v>
      </c>
      <c r="CT12" s="162">
        <f>Revenue!CG66</f>
        <v>44796.09102</v>
      </c>
      <c r="CU12" s="162">
        <f>Revenue!CH66</f>
        <v>45020.07145</v>
      </c>
      <c r="CV12" s="162"/>
      <c r="CW12" s="162"/>
      <c r="CX12" s="162"/>
      <c r="CY12" s="162"/>
      <c r="CZ12" s="162"/>
      <c r="DA12" s="162"/>
      <c r="DB12" s="162"/>
      <c r="DC12" s="162"/>
    </row>
    <row r="13">
      <c r="A13" s="146"/>
      <c r="B13" s="146" t="s">
        <v>168</v>
      </c>
      <c r="C13" s="160" t="s">
        <v>195</v>
      </c>
      <c r="D13" s="161">
        <f t="shared" ref="D13:AL13" si="9">RANDBETWEEN(100000,250000)</f>
        <v>239522</v>
      </c>
      <c r="E13" s="161">
        <f t="shared" si="9"/>
        <v>248471</v>
      </c>
      <c r="F13" s="161">
        <f t="shared" si="9"/>
        <v>182849</v>
      </c>
      <c r="G13" s="161">
        <f t="shared" si="9"/>
        <v>151413</v>
      </c>
      <c r="H13" s="161">
        <f t="shared" si="9"/>
        <v>235580</v>
      </c>
      <c r="I13" s="161">
        <f t="shared" si="9"/>
        <v>211609</v>
      </c>
      <c r="J13" s="161">
        <f t="shared" si="9"/>
        <v>195008</v>
      </c>
      <c r="K13" s="161">
        <f t="shared" si="9"/>
        <v>241671</v>
      </c>
      <c r="L13" s="161">
        <f t="shared" si="9"/>
        <v>192075</v>
      </c>
      <c r="M13" s="161">
        <f t="shared" si="9"/>
        <v>205045</v>
      </c>
      <c r="N13" s="161">
        <f t="shared" si="9"/>
        <v>185077</v>
      </c>
      <c r="O13" s="161">
        <f t="shared" si="9"/>
        <v>185082</v>
      </c>
      <c r="P13" s="161">
        <f t="shared" si="9"/>
        <v>175591</v>
      </c>
      <c r="Q13" s="161">
        <f t="shared" si="9"/>
        <v>116229</v>
      </c>
      <c r="R13" s="161">
        <f t="shared" si="9"/>
        <v>144852</v>
      </c>
      <c r="S13" s="161">
        <f t="shared" si="9"/>
        <v>201830</v>
      </c>
      <c r="T13" s="161">
        <f t="shared" si="9"/>
        <v>228546</v>
      </c>
      <c r="U13" s="161">
        <f t="shared" si="9"/>
        <v>235243</v>
      </c>
      <c r="V13" s="161">
        <f t="shared" si="9"/>
        <v>230521</v>
      </c>
      <c r="W13" s="161">
        <f t="shared" si="9"/>
        <v>155287</v>
      </c>
      <c r="X13" s="161">
        <f t="shared" si="9"/>
        <v>157942</v>
      </c>
      <c r="Y13" s="161">
        <f t="shared" si="9"/>
        <v>124599</v>
      </c>
      <c r="Z13" s="161">
        <f t="shared" si="9"/>
        <v>157085</v>
      </c>
      <c r="AA13" s="161">
        <f t="shared" si="9"/>
        <v>114280</v>
      </c>
      <c r="AB13" s="161">
        <f t="shared" si="9"/>
        <v>172265</v>
      </c>
      <c r="AC13" s="161">
        <f t="shared" si="9"/>
        <v>164260</v>
      </c>
      <c r="AD13" s="161">
        <f t="shared" si="9"/>
        <v>175942</v>
      </c>
      <c r="AE13" s="161">
        <f t="shared" si="9"/>
        <v>217789</v>
      </c>
      <c r="AF13" s="161">
        <f t="shared" si="9"/>
        <v>202848</v>
      </c>
      <c r="AG13" s="161">
        <f t="shared" si="9"/>
        <v>137290</v>
      </c>
      <c r="AH13" s="161">
        <f t="shared" si="9"/>
        <v>171228</v>
      </c>
      <c r="AI13" s="161">
        <f t="shared" si="9"/>
        <v>207007</v>
      </c>
      <c r="AJ13" s="161">
        <f t="shared" si="9"/>
        <v>212251</v>
      </c>
      <c r="AK13" s="161">
        <f t="shared" si="9"/>
        <v>235011</v>
      </c>
      <c r="AL13" s="161">
        <f t="shared" si="9"/>
        <v>180656</v>
      </c>
      <c r="AM13" s="162">
        <f>Revenue!Z88</f>
        <v>207412</v>
      </c>
      <c r="AN13" s="162">
        <f>Revenue!AA88</f>
        <v>254174.5112</v>
      </c>
      <c r="AO13" s="162">
        <f>Revenue!AB88</f>
        <v>311703.7907</v>
      </c>
      <c r="AP13" s="162">
        <f>Revenue!AC88</f>
        <v>374356.6057</v>
      </c>
      <c r="AQ13" s="162">
        <f>Revenue!AD88</f>
        <v>435990.6948</v>
      </c>
      <c r="AR13" s="162">
        <f>Revenue!AE88</f>
        <v>496489.8268</v>
      </c>
      <c r="AS13" s="162">
        <f>Revenue!AF88</f>
        <v>555012.1558</v>
      </c>
      <c r="AT13" s="162">
        <f>Revenue!AG88</f>
        <v>613143.3465</v>
      </c>
      <c r="AU13" s="162">
        <f>Revenue!AH88</f>
        <v>673926.2592</v>
      </c>
      <c r="AV13" s="162">
        <f>Revenue!AI88</f>
        <v>731927.1271</v>
      </c>
      <c r="AW13" s="162">
        <f>Revenue!AJ88</f>
        <v>788154.995</v>
      </c>
      <c r="AX13" s="162">
        <f>Revenue!AK88</f>
        <v>835141.929</v>
      </c>
      <c r="AY13" s="162">
        <f>Revenue!AL88</f>
        <v>881150.7412</v>
      </c>
      <c r="AZ13" s="162">
        <f>Revenue!AM88</f>
        <v>925653.182</v>
      </c>
      <c r="BA13" s="162">
        <f>Revenue!AN88</f>
        <v>963874.2942</v>
      </c>
      <c r="BB13" s="162">
        <f>Revenue!AO88</f>
        <v>980587.5609</v>
      </c>
      <c r="BC13" s="162">
        <f>Revenue!AP88</f>
        <v>994084.3282</v>
      </c>
      <c r="BD13" s="162">
        <f>Revenue!AQ88</f>
        <v>1007302.323</v>
      </c>
      <c r="BE13" s="162">
        <f>Revenue!AR88</f>
        <v>1020258.508</v>
      </c>
      <c r="BF13" s="162">
        <f>Revenue!AS88</f>
        <v>1033457.811</v>
      </c>
      <c r="BG13" s="162">
        <f>Revenue!AT88</f>
        <v>1046404.815</v>
      </c>
      <c r="BH13" s="162">
        <f>Revenue!AU88</f>
        <v>1059115.26</v>
      </c>
      <c r="BI13" s="162">
        <f>Revenue!AV88</f>
        <v>1071604.122</v>
      </c>
      <c r="BJ13" s="162">
        <f>Revenue!AW88</f>
        <v>1083885.663</v>
      </c>
      <c r="BK13" s="162">
        <f>Revenue!AX88</f>
        <v>1095973.46</v>
      </c>
      <c r="BL13" s="162">
        <f>Revenue!AY88</f>
        <v>1107880.439</v>
      </c>
      <c r="BM13" s="162">
        <f>Revenue!AZ88</f>
        <v>1129844.173</v>
      </c>
      <c r="BN13" s="162">
        <f>Revenue!BA88</f>
        <v>1151589.723</v>
      </c>
      <c r="BO13" s="162">
        <f>Revenue!BB88</f>
        <v>1172873.625</v>
      </c>
      <c r="BP13" s="162">
        <f>Revenue!BC88</f>
        <v>1193718.036</v>
      </c>
      <c r="BQ13" s="162">
        <f>Revenue!BD88</f>
        <v>1214144.23</v>
      </c>
      <c r="BR13" s="162">
        <f>Revenue!BE88</f>
        <v>1234172.639</v>
      </c>
      <c r="BS13" s="162">
        <f>Revenue!BF88</f>
        <v>1253822.889</v>
      </c>
      <c r="BT13" s="162">
        <f>Revenue!BG88</f>
        <v>1273113.829</v>
      </c>
      <c r="BU13" s="162">
        <f>Revenue!BH88</f>
        <v>1292063.567</v>
      </c>
      <c r="BV13" s="162">
        <f>Revenue!BI88</f>
        <v>1310689.497</v>
      </c>
      <c r="BW13" s="162">
        <f>Revenue!BJ88</f>
        <v>1329008.333</v>
      </c>
      <c r="BX13" s="162">
        <f>Revenue!BK88</f>
        <v>1347036.135</v>
      </c>
      <c r="BY13" s="162">
        <f>Revenue!BL88</f>
        <v>1370050.746</v>
      </c>
      <c r="BZ13" s="162">
        <f>Revenue!BM88</f>
        <v>1392257.608</v>
      </c>
      <c r="CA13" s="162">
        <f>Revenue!BN88</f>
        <v>1412794.245</v>
      </c>
      <c r="CB13" s="162">
        <f>Revenue!BO88</f>
        <v>1433044.309</v>
      </c>
      <c r="CC13" s="162">
        <f>Revenue!BP88</f>
        <v>1453024.419</v>
      </c>
      <c r="CD13" s="162">
        <f>Revenue!BQ88</f>
        <v>1472750.649</v>
      </c>
      <c r="CE13" s="162">
        <f>Revenue!BR88</f>
        <v>1492238.546</v>
      </c>
      <c r="CF13" s="162">
        <f>Revenue!BS88</f>
        <v>1511503.159</v>
      </c>
      <c r="CG13" s="162">
        <f>Revenue!BT88</f>
        <v>1530559.056</v>
      </c>
      <c r="CH13" s="162">
        <f>Revenue!BU88</f>
        <v>1549420.352</v>
      </c>
      <c r="CI13" s="162">
        <f>Revenue!BV88</f>
        <v>1568100.721</v>
      </c>
      <c r="CJ13" s="162">
        <f>Revenue!BW88</f>
        <v>1586613.426</v>
      </c>
      <c r="CK13" s="162">
        <f>Revenue!BX88</f>
        <v>1606843.885</v>
      </c>
      <c r="CL13" s="162">
        <f>Revenue!BY88</f>
        <v>1620330.437</v>
      </c>
      <c r="CM13" s="162">
        <f>Revenue!BZ88</f>
        <v>1632293.899</v>
      </c>
      <c r="CN13" s="162">
        <f>Revenue!CA88</f>
        <v>1644158.75</v>
      </c>
      <c r="CO13" s="162">
        <f>Revenue!CB88</f>
        <v>1655933.977</v>
      </c>
      <c r="CP13" s="162">
        <f>Revenue!CC88</f>
        <v>1667628.2</v>
      </c>
      <c r="CQ13" s="162">
        <f>Revenue!CD88</f>
        <v>1679249.689</v>
      </c>
      <c r="CR13" s="162">
        <f>Revenue!CE88</f>
        <v>1690806.377</v>
      </c>
      <c r="CS13" s="162">
        <f>Revenue!CF88</f>
        <v>1702305.876</v>
      </c>
      <c r="CT13" s="162">
        <f>Revenue!CG88</f>
        <v>1713755.489</v>
      </c>
      <c r="CU13" s="162">
        <f>Revenue!CH88</f>
        <v>1725162.223</v>
      </c>
      <c r="CV13" s="162"/>
      <c r="CW13" s="162"/>
      <c r="CX13" s="162"/>
      <c r="CY13" s="162"/>
      <c r="CZ13" s="162"/>
      <c r="DA13" s="162"/>
      <c r="DB13" s="162"/>
      <c r="DC13" s="162"/>
    </row>
    <row r="14">
      <c r="A14" s="146"/>
      <c r="B14" s="146" t="s">
        <v>168</v>
      </c>
      <c r="C14" s="160" t="s">
        <v>196</v>
      </c>
      <c r="D14" s="161">
        <f t="shared" ref="D14:AL14" si="10">RANDBETWEEN(20000,40000)</f>
        <v>30505</v>
      </c>
      <c r="E14" s="161">
        <f t="shared" si="10"/>
        <v>33237</v>
      </c>
      <c r="F14" s="161">
        <f t="shared" si="10"/>
        <v>27595</v>
      </c>
      <c r="G14" s="161">
        <f t="shared" si="10"/>
        <v>28227</v>
      </c>
      <c r="H14" s="161">
        <f t="shared" si="10"/>
        <v>35277</v>
      </c>
      <c r="I14" s="161">
        <f t="shared" si="10"/>
        <v>37929</v>
      </c>
      <c r="J14" s="161">
        <f t="shared" si="10"/>
        <v>34331</v>
      </c>
      <c r="K14" s="161">
        <f t="shared" si="10"/>
        <v>33300</v>
      </c>
      <c r="L14" s="161">
        <f t="shared" si="10"/>
        <v>27476</v>
      </c>
      <c r="M14" s="161">
        <f t="shared" si="10"/>
        <v>26606</v>
      </c>
      <c r="N14" s="161">
        <f t="shared" si="10"/>
        <v>36320</v>
      </c>
      <c r="O14" s="161">
        <f t="shared" si="10"/>
        <v>23814</v>
      </c>
      <c r="P14" s="161">
        <f t="shared" si="10"/>
        <v>27680</v>
      </c>
      <c r="Q14" s="161">
        <f t="shared" si="10"/>
        <v>23560</v>
      </c>
      <c r="R14" s="161">
        <f t="shared" si="10"/>
        <v>28264</v>
      </c>
      <c r="S14" s="161">
        <f t="shared" si="10"/>
        <v>32845</v>
      </c>
      <c r="T14" s="161">
        <f t="shared" si="10"/>
        <v>39604</v>
      </c>
      <c r="U14" s="161">
        <f t="shared" si="10"/>
        <v>27944</v>
      </c>
      <c r="V14" s="161">
        <f t="shared" si="10"/>
        <v>30591</v>
      </c>
      <c r="W14" s="161">
        <f t="shared" si="10"/>
        <v>32960</v>
      </c>
      <c r="X14" s="161">
        <f t="shared" si="10"/>
        <v>23630</v>
      </c>
      <c r="Y14" s="161">
        <f t="shared" si="10"/>
        <v>25534</v>
      </c>
      <c r="Z14" s="161">
        <f t="shared" si="10"/>
        <v>27597</v>
      </c>
      <c r="AA14" s="161">
        <f t="shared" si="10"/>
        <v>33998</v>
      </c>
      <c r="AB14" s="161">
        <f t="shared" si="10"/>
        <v>21573</v>
      </c>
      <c r="AC14" s="161">
        <f t="shared" si="10"/>
        <v>29318</v>
      </c>
      <c r="AD14" s="161">
        <f t="shared" si="10"/>
        <v>27299</v>
      </c>
      <c r="AE14" s="161">
        <f t="shared" si="10"/>
        <v>32627</v>
      </c>
      <c r="AF14" s="161">
        <f t="shared" si="10"/>
        <v>34971</v>
      </c>
      <c r="AG14" s="161">
        <f t="shared" si="10"/>
        <v>20983</v>
      </c>
      <c r="AH14" s="161">
        <f t="shared" si="10"/>
        <v>20405</v>
      </c>
      <c r="AI14" s="161">
        <f t="shared" si="10"/>
        <v>23576</v>
      </c>
      <c r="AJ14" s="161">
        <f t="shared" si="10"/>
        <v>35498</v>
      </c>
      <c r="AK14" s="161">
        <f t="shared" si="10"/>
        <v>23330</v>
      </c>
      <c r="AL14" s="161">
        <f t="shared" si="10"/>
        <v>26756</v>
      </c>
      <c r="AM14" s="162">
        <f>Revenue!Z94</f>
        <v>68598.975</v>
      </c>
      <c r="AN14" s="162">
        <f>Revenue!AA94</f>
        <v>96512.51625</v>
      </c>
      <c r="AO14" s="162">
        <f>Revenue!AB94</f>
        <v>113532.5432</v>
      </c>
      <c r="AP14" s="162">
        <f>Revenue!AC94</f>
        <v>119489.5526</v>
      </c>
      <c r="AQ14" s="162">
        <f>Revenue!AD94</f>
        <v>121574.5059</v>
      </c>
      <c r="AR14" s="162">
        <f>Revenue!AE94</f>
        <v>122304.2396</v>
      </c>
      <c r="AS14" s="162">
        <f>Revenue!AF94</f>
        <v>124154.7096</v>
      </c>
      <c r="AT14" s="162">
        <f>Revenue!AG94</f>
        <v>124802.3741</v>
      </c>
      <c r="AU14" s="162">
        <f>Revenue!AH94</f>
        <v>125029.0567</v>
      </c>
      <c r="AV14" s="162">
        <f>Revenue!AI94</f>
        <v>125108.3956</v>
      </c>
      <c r="AW14" s="162">
        <f>Revenue!AJ94</f>
        <v>121068.7529</v>
      </c>
      <c r="AX14" s="162">
        <f>Revenue!AK94</f>
        <v>119654.878</v>
      </c>
      <c r="AY14" s="162">
        <f>Revenue!AL94</f>
        <v>119160.0218</v>
      </c>
      <c r="AZ14" s="162">
        <f>Revenue!AM94</f>
        <v>120149.8983</v>
      </c>
      <c r="BA14" s="162">
        <f>Revenue!AN94</f>
        <v>96963.18792</v>
      </c>
      <c r="BB14" s="162">
        <f>Revenue!AO94</f>
        <v>86102.3031</v>
      </c>
      <c r="BC14" s="162">
        <f>Revenue!AP94</f>
        <v>82561.81935</v>
      </c>
      <c r="BD14" s="162">
        <f>Revenue!AQ94</f>
        <v>81584.7801</v>
      </c>
      <c r="BE14" s="162">
        <f>Revenue!AR94</f>
        <v>82035.77293</v>
      </c>
      <c r="BF14" s="162">
        <f>Revenue!AS94</f>
        <v>82461.02591</v>
      </c>
      <c r="BG14" s="162">
        <f>Revenue!AT94</f>
        <v>82878.60698</v>
      </c>
      <c r="BH14" s="162">
        <f>Revenue!AU94</f>
        <v>83294.8466</v>
      </c>
      <c r="BI14" s="162">
        <f>Revenue!AV94</f>
        <v>83711.96714</v>
      </c>
      <c r="BJ14" s="162">
        <f>Revenue!AW94</f>
        <v>84130.75318</v>
      </c>
      <c r="BK14" s="162">
        <f>Revenue!AX94</f>
        <v>84551.48612</v>
      </c>
      <c r="BL14" s="162">
        <f>Revenue!AY94</f>
        <v>85251.17751</v>
      </c>
      <c r="BM14" s="162">
        <f>Revenue!AZ94</f>
        <v>86052.65107</v>
      </c>
      <c r="BN14" s="162">
        <f>Revenue!BA94</f>
        <v>86614.24052</v>
      </c>
      <c r="BO14" s="162">
        <f>Revenue!BB94</f>
        <v>87093.27588</v>
      </c>
      <c r="BP14" s="162">
        <f>Revenue!BC94</f>
        <v>87544.82972</v>
      </c>
      <c r="BQ14" s="162">
        <f>Revenue!BD94</f>
        <v>87988.18448</v>
      </c>
      <c r="BR14" s="162">
        <f>Revenue!BE94</f>
        <v>88430.09612</v>
      </c>
      <c r="BS14" s="162">
        <f>Revenue!BF94</f>
        <v>88872.93635</v>
      </c>
      <c r="BT14" s="162">
        <f>Revenue!BG94</f>
        <v>89317.54244</v>
      </c>
      <c r="BU14" s="162">
        <f>Revenue!BH94</f>
        <v>89764.21465</v>
      </c>
      <c r="BV14" s="162">
        <f>Revenue!BI94</f>
        <v>90213.06529</v>
      </c>
      <c r="BW14" s="162">
        <f>Revenue!BJ94</f>
        <v>90664.14097</v>
      </c>
      <c r="BX14" s="162">
        <f>Revenue!BK94</f>
        <v>94086.7161</v>
      </c>
      <c r="BY14" s="162">
        <f>Revenue!BL94</f>
        <v>95128.73172</v>
      </c>
      <c r="BZ14" s="162">
        <f>Revenue!BM94</f>
        <v>95804.4291</v>
      </c>
      <c r="CA14" s="162">
        <f>Revenue!BN94</f>
        <v>96353.47004</v>
      </c>
      <c r="CB14" s="162">
        <f>Revenue!BO94</f>
        <v>96859.74397</v>
      </c>
      <c r="CC14" s="162">
        <f>Revenue!BP94</f>
        <v>97352.62</v>
      </c>
      <c r="CD14" s="162">
        <f>Revenue!BQ94</f>
        <v>97842.38515</v>
      </c>
      <c r="CE14" s="162">
        <f>Revenue!BR94</f>
        <v>98332.6478</v>
      </c>
      <c r="CF14" s="162">
        <f>Revenue!BS94</f>
        <v>98824.67879</v>
      </c>
      <c r="CG14" s="162">
        <f>Revenue!BT94</f>
        <v>99318.9309</v>
      </c>
      <c r="CH14" s="162">
        <f>Revenue!BU94</f>
        <v>99815.5706</v>
      </c>
      <c r="CI14" s="162">
        <f>Revenue!BV94</f>
        <v>100314.6642</v>
      </c>
      <c r="CJ14" s="162">
        <f>Revenue!BW94</f>
        <v>100816.2431</v>
      </c>
      <c r="CK14" s="162">
        <f>Revenue!BX94</f>
        <v>94421.1846</v>
      </c>
      <c r="CL14" s="162">
        <f>Revenue!BY94</f>
        <v>92478.59163</v>
      </c>
      <c r="CM14" s="162">
        <f>Revenue!BZ94</f>
        <v>92095.83998</v>
      </c>
      <c r="CN14" s="162">
        <f>Revenue!CA94</f>
        <v>92260.51856</v>
      </c>
      <c r="CO14" s="162">
        <f>Revenue!CB94</f>
        <v>92618.29094</v>
      </c>
      <c r="CP14" s="162">
        <f>Revenue!CC94</f>
        <v>93045.14682</v>
      </c>
      <c r="CQ14" s="162">
        <f>Revenue!CD94</f>
        <v>93497.6901</v>
      </c>
      <c r="CR14" s="162">
        <f>Revenue!CE94</f>
        <v>93960.7397</v>
      </c>
      <c r="CS14" s="162">
        <f>Revenue!CF94</f>
        <v>94428.9898</v>
      </c>
      <c r="CT14" s="162">
        <f>Revenue!CG94</f>
        <v>94900.59098</v>
      </c>
      <c r="CU14" s="162">
        <f>Revenue!CH94</f>
        <v>95374.90362</v>
      </c>
      <c r="CV14" s="162"/>
      <c r="CW14" s="162"/>
      <c r="CX14" s="162"/>
      <c r="CY14" s="162"/>
      <c r="CZ14" s="162"/>
      <c r="DA14" s="162"/>
      <c r="DB14" s="162"/>
      <c r="DC14" s="162"/>
    </row>
    <row r="15">
      <c r="A15" s="146"/>
      <c r="B15" s="146" t="s">
        <v>89</v>
      </c>
      <c r="C15" s="160" t="s">
        <v>197</v>
      </c>
      <c r="D15" s="161">
        <f t="shared" ref="D15:AL15" si="11">RANDBETWEEN(100000,250000)</f>
        <v>205816</v>
      </c>
      <c r="E15" s="161">
        <f t="shared" si="11"/>
        <v>138220</v>
      </c>
      <c r="F15" s="161">
        <f t="shared" si="11"/>
        <v>176708</v>
      </c>
      <c r="G15" s="161">
        <f t="shared" si="11"/>
        <v>142158</v>
      </c>
      <c r="H15" s="161">
        <f t="shared" si="11"/>
        <v>107964</v>
      </c>
      <c r="I15" s="161">
        <f t="shared" si="11"/>
        <v>206346</v>
      </c>
      <c r="J15" s="161">
        <f t="shared" si="11"/>
        <v>133039</v>
      </c>
      <c r="K15" s="161">
        <f t="shared" si="11"/>
        <v>105644</v>
      </c>
      <c r="L15" s="161">
        <f t="shared" si="11"/>
        <v>221346</v>
      </c>
      <c r="M15" s="161">
        <f t="shared" si="11"/>
        <v>137797</v>
      </c>
      <c r="N15" s="161">
        <f t="shared" si="11"/>
        <v>174572</v>
      </c>
      <c r="O15" s="161">
        <f t="shared" si="11"/>
        <v>204289</v>
      </c>
      <c r="P15" s="161">
        <f t="shared" si="11"/>
        <v>161423</v>
      </c>
      <c r="Q15" s="161">
        <f t="shared" si="11"/>
        <v>184184</v>
      </c>
      <c r="R15" s="161">
        <f t="shared" si="11"/>
        <v>157694</v>
      </c>
      <c r="S15" s="161">
        <f t="shared" si="11"/>
        <v>229490</v>
      </c>
      <c r="T15" s="161">
        <f t="shared" si="11"/>
        <v>106688</v>
      </c>
      <c r="U15" s="161">
        <f t="shared" si="11"/>
        <v>207245</v>
      </c>
      <c r="V15" s="161">
        <f t="shared" si="11"/>
        <v>103555</v>
      </c>
      <c r="W15" s="161">
        <f t="shared" si="11"/>
        <v>162516</v>
      </c>
      <c r="X15" s="161">
        <f t="shared" si="11"/>
        <v>118746</v>
      </c>
      <c r="Y15" s="161">
        <f t="shared" si="11"/>
        <v>151485</v>
      </c>
      <c r="Z15" s="161">
        <f t="shared" si="11"/>
        <v>134512</v>
      </c>
      <c r="AA15" s="161">
        <f t="shared" si="11"/>
        <v>153506</v>
      </c>
      <c r="AB15" s="161">
        <f t="shared" si="11"/>
        <v>226884</v>
      </c>
      <c r="AC15" s="161">
        <f t="shared" si="11"/>
        <v>146787</v>
      </c>
      <c r="AD15" s="161">
        <f t="shared" si="11"/>
        <v>203460</v>
      </c>
      <c r="AE15" s="161">
        <f t="shared" si="11"/>
        <v>215821</v>
      </c>
      <c r="AF15" s="161">
        <f t="shared" si="11"/>
        <v>177446</v>
      </c>
      <c r="AG15" s="161">
        <f t="shared" si="11"/>
        <v>238987</v>
      </c>
      <c r="AH15" s="161">
        <f t="shared" si="11"/>
        <v>235624</v>
      </c>
      <c r="AI15" s="161">
        <f t="shared" si="11"/>
        <v>206309</v>
      </c>
      <c r="AJ15" s="161">
        <f t="shared" si="11"/>
        <v>135630</v>
      </c>
      <c r="AK15" s="161">
        <f t="shared" si="11"/>
        <v>187158</v>
      </c>
      <c r="AL15" s="161">
        <f t="shared" si="11"/>
        <v>106005</v>
      </c>
      <c r="AM15" s="162">
        <f>Revenue!Z116</f>
        <v>106005</v>
      </c>
      <c r="AN15" s="162">
        <f>Revenue!AA116</f>
        <v>106505</v>
      </c>
      <c r="AO15" s="162">
        <f>Revenue!AB116</f>
        <v>107005</v>
      </c>
      <c r="AP15" s="162">
        <f>Revenue!AC116</f>
        <v>107505</v>
      </c>
      <c r="AQ15" s="162">
        <f>Revenue!AD116</f>
        <v>108005</v>
      </c>
      <c r="AR15" s="162">
        <f>Revenue!AE116</f>
        <v>108505</v>
      </c>
      <c r="AS15" s="162">
        <f>Revenue!AF116</f>
        <v>109005</v>
      </c>
      <c r="AT15" s="162">
        <f>Revenue!AG116</f>
        <v>109505</v>
      </c>
      <c r="AU15" s="162">
        <f>Revenue!AH116</f>
        <v>110005</v>
      </c>
      <c r="AV15" s="162">
        <f>Revenue!AI116</f>
        <v>110505</v>
      </c>
      <c r="AW15" s="162">
        <f>Revenue!AJ116</f>
        <v>111005</v>
      </c>
      <c r="AX15" s="162">
        <f>Revenue!AK116</f>
        <v>111505</v>
      </c>
      <c r="AY15" s="162">
        <f>Revenue!AL116</f>
        <v>112005</v>
      </c>
      <c r="AZ15" s="162">
        <f>Revenue!AM116</f>
        <v>112505</v>
      </c>
      <c r="BA15" s="162">
        <f>Revenue!AN116</f>
        <v>113005</v>
      </c>
      <c r="BB15" s="162">
        <f>Revenue!AO116</f>
        <v>113505</v>
      </c>
      <c r="BC15" s="162">
        <f>Revenue!AP116</f>
        <v>114005</v>
      </c>
      <c r="BD15" s="162">
        <f>Revenue!AQ116</f>
        <v>114505</v>
      </c>
      <c r="BE15" s="162">
        <f>Revenue!AR116</f>
        <v>115005</v>
      </c>
      <c r="BF15" s="162">
        <f>Revenue!AS116</f>
        <v>115505</v>
      </c>
      <c r="BG15" s="162">
        <f>Revenue!AT116</f>
        <v>116005</v>
      </c>
      <c r="BH15" s="162">
        <f>Revenue!AU116</f>
        <v>116505</v>
      </c>
      <c r="BI15" s="162">
        <f>Revenue!AV116</f>
        <v>117005</v>
      </c>
      <c r="BJ15" s="162">
        <f>Revenue!AW116</f>
        <v>117505</v>
      </c>
      <c r="BK15" s="162">
        <f>Revenue!AX116</f>
        <v>118005</v>
      </c>
      <c r="BL15" s="162">
        <f>Revenue!AY116</f>
        <v>118505</v>
      </c>
      <c r="BM15" s="162">
        <f>Revenue!AZ116</f>
        <v>119005</v>
      </c>
      <c r="BN15" s="162">
        <f>Revenue!BA116</f>
        <v>119505</v>
      </c>
      <c r="BO15" s="162">
        <f>Revenue!BB116</f>
        <v>120005</v>
      </c>
      <c r="BP15" s="162">
        <f>Revenue!BC116</f>
        <v>120505</v>
      </c>
      <c r="BQ15" s="162">
        <f>Revenue!BD116</f>
        <v>121005</v>
      </c>
      <c r="BR15" s="162">
        <f>Revenue!BE116</f>
        <v>121505</v>
      </c>
      <c r="BS15" s="162">
        <f>Revenue!BF116</f>
        <v>122005</v>
      </c>
      <c r="BT15" s="162">
        <f>Revenue!BG116</f>
        <v>122505</v>
      </c>
      <c r="BU15" s="162">
        <f>Revenue!BH116</f>
        <v>123005</v>
      </c>
      <c r="BV15" s="162">
        <f>Revenue!BI116</f>
        <v>123505</v>
      </c>
      <c r="BW15" s="162">
        <f>Revenue!BJ116</f>
        <v>124005</v>
      </c>
      <c r="BX15" s="162">
        <f>Revenue!BK116</f>
        <v>126005</v>
      </c>
      <c r="BY15" s="162">
        <f>Revenue!BL116</f>
        <v>128005</v>
      </c>
      <c r="BZ15" s="162">
        <f>Revenue!BM116</f>
        <v>130005</v>
      </c>
      <c r="CA15" s="162">
        <f>Revenue!BN116</f>
        <v>132005</v>
      </c>
      <c r="CB15" s="162">
        <f>Revenue!BO116</f>
        <v>134005</v>
      </c>
      <c r="CC15" s="162">
        <f>Revenue!BP116</f>
        <v>136005</v>
      </c>
      <c r="CD15" s="162">
        <f>Revenue!BQ116</f>
        <v>138005</v>
      </c>
      <c r="CE15" s="162">
        <f>Revenue!BR116</f>
        <v>140005</v>
      </c>
      <c r="CF15" s="162">
        <f>Revenue!BS116</f>
        <v>142005</v>
      </c>
      <c r="CG15" s="162">
        <f>Revenue!BT116</f>
        <v>144005</v>
      </c>
      <c r="CH15" s="162">
        <f>Revenue!BU116</f>
        <v>146005</v>
      </c>
      <c r="CI15" s="162">
        <f>Revenue!BV116</f>
        <v>148005</v>
      </c>
      <c r="CJ15" s="162">
        <f>Revenue!BW116</f>
        <v>150005</v>
      </c>
      <c r="CK15" s="162">
        <f>Revenue!BX116</f>
        <v>152005</v>
      </c>
      <c r="CL15" s="162">
        <f>Revenue!BY116</f>
        <v>154005</v>
      </c>
      <c r="CM15" s="162">
        <f>Revenue!BZ116</f>
        <v>156005</v>
      </c>
      <c r="CN15" s="162">
        <f>Revenue!CA116</f>
        <v>158005</v>
      </c>
      <c r="CO15" s="162">
        <f>Revenue!CB116</f>
        <v>160005</v>
      </c>
      <c r="CP15" s="162">
        <f>Revenue!CC116</f>
        <v>162005</v>
      </c>
      <c r="CQ15" s="162">
        <f>Revenue!CD116</f>
        <v>164005</v>
      </c>
      <c r="CR15" s="162">
        <f>Revenue!CE116</f>
        <v>166005</v>
      </c>
      <c r="CS15" s="162">
        <f>Revenue!CF116</f>
        <v>168005</v>
      </c>
      <c r="CT15" s="162">
        <f>Revenue!CG116</f>
        <v>170005</v>
      </c>
      <c r="CU15" s="162">
        <f>Revenue!CH116</f>
        <v>172005</v>
      </c>
      <c r="CV15" s="162"/>
      <c r="CW15" s="162"/>
      <c r="CX15" s="162"/>
      <c r="CY15" s="162"/>
      <c r="CZ15" s="162"/>
      <c r="DA15" s="162"/>
      <c r="DB15" s="162"/>
      <c r="DC15" s="162"/>
    </row>
    <row r="16">
      <c r="A16" s="146"/>
      <c r="B16" s="146" t="s">
        <v>89</v>
      </c>
      <c r="C16" s="160" t="s">
        <v>198</v>
      </c>
      <c r="D16" s="161">
        <f t="shared" ref="D16:AL16" si="12">RANDBETWEEN(20000,40000)</f>
        <v>22044</v>
      </c>
      <c r="E16" s="161">
        <f t="shared" si="12"/>
        <v>39211</v>
      </c>
      <c r="F16" s="161">
        <f t="shared" si="12"/>
        <v>31757</v>
      </c>
      <c r="G16" s="161">
        <f t="shared" si="12"/>
        <v>24701</v>
      </c>
      <c r="H16" s="161">
        <f t="shared" si="12"/>
        <v>38623</v>
      </c>
      <c r="I16" s="161">
        <f t="shared" si="12"/>
        <v>37015</v>
      </c>
      <c r="J16" s="161">
        <f t="shared" si="12"/>
        <v>27793</v>
      </c>
      <c r="K16" s="161">
        <f t="shared" si="12"/>
        <v>34110</v>
      </c>
      <c r="L16" s="161">
        <f t="shared" si="12"/>
        <v>34423</v>
      </c>
      <c r="M16" s="161">
        <f t="shared" si="12"/>
        <v>31098</v>
      </c>
      <c r="N16" s="161">
        <f t="shared" si="12"/>
        <v>24992</v>
      </c>
      <c r="O16" s="161">
        <f t="shared" si="12"/>
        <v>30059</v>
      </c>
      <c r="P16" s="161">
        <f t="shared" si="12"/>
        <v>34302</v>
      </c>
      <c r="Q16" s="161">
        <f t="shared" si="12"/>
        <v>30429</v>
      </c>
      <c r="R16" s="161">
        <f t="shared" si="12"/>
        <v>39698</v>
      </c>
      <c r="S16" s="161">
        <f t="shared" si="12"/>
        <v>28787</v>
      </c>
      <c r="T16" s="161">
        <f t="shared" si="12"/>
        <v>32734</v>
      </c>
      <c r="U16" s="161">
        <f t="shared" si="12"/>
        <v>39885</v>
      </c>
      <c r="V16" s="161">
        <f t="shared" si="12"/>
        <v>35931</v>
      </c>
      <c r="W16" s="161">
        <f t="shared" si="12"/>
        <v>34051</v>
      </c>
      <c r="X16" s="161">
        <f t="shared" si="12"/>
        <v>34501</v>
      </c>
      <c r="Y16" s="161">
        <f t="shared" si="12"/>
        <v>29809</v>
      </c>
      <c r="Z16" s="161">
        <f t="shared" si="12"/>
        <v>35463</v>
      </c>
      <c r="AA16" s="161">
        <f t="shared" si="12"/>
        <v>36998</v>
      </c>
      <c r="AB16" s="161">
        <f t="shared" si="12"/>
        <v>39925</v>
      </c>
      <c r="AC16" s="161">
        <f t="shared" si="12"/>
        <v>24531</v>
      </c>
      <c r="AD16" s="161">
        <f t="shared" si="12"/>
        <v>38302</v>
      </c>
      <c r="AE16" s="161">
        <f t="shared" si="12"/>
        <v>39790</v>
      </c>
      <c r="AF16" s="161">
        <f t="shared" si="12"/>
        <v>27795</v>
      </c>
      <c r="AG16" s="161">
        <f t="shared" si="12"/>
        <v>32523</v>
      </c>
      <c r="AH16" s="161">
        <f t="shared" si="12"/>
        <v>20739</v>
      </c>
      <c r="AI16" s="161">
        <f t="shared" si="12"/>
        <v>26143</v>
      </c>
      <c r="AJ16" s="161">
        <f t="shared" si="12"/>
        <v>20732</v>
      </c>
      <c r="AK16" s="161">
        <f t="shared" si="12"/>
        <v>21674</v>
      </c>
      <c r="AL16" s="161">
        <f t="shared" si="12"/>
        <v>39390</v>
      </c>
      <c r="AM16" s="162">
        <f>Revenue!Z122</f>
        <v>57486.35237</v>
      </c>
      <c r="AN16" s="162">
        <f>Revenue!AA122</f>
        <v>76539.73884</v>
      </c>
      <c r="AO16" s="162">
        <f>Revenue!AB122</f>
        <v>93454.03351</v>
      </c>
      <c r="AP16" s="162">
        <f>Revenue!AC122</f>
        <v>105718.6562</v>
      </c>
      <c r="AQ16" s="162">
        <f>Revenue!AD122</f>
        <v>114668.5289</v>
      </c>
      <c r="AR16" s="162">
        <f>Revenue!AE122</f>
        <v>122176.7352</v>
      </c>
      <c r="AS16" s="162">
        <f>Revenue!AF122</f>
        <v>127378.8968</v>
      </c>
      <c r="AT16" s="162">
        <f>Revenue!AG122</f>
        <v>131025.91</v>
      </c>
      <c r="AU16" s="162">
        <f>Revenue!AH122</f>
        <v>132296.9064</v>
      </c>
      <c r="AV16" s="162">
        <f>Revenue!AI122</f>
        <v>130880.1234</v>
      </c>
      <c r="AW16" s="162">
        <f>Revenue!AJ122</f>
        <v>133326.6618</v>
      </c>
      <c r="AX16" s="162">
        <f>Revenue!AK122</f>
        <v>135281.6721</v>
      </c>
      <c r="AY16" s="162">
        <f>Revenue!AL122</f>
        <v>137021.6499</v>
      </c>
      <c r="AZ16" s="162">
        <f>Revenue!AM122</f>
        <v>143660.6355</v>
      </c>
      <c r="BA16" s="162">
        <f>Revenue!AN122</f>
        <v>137960.6349</v>
      </c>
      <c r="BB16" s="162">
        <f>Revenue!AO122</f>
        <v>132595.6974</v>
      </c>
      <c r="BC16" s="162">
        <f>Revenue!AP122</f>
        <v>128956.5661</v>
      </c>
      <c r="BD16" s="162">
        <f>Revenue!AQ122</f>
        <v>126558.1936</v>
      </c>
      <c r="BE16" s="162">
        <f>Revenue!AR122</f>
        <v>125313.7559</v>
      </c>
      <c r="BF16" s="162">
        <f>Revenue!AS122</f>
        <v>124639.3862</v>
      </c>
      <c r="BG16" s="162">
        <f>Revenue!AT122</f>
        <v>124376.0082</v>
      </c>
      <c r="BH16" s="162">
        <f>Revenue!AU122</f>
        <v>124409.4205</v>
      </c>
      <c r="BI16" s="162">
        <f>Revenue!AV122</f>
        <v>124657.6428</v>
      </c>
      <c r="BJ16" s="162">
        <f>Revenue!AW122</f>
        <v>125061.8292</v>
      </c>
      <c r="BK16" s="162">
        <f>Revenue!AX122</f>
        <v>125579.7447</v>
      </c>
      <c r="BL16" s="162">
        <f>Revenue!AY122</f>
        <v>129763.4075</v>
      </c>
      <c r="BM16" s="162">
        <f>Revenue!AZ122</f>
        <v>133232.2445</v>
      </c>
      <c r="BN16" s="162">
        <f>Revenue!BA122</f>
        <v>136033.7403</v>
      </c>
      <c r="BO16" s="162">
        <f>Revenue!BB122</f>
        <v>138343.16</v>
      </c>
      <c r="BP16" s="162">
        <f>Revenue!BC122</f>
        <v>140290.2157</v>
      </c>
      <c r="BQ16" s="162">
        <f>Revenue!BD122</f>
        <v>141970.9103</v>
      </c>
      <c r="BR16" s="162">
        <f>Revenue!BE122</f>
        <v>143456.3019</v>
      </c>
      <c r="BS16" s="162">
        <f>Revenue!BF122</f>
        <v>144798.9899</v>
      </c>
      <c r="BT16" s="162">
        <f>Revenue!BG122</f>
        <v>146037.9142</v>
      </c>
      <c r="BU16" s="162">
        <f>Revenue!BH122</f>
        <v>147201.9072</v>
      </c>
      <c r="BV16" s="162">
        <f>Revenue!BI122</f>
        <v>148312.3215</v>
      </c>
      <c r="BW16" s="162">
        <f>Revenue!BJ122</f>
        <v>149384.9749</v>
      </c>
      <c r="BX16" s="162">
        <f>Revenue!BK122</f>
        <v>151840.5494</v>
      </c>
      <c r="BY16" s="162">
        <f>Revenue!BL122</f>
        <v>153705.394</v>
      </c>
      <c r="BZ16" s="162">
        <f>Revenue!BM122</f>
        <v>154651.6556</v>
      </c>
      <c r="CA16" s="162">
        <f>Revenue!BN122</f>
        <v>155632.3694</v>
      </c>
      <c r="CB16" s="162">
        <f>Revenue!BO122</f>
        <v>156641.5361</v>
      </c>
      <c r="CC16" s="162">
        <f>Revenue!BP122</f>
        <v>157674.7702</v>
      </c>
      <c r="CD16" s="162">
        <f>Revenue!BQ122</f>
        <v>158728.8826</v>
      </c>
      <c r="CE16" s="162">
        <f>Revenue!BR122</f>
        <v>159801.5706</v>
      </c>
      <c r="CF16" s="162">
        <f>Revenue!BS122</f>
        <v>160891.1889</v>
      </c>
      <c r="CG16" s="162">
        <f>Revenue!BT122</f>
        <v>161996.5806</v>
      </c>
      <c r="CH16" s="162">
        <f>Revenue!BU122</f>
        <v>163116.9515</v>
      </c>
      <c r="CI16" s="162">
        <f>Revenue!BV122</f>
        <v>164251.7776</v>
      </c>
      <c r="CJ16" s="162">
        <f>Revenue!BW122</f>
        <v>165555.6213</v>
      </c>
      <c r="CK16" s="162">
        <f>Revenue!BX122</f>
        <v>163244.591</v>
      </c>
      <c r="CL16" s="162">
        <f>Revenue!BY122</f>
        <v>160988.7907</v>
      </c>
      <c r="CM16" s="162">
        <f>Revenue!BZ122</f>
        <v>159514.1105</v>
      </c>
      <c r="CN16" s="162">
        <f>Revenue!CA122</f>
        <v>158620.3067</v>
      </c>
      <c r="CO16" s="162">
        <f>Revenue!CB122</f>
        <v>158159.1851</v>
      </c>
      <c r="CP16" s="162">
        <f>Revenue!CC122</f>
        <v>158021.0694</v>
      </c>
      <c r="CQ16" s="162">
        <f>Revenue!CD122</f>
        <v>158124.7871</v>
      </c>
      <c r="CR16" s="162">
        <f>Revenue!CE122</f>
        <v>158410.2595</v>
      </c>
      <c r="CS16" s="162">
        <f>Revenue!CF122</f>
        <v>158833.0183</v>
      </c>
      <c r="CT16" s="162">
        <f>Revenue!CG122</f>
        <v>159360.1476</v>
      </c>
      <c r="CU16" s="162">
        <f>Revenue!CH122</f>
        <v>159967.281</v>
      </c>
      <c r="CV16" s="162"/>
      <c r="CW16" s="162"/>
      <c r="CX16" s="162"/>
      <c r="CY16" s="162"/>
      <c r="CZ16" s="162"/>
      <c r="DA16" s="162"/>
      <c r="DB16" s="162"/>
      <c r="DC16" s="162"/>
    </row>
    <row r="17">
      <c r="A17" s="146"/>
      <c r="B17" s="146" t="s">
        <v>94</v>
      </c>
      <c r="C17" s="160" t="s">
        <v>199</v>
      </c>
      <c r="D17" s="161">
        <f t="shared" ref="D17:AL17" si="13">RANDBETWEEN(100000,250000)</f>
        <v>122305</v>
      </c>
      <c r="E17" s="161">
        <f t="shared" si="13"/>
        <v>161988</v>
      </c>
      <c r="F17" s="161">
        <f t="shared" si="13"/>
        <v>131224</v>
      </c>
      <c r="G17" s="161">
        <f t="shared" si="13"/>
        <v>168695</v>
      </c>
      <c r="H17" s="161">
        <f t="shared" si="13"/>
        <v>196032</v>
      </c>
      <c r="I17" s="161">
        <f t="shared" si="13"/>
        <v>175308</v>
      </c>
      <c r="J17" s="161">
        <f t="shared" si="13"/>
        <v>243616</v>
      </c>
      <c r="K17" s="161">
        <f t="shared" si="13"/>
        <v>157132</v>
      </c>
      <c r="L17" s="161">
        <f t="shared" si="13"/>
        <v>108935</v>
      </c>
      <c r="M17" s="161">
        <f t="shared" si="13"/>
        <v>209879</v>
      </c>
      <c r="N17" s="161">
        <f t="shared" si="13"/>
        <v>120006</v>
      </c>
      <c r="O17" s="161">
        <f t="shared" si="13"/>
        <v>191528</v>
      </c>
      <c r="P17" s="161">
        <f t="shared" si="13"/>
        <v>159238</v>
      </c>
      <c r="Q17" s="161">
        <f t="shared" si="13"/>
        <v>192938</v>
      </c>
      <c r="R17" s="161">
        <f t="shared" si="13"/>
        <v>157617</v>
      </c>
      <c r="S17" s="161">
        <f t="shared" si="13"/>
        <v>104579</v>
      </c>
      <c r="T17" s="161">
        <f t="shared" si="13"/>
        <v>163065</v>
      </c>
      <c r="U17" s="161">
        <f t="shared" si="13"/>
        <v>215912</v>
      </c>
      <c r="V17" s="161">
        <f t="shared" si="13"/>
        <v>206102</v>
      </c>
      <c r="W17" s="161">
        <f t="shared" si="13"/>
        <v>108452</v>
      </c>
      <c r="X17" s="161">
        <f t="shared" si="13"/>
        <v>130950</v>
      </c>
      <c r="Y17" s="161">
        <f t="shared" si="13"/>
        <v>246872</v>
      </c>
      <c r="Z17" s="161">
        <f t="shared" si="13"/>
        <v>238378</v>
      </c>
      <c r="AA17" s="161">
        <f t="shared" si="13"/>
        <v>145624</v>
      </c>
      <c r="AB17" s="161">
        <f t="shared" si="13"/>
        <v>159476</v>
      </c>
      <c r="AC17" s="161">
        <f t="shared" si="13"/>
        <v>137941</v>
      </c>
      <c r="AD17" s="161">
        <f t="shared" si="13"/>
        <v>187531</v>
      </c>
      <c r="AE17" s="161">
        <f t="shared" si="13"/>
        <v>218267</v>
      </c>
      <c r="AF17" s="161">
        <f t="shared" si="13"/>
        <v>194947</v>
      </c>
      <c r="AG17" s="161">
        <f t="shared" si="13"/>
        <v>147623</v>
      </c>
      <c r="AH17" s="161">
        <f t="shared" si="13"/>
        <v>164585</v>
      </c>
      <c r="AI17" s="161">
        <f t="shared" si="13"/>
        <v>230501</v>
      </c>
      <c r="AJ17" s="161">
        <f t="shared" si="13"/>
        <v>221862</v>
      </c>
      <c r="AK17" s="161">
        <f t="shared" si="13"/>
        <v>203650</v>
      </c>
      <c r="AL17" s="161">
        <f t="shared" si="13"/>
        <v>196694</v>
      </c>
      <c r="AM17" s="162">
        <f>Revenue!Z143</f>
        <v>196694</v>
      </c>
      <c r="AN17" s="162">
        <f>Revenue!AA143</f>
        <v>198194</v>
      </c>
      <c r="AO17" s="162">
        <f>Revenue!AB143</f>
        <v>199694</v>
      </c>
      <c r="AP17" s="162">
        <f>Revenue!AC143</f>
        <v>201194</v>
      </c>
      <c r="AQ17" s="162">
        <f>Revenue!AD143</f>
        <v>202694</v>
      </c>
      <c r="AR17" s="162">
        <f>Revenue!AE143</f>
        <v>204194</v>
      </c>
      <c r="AS17" s="162">
        <f>Revenue!AF143</f>
        <v>205694</v>
      </c>
      <c r="AT17" s="162">
        <f>Revenue!AG143</f>
        <v>207194</v>
      </c>
      <c r="AU17" s="162">
        <f>Revenue!AH143</f>
        <v>208694</v>
      </c>
      <c r="AV17" s="162">
        <f>Revenue!AI143</f>
        <v>210194</v>
      </c>
      <c r="AW17" s="162">
        <f>Revenue!AJ143</f>
        <v>211694</v>
      </c>
      <c r="AX17" s="162">
        <f>Revenue!AK143</f>
        <v>213194</v>
      </c>
      <c r="AY17" s="162">
        <f>Revenue!AL143</f>
        <v>214694</v>
      </c>
      <c r="AZ17" s="162">
        <f>Revenue!AM143</f>
        <v>216194</v>
      </c>
      <c r="BA17" s="162">
        <f>Revenue!AN143</f>
        <v>217694</v>
      </c>
      <c r="BB17" s="162">
        <f>Revenue!AO143</f>
        <v>219194</v>
      </c>
      <c r="BC17" s="162">
        <f>Revenue!AP143</f>
        <v>220694</v>
      </c>
      <c r="BD17" s="162">
        <f>Revenue!AQ143</f>
        <v>222194</v>
      </c>
      <c r="BE17" s="162">
        <f>Revenue!AR143</f>
        <v>223694</v>
      </c>
      <c r="BF17" s="162">
        <f>Revenue!AS143</f>
        <v>225194</v>
      </c>
      <c r="BG17" s="162">
        <f>Revenue!AT143</f>
        <v>226694</v>
      </c>
      <c r="BH17" s="162">
        <f>Revenue!AU143</f>
        <v>228194</v>
      </c>
      <c r="BI17" s="162">
        <f>Revenue!AV143</f>
        <v>229694</v>
      </c>
      <c r="BJ17" s="162">
        <f>Revenue!AW143</f>
        <v>231194</v>
      </c>
      <c r="BK17" s="162">
        <f>Revenue!AX143</f>
        <v>232694</v>
      </c>
      <c r="BL17" s="162">
        <f>Revenue!AY143</f>
        <v>234194</v>
      </c>
      <c r="BM17" s="162">
        <f>Revenue!AZ143</f>
        <v>235694</v>
      </c>
      <c r="BN17" s="162">
        <f>Revenue!BA143</f>
        <v>237194</v>
      </c>
      <c r="BO17" s="162">
        <f>Revenue!BB143</f>
        <v>238694</v>
      </c>
      <c r="BP17" s="162">
        <f>Revenue!BC143</f>
        <v>240194</v>
      </c>
      <c r="BQ17" s="162">
        <f>Revenue!BD143</f>
        <v>241694</v>
      </c>
      <c r="BR17" s="162">
        <f>Revenue!BE143</f>
        <v>243194</v>
      </c>
      <c r="BS17" s="162">
        <f>Revenue!BF143</f>
        <v>244694</v>
      </c>
      <c r="BT17" s="162">
        <f>Revenue!BG143</f>
        <v>246194</v>
      </c>
      <c r="BU17" s="162">
        <f>Revenue!BH143</f>
        <v>247694</v>
      </c>
      <c r="BV17" s="162">
        <f>Revenue!BI143</f>
        <v>249194</v>
      </c>
      <c r="BW17" s="162">
        <f>Revenue!BJ143</f>
        <v>250694</v>
      </c>
      <c r="BX17" s="162">
        <f>Revenue!BK143</f>
        <v>252194</v>
      </c>
      <c r="BY17" s="162">
        <f>Revenue!BL143</f>
        <v>254194</v>
      </c>
      <c r="BZ17" s="162">
        <f>Revenue!BM143</f>
        <v>256194</v>
      </c>
      <c r="CA17" s="162">
        <f>Revenue!BN143</f>
        <v>258194</v>
      </c>
      <c r="CB17" s="162">
        <f>Revenue!BO143</f>
        <v>260194</v>
      </c>
      <c r="CC17" s="162">
        <f>Revenue!BP143</f>
        <v>262194</v>
      </c>
      <c r="CD17" s="162">
        <f>Revenue!BQ143</f>
        <v>264194</v>
      </c>
      <c r="CE17" s="162">
        <f>Revenue!BR143</f>
        <v>266194</v>
      </c>
      <c r="CF17" s="162">
        <f>Revenue!BS143</f>
        <v>268194</v>
      </c>
      <c r="CG17" s="162">
        <f>Revenue!BT143</f>
        <v>270194</v>
      </c>
      <c r="CH17" s="162">
        <f>Revenue!BU143</f>
        <v>272194</v>
      </c>
      <c r="CI17" s="162">
        <f>Revenue!BV143</f>
        <v>274194</v>
      </c>
      <c r="CJ17" s="162">
        <f>Revenue!BW143</f>
        <v>276194</v>
      </c>
      <c r="CK17" s="162">
        <f>Revenue!BX143</f>
        <v>278194</v>
      </c>
      <c r="CL17" s="162">
        <f>Revenue!BY143</f>
        <v>280194</v>
      </c>
      <c r="CM17" s="162">
        <f>Revenue!BZ143</f>
        <v>282194</v>
      </c>
      <c r="CN17" s="162">
        <f>Revenue!CA143</f>
        <v>284194</v>
      </c>
      <c r="CO17" s="162">
        <f>Revenue!CB143</f>
        <v>286194</v>
      </c>
      <c r="CP17" s="162">
        <f>Revenue!CC143</f>
        <v>288194</v>
      </c>
      <c r="CQ17" s="162">
        <f>Revenue!CD143</f>
        <v>290194</v>
      </c>
      <c r="CR17" s="162">
        <f>Revenue!CE143</f>
        <v>292194</v>
      </c>
      <c r="CS17" s="162">
        <f>Revenue!CF143</f>
        <v>294194</v>
      </c>
      <c r="CT17" s="162">
        <f>Revenue!CG143</f>
        <v>296194</v>
      </c>
      <c r="CU17" s="162">
        <f>Revenue!CH143</f>
        <v>298194</v>
      </c>
      <c r="CV17" s="162"/>
      <c r="CW17" s="162"/>
      <c r="CX17" s="162"/>
      <c r="CY17" s="162"/>
      <c r="CZ17" s="162"/>
      <c r="DA17" s="162"/>
      <c r="DB17" s="162"/>
      <c r="DC17" s="162"/>
    </row>
    <row r="18">
      <c r="A18" s="146"/>
      <c r="B18" s="146" t="s">
        <v>94</v>
      </c>
      <c r="C18" s="160" t="s">
        <v>200</v>
      </c>
      <c r="D18" s="161">
        <f t="shared" ref="D18:AL18" si="14">RANDBETWEEN(20000,40000)</f>
        <v>32640</v>
      </c>
      <c r="E18" s="161">
        <f t="shared" si="14"/>
        <v>23129</v>
      </c>
      <c r="F18" s="161">
        <f t="shared" si="14"/>
        <v>33746</v>
      </c>
      <c r="G18" s="161">
        <f t="shared" si="14"/>
        <v>35609</v>
      </c>
      <c r="H18" s="161">
        <f t="shared" si="14"/>
        <v>28793</v>
      </c>
      <c r="I18" s="161">
        <f t="shared" si="14"/>
        <v>35123</v>
      </c>
      <c r="J18" s="161">
        <f t="shared" si="14"/>
        <v>37199</v>
      </c>
      <c r="K18" s="161">
        <f t="shared" si="14"/>
        <v>31561</v>
      </c>
      <c r="L18" s="161">
        <f t="shared" si="14"/>
        <v>32524</v>
      </c>
      <c r="M18" s="161">
        <f t="shared" si="14"/>
        <v>24960</v>
      </c>
      <c r="N18" s="161">
        <f t="shared" si="14"/>
        <v>38694</v>
      </c>
      <c r="O18" s="161">
        <f t="shared" si="14"/>
        <v>37767</v>
      </c>
      <c r="P18" s="161">
        <f t="shared" si="14"/>
        <v>32145</v>
      </c>
      <c r="Q18" s="161">
        <f t="shared" si="14"/>
        <v>20023</v>
      </c>
      <c r="R18" s="161">
        <f t="shared" si="14"/>
        <v>38675</v>
      </c>
      <c r="S18" s="161">
        <f t="shared" si="14"/>
        <v>38382</v>
      </c>
      <c r="T18" s="161">
        <f t="shared" si="14"/>
        <v>25077</v>
      </c>
      <c r="U18" s="161">
        <f t="shared" si="14"/>
        <v>31269</v>
      </c>
      <c r="V18" s="161">
        <f t="shared" si="14"/>
        <v>26693</v>
      </c>
      <c r="W18" s="161">
        <f t="shared" si="14"/>
        <v>35918</v>
      </c>
      <c r="X18" s="161">
        <f t="shared" si="14"/>
        <v>38988</v>
      </c>
      <c r="Y18" s="161">
        <f t="shared" si="14"/>
        <v>26246</v>
      </c>
      <c r="Z18" s="161">
        <f t="shared" si="14"/>
        <v>25203</v>
      </c>
      <c r="AA18" s="161">
        <f t="shared" si="14"/>
        <v>28999</v>
      </c>
      <c r="AB18" s="161">
        <f t="shared" si="14"/>
        <v>23676</v>
      </c>
      <c r="AC18" s="161">
        <f t="shared" si="14"/>
        <v>26413</v>
      </c>
      <c r="AD18" s="161">
        <f t="shared" si="14"/>
        <v>32776</v>
      </c>
      <c r="AE18" s="161">
        <f t="shared" si="14"/>
        <v>21590</v>
      </c>
      <c r="AF18" s="161">
        <f t="shared" si="14"/>
        <v>33814</v>
      </c>
      <c r="AG18" s="161">
        <f t="shared" si="14"/>
        <v>34386</v>
      </c>
      <c r="AH18" s="161">
        <f t="shared" si="14"/>
        <v>22249</v>
      </c>
      <c r="AI18" s="161">
        <f t="shared" si="14"/>
        <v>34970</v>
      </c>
      <c r="AJ18" s="161">
        <f t="shared" si="14"/>
        <v>34511</v>
      </c>
      <c r="AK18" s="161">
        <f t="shared" si="14"/>
        <v>25370</v>
      </c>
      <c r="AL18" s="161">
        <f t="shared" si="14"/>
        <v>25892</v>
      </c>
      <c r="AM18" s="162">
        <f>Revenue!Z148</f>
        <v>40594.26026</v>
      </c>
      <c r="AN18" s="162">
        <f>Revenue!AA148</f>
        <v>55988.82155</v>
      </c>
      <c r="AO18" s="162">
        <f>Revenue!AB148</f>
        <v>69546.66694</v>
      </c>
      <c r="AP18" s="162">
        <f>Revenue!AC148</f>
        <v>81073.6617</v>
      </c>
      <c r="AQ18" s="162">
        <f>Revenue!AD148</f>
        <v>91209.03892</v>
      </c>
      <c r="AR18" s="162">
        <f>Revenue!AE148</f>
        <v>95852.45893</v>
      </c>
      <c r="AS18" s="162">
        <f>Revenue!AF148</f>
        <v>99857.83476</v>
      </c>
      <c r="AT18" s="162">
        <f>Revenue!AG148</f>
        <v>101806.5918</v>
      </c>
      <c r="AU18" s="162">
        <f>Revenue!AH148</f>
        <v>103289.1866</v>
      </c>
      <c r="AV18" s="162">
        <f>Revenue!AI148</f>
        <v>105714.0636</v>
      </c>
      <c r="AW18" s="162">
        <f>Revenue!AJ148</f>
        <v>108821.9767</v>
      </c>
      <c r="AX18" s="162">
        <f>Revenue!AK148</f>
        <v>111347.4248</v>
      </c>
      <c r="AY18" s="162">
        <f>Revenue!AL148</f>
        <v>113523.4857</v>
      </c>
      <c r="AZ18" s="162">
        <f>Revenue!AM148</f>
        <v>114311.8443</v>
      </c>
      <c r="BA18" s="162">
        <f>Revenue!AN148</f>
        <v>115971.665</v>
      </c>
      <c r="BB18" s="162">
        <f>Revenue!AO148</f>
        <v>118524.8864</v>
      </c>
      <c r="BC18" s="162">
        <f>Revenue!AP148</f>
        <v>120623.8945</v>
      </c>
      <c r="BD18" s="162">
        <f>Revenue!AQ148</f>
        <v>122384.968</v>
      </c>
      <c r="BE18" s="162">
        <f>Revenue!AR148</f>
        <v>124162.2766</v>
      </c>
      <c r="BF18" s="162">
        <f>Revenue!AS148</f>
        <v>125687.1381</v>
      </c>
      <c r="BG18" s="162">
        <f>Revenue!AT148</f>
        <v>127024.8269</v>
      </c>
      <c r="BH18" s="162">
        <f>Revenue!AU148</f>
        <v>128224.1154</v>
      </c>
      <c r="BI18" s="162">
        <f>Revenue!AV148</f>
        <v>129321.4489</v>
      </c>
      <c r="BJ18" s="162">
        <f>Revenue!AW148</f>
        <v>130344.0646</v>
      </c>
      <c r="BK18" s="162">
        <f>Revenue!AX148</f>
        <v>131312.3214</v>
      </c>
      <c r="BL18" s="162">
        <f>Revenue!AY148</f>
        <v>133079.6368</v>
      </c>
      <c r="BM18" s="162">
        <f>Revenue!AZ148</f>
        <v>134752.9878</v>
      </c>
      <c r="BN18" s="162">
        <f>Revenue!BA148</f>
        <v>136214.3506</v>
      </c>
      <c r="BO18" s="162">
        <f>Revenue!BB148</f>
        <v>137518.8319</v>
      </c>
      <c r="BP18" s="162">
        <f>Revenue!BC148</f>
        <v>138707.6088</v>
      </c>
      <c r="BQ18" s="162">
        <f>Revenue!BD148</f>
        <v>139811.4531</v>
      </c>
      <c r="BR18" s="162">
        <f>Revenue!BE148</f>
        <v>140853.3641</v>
      </c>
      <c r="BS18" s="162">
        <f>Revenue!BF148</f>
        <v>141850.5348</v>
      </c>
      <c r="BT18" s="162">
        <f>Revenue!BG148</f>
        <v>142815.8214</v>
      </c>
      <c r="BU18" s="162">
        <f>Revenue!BH148</f>
        <v>143758.8405</v>
      </c>
      <c r="BV18" s="162">
        <f>Revenue!BI148</f>
        <v>144686.7887</v>
      </c>
      <c r="BW18" s="162">
        <f>Revenue!BJ148</f>
        <v>145605.0552</v>
      </c>
      <c r="BX18" s="162">
        <f>Revenue!BK148</f>
        <v>147987.0886</v>
      </c>
      <c r="BY18" s="162">
        <f>Revenue!BL148</f>
        <v>149776.2448</v>
      </c>
      <c r="BZ18" s="162">
        <f>Revenue!BM148</f>
        <v>150851.4366</v>
      </c>
      <c r="CA18" s="162">
        <f>Revenue!BN148</f>
        <v>151903.6849</v>
      </c>
      <c r="CB18" s="162">
        <f>Revenue!BO148</f>
        <v>152941.151</v>
      </c>
      <c r="CC18" s="162">
        <f>Revenue!BP148</f>
        <v>153969.9715</v>
      </c>
      <c r="CD18" s="162">
        <f>Revenue!BQ148</f>
        <v>154994.7715</v>
      </c>
      <c r="CE18" s="162">
        <f>Revenue!BR148</f>
        <v>156019.048</v>
      </c>
      <c r="CF18" s="162">
        <f>Revenue!BS148</f>
        <v>157045.4569</v>
      </c>
      <c r="CG18" s="162">
        <f>Revenue!BT148</f>
        <v>158076.0262</v>
      </c>
      <c r="CH18" s="162">
        <f>Revenue!BU148</f>
        <v>159112.3164</v>
      </c>
      <c r="CI18" s="162">
        <f>Revenue!BV148</f>
        <v>160155.5402</v>
      </c>
      <c r="CJ18" s="162">
        <f>Revenue!BW148</f>
        <v>161317.2831</v>
      </c>
      <c r="CK18" s="162">
        <f>Revenue!BX148</f>
        <v>158820.607</v>
      </c>
      <c r="CL18" s="162">
        <f>Revenue!BY148</f>
        <v>156611.9551</v>
      </c>
      <c r="CM18" s="162">
        <f>Revenue!BZ148</f>
        <v>155147.4376</v>
      </c>
      <c r="CN18" s="162">
        <f>Revenue!CA148</f>
        <v>154241.0543</v>
      </c>
      <c r="CO18" s="162">
        <f>Revenue!CB148</f>
        <v>153753.854</v>
      </c>
      <c r="CP18" s="162">
        <f>Revenue!CC148</f>
        <v>153582.0326</v>
      </c>
      <c r="CQ18" s="162">
        <f>Revenue!CD148</f>
        <v>153648.0407</v>
      </c>
      <c r="CR18" s="162">
        <f>Revenue!CE148</f>
        <v>153893.9425</v>
      </c>
      <c r="CS18" s="162">
        <f>Revenue!CF148</f>
        <v>154276.4537</v>
      </c>
      <c r="CT18" s="162">
        <f>Revenue!CG148</f>
        <v>154763.2355</v>
      </c>
      <c r="CU18" s="162">
        <f>Revenue!CH148</f>
        <v>155330.1261</v>
      </c>
      <c r="CV18" s="162"/>
      <c r="CW18" s="162"/>
      <c r="CX18" s="162"/>
      <c r="CY18" s="162"/>
      <c r="CZ18" s="162"/>
      <c r="DA18" s="162"/>
      <c r="DB18" s="162"/>
      <c r="DC18" s="162"/>
    </row>
    <row r="19" ht="15.75" customHeight="1">
      <c r="A19" s="146"/>
      <c r="B19" s="146" t="s">
        <v>96</v>
      </c>
      <c r="C19" s="160" t="s">
        <v>201</v>
      </c>
      <c r="D19" s="161">
        <f t="shared" ref="D19:AL19" si="15">RANDBETWEEN(20000,40000)</f>
        <v>30145</v>
      </c>
      <c r="E19" s="161">
        <f t="shared" si="15"/>
        <v>35776</v>
      </c>
      <c r="F19" s="161">
        <f t="shared" si="15"/>
        <v>20756</v>
      </c>
      <c r="G19" s="161">
        <f t="shared" si="15"/>
        <v>31047</v>
      </c>
      <c r="H19" s="161">
        <f t="shared" si="15"/>
        <v>28931</v>
      </c>
      <c r="I19" s="161">
        <f t="shared" si="15"/>
        <v>25478</v>
      </c>
      <c r="J19" s="161">
        <f t="shared" si="15"/>
        <v>20804</v>
      </c>
      <c r="K19" s="161">
        <f t="shared" si="15"/>
        <v>29071</v>
      </c>
      <c r="L19" s="161">
        <f t="shared" si="15"/>
        <v>34280</v>
      </c>
      <c r="M19" s="161">
        <f t="shared" si="15"/>
        <v>30186</v>
      </c>
      <c r="N19" s="161">
        <f t="shared" si="15"/>
        <v>35711</v>
      </c>
      <c r="O19" s="161">
        <f t="shared" si="15"/>
        <v>20763</v>
      </c>
      <c r="P19" s="161">
        <f t="shared" si="15"/>
        <v>39950</v>
      </c>
      <c r="Q19" s="161">
        <f t="shared" si="15"/>
        <v>38867</v>
      </c>
      <c r="R19" s="161">
        <f t="shared" si="15"/>
        <v>36759</v>
      </c>
      <c r="S19" s="161">
        <f t="shared" si="15"/>
        <v>25125</v>
      </c>
      <c r="T19" s="161">
        <f t="shared" si="15"/>
        <v>36781</v>
      </c>
      <c r="U19" s="161">
        <f t="shared" si="15"/>
        <v>37960</v>
      </c>
      <c r="V19" s="161">
        <f t="shared" si="15"/>
        <v>26320</v>
      </c>
      <c r="W19" s="161">
        <f t="shared" si="15"/>
        <v>26527</v>
      </c>
      <c r="X19" s="161">
        <f t="shared" si="15"/>
        <v>20651</v>
      </c>
      <c r="Y19" s="161">
        <f t="shared" si="15"/>
        <v>39016</v>
      </c>
      <c r="Z19" s="161">
        <f t="shared" si="15"/>
        <v>30718</v>
      </c>
      <c r="AA19" s="161">
        <f t="shared" si="15"/>
        <v>20546</v>
      </c>
      <c r="AB19" s="161">
        <f t="shared" si="15"/>
        <v>35731</v>
      </c>
      <c r="AC19" s="161">
        <f t="shared" si="15"/>
        <v>22841</v>
      </c>
      <c r="AD19" s="161">
        <f t="shared" si="15"/>
        <v>24132</v>
      </c>
      <c r="AE19" s="161">
        <f t="shared" si="15"/>
        <v>24634</v>
      </c>
      <c r="AF19" s="161">
        <f t="shared" si="15"/>
        <v>24667</v>
      </c>
      <c r="AG19" s="161">
        <f t="shared" si="15"/>
        <v>35176</v>
      </c>
      <c r="AH19" s="161">
        <f t="shared" si="15"/>
        <v>37262</v>
      </c>
      <c r="AI19" s="161">
        <f t="shared" si="15"/>
        <v>25313</v>
      </c>
      <c r="AJ19" s="161">
        <f t="shared" si="15"/>
        <v>36298</v>
      </c>
      <c r="AK19" s="161">
        <f t="shared" si="15"/>
        <v>23322</v>
      </c>
      <c r="AL19" s="161">
        <f t="shared" si="15"/>
        <v>35512</v>
      </c>
      <c r="AM19" s="162">
        <f>Revenue!Z170</f>
        <v>50000</v>
      </c>
      <c r="AN19" s="162">
        <f>Revenue!AA170</f>
        <v>50000</v>
      </c>
      <c r="AO19" s="162">
        <f>Revenue!AB170</f>
        <v>50000</v>
      </c>
      <c r="AP19" s="162">
        <f>Revenue!AC170</f>
        <v>50000</v>
      </c>
      <c r="AQ19" s="162">
        <f>Revenue!AD170</f>
        <v>50000</v>
      </c>
      <c r="AR19" s="162">
        <f>Revenue!AE170</f>
        <v>50000</v>
      </c>
      <c r="AS19" s="162">
        <f>Revenue!AF170</f>
        <v>50000</v>
      </c>
      <c r="AT19" s="162">
        <f>Revenue!AG170</f>
        <v>50000</v>
      </c>
      <c r="AU19" s="162">
        <f>Revenue!AH170</f>
        <v>50000</v>
      </c>
      <c r="AV19" s="162">
        <f>Revenue!AI170</f>
        <v>50000</v>
      </c>
      <c r="AW19" s="162">
        <f>Revenue!AJ170</f>
        <v>50000</v>
      </c>
      <c r="AX19" s="162">
        <f>Revenue!AK170</f>
        <v>50000</v>
      </c>
      <c r="AY19" s="162">
        <f>Revenue!AL170</f>
        <v>50000</v>
      </c>
      <c r="AZ19" s="162">
        <f>Revenue!AM170</f>
        <v>75000</v>
      </c>
      <c r="BA19" s="162">
        <f>Revenue!AN170</f>
        <v>75000</v>
      </c>
      <c r="BB19" s="162">
        <f>Revenue!AO170</f>
        <v>75000</v>
      </c>
      <c r="BC19" s="162">
        <f>Revenue!AP170</f>
        <v>75000</v>
      </c>
      <c r="BD19" s="162">
        <f>Revenue!AQ170</f>
        <v>75000</v>
      </c>
      <c r="BE19" s="162">
        <f>Revenue!AR170</f>
        <v>75000</v>
      </c>
      <c r="BF19" s="162">
        <f>Revenue!AS170</f>
        <v>75000</v>
      </c>
      <c r="BG19" s="162">
        <f>Revenue!AT170</f>
        <v>75000</v>
      </c>
      <c r="BH19" s="162">
        <f>Revenue!AU170</f>
        <v>75000</v>
      </c>
      <c r="BI19" s="162">
        <f>Revenue!AV170</f>
        <v>75000</v>
      </c>
      <c r="BJ19" s="162">
        <f>Revenue!AW170</f>
        <v>75000</v>
      </c>
      <c r="BK19" s="162">
        <f>Revenue!AX170</f>
        <v>75000</v>
      </c>
      <c r="BL19" s="162">
        <f>Revenue!AY170</f>
        <v>100000</v>
      </c>
      <c r="BM19" s="162">
        <f>Revenue!AZ170</f>
        <v>100000</v>
      </c>
      <c r="BN19" s="162">
        <f>Revenue!BA170</f>
        <v>100000</v>
      </c>
      <c r="BO19" s="162">
        <f>Revenue!BB170</f>
        <v>100000</v>
      </c>
      <c r="BP19" s="162">
        <f>Revenue!BC170</f>
        <v>100000</v>
      </c>
      <c r="BQ19" s="162">
        <f>Revenue!BD170</f>
        <v>100000</v>
      </c>
      <c r="BR19" s="162">
        <f>Revenue!BE170</f>
        <v>100000</v>
      </c>
      <c r="BS19" s="162">
        <f>Revenue!BF170</f>
        <v>100000</v>
      </c>
      <c r="BT19" s="162">
        <f>Revenue!BG170</f>
        <v>100000</v>
      </c>
      <c r="BU19" s="162">
        <f>Revenue!BH170</f>
        <v>100000</v>
      </c>
      <c r="BV19" s="162">
        <f>Revenue!BI170</f>
        <v>100000</v>
      </c>
      <c r="BW19" s="162">
        <f>Revenue!BJ170</f>
        <v>100000</v>
      </c>
      <c r="BX19" s="162">
        <f>Revenue!BK170</f>
        <v>100000</v>
      </c>
      <c r="BY19" s="162">
        <f>Revenue!BL170</f>
        <v>100000</v>
      </c>
      <c r="BZ19" s="162">
        <f>Revenue!BM170</f>
        <v>100000</v>
      </c>
      <c r="CA19" s="162">
        <f>Revenue!BN170</f>
        <v>100000</v>
      </c>
      <c r="CB19" s="162">
        <f>Revenue!BO170</f>
        <v>100000</v>
      </c>
      <c r="CC19" s="162">
        <f>Revenue!BP170</f>
        <v>100000</v>
      </c>
      <c r="CD19" s="162">
        <f>Revenue!BQ170</f>
        <v>100000</v>
      </c>
      <c r="CE19" s="162">
        <f>Revenue!BR170</f>
        <v>100000</v>
      </c>
      <c r="CF19" s="162">
        <f>Revenue!BS170</f>
        <v>100000</v>
      </c>
      <c r="CG19" s="162">
        <f>Revenue!BT170</f>
        <v>100000</v>
      </c>
      <c r="CH19" s="162">
        <f>Revenue!BU170</f>
        <v>100000</v>
      </c>
      <c r="CI19" s="162">
        <f>Revenue!BV170</f>
        <v>100000</v>
      </c>
      <c r="CJ19" s="162">
        <f>Revenue!BW170</f>
        <v>100000</v>
      </c>
      <c r="CK19" s="162">
        <f>Revenue!BX170</f>
        <v>100000</v>
      </c>
      <c r="CL19" s="162">
        <f>Revenue!BY170</f>
        <v>100000</v>
      </c>
      <c r="CM19" s="162">
        <f>Revenue!BZ170</f>
        <v>100000</v>
      </c>
      <c r="CN19" s="162">
        <f>Revenue!CA170</f>
        <v>100000</v>
      </c>
      <c r="CO19" s="162">
        <f>Revenue!CB170</f>
        <v>100000</v>
      </c>
      <c r="CP19" s="162">
        <f>Revenue!CC170</f>
        <v>100000</v>
      </c>
      <c r="CQ19" s="162">
        <f>Revenue!CD170</f>
        <v>100000</v>
      </c>
      <c r="CR19" s="162">
        <f>Revenue!CE170</f>
        <v>100000</v>
      </c>
      <c r="CS19" s="162">
        <f>Revenue!CF170</f>
        <v>100000</v>
      </c>
      <c r="CT19" s="162">
        <f>Revenue!CG170</f>
        <v>100000</v>
      </c>
      <c r="CU19" s="162">
        <f>Revenue!CH170</f>
        <v>100000</v>
      </c>
      <c r="CV19" s="162"/>
      <c r="CW19" s="162"/>
      <c r="CX19" s="162"/>
      <c r="CY19" s="162"/>
      <c r="CZ19" s="162"/>
      <c r="DA19" s="162"/>
      <c r="DB19" s="162"/>
      <c r="DC19" s="162"/>
    </row>
    <row r="20" ht="15.75" customHeight="1">
      <c r="A20" s="146"/>
      <c r="B20" s="146" t="s">
        <v>169</v>
      </c>
      <c r="C20" s="160" t="s">
        <v>202</v>
      </c>
      <c r="D20" s="161">
        <f t="shared" ref="D20:AL20" si="16">RANDBETWEEN(0,10000)</f>
        <v>5968</v>
      </c>
      <c r="E20" s="161">
        <f t="shared" si="16"/>
        <v>4840</v>
      </c>
      <c r="F20" s="161">
        <f t="shared" si="16"/>
        <v>1450</v>
      </c>
      <c r="G20" s="161">
        <f t="shared" si="16"/>
        <v>4546</v>
      </c>
      <c r="H20" s="161">
        <f t="shared" si="16"/>
        <v>3477</v>
      </c>
      <c r="I20" s="161">
        <f t="shared" si="16"/>
        <v>3110</v>
      </c>
      <c r="J20" s="161">
        <f t="shared" si="16"/>
        <v>854</v>
      </c>
      <c r="K20" s="161">
        <f t="shared" si="16"/>
        <v>1193</v>
      </c>
      <c r="L20" s="161">
        <f t="shared" si="16"/>
        <v>8318</v>
      </c>
      <c r="M20" s="161">
        <f t="shared" si="16"/>
        <v>8804</v>
      </c>
      <c r="N20" s="161">
        <f t="shared" si="16"/>
        <v>4921</v>
      </c>
      <c r="O20" s="161">
        <f t="shared" si="16"/>
        <v>4373</v>
      </c>
      <c r="P20" s="161">
        <f t="shared" si="16"/>
        <v>549</v>
      </c>
      <c r="Q20" s="161">
        <f t="shared" si="16"/>
        <v>400</v>
      </c>
      <c r="R20" s="161">
        <f t="shared" si="16"/>
        <v>5898</v>
      </c>
      <c r="S20" s="161">
        <f t="shared" si="16"/>
        <v>3018</v>
      </c>
      <c r="T20" s="161">
        <f t="shared" si="16"/>
        <v>9312</v>
      </c>
      <c r="U20" s="161">
        <f t="shared" si="16"/>
        <v>973</v>
      </c>
      <c r="V20" s="161">
        <f t="shared" si="16"/>
        <v>7168</v>
      </c>
      <c r="W20" s="161">
        <f t="shared" si="16"/>
        <v>5526</v>
      </c>
      <c r="X20" s="161">
        <f t="shared" si="16"/>
        <v>8632</v>
      </c>
      <c r="Y20" s="161">
        <f t="shared" si="16"/>
        <v>7139</v>
      </c>
      <c r="Z20" s="161">
        <f t="shared" si="16"/>
        <v>1443</v>
      </c>
      <c r="AA20" s="161">
        <f t="shared" si="16"/>
        <v>8992</v>
      </c>
      <c r="AB20" s="161">
        <f t="shared" si="16"/>
        <v>690</v>
      </c>
      <c r="AC20" s="161">
        <f t="shared" si="16"/>
        <v>6384</v>
      </c>
      <c r="AD20" s="161">
        <f t="shared" si="16"/>
        <v>5253</v>
      </c>
      <c r="AE20" s="161">
        <f t="shared" si="16"/>
        <v>6258</v>
      </c>
      <c r="AF20" s="161">
        <f t="shared" si="16"/>
        <v>6883</v>
      </c>
      <c r="AG20" s="161">
        <f t="shared" si="16"/>
        <v>2027</v>
      </c>
      <c r="AH20" s="161">
        <f t="shared" si="16"/>
        <v>9693</v>
      </c>
      <c r="AI20" s="161">
        <f t="shared" si="16"/>
        <v>6645</v>
      </c>
      <c r="AJ20" s="161">
        <f t="shared" si="16"/>
        <v>5569</v>
      </c>
      <c r="AK20" s="161">
        <f t="shared" si="16"/>
        <v>5703</v>
      </c>
      <c r="AL20" s="161">
        <f t="shared" si="16"/>
        <v>5867</v>
      </c>
      <c r="AM20" s="162">
        <f>Revenue!Z12</f>
        <v>-8518.22</v>
      </c>
      <c r="AN20" s="162">
        <f>Revenue!AA12</f>
        <v>-8475.2688</v>
      </c>
      <c r="AO20" s="162">
        <f>Revenue!AB12</f>
        <v>-8430.599552</v>
      </c>
      <c r="AP20" s="162">
        <f>Revenue!AC12</f>
        <v>-8384.143534</v>
      </c>
      <c r="AQ20" s="162">
        <f>Revenue!AD12</f>
        <v>-8335.829275</v>
      </c>
      <c r="AR20" s="162">
        <f>Revenue!AE12</f>
        <v>-8285.582446</v>
      </c>
      <c r="AS20" s="162">
        <f>Revenue!AF12</f>
        <v>1358.674256</v>
      </c>
      <c r="AT20" s="162">
        <f>Revenue!AG12</f>
        <v>1413.021226</v>
      </c>
      <c r="AU20" s="162">
        <f>Revenue!AH12</f>
        <v>1469.542075</v>
      </c>
      <c r="AV20" s="162">
        <f>Revenue!AI12</f>
        <v>1528.323758</v>
      </c>
      <c r="AW20" s="162">
        <f>Revenue!AJ12</f>
        <v>1589.456708</v>
      </c>
      <c r="AX20" s="162">
        <f>Revenue!AK12</f>
        <v>1653.034977</v>
      </c>
      <c r="AY20" s="162">
        <f>Revenue!AL12</f>
        <v>1719.156376</v>
      </c>
      <c r="AZ20" s="162">
        <f>Revenue!AM12</f>
        <v>1787.922631</v>
      </c>
      <c r="BA20" s="162">
        <f>Revenue!AN12</f>
        <v>1859.439536</v>
      </c>
      <c r="BB20" s="162">
        <f>Revenue!AO12</f>
        <v>1933.817117</v>
      </c>
      <c r="BC20" s="162">
        <f>Revenue!AP12</f>
        <v>2011.169802</v>
      </c>
      <c r="BD20" s="162">
        <f>Revenue!AQ12</f>
        <v>2091.616594</v>
      </c>
      <c r="BE20" s="162">
        <f>Revenue!AR12</f>
        <v>2175.281258</v>
      </c>
      <c r="BF20" s="162">
        <f>Revenue!AS12</f>
        <v>2262.292508</v>
      </c>
      <c r="BG20" s="162">
        <f>Revenue!AT12</f>
        <v>2352.784209</v>
      </c>
      <c r="BH20" s="162">
        <f>Revenue!AU12</f>
        <v>2446.895577</v>
      </c>
      <c r="BI20" s="162">
        <f>Revenue!AV12</f>
        <v>2544.7714</v>
      </c>
      <c r="BJ20" s="162">
        <f>Revenue!AW12</f>
        <v>2646.562256</v>
      </c>
      <c r="BK20" s="162">
        <f>Revenue!AX12</f>
        <v>2752.424746</v>
      </c>
      <c r="BL20" s="162">
        <f>Revenue!AY12</f>
        <v>2862.521736</v>
      </c>
      <c r="BM20" s="162">
        <f>Revenue!AZ12</f>
        <v>2977.022605</v>
      </c>
      <c r="BN20" s="162">
        <f>Revenue!BA12</f>
        <v>3096.10351</v>
      </c>
      <c r="BO20" s="162">
        <f>Revenue!BB12</f>
        <v>3219.94765</v>
      </c>
      <c r="BP20" s="162">
        <f>Revenue!BC12</f>
        <v>3348.745556</v>
      </c>
      <c r="BQ20" s="162">
        <f>Revenue!BD12</f>
        <v>3482.695378</v>
      </c>
      <c r="BR20" s="162">
        <f>Revenue!BE12</f>
        <v>3622.003193</v>
      </c>
      <c r="BS20" s="162">
        <f>Revenue!BF12</f>
        <v>3766.883321</v>
      </c>
      <c r="BT20" s="162">
        <f>Revenue!BG12</f>
        <v>3917.558654</v>
      </c>
      <c r="BU20" s="162">
        <f>Revenue!BH12</f>
        <v>4074.261</v>
      </c>
      <c r="BV20" s="162">
        <f>Revenue!BI12</f>
        <v>4237.23144</v>
      </c>
      <c r="BW20" s="162">
        <f>Revenue!BJ12</f>
        <v>4406.720698</v>
      </c>
      <c r="BX20" s="162">
        <f>Revenue!BK12</f>
        <v>4582.989526</v>
      </c>
      <c r="BY20" s="162">
        <f>Revenue!BL12</f>
        <v>4766.309107</v>
      </c>
      <c r="BZ20" s="162">
        <f>Revenue!BM12</f>
        <v>4956.961471</v>
      </c>
      <c r="CA20" s="162">
        <f>Revenue!BN12</f>
        <v>5155.23993</v>
      </c>
      <c r="CB20" s="162">
        <f>Revenue!BO12</f>
        <v>5361.449527</v>
      </c>
      <c r="CC20" s="162">
        <f>Revenue!BP12</f>
        <v>5575.907508</v>
      </c>
      <c r="CD20" s="162">
        <f>Revenue!BQ12</f>
        <v>5798.943808</v>
      </c>
      <c r="CE20" s="162">
        <f>Revenue!BR12</f>
        <v>6030.901561</v>
      </c>
      <c r="CF20" s="162">
        <f>Revenue!BS12</f>
        <v>6272.137623</v>
      </c>
      <c r="CG20" s="162">
        <f>Revenue!BT12</f>
        <v>6523.023128</v>
      </c>
      <c r="CH20" s="162">
        <f>Revenue!BU12</f>
        <v>6783.944053</v>
      </c>
      <c r="CI20" s="162">
        <f>Revenue!BV12</f>
        <v>7055.301815</v>
      </c>
      <c r="CJ20" s="162">
        <f>Revenue!BW12</f>
        <v>7337.513888</v>
      </c>
      <c r="CK20" s="162">
        <f>Revenue!BX12</f>
        <v>7631.014444</v>
      </c>
      <c r="CL20" s="162">
        <f>Revenue!BY12</f>
        <v>7936.255021</v>
      </c>
      <c r="CM20" s="162">
        <f>Revenue!BZ12</f>
        <v>8253.705222</v>
      </c>
      <c r="CN20" s="162">
        <f>Revenue!CA12</f>
        <v>8583.853431</v>
      </c>
      <c r="CO20" s="162">
        <f>Revenue!CB12</f>
        <v>8927.207568</v>
      </c>
      <c r="CP20" s="162">
        <f>Revenue!CC12</f>
        <v>9284.295871</v>
      </c>
      <c r="CQ20" s="162">
        <f>Revenue!CD12</f>
        <v>9655.667706</v>
      </c>
      <c r="CR20" s="162">
        <f>Revenue!CE12</f>
        <v>10041.89441</v>
      </c>
      <c r="CS20" s="162">
        <f>Revenue!CF12</f>
        <v>10443.57019</v>
      </c>
      <c r="CT20" s="162">
        <f>Revenue!CG12</f>
        <v>10861.313</v>
      </c>
      <c r="CU20" s="162">
        <f>Revenue!CH12</f>
        <v>11295.76552</v>
      </c>
      <c r="CV20" s="162"/>
      <c r="CW20" s="162"/>
      <c r="CX20" s="162"/>
      <c r="CY20" s="162"/>
      <c r="CZ20" s="162"/>
      <c r="DA20" s="162"/>
      <c r="DB20" s="162"/>
      <c r="DC20" s="162"/>
    </row>
    <row r="21" ht="15.75" customHeight="1">
      <c r="A21" s="146"/>
      <c r="B21" s="146" t="s">
        <v>169</v>
      </c>
      <c r="C21" s="160" t="s">
        <v>203</v>
      </c>
      <c r="D21" s="161">
        <f t="shared" ref="D21:AL21" si="17">RANDBETWEEN(-10000,0)</f>
        <v>-179</v>
      </c>
      <c r="E21" s="161">
        <f t="shared" si="17"/>
        <v>-3981</v>
      </c>
      <c r="F21" s="161">
        <f t="shared" si="17"/>
        <v>-9601</v>
      </c>
      <c r="G21" s="161">
        <f t="shared" si="17"/>
        <v>-4292</v>
      </c>
      <c r="H21" s="161">
        <f t="shared" si="17"/>
        <v>-9383</v>
      </c>
      <c r="I21" s="161">
        <f t="shared" si="17"/>
        <v>-7601</v>
      </c>
      <c r="J21" s="161">
        <f t="shared" si="17"/>
        <v>-6909</v>
      </c>
      <c r="K21" s="161">
        <f t="shared" si="17"/>
        <v>-2092</v>
      </c>
      <c r="L21" s="161">
        <f t="shared" si="17"/>
        <v>-4341</v>
      </c>
      <c r="M21" s="161">
        <f t="shared" si="17"/>
        <v>-7105</v>
      </c>
      <c r="N21" s="161">
        <f t="shared" si="17"/>
        <v>-7039</v>
      </c>
      <c r="O21" s="161">
        <f t="shared" si="17"/>
        <v>-1812</v>
      </c>
      <c r="P21" s="161">
        <f t="shared" si="17"/>
        <v>-1698</v>
      </c>
      <c r="Q21" s="161">
        <f t="shared" si="17"/>
        <v>-2438</v>
      </c>
      <c r="R21" s="161">
        <f t="shared" si="17"/>
        <v>-875</v>
      </c>
      <c r="S21" s="161">
        <f t="shared" si="17"/>
        <v>-4315</v>
      </c>
      <c r="T21" s="161">
        <f t="shared" si="17"/>
        <v>-3523</v>
      </c>
      <c r="U21" s="161">
        <f t="shared" si="17"/>
        <v>-4015</v>
      </c>
      <c r="V21" s="161">
        <f t="shared" si="17"/>
        <v>-4391</v>
      </c>
      <c r="W21" s="161">
        <f t="shared" si="17"/>
        <v>-3850</v>
      </c>
      <c r="X21" s="161">
        <f t="shared" si="17"/>
        <v>-5505</v>
      </c>
      <c r="Y21" s="161">
        <f t="shared" si="17"/>
        <v>-9039</v>
      </c>
      <c r="Z21" s="161">
        <f t="shared" si="17"/>
        <v>-8799</v>
      </c>
      <c r="AA21" s="161">
        <f t="shared" si="17"/>
        <v>-4983</v>
      </c>
      <c r="AB21" s="161">
        <f t="shared" si="17"/>
        <v>-7654</v>
      </c>
      <c r="AC21" s="161">
        <f t="shared" si="17"/>
        <v>-9171</v>
      </c>
      <c r="AD21" s="161">
        <f t="shared" si="17"/>
        <v>-161</v>
      </c>
      <c r="AE21" s="161">
        <f t="shared" si="17"/>
        <v>-32</v>
      </c>
      <c r="AF21" s="161">
        <f t="shared" si="17"/>
        <v>-5994</v>
      </c>
      <c r="AG21" s="161">
        <f t="shared" si="17"/>
        <v>-2401</v>
      </c>
      <c r="AH21" s="161">
        <f t="shared" si="17"/>
        <v>-854</v>
      </c>
      <c r="AI21" s="161">
        <f t="shared" si="17"/>
        <v>-9592</v>
      </c>
      <c r="AJ21" s="161">
        <f t="shared" si="17"/>
        <v>-5359</v>
      </c>
      <c r="AK21" s="161">
        <f t="shared" si="17"/>
        <v>-2107</v>
      </c>
      <c r="AL21" s="161">
        <f t="shared" si="17"/>
        <v>-3267</v>
      </c>
      <c r="AM21" s="162">
        <v>0.0</v>
      </c>
      <c r="AN21" s="162">
        <v>0.0</v>
      </c>
      <c r="AO21" s="162">
        <v>0.0</v>
      </c>
      <c r="AP21" s="162">
        <v>0.0</v>
      </c>
      <c r="AQ21" s="162">
        <v>0.0</v>
      </c>
      <c r="AR21" s="162">
        <v>0.0</v>
      </c>
      <c r="AS21" s="162">
        <v>0.0</v>
      </c>
      <c r="AT21" s="162">
        <v>0.0</v>
      </c>
      <c r="AU21" s="162">
        <v>0.0</v>
      </c>
      <c r="AV21" s="162">
        <v>0.0</v>
      </c>
      <c r="AW21" s="162">
        <v>0.0</v>
      </c>
      <c r="AX21" s="162">
        <v>0.0</v>
      </c>
      <c r="AY21" s="162">
        <v>0.0</v>
      </c>
      <c r="AZ21" s="162">
        <v>0.0</v>
      </c>
      <c r="BA21" s="162">
        <v>0.0</v>
      </c>
      <c r="BB21" s="162">
        <v>0.0</v>
      </c>
      <c r="BC21" s="162">
        <v>0.0</v>
      </c>
      <c r="BD21" s="162">
        <v>0.0</v>
      </c>
      <c r="BE21" s="162">
        <v>0.0</v>
      </c>
      <c r="BF21" s="162">
        <v>0.0</v>
      </c>
      <c r="BG21" s="162">
        <v>0.0</v>
      </c>
      <c r="BH21" s="162">
        <v>0.0</v>
      </c>
      <c r="BI21" s="162">
        <v>0.0</v>
      </c>
      <c r="BJ21" s="162">
        <v>0.0</v>
      </c>
      <c r="BK21" s="162">
        <v>0.0</v>
      </c>
      <c r="BL21" s="162">
        <v>0.0</v>
      </c>
      <c r="BM21" s="162">
        <v>0.0</v>
      </c>
      <c r="BN21" s="162">
        <v>0.0</v>
      </c>
      <c r="BO21" s="162">
        <v>0.0</v>
      </c>
      <c r="BP21" s="162">
        <v>0.0</v>
      </c>
      <c r="BQ21" s="162">
        <v>0.0</v>
      </c>
      <c r="BR21" s="162">
        <v>0.0</v>
      </c>
      <c r="BS21" s="162">
        <v>0.0</v>
      </c>
      <c r="BT21" s="162">
        <v>0.0</v>
      </c>
      <c r="BU21" s="162">
        <v>0.0</v>
      </c>
      <c r="BV21" s="162">
        <v>0.0</v>
      </c>
      <c r="BW21" s="162">
        <v>0.0</v>
      </c>
      <c r="BX21" s="162">
        <v>0.0</v>
      </c>
      <c r="BY21" s="162">
        <v>0.0</v>
      </c>
      <c r="BZ21" s="162">
        <v>0.0</v>
      </c>
      <c r="CA21" s="162">
        <v>0.0</v>
      </c>
      <c r="CB21" s="162">
        <v>0.0</v>
      </c>
      <c r="CC21" s="162">
        <v>0.0</v>
      </c>
      <c r="CD21" s="162">
        <v>0.0</v>
      </c>
      <c r="CE21" s="162">
        <v>0.0</v>
      </c>
      <c r="CF21" s="162">
        <v>0.0</v>
      </c>
      <c r="CG21" s="162">
        <v>0.0</v>
      </c>
      <c r="CH21" s="162">
        <v>0.0</v>
      </c>
      <c r="CI21" s="162">
        <v>0.0</v>
      </c>
      <c r="CJ21" s="162">
        <v>0.0</v>
      </c>
      <c r="CK21" s="162">
        <v>0.0</v>
      </c>
      <c r="CL21" s="162">
        <v>0.0</v>
      </c>
      <c r="CM21" s="162">
        <v>0.0</v>
      </c>
      <c r="CN21" s="162">
        <v>0.0</v>
      </c>
      <c r="CO21" s="162">
        <v>0.0</v>
      </c>
      <c r="CP21" s="162">
        <v>0.0</v>
      </c>
      <c r="CQ21" s="162">
        <v>0.0</v>
      </c>
      <c r="CR21" s="162">
        <v>0.0</v>
      </c>
      <c r="CS21" s="162">
        <v>0.0</v>
      </c>
      <c r="CT21" s="162">
        <v>0.0</v>
      </c>
      <c r="CU21" s="162">
        <v>0.0</v>
      </c>
      <c r="CV21" s="162"/>
      <c r="CW21" s="162"/>
      <c r="CX21" s="162"/>
      <c r="CY21" s="162"/>
      <c r="CZ21" s="162"/>
      <c r="DA21" s="162"/>
      <c r="DB21" s="162"/>
      <c r="DC21" s="162"/>
    </row>
    <row r="22" ht="15.75" customHeight="1">
      <c r="A22" s="146"/>
      <c r="B22" s="146"/>
      <c r="C22" s="160" t="s">
        <v>204</v>
      </c>
      <c r="D22" s="163">
        <f t="shared" ref="D22:CU22" si="18">SUM(D7:D21)</f>
        <v>1228943</v>
      </c>
      <c r="E22" s="163">
        <f t="shared" si="18"/>
        <v>1197011</v>
      </c>
      <c r="F22" s="163">
        <f t="shared" si="18"/>
        <v>1157324</v>
      </c>
      <c r="G22" s="163">
        <f t="shared" si="18"/>
        <v>1294414</v>
      </c>
      <c r="H22" s="163">
        <f t="shared" si="18"/>
        <v>1459267</v>
      </c>
      <c r="I22" s="163">
        <f t="shared" si="18"/>
        <v>1324230</v>
      </c>
      <c r="J22" s="163">
        <f t="shared" si="18"/>
        <v>1252935</v>
      </c>
      <c r="K22" s="163">
        <f t="shared" si="18"/>
        <v>1183165</v>
      </c>
      <c r="L22" s="163">
        <f t="shared" si="18"/>
        <v>1211602</v>
      </c>
      <c r="M22" s="163">
        <f t="shared" si="18"/>
        <v>1158748</v>
      </c>
      <c r="N22" s="163">
        <f t="shared" si="18"/>
        <v>1223927</v>
      </c>
      <c r="O22" s="163">
        <f t="shared" si="18"/>
        <v>1272439</v>
      </c>
      <c r="P22" s="163">
        <f t="shared" si="18"/>
        <v>1116739</v>
      </c>
      <c r="Q22" s="163">
        <f t="shared" si="18"/>
        <v>1235749</v>
      </c>
      <c r="R22" s="163">
        <f t="shared" si="18"/>
        <v>1294253</v>
      </c>
      <c r="S22" s="163">
        <f t="shared" si="18"/>
        <v>1376746</v>
      </c>
      <c r="T22" s="163">
        <f t="shared" si="18"/>
        <v>1287712</v>
      </c>
      <c r="U22" s="163">
        <f t="shared" si="18"/>
        <v>1317607</v>
      </c>
      <c r="V22" s="163">
        <f t="shared" si="18"/>
        <v>1171275</v>
      </c>
      <c r="W22" s="163">
        <f t="shared" si="18"/>
        <v>1016879</v>
      </c>
      <c r="X22" s="163">
        <f t="shared" si="18"/>
        <v>1199078</v>
      </c>
      <c r="Y22" s="163">
        <f t="shared" si="18"/>
        <v>1344905</v>
      </c>
      <c r="Z22" s="163">
        <f t="shared" si="18"/>
        <v>1212008</v>
      </c>
      <c r="AA22" s="163">
        <f t="shared" si="18"/>
        <v>1122806</v>
      </c>
      <c r="AB22" s="163">
        <f t="shared" si="18"/>
        <v>1347011</v>
      </c>
      <c r="AC22" s="163">
        <f t="shared" si="18"/>
        <v>1100646</v>
      </c>
      <c r="AD22" s="163">
        <f t="shared" si="18"/>
        <v>1222111</v>
      </c>
      <c r="AE22" s="163">
        <f t="shared" si="18"/>
        <v>1271194</v>
      </c>
      <c r="AF22" s="163">
        <f t="shared" si="18"/>
        <v>1363749</v>
      </c>
      <c r="AG22" s="163">
        <f t="shared" si="18"/>
        <v>1168159</v>
      </c>
      <c r="AH22" s="164">
        <f t="shared" si="18"/>
        <v>1323566</v>
      </c>
      <c r="AI22" s="164">
        <f t="shared" si="18"/>
        <v>1496054</v>
      </c>
      <c r="AJ22" s="164">
        <f t="shared" si="18"/>
        <v>1451527</v>
      </c>
      <c r="AK22" s="164">
        <f t="shared" si="18"/>
        <v>1263151</v>
      </c>
      <c r="AL22" s="164">
        <f t="shared" si="18"/>
        <v>1309094</v>
      </c>
      <c r="AM22" s="164">
        <f t="shared" si="18"/>
        <v>1415790.631</v>
      </c>
      <c r="AN22" s="164">
        <f t="shared" si="18"/>
        <v>1667456.392</v>
      </c>
      <c r="AO22" s="164">
        <f t="shared" si="18"/>
        <v>1916164.307</v>
      </c>
      <c r="AP22" s="164">
        <f t="shared" si="18"/>
        <v>2143927.895</v>
      </c>
      <c r="AQ22" s="164">
        <f t="shared" si="18"/>
        <v>2362030.523</v>
      </c>
      <c r="AR22" s="164">
        <f t="shared" si="18"/>
        <v>2578733.721</v>
      </c>
      <c r="AS22" s="164">
        <f t="shared" si="18"/>
        <v>2796714.82</v>
      </c>
      <c r="AT22" s="164">
        <f t="shared" si="18"/>
        <v>2993212.987</v>
      </c>
      <c r="AU22" s="164">
        <f t="shared" si="18"/>
        <v>3185918.325</v>
      </c>
      <c r="AV22" s="164">
        <f t="shared" si="18"/>
        <v>3374588.725</v>
      </c>
      <c r="AW22" s="164">
        <f t="shared" si="18"/>
        <v>3549978.171</v>
      </c>
      <c r="AX22" s="164">
        <f t="shared" si="18"/>
        <v>3723674.445</v>
      </c>
      <c r="AY22" s="164">
        <f t="shared" si="18"/>
        <v>3899557.769</v>
      </c>
      <c r="AZ22" s="164">
        <f t="shared" si="18"/>
        <v>4073318.095</v>
      </c>
      <c r="BA22" s="164">
        <f t="shared" si="18"/>
        <v>4104264.349</v>
      </c>
      <c r="BB22" s="164">
        <f t="shared" si="18"/>
        <v>4147652.518</v>
      </c>
      <c r="BC22" s="164">
        <f t="shared" si="18"/>
        <v>4203892.505</v>
      </c>
      <c r="BD22" s="164">
        <f t="shared" si="18"/>
        <v>4263598.691</v>
      </c>
      <c r="BE22" s="164">
        <f t="shared" si="18"/>
        <v>4325695.573</v>
      </c>
      <c r="BF22" s="164">
        <f t="shared" si="18"/>
        <v>4387113.817</v>
      </c>
      <c r="BG22" s="164">
        <f t="shared" si="18"/>
        <v>4461262.247</v>
      </c>
      <c r="BH22" s="164">
        <f t="shared" si="18"/>
        <v>4521109.201</v>
      </c>
      <c r="BI22" s="164">
        <f t="shared" si="18"/>
        <v>4580106.491</v>
      </c>
      <c r="BJ22" s="164">
        <f t="shared" si="18"/>
        <v>4638288.148</v>
      </c>
      <c r="BK22" s="164">
        <f t="shared" si="18"/>
        <v>4695693.717</v>
      </c>
      <c r="BL22" s="164">
        <f t="shared" si="18"/>
        <v>4820732.602</v>
      </c>
      <c r="BM22" s="164">
        <f t="shared" si="18"/>
        <v>4914856.216</v>
      </c>
      <c r="BN22" s="164">
        <f t="shared" si="18"/>
        <v>5006077.918</v>
      </c>
      <c r="BO22" s="164">
        <f t="shared" si="18"/>
        <v>5094952.155</v>
      </c>
      <c r="BP22" s="164">
        <f t="shared" si="18"/>
        <v>5181837.409</v>
      </c>
      <c r="BQ22" s="164">
        <f t="shared" si="18"/>
        <v>5266964.562</v>
      </c>
      <c r="BR22" s="164">
        <f t="shared" si="18"/>
        <v>5350509.62</v>
      </c>
      <c r="BS22" s="164">
        <f t="shared" si="18"/>
        <v>5432616.125</v>
      </c>
      <c r="BT22" s="164">
        <f t="shared" si="18"/>
        <v>5513405.239</v>
      </c>
      <c r="BU22" s="164">
        <f t="shared" si="18"/>
        <v>5592981.632</v>
      </c>
      <c r="BV22" s="164">
        <f t="shared" si="18"/>
        <v>5671437.41</v>
      </c>
      <c r="BW22" s="164">
        <f t="shared" si="18"/>
        <v>5748854.893</v>
      </c>
      <c r="BX22" s="164">
        <f t="shared" si="18"/>
        <v>5860742.345</v>
      </c>
      <c r="BY22" s="164">
        <f t="shared" si="18"/>
        <v>5947592.72</v>
      </c>
      <c r="BZ22" s="164">
        <f t="shared" si="18"/>
        <v>6026248.645</v>
      </c>
      <c r="CA22" s="164">
        <f t="shared" si="18"/>
        <v>6103350.145</v>
      </c>
      <c r="CB22" s="164">
        <f t="shared" si="18"/>
        <v>6180069.871</v>
      </c>
      <c r="CC22" s="164">
        <f t="shared" si="18"/>
        <v>6256437.323</v>
      </c>
      <c r="CD22" s="164">
        <f t="shared" si="18"/>
        <v>6332503.361</v>
      </c>
      <c r="CE22" s="164">
        <f t="shared" si="18"/>
        <v>6408317.12</v>
      </c>
      <c r="CF22" s="164">
        <f t="shared" si="18"/>
        <v>6483925.121</v>
      </c>
      <c r="CG22" s="164">
        <f t="shared" si="18"/>
        <v>6559372.097</v>
      </c>
      <c r="CH22" s="164">
        <f t="shared" si="18"/>
        <v>6634701.496</v>
      </c>
      <c r="CI22" s="164">
        <f t="shared" si="18"/>
        <v>6709955.734</v>
      </c>
      <c r="CJ22" s="164">
        <f t="shared" si="18"/>
        <v>6812868.679</v>
      </c>
      <c r="CK22" s="164">
        <f t="shared" si="18"/>
        <v>6860970.95</v>
      </c>
      <c r="CL22" s="164">
        <f t="shared" si="18"/>
        <v>6906949.871</v>
      </c>
      <c r="CM22" s="164">
        <f t="shared" si="18"/>
        <v>6955328.654</v>
      </c>
      <c r="CN22" s="164">
        <f t="shared" si="18"/>
        <v>7005105.221</v>
      </c>
      <c r="CO22" s="164">
        <f t="shared" si="18"/>
        <v>7055526.11</v>
      </c>
      <c r="CP22" s="164">
        <f t="shared" si="18"/>
        <v>7106276.176</v>
      </c>
      <c r="CQ22" s="164">
        <f t="shared" si="18"/>
        <v>7157194.211</v>
      </c>
      <c r="CR22" s="164">
        <f t="shared" si="18"/>
        <v>7208189.201</v>
      </c>
      <c r="CS22" s="164">
        <f t="shared" si="18"/>
        <v>7259209.016</v>
      </c>
      <c r="CT22" s="164">
        <f t="shared" si="18"/>
        <v>7310225.906</v>
      </c>
      <c r="CU22" s="164">
        <f t="shared" si="18"/>
        <v>7361228.504</v>
      </c>
      <c r="CV22" s="165"/>
      <c r="CW22" s="165"/>
      <c r="CX22" s="165"/>
      <c r="CY22" s="165"/>
      <c r="CZ22" s="165"/>
      <c r="DA22" s="165"/>
      <c r="DB22" s="165"/>
      <c r="DC22" s="165"/>
    </row>
    <row r="23" ht="15.75" customHeight="1">
      <c r="A23" s="146"/>
      <c r="B23" s="146"/>
      <c r="C23" s="160" t="s">
        <v>205</v>
      </c>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row>
    <row r="24" ht="15.75" customHeight="1">
      <c r="A24" s="146" t="s">
        <v>118</v>
      </c>
      <c r="B24" s="146" t="s">
        <v>63</v>
      </c>
      <c r="C24" s="160" t="s">
        <v>206</v>
      </c>
      <c r="D24" s="161">
        <f t="shared" ref="D24:AL24" si="19">RANDBETWEEN(1000,2500)</f>
        <v>1603</v>
      </c>
      <c r="E24" s="161">
        <f t="shared" si="19"/>
        <v>1080</v>
      </c>
      <c r="F24" s="161">
        <f t="shared" si="19"/>
        <v>1257</v>
      </c>
      <c r="G24" s="161">
        <f t="shared" si="19"/>
        <v>1007</v>
      </c>
      <c r="H24" s="161">
        <f t="shared" si="19"/>
        <v>1629</v>
      </c>
      <c r="I24" s="161">
        <f t="shared" si="19"/>
        <v>1561</v>
      </c>
      <c r="J24" s="161">
        <f t="shared" si="19"/>
        <v>1947</v>
      </c>
      <c r="K24" s="161">
        <f t="shared" si="19"/>
        <v>1150</v>
      </c>
      <c r="L24" s="161">
        <f t="shared" si="19"/>
        <v>1695</v>
      </c>
      <c r="M24" s="161">
        <f t="shared" si="19"/>
        <v>2363</v>
      </c>
      <c r="N24" s="161">
        <f t="shared" si="19"/>
        <v>1115</v>
      </c>
      <c r="O24" s="161">
        <f t="shared" si="19"/>
        <v>2254</v>
      </c>
      <c r="P24" s="161">
        <f t="shared" si="19"/>
        <v>2027</v>
      </c>
      <c r="Q24" s="161">
        <f t="shared" si="19"/>
        <v>1601</v>
      </c>
      <c r="R24" s="161">
        <f t="shared" si="19"/>
        <v>1938</v>
      </c>
      <c r="S24" s="161">
        <f t="shared" si="19"/>
        <v>1362</v>
      </c>
      <c r="T24" s="161">
        <f t="shared" si="19"/>
        <v>1809</v>
      </c>
      <c r="U24" s="161">
        <f t="shared" si="19"/>
        <v>2259</v>
      </c>
      <c r="V24" s="161">
        <f t="shared" si="19"/>
        <v>2068</v>
      </c>
      <c r="W24" s="161">
        <f t="shared" si="19"/>
        <v>1649</v>
      </c>
      <c r="X24" s="161">
        <f t="shared" si="19"/>
        <v>1704</v>
      </c>
      <c r="Y24" s="161">
        <f t="shared" si="19"/>
        <v>1894</v>
      </c>
      <c r="Z24" s="161">
        <f t="shared" si="19"/>
        <v>1862</v>
      </c>
      <c r="AA24" s="161">
        <f t="shared" si="19"/>
        <v>2477</v>
      </c>
      <c r="AB24" s="161">
        <f t="shared" si="19"/>
        <v>2418</v>
      </c>
      <c r="AC24" s="161">
        <f t="shared" si="19"/>
        <v>2036</v>
      </c>
      <c r="AD24" s="161">
        <f t="shared" si="19"/>
        <v>1968</v>
      </c>
      <c r="AE24" s="161">
        <f t="shared" si="19"/>
        <v>1396</v>
      </c>
      <c r="AF24" s="161">
        <f t="shared" si="19"/>
        <v>1045</v>
      </c>
      <c r="AG24" s="161">
        <f t="shared" si="19"/>
        <v>2360</v>
      </c>
      <c r="AH24" s="161">
        <f t="shared" si="19"/>
        <v>1206</v>
      </c>
      <c r="AI24" s="161">
        <f t="shared" si="19"/>
        <v>1864</v>
      </c>
      <c r="AJ24" s="161">
        <f t="shared" si="19"/>
        <v>2313</v>
      </c>
      <c r="AK24" s="161">
        <f t="shared" si="19"/>
        <v>2093</v>
      </c>
      <c r="AL24" s="161">
        <f t="shared" si="19"/>
        <v>1547</v>
      </c>
      <c r="AM24" s="162">
        <f>Headcount!S85</f>
        <v>91547</v>
      </c>
      <c r="AN24" s="162">
        <f>Headcount!T85</f>
        <v>95666.615</v>
      </c>
      <c r="AO24" s="162">
        <f>Headcount!U85</f>
        <v>106066.615</v>
      </c>
      <c r="AP24" s="162">
        <f>Headcount!V85</f>
        <v>116466.615</v>
      </c>
      <c r="AQ24" s="162">
        <f>Headcount!W85</f>
        <v>121666.615</v>
      </c>
      <c r="AR24" s="162">
        <f>Headcount!X85</f>
        <v>127141.6127</v>
      </c>
      <c r="AS24" s="162">
        <f>Headcount!Y85</f>
        <v>127141.6127</v>
      </c>
      <c r="AT24" s="162">
        <f>Headcount!Z85</f>
        <v>132341.6127</v>
      </c>
      <c r="AU24" s="162">
        <f>Headcount!AA85</f>
        <v>137541.6127</v>
      </c>
      <c r="AV24" s="162">
        <f>Headcount!AB85</f>
        <v>148930.9852</v>
      </c>
      <c r="AW24" s="162">
        <f>Headcount!AC85</f>
        <v>161064.6652</v>
      </c>
      <c r="AX24" s="162">
        <f>Headcount!AD85</f>
        <v>166264.6652</v>
      </c>
      <c r="AY24" s="162">
        <f>Headcount!AE85</f>
        <v>182280.6652</v>
      </c>
      <c r="AZ24" s="162">
        <f>Headcount!AF85</f>
        <v>200820.5319</v>
      </c>
      <c r="BA24" s="162">
        <f>Headcount!AG85</f>
        <v>223317.8119</v>
      </c>
      <c r="BB24" s="162">
        <f>Headcount!AH85</f>
        <v>234566.4519</v>
      </c>
      <c r="BC24" s="162">
        <f>Headcount!AI85</f>
        <v>234566.4519</v>
      </c>
      <c r="BD24" s="162">
        <f>Headcount!AJ85</f>
        <v>255197.7499</v>
      </c>
      <c r="BE24" s="162">
        <f>Headcount!AK85</f>
        <v>260605.7499</v>
      </c>
      <c r="BF24" s="162">
        <f>Headcount!AL85</f>
        <v>272304.3355</v>
      </c>
      <c r="BG24" s="162">
        <f>Headcount!AM85</f>
        <v>289852.2139</v>
      </c>
      <c r="BH24" s="162">
        <f>Headcount!AN85</f>
        <v>313144.8881</v>
      </c>
      <c r="BI24" s="162">
        <f>Headcount!AO85</f>
        <v>324843.4737</v>
      </c>
      <c r="BJ24" s="162">
        <f>Headcount!AP85</f>
        <v>342391.3521</v>
      </c>
      <c r="BK24" s="162">
        <f>Headcount!AQ85</f>
        <v>342391.3521</v>
      </c>
      <c r="BL24" s="162">
        <f>Headcount!AR85</f>
        <v>361936.299</v>
      </c>
      <c r="BM24" s="162">
        <f>Headcount!AS85</f>
        <v>398435.886</v>
      </c>
      <c r="BN24" s="162">
        <f>Headcount!AT85</f>
        <v>416685.6796</v>
      </c>
      <c r="BO24" s="162">
        <f>Headcount!AU85</f>
        <v>454901.4492</v>
      </c>
      <c r="BP24" s="162">
        <f>Headcount!AV85</f>
        <v>473097.5071</v>
      </c>
      <c r="BQ24" s="162">
        <f>Headcount!AW85</f>
        <v>485264.0361</v>
      </c>
      <c r="BR24" s="162">
        <f>Headcount!AX85</f>
        <v>504243.8214</v>
      </c>
      <c r="BS24" s="162">
        <f>Headcount!AY85</f>
        <v>510327.0859</v>
      </c>
      <c r="BT24" s="162">
        <f>Headcount!AZ85</f>
        <v>543393.3596</v>
      </c>
      <c r="BU24" s="162">
        <f>Headcount!BA85</f>
        <v>562373.1448</v>
      </c>
      <c r="BV24" s="162">
        <f>Headcount!BB85</f>
        <v>562373.1448</v>
      </c>
      <c r="BW24" s="162">
        <f>Headcount!BC85</f>
        <v>593762.7897</v>
      </c>
      <c r="BX24" s="162">
        <f>Headcount!BD85</f>
        <v>643578.8731</v>
      </c>
      <c r="BY24" s="162">
        <f>Headcount!BE85</f>
        <v>840968.64</v>
      </c>
      <c r="BZ24" s="162">
        <f>Headcount!BF85</f>
        <v>926504.2056</v>
      </c>
      <c r="CA24" s="162">
        <f>Headcount!BG85</f>
        <v>941519.7464</v>
      </c>
      <c r="CB24" s="162">
        <f>Headcount!BH85</f>
        <v>992339.8541</v>
      </c>
      <c r="CC24" s="162">
        <f>Headcount!BI85</f>
        <v>998919.513</v>
      </c>
      <c r="CD24" s="162">
        <f>Headcount!BJ85</f>
        <v>1026290.894</v>
      </c>
      <c r="CE24" s="162">
        <f>Headcount!BK85</f>
        <v>1046819.43</v>
      </c>
      <c r="CF24" s="162">
        <f>Headcount!BL85</f>
        <v>1102377.897</v>
      </c>
      <c r="CG24" s="162">
        <f>Headcount!BM85</f>
        <v>1109220.743</v>
      </c>
      <c r="CH24" s="162">
        <f>Headcount!BN85</f>
        <v>1150277.814</v>
      </c>
      <c r="CI24" s="162">
        <f>Headcount!BO85</f>
        <v>1150277.814</v>
      </c>
      <c r="CJ24" s="162">
        <f>Headcount!BP85</f>
        <v>1210522.045</v>
      </c>
      <c r="CK24" s="162">
        <f>Headcount!BQ85</f>
        <v>1246104.84</v>
      </c>
      <c r="CL24" s="162">
        <f>Headcount!BR85</f>
        <v>1260337.958</v>
      </c>
      <c r="CM24" s="162">
        <f>Headcount!BS85</f>
        <v>1281687.635</v>
      </c>
      <c r="CN24" s="162">
        <f>Headcount!BT85</f>
        <v>1332955.141</v>
      </c>
      <c r="CO24" s="162">
        <f>Headcount!BU85</f>
        <v>1361421.377</v>
      </c>
      <c r="CP24" s="162">
        <f>Headcount!BV85</f>
        <v>1375654.495</v>
      </c>
      <c r="CQ24" s="162">
        <f>Headcount!BW85</f>
        <v>1375654.495</v>
      </c>
      <c r="CR24" s="162">
        <f>Headcount!BX85</f>
        <v>1444913.793</v>
      </c>
      <c r="CS24" s="162">
        <f>Headcount!BY85</f>
        <v>1444913.793</v>
      </c>
      <c r="CT24" s="162">
        <f>Headcount!BZ85</f>
        <v>1473380.029</v>
      </c>
      <c r="CU24" s="162">
        <f>Headcount!CA85</f>
        <v>1494729.707</v>
      </c>
      <c r="CV24" s="162"/>
      <c r="CW24" s="162"/>
      <c r="CX24" s="162"/>
      <c r="CY24" s="162"/>
      <c r="CZ24" s="162"/>
      <c r="DA24" s="162"/>
      <c r="DB24" s="162"/>
      <c r="DC24" s="162"/>
    </row>
    <row r="25" ht="15.75" customHeight="1">
      <c r="A25" s="146" t="s">
        <v>118</v>
      </c>
      <c r="B25" s="146" t="s">
        <v>63</v>
      </c>
      <c r="C25" s="160" t="s">
        <v>207</v>
      </c>
      <c r="D25" s="161">
        <f t="shared" ref="D25:AL25" si="20">RANDBETWEEN(1000,2500)</f>
        <v>1971</v>
      </c>
      <c r="E25" s="161">
        <f t="shared" si="20"/>
        <v>1234</v>
      </c>
      <c r="F25" s="161">
        <f t="shared" si="20"/>
        <v>1186</v>
      </c>
      <c r="G25" s="161">
        <f t="shared" si="20"/>
        <v>1571</v>
      </c>
      <c r="H25" s="161">
        <f t="shared" si="20"/>
        <v>1369</v>
      </c>
      <c r="I25" s="161">
        <f t="shared" si="20"/>
        <v>2463</v>
      </c>
      <c r="J25" s="161">
        <f t="shared" si="20"/>
        <v>1454</v>
      </c>
      <c r="K25" s="161">
        <f t="shared" si="20"/>
        <v>2103</v>
      </c>
      <c r="L25" s="161">
        <f t="shared" si="20"/>
        <v>1300</v>
      </c>
      <c r="M25" s="161">
        <f t="shared" si="20"/>
        <v>1514</v>
      </c>
      <c r="N25" s="161">
        <f t="shared" si="20"/>
        <v>1536</v>
      </c>
      <c r="O25" s="161">
        <f t="shared" si="20"/>
        <v>2349</v>
      </c>
      <c r="P25" s="161">
        <f t="shared" si="20"/>
        <v>1201</v>
      </c>
      <c r="Q25" s="161">
        <f t="shared" si="20"/>
        <v>1728</v>
      </c>
      <c r="R25" s="161">
        <f t="shared" si="20"/>
        <v>1697</v>
      </c>
      <c r="S25" s="161">
        <f t="shared" si="20"/>
        <v>1415</v>
      </c>
      <c r="T25" s="161">
        <f t="shared" si="20"/>
        <v>1893</v>
      </c>
      <c r="U25" s="161">
        <f t="shared" si="20"/>
        <v>1142</v>
      </c>
      <c r="V25" s="161">
        <f t="shared" si="20"/>
        <v>1828</v>
      </c>
      <c r="W25" s="161">
        <f t="shared" si="20"/>
        <v>2000</v>
      </c>
      <c r="X25" s="161">
        <f t="shared" si="20"/>
        <v>1375</v>
      </c>
      <c r="Y25" s="161">
        <f t="shared" si="20"/>
        <v>1410</v>
      </c>
      <c r="Z25" s="161">
        <f t="shared" si="20"/>
        <v>2441</v>
      </c>
      <c r="AA25" s="161">
        <f t="shared" si="20"/>
        <v>2367</v>
      </c>
      <c r="AB25" s="161">
        <f t="shared" si="20"/>
        <v>1270</v>
      </c>
      <c r="AC25" s="161">
        <f t="shared" si="20"/>
        <v>1869</v>
      </c>
      <c r="AD25" s="161">
        <f t="shared" si="20"/>
        <v>2247</v>
      </c>
      <c r="AE25" s="161">
        <f t="shared" si="20"/>
        <v>2204</v>
      </c>
      <c r="AF25" s="161">
        <f t="shared" si="20"/>
        <v>1149</v>
      </c>
      <c r="AG25" s="161">
        <f t="shared" si="20"/>
        <v>1066</v>
      </c>
      <c r="AH25" s="161">
        <f t="shared" si="20"/>
        <v>1254</v>
      </c>
      <c r="AI25" s="161">
        <f t="shared" si="20"/>
        <v>1365</v>
      </c>
      <c r="AJ25" s="161">
        <f t="shared" si="20"/>
        <v>1838</v>
      </c>
      <c r="AK25" s="161">
        <f t="shared" si="20"/>
        <v>1436</v>
      </c>
      <c r="AL25" s="161">
        <f t="shared" si="20"/>
        <v>2146</v>
      </c>
      <c r="AM25" s="162">
        <f>Headcount!S166</f>
        <v>40000</v>
      </c>
      <c r="AN25" s="162">
        <f>Headcount!T166</f>
        <v>45000</v>
      </c>
      <c r="AO25" s="162">
        <f>Headcount!U166</f>
        <v>45000</v>
      </c>
      <c r="AP25" s="162">
        <f>Headcount!V166</f>
        <v>45000</v>
      </c>
      <c r="AQ25" s="162">
        <f>Headcount!W166</f>
        <v>45000</v>
      </c>
      <c r="AR25" s="162">
        <f>Headcount!X166</f>
        <v>45000</v>
      </c>
      <c r="AS25" s="162">
        <f>Headcount!Y166</f>
        <v>45000</v>
      </c>
      <c r="AT25" s="162">
        <f>Headcount!Z166</f>
        <v>60000</v>
      </c>
      <c r="AU25" s="162">
        <f>Headcount!AA166</f>
        <v>60000</v>
      </c>
      <c r="AV25" s="162">
        <f>Headcount!AB166</f>
        <v>60000</v>
      </c>
      <c r="AW25" s="162">
        <f>Headcount!AC166</f>
        <v>60000</v>
      </c>
      <c r="AX25" s="162">
        <f>Headcount!AD166</f>
        <v>60000</v>
      </c>
      <c r="AY25" s="162">
        <f>Headcount!AE166</f>
        <v>60000</v>
      </c>
      <c r="AZ25" s="162">
        <f>Headcount!AF166</f>
        <v>80000</v>
      </c>
      <c r="BA25" s="162">
        <f>Headcount!AG166</f>
        <v>80000</v>
      </c>
      <c r="BB25" s="162">
        <f>Headcount!AH166</f>
        <v>80000</v>
      </c>
      <c r="BC25" s="162">
        <f>Headcount!AI166</f>
        <v>80000</v>
      </c>
      <c r="BD25" s="162">
        <f>Headcount!AJ166</f>
        <v>80000</v>
      </c>
      <c r="BE25" s="162">
        <f>Headcount!AK166</f>
        <v>80000</v>
      </c>
      <c r="BF25" s="162">
        <f>Headcount!AL166</f>
        <v>100000</v>
      </c>
      <c r="BG25" s="162">
        <f>Headcount!AM166</f>
        <v>100000</v>
      </c>
      <c r="BH25" s="162">
        <f>Headcount!AN166</f>
        <v>100000</v>
      </c>
      <c r="BI25" s="162">
        <f>Headcount!AO166</f>
        <v>100000</v>
      </c>
      <c r="BJ25" s="162">
        <f>Headcount!AP166</f>
        <v>100000</v>
      </c>
      <c r="BK25" s="162">
        <f>Headcount!AQ166</f>
        <v>100000</v>
      </c>
      <c r="BL25" s="162">
        <f>Headcount!AR166</f>
        <v>100000</v>
      </c>
      <c r="BM25" s="162">
        <f>Headcount!AS166</f>
        <v>100000</v>
      </c>
      <c r="BN25" s="162">
        <f>Headcount!AT166</f>
        <v>100000</v>
      </c>
      <c r="BO25" s="162">
        <f>Headcount!AU166</f>
        <v>100000</v>
      </c>
      <c r="BP25" s="162">
        <f>Headcount!AV166</f>
        <v>100000</v>
      </c>
      <c r="BQ25" s="162">
        <f>Headcount!AW166</f>
        <v>100000</v>
      </c>
      <c r="BR25" s="162">
        <f>Headcount!AX166</f>
        <v>100000</v>
      </c>
      <c r="BS25" s="162">
        <f>Headcount!AY166</f>
        <v>100000</v>
      </c>
      <c r="BT25" s="162">
        <f>Headcount!AZ166</f>
        <v>100000</v>
      </c>
      <c r="BU25" s="162">
        <f>Headcount!BA166</f>
        <v>100000</v>
      </c>
      <c r="BV25" s="162">
        <f>Headcount!BB166</f>
        <v>100000</v>
      </c>
      <c r="BW25" s="162">
        <f>Headcount!BC166</f>
        <v>100000</v>
      </c>
      <c r="BX25" s="162">
        <f>Headcount!BD166</f>
        <v>100000</v>
      </c>
      <c r="BY25" s="162">
        <f>Headcount!BE166</f>
        <v>100000</v>
      </c>
      <c r="BZ25" s="162">
        <f>Headcount!BF166</f>
        <v>100000</v>
      </c>
      <c r="CA25" s="162">
        <f>Headcount!BG166</f>
        <v>100000</v>
      </c>
      <c r="CB25" s="162">
        <f>Headcount!BH166</f>
        <v>100000</v>
      </c>
      <c r="CC25" s="162">
        <f>Headcount!BI166</f>
        <v>100000</v>
      </c>
      <c r="CD25" s="162">
        <f>Headcount!BJ166</f>
        <v>100000</v>
      </c>
      <c r="CE25" s="162">
        <f>Headcount!BK166</f>
        <v>100000</v>
      </c>
      <c r="CF25" s="162">
        <f>Headcount!BL166</f>
        <v>100000</v>
      </c>
      <c r="CG25" s="162">
        <f>Headcount!BM166</f>
        <v>100000</v>
      </c>
      <c r="CH25" s="162">
        <f>Headcount!BN166</f>
        <v>100000</v>
      </c>
      <c r="CI25" s="162">
        <f>Headcount!BO166</f>
        <v>100000</v>
      </c>
      <c r="CJ25" s="162">
        <f>Headcount!BP166</f>
        <v>100000</v>
      </c>
      <c r="CK25" s="162">
        <f>Headcount!BQ166</f>
        <v>100000</v>
      </c>
      <c r="CL25" s="162">
        <f>Headcount!BR166</f>
        <v>100000</v>
      </c>
      <c r="CM25" s="162">
        <f>Headcount!BS166</f>
        <v>100000</v>
      </c>
      <c r="CN25" s="162">
        <f>Headcount!BT166</f>
        <v>100000</v>
      </c>
      <c r="CO25" s="162">
        <f>Headcount!BU166</f>
        <v>100000</v>
      </c>
      <c r="CP25" s="162">
        <f>Headcount!BV166</f>
        <v>100000</v>
      </c>
      <c r="CQ25" s="162">
        <f>Headcount!BW166</f>
        <v>100000</v>
      </c>
      <c r="CR25" s="162">
        <f>Headcount!BX166</f>
        <v>100000</v>
      </c>
      <c r="CS25" s="162">
        <f>Headcount!BY166</f>
        <v>100000</v>
      </c>
      <c r="CT25" s="162">
        <f>Headcount!BZ166</f>
        <v>100000</v>
      </c>
      <c r="CU25" s="162">
        <f>Headcount!CA166</f>
        <v>100000</v>
      </c>
      <c r="CV25" s="162"/>
      <c r="CW25" s="162"/>
      <c r="CX25" s="162"/>
      <c r="CY25" s="162"/>
      <c r="CZ25" s="162"/>
      <c r="DA25" s="162"/>
      <c r="DB25" s="162"/>
      <c r="DC25" s="162"/>
    </row>
    <row r="26" ht="15.75" customHeight="1">
      <c r="A26" s="146"/>
      <c r="B26" s="146"/>
      <c r="C26" s="160" t="s">
        <v>208</v>
      </c>
      <c r="D26" s="163">
        <f t="shared" ref="D26:CU26" si="21">SUM(D24:D25)</f>
        <v>3574</v>
      </c>
      <c r="E26" s="163">
        <f t="shared" si="21"/>
        <v>2314</v>
      </c>
      <c r="F26" s="163">
        <f t="shared" si="21"/>
        <v>2443</v>
      </c>
      <c r="G26" s="163">
        <f t="shared" si="21"/>
        <v>2578</v>
      </c>
      <c r="H26" s="163">
        <f t="shared" si="21"/>
        <v>2998</v>
      </c>
      <c r="I26" s="163">
        <f t="shared" si="21"/>
        <v>4024</v>
      </c>
      <c r="J26" s="163">
        <f t="shared" si="21"/>
        <v>3401</v>
      </c>
      <c r="K26" s="163">
        <f t="shared" si="21"/>
        <v>3253</v>
      </c>
      <c r="L26" s="163">
        <f t="shared" si="21"/>
        <v>2995</v>
      </c>
      <c r="M26" s="163">
        <f t="shared" si="21"/>
        <v>3877</v>
      </c>
      <c r="N26" s="163">
        <f t="shared" si="21"/>
        <v>2651</v>
      </c>
      <c r="O26" s="163">
        <f t="shared" si="21"/>
        <v>4603</v>
      </c>
      <c r="P26" s="163">
        <f t="shared" si="21"/>
        <v>3228</v>
      </c>
      <c r="Q26" s="163">
        <f t="shared" si="21"/>
        <v>3329</v>
      </c>
      <c r="R26" s="163">
        <f t="shared" si="21"/>
        <v>3635</v>
      </c>
      <c r="S26" s="163">
        <f t="shared" si="21"/>
        <v>2777</v>
      </c>
      <c r="T26" s="163">
        <f t="shared" si="21"/>
        <v>3702</v>
      </c>
      <c r="U26" s="163">
        <f t="shared" si="21"/>
        <v>3401</v>
      </c>
      <c r="V26" s="163">
        <f t="shared" si="21"/>
        <v>3896</v>
      </c>
      <c r="W26" s="163">
        <f t="shared" si="21"/>
        <v>3649</v>
      </c>
      <c r="X26" s="163">
        <f t="shared" si="21"/>
        <v>3079</v>
      </c>
      <c r="Y26" s="163">
        <f t="shared" si="21"/>
        <v>3304</v>
      </c>
      <c r="Z26" s="163">
        <f t="shared" si="21"/>
        <v>4303</v>
      </c>
      <c r="AA26" s="163">
        <f t="shared" si="21"/>
        <v>4844</v>
      </c>
      <c r="AB26" s="163">
        <f t="shared" si="21"/>
        <v>3688</v>
      </c>
      <c r="AC26" s="163">
        <f t="shared" si="21"/>
        <v>3905</v>
      </c>
      <c r="AD26" s="163">
        <f t="shared" si="21"/>
        <v>4215</v>
      </c>
      <c r="AE26" s="163">
        <f t="shared" si="21"/>
        <v>3600</v>
      </c>
      <c r="AF26" s="163">
        <f t="shared" si="21"/>
        <v>2194</v>
      </c>
      <c r="AG26" s="163">
        <f t="shared" si="21"/>
        <v>3426</v>
      </c>
      <c r="AH26" s="163">
        <f t="shared" si="21"/>
        <v>2460</v>
      </c>
      <c r="AI26" s="163">
        <f t="shared" si="21"/>
        <v>3229</v>
      </c>
      <c r="AJ26" s="163">
        <f t="shared" si="21"/>
        <v>4151</v>
      </c>
      <c r="AK26" s="163">
        <f t="shared" si="21"/>
        <v>3529</v>
      </c>
      <c r="AL26" s="163">
        <f t="shared" si="21"/>
        <v>3693</v>
      </c>
      <c r="AM26" s="164">
        <f t="shared" si="21"/>
        <v>131547</v>
      </c>
      <c r="AN26" s="164">
        <f t="shared" si="21"/>
        <v>140666.615</v>
      </c>
      <c r="AO26" s="164">
        <f t="shared" si="21"/>
        <v>151066.615</v>
      </c>
      <c r="AP26" s="164">
        <f t="shared" si="21"/>
        <v>161466.615</v>
      </c>
      <c r="AQ26" s="164">
        <f t="shared" si="21"/>
        <v>166666.615</v>
      </c>
      <c r="AR26" s="164">
        <f t="shared" si="21"/>
        <v>172141.6127</v>
      </c>
      <c r="AS26" s="164">
        <f t="shared" si="21"/>
        <v>172141.6127</v>
      </c>
      <c r="AT26" s="164">
        <f t="shared" si="21"/>
        <v>192341.6127</v>
      </c>
      <c r="AU26" s="164">
        <f t="shared" si="21"/>
        <v>197541.6127</v>
      </c>
      <c r="AV26" s="164">
        <f t="shared" si="21"/>
        <v>208930.9852</v>
      </c>
      <c r="AW26" s="164">
        <f t="shared" si="21"/>
        <v>221064.6652</v>
      </c>
      <c r="AX26" s="164">
        <f t="shared" si="21"/>
        <v>226264.6652</v>
      </c>
      <c r="AY26" s="164">
        <f t="shared" si="21"/>
        <v>242280.6652</v>
      </c>
      <c r="AZ26" s="164">
        <f t="shared" si="21"/>
        <v>280820.5319</v>
      </c>
      <c r="BA26" s="164">
        <f t="shared" si="21"/>
        <v>303317.8119</v>
      </c>
      <c r="BB26" s="164">
        <f t="shared" si="21"/>
        <v>314566.4519</v>
      </c>
      <c r="BC26" s="164">
        <f t="shared" si="21"/>
        <v>314566.4519</v>
      </c>
      <c r="BD26" s="164">
        <f t="shared" si="21"/>
        <v>335197.7499</v>
      </c>
      <c r="BE26" s="164">
        <f t="shared" si="21"/>
        <v>340605.7499</v>
      </c>
      <c r="BF26" s="164">
        <f t="shared" si="21"/>
        <v>372304.3355</v>
      </c>
      <c r="BG26" s="164">
        <f t="shared" si="21"/>
        <v>389852.2139</v>
      </c>
      <c r="BH26" s="164">
        <f t="shared" si="21"/>
        <v>413144.8881</v>
      </c>
      <c r="BI26" s="164">
        <f t="shared" si="21"/>
        <v>424843.4737</v>
      </c>
      <c r="BJ26" s="164">
        <f t="shared" si="21"/>
        <v>442391.3521</v>
      </c>
      <c r="BK26" s="164">
        <f t="shared" si="21"/>
        <v>442391.3521</v>
      </c>
      <c r="BL26" s="164">
        <f t="shared" si="21"/>
        <v>461936.299</v>
      </c>
      <c r="BM26" s="164">
        <f t="shared" si="21"/>
        <v>498435.886</v>
      </c>
      <c r="BN26" s="164">
        <f t="shared" si="21"/>
        <v>516685.6796</v>
      </c>
      <c r="BO26" s="164">
        <f t="shared" si="21"/>
        <v>554901.4492</v>
      </c>
      <c r="BP26" s="164">
        <f t="shared" si="21"/>
        <v>573097.5071</v>
      </c>
      <c r="BQ26" s="164">
        <f t="shared" si="21"/>
        <v>585264.0361</v>
      </c>
      <c r="BR26" s="164">
        <f t="shared" si="21"/>
        <v>604243.8214</v>
      </c>
      <c r="BS26" s="164">
        <f t="shared" si="21"/>
        <v>610327.0859</v>
      </c>
      <c r="BT26" s="164">
        <f t="shared" si="21"/>
        <v>643393.3596</v>
      </c>
      <c r="BU26" s="164">
        <f t="shared" si="21"/>
        <v>662373.1448</v>
      </c>
      <c r="BV26" s="164">
        <f t="shared" si="21"/>
        <v>662373.1448</v>
      </c>
      <c r="BW26" s="164">
        <f t="shared" si="21"/>
        <v>693762.7897</v>
      </c>
      <c r="BX26" s="164">
        <f t="shared" si="21"/>
        <v>743578.8731</v>
      </c>
      <c r="BY26" s="164">
        <f t="shared" si="21"/>
        <v>940968.64</v>
      </c>
      <c r="BZ26" s="164">
        <f t="shared" si="21"/>
        <v>1026504.206</v>
      </c>
      <c r="CA26" s="164">
        <f t="shared" si="21"/>
        <v>1041519.746</v>
      </c>
      <c r="CB26" s="164">
        <f t="shared" si="21"/>
        <v>1092339.854</v>
      </c>
      <c r="CC26" s="164">
        <f t="shared" si="21"/>
        <v>1098919.513</v>
      </c>
      <c r="CD26" s="164">
        <f t="shared" si="21"/>
        <v>1126290.894</v>
      </c>
      <c r="CE26" s="164">
        <f t="shared" si="21"/>
        <v>1146819.43</v>
      </c>
      <c r="CF26" s="164">
        <f t="shared" si="21"/>
        <v>1202377.897</v>
      </c>
      <c r="CG26" s="164">
        <f t="shared" si="21"/>
        <v>1209220.743</v>
      </c>
      <c r="CH26" s="164">
        <f t="shared" si="21"/>
        <v>1250277.814</v>
      </c>
      <c r="CI26" s="164">
        <f t="shared" si="21"/>
        <v>1250277.814</v>
      </c>
      <c r="CJ26" s="164">
        <f t="shared" si="21"/>
        <v>1310522.045</v>
      </c>
      <c r="CK26" s="164">
        <f t="shared" si="21"/>
        <v>1346104.84</v>
      </c>
      <c r="CL26" s="164">
        <f t="shared" si="21"/>
        <v>1360337.958</v>
      </c>
      <c r="CM26" s="164">
        <f t="shared" si="21"/>
        <v>1381687.635</v>
      </c>
      <c r="CN26" s="164">
        <f t="shared" si="21"/>
        <v>1432955.141</v>
      </c>
      <c r="CO26" s="164">
        <f t="shared" si="21"/>
        <v>1461421.377</v>
      </c>
      <c r="CP26" s="164">
        <f t="shared" si="21"/>
        <v>1475654.495</v>
      </c>
      <c r="CQ26" s="164">
        <f t="shared" si="21"/>
        <v>1475654.495</v>
      </c>
      <c r="CR26" s="164">
        <f t="shared" si="21"/>
        <v>1544913.793</v>
      </c>
      <c r="CS26" s="164">
        <f t="shared" si="21"/>
        <v>1544913.793</v>
      </c>
      <c r="CT26" s="164">
        <f t="shared" si="21"/>
        <v>1573380.029</v>
      </c>
      <c r="CU26" s="164">
        <f t="shared" si="21"/>
        <v>1594729.707</v>
      </c>
      <c r="CV26" s="165"/>
      <c r="CW26" s="165"/>
      <c r="CX26" s="165"/>
      <c r="CY26" s="165"/>
      <c r="CZ26" s="165"/>
      <c r="DA26" s="165"/>
      <c r="DB26" s="165"/>
      <c r="DC26" s="165"/>
    </row>
    <row r="27" ht="15.75" customHeight="1">
      <c r="A27" s="146" t="s">
        <v>118</v>
      </c>
      <c r="B27" s="146" t="s">
        <v>63</v>
      </c>
      <c r="C27" s="160" t="s">
        <v>209</v>
      </c>
      <c r="D27" s="161">
        <f t="shared" ref="D27:AL27" si="22">RANDBETWEEN(1000,2500)</f>
        <v>1302</v>
      </c>
      <c r="E27" s="161">
        <f t="shared" si="22"/>
        <v>2040</v>
      </c>
      <c r="F27" s="161">
        <f t="shared" si="22"/>
        <v>1028</v>
      </c>
      <c r="G27" s="161">
        <f t="shared" si="22"/>
        <v>1606</v>
      </c>
      <c r="H27" s="161">
        <f t="shared" si="22"/>
        <v>2438</v>
      </c>
      <c r="I27" s="161">
        <f t="shared" si="22"/>
        <v>1687</v>
      </c>
      <c r="J27" s="161">
        <f t="shared" si="22"/>
        <v>2284</v>
      </c>
      <c r="K27" s="161">
        <f t="shared" si="22"/>
        <v>1575</v>
      </c>
      <c r="L27" s="161">
        <f t="shared" si="22"/>
        <v>1509</v>
      </c>
      <c r="M27" s="161">
        <f t="shared" si="22"/>
        <v>2359</v>
      </c>
      <c r="N27" s="161">
        <f t="shared" si="22"/>
        <v>1894</v>
      </c>
      <c r="O27" s="161">
        <f t="shared" si="22"/>
        <v>1273</v>
      </c>
      <c r="P27" s="161">
        <f t="shared" si="22"/>
        <v>1292</v>
      </c>
      <c r="Q27" s="161">
        <f t="shared" si="22"/>
        <v>1523</v>
      </c>
      <c r="R27" s="161">
        <f t="shared" si="22"/>
        <v>1730</v>
      </c>
      <c r="S27" s="161">
        <f t="shared" si="22"/>
        <v>2337</v>
      </c>
      <c r="T27" s="161">
        <f t="shared" si="22"/>
        <v>1097</v>
      </c>
      <c r="U27" s="161">
        <f t="shared" si="22"/>
        <v>1485</v>
      </c>
      <c r="V27" s="161">
        <f t="shared" si="22"/>
        <v>2194</v>
      </c>
      <c r="W27" s="161">
        <f t="shared" si="22"/>
        <v>2036</v>
      </c>
      <c r="X27" s="161">
        <f t="shared" si="22"/>
        <v>2368</v>
      </c>
      <c r="Y27" s="161">
        <f t="shared" si="22"/>
        <v>1573</v>
      </c>
      <c r="Z27" s="161">
        <f t="shared" si="22"/>
        <v>2007</v>
      </c>
      <c r="AA27" s="161">
        <f t="shared" si="22"/>
        <v>2149</v>
      </c>
      <c r="AB27" s="161">
        <f t="shared" si="22"/>
        <v>1138</v>
      </c>
      <c r="AC27" s="161">
        <f t="shared" si="22"/>
        <v>1200</v>
      </c>
      <c r="AD27" s="161">
        <f t="shared" si="22"/>
        <v>1358</v>
      </c>
      <c r="AE27" s="161">
        <f t="shared" si="22"/>
        <v>1705</v>
      </c>
      <c r="AF27" s="161">
        <f t="shared" si="22"/>
        <v>1884</v>
      </c>
      <c r="AG27" s="161">
        <f t="shared" si="22"/>
        <v>1796</v>
      </c>
      <c r="AH27" s="161">
        <f t="shared" si="22"/>
        <v>2436</v>
      </c>
      <c r="AI27" s="161">
        <f t="shared" si="22"/>
        <v>2113</v>
      </c>
      <c r="AJ27" s="161">
        <f t="shared" si="22"/>
        <v>1731</v>
      </c>
      <c r="AK27" s="161">
        <f t="shared" si="22"/>
        <v>1619</v>
      </c>
      <c r="AL27" s="161">
        <f t="shared" si="22"/>
        <v>1326</v>
      </c>
      <c r="AM27" s="166">
        <f t="array" ref="AM27">AM$24*INDEX(Headcount!$1:$395,MATCH($C27,Headcount!$A:$A,0),MATCH(AM$4,Headcount!$4:$4,0))</f>
        <v>9154.7</v>
      </c>
      <c r="AN27" s="166">
        <f t="array" ref="AN27">AN$24*INDEX(Headcount!$1:$395,MATCH($C27,Headcount!$A:$A,0),MATCH(AN$4,Headcount!$4:$4,0))</f>
        <v>9566.6615</v>
      </c>
      <c r="AO27" s="166">
        <f t="array" ref="AO27">AO$24*INDEX(Headcount!$1:$395,MATCH($C27,Headcount!$A:$A,0),MATCH(AO$4,Headcount!$4:$4,0))</f>
        <v>10606.6615</v>
      </c>
      <c r="AP27" s="166">
        <f t="array" ref="AP27">AP$24*INDEX(Headcount!$1:$395,MATCH($C27,Headcount!$A:$A,0),MATCH(AP$4,Headcount!$4:$4,0))</f>
        <v>11646.6615</v>
      </c>
      <c r="AQ27" s="166">
        <f t="array" ref="AQ27">AQ$24*INDEX(Headcount!$1:$395,MATCH($C27,Headcount!$A:$A,0),MATCH(AQ$4,Headcount!$4:$4,0))</f>
        <v>12166.6615</v>
      </c>
      <c r="AR27" s="166">
        <f t="array" ref="AR27">AR$24*INDEX(Headcount!$1:$395,MATCH($C27,Headcount!$A:$A,0),MATCH(AR$4,Headcount!$4:$4,0))</f>
        <v>12714.16127</v>
      </c>
      <c r="AS27" s="166">
        <f t="array" ref="AS27">AS$24*INDEX(Headcount!$1:$395,MATCH($C27,Headcount!$A:$A,0),MATCH(AS$4,Headcount!$4:$4,0))</f>
        <v>12714.16127</v>
      </c>
      <c r="AT27" s="166">
        <f t="array" ref="AT27">AT$24*INDEX(Headcount!$1:$395,MATCH($C27,Headcount!$A:$A,0),MATCH(AT$4,Headcount!$4:$4,0))</f>
        <v>13234.16127</v>
      </c>
      <c r="AU27" s="166">
        <f t="array" ref="AU27">AU$24*INDEX(Headcount!$1:$395,MATCH($C27,Headcount!$A:$A,0),MATCH(AU$4,Headcount!$4:$4,0))</f>
        <v>13754.16127</v>
      </c>
      <c r="AV27" s="166">
        <f t="array" ref="AV27">AV$24*INDEX(Headcount!$1:$395,MATCH($C27,Headcount!$A:$A,0),MATCH(AV$4,Headcount!$4:$4,0))</f>
        <v>14893.09852</v>
      </c>
      <c r="AW27" s="166">
        <f t="array" ref="AW27">AW$24*INDEX(Headcount!$1:$395,MATCH($C27,Headcount!$A:$A,0),MATCH(AW$4,Headcount!$4:$4,0))</f>
        <v>16106.46652</v>
      </c>
      <c r="AX27" s="166">
        <f t="array" ref="AX27">AX$24*INDEX(Headcount!$1:$395,MATCH($C27,Headcount!$A:$A,0),MATCH(AX$4,Headcount!$4:$4,0))</f>
        <v>16626.46652</v>
      </c>
      <c r="AY27" s="166">
        <f t="array" ref="AY27">AY$24*INDEX(Headcount!$1:$395,MATCH($C27,Headcount!$A:$A,0),MATCH(AY$4,Headcount!$4:$4,0))</f>
        <v>18228.06652</v>
      </c>
      <c r="AZ27" s="166">
        <f t="array" ref="AZ27">AZ$24*INDEX(Headcount!$1:$395,MATCH($C27,Headcount!$A:$A,0),MATCH(AZ$4,Headcount!$4:$4,0))</f>
        <v>20082.05319</v>
      </c>
      <c r="BA27" s="166">
        <f t="array" ref="BA27">BA$24*INDEX(Headcount!$1:$395,MATCH($C27,Headcount!$A:$A,0),MATCH(BA$4,Headcount!$4:$4,0))</f>
        <v>22331.78119</v>
      </c>
      <c r="BB27" s="166">
        <f t="array" ref="BB27">BB$24*INDEX(Headcount!$1:$395,MATCH($C27,Headcount!$A:$A,0),MATCH(BB$4,Headcount!$4:$4,0))</f>
        <v>23456.64519</v>
      </c>
      <c r="BC27" s="166">
        <f t="array" ref="BC27">BC$24*INDEX(Headcount!$1:$395,MATCH($C27,Headcount!$A:$A,0),MATCH(BC$4,Headcount!$4:$4,0))</f>
        <v>23456.64519</v>
      </c>
      <c r="BD27" s="166">
        <f t="array" ref="BD27">BD$24*INDEX(Headcount!$1:$395,MATCH($C27,Headcount!$A:$A,0),MATCH(BD$4,Headcount!$4:$4,0))</f>
        <v>25519.77499</v>
      </c>
      <c r="BE27" s="166">
        <f t="array" ref="BE27">BE$24*INDEX(Headcount!$1:$395,MATCH($C27,Headcount!$A:$A,0),MATCH(BE$4,Headcount!$4:$4,0))</f>
        <v>26060.57499</v>
      </c>
      <c r="BF27" s="166">
        <f t="array" ref="BF27">BF$24*INDEX(Headcount!$1:$395,MATCH($C27,Headcount!$A:$A,0),MATCH(BF$4,Headcount!$4:$4,0))</f>
        <v>27230.43355</v>
      </c>
      <c r="BG27" s="166">
        <f t="array" ref="BG27">BG$24*INDEX(Headcount!$1:$395,MATCH($C27,Headcount!$A:$A,0),MATCH(BG$4,Headcount!$4:$4,0))</f>
        <v>28985.22139</v>
      </c>
      <c r="BH27" s="166">
        <f t="array" ref="BH27">BH$24*INDEX(Headcount!$1:$395,MATCH($C27,Headcount!$A:$A,0),MATCH(BH$4,Headcount!$4:$4,0))</f>
        <v>31314.48881</v>
      </c>
      <c r="BI27" s="166">
        <f t="array" ref="BI27">BI$24*INDEX(Headcount!$1:$395,MATCH($C27,Headcount!$A:$A,0),MATCH(BI$4,Headcount!$4:$4,0))</f>
        <v>32484.34737</v>
      </c>
      <c r="BJ27" s="166">
        <f t="array" ref="BJ27">BJ$24*INDEX(Headcount!$1:$395,MATCH($C27,Headcount!$A:$A,0),MATCH(BJ$4,Headcount!$4:$4,0))</f>
        <v>34239.13521</v>
      </c>
      <c r="BK27" s="166">
        <f t="array" ref="BK27">BK$24*INDEX(Headcount!$1:$395,MATCH($C27,Headcount!$A:$A,0),MATCH(BK$4,Headcount!$4:$4,0))</f>
        <v>34239.13521</v>
      </c>
      <c r="BL27" s="166">
        <f t="array" ref="BL27">BL$24*INDEX(Headcount!$1:$395,MATCH($C27,Headcount!$A:$A,0),MATCH(BL$4,Headcount!$4:$4,0))</f>
        <v>36193.6299</v>
      </c>
      <c r="BM27" s="166">
        <f t="array" ref="BM27">BM$24*INDEX(Headcount!$1:$395,MATCH($C27,Headcount!$A:$A,0),MATCH(BM$4,Headcount!$4:$4,0))</f>
        <v>39843.5886</v>
      </c>
      <c r="BN27" s="166">
        <f t="array" ref="BN27">BN$24*INDEX(Headcount!$1:$395,MATCH($C27,Headcount!$A:$A,0),MATCH(BN$4,Headcount!$4:$4,0))</f>
        <v>41668.56796</v>
      </c>
      <c r="BO27" s="166">
        <f t="array" ref="BO27">BO$24*INDEX(Headcount!$1:$395,MATCH($C27,Headcount!$A:$A,0),MATCH(BO$4,Headcount!$4:$4,0))</f>
        <v>45490.14492</v>
      </c>
      <c r="BP27" s="166">
        <f t="array" ref="BP27">BP$24*INDEX(Headcount!$1:$395,MATCH($C27,Headcount!$A:$A,0),MATCH(BP$4,Headcount!$4:$4,0))</f>
        <v>47309.75071</v>
      </c>
      <c r="BQ27" s="166">
        <f t="array" ref="BQ27">BQ$24*INDEX(Headcount!$1:$395,MATCH($C27,Headcount!$A:$A,0),MATCH(BQ$4,Headcount!$4:$4,0))</f>
        <v>48526.40361</v>
      </c>
      <c r="BR27" s="166">
        <f t="array" ref="BR27">BR$24*INDEX(Headcount!$1:$395,MATCH($C27,Headcount!$A:$A,0),MATCH(BR$4,Headcount!$4:$4,0))</f>
        <v>50424.38214</v>
      </c>
      <c r="BS27" s="166">
        <f t="array" ref="BS27">BS$24*INDEX(Headcount!$1:$395,MATCH($C27,Headcount!$A:$A,0),MATCH(BS$4,Headcount!$4:$4,0))</f>
        <v>51032.70859</v>
      </c>
      <c r="BT27" s="166">
        <f t="array" ref="BT27">BT$24*INDEX(Headcount!$1:$395,MATCH($C27,Headcount!$A:$A,0),MATCH(BT$4,Headcount!$4:$4,0))</f>
        <v>54339.33596</v>
      </c>
      <c r="BU27" s="166">
        <f t="array" ref="BU27">BU$24*INDEX(Headcount!$1:$395,MATCH($C27,Headcount!$A:$A,0),MATCH(BU$4,Headcount!$4:$4,0))</f>
        <v>56237.31448</v>
      </c>
      <c r="BV27" s="166">
        <f t="array" ref="BV27">BV$24*INDEX(Headcount!$1:$395,MATCH($C27,Headcount!$A:$A,0),MATCH(BV$4,Headcount!$4:$4,0))</f>
        <v>56237.31448</v>
      </c>
      <c r="BW27" s="166">
        <f t="array" ref="BW27">BW$24*INDEX(Headcount!$1:$395,MATCH($C27,Headcount!$A:$A,0),MATCH(BW$4,Headcount!$4:$4,0))</f>
        <v>59376.27897</v>
      </c>
      <c r="BX27" s="166">
        <f t="array" ref="BX27">BX$24*INDEX(Headcount!$1:$395,MATCH($C27,Headcount!$A:$A,0),MATCH(BX$4,Headcount!$4:$4,0))</f>
        <v>64357.88731</v>
      </c>
      <c r="BY27" s="166">
        <f t="array" ref="BY27">BY$24*INDEX(Headcount!$1:$395,MATCH($C27,Headcount!$A:$A,0),MATCH(BY$4,Headcount!$4:$4,0))</f>
        <v>84096.864</v>
      </c>
      <c r="BZ27" s="166">
        <f t="array" ref="BZ27">BZ$24*INDEX(Headcount!$1:$395,MATCH($C27,Headcount!$A:$A,0),MATCH(BZ$4,Headcount!$4:$4,0))</f>
        <v>92650.42056</v>
      </c>
      <c r="CA27" s="166">
        <f t="array" ref="CA27">CA$24*INDEX(Headcount!$1:$395,MATCH($C27,Headcount!$A:$A,0),MATCH(CA$4,Headcount!$4:$4,0))</f>
        <v>94151.97464</v>
      </c>
      <c r="CB27" s="166">
        <f t="array" ref="CB27">CB$24*INDEX(Headcount!$1:$395,MATCH($C27,Headcount!$A:$A,0),MATCH(CB$4,Headcount!$4:$4,0))</f>
        <v>99233.98541</v>
      </c>
      <c r="CC27" s="166">
        <f t="array" ref="CC27">CC$24*INDEX(Headcount!$1:$395,MATCH($C27,Headcount!$A:$A,0),MATCH(CC$4,Headcount!$4:$4,0))</f>
        <v>99891.9513</v>
      </c>
      <c r="CD27" s="166">
        <f t="array" ref="CD27">CD$24*INDEX(Headcount!$1:$395,MATCH($C27,Headcount!$A:$A,0),MATCH(CD$4,Headcount!$4:$4,0))</f>
        <v>102629.0894</v>
      </c>
      <c r="CE27" s="166">
        <f t="array" ref="CE27">CE$24*INDEX(Headcount!$1:$395,MATCH($C27,Headcount!$A:$A,0),MATCH(CE$4,Headcount!$4:$4,0))</f>
        <v>104681.943</v>
      </c>
      <c r="CF27" s="166">
        <f t="array" ref="CF27">CF$24*INDEX(Headcount!$1:$395,MATCH($C27,Headcount!$A:$A,0),MATCH(CF$4,Headcount!$4:$4,0))</f>
        <v>110237.7897</v>
      </c>
      <c r="CG27" s="166">
        <f t="array" ref="CG27">CG$24*INDEX(Headcount!$1:$395,MATCH($C27,Headcount!$A:$A,0),MATCH(CG$4,Headcount!$4:$4,0))</f>
        <v>110922.0743</v>
      </c>
      <c r="CH27" s="166">
        <f t="array" ref="CH27">CH$24*INDEX(Headcount!$1:$395,MATCH($C27,Headcount!$A:$A,0),MATCH(CH$4,Headcount!$4:$4,0))</f>
        <v>115027.7814</v>
      </c>
      <c r="CI27" s="166">
        <f t="array" ref="CI27">CI$24*INDEX(Headcount!$1:$395,MATCH($C27,Headcount!$A:$A,0),MATCH(CI$4,Headcount!$4:$4,0))</f>
        <v>115027.7814</v>
      </c>
      <c r="CJ27" s="166">
        <f t="array" ref="CJ27">CJ$24*INDEX(Headcount!$1:$395,MATCH($C27,Headcount!$A:$A,0),MATCH(CJ$4,Headcount!$4:$4,0))</f>
        <v>121052.2045</v>
      </c>
      <c r="CK27" s="166">
        <f t="array" ref="CK27">CK$24*INDEX(Headcount!$1:$395,MATCH($C27,Headcount!$A:$A,0),MATCH(CK$4,Headcount!$4:$4,0))</f>
        <v>124610.484</v>
      </c>
      <c r="CL27" s="166">
        <f t="array" ref="CL27">CL$24*INDEX(Headcount!$1:$395,MATCH($C27,Headcount!$A:$A,0),MATCH(CL$4,Headcount!$4:$4,0))</f>
        <v>126033.7958</v>
      </c>
      <c r="CM27" s="166">
        <f t="array" ref="CM27">CM$24*INDEX(Headcount!$1:$395,MATCH($C27,Headcount!$A:$A,0),MATCH(CM$4,Headcount!$4:$4,0))</f>
        <v>128168.7635</v>
      </c>
      <c r="CN27" s="166">
        <f t="array" ref="CN27">CN$24*INDEX(Headcount!$1:$395,MATCH($C27,Headcount!$A:$A,0),MATCH(CN$4,Headcount!$4:$4,0))</f>
        <v>133295.5141</v>
      </c>
      <c r="CO27" s="166">
        <f t="array" ref="CO27">CO$24*INDEX(Headcount!$1:$395,MATCH($C27,Headcount!$A:$A,0),MATCH(CO$4,Headcount!$4:$4,0))</f>
        <v>136142.1377</v>
      </c>
      <c r="CP27" s="166">
        <f t="array" ref="CP27">CP$24*INDEX(Headcount!$1:$395,MATCH($C27,Headcount!$A:$A,0),MATCH(CP$4,Headcount!$4:$4,0))</f>
        <v>137565.4495</v>
      </c>
      <c r="CQ27" s="166">
        <f t="array" ref="CQ27">CQ$24*INDEX(Headcount!$1:$395,MATCH($C27,Headcount!$A:$A,0),MATCH(CQ$4,Headcount!$4:$4,0))</f>
        <v>137565.4495</v>
      </c>
      <c r="CR27" s="166">
        <f t="array" ref="CR27">CR$24*INDEX(Headcount!$1:$395,MATCH($C27,Headcount!$A:$A,0),MATCH(CR$4,Headcount!$4:$4,0))</f>
        <v>144491.3793</v>
      </c>
      <c r="CS27" s="166">
        <f t="array" ref="CS27">CS$24*INDEX(Headcount!$1:$395,MATCH($C27,Headcount!$A:$A,0),MATCH(CS$4,Headcount!$4:$4,0))</f>
        <v>144491.3793</v>
      </c>
      <c r="CT27" s="166">
        <f t="array" ref="CT27">CT$24*INDEX(Headcount!$1:$395,MATCH($C27,Headcount!$A:$A,0),MATCH(CT$4,Headcount!$4:$4,0))</f>
        <v>147338.0029</v>
      </c>
      <c r="CU27" s="166">
        <f t="array" ref="CU27">CU$24*INDEX(Headcount!$1:$395,MATCH($C27,Headcount!$A:$A,0),MATCH(CU$4,Headcount!$4:$4,0))</f>
        <v>149472.9707</v>
      </c>
      <c r="CV27" s="166"/>
      <c r="CW27" s="166"/>
      <c r="CX27" s="166"/>
      <c r="CY27" s="166"/>
      <c r="CZ27" s="166"/>
      <c r="DA27" s="166"/>
      <c r="DB27" s="166"/>
      <c r="DC27" s="166"/>
    </row>
    <row r="28" ht="15.75" customHeight="1">
      <c r="A28" s="146" t="s">
        <v>118</v>
      </c>
      <c r="B28" s="146" t="s">
        <v>63</v>
      </c>
      <c r="C28" s="160" t="s">
        <v>210</v>
      </c>
      <c r="D28" s="161">
        <f t="shared" ref="D28:AL28" si="23">RANDBETWEEN(1000,2500)</f>
        <v>2383</v>
      </c>
      <c r="E28" s="161">
        <f t="shared" si="23"/>
        <v>2497</v>
      </c>
      <c r="F28" s="161">
        <f t="shared" si="23"/>
        <v>1843</v>
      </c>
      <c r="G28" s="161">
        <f t="shared" si="23"/>
        <v>2299</v>
      </c>
      <c r="H28" s="161">
        <f t="shared" si="23"/>
        <v>1868</v>
      </c>
      <c r="I28" s="161">
        <f t="shared" si="23"/>
        <v>1865</v>
      </c>
      <c r="J28" s="161">
        <f t="shared" si="23"/>
        <v>1022</v>
      </c>
      <c r="K28" s="161">
        <f t="shared" si="23"/>
        <v>2037</v>
      </c>
      <c r="L28" s="161">
        <f t="shared" si="23"/>
        <v>2420</v>
      </c>
      <c r="M28" s="161">
        <f t="shared" si="23"/>
        <v>1927</v>
      </c>
      <c r="N28" s="161">
        <f t="shared" si="23"/>
        <v>2187</v>
      </c>
      <c r="O28" s="161">
        <f t="shared" si="23"/>
        <v>1527</v>
      </c>
      <c r="P28" s="161">
        <f t="shared" si="23"/>
        <v>1903</v>
      </c>
      <c r="Q28" s="161">
        <f t="shared" si="23"/>
        <v>1651</v>
      </c>
      <c r="R28" s="161">
        <f t="shared" si="23"/>
        <v>2237</v>
      </c>
      <c r="S28" s="161">
        <f t="shared" si="23"/>
        <v>1961</v>
      </c>
      <c r="T28" s="161">
        <f t="shared" si="23"/>
        <v>1045</v>
      </c>
      <c r="U28" s="161">
        <f t="shared" si="23"/>
        <v>2325</v>
      </c>
      <c r="V28" s="161">
        <f t="shared" si="23"/>
        <v>1186</v>
      </c>
      <c r="W28" s="161">
        <f t="shared" si="23"/>
        <v>2266</v>
      </c>
      <c r="X28" s="161">
        <f t="shared" si="23"/>
        <v>1778</v>
      </c>
      <c r="Y28" s="161">
        <f t="shared" si="23"/>
        <v>2235</v>
      </c>
      <c r="Z28" s="161">
        <f t="shared" si="23"/>
        <v>2185</v>
      </c>
      <c r="AA28" s="161">
        <f t="shared" si="23"/>
        <v>1477</v>
      </c>
      <c r="AB28" s="161">
        <f t="shared" si="23"/>
        <v>1443</v>
      </c>
      <c r="AC28" s="161">
        <f t="shared" si="23"/>
        <v>2226</v>
      </c>
      <c r="AD28" s="161">
        <f t="shared" si="23"/>
        <v>1415</v>
      </c>
      <c r="AE28" s="161">
        <f t="shared" si="23"/>
        <v>1481</v>
      </c>
      <c r="AF28" s="161">
        <f t="shared" si="23"/>
        <v>2385</v>
      </c>
      <c r="AG28" s="161">
        <f t="shared" si="23"/>
        <v>1128</v>
      </c>
      <c r="AH28" s="161">
        <f t="shared" si="23"/>
        <v>2374</v>
      </c>
      <c r="AI28" s="161">
        <f t="shared" si="23"/>
        <v>1131</v>
      </c>
      <c r="AJ28" s="161">
        <f t="shared" si="23"/>
        <v>2410</v>
      </c>
      <c r="AK28" s="161">
        <f t="shared" si="23"/>
        <v>2068</v>
      </c>
      <c r="AL28" s="161">
        <f t="shared" si="23"/>
        <v>2013</v>
      </c>
      <c r="AM28" s="166">
        <f t="array" ref="AM28">AM$24*INDEX(Headcount!$1:$395,MATCH($C28,Headcount!$A:$A,0),MATCH(AM$4,Headcount!$4:$4,0))</f>
        <v>13732.05</v>
      </c>
      <c r="AN28" s="166">
        <f t="array" ref="AN28">AN$24*INDEX(Headcount!$1:$395,MATCH($C28,Headcount!$A:$A,0),MATCH(AN$4,Headcount!$4:$4,0))</f>
        <v>14349.99225</v>
      </c>
      <c r="AO28" s="166">
        <f t="array" ref="AO28">AO$24*INDEX(Headcount!$1:$395,MATCH($C28,Headcount!$A:$A,0),MATCH(AO$4,Headcount!$4:$4,0))</f>
        <v>15909.99225</v>
      </c>
      <c r="AP28" s="166">
        <f t="array" ref="AP28">AP$24*INDEX(Headcount!$1:$395,MATCH($C28,Headcount!$A:$A,0),MATCH(AP$4,Headcount!$4:$4,0))</f>
        <v>17469.99225</v>
      </c>
      <c r="AQ28" s="166">
        <f t="array" ref="AQ28">AQ$24*INDEX(Headcount!$1:$395,MATCH($C28,Headcount!$A:$A,0),MATCH(AQ$4,Headcount!$4:$4,0))</f>
        <v>18249.99225</v>
      </c>
      <c r="AR28" s="166">
        <f t="array" ref="AR28">AR$24*INDEX(Headcount!$1:$395,MATCH($C28,Headcount!$A:$A,0),MATCH(AR$4,Headcount!$4:$4,0))</f>
        <v>19071.2419</v>
      </c>
      <c r="AS28" s="166">
        <f t="array" ref="AS28">AS$24*INDEX(Headcount!$1:$395,MATCH($C28,Headcount!$A:$A,0),MATCH(AS$4,Headcount!$4:$4,0))</f>
        <v>19071.2419</v>
      </c>
      <c r="AT28" s="166">
        <f t="array" ref="AT28">AT$24*INDEX(Headcount!$1:$395,MATCH($C28,Headcount!$A:$A,0),MATCH(AT$4,Headcount!$4:$4,0))</f>
        <v>19851.2419</v>
      </c>
      <c r="AU28" s="166">
        <f t="array" ref="AU28">AU$24*INDEX(Headcount!$1:$395,MATCH($C28,Headcount!$A:$A,0),MATCH(AU$4,Headcount!$4:$4,0))</f>
        <v>20631.2419</v>
      </c>
      <c r="AV28" s="166">
        <f t="array" ref="AV28">AV$24*INDEX(Headcount!$1:$395,MATCH($C28,Headcount!$A:$A,0),MATCH(AV$4,Headcount!$4:$4,0))</f>
        <v>22339.64779</v>
      </c>
      <c r="AW28" s="166">
        <f t="array" ref="AW28">AW$24*INDEX(Headcount!$1:$395,MATCH($C28,Headcount!$A:$A,0),MATCH(AW$4,Headcount!$4:$4,0))</f>
        <v>24159.69979</v>
      </c>
      <c r="AX28" s="166">
        <f t="array" ref="AX28">AX$24*INDEX(Headcount!$1:$395,MATCH($C28,Headcount!$A:$A,0),MATCH(AX$4,Headcount!$4:$4,0))</f>
        <v>24939.69979</v>
      </c>
      <c r="AY28" s="166">
        <f t="array" ref="AY28">AY$24*INDEX(Headcount!$1:$395,MATCH($C28,Headcount!$A:$A,0),MATCH(AY$4,Headcount!$4:$4,0))</f>
        <v>27342.09979</v>
      </c>
      <c r="AZ28" s="166">
        <f t="array" ref="AZ28">AZ$24*INDEX(Headcount!$1:$395,MATCH($C28,Headcount!$A:$A,0),MATCH(AZ$4,Headcount!$4:$4,0))</f>
        <v>13254.1551</v>
      </c>
      <c r="BA28" s="166">
        <f t="array" ref="BA28">BA$24*INDEX(Headcount!$1:$395,MATCH($C28,Headcount!$A:$A,0),MATCH(BA$4,Headcount!$4:$4,0))</f>
        <v>14738.97558</v>
      </c>
      <c r="BB28" s="166">
        <f t="array" ref="BB28">BB$24*INDEX(Headcount!$1:$395,MATCH($C28,Headcount!$A:$A,0),MATCH(BB$4,Headcount!$4:$4,0))</f>
        <v>15481.38582</v>
      </c>
      <c r="BC28" s="166">
        <f t="array" ref="BC28">BC$24*INDEX(Headcount!$1:$395,MATCH($C28,Headcount!$A:$A,0),MATCH(BC$4,Headcount!$4:$4,0))</f>
        <v>15481.38582</v>
      </c>
      <c r="BD28" s="166">
        <f t="array" ref="BD28">BD$24*INDEX(Headcount!$1:$395,MATCH($C28,Headcount!$A:$A,0),MATCH(BD$4,Headcount!$4:$4,0))</f>
        <v>16843.0515</v>
      </c>
      <c r="BE28" s="166">
        <f t="array" ref="BE28">BE$24*INDEX(Headcount!$1:$395,MATCH($C28,Headcount!$A:$A,0),MATCH(BE$4,Headcount!$4:$4,0))</f>
        <v>17199.9795</v>
      </c>
      <c r="BF28" s="166">
        <f t="array" ref="BF28">BF$24*INDEX(Headcount!$1:$395,MATCH($C28,Headcount!$A:$A,0),MATCH(BF$4,Headcount!$4:$4,0))</f>
        <v>17972.08614</v>
      </c>
      <c r="BG28" s="166">
        <f t="array" ref="BG28">BG$24*INDEX(Headcount!$1:$395,MATCH($C28,Headcount!$A:$A,0),MATCH(BG$4,Headcount!$4:$4,0))</f>
        <v>19130.24612</v>
      </c>
      <c r="BH28" s="166">
        <f t="array" ref="BH28">BH$24*INDEX(Headcount!$1:$395,MATCH($C28,Headcount!$A:$A,0),MATCH(BH$4,Headcount!$4:$4,0))</f>
        <v>20667.56261</v>
      </c>
      <c r="BI28" s="166">
        <f t="array" ref="BI28">BI$24*INDEX(Headcount!$1:$395,MATCH($C28,Headcount!$A:$A,0),MATCH(BI$4,Headcount!$4:$4,0))</f>
        <v>21439.66926</v>
      </c>
      <c r="BJ28" s="166">
        <f t="array" ref="BJ28">BJ$24*INDEX(Headcount!$1:$395,MATCH($C28,Headcount!$A:$A,0),MATCH(BJ$4,Headcount!$4:$4,0))</f>
        <v>22597.82924</v>
      </c>
      <c r="BK28" s="166">
        <f t="array" ref="BK28">BK$24*INDEX(Headcount!$1:$395,MATCH($C28,Headcount!$A:$A,0),MATCH(BK$4,Headcount!$4:$4,0))</f>
        <v>22597.82924</v>
      </c>
      <c r="BL28" s="166">
        <f t="array" ref="BL28">BL$24*INDEX(Headcount!$1:$395,MATCH($C28,Headcount!$A:$A,0),MATCH(BL$4,Headcount!$4:$4,0))</f>
        <v>24611.66833</v>
      </c>
      <c r="BM28" s="166">
        <f t="array" ref="BM28">BM$24*INDEX(Headcount!$1:$395,MATCH($C28,Headcount!$A:$A,0),MATCH(BM$4,Headcount!$4:$4,0))</f>
        <v>27093.64025</v>
      </c>
      <c r="BN28" s="166">
        <f t="array" ref="BN28">BN$24*INDEX(Headcount!$1:$395,MATCH($C28,Headcount!$A:$A,0),MATCH(BN$4,Headcount!$4:$4,0))</f>
        <v>28334.62621</v>
      </c>
      <c r="BO28" s="166">
        <f t="array" ref="BO28">BO$24*INDEX(Headcount!$1:$395,MATCH($C28,Headcount!$A:$A,0),MATCH(BO$4,Headcount!$4:$4,0))</f>
        <v>30933.29854</v>
      </c>
      <c r="BP28" s="166">
        <f t="array" ref="BP28">BP$24*INDEX(Headcount!$1:$395,MATCH($C28,Headcount!$A:$A,0),MATCH(BP$4,Headcount!$4:$4,0))</f>
        <v>32170.63048</v>
      </c>
      <c r="BQ28" s="166">
        <f t="array" ref="BQ28">BQ$24*INDEX(Headcount!$1:$395,MATCH($C28,Headcount!$A:$A,0),MATCH(BQ$4,Headcount!$4:$4,0))</f>
        <v>32997.95446</v>
      </c>
      <c r="BR28" s="166">
        <f t="array" ref="BR28">BR$24*INDEX(Headcount!$1:$395,MATCH($C28,Headcount!$A:$A,0),MATCH(BR$4,Headcount!$4:$4,0))</f>
        <v>34288.57986</v>
      </c>
      <c r="BS28" s="166">
        <f t="array" ref="BS28">BS$24*INDEX(Headcount!$1:$395,MATCH($C28,Headcount!$A:$A,0),MATCH(BS$4,Headcount!$4:$4,0))</f>
        <v>34702.24184</v>
      </c>
      <c r="BT28" s="166">
        <f t="array" ref="BT28">BT$24*INDEX(Headcount!$1:$395,MATCH($C28,Headcount!$A:$A,0),MATCH(BT$4,Headcount!$4:$4,0))</f>
        <v>36950.74845</v>
      </c>
      <c r="BU28" s="166">
        <f t="array" ref="BU28">BU$24*INDEX(Headcount!$1:$395,MATCH($C28,Headcount!$A:$A,0),MATCH(BU$4,Headcount!$4:$4,0))</f>
        <v>38241.37385</v>
      </c>
      <c r="BV28" s="166">
        <f t="array" ref="BV28">BV$24*INDEX(Headcount!$1:$395,MATCH($C28,Headcount!$A:$A,0),MATCH(BV$4,Headcount!$4:$4,0))</f>
        <v>38241.37385</v>
      </c>
      <c r="BW28" s="166">
        <f t="array" ref="BW28">BW$24*INDEX(Headcount!$1:$395,MATCH($C28,Headcount!$A:$A,0),MATCH(BW$4,Headcount!$4:$4,0))</f>
        <v>40375.8697</v>
      </c>
      <c r="BX28" s="166">
        <f t="array" ref="BX28">BX$24*INDEX(Headcount!$1:$395,MATCH($C28,Headcount!$A:$A,0),MATCH(BX$4,Headcount!$4:$4,0))</f>
        <v>45050.52112</v>
      </c>
      <c r="BY28" s="166">
        <f t="array" ref="BY28">BY$24*INDEX(Headcount!$1:$395,MATCH($C28,Headcount!$A:$A,0),MATCH(BY$4,Headcount!$4:$4,0))</f>
        <v>58867.8048</v>
      </c>
      <c r="BZ28" s="166">
        <f t="array" ref="BZ28">BZ$24*INDEX(Headcount!$1:$395,MATCH($C28,Headcount!$A:$A,0),MATCH(BZ$4,Headcount!$4:$4,0))</f>
        <v>64855.29439</v>
      </c>
      <c r="CA28" s="166">
        <f t="array" ref="CA28">CA$24*INDEX(Headcount!$1:$395,MATCH($C28,Headcount!$A:$A,0),MATCH(CA$4,Headcount!$4:$4,0))</f>
        <v>65906.38225</v>
      </c>
      <c r="CB28" s="166">
        <f t="array" ref="CB28">CB$24*INDEX(Headcount!$1:$395,MATCH($C28,Headcount!$A:$A,0),MATCH(CB$4,Headcount!$4:$4,0))</f>
        <v>69463.78978</v>
      </c>
      <c r="CC28" s="166">
        <f t="array" ref="CC28">CC$24*INDEX(Headcount!$1:$395,MATCH($C28,Headcount!$A:$A,0),MATCH(CC$4,Headcount!$4:$4,0))</f>
        <v>69924.36591</v>
      </c>
      <c r="CD28" s="166">
        <f t="array" ref="CD28">CD$24*INDEX(Headcount!$1:$395,MATCH($C28,Headcount!$A:$A,0),MATCH(CD$4,Headcount!$4:$4,0))</f>
        <v>71840.36258</v>
      </c>
      <c r="CE28" s="166">
        <f t="array" ref="CE28">CE$24*INDEX(Headcount!$1:$395,MATCH($C28,Headcount!$A:$A,0),MATCH(CE$4,Headcount!$4:$4,0))</f>
        <v>73277.36008</v>
      </c>
      <c r="CF28" s="166">
        <f t="array" ref="CF28">CF$24*INDEX(Headcount!$1:$395,MATCH($C28,Headcount!$A:$A,0),MATCH(CF$4,Headcount!$4:$4,0))</f>
        <v>77166.45282</v>
      </c>
      <c r="CG28" s="166">
        <f t="array" ref="CG28">CG$24*INDEX(Headcount!$1:$395,MATCH($C28,Headcount!$A:$A,0),MATCH(CG$4,Headcount!$4:$4,0))</f>
        <v>77645.45199</v>
      </c>
      <c r="CH28" s="166">
        <f t="array" ref="CH28">CH$24*INDEX(Headcount!$1:$395,MATCH($C28,Headcount!$A:$A,0),MATCH(CH$4,Headcount!$4:$4,0))</f>
        <v>80519.44699</v>
      </c>
      <c r="CI28" s="166">
        <f t="array" ref="CI28">CI$24*INDEX(Headcount!$1:$395,MATCH($C28,Headcount!$A:$A,0),MATCH(CI$4,Headcount!$4:$4,0))</f>
        <v>80519.44699</v>
      </c>
      <c r="CJ28" s="166">
        <f t="array" ref="CJ28">CJ$24*INDEX(Headcount!$1:$395,MATCH($C28,Headcount!$A:$A,0),MATCH(CJ$4,Headcount!$4:$4,0))</f>
        <v>84736.54314</v>
      </c>
      <c r="CK28" s="166">
        <f t="array" ref="CK28">CK$24*INDEX(Headcount!$1:$395,MATCH($C28,Headcount!$A:$A,0),MATCH(CK$4,Headcount!$4:$4,0))</f>
        <v>87227.33881</v>
      </c>
      <c r="CL28" s="166">
        <f t="array" ref="CL28">CL$24*INDEX(Headcount!$1:$395,MATCH($C28,Headcount!$A:$A,0),MATCH(CL$4,Headcount!$4:$4,0))</f>
        <v>88223.65708</v>
      </c>
      <c r="CM28" s="166">
        <f t="array" ref="CM28">CM$24*INDEX(Headcount!$1:$395,MATCH($C28,Headcount!$A:$A,0),MATCH(CM$4,Headcount!$4:$4,0))</f>
        <v>89718.13448</v>
      </c>
      <c r="CN28" s="166">
        <f t="array" ref="CN28">CN$24*INDEX(Headcount!$1:$395,MATCH($C28,Headcount!$A:$A,0),MATCH(CN$4,Headcount!$4:$4,0))</f>
        <v>93306.85986</v>
      </c>
      <c r="CO28" s="166">
        <f t="array" ref="CO28">CO$24*INDEX(Headcount!$1:$395,MATCH($C28,Headcount!$A:$A,0),MATCH(CO$4,Headcount!$4:$4,0))</f>
        <v>95299.4964</v>
      </c>
      <c r="CP28" s="166">
        <f t="array" ref="CP28">CP$24*INDEX(Headcount!$1:$395,MATCH($C28,Headcount!$A:$A,0),MATCH(CP$4,Headcount!$4:$4,0))</f>
        <v>96295.81467</v>
      </c>
      <c r="CQ28" s="166">
        <f t="array" ref="CQ28">CQ$24*INDEX(Headcount!$1:$395,MATCH($C28,Headcount!$A:$A,0),MATCH(CQ$4,Headcount!$4:$4,0))</f>
        <v>96295.81467</v>
      </c>
      <c r="CR28" s="166">
        <f t="array" ref="CR28">CR$24*INDEX(Headcount!$1:$395,MATCH($C28,Headcount!$A:$A,0),MATCH(CR$4,Headcount!$4:$4,0))</f>
        <v>101143.9655</v>
      </c>
      <c r="CS28" s="166">
        <f t="array" ref="CS28">CS$24*INDEX(Headcount!$1:$395,MATCH($C28,Headcount!$A:$A,0),MATCH(CS$4,Headcount!$4:$4,0))</f>
        <v>101143.9655</v>
      </c>
      <c r="CT28" s="166">
        <f t="array" ref="CT28">CT$24*INDEX(Headcount!$1:$395,MATCH($C28,Headcount!$A:$A,0),MATCH(CT$4,Headcount!$4:$4,0))</f>
        <v>103136.6021</v>
      </c>
      <c r="CU28" s="166">
        <f t="array" ref="CU28">CU$24*INDEX(Headcount!$1:$395,MATCH($C28,Headcount!$A:$A,0),MATCH(CU$4,Headcount!$4:$4,0))</f>
        <v>104631.0795</v>
      </c>
      <c r="CV28" s="166"/>
      <c r="CW28" s="166"/>
      <c r="CX28" s="166"/>
      <c r="CY28" s="166"/>
      <c r="CZ28" s="166"/>
      <c r="DA28" s="166"/>
      <c r="DB28" s="166"/>
      <c r="DC28" s="166"/>
    </row>
    <row r="29" ht="15.75" customHeight="1">
      <c r="A29" s="146" t="s">
        <v>118</v>
      </c>
      <c r="B29" s="146" t="s">
        <v>63</v>
      </c>
      <c r="C29" s="160" t="s">
        <v>211</v>
      </c>
      <c r="D29" s="161">
        <f t="shared" ref="D29:AL29" si="24">RANDBETWEEN(1000,2500)</f>
        <v>2206</v>
      </c>
      <c r="E29" s="161">
        <f t="shared" si="24"/>
        <v>2360</v>
      </c>
      <c r="F29" s="161">
        <f t="shared" si="24"/>
        <v>1431</v>
      </c>
      <c r="G29" s="161">
        <f t="shared" si="24"/>
        <v>1585</v>
      </c>
      <c r="H29" s="161">
        <f t="shared" si="24"/>
        <v>1080</v>
      </c>
      <c r="I29" s="161">
        <f t="shared" si="24"/>
        <v>1318</v>
      </c>
      <c r="J29" s="161">
        <f t="shared" si="24"/>
        <v>1592</v>
      </c>
      <c r="K29" s="161">
        <f t="shared" si="24"/>
        <v>1663</v>
      </c>
      <c r="L29" s="161">
        <f t="shared" si="24"/>
        <v>1138</v>
      </c>
      <c r="M29" s="161">
        <f t="shared" si="24"/>
        <v>1529</v>
      </c>
      <c r="N29" s="161">
        <f t="shared" si="24"/>
        <v>2224</v>
      </c>
      <c r="O29" s="161">
        <f t="shared" si="24"/>
        <v>1486</v>
      </c>
      <c r="P29" s="161">
        <f t="shared" si="24"/>
        <v>1982</v>
      </c>
      <c r="Q29" s="161">
        <f t="shared" si="24"/>
        <v>1185</v>
      </c>
      <c r="R29" s="161">
        <f t="shared" si="24"/>
        <v>1412</v>
      </c>
      <c r="S29" s="161">
        <f t="shared" si="24"/>
        <v>1100</v>
      </c>
      <c r="T29" s="161">
        <f t="shared" si="24"/>
        <v>1310</v>
      </c>
      <c r="U29" s="161">
        <f t="shared" si="24"/>
        <v>1834</v>
      </c>
      <c r="V29" s="161">
        <f t="shared" si="24"/>
        <v>2137</v>
      </c>
      <c r="W29" s="161">
        <f t="shared" si="24"/>
        <v>1747</v>
      </c>
      <c r="X29" s="161">
        <f t="shared" si="24"/>
        <v>1093</v>
      </c>
      <c r="Y29" s="161">
        <f t="shared" si="24"/>
        <v>1149</v>
      </c>
      <c r="Z29" s="161">
        <f t="shared" si="24"/>
        <v>2125</v>
      </c>
      <c r="AA29" s="161">
        <f t="shared" si="24"/>
        <v>1818</v>
      </c>
      <c r="AB29" s="161">
        <f t="shared" si="24"/>
        <v>2128</v>
      </c>
      <c r="AC29" s="161">
        <f t="shared" si="24"/>
        <v>1075</v>
      </c>
      <c r="AD29" s="161">
        <f t="shared" si="24"/>
        <v>2095</v>
      </c>
      <c r="AE29" s="161">
        <f t="shared" si="24"/>
        <v>2190</v>
      </c>
      <c r="AF29" s="161">
        <f t="shared" si="24"/>
        <v>1959</v>
      </c>
      <c r="AG29" s="161">
        <f t="shared" si="24"/>
        <v>1347</v>
      </c>
      <c r="AH29" s="161">
        <f t="shared" si="24"/>
        <v>2373</v>
      </c>
      <c r="AI29" s="161">
        <f t="shared" si="24"/>
        <v>1432</v>
      </c>
      <c r="AJ29" s="161">
        <f t="shared" si="24"/>
        <v>2189</v>
      </c>
      <c r="AK29" s="161">
        <f t="shared" si="24"/>
        <v>2390</v>
      </c>
      <c r="AL29" s="161">
        <f t="shared" si="24"/>
        <v>1379</v>
      </c>
      <c r="AM29" s="166">
        <f t="array" ref="AM29">AM$24*INDEX(Headcount!$1:$395,MATCH($C29,Headcount!$A:$A,0),MATCH(AM$4,Headcount!$4:$4,0))</f>
        <v>1830.94</v>
      </c>
      <c r="AN29" s="166">
        <f t="array" ref="AN29">AN$24*INDEX(Headcount!$1:$395,MATCH($C29,Headcount!$A:$A,0),MATCH(AN$4,Headcount!$4:$4,0))</f>
        <v>1913.3323</v>
      </c>
      <c r="AO29" s="166">
        <f t="array" ref="AO29">AO$24*INDEX(Headcount!$1:$395,MATCH($C29,Headcount!$A:$A,0),MATCH(AO$4,Headcount!$4:$4,0))</f>
        <v>2121.3323</v>
      </c>
      <c r="AP29" s="166">
        <f t="array" ref="AP29">AP$24*INDEX(Headcount!$1:$395,MATCH($C29,Headcount!$A:$A,0),MATCH(AP$4,Headcount!$4:$4,0))</f>
        <v>2329.3323</v>
      </c>
      <c r="AQ29" s="166">
        <f t="array" ref="AQ29">AQ$24*INDEX(Headcount!$1:$395,MATCH($C29,Headcount!$A:$A,0),MATCH(AQ$4,Headcount!$4:$4,0))</f>
        <v>2433.3323</v>
      </c>
      <c r="AR29" s="166">
        <f t="array" ref="AR29">AR$24*INDEX(Headcount!$1:$395,MATCH($C29,Headcount!$A:$A,0),MATCH(AR$4,Headcount!$4:$4,0))</f>
        <v>2542.832254</v>
      </c>
      <c r="AS29" s="166">
        <f t="array" ref="AS29">AS$24*INDEX(Headcount!$1:$395,MATCH($C29,Headcount!$A:$A,0),MATCH(AS$4,Headcount!$4:$4,0))</f>
        <v>2542.832254</v>
      </c>
      <c r="AT29" s="166">
        <f t="array" ref="AT29">AT$24*INDEX(Headcount!$1:$395,MATCH($C29,Headcount!$A:$A,0),MATCH(AT$4,Headcount!$4:$4,0))</f>
        <v>2646.832254</v>
      </c>
      <c r="AU29" s="166">
        <f t="array" ref="AU29">AU$24*INDEX(Headcount!$1:$395,MATCH($C29,Headcount!$A:$A,0),MATCH(AU$4,Headcount!$4:$4,0))</f>
        <v>2750.832254</v>
      </c>
      <c r="AV29" s="166">
        <f t="array" ref="AV29">AV$24*INDEX(Headcount!$1:$395,MATCH($C29,Headcount!$A:$A,0),MATCH(AV$4,Headcount!$4:$4,0))</f>
        <v>2978.619705</v>
      </c>
      <c r="AW29" s="166">
        <f t="array" ref="AW29">AW$24*INDEX(Headcount!$1:$395,MATCH($C29,Headcount!$A:$A,0),MATCH(AW$4,Headcount!$4:$4,0))</f>
        <v>3221.293305</v>
      </c>
      <c r="AX29" s="166">
        <f t="array" ref="AX29">AX$24*INDEX(Headcount!$1:$395,MATCH($C29,Headcount!$A:$A,0),MATCH(AX$4,Headcount!$4:$4,0))</f>
        <v>3325.293305</v>
      </c>
      <c r="AY29" s="166">
        <f t="array" ref="AY29">AY$24*INDEX(Headcount!$1:$395,MATCH($C29,Headcount!$A:$A,0),MATCH(AY$4,Headcount!$4:$4,0))</f>
        <v>3645.613305</v>
      </c>
      <c r="AZ29" s="166">
        <f t="array" ref="AZ29">AZ$24*INDEX(Headcount!$1:$395,MATCH($C29,Headcount!$A:$A,0),MATCH(AZ$4,Headcount!$4:$4,0))</f>
        <v>4016.410637</v>
      </c>
      <c r="BA29" s="166">
        <f t="array" ref="BA29">BA$24*INDEX(Headcount!$1:$395,MATCH($C29,Headcount!$A:$A,0),MATCH(BA$4,Headcount!$4:$4,0))</f>
        <v>4466.356237</v>
      </c>
      <c r="BB29" s="166">
        <f t="array" ref="BB29">BB$24*INDEX(Headcount!$1:$395,MATCH($C29,Headcount!$A:$A,0),MATCH(BB$4,Headcount!$4:$4,0))</f>
        <v>4691.329037</v>
      </c>
      <c r="BC29" s="166">
        <f t="array" ref="BC29">BC$24*INDEX(Headcount!$1:$395,MATCH($C29,Headcount!$A:$A,0),MATCH(BC$4,Headcount!$4:$4,0))</f>
        <v>4691.329037</v>
      </c>
      <c r="BD29" s="166">
        <f t="array" ref="BD29">BD$24*INDEX(Headcount!$1:$395,MATCH($C29,Headcount!$A:$A,0),MATCH(BD$4,Headcount!$4:$4,0))</f>
        <v>5103.954999</v>
      </c>
      <c r="BE29" s="166">
        <f t="array" ref="BE29">BE$24*INDEX(Headcount!$1:$395,MATCH($C29,Headcount!$A:$A,0),MATCH(BE$4,Headcount!$4:$4,0))</f>
        <v>5212.114999</v>
      </c>
      <c r="BF29" s="166">
        <f t="array" ref="BF29">BF$24*INDEX(Headcount!$1:$395,MATCH($C29,Headcount!$A:$A,0),MATCH(BF$4,Headcount!$4:$4,0))</f>
        <v>5446.086711</v>
      </c>
      <c r="BG29" s="166">
        <f t="array" ref="BG29">BG$24*INDEX(Headcount!$1:$395,MATCH($C29,Headcount!$A:$A,0),MATCH(BG$4,Headcount!$4:$4,0))</f>
        <v>5797.044279</v>
      </c>
      <c r="BH29" s="166">
        <f t="array" ref="BH29">BH$24*INDEX(Headcount!$1:$395,MATCH($C29,Headcount!$A:$A,0),MATCH(BH$4,Headcount!$4:$4,0))</f>
        <v>6262.897762</v>
      </c>
      <c r="BI29" s="166">
        <f t="array" ref="BI29">BI$24*INDEX(Headcount!$1:$395,MATCH($C29,Headcount!$A:$A,0),MATCH(BI$4,Headcount!$4:$4,0))</f>
        <v>6496.869474</v>
      </c>
      <c r="BJ29" s="166">
        <f t="array" ref="BJ29">BJ$24*INDEX(Headcount!$1:$395,MATCH($C29,Headcount!$A:$A,0),MATCH(BJ$4,Headcount!$4:$4,0))</f>
        <v>6847.827042</v>
      </c>
      <c r="BK29" s="166">
        <f t="array" ref="BK29">BK$24*INDEX(Headcount!$1:$395,MATCH($C29,Headcount!$A:$A,0),MATCH(BK$4,Headcount!$4:$4,0))</f>
        <v>6847.827042</v>
      </c>
      <c r="BL29" s="166">
        <f t="array" ref="BL29">BL$24*INDEX(Headcount!$1:$395,MATCH($C29,Headcount!$A:$A,0),MATCH(BL$4,Headcount!$4:$4,0))</f>
        <v>7238.725979</v>
      </c>
      <c r="BM29" s="166">
        <f t="array" ref="BM29">BM$24*INDEX(Headcount!$1:$395,MATCH($C29,Headcount!$A:$A,0),MATCH(BM$4,Headcount!$4:$4,0))</f>
        <v>7968.717721</v>
      </c>
      <c r="BN29" s="166">
        <f t="array" ref="BN29">BN$24*INDEX(Headcount!$1:$395,MATCH($C29,Headcount!$A:$A,0),MATCH(BN$4,Headcount!$4:$4,0))</f>
        <v>8333.713592</v>
      </c>
      <c r="BO29" s="166">
        <f t="array" ref="BO29">BO$24*INDEX(Headcount!$1:$395,MATCH($C29,Headcount!$A:$A,0),MATCH(BO$4,Headcount!$4:$4,0))</f>
        <v>9098.028983</v>
      </c>
      <c r="BP29" s="166">
        <f t="array" ref="BP29">BP$24*INDEX(Headcount!$1:$395,MATCH($C29,Headcount!$A:$A,0),MATCH(BP$4,Headcount!$4:$4,0))</f>
        <v>9461.950142</v>
      </c>
      <c r="BQ29" s="166">
        <f t="array" ref="BQ29">BQ$24*INDEX(Headcount!$1:$395,MATCH($C29,Headcount!$A:$A,0),MATCH(BQ$4,Headcount!$4:$4,0))</f>
        <v>9705.280723</v>
      </c>
      <c r="BR29" s="166">
        <f t="array" ref="BR29">BR$24*INDEX(Headcount!$1:$395,MATCH($C29,Headcount!$A:$A,0),MATCH(BR$4,Headcount!$4:$4,0))</f>
        <v>10084.87643</v>
      </c>
      <c r="BS29" s="166">
        <f t="array" ref="BS29">BS$24*INDEX(Headcount!$1:$395,MATCH($C29,Headcount!$A:$A,0),MATCH(BS$4,Headcount!$4:$4,0))</f>
        <v>10206.54172</v>
      </c>
      <c r="BT29" s="166">
        <f t="array" ref="BT29">BT$24*INDEX(Headcount!$1:$395,MATCH($C29,Headcount!$A:$A,0),MATCH(BT$4,Headcount!$4:$4,0))</f>
        <v>10867.86719</v>
      </c>
      <c r="BU29" s="166">
        <f t="array" ref="BU29">BU$24*INDEX(Headcount!$1:$395,MATCH($C29,Headcount!$A:$A,0),MATCH(BU$4,Headcount!$4:$4,0))</f>
        <v>11247.4629</v>
      </c>
      <c r="BV29" s="166">
        <f t="array" ref="BV29">BV$24*INDEX(Headcount!$1:$395,MATCH($C29,Headcount!$A:$A,0),MATCH(BV$4,Headcount!$4:$4,0))</f>
        <v>11247.4629</v>
      </c>
      <c r="BW29" s="166">
        <f t="array" ref="BW29">BW$24*INDEX(Headcount!$1:$395,MATCH($C29,Headcount!$A:$A,0),MATCH(BW$4,Headcount!$4:$4,0))</f>
        <v>11875.25579</v>
      </c>
      <c r="BX29" s="166">
        <f t="array" ref="BX29">BX$24*INDEX(Headcount!$1:$395,MATCH($C29,Headcount!$A:$A,0),MATCH(BX$4,Headcount!$4:$4,0))</f>
        <v>12871.57746</v>
      </c>
      <c r="BY29" s="166">
        <f t="array" ref="BY29">BY$24*INDEX(Headcount!$1:$395,MATCH($C29,Headcount!$A:$A,0),MATCH(BY$4,Headcount!$4:$4,0))</f>
        <v>16819.3728</v>
      </c>
      <c r="BZ29" s="166">
        <f t="array" ref="BZ29">BZ$24*INDEX(Headcount!$1:$395,MATCH($C29,Headcount!$A:$A,0),MATCH(BZ$4,Headcount!$4:$4,0))</f>
        <v>18530.08411</v>
      </c>
      <c r="CA29" s="166">
        <f t="array" ref="CA29">CA$24*INDEX(Headcount!$1:$395,MATCH($C29,Headcount!$A:$A,0),MATCH(CA$4,Headcount!$4:$4,0))</f>
        <v>18830.39493</v>
      </c>
      <c r="CB29" s="166">
        <f t="array" ref="CB29">CB$24*INDEX(Headcount!$1:$395,MATCH($C29,Headcount!$A:$A,0),MATCH(CB$4,Headcount!$4:$4,0))</f>
        <v>19846.79708</v>
      </c>
      <c r="CC29" s="166">
        <f t="array" ref="CC29">CC$24*INDEX(Headcount!$1:$395,MATCH($C29,Headcount!$A:$A,0),MATCH(CC$4,Headcount!$4:$4,0))</f>
        <v>19978.39026</v>
      </c>
      <c r="CD29" s="166">
        <f t="array" ref="CD29">CD$24*INDEX(Headcount!$1:$395,MATCH($C29,Headcount!$A:$A,0),MATCH(CD$4,Headcount!$4:$4,0))</f>
        <v>20525.81788</v>
      </c>
      <c r="CE29" s="166">
        <f t="array" ref="CE29">CE$24*INDEX(Headcount!$1:$395,MATCH($C29,Headcount!$A:$A,0),MATCH(CE$4,Headcount!$4:$4,0))</f>
        <v>20936.38859</v>
      </c>
      <c r="CF29" s="166">
        <f t="array" ref="CF29">CF$24*INDEX(Headcount!$1:$395,MATCH($C29,Headcount!$A:$A,0),MATCH(CF$4,Headcount!$4:$4,0))</f>
        <v>22047.55795</v>
      </c>
      <c r="CG29" s="166">
        <f t="array" ref="CG29">CG$24*INDEX(Headcount!$1:$395,MATCH($C29,Headcount!$A:$A,0),MATCH(CG$4,Headcount!$4:$4,0))</f>
        <v>22184.41485</v>
      </c>
      <c r="CH29" s="166">
        <f t="array" ref="CH29">CH$24*INDEX(Headcount!$1:$395,MATCH($C29,Headcount!$A:$A,0),MATCH(CH$4,Headcount!$4:$4,0))</f>
        <v>23005.55628</v>
      </c>
      <c r="CI29" s="166">
        <f t="array" ref="CI29">CI$24*INDEX(Headcount!$1:$395,MATCH($C29,Headcount!$A:$A,0),MATCH(CI$4,Headcount!$4:$4,0))</f>
        <v>23005.55628</v>
      </c>
      <c r="CJ29" s="166">
        <f t="array" ref="CJ29">CJ$24*INDEX(Headcount!$1:$395,MATCH($C29,Headcount!$A:$A,0),MATCH(CJ$4,Headcount!$4:$4,0))</f>
        <v>24210.4409</v>
      </c>
      <c r="CK29" s="166">
        <f t="array" ref="CK29">CK$24*INDEX(Headcount!$1:$395,MATCH($C29,Headcount!$A:$A,0),MATCH(CK$4,Headcount!$4:$4,0))</f>
        <v>24922.0968</v>
      </c>
      <c r="CL29" s="166">
        <f t="array" ref="CL29">CL$24*INDEX(Headcount!$1:$395,MATCH($C29,Headcount!$A:$A,0),MATCH(CL$4,Headcount!$4:$4,0))</f>
        <v>25206.75917</v>
      </c>
      <c r="CM29" s="166">
        <f t="array" ref="CM29">CM$24*INDEX(Headcount!$1:$395,MATCH($C29,Headcount!$A:$A,0),MATCH(CM$4,Headcount!$4:$4,0))</f>
        <v>25633.75271</v>
      </c>
      <c r="CN29" s="166">
        <f t="array" ref="CN29">CN$24*INDEX(Headcount!$1:$395,MATCH($C29,Headcount!$A:$A,0),MATCH(CN$4,Headcount!$4:$4,0))</f>
        <v>26659.10282</v>
      </c>
      <c r="CO29" s="166">
        <f t="array" ref="CO29">CO$24*INDEX(Headcount!$1:$395,MATCH($C29,Headcount!$A:$A,0),MATCH(CO$4,Headcount!$4:$4,0))</f>
        <v>27228.42754</v>
      </c>
      <c r="CP29" s="166">
        <f t="array" ref="CP29">CP$24*INDEX(Headcount!$1:$395,MATCH($C29,Headcount!$A:$A,0),MATCH(CP$4,Headcount!$4:$4,0))</f>
        <v>27513.08991</v>
      </c>
      <c r="CQ29" s="166">
        <f t="array" ref="CQ29">CQ$24*INDEX(Headcount!$1:$395,MATCH($C29,Headcount!$A:$A,0),MATCH(CQ$4,Headcount!$4:$4,0))</f>
        <v>27513.08991</v>
      </c>
      <c r="CR29" s="166">
        <f t="array" ref="CR29">CR$24*INDEX(Headcount!$1:$395,MATCH($C29,Headcount!$A:$A,0),MATCH(CR$4,Headcount!$4:$4,0))</f>
        <v>28898.27586</v>
      </c>
      <c r="CS29" s="166">
        <f t="array" ref="CS29">CS$24*INDEX(Headcount!$1:$395,MATCH($C29,Headcount!$A:$A,0),MATCH(CS$4,Headcount!$4:$4,0))</f>
        <v>28898.27586</v>
      </c>
      <c r="CT29" s="166">
        <f t="array" ref="CT29">CT$24*INDEX(Headcount!$1:$395,MATCH($C29,Headcount!$A:$A,0),MATCH(CT$4,Headcount!$4:$4,0))</f>
        <v>29467.60059</v>
      </c>
      <c r="CU29" s="166">
        <f t="array" ref="CU29">CU$24*INDEX(Headcount!$1:$395,MATCH($C29,Headcount!$A:$A,0),MATCH(CU$4,Headcount!$4:$4,0))</f>
        <v>29894.59413</v>
      </c>
      <c r="CV29" s="166"/>
      <c r="CW29" s="166"/>
      <c r="CX29" s="166"/>
      <c r="CY29" s="166"/>
      <c r="CZ29" s="166"/>
      <c r="DA29" s="166"/>
      <c r="DB29" s="166"/>
      <c r="DC29" s="166"/>
    </row>
    <row r="30" ht="15.75" customHeight="1">
      <c r="A30" s="146" t="s">
        <v>118</v>
      </c>
      <c r="B30" s="146" t="s">
        <v>63</v>
      </c>
      <c r="C30" s="160" t="s">
        <v>212</v>
      </c>
      <c r="D30" s="161">
        <f t="shared" ref="D30:AL30" si="25">RANDBETWEEN(1000,2500)</f>
        <v>1663</v>
      </c>
      <c r="E30" s="161">
        <f t="shared" si="25"/>
        <v>1517</v>
      </c>
      <c r="F30" s="161">
        <f t="shared" si="25"/>
        <v>1933</v>
      </c>
      <c r="G30" s="161">
        <f t="shared" si="25"/>
        <v>1296</v>
      </c>
      <c r="H30" s="161">
        <f t="shared" si="25"/>
        <v>1653</v>
      </c>
      <c r="I30" s="161">
        <f t="shared" si="25"/>
        <v>1965</v>
      </c>
      <c r="J30" s="161">
        <f t="shared" si="25"/>
        <v>1046</v>
      </c>
      <c r="K30" s="161">
        <f t="shared" si="25"/>
        <v>1270</v>
      </c>
      <c r="L30" s="161">
        <f t="shared" si="25"/>
        <v>1522</v>
      </c>
      <c r="M30" s="161">
        <f t="shared" si="25"/>
        <v>1257</v>
      </c>
      <c r="N30" s="161">
        <f t="shared" si="25"/>
        <v>1879</v>
      </c>
      <c r="O30" s="161">
        <f t="shared" si="25"/>
        <v>1034</v>
      </c>
      <c r="P30" s="161">
        <f t="shared" si="25"/>
        <v>1319</v>
      </c>
      <c r="Q30" s="161">
        <f t="shared" si="25"/>
        <v>1215</v>
      </c>
      <c r="R30" s="161">
        <f t="shared" si="25"/>
        <v>1010</v>
      </c>
      <c r="S30" s="161">
        <f t="shared" si="25"/>
        <v>1286</v>
      </c>
      <c r="T30" s="161">
        <f t="shared" si="25"/>
        <v>1951</v>
      </c>
      <c r="U30" s="161">
        <f t="shared" si="25"/>
        <v>1162</v>
      </c>
      <c r="V30" s="161">
        <f t="shared" si="25"/>
        <v>1386</v>
      </c>
      <c r="W30" s="161">
        <f t="shared" si="25"/>
        <v>1656</v>
      </c>
      <c r="X30" s="161">
        <f t="shared" si="25"/>
        <v>2037</v>
      </c>
      <c r="Y30" s="161">
        <f t="shared" si="25"/>
        <v>1634</v>
      </c>
      <c r="Z30" s="161">
        <f t="shared" si="25"/>
        <v>1865</v>
      </c>
      <c r="AA30" s="161">
        <f t="shared" si="25"/>
        <v>1601</v>
      </c>
      <c r="AB30" s="161">
        <f t="shared" si="25"/>
        <v>1154</v>
      </c>
      <c r="AC30" s="161">
        <f t="shared" si="25"/>
        <v>2454</v>
      </c>
      <c r="AD30" s="161">
        <f t="shared" si="25"/>
        <v>2140</v>
      </c>
      <c r="AE30" s="161">
        <f t="shared" si="25"/>
        <v>1673</v>
      </c>
      <c r="AF30" s="161">
        <f t="shared" si="25"/>
        <v>1940</v>
      </c>
      <c r="AG30" s="161">
        <f t="shared" si="25"/>
        <v>1188</v>
      </c>
      <c r="AH30" s="161">
        <f t="shared" si="25"/>
        <v>2040</v>
      </c>
      <c r="AI30" s="161">
        <f t="shared" si="25"/>
        <v>2164</v>
      </c>
      <c r="AJ30" s="161">
        <f t="shared" si="25"/>
        <v>2083</v>
      </c>
      <c r="AK30" s="161">
        <f t="shared" si="25"/>
        <v>2478</v>
      </c>
      <c r="AL30" s="161">
        <f t="shared" si="25"/>
        <v>1203</v>
      </c>
      <c r="AM30" s="166">
        <f t="array" ref="AM30">INDEX(Headcount!$1:$395,MATCH($C30,Headcount!$A:$A,0),MATCH(AM$4,Headcount!$4:$4,0))</f>
        <v>1301.049526</v>
      </c>
      <c r="AN30" s="166">
        <f t="array" ref="AN30">INDEX(Headcount!$1:$395,MATCH($C30,Headcount!$A:$A,0),MATCH(AN$4,Headcount!$4:$4,0))</f>
        <v>1532.319329</v>
      </c>
      <c r="AO30" s="166">
        <f t="array" ref="AO30">INDEX(Headcount!$1:$395,MATCH($C30,Headcount!$A:$A,0),MATCH(AO$4,Headcount!$4:$4,0))</f>
        <v>1760.871</v>
      </c>
      <c r="AP30" s="166">
        <f t="array" ref="AP30">INDEX(Headcount!$1:$395,MATCH($C30,Headcount!$A:$A,0),MATCH(AP$4,Headcount!$4:$4,0))</f>
        <v>1970.175753</v>
      </c>
      <c r="AQ30" s="166">
        <f t="array" ref="AQ30">INDEX(Headcount!$1:$395,MATCH($C30,Headcount!$A:$A,0),MATCH(AQ$4,Headcount!$4:$4,0))</f>
        <v>2170.602508</v>
      </c>
      <c r="AR30" s="166">
        <f t="array" ref="AR30">INDEX(Headcount!$1:$395,MATCH($C30,Headcount!$A:$A,0),MATCH(AR$4,Headcount!$4:$4,0))</f>
        <v>2369.743247</v>
      </c>
      <c r="AS30" s="166">
        <f t="array" ref="AS30">INDEX(Headcount!$1:$395,MATCH($C30,Headcount!$A:$A,0),MATCH(AS$4,Headcount!$4:$4,0))</f>
        <v>2570.058322</v>
      </c>
      <c r="AT30" s="166">
        <f t="array" ref="AT30">INDEX(Headcount!$1:$395,MATCH($C30,Headcount!$A:$A,0),MATCH(AT$4,Headcount!$4:$4,0))</f>
        <v>2750.631523</v>
      </c>
      <c r="AU30" s="166">
        <f t="array" ref="AU30">INDEX(Headcount!$1:$395,MATCH($C30,Headcount!$A:$A,0),MATCH(AU$4,Headcount!$4:$4,0))</f>
        <v>2927.719281</v>
      </c>
      <c r="AV30" s="166">
        <f t="array" ref="AV30">INDEX(Headcount!$1:$395,MATCH($C30,Headcount!$A:$A,0),MATCH(AV$4,Headcount!$4:$4,0))</f>
        <v>3101.099108</v>
      </c>
      <c r="AW30" s="166">
        <f t="array" ref="AW30">INDEX(Headcount!$1:$395,MATCH($C30,Headcount!$A:$A,0),MATCH(AW$4,Headcount!$4:$4,0))</f>
        <v>3262.274321</v>
      </c>
      <c r="AX30" s="166">
        <f t="array" ref="AX30">INDEX(Headcount!$1:$395,MATCH($C30,Headcount!$A:$A,0),MATCH(AX$4,Headcount!$4:$4,0))</f>
        <v>3421.893582</v>
      </c>
      <c r="AY30" s="166">
        <f t="array" ref="AY30">INDEX(Headcount!$1:$395,MATCH($C30,Headcount!$A:$A,0),MATCH(AY$4,Headcount!$4:$4,0))</f>
        <v>3583.522647</v>
      </c>
      <c r="AZ30" s="166">
        <f t="array" ref="AZ30">INDEX(Headcount!$1:$395,MATCH($C30,Headcount!$A:$A,0),MATCH(AZ$4,Headcount!$4:$4,0))</f>
        <v>3743.20077</v>
      </c>
      <c r="BA30" s="166">
        <f t="array" ref="BA30">INDEX(Headcount!$1:$395,MATCH($C30,Headcount!$A:$A,0),MATCH(BA$4,Headcount!$4:$4,0))</f>
        <v>3771.63902</v>
      </c>
      <c r="BB30" s="166">
        <f t="array" ref="BB30">INDEX(Headcount!$1:$395,MATCH($C30,Headcount!$A:$A,0),MATCH(BB$4,Headcount!$4:$4,0))</f>
        <v>3811.510845</v>
      </c>
      <c r="BC30" s="166">
        <f t="array" ref="BC30">INDEX(Headcount!$1:$395,MATCH($C30,Headcount!$A:$A,0),MATCH(BC$4,Headcount!$4:$4,0))</f>
        <v>3863.192929</v>
      </c>
      <c r="BD30" s="166">
        <f t="array" ref="BD30">INDEX(Headcount!$1:$395,MATCH($C30,Headcount!$A:$A,0),MATCH(BD$4,Headcount!$4:$4,0))</f>
        <v>3918.060296</v>
      </c>
      <c r="BE30" s="166">
        <f t="array" ref="BE30">INDEX(Headcount!$1:$395,MATCH($C30,Headcount!$A:$A,0),MATCH(BE$4,Headcount!$4:$4,0))</f>
        <v>3975.124608</v>
      </c>
      <c r="BF30" s="166">
        <f t="array" ref="BF30">INDEX(Headcount!$1:$395,MATCH($C30,Headcount!$A:$A,0),MATCH(BF$4,Headcount!$4:$4,0))</f>
        <v>4031.565283</v>
      </c>
      <c r="BG30" s="166">
        <f t="array" ref="BG30">INDEX(Headcount!$1:$395,MATCH($C30,Headcount!$A:$A,0),MATCH(BG$4,Headcount!$4:$4,0))</f>
        <v>4099.704439</v>
      </c>
      <c r="BH30" s="166">
        <f t="array" ref="BH30">INDEX(Headcount!$1:$395,MATCH($C30,Headcount!$A:$A,0),MATCH(BH$4,Headcount!$4:$4,0))</f>
        <v>4154.701167</v>
      </c>
      <c r="BI30" s="166">
        <f t="array" ref="BI30">INDEX(Headcount!$1:$395,MATCH($C30,Headcount!$A:$A,0),MATCH(BI$4,Headcount!$4:$4,0))</f>
        <v>4208.91709</v>
      </c>
      <c r="BJ30" s="166">
        <f t="array" ref="BJ30">INDEX(Headcount!$1:$395,MATCH($C30,Headcount!$A:$A,0),MATCH(BJ$4,Headcount!$4:$4,0))</f>
        <v>4262.383482</v>
      </c>
      <c r="BK30" s="166">
        <f t="array" ref="BK30">INDEX(Headcount!$1:$395,MATCH($C30,Headcount!$A:$A,0),MATCH(BK$4,Headcount!$4:$4,0))</f>
        <v>4315.136683</v>
      </c>
      <c r="BL30" s="166">
        <f t="array" ref="BL30">INDEX(Headcount!$1:$395,MATCH($C30,Headcount!$A:$A,0),MATCH(BL$4,Headcount!$4:$4,0))</f>
        <v>4430.041937</v>
      </c>
      <c r="BM30" s="166">
        <f t="array" ref="BM30">INDEX(Headcount!$1:$395,MATCH($C30,Headcount!$A:$A,0),MATCH(BM$4,Headcount!$4:$4,0))</f>
        <v>4516.537413</v>
      </c>
      <c r="BN30" s="166">
        <f t="array" ref="BN30">INDEX(Headcount!$1:$395,MATCH($C30,Headcount!$A:$A,0),MATCH(BN$4,Headcount!$4:$4,0))</f>
        <v>4600.366158</v>
      </c>
      <c r="BO30" s="166">
        <f t="array" ref="BO30">INDEX(Headcount!$1:$395,MATCH($C30,Headcount!$A:$A,0),MATCH(BO$4,Headcount!$4:$4,0))</f>
        <v>4682.037686</v>
      </c>
      <c r="BP30" s="166">
        <f t="array" ref="BP30">INDEX(Headcount!$1:$395,MATCH($C30,Headcount!$A:$A,0),MATCH(BP$4,Headcount!$4:$4,0))</f>
        <v>4761.881426</v>
      </c>
      <c r="BQ30" s="166">
        <f t="array" ref="BQ30">INDEX(Headcount!$1:$395,MATCH($C30,Headcount!$A:$A,0),MATCH(BQ$4,Headcount!$4:$4,0))</f>
        <v>4840.109547</v>
      </c>
      <c r="BR30" s="166">
        <f t="array" ref="BR30">INDEX(Headcount!$1:$395,MATCH($C30,Headcount!$A:$A,0),MATCH(BR$4,Headcount!$4:$4,0))</f>
        <v>4916.883794</v>
      </c>
      <c r="BS30" s="166">
        <f t="array" ref="BS30">INDEX(Headcount!$1:$395,MATCH($C30,Headcount!$A:$A,0),MATCH(BS$4,Headcount!$4:$4,0))</f>
        <v>4992.336072</v>
      </c>
      <c r="BT30" s="166">
        <f t="array" ref="BT30">INDEX(Headcount!$1:$395,MATCH($C30,Headcount!$A:$A,0),MATCH(BT$4,Headcount!$4:$4,0))</f>
        <v>5066.577726</v>
      </c>
      <c r="BU30" s="166">
        <f t="array" ref="BU30">INDEX(Headcount!$1:$395,MATCH($C30,Headcount!$A:$A,0),MATCH(BU$4,Headcount!$4:$4,0))</f>
        <v>5139.704944</v>
      </c>
      <c r="BV30" s="166">
        <f t="array" ref="BV30">INDEX(Headcount!$1:$395,MATCH($C30,Headcount!$A:$A,0),MATCH(BV$4,Headcount!$4:$4,0))</f>
        <v>5211.802364</v>
      </c>
      <c r="BW30" s="166">
        <f t="array" ref="BW30">INDEX(Headcount!$1:$395,MATCH($C30,Headcount!$A:$A,0),MATCH(BW$4,Headcount!$4:$4,0))</f>
        <v>5282.945638</v>
      </c>
      <c r="BX30" s="166">
        <f t="array" ref="BX30">INDEX(Headcount!$1:$395,MATCH($C30,Headcount!$A:$A,0),MATCH(BX$4,Headcount!$4:$4,0))</f>
        <v>5385.765301</v>
      </c>
      <c r="BY30" s="166">
        <f t="array" ref="BY30">INDEX(Headcount!$1:$395,MATCH($C30,Headcount!$A:$A,0),MATCH(BY$4,Headcount!$4:$4,0))</f>
        <v>5465.576988</v>
      </c>
      <c r="BZ30" s="166">
        <f t="array" ref="BZ30">INDEX(Headcount!$1:$395,MATCH($C30,Headcount!$A:$A,0),MATCH(BZ$4,Headcount!$4:$4,0))</f>
        <v>5537.858335</v>
      </c>
      <c r="CA30" s="166">
        <f t="array" ref="CA30">INDEX(Headcount!$1:$395,MATCH($C30,Headcount!$A:$A,0),MATCH(CA$4,Headcount!$4:$4,0))</f>
        <v>5608.711234</v>
      </c>
      <c r="CB30" s="166">
        <f t="array" ref="CB30">INDEX(Headcount!$1:$395,MATCH($C30,Headcount!$A:$A,0),MATCH(CB$4,Headcount!$4:$4,0))</f>
        <v>5679.213299</v>
      </c>
      <c r="CC30" s="166">
        <f t="array" ref="CC30">INDEX(Headcount!$1:$395,MATCH($C30,Headcount!$A:$A,0),MATCH(CC$4,Headcount!$4:$4,0))</f>
        <v>5749.39164</v>
      </c>
      <c r="CD30" s="166">
        <f t="array" ref="CD30">INDEX(Headcount!$1:$395,MATCH($C30,Headcount!$A:$A,0),MATCH(CD$4,Headcount!$4:$4,0))</f>
        <v>5819.292994</v>
      </c>
      <c r="CE30" s="166">
        <f t="array" ref="CE30">INDEX(Headcount!$1:$395,MATCH($C30,Headcount!$A:$A,0),MATCH(CE$4,Headcount!$4:$4,0))</f>
        <v>5888.962515</v>
      </c>
      <c r="CF30" s="166">
        <f t="array" ref="CF30">INDEX(Headcount!$1:$395,MATCH($C30,Headcount!$A:$A,0),MATCH(CF$4,Headcount!$4:$4,0))</f>
        <v>5958.442954</v>
      </c>
      <c r="CG30" s="166">
        <f t="array" ref="CG30">INDEX(Headcount!$1:$395,MATCH($C30,Headcount!$A:$A,0),MATCH(CG$4,Headcount!$4:$4,0))</f>
        <v>6027.775418</v>
      </c>
      <c r="CH30" s="166">
        <f t="array" ref="CH30">INDEX(Headcount!$1:$395,MATCH($C30,Headcount!$A:$A,0),MATCH(CH$4,Headcount!$4:$4,0))</f>
        <v>6096.999833</v>
      </c>
      <c r="CI30" s="166">
        <f t="array" ref="CI30">INDEX(Headcount!$1:$395,MATCH($C30,Headcount!$A:$A,0),MATCH(CI$4,Headcount!$4:$4,0))</f>
        <v>6166.155179</v>
      </c>
      <c r="CJ30" s="166">
        <f t="array" ref="CJ30">INDEX(Headcount!$1:$395,MATCH($C30,Headcount!$A:$A,0),MATCH(CJ$4,Headcount!$4:$4,0))</f>
        <v>6260.727664</v>
      </c>
      <c r="CK30" s="166">
        <f t="array" ref="CK30">INDEX(Headcount!$1:$395,MATCH($C30,Headcount!$A:$A,0),MATCH(CK$4,Headcount!$4:$4,0))</f>
        <v>6304.931543</v>
      </c>
      <c r="CL30" s="166">
        <f t="array" ref="CL30">INDEX(Headcount!$1:$395,MATCH($C30,Headcount!$A:$A,0),MATCH(CL$4,Headcount!$4:$4,0))</f>
        <v>6347.184155</v>
      </c>
      <c r="CM30" s="166">
        <f t="array" ref="CM30">INDEX(Headcount!$1:$395,MATCH($C30,Headcount!$A:$A,0),MATCH(CM$4,Headcount!$4:$4,0))</f>
        <v>6391.642137</v>
      </c>
      <c r="CN30" s="166">
        <f t="array" ref="CN30">INDEX(Headcount!$1:$395,MATCH($C30,Headcount!$A:$A,0),MATCH(CN$4,Headcount!$4:$4,0))</f>
        <v>6437.38462</v>
      </c>
      <c r="CO30" s="166">
        <f t="array" ref="CO30">INDEX(Headcount!$1:$395,MATCH($C30,Headcount!$A:$A,0),MATCH(CO$4,Headcount!$4:$4,0))</f>
        <v>6483.719206</v>
      </c>
      <c r="CP30" s="166">
        <f t="array" ref="CP30">INDEX(Headcount!$1:$395,MATCH($C30,Headcount!$A:$A,0),MATCH(CP$4,Headcount!$4:$4,0))</f>
        <v>6530.356292</v>
      </c>
      <c r="CQ30" s="166">
        <f t="array" ref="CQ30">INDEX(Headcount!$1:$395,MATCH($C30,Headcount!$A:$A,0),MATCH(CQ$4,Headcount!$4:$4,0))</f>
        <v>6577.147734</v>
      </c>
      <c r="CR30" s="166">
        <f t="array" ref="CR30">INDEX(Headcount!$1:$395,MATCH($C30,Headcount!$A:$A,0),MATCH(CR$4,Headcount!$4:$4,0))</f>
        <v>6624.009895</v>
      </c>
      <c r="CS30" s="166">
        <f t="array" ref="CS30">INDEX(Headcount!$1:$395,MATCH($C30,Headcount!$A:$A,0),MATCH(CS$4,Headcount!$4:$4,0))</f>
        <v>6670.894868</v>
      </c>
      <c r="CT30" s="166">
        <f t="array" ref="CT30">INDEX(Headcount!$1:$395,MATCH($C30,Headcount!$A:$A,0),MATCH(CT$4,Headcount!$4:$4,0))</f>
        <v>6717.777153</v>
      </c>
      <c r="CU30" s="166">
        <f t="array" ref="CU30">INDEX(Headcount!$1:$395,MATCH($C30,Headcount!$A:$A,0),MATCH(CU$4,Headcount!$4:$4,0))</f>
        <v>6764.646305</v>
      </c>
      <c r="CV30" s="166"/>
      <c r="CW30" s="166"/>
      <c r="CX30" s="166"/>
      <c r="CY30" s="166"/>
      <c r="CZ30" s="166"/>
      <c r="DA30" s="166"/>
      <c r="DB30" s="166"/>
      <c r="DC30" s="166"/>
    </row>
    <row r="31" ht="15.75" customHeight="1">
      <c r="A31" s="146" t="s">
        <v>118</v>
      </c>
      <c r="B31" s="146" t="s">
        <v>63</v>
      </c>
      <c r="C31" s="160" t="s">
        <v>213</v>
      </c>
      <c r="D31" s="161">
        <f t="shared" ref="D31:AL31" si="26">RANDBETWEEN(1000,2500)</f>
        <v>1493</v>
      </c>
      <c r="E31" s="161">
        <f t="shared" si="26"/>
        <v>1105</v>
      </c>
      <c r="F31" s="161">
        <f t="shared" si="26"/>
        <v>1377</v>
      </c>
      <c r="G31" s="161">
        <f t="shared" si="26"/>
        <v>1097</v>
      </c>
      <c r="H31" s="161">
        <f t="shared" si="26"/>
        <v>2486</v>
      </c>
      <c r="I31" s="161">
        <f t="shared" si="26"/>
        <v>1156</v>
      </c>
      <c r="J31" s="161">
        <f t="shared" si="26"/>
        <v>1016</v>
      </c>
      <c r="K31" s="161">
        <f t="shared" si="26"/>
        <v>1579</v>
      </c>
      <c r="L31" s="161">
        <f t="shared" si="26"/>
        <v>1518</v>
      </c>
      <c r="M31" s="161">
        <f t="shared" si="26"/>
        <v>1165</v>
      </c>
      <c r="N31" s="161">
        <f t="shared" si="26"/>
        <v>2052</v>
      </c>
      <c r="O31" s="161">
        <f t="shared" si="26"/>
        <v>1932</v>
      </c>
      <c r="P31" s="161">
        <f t="shared" si="26"/>
        <v>2141</v>
      </c>
      <c r="Q31" s="161">
        <f t="shared" si="26"/>
        <v>2485</v>
      </c>
      <c r="R31" s="161">
        <f t="shared" si="26"/>
        <v>1252</v>
      </c>
      <c r="S31" s="161">
        <f t="shared" si="26"/>
        <v>1805</v>
      </c>
      <c r="T31" s="161">
        <f t="shared" si="26"/>
        <v>2076</v>
      </c>
      <c r="U31" s="161">
        <f t="shared" si="26"/>
        <v>2197</v>
      </c>
      <c r="V31" s="161">
        <f t="shared" si="26"/>
        <v>1327</v>
      </c>
      <c r="W31" s="161">
        <f t="shared" si="26"/>
        <v>1647</v>
      </c>
      <c r="X31" s="161">
        <f t="shared" si="26"/>
        <v>1851</v>
      </c>
      <c r="Y31" s="161">
        <f t="shared" si="26"/>
        <v>1847</v>
      </c>
      <c r="Z31" s="161">
        <f t="shared" si="26"/>
        <v>1751</v>
      </c>
      <c r="AA31" s="161">
        <f t="shared" si="26"/>
        <v>1127</v>
      </c>
      <c r="AB31" s="161">
        <f t="shared" si="26"/>
        <v>1815</v>
      </c>
      <c r="AC31" s="161">
        <f t="shared" si="26"/>
        <v>1552</v>
      </c>
      <c r="AD31" s="161">
        <f t="shared" si="26"/>
        <v>1970</v>
      </c>
      <c r="AE31" s="161">
        <f t="shared" si="26"/>
        <v>2430</v>
      </c>
      <c r="AF31" s="161">
        <f t="shared" si="26"/>
        <v>1027</v>
      </c>
      <c r="AG31" s="161">
        <f t="shared" si="26"/>
        <v>1980</v>
      </c>
      <c r="AH31" s="161">
        <f t="shared" si="26"/>
        <v>1971</v>
      </c>
      <c r="AI31" s="161">
        <f t="shared" si="26"/>
        <v>1921</v>
      </c>
      <c r="AJ31" s="161">
        <f t="shared" si="26"/>
        <v>1018</v>
      </c>
      <c r="AK31" s="161">
        <f t="shared" si="26"/>
        <v>2209</v>
      </c>
      <c r="AL31" s="161">
        <f t="shared" si="26"/>
        <v>1736</v>
      </c>
      <c r="AM31" s="166">
        <f t="array" ref="AM31">INDEX(Headcount!$1:$395,MATCH($C31,Headcount!$A:$A,0),MATCH(AM$4,Headcount!$4:$4,0))</f>
        <v>1877.491253</v>
      </c>
      <c r="AN31" s="166">
        <f t="array" ref="AN31">INDEX(Headcount!$1:$395,MATCH($C31,Headcount!$A:$A,0),MATCH(AN$4,Headcount!$4:$4,0))</f>
        <v>2211.227228</v>
      </c>
      <c r="AO31" s="166">
        <f t="array" ref="AO31">INDEX(Headcount!$1:$395,MATCH($C31,Headcount!$A:$A,0),MATCH(AO$4,Headcount!$4:$4,0))</f>
        <v>2541.040778</v>
      </c>
      <c r="AP31" s="166">
        <f t="array" ref="AP31">INDEX(Headcount!$1:$395,MATCH($C31,Headcount!$A:$A,0),MATCH(AP$4,Headcount!$4:$4,0))</f>
        <v>2843.07989</v>
      </c>
      <c r="AQ31" s="166">
        <f t="array" ref="AQ31">INDEX(Headcount!$1:$395,MATCH($C31,Headcount!$A:$A,0),MATCH(AQ$4,Headcount!$4:$4,0))</f>
        <v>3132.307526</v>
      </c>
      <c r="AR31" s="166">
        <f t="array" ref="AR31">INDEX(Headcount!$1:$395,MATCH($C31,Headcount!$A:$A,0),MATCH(AR$4,Headcount!$4:$4,0))</f>
        <v>3419.679366</v>
      </c>
      <c r="AS31" s="166">
        <f t="array" ref="AS31">INDEX(Headcount!$1:$395,MATCH($C31,Headcount!$A:$A,0),MATCH(AS$4,Headcount!$4:$4,0))</f>
        <v>3708.745841</v>
      </c>
      <c r="AT31" s="166">
        <f t="array" ref="AT31">INDEX(Headcount!$1:$395,MATCH($C31,Headcount!$A:$A,0),MATCH(AT$4,Headcount!$4:$4,0))</f>
        <v>3969.323628</v>
      </c>
      <c r="AU31" s="166">
        <f t="array" ref="AU31">INDEX(Headcount!$1:$395,MATCH($C31,Headcount!$A:$A,0),MATCH(AU$4,Headcount!$4:$4,0))</f>
        <v>4224.871714</v>
      </c>
      <c r="AV31" s="166">
        <f t="array" ref="AV31">INDEX(Headcount!$1:$395,MATCH($C31,Headcount!$A:$A,0),MATCH(AV$4,Headcount!$4:$4,0))</f>
        <v>4475.069038</v>
      </c>
      <c r="AW31" s="166">
        <f t="array" ref="AW31">INDEX(Headcount!$1:$395,MATCH($C31,Headcount!$A:$A,0),MATCH(AW$4,Headcount!$4:$4,0))</f>
        <v>4707.654381</v>
      </c>
      <c r="AX31" s="166">
        <f t="array" ref="AX31">INDEX(Headcount!$1:$395,MATCH($C31,Headcount!$A:$A,0),MATCH(AX$4,Headcount!$4:$4,0))</f>
        <v>4937.994396</v>
      </c>
      <c r="AY31" s="166">
        <f t="array" ref="AY31">INDEX(Headcount!$1:$395,MATCH($C31,Headcount!$A:$A,0),MATCH(AY$4,Headcount!$4:$4,0))</f>
        <v>5171.234676</v>
      </c>
      <c r="AZ31" s="166">
        <f t="array" ref="AZ31">INDEX(Headcount!$1:$395,MATCH($C31,Headcount!$A:$A,0),MATCH(AZ$4,Headcount!$4:$4,0))</f>
        <v>44806.49905</v>
      </c>
      <c r="BA31" s="166">
        <f t="array" ref="BA31">INDEX(Headcount!$1:$395,MATCH($C31,Headcount!$A:$A,0),MATCH(BA$4,Headcount!$4:$4,0))</f>
        <v>45146.90784</v>
      </c>
      <c r="BB31" s="166">
        <f t="array" ref="BB31">INDEX(Headcount!$1:$395,MATCH($C31,Headcount!$A:$A,0),MATCH(BB$4,Headcount!$4:$4,0))</f>
        <v>45624.17769</v>
      </c>
      <c r="BC31" s="166">
        <f t="array" ref="BC31">INDEX(Headcount!$1:$395,MATCH($C31,Headcount!$A:$A,0),MATCH(BC$4,Headcount!$4:$4,0))</f>
        <v>46242.81756</v>
      </c>
      <c r="BD31" s="166">
        <f t="array" ref="BD31">INDEX(Headcount!$1:$395,MATCH($C31,Headcount!$A:$A,0),MATCH(BD$4,Headcount!$4:$4,0))</f>
        <v>46899.5856</v>
      </c>
      <c r="BE31" s="166">
        <f t="array" ref="BE31">INDEX(Headcount!$1:$395,MATCH($C31,Headcount!$A:$A,0),MATCH(BE$4,Headcount!$4:$4,0))</f>
        <v>47582.6513</v>
      </c>
      <c r="BF31" s="166">
        <f t="array" ref="BF31">INDEX(Headcount!$1:$395,MATCH($C31,Headcount!$A:$A,0),MATCH(BF$4,Headcount!$4:$4,0))</f>
        <v>48258.25199</v>
      </c>
      <c r="BG31" s="166">
        <f t="array" ref="BG31">INDEX(Headcount!$1:$395,MATCH($C31,Headcount!$A:$A,0),MATCH(BG$4,Headcount!$4:$4,0))</f>
        <v>49073.88472</v>
      </c>
      <c r="BH31" s="166">
        <f t="array" ref="BH31">INDEX(Headcount!$1:$395,MATCH($C31,Headcount!$A:$A,0),MATCH(BH$4,Headcount!$4:$4,0))</f>
        <v>49732.20121</v>
      </c>
      <c r="BI31" s="166">
        <f t="array" ref="BI31">INDEX(Headcount!$1:$395,MATCH($C31,Headcount!$A:$A,0),MATCH(BI$4,Headcount!$4:$4,0))</f>
        <v>50381.1714</v>
      </c>
      <c r="BJ31" s="166">
        <f t="array" ref="BJ31">INDEX(Headcount!$1:$395,MATCH($C31,Headcount!$A:$A,0),MATCH(BJ$4,Headcount!$4:$4,0))</f>
        <v>51021.16963</v>
      </c>
      <c r="BK31" s="166">
        <f t="array" ref="BK31">INDEX(Headcount!$1:$395,MATCH($C31,Headcount!$A:$A,0),MATCH(BK$4,Headcount!$4:$4,0))</f>
        <v>51652.63089</v>
      </c>
      <c r="BL31" s="166">
        <f t="array" ref="BL31">INDEX(Headcount!$1:$395,MATCH($C31,Headcount!$A:$A,0),MATCH(BL$4,Headcount!$4:$4,0))</f>
        <v>60259.15752</v>
      </c>
      <c r="BM31" s="166">
        <f t="array" ref="BM31">INDEX(Headcount!$1:$395,MATCH($C31,Headcount!$A:$A,0),MATCH(BM$4,Headcount!$4:$4,0))</f>
        <v>61435.7027</v>
      </c>
      <c r="BN31" s="166">
        <f t="array" ref="BN31">INDEX(Headcount!$1:$395,MATCH($C31,Headcount!$A:$A,0),MATCH(BN$4,Headcount!$4:$4,0))</f>
        <v>62575.97397</v>
      </c>
      <c r="BO31" s="166">
        <f t="array" ref="BO31">INDEX(Headcount!$1:$395,MATCH($C31,Headcount!$A:$A,0),MATCH(BO$4,Headcount!$4:$4,0))</f>
        <v>63686.90194</v>
      </c>
      <c r="BP31" s="166">
        <f t="array" ref="BP31">INDEX(Headcount!$1:$395,MATCH($C31,Headcount!$A:$A,0),MATCH(BP$4,Headcount!$4:$4,0))</f>
        <v>64772.96761</v>
      </c>
      <c r="BQ31" s="166">
        <f t="array" ref="BQ31">INDEX(Headcount!$1:$395,MATCH($C31,Headcount!$A:$A,0),MATCH(BQ$4,Headcount!$4:$4,0))</f>
        <v>65837.05702</v>
      </c>
      <c r="BR31" s="166">
        <f t="array" ref="BR31">INDEX(Headcount!$1:$395,MATCH($C31,Headcount!$A:$A,0),MATCH(BR$4,Headcount!$4:$4,0))</f>
        <v>66881.37025</v>
      </c>
      <c r="BS31" s="166">
        <f t="array" ref="BS31">INDEX(Headcount!$1:$395,MATCH($C31,Headcount!$A:$A,0),MATCH(BS$4,Headcount!$4:$4,0))</f>
        <v>67907.70156</v>
      </c>
      <c r="BT31" s="166">
        <f t="array" ref="BT31">INDEX(Headcount!$1:$395,MATCH($C31,Headcount!$A:$A,0),MATCH(BT$4,Headcount!$4:$4,0))</f>
        <v>68917.56548</v>
      </c>
      <c r="BU31" s="166">
        <f t="array" ref="BU31">INDEX(Headcount!$1:$395,MATCH($C31,Headcount!$A:$A,0),MATCH(BU$4,Headcount!$4:$4,0))</f>
        <v>69912.2704</v>
      </c>
      <c r="BV31" s="166">
        <f t="array" ref="BV31">INDEX(Headcount!$1:$395,MATCH($C31,Headcount!$A:$A,0),MATCH(BV$4,Headcount!$4:$4,0))</f>
        <v>70892.96762</v>
      </c>
      <c r="BW31" s="166">
        <f t="array" ref="BW31">INDEX(Headcount!$1:$395,MATCH($C31,Headcount!$A:$A,0),MATCH(BW$4,Headcount!$4:$4,0))</f>
        <v>71860.68617</v>
      </c>
      <c r="BX31" s="166">
        <f t="array" ref="BX31">INDEX(Headcount!$1:$395,MATCH($C31,Headcount!$A:$A,0),MATCH(BX$4,Headcount!$4:$4,0))</f>
        <v>82050.39283</v>
      </c>
      <c r="BY31" s="166">
        <f t="array" ref="BY31">INDEX(Headcount!$1:$395,MATCH($C31,Headcount!$A:$A,0),MATCH(BY$4,Headcount!$4:$4,0))</f>
        <v>83266.29807</v>
      </c>
      <c r="BZ31" s="166">
        <f t="array" ref="BZ31">INDEX(Headcount!$1:$395,MATCH($C31,Headcount!$A:$A,0),MATCH(BZ$4,Headcount!$4:$4,0))</f>
        <v>84367.48103</v>
      </c>
      <c r="CA31" s="166">
        <f t="array" ref="CA31">INDEX(Headcount!$1:$395,MATCH($C31,Headcount!$A:$A,0),MATCH(CA$4,Headcount!$4:$4,0))</f>
        <v>85446.90202</v>
      </c>
      <c r="CB31" s="166">
        <f t="array" ref="CB31">INDEX(Headcount!$1:$395,MATCH($C31,Headcount!$A:$A,0),MATCH(CB$4,Headcount!$4:$4,0))</f>
        <v>86520.97819</v>
      </c>
      <c r="CC31" s="166">
        <f t="array" ref="CC31">INDEX(Headcount!$1:$395,MATCH($C31,Headcount!$A:$A,0),MATCH(CC$4,Headcount!$4:$4,0))</f>
        <v>87590.12252</v>
      </c>
      <c r="CD31" s="166">
        <f t="array" ref="CD31">INDEX(Headcount!$1:$395,MATCH($C31,Headcount!$A:$A,0),MATCH(CD$4,Headcount!$4:$4,0))</f>
        <v>88655.04705</v>
      </c>
      <c r="CE31" s="166">
        <f t="array" ref="CE31">INDEX(Headcount!$1:$395,MATCH($C31,Headcount!$A:$A,0),MATCH(CE$4,Headcount!$4:$4,0))</f>
        <v>89716.43968</v>
      </c>
      <c r="CF31" s="166">
        <f t="array" ref="CF31">INDEX(Headcount!$1:$395,MATCH($C31,Headcount!$A:$A,0),MATCH(CF$4,Headcount!$4:$4,0))</f>
        <v>90774.95169</v>
      </c>
      <c r="CG31" s="166">
        <f t="array" ref="CG31">INDEX(Headcount!$1:$395,MATCH($C31,Headcount!$A:$A,0),MATCH(CG$4,Headcount!$4:$4,0))</f>
        <v>91831.20936</v>
      </c>
      <c r="CH31" s="166">
        <f t="array" ref="CH31">INDEX(Headcount!$1:$395,MATCH($C31,Headcount!$A:$A,0),MATCH(CH$4,Headcount!$4:$4,0))</f>
        <v>92885.82095</v>
      </c>
      <c r="CI31" s="166">
        <f t="array" ref="CI31">INDEX(Headcount!$1:$395,MATCH($C31,Headcount!$A:$A,0),MATCH(CI$4,Headcount!$4:$4,0))</f>
        <v>93939.38027</v>
      </c>
      <c r="CJ31" s="166">
        <f t="array" ref="CJ31">INDEX(Headcount!$1:$395,MATCH($C31,Headcount!$A:$A,0),MATCH(CJ$4,Headcount!$4:$4,0))</f>
        <v>95380.1615</v>
      </c>
      <c r="CK31" s="166">
        <f t="array" ref="CK31">INDEX(Headcount!$1:$395,MATCH($C31,Headcount!$A:$A,0),MATCH(CK$4,Headcount!$4:$4,0))</f>
        <v>102914.5643</v>
      </c>
      <c r="CL31" s="166">
        <f t="array" ref="CL31">INDEX(Headcount!$1:$395,MATCH($C31,Headcount!$A:$A,0),MATCH(CL$4,Headcount!$4:$4,0))</f>
        <v>103604.2481</v>
      </c>
      <c r="CM31" s="166">
        <f t="array" ref="CM31">INDEX(Headcount!$1:$395,MATCH($C31,Headcount!$A:$A,0),MATCH(CM$4,Headcount!$4:$4,0))</f>
        <v>104329.9298</v>
      </c>
      <c r="CN31" s="166">
        <f t="array" ref="CN31">INDEX(Headcount!$1:$395,MATCH($C31,Headcount!$A:$A,0),MATCH(CN$4,Headcount!$4:$4,0))</f>
        <v>105076.5783</v>
      </c>
      <c r="CO31" s="166">
        <f t="array" ref="CO31">INDEX(Headcount!$1:$395,MATCH($C31,Headcount!$A:$A,0),MATCH(CO$4,Headcount!$4:$4,0))</f>
        <v>105832.8917</v>
      </c>
      <c r="CP31" s="166">
        <f t="array" ref="CP31">INDEX(Headcount!$1:$395,MATCH($C31,Headcount!$A:$A,0),MATCH(CP$4,Headcount!$4:$4,0))</f>
        <v>106594.1426</v>
      </c>
      <c r="CQ31" s="166">
        <f t="array" ref="CQ31">INDEX(Headcount!$1:$395,MATCH($C31,Headcount!$A:$A,0),MATCH(CQ$4,Headcount!$4:$4,0))</f>
        <v>107357.9132</v>
      </c>
      <c r="CR31" s="166">
        <f t="array" ref="CR31">INDEX(Headcount!$1:$395,MATCH($C31,Headcount!$A:$A,0),MATCH(CR$4,Headcount!$4:$4,0))</f>
        <v>108122.838</v>
      </c>
      <c r="CS31" s="166">
        <f t="array" ref="CS31">INDEX(Headcount!$1:$395,MATCH($C31,Headcount!$A:$A,0),MATCH(CS$4,Headcount!$4:$4,0))</f>
        <v>108888.1352</v>
      </c>
      <c r="CT31" s="166">
        <f t="array" ref="CT31">INDEX(Headcount!$1:$395,MATCH($C31,Headcount!$A:$A,0),MATCH(CT$4,Headcount!$4:$4,0))</f>
        <v>109653.3886</v>
      </c>
      <c r="CU31" s="166">
        <f t="array" ref="CU31">INDEX(Headcount!$1:$395,MATCH($C31,Headcount!$A:$A,0),MATCH(CU$4,Headcount!$4:$4,0))</f>
        <v>110418.4276</v>
      </c>
      <c r="CV31" s="166"/>
      <c r="CW31" s="166"/>
      <c r="CX31" s="166"/>
      <c r="CY31" s="166"/>
      <c r="CZ31" s="166"/>
      <c r="DA31" s="166"/>
      <c r="DB31" s="166"/>
      <c r="DC31" s="166"/>
    </row>
    <row r="32" ht="15.75" customHeight="1">
      <c r="A32" s="146" t="s">
        <v>118</v>
      </c>
      <c r="B32" s="146" t="s">
        <v>172</v>
      </c>
      <c r="C32" s="160" t="s">
        <v>214</v>
      </c>
      <c r="D32" s="161">
        <f t="shared" ref="D32:AL32" si="27">RANDBETWEEN(1000,2500)</f>
        <v>1207</v>
      </c>
      <c r="E32" s="161">
        <f t="shared" si="27"/>
        <v>1467</v>
      </c>
      <c r="F32" s="161">
        <f t="shared" si="27"/>
        <v>1221</v>
      </c>
      <c r="G32" s="161">
        <f t="shared" si="27"/>
        <v>1624</v>
      </c>
      <c r="H32" s="161">
        <f t="shared" si="27"/>
        <v>1957</v>
      </c>
      <c r="I32" s="161">
        <f t="shared" si="27"/>
        <v>1796</v>
      </c>
      <c r="J32" s="161">
        <f t="shared" si="27"/>
        <v>1693</v>
      </c>
      <c r="K32" s="161">
        <f t="shared" si="27"/>
        <v>1048</v>
      </c>
      <c r="L32" s="161">
        <f t="shared" si="27"/>
        <v>1262</v>
      </c>
      <c r="M32" s="161">
        <f t="shared" si="27"/>
        <v>1596</v>
      </c>
      <c r="N32" s="161">
        <f t="shared" si="27"/>
        <v>1064</v>
      </c>
      <c r="O32" s="161">
        <f t="shared" si="27"/>
        <v>2055</v>
      </c>
      <c r="P32" s="161">
        <f t="shared" si="27"/>
        <v>1234</v>
      </c>
      <c r="Q32" s="161">
        <f t="shared" si="27"/>
        <v>1705</v>
      </c>
      <c r="R32" s="161">
        <f t="shared" si="27"/>
        <v>1198</v>
      </c>
      <c r="S32" s="161">
        <f t="shared" si="27"/>
        <v>1532</v>
      </c>
      <c r="T32" s="161">
        <f t="shared" si="27"/>
        <v>2380</v>
      </c>
      <c r="U32" s="161">
        <f t="shared" si="27"/>
        <v>1290</v>
      </c>
      <c r="V32" s="161">
        <f t="shared" si="27"/>
        <v>1305</v>
      </c>
      <c r="W32" s="161">
        <f t="shared" si="27"/>
        <v>2330</v>
      </c>
      <c r="X32" s="161">
        <f t="shared" si="27"/>
        <v>2354</v>
      </c>
      <c r="Y32" s="161">
        <f t="shared" si="27"/>
        <v>1954</v>
      </c>
      <c r="Z32" s="161">
        <f t="shared" si="27"/>
        <v>1398</v>
      </c>
      <c r="AA32" s="161">
        <f t="shared" si="27"/>
        <v>1043</v>
      </c>
      <c r="AB32" s="161">
        <f t="shared" si="27"/>
        <v>1101</v>
      </c>
      <c r="AC32" s="161">
        <f t="shared" si="27"/>
        <v>1705</v>
      </c>
      <c r="AD32" s="161">
        <f t="shared" si="27"/>
        <v>1605</v>
      </c>
      <c r="AE32" s="161">
        <f t="shared" si="27"/>
        <v>1685</v>
      </c>
      <c r="AF32" s="161">
        <f t="shared" si="27"/>
        <v>1862</v>
      </c>
      <c r="AG32" s="161">
        <f t="shared" si="27"/>
        <v>1316</v>
      </c>
      <c r="AH32" s="161">
        <f t="shared" si="27"/>
        <v>1873</v>
      </c>
      <c r="AI32" s="161">
        <f t="shared" si="27"/>
        <v>1222</v>
      </c>
      <c r="AJ32" s="161">
        <f t="shared" si="27"/>
        <v>2057</v>
      </c>
      <c r="AK32" s="161">
        <f t="shared" si="27"/>
        <v>2054</v>
      </c>
      <c r="AL32" s="161">
        <f t="shared" si="27"/>
        <v>2035</v>
      </c>
      <c r="AM32" s="166">
        <f t="array" ref="AM32">INDEX(Headcount!$1:$395,MATCH($C32,Headcount!$A:$A,0),MATCH(AM$4,Headcount!$4:$4,0))</f>
        <v>1436.441301</v>
      </c>
      <c r="AN32" s="166">
        <f t="array" ref="AN32">INDEX(Headcount!$1:$395,MATCH($C32,Headcount!$A:$A,0),MATCH(AN$4,Headcount!$4:$4,0))</f>
        <v>1520.914108</v>
      </c>
      <c r="AO32" s="166">
        <f t="array" ref="AO32">INDEX(Headcount!$1:$395,MATCH($C32,Headcount!$A:$A,0),MATCH(AO$4,Headcount!$4:$4,0))</f>
        <v>1596.203335</v>
      </c>
      <c r="AP32" s="166">
        <f t="array" ref="AP32">INDEX(Headcount!$1:$395,MATCH($C32,Headcount!$A:$A,0),MATCH(AP$4,Headcount!$4:$4,0))</f>
        <v>1661.338309</v>
      </c>
      <c r="AQ32" s="166">
        <f t="array" ref="AQ32">INDEX(Headcount!$1:$395,MATCH($C32,Headcount!$A:$A,0),MATCH(AQ$4,Headcount!$4:$4,0))</f>
        <v>1719.515195</v>
      </c>
      <c r="AR32" s="166">
        <f t="array" ref="AR32">INDEX(Headcount!$1:$395,MATCH($C32,Headcount!$A:$A,0),MATCH(AR$4,Headcount!$4:$4,0))</f>
        <v>1750.232295</v>
      </c>
      <c r="AS32" s="166">
        <f t="array" ref="AS32">INDEX(Headcount!$1:$395,MATCH($C32,Headcount!$A:$A,0),MATCH(AS$4,Headcount!$4:$4,0))</f>
        <v>1777.759174</v>
      </c>
      <c r="AT32" s="166">
        <f t="array" ref="AT32">INDEX(Headcount!$1:$395,MATCH($C32,Headcount!$A:$A,0),MATCH(AT$4,Headcount!$4:$4,0))</f>
        <v>1795.002959</v>
      </c>
      <c r="AU32" s="166">
        <f t="array" ref="AU32">INDEX(Headcount!$1:$395,MATCH($C32,Headcount!$A:$A,0),MATCH(AU$4,Headcount!$4:$4,0))</f>
        <v>1809.915933</v>
      </c>
      <c r="AV32" s="166">
        <f t="array" ref="AV32">INDEX(Headcount!$1:$395,MATCH($C32,Headcount!$A:$A,0),MATCH(AV$4,Headcount!$4:$4,0))</f>
        <v>1829.540318</v>
      </c>
      <c r="AW32" s="166">
        <f t="array" ref="AW32">INDEX(Headcount!$1:$395,MATCH($C32,Headcount!$A:$A,0),MATCH(AW$4,Headcount!$4:$4,0))</f>
        <v>1852.579883</v>
      </c>
      <c r="AX32" s="166">
        <f t="array" ref="AX32">INDEX(Headcount!$1:$395,MATCH($C32,Headcount!$A:$A,0),MATCH(AX$4,Headcount!$4:$4,0))</f>
        <v>1872.707124</v>
      </c>
      <c r="AY32" s="166">
        <f t="array" ref="AY32">INDEX(Headcount!$1:$395,MATCH($C32,Headcount!$A:$A,0),MATCH(AY$4,Headcount!$4:$4,0))</f>
        <v>1891.087428</v>
      </c>
      <c r="AZ32" s="166">
        <f t="array" ref="AZ32">INDEX(Headcount!$1:$395,MATCH($C32,Headcount!$A:$A,0),MATCH(AZ$4,Headcount!$4:$4,0))</f>
        <v>2027.529221</v>
      </c>
      <c r="BA32" s="166">
        <f t="array" ref="BA32">INDEX(Headcount!$1:$395,MATCH($C32,Headcount!$A:$A,0),MATCH(BA$4,Headcount!$4:$4,0))</f>
        <v>2043.328325</v>
      </c>
      <c r="BB32" s="166">
        <f t="array" ref="BB32">INDEX(Headcount!$1:$395,MATCH($C32,Headcount!$A:$A,0),MATCH(BB$4,Headcount!$4:$4,0))</f>
        <v>2063.594432</v>
      </c>
      <c r="BC32" s="166">
        <f t="array" ref="BC32">INDEX(Headcount!$1:$395,MATCH($C32,Headcount!$A:$A,0),MATCH(BC$4,Headcount!$4:$4,0))</f>
        <v>2081.589473</v>
      </c>
      <c r="BD32" s="166">
        <f t="array" ref="BD32">INDEX(Headcount!$1:$395,MATCH($C32,Headcount!$A:$A,0),MATCH(BD$4,Headcount!$4:$4,0))</f>
        <v>2097.89484</v>
      </c>
      <c r="BE32" s="166">
        <f t="array" ref="BE32">INDEX(Headcount!$1:$395,MATCH($C32,Headcount!$A:$A,0),MATCH(BE$4,Headcount!$4:$4,0))</f>
        <v>2114.281383</v>
      </c>
      <c r="BF32" s="166">
        <f t="array" ref="BF32">INDEX(Headcount!$1:$395,MATCH($C32,Headcount!$A:$A,0),MATCH(BF$4,Headcount!$4:$4,0))</f>
        <v>2129.40569</v>
      </c>
      <c r="BG32" s="166">
        <f t="array" ref="BG32">INDEX(Headcount!$1:$395,MATCH($C32,Headcount!$A:$A,0),MATCH(BG$4,Headcount!$4:$4,0))</f>
        <v>2143.594134</v>
      </c>
      <c r="BH32" s="166">
        <f t="array" ref="BH32">INDEX(Headcount!$1:$395,MATCH($C32,Headcount!$A:$A,0),MATCH(BH$4,Headcount!$4:$4,0))</f>
        <v>2157.090577</v>
      </c>
      <c r="BI32" s="166">
        <f t="array" ref="BI32">INDEX(Headcount!$1:$395,MATCH($C32,Headcount!$A:$A,0),MATCH(BI$4,Headcount!$4:$4,0))</f>
        <v>2170.077244</v>
      </c>
      <c r="BJ32" s="166">
        <f t="array" ref="BJ32">INDEX(Headcount!$1:$395,MATCH($C32,Headcount!$A:$A,0),MATCH(BJ$4,Headcount!$4:$4,0))</f>
        <v>2182.690323</v>
      </c>
      <c r="BK32" s="166">
        <f t="array" ref="BK32">INDEX(Headcount!$1:$395,MATCH($C32,Headcount!$A:$A,0),MATCH(BK$4,Headcount!$4:$4,0))</f>
        <v>2195.031607</v>
      </c>
      <c r="BL32" s="166">
        <f t="array" ref="BL32">INDEX(Headcount!$1:$395,MATCH($C32,Headcount!$A:$A,0),MATCH(BL$4,Headcount!$4:$4,0))</f>
        <v>2336.368184</v>
      </c>
      <c r="BM32" s="166">
        <f t="array" ref="BM32">INDEX(Headcount!$1:$395,MATCH($C32,Headcount!$A:$A,0),MATCH(BM$4,Headcount!$4:$4,0))</f>
        <v>2352.234939</v>
      </c>
      <c r="BN32" s="166">
        <f t="array" ref="BN32">INDEX(Headcount!$1:$395,MATCH($C32,Headcount!$A:$A,0),MATCH(BN$4,Headcount!$4:$4,0))</f>
        <v>2367.041753</v>
      </c>
      <c r="BO32" s="166">
        <f t="array" ref="BO32">INDEX(Headcount!$1:$395,MATCH($C32,Headcount!$A:$A,0),MATCH(BO$4,Headcount!$4:$4,0))</f>
        <v>2381.064159</v>
      </c>
      <c r="BP32" s="166">
        <f t="array" ref="BP32">INDEX(Headcount!$1:$395,MATCH($C32,Headcount!$A:$A,0),MATCH(BP$4,Headcount!$4:$4,0))</f>
        <v>2394.508044</v>
      </c>
      <c r="BQ32" s="166">
        <f t="array" ref="BQ32">INDEX(Headcount!$1:$395,MATCH($C32,Headcount!$A:$A,0),MATCH(BQ$4,Headcount!$4:$4,0))</f>
        <v>2407.527265</v>
      </c>
      <c r="BR32" s="166">
        <f t="array" ref="BR32">INDEX(Headcount!$1:$395,MATCH($C32,Headcount!$A:$A,0),MATCH(BR$4,Headcount!$4:$4,0))</f>
        <v>2420.23682</v>
      </c>
      <c r="BS32" s="166">
        <f t="array" ref="BS32">INDEX(Headcount!$1:$395,MATCH($C32,Headcount!$A:$A,0),MATCH(BS$4,Headcount!$4:$4,0))</f>
        <v>2432.722674</v>
      </c>
      <c r="BT32" s="166">
        <f t="array" ref="BT32">INDEX(Headcount!$1:$395,MATCH($C32,Headcount!$A:$A,0),MATCH(BT$4,Headcount!$4:$4,0))</f>
        <v>2445.049107</v>
      </c>
      <c r="BU32" s="166">
        <f t="array" ref="BU32">INDEX(Headcount!$1:$395,MATCH($C32,Headcount!$A:$A,0),MATCH(BU$4,Headcount!$4:$4,0))</f>
        <v>2457.264203</v>
      </c>
      <c r="BV32" s="166">
        <f t="array" ref="BV32">INDEX(Headcount!$1:$395,MATCH($C32,Headcount!$A:$A,0),MATCH(BV$4,Headcount!$4:$4,0))</f>
        <v>2469.403944</v>
      </c>
      <c r="BW32" s="166">
        <f t="array" ref="BW32">INDEX(Headcount!$1:$395,MATCH($C32,Headcount!$A:$A,0),MATCH(BW$4,Headcount!$4:$4,0))</f>
        <v>2481.495276</v>
      </c>
      <c r="BX32" s="166">
        <f t="array" ref="BX32">INDEX(Headcount!$1:$395,MATCH($C32,Headcount!$A:$A,0),MATCH(BX$4,Headcount!$4:$4,0))</f>
        <v>2500.905443</v>
      </c>
      <c r="BY32" s="166">
        <f t="array" ref="BY32">INDEX(Headcount!$1:$395,MATCH($C32,Headcount!$A:$A,0),MATCH(BY$4,Headcount!$4:$4,0))</f>
        <v>2519.851224</v>
      </c>
      <c r="BZ32" s="166">
        <f t="array" ref="BZ32">INDEX(Headcount!$1:$395,MATCH($C32,Headcount!$A:$A,0),MATCH(BZ$4,Headcount!$4:$4,0))</f>
        <v>2535.227183</v>
      </c>
      <c r="CA32" s="166">
        <f t="array" ref="CA32">INDEX(Headcount!$1:$395,MATCH($C32,Headcount!$A:$A,0),MATCH(CA$4,Headcount!$4:$4,0))</f>
        <v>2550.488425</v>
      </c>
      <c r="CB32" s="166">
        <f t="array" ref="CB32">INDEX(Headcount!$1:$395,MATCH($C32,Headcount!$A:$A,0),MATCH(CB$4,Headcount!$4:$4,0))</f>
        <v>2565.675755</v>
      </c>
      <c r="CC32" s="166">
        <f t="array" ref="CC32">INDEX(Headcount!$1:$395,MATCH($C32,Headcount!$A:$A,0),MATCH(CC$4,Headcount!$4:$4,0))</f>
        <v>2580.819857</v>
      </c>
      <c r="CD32" s="166">
        <f t="array" ref="CD32">INDEX(Headcount!$1:$395,MATCH($C32,Headcount!$A:$A,0),MATCH(CD$4,Headcount!$4:$4,0))</f>
        <v>2595.943857</v>
      </c>
      <c r="CE32" s="166">
        <f t="array" ref="CE32">INDEX(Headcount!$1:$395,MATCH($C32,Headcount!$A:$A,0),MATCH(CE$4,Headcount!$4:$4,0))</f>
        <v>2611.06524</v>
      </c>
      <c r="CF32" s="166">
        <f t="array" ref="CF32">INDEX(Headcount!$1:$395,MATCH($C32,Headcount!$A:$A,0),MATCH(CF$4,Headcount!$4:$4,0))</f>
        <v>2626.197285</v>
      </c>
      <c r="CG32" s="166">
        <f t="array" ref="CG32">INDEX(Headcount!$1:$395,MATCH($C32,Headcount!$A:$A,0),MATCH(CG$4,Headcount!$4:$4,0))</f>
        <v>2641.350131</v>
      </c>
      <c r="CH32" s="166">
        <f t="array" ref="CH32">INDEX(Headcount!$1:$395,MATCH($C32,Headcount!$A:$A,0),MATCH(CH$4,Headcount!$4:$4,0))</f>
        <v>2656.531582</v>
      </c>
      <c r="CI32" s="166">
        <f t="array" ref="CI32">INDEX(Headcount!$1:$395,MATCH($C32,Headcount!$A:$A,0),MATCH(CI$4,Headcount!$4:$4,0))</f>
        <v>2671.747701</v>
      </c>
      <c r="CJ32" s="166">
        <f t="array" ref="CJ32">INDEX(Headcount!$1:$395,MATCH($C32,Headcount!$A:$A,0),MATCH(CJ$4,Headcount!$4:$4,0))</f>
        <v>2687.556415</v>
      </c>
      <c r="CK32" s="166">
        <f t="array" ref="CK32">INDEX(Headcount!$1:$395,MATCH($C32,Headcount!$A:$A,0),MATCH(CK$4,Headcount!$4:$4,0))</f>
        <v>2685.073035</v>
      </c>
      <c r="CL32" s="166">
        <f t="array" ref="CL32">INDEX(Headcount!$1:$395,MATCH($C32,Headcount!$A:$A,0),MATCH(CL$4,Headcount!$4:$4,0))</f>
        <v>2684.029775</v>
      </c>
      <c r="CM32" s="166">
        <f t="array" ref="CM32">INDEX(Headcount!$1:$395,MATCH($C32,Headcount!$A:$A,0),MATCH(CM$4,Headcount!$4:$4,0))</f>
        <v>2686.707188</v>
      </c>
      <c r="CN32" s="166">
        <f t="array" ref="CN32">INDEX(Headcount!$1:$395,MATCH($C32,Headcount!$A:$A,0),MATCH(CN$4,Headcount!$4:$4,0))</f>
        <v>2692.175271</v>
      </c>
      <c r="CO32" s="166">
        <f t="array" ref="CO32">INDEX(Headcount!$1:$395,MATCH($C32,Headcount!$A:$A,0),MATCH(CO$4,Headcount!$4:$4,0))</f>
        <v>2699.73927</v>
      </c>
      <c r="CP32" s="166">
        <f t="array" ref="CP32">INDEX(Headcount!$1:$395,MATCH($C32,Headcount!$A:$A,0),MATCH(CP$4,Headcount!$4:$4,0))</f>
        <v>2708.880163</v>
      </c>
      <c r="CQ32" s="166">
        <f t="array" ref="CQ32">INDEX(Headcount!$1:$395,MATCH($C32,Headcount!$A:$A,0),MATCH(CQ$4,Headcount!$4:$4,0))</f>
        <v>2719.210203</v>
      </c>
      <c r="CR32" s="166">
        <f t="array" ref="CR32">INDEX(Headcount!$1:$395,MATCH($C32,Headcount!$A:$A,0),MATCH(CR$4,Headcount!$4:$4,0))</f>
        <v>2730.439712</v>
      </c>
      <c r="CS32" s="166">
        <f t="array" ref="CS32">INDEX(Headcount!$1:$395,MATCH($C32,Headcount!$A:$A,0),MATCH(CS$4,Headcount!$4:$4,0))</f>
        <v>2742.352268</v>
      </c>
      <c r="CT32" s="166">
        <f t="array" ref="CT32">INDEX(Headcount!$1:$395,MATCH($C32,Headcount!$A:$A,0),MATCH(CT$4,Headcount!$4:$4,0))</f>
        <v>2754.786178</v>
      </c>
      <c r="CU32" s="166">
        <f t="array" ref="CU32">INDEX(Headcount!$1:$395,MATCH($C32,Headcount!$A:$A,0),MATCH(CU$4,Headcount!$4:$4,0))</f>
        <v>2767.62063</v>
      </c>
      <c r="CV32" s="166"/>
      <c r="CW32" s="166"/>
      <c r="CX32" s="166"/>
      <c r="CY32" s="166"/>
      <c r="CZ32" s="166"/>
      <c r="DA32" s="166"/>
      <c r="DB32" s="166"/>
      <c r="DC32" s="166"/>
    </row>
    <row r="33" ht="15.75" customHeight="1">
      <c r="A33" s="146" t="s">
        <v>118</v>
      </c>
      <c r="B33" s="146" t="s">
        <v>65</v>
      </c>
      <c r="C33" s="160" t="s">
        <v>215</v>
      </c>
      <c r="D33" s="161">
        <f t="shared" ref="D33:AL33" si="28">RANDBETWEEN(1000,2500)</f>
        <v>1861</v>
      </c>
      <c r="E33" s="161">
        <f t="shared" si="28"/>
        <v>1497</v>
      </c>
      <c r="F33" s="161">
        <f t="shared" si="28"/>
        <v>2112</v>
      </c>
      <c r="G33" s="161">
        <f t="shared" si="28"/>
        <v>1059</v>
      </c>
      <c r="H33" s="161">
        <f t="shared" si="28"/>
        <v>1511</v>
      </c>
      <c r="I33" s="161">
        <f t="shared" si="28"/>
        <v>1870</v>
      </c>
      <c r="J33" s="161">
        <f t="shared" si="28"/>
        <v>2386</v>
      </c>
      <c r="K33" s="161">
        <f t="shared" si="28"/>
        <v>1308</v>
      </c>
      <c r="L33" s="161">
        <f t="shared" si="28"/>
        <v>1216</v>
      </c>
      <c r="M33" s="161">
        <f t="shared" si="28"/>
        <v>1608</v>
      </c>
      <c r="N33" s="161">
        <f t="shared" si="28"/>
        <v>2160</v>
      </c>
      <c r="O33" s="161">
        <f t="shared" si="28"/>
        <v>2467</v>
      </c>
      <c r="P33" s="161">
        <f t="shared" si="28"/>
        <v>2440</v>
      </c>
      <c r="Q33" s="161">
        <f t="shared" si="28"/>
        <v>1911</v>
      </c>
      <c r="R33" s="161">
        <f t="shared" si="28"/>
        <v>1377</v>
      </c>
      <c r="S33" s="161">
        <f t="shared" si="28"/>
        <v>1679</v>
      </c>
      <c r="T33" s="161">
        <f t="shared" si="28"/>
        <v>2302</v>
      </c>
      <c r="U33" s="161">
        <f t="shared" si="28"/>
        <v>1343</v>
      </c>
      <c r="V33" s="161">
        <f t="shared" si="28"/>
        <v>2083</v>
      </c>
      <c r="W33" s="161">
        <f t="shared" si="28"/>
        <v>1448</v>
      </c>
      <c r="X33" s="161">
        <f t="shared" si="28"/>
        <v>2059</v>
      </c>
      <c r="Y33" s="161">
        <f t="shared" si="28"/>
        <v>1404</v>
      </c>
      <c r="Z33" s="161">
        <f t="shared" si="28"/>
        <v>2081</v>
      </c>
      <c r="AA33" s="161">
        <f t="shared" si="28"/>
        <v>1884</v>
      </c>
      <c r="AB33" s="161">
        <f t="shared" si="28"/>
        <v>2450</v>
      </c>
      <c r="AC33" s="161">
        <f t="shared" si="28"/>
        <v>1975</v>
      </c>
      <c r="AD33" s="161">
        <f t="shared" si="28"/>
        <v>2474</v>
      </c>
      <c r="AE33" s="161">
        <f t="shared" si="28"/>
        <v>2340</v>
      </c>
      <c r="AF33" s="161">
        <f t="shared" si="28"/>
        <v>2418</v>
      </c>
      <c r="AG33" s="161">
        <f t="shared" si="28"/>
        <v>1630</v>
      </c>
      <c r="AH33" s="161">
        <f t="shared" si="28"/>
        <v>2073</v>
      </c>
      <c r="AI33" s="161">
        <f t="shared" si="28"/>
        <v>1910</v>
      </c>
      <c r="AJ33" s="161">
        <f t="shared" si="28"/>
        <v>1214</v>
      </c>
      <c r="AK33" s="161">
        <f t="shared" si="28"/>
        <v>1332</v>
      </c>
      <c r="AL33" s="161">
        <f t="shared" si="28"/>
        <v>1186</v>
      </c>
      <c r="AM33" s="166">
        <f>Headcount!S190</f>
        <v>8011.36665</v>
      </c>
      <c r="AN33" s="166">
        <f>Headcount!T190</f>
        <v>4155.216578</v>
      </c>
      <c r="AO33" s="166">
        <f>Headcount!U190</f>
        <v>4788.091968</v>
      </c>
      <c r="AP33" s="166">
        <f>Headcount!V190</f>
        <v>5374.662657</v>
      </c>
      <c r="AQ33" s="166">
        <f>Headcount!W190</f>
        <v>5935.295274</v>
      </c>
      <c r="AR33" s="166">
        <f>Headcount!X190</f>
        <v>6454.425123</v>
      </c>
      <c r="AS33" s="166">
        <f>Headcount!Y190</f>
        <v>6970.355608</v>
      </c>
      <c r="AT33" s="166">
        <f>Headcount!Z190</f>
        <v>7458.974007</v>
      </c>
      <c r="AU33" s="166">
        <f>Headcount!AA190</f>
        <v>7949.00532</v>
      </c>
      <c r="AV33" s="166">
        <f>Headcount!AB190</f>
        <v>8434.109954</v>
      </c>
      <c r="AW33" s="166">
        <f>Headcount!AC190</f>
        <v>8879.595258</v>
      </c>
      <c r="AX33" s="166">
        <f>Headcount!AD190</f>
        <v>9305.55021</v>
      </c>
      <c r="AY33" s="166">
        <f>Headcount!AE190</f>
        <v>9735.141139</v>
      </c>
      <c r="AZ33" s="166">
        <f>Headcount!AF190</f>
        <v>16610.73924</v>
      </c>
      <c r="BA33" s="166">
        <f>Headcount!AG190</f>
        <v>16841.07323</v>
      </c>
      <c r="BB33" s="166">
        <f>Headcount!AH190</f>
        <v>17014.32181</v>
      </c>
      <c r="BC33" s="166">
        <f>Headcount!AI190</f>
        <v>17224.72177</v>
      </c>
      <c r="BD33" s="166">
        <f>Headcount!AJ190</f>
        <v>17450.41496</v>
      </c>
      <c r="BE33" s="166">
        <f>Headcount!AK190</f>
        <v>17685.36119</v>
      </c>
      <c r="BF33" s="166">
        <f>Headcount!AL190</f>
        <v>17917.87027</v>
      </c>
      <c r="BG33" s="166">
        <f>Headcount!AM190</f>
        <v>18247.14468</v>
      </c>
      <c r="BH33" s="166">
        <f>Headcount!AN190</f>
        <v>18470.85675</v>
      </c>
      <c r="BI33" s="166">
        <f>Headcount!AO190</f>
        <v>18690.25925</v>
      </c>
      <c r="BJ33" s="166">
        <f>Headcount!AP190</f>
        <v>18905.82635</v>
      </c>
      <c r="BK33" s="166">
        <f>Headcount!AQ190</f>
        <v>19117.95467</v>
      </c>
      <c r="BL33" s="166">
        <f>Headcount!AR190</f>
        <v>25700.46904</v>
      </c>
      <c r="BM33" s="166">
        <f>Headcount!AS190</f>
        <v>26158.54929</v>
      </c>
      <c r="BN33" s="166">
        <f>Headcount!AT190</f>
        <v>26605.40948</v>
      </c>
      <c r="BO33" s="166">
        <f>Headcount!AU190</f>
        <v>27041.08254</v>
      </c>
      <c r="BP33" s="166">
        <f>Headcount!AV190</f>
        <v>27467.225</v>
      </c>
      <c r="BQ33" s="166">
        <f>Headcount!AW190</f>
        <v>27884.85644</v>
      </c>
      <c r="BR33" s="166">
        <f>Headcount!AX190</f>
        <v>28294.72374</v>
      </c>
      <c r="BS33" s="166">
        <f>Headcount!AY190</f>
        <v>28697.43109</v>
      </c>
      <c r="BT33" s="166">
        <f>Headcount!AZ190</f>
        <v>29093.4944</v>
      </c>
      <c r="BU33" s="166">
        <f>Headcount!BA190</f>
        <v>29483.36797</v>
      </c>
      <c r="BV33" s="166">
        <f>Headcount!BB190</f>
        <v>29867.45983</v>
      </c>
      <c r="BW33" s="166">
        <f>Headcount!BC190</f>
        <v>30246.14163</v>
      </c>
      <c r="BX33" s="166">
        <f>Headcount!BD190</f>
        <v>64953.02835</v>
      </c>
      <c r="BY33" s="166">
        <f>Headcount!BE190</f>
        <v>65841.73851</v>
      </c>
      <c r="BZ33" s="166">
        <f>Headcount!BF190</f>
        <v>66581.4633</v>
      </c>
      <c r="CA33" s="166">
        <f>Headcount!BG190</f>
        <v>67286.92639</v>
      </c>
      <c r="CB33" s="166">
        <f>Headcount!BH190</f>
        <v>67983.91392</v>
      </c>
      <c r="CC33" s="166">
        <f>Headcount!BI190</f>
        <v>68674.09932</v>
      </c>
      <c r="CD33" s="166">
        <f>Headcount!BJ190</f>
        <v>69358.80686</v>
      </c>
      <c r="CE33" s="166">
        <f>Headcount!BK190</f>
        <v>70039.06692</v>
      </c>
      <c r="CF33" s="166">
        <f>Headcount!BL190</f>
        <v>70715.71103</v>
      </c>
      <c r="CG33" s="166">
        <f>Headcount!BM190</f>
        <v>71389.43322</v>
      </c>
      <c r="CH33" s="166">
        <f>Headcount!BN190</f>
        <v>72060.82836</v>
      </c>
      <c r="CI33" s="166">
        <f>Headcount!BO190</f>
        <v>72730.41757</v>
      </c>
      <c r="CJ33" s="166">
        <f>Headcount!BP190</f>
        <v>98164.28985</v>
      </c>
      <c r="CK33" s="166">
        <f>Headcount!BQ190</f>
        <v>97953.19563</v>
      </c>
      <c r="CL33" s="166">
        <f>Headcount!BR190</f>
        <v>97801.1702</v>
      </c>
      <c r="CM33" s="166">
        <f>Headcount!BS190</f>
        <v>97844.38673</v>
      </c>
      <c r="CN33" s="166">
        <f>Headcount!BT190</f>
        <v>98038.857</v>
      </c>
      <c r="CO33" s="166">
        <f>Headcount!BU190</f>
        <v>98340.19854</v>
      </c>
      <c r="CP33" s="166">
        <f>Headcount!BV190</f>
        <v>98719.50126</v>
      </c>
      <c r="CQ33" s="166">
        <f>Headcount!BW190</f>
        <v>99156.55297</v>
      </c>
      <c r="CR33" s="166">
        <f>Headcount!BX190</f>
        <v>99636.75486</v>
      </c>
      <c r="CS33" s="166">
        <f>Headcount!BY190</f>
        <v>100149.4082</v>
      </c>
      <c r="CT33" s="166">
        <f>Headcount!BZ190</f>
        <v>100686.6266</v>
      </c>
      <c r="CU33" s="166">
        <f>Headcount!CA190</f>
        <v>101242.5877</v>
      </c>
      <c r="CV33" s="166"/>
      <c r="CW33" s="166"/>
      <c r="CX33" s="166"/>
      <c r="CY33" s="166"/>
      <c r="CZ33" s="166"/>
      <c r="DA33" s="166"/>
      <c r="DB33" s="166"/>
      <c r="DC33" s="166"/>
    </row>
    <row r="34" ht="15.75" customHeight="1">
      <c r="A34" s="146" t="s">
        <v>118</v>
      </c>
      <c r="B34" s="146" t="s">
        <v>69</v>
      </c>
      <c r="C34" s="160" t="s">
        <v>216</v>
      </c>
      <c r="D34" s="161">
        <f t="shared" ref="D34:AL34" si="29">RANDBETWEEN(1000,2500)</f>
        <v>1618</v>
      </c>
      <c r="E34" s="161">
        <f t="shared" si="29"/>
        <v>1211</v>
      </c>
      <c r="F34" s="161">
        <f t="shared" si="29"/>
        <v>1545</v>
      </c>
      <c r="G34" s="161">
        <f t="shared" si="29"/>
        <v>1241</v>
      </c>
      <c r="H34" s="161">
        <f t="shared" si="29"/>
        <v>1204</v>
      </c>
      <c r="I34" s="161">
        <f t="shared" si="29"/>
        <v>1789</v>
      </c>
      <c r="J34" s="161">
        <f t="shared" si="29"/>
        <v>1773</v>
      </c>
      <c r="K34" s="161">
        <f t="shared" si="29"/>
        <v>2420</v>
      </c>
      <c r="L34" s="161">
        <f t="shared" si="29"/>
        <v>2288</v>
      </c>
      <c r="M34" s="161">
        <f t="shared" si="29"/>
        <v>1838</v>
      </c>
      <c r="N34" s="161">
        <f t="shared" si="29"/>
        <v>1231</v>
      </c>
      <c r="O34" s="161">
        <f t="shared" si="29"/>
        <v>2124</v>
      </c>
      <c r="P34" s="161">
        <f t="shared" si="29"/>
        <v>2109</v>
      </c>
      <c r="Q34" s="161">
        <f t="shared" si="29"/>
        <v>2342</v>
      </c>
      <c r="R34" s="161">
        <f t="shared" si="29"/>
        <v>1271</v>
      </c>
      <c r="S34" s="161">
        <f t="shared" si="29"/>
        <v>1755</v>
      </c>
      <c r="T34" s="161">
        <f t="shared" si="29"/>
        <v>2220</v>
      </c>
      <c r="U34" s="161">
        <f t="shared" si="29"/>
        <v>1413</v>
      </c>
      <c r="V34" s="161">
        <f t="shared" si="29"/>
        <v>1653</v>
      </c>
      <c r="W34" s="161">
        <f t="shared" si="29"/>
        <v>1854</v>
      </c>
      <c r="X34" s="161">
        <f t="shared" si="29"/>
        <v>2013</v>
      </c>
      <c r="Y34" s="161">
        <f t="shared" si="29"/>
        <v>2167</v>
      </c>
      <c r="Z34" s="161">
        <f t="shared" si="29"/>
        <v>1758</v>
      </c>
      <c r="AA34" s="161">
        <f t="shared" si="29"/>
        <v>1172</v>
      </c>
      <c r="AB34" s="161">
        <f t="shared" si="29"/>
        <v>1635</v>
      </c>
      <c r="AC34" s="161">
        <f t="shared" si="29"/>
        <v>1473</v>
      </c>
      <c r="AD34" s="161">
        <f t="shared" si="29"/>
        <v>2190</v>
      </c>
      <c r="AE34" s="161">
        <f t="shared" si="29"/>
        <v>2108</v>
      </c>
      <c r="AF34" s="161">
        <f t="shared" si="29"/>
        <v>2264</v>
      </c>
      <c r="AG34" s="161">
        <f t="shared" si="29"/>
        <v>1583</v>
      </c>
      <c r="AH34" s="161">
        <f t="shared" si="29"/>
        <v>2242</v>
      </c>
      <c r="AI34" s="161">
        <f t="shared" si="29"/>
        <v>1515</v>
      </c>
      <c r="AJ34" s="161">
        <f t="shared" si="29"/>
        <v>2271</v>
      </c>
      <c r="AK34" s="161">
        <f t="shared" si="29"/>
        <v>1132</v>
      </c>
      <c r="AL34" s="161">
        <f t="shared" si="29"/>
        <v>2244</v>
      </c>
      <c r="AM34" s="166">
        <f t="array" ref="AM34">INDEX(Expenses!$1:$398,MATCH($C34,Expenses!$A:$A,0),MATCH(AM$4,Expenses!$4:$4,0))</f>
        <v>1662.8</v>
      </c>
      <c r="AN34" s="166">
        <f t="array" ref="AN34">INDEX(Expenses!$1:$398,MATCH($C34,Expenses!$A:$A,0),MATCH(AN$4,Expenses!$4:$4,0))</f>
        <v>3662.8</v>
      </c>
      <c r="AO34" s="166">
        <f t="array" ref="AO34">INDEX(Expenses!$1:$398,MATCH($C34,Expenses!$A:$A,0),MATCH(AO$4,Expenses!$4:$4,0))</f>
        <v>3662.8</v>
      </c>
      <c r="AP34" s="166">
        <f t="array" ref="AP34">INDEX(Expenses!$1:$398,MATCH($C34,Expenses!$A:$A,0),MATCH(AP$4,Expenses!$4:$4,0))</f>
        <v>3662.8</v>
      </c>
      <c r="AQ34" s="166">
        <f t="array" ref="AQ34">INDEX(Expenses!$1:$398,MATCH($C34,Expenses!$A:$A,0),MATCH(AQ$4,Expenses!$4:$4,0))</f>
        <v>3662.8</v>
      </c>
      <c r="AR34" s="166">
        <f t="array" ref="AR34">INDEX(Expenses!$1:$398,MATCH($C34,Expenses!$A:$A,0),MATCH(AR$4,Expenses!$4:$4,0))</f>
        <v>5662.8</v>
      </c>
      <c r="AS34" s="166">
        <f t="array" ref="AS34">INDEX(Expenses!$1:$398,MATCH($C34,Expenses!$A:$A,0),MATCH(AS$4,Expenses!$4:$4,0))</f>
        <v>5662.8</v>
      </c>
      <c r="AT34" s="166">
        <f t="array" ref="AT34">INDEX(Expenses!$1:$398,MATCH($C34,Expenses!$A:$A,0),MATCH(AT$4,Expenses!$4:$4,0))</f>
        <v>5662.8</v>
      </c>
      <c r="AU34" s="166">
        <f t="array" ref="AU34">INDEX(Expenses!$1:$398,MATCH($C34,Expenses!$A:$A,0),MATCH(AU$4,Expenses!$4:$4,0))</f>
        <v>5662.8</v>
      </c>
      <c r="AV34" s="166">
        <f t="array" ref="AV34">INDEX(Expenses!$1:$398,MATCH($C34,Expenses!$A:$A,0),MATCH(AV$4,Expenses!$4:$4,0))</f>
        <v>7662.8</v>
      </c>
      <c r="AW34" s="166">
        <f t="array" ref="AW34">INDEX(Expenses!$1:$398,MATCH($C34,Expenses!$A:$A,0),MATCH(AW$4,Expenses!$4:$4,0))</f>
        <v>7662.8</v>
      </c>
      <c r="AX34" s="166">
        <f t="array" ref="AX34">INDEX(Expenses!$1:$398,MATCH($C34,Expenses!$A:$A,0),MATCH(AX$4,Expenses!$4:$4,0))</f>
        <v>7662.8</v>
      </c>
      <c r="AY34" s="166">
        <f t="array" ref="AY34">INDEX(Expenses!$1:$398,MATCH($C34,Expenses!$A:$A,0),MATCH(AY$4,Expenses!$4:$4,0))</f>
        <v>7662.8</v>
      </c>
      <c r="AZ34" s="166">
        <f t="array" ref="AZ34">INDEX(Expenses!$1:$398,MATCH($C34,Expenses!$A:$A,0),MATCH(AZ$4,Expenses!$4:$4,0))</f>
        <v>7662.8</v>
      </c>
      <c r="BA34" s="166">
        <f t="array" ref="BA34">INDEX(Expenses!$1:$398,MATCH($C34,Expenses!$A:$A,0),MATCH(BA$4,Expenses!$4:$4,0))</f>
        <v>7662.8</v>
      </c>
      <c r="BB34" s="166">
        <f t="array" ref="BB34">INDEX(Expenses!$1:$398,MATCH($C34,Expenses!$A:$A,0),MATCH(BB$4,Expenses!$4:$4,0))</f>
        <v>7662.8</v>
      </c>
      <c r="BC34" s="166">
        <f t="array" ref="BC34">INDEX(Expenses!$1:$398,MATCH($C34,Expenses!$A:$A,0),MATCH(BC$4,Expenses!$4:$4,0))</f>
        <v>7662.8</v>
      </c>
      <c r="BD34" s="166">
        <f t="array" ref="BD34">INDEX(Expenses!$1:$398,MATCH($C34,Expenses!$A:$A,0),MATCH(BD$4,Expenses!$4:$4,0))</f>
        <v>7662.8</v>
      </c>
      <c r="BE34" s="166">
        <f t="array" ref="BE34">INDEX(Expenses!$1:$398,MATCH($C34,Expenses!$A:$A,0),MATCH(BE$4,Expenses!$4:$4,0))</f>
        <v>7662.8</v>
      </c>
      <c r="BF34" s="166">
        <f t="array" ref="BF34">INDEX(Expenses!$1:$398,MATCH($C34,Expenses!$A:$A,0),MATCH(BF$4,Expenses!$4:$4,0))</f>
        <v>7662.8</v>
      </c>
      <c r="BG34" s="166">
        <f t="array" ref="BG34">INDEX(Expenses!$1:$398,MATCH($C34,Expenses!$A:$A,0),MATCH(BG$4,Expenses!$4:$4,0))</f>
        <v>7662.8</v>
      </c>
      <c r="BH34" s="166">
        <f t="array" ref="BH34">INDEX(Expenses!$1:$398,MATCH($C34,Expenses!$A:$A,0),MATCH(BH$4,Expenses!$4:$4,0))</f>
        <v>9262.8</v>
      </c>
      <c r="BI34" s="166">
        <f t="array" ref="BI34">INDEX(Expenses!$1:$398,MATCH($C34,Expenses!$A:$A,0),MATCH(BI$4,Expenses!$4:$4,0))</f>
        <v>9262.8</v>
      </c>
      <c r="BJ34" s="166">
        <f t="array" ref="BJ34">INDEX(Expenses!$1:$398,MATCH($C34,Expenses!$A:$A,0),MATCH(BJ$4,Expenses!$4:$4,0))</f>
        <v>9262.8</v>
      </c>
      <c r="BK34" s="166">
        <f t="array" ref="BK34">INDEX(Expenses!$1:$398,MATCH($C34,Expenses!$A:$A,0),MATCH(BK$4,Expenses!$4:$4,0))</f>
        <v>9262.8</v>
      </c>
      <c r="BL34" s="166">
        <f t="array" ref="BL34">INDEX(Expenses!$1:$398,MATCH($C34,Expenses!$A:$A,0),MATCH(BL$4,Expenses!$4:$4,0))</f>
        <v>13262.8</v>
      </c>
      <c r="BM34" s="166">
        <f t="array" ref="BM34">INDEX(Expenses!$1:$398,MATCH($C34,Expenses!$A:$A,0),MATCH(BM$4,Expenses!$4:$4,0))</f>
        <v>13262.8</v>
      </c>
      <c r="BN34" s="166">
        <f t="array" ref="BN34">INDEX(Expenses!$1:$398,MATCH($C34,Expenses!$A:$A,0),MATCH(BN$4,Expenses!$4:$4,0))</f>
        <v>13262.8</v>
      </c>
      <c r="BO34" s="166">
        <f t="array" ref="BO34">INDEX(Expenses!$1:$398,MATCH($C34,Expenses!$A:$A,0),MATCH(BO$4,Expenses!$4:$4,0))</f>
        <v>13262.8</v>
      </c>
      <c r="BP34" s="166">
        <f t="array" ref="BP34">INDEX(Expenses!$1:$398,MATCH($C34,Expenses!$A:$A,0),MATCH(BP$4,Expenses!$4:$4,0))</f>
        <v>17262.8</v>
      </c>
      <c r="BQ34" s="166">
        <f t="array" ref="BQ34">INDEX(Expenses!$1:$398,MATCH($C34,Expenses!$A:$A,0),MATCH(BQ$4,Expenses!$4:$4,0))</f>
        <v>17262.8</v>
      </c>
      <c r="BR34" s="166">
        <f t="array" ref="BR34">INDEX(Expenses!$1:$398,MATCH($C34,Expenses!$A:$A,0),MATCH(BR$4,Expenses!$4:$4,0))</f>
        <v>17262.8</v>
      </c>
      <c r="BS34" s="166">
        <f t="array" ref="BS34">INDEX(Expenses!$1:$398,MATCH($C34,Expenses!$A:$A,0),MATCH(BS$4,Expenses!$4:$4,0))</f>
        <v>17262.8</v>
      </c>
      <c r="BT34" s="166">
        <f t="array" ref="BT34">INDEX(Expenses!$1:$398,MATCH($C34,Expenses!$A:$A,0),MATCH(BT$4,Expenses!$4:$4,0))</f>
        <v>21262.8</v>
      </c>
      <c r="BU34" s="166">
        <f t="array" ref="BU34">INDEX(Expenses!$1:$398,MATCH($C34,Expenses!$A:$A,0),MATCH(BU$4,Expenses!$4:$4,0))</f>
        <v>21262.8</v>
      </c>
      <c r="BV34" s="166">
        <f t="array" ref="BV34">INDEX(Expenses!$1:$398,MATCH($C34,Expenses!$A:$A,0),MATCH(BV$4,Expenses!$4:$4,0))</f>
        <v>21262.8</v>
      </c>
      <c r="BW34" s="166">
        <f t="array" ref="BW34">INDEX(Expenses!$1:$398,MATCH($C34,Expenses!$A:$A,0),MATCH(BW$4,Expenses!$4:$4,0))</f>
        <v>21262.8</v>
      </c>
      <c r="BX34" s="166">
        <f t="array" ref="BX34">INDEX(Expenses!$1:$398,MATCH($C34,Expenses!$A:$A,0),MATCH(BX$4,Expenses!$4:$4,0))</f>
        <v>21342.8</v>
      </c>
      <c r="BY34" s="166">
        <f t="array" ref="BY34">INDEX(Expenses!$1:$398,MATCH($C34,Expenses!$A:$A,0),MATCH(BY$4,Expenses!$4:$4,0))</f>
        <v>21342.8</v>
      </c>
      <c r="BZ34" s="166">
        <f t="array" ref="BZ34">INDEX(Expenses!$1:$398,MATCH($C34,Expenses!$A:$A,0),MATCH(BZ$4,Expenses!$4:$4,0))</f>
        <v>21342.8</v>
      </c>
      <c r="CA34" s="166">
        <f t="array" ref="CA34">INDEX(Expenses!$1:$398,MATCH($C34,Expenses!$A:$A,0),MATCH(CA$4,Expenses!$4:$4,0))</f>
        <v>21342.8</v>
      </c>
      <c r="CB34" s="166">
        <f t="array" ref="CB34">INDEX(Expenses!$1:$398,MATCH($C34,Expenses!$A:$A,0),MATCH(CB$4,Expenses!$4:$4,0))</f>
        <v>21422.8</v>
      </c>
      <c r="CC34" s="166">
        <f t="array" ref="CC34">INDEX(Expenses!$1:$398,MATCH($C34,Expenses!$A:$A,0),MATCH(CC$4,Expenses!$4:$4,0))</f>
        <v>21422.8</v>
      </c>
      <c r="CD34" s="166">
        <f t="array" ref="CD34">INDEX(Expenses!$1:$398,MATCH($C34,Expenses!$A:$A,0),MATCH(CD$4,Expenses!$4:$4,0))</f>
        <v>21422.8</v>
      </c>
      <c r="CE34" s="166">
        <f t="array" ref="CE34">INDEX(Expenses!$1:$398,MATCH($C34,Expenses!$A:$A,0),MATCH(CE$4,Expenses!$4:$4,0))</f>
        <v>21422.8</v>
      </c>
      <c r="CF34" s="166">
        <f t="array" ref="CF34">INDEX(Expenses!$1:$398,MATCH($C34,Expenses!$A:$A,0),MATCH(CF$4,Expenses!$4:$4,0))</f>
        <v>21502.8</v>
      </c>
      <c r="CG34" s="166">
        <f t="array" ref="CG34">INDEX(Expenses!$1:$398,MATCH($C34,Expenses!$A:$A,0),MATCH(CG$4,Expenses!$4:$4,0))</f>
        <v>21502.8</v>
      </c>
      <c r="CH34" s="166">
        <f t="array" ref="CH34">INDEX(Expenses!$1:$398,MATCH($C34,Expenses!$A:$A,0),MATCH(CH$4,Expenses!$4:$4,0))</f>
        <v>21502.8</v>
      </c>
      <c r="CI34" s="166">
        <f t="array" ref="CI34">INDEX(Expenses!$1:$398,MATCH($C34,Expenses!$A:$A,0),MATCH(CI$4,Expenses!$4:$4,0))</f>
        <v>21502.8</v>
      </c>
      <c r="CJ34" s="166">
        <f t="array" ref="CJ34">INDEX(Expenses!$1:$398,MATCH($C34,Expenses!$A:$A,0),MATCH(CJ$4,Expenses!$4:$4,0))</f>
        <v>21582.8</v>
      </c>
      <c r="CK34" s="166">
        <f t="array" ref="CK34">INDEX(Expenses!$1:$398,MATCH($C34,Expenses!$A:$A,0),MATCH(CK$4,Expenses!$4:$4,0))</f>
        <v>21582.8</v>
      </c>
      <c r="CL34" s="166">
        <f t="array" ref="CL34">INDEX(Expenses!$1:$398,MATCH($C34,Expenses!$A:$A,0),MATCH(CL$4,Expenses!$4:$4,0))</f>
        <v>21582.8</v>
      </c>
      <c r="CM34" s="166">
        <f t="array" ref="CM34">INDEX(Expenses!$1:$398,MATCH($C34,Expenses!$A:$A,0),MATCH(CM$4,Expenses!$4:$4,0))</f>
        <v>21582.8</v>
      </c>
      <c r="CN34" s="166">
        <f t="array" ref="CN34">INDEX(Expenses!$1:$398,MATCH($C34,Expenses!$A:$A,0),MATCH(CN$4,Expenses!$4:$4,0))</f>
        <v>21662.8</v>
      </c>
      <c r="CO34" s="166">
        <f t="array" ref="CO34">INDEX(Expenses!$1:$398,MATCH($C34,Expenses!$A:$A,0),MATCH(CO$4,Expenses!$4:$4,0))</f>
        <v>21662.8</v>
      </c>
      <c r="CP34" s="166">
        <f t="array" ref="CP34">INDEX(Expenses!$1:$398,MATCH($C34,Expenses!$A:$A,0),MATCH(CP$4,Expenses!$4:$4,0))</f>
        <v>21662.8</v>
      </c>
      <c r="CQ34" s="166">
        <f t="array" ref="CQ34">INDEX(Expenses!$1:$398,MATCH($C34,Expenses!$A:$A,0),MATCH(CQ$4,Expenses!$4:$4,0))</f>
        <v>21662.8</v>
      </c>
      <c r="CR34" s="166">
        <f t="array" ref="CR34">INDEX(Expenses!$1:$398,MATCH($C34,Expenses!$A:$A,0),MATCH(CR$4,Expenses!$4:$4,0))</f>
        <v>22662.8</v>
      </c>
      <c r="CS34" s="166">
        <f t="array" ref="CS34">INDEX(Expenses!$1:$398,MATCH($C34,Expenses!$A:$A,0),MATCH(CS$4,Expenses!$4:$4,0))</f>
        <v>22662.8</v>
      </c>
      <c r="CT34" s="166">
        <f t="array" ref="CT34">INDEX(Expenses!$1:$398,MATCH($C34,Expenses!$A:$A,0),MATCH(CT$4,Expenses!$4:$4,0))</f>
        <v>22662.8</v>
      </c>
      <c r="CU34" s="166">
        <f t="array" ref="CU34">INDEX(Expenses!$1:$398,MATCH($C34,Expenses!$A:$A,0),MATCH(CU$4,Expenses!$4:$4,0))</f>
        <v>22662.8</v>
      </c>
      <c r="CV34" s="166"/>
      <c r="CW34" s="166"/>
      <c r="CX34" s="166"/>
      <c r="CY34" s="166"/>
      <c r="CZ34" s="166"/>
      <c r="DA34" s="166"/>
      <c r="DB34" s="166"/>
      <c r="DC34" s="166"/>
    </row>
    <row r="35" ht="15.75" customHeight="1">
      <c r="A35" s="146" t="s">
        <v>118</v>
      </c>
      <c r="B35" s="146" t="s">
        <v>71</v>
      </c>
      <c r="C35" s="160" t="s">
        <v>217</v>
      </c>
      <c r="D35" s="146">
        <v>0.0</v>
      </c>
      <c r="E35" s="146">
        <v>0.0</v>
      </c>
      <c r="F35" s="146">
        <v>0.0</v>
      </c>
      <c r="G35" s="146">
        <v>0.0</v>
      </c>
      <c r="H35" s="146">
        <v>0.0</v>
      </c>
      <c r="I35" s="146">
        <v>0.0</v>
      </c>
      <c r="J35" s="146">
        <v>0.0</v>
      </c>
      <c r="K35" s="146">
        <v>0.0</v>
      </c>
      <c r="L35" s="146">
        <v>0.0</v>
      </c>
      <c r="M35" s="146">
        <v>0.0</v>
      </c>
      <c r="N35" s="146">
        <v>0.0</v>
      </c>
      <c r="O35" s="146">
        <v>0.0</v>
      </c>
      <c r="P35" s="146">
        <v>0.0</v>
      </c>
      <c r="Q35" s="146">
        <v>0.0</v>
      </c>
      <c r="R35" s="146">
        <v>0.0</v>
      </c>
      <c r="S35" s="146">
        <v>0.0</v>
      </c>
      <c r="T35" s="146">
        <v>0.0</v>
      </c>
      <c r="U35" s="146">
        <v>0.0</v>
      </c>
      <c r="V35" s="146">
        <v>0.0</v>
      </c>
      <c r="W35" s="146">
        <v>0.0</v>
      </c>
      <c r="X35" s="146">
        <v>0.0</v>
      </c>
      <c r="Y35" s="146">
        <v>0.0</v>
      </c>
      <c r="Z35" s="146">
        <v>0.0</v>
      </c>
      <c r="AA35" s="146">
        <v>0.0</v>
      </c>
      <c r="AB35" s="146">
        <v>0.0</v>
      </c>
      <c r="AC35" s="146">
        <v>0.0</v>
      </c>
      <c r="AD35" s="146">
        <v>0.0</v>
      </c>
      <c r="AE35" s="146">
        <v>0.0</v>
      </c>
      <c r="AF35" s="146">
        <v>0.0</v>
      </c>
      <c r="AG35" s="146">
        <v>0.0</v>
      </c>
      <c r="AH35" s="146">
        <v>0.0</v>
      </c>
      <c r="AI35" s="146">
        <v>0.0</v>
      </c>
      <c r="AJ35" s="146">
        <v>0.0</v>
      </c>
      <c r="AK35" s="146">
        <v>0.0</v>
      </c>
      <c r="AL35" s="146">
        <v>0.0</v>
      </c>
      <c r="AM35" s="166">
        <v>0.0</v>
      </c>
      <c r="AN35" s="166">
        <v>0.0</v>
      </c>
      <c r="AO35" s="166">
        <v>0.0</v>
      </c>
      <c r="AP35" s="166">
        <v>0.0</v>
      </c>
      <c r="AQ35" s="166">
        <v>0.0</v>
      </c>
      <c r="AR35" s="166">
        <v>0.0</v>
      </c>
      <c r="AS35" s="166">
        <v>0.0</v>
      </c>
      <c r="AT35" s="166">
        <v>0.0</v>
      </c>
      <c r="AU35" s="166">
        <v>0.0</v>
      </c>
      <c r="AV35" s="166">
        <v>0.0</v>
      </c>
      <c r="AW35" s="166">
        <v>0.0</v>
      </c>
      <c r="AX35" s="166">
        <v>0.0</v>
      </c>
      <c r="AY35" s="166">
        <v>0.0</v>
      </c>
      <c r="AZ35" s="166">
        <v>0.0</v>
      </c>
      <c r="BA35" s="166">
        <v>0.0</v>
      </c>
      <c r="BB35" s="166">
        <v>0.0</v>
      </c>
      <c r="BC35" s="166">
        <v>0.0</v>
      </c>
      <c r="BD35" s="166">
        <v>0.0</v>
      </c>
      <c r="BE35" s="166">
        <v>0.0</v>
      </c>
      <c r="BF35" s="166">
        <v>0.0</v>
      </c>
      <c r="BG35" s="166">
        <v>0.0</v>
      </c>
      <c r="BH35" s="166">
        <v>0.0</v>
      </c>
      <c r="BI35" s="166">
        <v>0.0</v>
      </c>
      <c r="BJ35" s="166">
        <v>0.0</v>
      </c>
      <c r="BK35" s="166">
        <v>0.0</v>
      </c>
      <c r="BL35" s="166">
        <v>0.0</v>
      </c>
      <c r="BM35" s="166">
        <v>0.0</v>
      </c>
      <c r="BN35" s="166">
        <v>0.0</v>
      </c>
      <c r="BO35" s="166">
        <v>0.0</v>
      </c>
      <c r="BP35" s="166">
        <v>0.0</v>
      </c>
      <c r="BQ35" s="166">
        <v>0.0</v>
      </c>
      <c r="BR35" s="166">
        <v>0.0</v>
      </c>
      <c r="BS35" s="166">
        <v>0.0</v>
      </c>
      <c r="BT35" s="166">
        <v>0.0</v>
      </c>
      <c r="BU35" s="166">
        <v>0.0</v>
      </c>
      <c r="BV35" s="166">
        <v>0.0</v>
      </c>
      <c r="BW35" s="166">
        <v>0.0</v>
      </c>
      <c r="BX35" s="166">
        <v>0.0</v>
      </c>
      <c r="BY35" s="166">
        <v>0.0</v>
      </c>
      <c r="BZ35" s="166">
        <v>0.0</v>
      </c>
      <c r="CA35" s="166">
        <v>0.0</v>
      </c>
      <c r="CB35" s="166">
        <v>0.0</v>
      </c>
      <c r="CC35" s="166">
        <v>0.0</v>
      </c>
      <c r="CD35" s="166">
        <v>0.0</v>
      </c>
      <c r="CE35" s="166">
        <v>0.0</v>
      </c>
      <c r="CF35" s="166">
        <v>0.0</v>
      </c>
      <c r="CG35" s="166">
        <v>0.0</v>
      </c>
      <c r="CH35" s="166">
        <v>0.0</v>
      </c>
      <c r="CI35" s="166">
        <v>0.0</v>
      </c>
      <c r="CJ35" s="166">
        <v>0.0</v>
      </c>
      <c r="CK35" s="166">
        <v>0.0</v>
      </c>
      <c r="CL35" s="166">
        <v>0.0</v>
      </c>
      <c r="CM35" s="166">
        <v>0.0</v>
      </c>
      <c r="CN35" s="166">
        <v>0.0</v>
      </c>
      <c r="CO35" s="166">
        <v>0.0</v>
      </c>
      <c r="CP35" s="166">
        <v>0.0</v>
      </c>
      <c r="CQ35" s="166">
        <v>0.0</v>
      </c>
      <c r="CR35" s="166">
        <v>0.0</v>
      </c>
      <c r="CS35" s="166">
        <v>0.0</v>
      </c>
      <c r="CT35" s="166">
        <v>0.0</v>
      </c>
      <c r="CU35" s="166">
        <v>0.0</v>
      </c>
      <c r="CV35" s="162"/>
      <c r="CW35" s="162"/>
      <c r="CX35" s="162"/>
      <c r="CY35" s="162"/>
      <c r="CZ35" s="162"/>
      <c r="DA35" s="162"/>
      <c r="DB35" s="162"/>
      <c r="DC35" s="162"/>
    </row>
    <row r="36" ht="15.75" customHeight="1">
      <c r="A36" s="146" t="s">
        <v>118</v>
      </c>
      <c r="B36" s="146" t="s">
        <v>67</v>
      </c>
      <c r="C36" s="160" t="s">
        <v>218</v>
      </c>
      <c r="D36" s="161">
        <f t="shared" ref="D36:AL36" si="30">RANDBETWEEN(1000,2500)</f>
        <v>2152</v>
      </c>
      <c r="E36" s="161">
        <f t="shared" si="30"/>
        <v>2115</v>
      </c>
      <c r="F36" s="161">
        <f t="shared" si="30"/>
        <v>1820</v>
      </c>
      <c r="G36" s="161">
        <f t="shared" si="30"/>
        <v>2127</v>
      </c>
      <c r="H36" s="161">
        <f t="shared" si="30"/>
        <v>2429</v>
      </c>
      <c r="I36" s="161">
        <f t="shared" si="30"/>
        <v>1249</v>
      </c>
      <c r="J36" s="161">
        <f t="shared" si="30"/>
        <v>1087</v>
      </c>
      <c r="K36" s="161">
        <f t="shared" si="30"/>
        <v>2275</v>
      </c>
      <c r="L36" s="161">
        <f t="shared" si="30"/>
        <v>1301</v>
      </c>
      <c r="M36" s="161">
        <f t="shared" si="30"/>
        <v>2124</v>
      </c>
      <c r="N36" s="161">
        <f t="shared" si="30"/>
        <v>1279</v>
      </c>
      <c r="O36" s="161">
        <f t="shared" si="30"/>
        <v>2467</v>
      </c>
      <c r="P36" s="161">
        <f t="shared" si="30"/>
        <v>2000</v>
      </c>
      <c r="Q36" s="161">
        <f t="shared" si="30"/>
        <v>1991</v>
      </c>
      <c r="R36" s="161">
        <f t="shared" si="30"/>
        <v>1958</v>
      </c>
      <c r="S36" s="161">
        <f t="shared" si="30"/>
        <v>2258</v>
      </c>
      <c r="T36" s="161">
        <f t="shared" si="30"/>
        <v>1606</v>
      </c>
      <c r="U36" s="161">
        <f t="shared" si="30"/>
        <v>2256</v>
      </c>
      <c r="V36" s="161">
        <f t="shared" si="30"/>
        <v>2469</v>
      </c>
      <c r="W36" s="161">
        <f t="shared" si="30"/>
        <v>2477</v>
      </c>
      <c r="X36" s="161">
        <f t="shared" si="30"/>
        <v>1291</v>
      </c>
      <c r="Y36" s="161">
        <f t="shared" si="30"/>
        <v>1291</v>
      </c>
      <c r="Z36" s="161">
        <f t="shared" si="30"/>
        <v>1864</v>
      </c>
      <c r="AA36" s="161">
        <f t="shared" si="30"/>
        <v>2052</v>
      </c>
      <c r="AB36" s="161">
        <f t="shared" si="30"/>
        <v>2489</v>
      </c>
      <c r="AC36" s="161">
        <f t="shared" si="30"/>
        <v>1478</v>
      </c>
      <c r="AD36" s="161">
        <f t="shared" si="30"/>
        <v>1744</v>
      </c>
      <c r="AE36" s="161">
        <f t="shared" si="30"/>
        <v>2193</v>
      </c>
      <c r="AF36" s="161">
        <f t="shared" si="30"/>
        <v>1598</v>
      </c>
      <c r="AG36" s="161">
        <f t="shared" si="30"/>
        <v>2044</v>
      </c>
      <c r="AH36" s="161">
        <f t="shared" si="30"/>
        <v>1706</v>
      </c>
      <c r="AI36" s="161">
        <f t="shared" si="30"/>
        <v>1556</v>
      </c>
      <c r="AJ36" s="161">
        <f t="shared" si="30"/>
        <v>2429</v>
      </c>
      <c r="AK36" s="161">
        <f t="shared" si="30"/>
        <v>2326</v>
      </c>
      <c r="AL36" s="161">
        <f t="shared" si="30"/>
        <v>1699</v>
      </c>
      <c r="AM36" s="166">
        <f t="array" ref="AM36">INDEX(Expenses!$1:$398,MATCH($C36,Expenses!$A:$A,0),MATCH(AM$4,Expenses!$4:$4,0))</f>
        <v>4705.5105</v>
      </c>
      <c r="AN36" s="166">
        <f t="array" ref="AN36">INDEX(Expenses!$1:$398,MATCH($C36,Expenses!$A:$A,0),MATCH(AN$4,Expenses!$4:$4,0))</f>
        <v>5176.06155</v>
      </c>
      <c r="AO36" s="166">
        <f t="array" ref="AO36">INDEX(Expenses!$1:$398,MATCH($C36,Expenses!$A:$A,0),MATCH(AO$4,Expenses!$4:$4,0))</f>
        <v>5227.822166</v>
      </c>
      <c r="AP36" s="166">
        <f t="array" ref="AP36">INDEX(Expenses!$1:$398,MATCH($C36,Expenses!$A:$A,0),MATCH(AP$4,Expenses!$4:$4,0))</f>
        <v>5280.100387</v>
      </c>
      <c r="AQ36" s="166">
        <f t="array" ref="AQ36">INDEX(Expenses!$1:$398,MATCH($C36,Expenses!$A:$A,0),MATCH(AQ$4,Expenses!$4:$4,0))</f>
        <v>5332.901391</v>
      </c>
      <c r="AR36" s="166">
        <f t="array" ref="AR36">INDEX(Expenses!$1:$398,MATCH($C36,Expenses!$A:$A,0),MATCH(AR$4,Expenses!$4:$4,0))</f>
        <v>5386.230405</v>
      </c>
      <c r="AS36" s="166">
        <f t="array" ref="AS36">INDEX(Expenses!$1:$398,MATCH($C36,Expenses!$A:$A,0),MATCH(AS$4,Expenses!$4:$4,0))</f>
        <v>5440.092709</v>
      </c>
      <c r="AT36" s="166">
        <f t="array" ref="AT36">INDEX(Expenses!$1:$398,MATCH($C36,Expenses!$A:$A,0),MATCH(AT$4,Expenses!$4:$4,0))</f>
        <v>5494.493636</v>
      </c>
      <c r="AU36" s="166">
        <f t="array" ref="AU36">INDEX(Expenses!$1:$398,MATCH($C36,Expenses!$A:$A,0),MATCH(AU$4,Expenses!$4:$4,0))</f>
        <v>5549.438572</v>
      </c>
      <c r="AV36" s="166">
        <f t="array" ref="AV36">INDEX(Expenses!$1:$398,MATCH($C36,Expenses!$A:$A,0),MATCH(AV$4,Expenses!$4:$4,0))</f>
        <v>5604.932958</v>
      </c>
      <c r="AW36" s="166">
        <f t="array" ref="AW36">INDEX(Expenses!$1:$398,MATCH($C36,Expenses!$A:$A,0),MATCH(AW$4,Expenses!$4:$4,0))</f>
        <v>5660.982288</v>
      </c>
      <c r="AX36" s="166">
        <f t="array" ref="AX36">INDEX(Expenses!$1:$398,MATCH($C36,Expenses!$A:$A,0),MATCH(AX$4,Expenses!$4:$4,0))</f>
        <v>5717.592111</v>
      </c>
      <c r="AY36" s="166">
        <f t="array" ref="AY36">INDEX(Expenses!$1:$398,MATCH($C36,Expenses!$A:$A,0),MATCH(AY$4,Expenses!$4:$4,0))</f>
        <v>5774.768032</v>
      </c>
      <c r="AZ36" s="166">
        <f t="array" ref="AZ36">INDEX(Expenses!$1:$398,MATCH($C36,Expenses!$A:$A,0),MATCH(AZ$4,Expenses!$4:$4,0))</f>
        <v>5832.515712</v>
      </c>
      <c r="BA36" s="166">
        <f t="array" ref="BA36">INDEX(Expenses!$1:$398,MATCH($C36,Expenses!$A:$A,0),MATCH(BA$4,Expenses!$4:$4,0))</f>
        <v>5890.840869</v>
      </c>
      <c r="BB36" s="166">
        <f t="array" ref="BB36">INDEX(Expenses!$1:$398,MATCH($C36,Expenses!$A:$A,0),MATCH(BB$4,Expenses!$4:$4,0))</f>
        <v>5949.749278</v>
      </c>
      <c r="BC36" s="166">
        <f t="array" ref="BC36">INDEX(Expenses!$1:$398,MATCH($C36,Expenses!$A:$A,0),MATCH(BC$4,Expenses!$4:$4,0))</f>
        <v>6009.246771</v>
      </c>
      <c r="BD36" s="166">
        <f t="array" ref="BD36">INDEX(Expenses!$1:$398,MATCH($C36,Expenses!$A:$A,0),MATCH(BD$4,Expenses!$4:$4,0))</f>
        <v>6069.339238</v>
      </c>
      <c r="BE36" s="166">
        <f t="array" ref="BE36">INDEX(Expenses!$1:$398,MATCH($C36,Expenses!$A:$A,0),MATCH(BE$4,Expenses!$4:$4,0))</f>
        <v>6130.032631</v>
      </c>
      <c r="BF36" s="166">
        <f t="array" ref="BF36">INDEX(Expenses!$1:$398,MATCH($C36,Expenses!$A:$A,0),MATCH(BF$4,Expenses!$4:$4,0))</f>
        <v>6191.332957</v>
      </c>
      <c r="BG36" s="166">
        <f t="array" ref="BG36">INDEX(Expenses!$1:$398,MATCH($C36,Expenses!$A:$A,0),MATCH(BG$4,Expenses!$4:$4,0))</f>
        <v>6253.246287</v>
      </c>
      <c r="BH36" s="166">
        <f t="array" ref="BH36">INDEX(Expenses!$1:$398,MATCH($C36,Expenses!$A:$A,0),MATCH(BH$4,Expenses!$4:$4,0))</f>
        <v>6315.778749</v>
      </c>
      <c r="BI36" s="166">
        <f t="array" ref="BI36">INDEX(Expenses!$1:$398,MATCH($C36,Expenses!$A:$A,0),MATCH(BI$4,Expenses!$4:$4,0))</f>
        <v>6378.936537</v>
      </c>
      <c r="BJ36" s="166">
        <f t="array" ref="BJ36">INDEX(Expenses!$1:$398,MATCH($C36,Expenses!$A:$A,0),MATCH(BJ$4,Expenses!$4:$4,0))</f>
        <v>6442.725902</v>
      </c>
      <c r="BK36" s="166">
        <f t="array" ref="BK36">INDEX(Expenses!$1:$398,MATCH($C36,Expenses!$A:$A,0),MATCH(BK$4,Expenses!$4:$4,0))</f>
        <v>6507.153161</v>
      </c>
      <c r="BL36" s="166">
        <f t="array" ref="BL36">INDEX(Expenses!$1:$398,MATCH($C36,Expenses!$A:$A,0),MATCH(BL$4,Expenses!$4:$4,0))</f>
        <v>6572.224693</v>
      </c>
      <c r="BM36" s="166">
        <f t="array" ref="BM36">INDEX(Expenses!$1:$398,MATCH($C36,Expenses!$A:$A,0),MATCH(BM$4,Expenses!$4:$4,0))</f>
        <v>6637.94694</v>
      </c>
      <c r="BN36" s="166">
        <f t="array" ref="BN36">INDEX(Expenses!$1:$398,MATCH($C36,Expenses!$A:$A,0),MATCH(BN$4,Expenses!$4:$4,0))</f>
        <v>6704.326409</v>
      </c>
      <c r="BO36" s="166">
        <f t="array" ref="BO36">INDEX(Expenses!$1:$398,MATCH($C36,Expenses!$A:$A,0),MATCH(BO$4,Expenses!$4:$4,0))</f>
        <v>6771.369673</v>
      </c>
      <c r="BP36" s="166">
        <f t="array" ref="BP36">INDEX(Expenses!$1:$398,MATCH($C36,Expenses!$A:$A,0),MATCH(BP$4,Expenses!$4:$4,0))</f>
        <v>6839.08337</v>
      </c>
      <c r="BQ36" s="166">
        <f t="array" ref="BQ36">INDEX(Expenses!$1:$398,MATCH($C36,Expenses!$A:$A,0),MATCH(BQ$4,Expenses!$4:$4,0))</f>
        <v>6907.474204</v>
      </c>
      <c r="BR36" s="166">
        <f t="array" ref="BR36">INDEX(Expenses!$1:$398,MATCH($C36,Expenses!$A:$A,0),MATCH(BR$4,Expenses!$4:$4,0))</f>
        <v>6976.548946</v>
      </c>
      <c r="BS36" s="166">
        <f t="array" ref="BS36">INDEX(Expenses!$1:$398,MATCH($C36,Expenses!$A:$A,0),MATCH(BS$4,Expenses!$4:$4,0))</f>
        <v>7046.314435</v>
      </c>
      <c r="BT36" s="166">
        <f t="array" ref="BT36">INDEX(Expenses!$1:$398,MATCH($C36,Expenses!$A:$A,0),MATCH(BT$4,Expenses!$4:$4,0))</f>
        <v>7116.77758</v>
      </c>
      <c r="BU36" s="166">
        <f t="array" ref="BU36">INDEX(Expenses!$1:$398,MATCH($C36,Expenses!$A:$A,0),MATCH(BU$4,Expenses!$4:$4,0))</f>
        <v>7187.945355</v>
      </c>
      <c r="BV36" s="166">
        <f t="array" ref="BV36">INDEX(Expenses!$1:$398,MATCH($C36,Expenses!$A:$A,0),MATCH(BV$4,Expenses!$4:$4,0))</f>
        <v>7259.824809</v>
      </c>
      <c r="BW36" s="166">
        <f t="array" ref="BW36">INDEX(Expenses!$1:$398,MATCH($C36,Expenses!$A:$A,0),MATCH(BW$4,Expenses!$4:$4,0))</f>
        <v>7332.423057</v>
      </c>
      <c r="BX36" s="166">
        <f t="array" ref="BX36">INDEX(Expenses!$1:$398,MATCH($C36,Expenses!$A:$A,0),MATCH(BX$4,Expenses!$4:$4,0))</f>
        <v>7405.747288</v>
      </c>
      <c r="BY36" s="166">
        <f t="array" ref="BY36">INDEX(Expenses!$1:$398,MATCH($C36,Expenses!$A:$A,0),MATCH(BY$4,Expenses!$4:$4,0))</f>
        <v>7479.804761</v>
      </c>
      <c r="BZ36" s="166">
        <f t="array" ref="BZ36">INDEX(Expenses!$1:$398,MATCH($C36,Expenses!$A:$A,0),MATCH(BZ$4,Expenses!$4:$4,0))</f>
        <v>7554.602808</v>
      </c>
      <c r="CA36" s="166">
        <f t="array" ref="CA36">INDEX(Expenses!$1:$398,MATCH($C36,Expenses!$A:$A,0),MATCH(CA$4,Expenses!$4:$4,0))</f>
        <v>7630.148836</v>
      </c>
      <c r="CB36" s="166">
        <f t="array" ref="CB36">INDEX(Expenses!$1:$398,MATCH($C36,Expenses!$A:$A,0),MATCH(CB$4,Expenses!$4:$4,0))</f>
        <v>7706.450325</v>
      </c>
      <c r="CC36" s="166">
        <f t="array" ref="CC36">INDEX(Expenses!$1:$398,MATCH($C36,Expenses!$A:$A,0),MATCH(CC$4,Expenses!$4:$4,0))</f>
        <v>7783.514828</v>
      </c>
      <c r="CD36" s="166">
        <f t="array" ref="CD36">INDEX(Expenses!$1:$398,MATCH($C36,Expenses!$A:$A,0),MATCH(CD$4,Expenses!$4:$4,0))</f>
        <v>7861.349976</v>
      </c>
      <c r="CE36" s="166">
        <f t="array" ref="CE36">INDEX(Expenses!$1:$398,MATCH($C36,Expenses!$A:$A,0),MATCH(CE$4,Expenses!$4:$4,0))</f>
        <v>7939.963476</v>
      </c>
      <c r="CF36" s="166">
        <f t="array" ref="CF36">INDEX(Expenses!$1:$398,MATCH($C36,Expenses!$A:$A,0),MATCH(CF$4,Expenses!$4:$4,0))</f>
        <v>8019.363111</v>
      </c>
      <c r="CG36" s="166">
        <f t="array" ref="CG36">INDEX(Expenses!$1:$398,MATCH($C36,Expenses!$A:$A,0),MATCH(CG$4,Expenses!$4:$4,0))</f>
        <v>8099.556742</v>
      </c>
      <c r="CH36" s="166">
        <f t="array" ref="CH36">INDEX(Expenses!$1:$398,MATCH($C36,Expenses!$A:$A,0),MATCH(CH$4,Expenses!$4:$4,0))</f>
        <v>8180.552309</v>
      </c>
      <c r="CI36" s="166">
        <f t="array" ref="CI36">INDEX(Expenses!$1:$398,MATCH($C36,Expenses!$A:$A,0),MATCH(CI$4,Expenses!$4:$4,0))</f>
        <v>8262.357832</v>
      </c>
      <c r="CJ36" s="166">
        <f t="array" ref="CJ36">INDEX(Expenses!$1:$398,MATCH($C36,Expenses!$A:$A,0),MATCH(CJ$4,Expenses!$4:$4,0))</f>
        <v>8344.981411</v>
      </c>
      <c r="CK36" s="166">
        <f t="array" ref="CK36">INDEX(Expenses!$1:$398,MATCH($C36,Expenses!$A:$A,0),MATCH(CK$4,Expenses!$4:$4,0))</f>
        <v>8428.431225</v>
      </c>
      <c r="CL36" s="166">
        <f t="array" ref="CL36">INDEX(Expenses!$1:$398,MATCH($C36,Expenses!$A:$A,0),MATCH(CL$4,Expenses!$4:$4,0))</f>
        <v>8512.715537</v>
      </c>
      <c r="CM36" s="166">
        <f t="array" ref="CM36">INDEX(Expenses!$1:$398,MATCH($C36,Expenses!$A:$A,0),MATCH(CM$4,Expenses!$4:$4,0))</f>
        <v>8597.842692</v>
      </c>
      <c r="CN36" s="166">
        <f t="array" ref="CN36">INDEX(Expenses!$1:$398,MATCH($C36,Expenses!$A:$A,0),MATCH(CN$4,Expenses!$4:$4,0))</f>
        <v>8683.821119</v>
      </c>
      <c r="CO36" s="166">
        <f t="array" ref="CO36">INDEX(Expenses!$1:$398,MATCH($C36,Expenses!$A:$A,0),MATCH(CO$4,Expenses!$4:$4,0))</f>
        <v>8770.65933</v>
      </c>
      <c r="CP36" s="166">
        <f t="array" ref="CP36">INDEX(Expenses!$1:$398,MATCH($C36,Expenses!$A:$A,0),MATCH(CP$4,Expenses!$4:$4,0))</f>
        <v>8858.365924</v>
      </c>
      <c r="CQ36" s="166">
        <f t="array" ref="CQ36">INDEX(Expenses!$1:$398,MATCH($C36,Expenses!$A:$A,0),MATCH(CQ$4,Expenses!$4:$4,0))</f>
        <v>8946.949583</v>
      </c>
      <c r="CR36" s="166">
        <f t="array" ref="CR36">INDEX(Expenses!$1:$398,MATCH($C36,Expenses!$A:$A,0),MATCH(CR$4,Expenses!$4:$4,0))</f>
        <v>9036.419079</v>
      </c>
      <c r="CS36" s="166">
        <f t="array" ref="CS36">INDEX(Expenses!$1:$398,MATCH($C36,Expenses!$A:$A,0),MATCH(CS$4,Expenses!$4:$4,0))</f>
        <v>9126.78327</v>
      </c>
      <c r="CT36" s="166">
        <f t="array" ref="CT36">INDEX(Expenses!$1:$398,MATCH($C36,Expenses!$A:$A,0),MATCH(CT$4,Expenses!$4:$4,0))</f>
        <v>9218.051102</v>
      </c>
      <c r="CU36" s="166">
        <f t="array" ref="CU36">INDEX(Expenses!$1:$398,MATCH($C36,Expenses!$A:$A,0),MATCH(CU$4,Expenses!$4:$4,0))</f>
        <v>9310.231613</v>
      </c>
      <c r="CV36" s="162"/>
      <c r="CW36" s="162"/>
      <c r="CX36" s="162"/>
      <c r="CY36" s="162"/>
      <c r="CZ36" s="162"/>
      <c r="DA36" s="162"/>
      <c r="DB36" s="162"/>
      <c r="DC36" s="162"/>
    </row>
    <row r="37" ht="15.75" customHeight="1">
      <c r="A37" s="146" t="s">
        <v>118</v>
      </c>
      <c r="B37" s="146" t="s">
        <v>67</v>
      </c>
      <c r="C37" s="160" t="s">
        <v>219</v>
      </c>
      <c r="D37" s="161">
        <f t="shared" ref="D37:AL37" si="31">RANDBETWEEN(1000,2500)</f>
        <v>1244</v>
      </c>
      <c r="E37" s="161">
        <f t="shared" si="31"/>
        <v>1697</v>
      </c>
      <c r="F37" s="161">
        <f t="shared" si="31"/>
        <v>1403</v>
      </c>
      <c r="G37" s="161">
        <f t="shared" si="31"/>
        <v>1149</v>
      </c>
      <c r="H37" s="161">
        <f t="shared" si="31"/>
        <v>1044</v>
      </c>
      <c r="I37" s="161">
        <f t="shared" si="31"/>
        <v>1440</v>
      </c>
      <c r="J37" s="161">
        <f t="shared" si="31"/>
        <v>2242</v>
      </c>
      <c r="K37" s="161">
        <f t="shared" si="31"/>
        <v>1005</v>
      </c>
      <c r="L37" s="161">
        <f t="shared" si="31"/>
        <v>1272</v>
      </c>
      <c r="M37" s="161">
        <f t="shared" si="31"/>
        <v>1069</v>
      </c>
      <c r="N37" s="161">
        <f t="shared" si="31"/>
        <v>1781</v>
      </c>
      <c r="O37" s="161">
        <f t="shared" si="31"/>
        <v>1153</v>
      </c>
      <c r="P37" s="161">
        <f t="shared" si="31"/>
        <v>1993</v>
      </c>
      <c r="Q37" s="161">
        <f t="shared" si="31"/>
        <v>2426</v>
      </c>
      <c r="R37" s="161">
        <f t="shared" si="31"/>
        <v>1979</v>
      </c>
      <c r="S37" s="161">
        <f t="shared" si="31"/>
        <v>1542</v>
      </c>
      <c r="T37" s="161">
        <f t="shared" si="31"/>
        <v>1988</v>
      </c>
      <c r="U37" s="161">
        <f t="shared" si="31"/>
        <v>1186</v>
      </c>
      <c r="V37" s="161">
        <f t="shared" si="31"/>
        <v>1639</v>
      </c>
      <c r="W37" s="161">
        <f t="shared" si="31"/>
        <v>1806</v>
      </c>
      <c r="X37" s="161">
        <f t="shared" si="31"/>
        <v>2375</v>
      </c>
      <c r="Y37" s="161">
        <f t="shared" si="31"/>
        <v>2230</v>
      </c>
      <c r="Z37" s="161">
        <f t="shared" si="31"/>
        <v>2066</v>
      </c>
      <c r="AA37" s="161">
        <f t="shared" si="31"/>
        <v>2090</v>
      </c>
      <c r="AB37" s="161">
        <f t="shared" si="31"/>
        <v>2217</v>
      </c>
      <c r="AC37" s="161">
        <f t="shared" si="31"/>
        <v>2073</v>
      </c>
      <c r="AD37" s="161">
        <f t="shared" si="31"/>
        <v>1939</v>
      </c>
      <c r="AE37" s="161">
        <f t="shared" si="31"/>
        <v>1529</v>
      </c>
      <c r="AF37" s="161">
        <f t="shared" si="31"/>
        <v>1317</v>
      </c>
      <c r="AG37" s="161">
        <f t="shared" si="31"/>
        <v>2285</v>
      </c>
      <c r="AH37" s="161">
        <f t="shared" si="31"/>
        <v>1905</v>
      </c>
      <c r="AI37" s="161">
        <f t="shared" si="31"/>
        <v>1643</v>
      </c>
      <c r="AJ37" s="161">
        <f t="shared" si="31"/>
        <v>1323</v>
      </c>
      <c r="AK37" s="161">
        <f t="shared" si="31"/>
        <v>1038</v>
      </c>
      <c r="AL37" s="161">
        <f t="shared" si="31"/>
        <v>1723</v>
      </c>
      <c r="AM37" s="166">
        <f t="array" ref="AM37">INDEX(Expenses!$1:$398,MATCH($C37,Expenses!$A:$A,0),MATCH(AM$4,Expenses!$4:$4,0))</f>
        <v>7058.26575</v>
      </c>
      <c r="AN37" s="166">
        <f t="array" ref="AN37">INDEX(Expenses!$1:$398,MATCH($C37,Expenses!$A:$A,0),MATCH(AN$4,Expenses!$4:$4,0))</f>
        <v>7764.092325</v>
      </c>
      <c r="AO37" s="166">
        <f t="array" ref="AO37">INDEX(Expenses!$1:$398,MATCH($C37,Expenses!$A:$A,0),MATCH(AO$4,Expenses!$4:$4,0))</f>
        <v>7841.733248</v>
      </c>
      <c r="AP37" s="166">
        <f t="array" ref="AP37">INDEX(Expenses!$1:$398,MATCH($C37,Expenses!$A:$A,0),MATCH(AP$4,Expenses!$4:$4,0))</f>
        <v>7920.150581</v>
      </c>
      <c r="AQ37" s="166">
        <f t="array" ref="AQ37">INDEX(Expenses!$1:$398,MATCH($C37,Expenses!$A:$A,0),MATCH(AQ$4,Expenses!$4:$4,0))</f>
        <v>7999.352087</v>
      </c>
      <c r="AR37" s="166">
        <f t="array" ref="AR37">INDEX(Expenses!$1:$398,MATCH($C37,Expenses!$A:$A,0),MATCH(AR$4,Expenses!$4:$4,0))</f>
        <v>8079.345607</v>
      </c>
      <c r="AS37" s="166">
        <f t="array" ref="AS37">INDEX(Expenses!$1:$398,MATCH($C37,Expenses!$A:$A,0),MATCH(AS$4,Expenses!$4:$4,0))</f>
        <v>8160.139063</v>
      </c>
      <c r="AT37" s="166">
        <f t="array" ref="AT37">INDEX(Expenses!$1:$398,MATCH($C37,Expenses!$A:$A,0),MATCH(AT$4,Expenses!$4:$4,0))</f>
        <v>8241.740454</v>
      </c>
      <c r="AU37" s="166">
        <f t="array" ref="AU37">INDEX(Expenses!$1:$398,MATCH($C37,Expenses!$A:$A,0),MATCH(AU$4,Expenses!$4:$4,0))</f>
        <v>8324.157859</v>
      </c>
      <c r="AV37" s="166">
        <f t="array" ref="AV37">INDEX(Expenses!$1:$398,MATCH($C37,Expenses!$A:$A,0),MATCH(AV$4,Expenses!$4:$4,0))</f>
        <v>8407.399437</v>
      </c>
      <c r="AW37" s="166">
        <f t="array" ref="AW37">INDEX(Expenses!$1:$398,MATCH($C37,Expenses!$A:$A,0),MATCH(AW$4,Expenses!$4:$4,0))</f>
        <v>8491.473432</v>
      </c>
      <c r="AX37" s="166">
        <f t="array" ref="AX37">INDEX(Expenses!$1:$398,MATCH($C37,Expenses!$A:$A,0),MATCH(AX$4,Expenses!$4:$4,0))</f>
        <v>8576.388166</v>
      </c>
      <c r="AY37" s="166">
        <f t="array" ref="AY37">INDEX(Expenses!$1:$398,MATCH($C37,Expenses!$A:$A,0),MATCH(AY$4,Expenses!$4:$4,0))</f>
        <v>8662.152048</v>
      </c>
      <c r="AZ37" s="166">
        <f t="array" ref="AZ37">INDEX(Expenses!$1:$398,MATCH($C37,Expenses!$A:$A,0),MATCH(AZ$4,Expenses!$4:$4,0))</f>
        <v>8748.773568</v>
      </c>
      <c r="BA37" s="166">
        <f t="array" ref="BA37">INDEX(Expenses!$1:$398,MATCH($C37,Expenses!$A:$A,0),MATCH(BA$4,Expenses!$4:$4,0))</f>
        <v>8836.261304</v>
      </c>
      <c r="BB37" s="166">
        <f t="array" ref="BB37">INDEX(Expenses!$1:$398,MATCH($C37,Expenses!$A:$A,0),MATCH(BB$4,Expenses!$4:$4,0))</f>
        <v>8924.623917</v>
      </c>
      <c r="BC37" s="166">
        <f t="array" ref="BC37">INDEX(Expenses!$1:$398,MATCH($C37,Expenses!$A:$A,0),MATCH(BC$4,Expenses!$4:$4,0))</f>
        <v>9013.870156</v>
      </c>
      <c r="BD37" s="166">
        <f t="array" ref="BD37">INDEX(Expenses!$1:$398,MATCH($C37,Expenses!$A:$A,0),MATCH(BD$4,Expenses!$4:$4,0))</f>
        <v>9104.008858</v>
      </c>
      <c r="BE37" s="166">
        <f t="array" ref="BE37">INDEX(Expenses!$1:$398,MATCH($C37,Expenses!$A:$A,0),MATCH(BE$4,Expenses!$4:$4,0))</f>
        <v>9195.048946</v>
      </c>
      <c r="BF37" s="166">
        <f t="array" ref="BF37">INDEX(Expenses!$1:$398,MATCH($C37,Expenses!$A:$A,0),MATCH(BF$4,Expenses!$4:$4,0))</f>
        <v>9286.999436</v>
      </c>
      <c r="BG37" s="166">
        <f t="array" ref="BG37">INDEX(Expenses!$1:$398,MATCH($C37,Expenses!$A:$A,0),MATCH(BG$4,Expenses!$4:$4,0))</f>
        <v>9379.86943</v>
      </c>
      <c r="BH37" s="166">
        <f t="array" ref="BH37">INDEX(Expenses!$1:$398,MATCH($C37,Expenses!$A:$A,0),MATCH(BH$4,Expenses!$4:$4,0))</f>
        <v>9473.668124</v>
      </c>
      <c r="BI37" s="166">
        <f t="array" ref="BI37">INDEX(Expenses!$1:$398,MATCH($C37,Expenses!$A:$A,0),MATCH(BI$4,Expenses!$4:$4,0))</f>
        <v>9568.404805</v>
      </c>
      <c r="BJ37" s="166">
        <f t="array" ref="BJ37">INDEX(Expenses!$1:$398,MATCH($C37,Expenses!$A:$A,0),MATCH(BJ$4,Expenses!$4:$4,0))</f>
        <v>9664.088853</v>
      </c>
      <c r="BK37" s="166">
        <f t="array" ref="BK37">INDEX(Expenses!$1:$398,MATCH($C37,Expenses!$A:$A,0),MATCH(BK$4,Expenses!$4:$4,0))</f>
        <v>9760.729742</v>
      </c>
      <c r="BL37" s="166">
        <f t="array" ref="BL37">INDEX(Expenses!$1:$398,MATCH($C37,Expenses!$A:$A,0),MATCH(BL$4,Expenses!$4:$4,0))</f>
        <v>9858.337039</v>
      </c>
      <c r="BM37" s="166">
        <f t="array" ref="BM37">INDEX(Expenses!$1:$398,MATCH($C37,Expenses!$A:$A,0),MATCH(BM$4,Expenses!$4:$4,0))</f>
        <v>9956.92041</v>
      </c>
      <c r="BN37" s="166">
        <f t="array" ref="BN37">INDEX(Expenses!$1:$398,MATCH($C37,Expenses!$A:$A,0),MATCH(BN$4,Expenses!$4:$4,0))</f>
        <v>10056.48961</v>
      </c>
      <c r="BO37" s="166">
        <f t="array" ref="BO37">INDEX(Expenses!$1:$398,MATCH($C37,Expenses!$A:$A,0),MATCH(BO$4,Expenses!$4:$4,0))</f>
        <v>10157.05451</v>
      </c>
      <c r="BP37" s="166">
        <f t="array" ref="BP37">INDEX(Expenses!$1:$398,MATCH($C37,Expenses!$A:$A,0),MATCH(BP$4,Expenses!$4:$4,0))</f>
        <v>10258.62506</v>
      </c>
      <c r="BQ37" s="166">
        <f t="array" ref="BQ37">INDEX(Expenses!$1:$398,MATCH($C37,Expenses!$A:$A,0),MATCH(BQ$4,Expenses!$4:$4,0))</f>
        <v>10361.21131</v>
      </c>
      <c r="BR37" s="166">
        <f t="array" ref="BR37">INDEX(Expenses!$1:$398,MATCH($C37,Expenses!$A:$A,0),MATCH(BR$4,Expenses!$4:$4,0))</f>
        <v>10464.82342</v>
      </c>
      <c r="BS37" s="166">
        <f t="array" ref="BS37">INDEX(Expenses!$1:$398,MATCH($C37,Expenses!$A:$A,0),MATCH(BS$4,Expenses!$4:$4,0))</f>
        <v>10569.47165</v>
      </c>
      <c r="BT37" s="166">
        <f t="array" ref="BT37">INDEX(Expenses!$1:$398,MATCH($C37,Expenses!$A:$A,0),MATCH(BT$4,Expenses!$4:$4,0))</f>
        <v>10675.16637</v>
      </c>
      <c r="BU37" s="166">
        <f t="array" ref="BU37">INDEX(Expenses!$1:$398,MATCH($C37,Expenses!$A:$A,0),MATCH(BU$4,Expenses!$4:$4,0))</f>
        <v>10781.91803</v>
      </c>
      <c r="BV37" s="166">
        <f t="array" ref="BV37">INDEX(Expenses!$1:$398,MATCH($C37,Expenses!$A:$A,0),MATCH(BV$4,Expenses!$4:$4,0))</f>
        <v>10889.73721</v>
      </c>
      <c r="BW37" s="166">
        <f t="array" ref="BW37">INDEX(Expenses!$1:$398,MATCH($C37,Expenses!$A:$A,0),MATCH(BW$4,Expenses!$4:$4,0))</f>
        <v>10998.63459</v>
      </c>
      <c r="BX37" s="166">
        <f t="array" ref="BX37">INDEX(Expenses!$1:$398,MATCH($C37,Expenses!$A:$A,0),MATCH(BX$4,Expenses!$4:$4,0))</f>
        <v>11108.62093</v>
      </c>
      <c r="BY37" s="166">
        <f t="array" ref="BY37">INDEX(Expenses!$1:$398,MATCH($C37,Expenses!$A:$A,0),MATCH(BY$4,Expenses!$4:$4,0))</f>
        <v>11219.70714</v>
      </c>
      <c r="BZ37" s="166">
        <f t="array" ref="BZ37">INDEX(Expenses!$1:$398,MATCH($C37,Expenses!$A:$A,0),MATCH(BZ$4,Expenses!$4:$4,0))</f>
        <v>11331.90421</v>
      </c>
      <c r="CA37" s="166">
        <f t="array" ref="CA37">INDEX(Expenses!$1:$398,MATCH($C37,Expenses!$A:$A,0),MATCH(CA$4,Expenses!$4:$4,0))</f>
        <v>11445.22325</v>
      </c>
      <c r="CB37" s="166">
        <f t="array" ref="CB37">INDEX(Expenses!$1:$398,MATCH($C37,Expenses!$A:$A,0),MATCH(CB$4,Expenses!$4:$4,0))</f>
        <v>11559.67549</v>
      </c>
      <c r="CC37" s="166">
        <f t="array" ref="CC37">INDEX(Expenses!$1:$398,MATCH($C37,Expenses!$A:$A,0),MATCH(CC$4,Expenses!$4:$4,0))</f>
        <v>11675.27224</v>
      </c>
      <c r="CD37" s="166">
        <f t="array" ref="CD37">INDEX(Expenses!$1:$398,MATCH($C37,Expenses!$A:$A,0),MATCH(CD$4,Expenses!$4:$4,0))</f>
        <v>11792.02496</v>
      </c>
      <c r="CE37" s="166">
        <f t="array" ref="CE37">INDEX(Expenses!$1:$398,MATCH($C37,Expenses!$A:$A,0),MATCH(CE$4,Expenses!$4:$4,0))</f>
        <v>11909.94521</v>
      </c>
      <c r="CF37" s="166">
        <f t="array" ref="CF37">INDEX(Expenses!$1:$398,MATCH($C37,Expenses!$A:$A,0),MATCH(CF$4,Expenses!$4:$4,0))</f>
        <v>12029.04467</v>
      </c>
      <c r="CG37" s="166">
        <f t="array" ref="CG37">INDEX(Expenses!$1:$398,MATCH($C37,Expenses!$A:$A,0),MATCH(CG$4,Expenses!$4:$4,0))</f>
        <v>12149.33511</v>
      </c>
      <c r="CH37" s="166">
        <f t="array" ref="CH37">INDEX(Expenses!$1:$398,MATCH($C37,Expenses!$A:$A,0),MATCH(CH$4,Expenses!$4:$4,0))</f>
        <v>12270.82846</v>
      </c>
      <c r="CI37" s="166">
        <f t="array" ref="CI37">INDEX(Expenses!$1:$398,MATCH($C37,Expenses!$A:$A,0),MATCH(CI$4,Expenses!$4:$4,0))</f>
        <v>12393.53675</v>
      </c>
      <c r="CJ37" s="166">
        <f t="array" ref="CJ37">INDEX(Expenses!$1:$398,MATCH($C37,Expenses!$A:$A,0),MATCH(CJ$4,Expenses!$4:$4,0))</f>
        <v>12517.47212</v>
      </c>
      <c r="CK37" s="166">
        <f t="array" ref="CK37">INDEX(Expenses!$1:$398,MATCH($C37,Expenses!$A:$A,0),MATCH(CK$4,Expenses!$4:$4,0))</f>
        <v>12642.64684</v>
      </c>
      <c r="CL37" s="166">
        <f t="array" ref="CL37">INDEX(Expenses!$1:$398,MATCH($C37,Expenses!$A:$A,0),MATCH(CL$4,Expenses!$4:$4,0))</f>
        <v>12769.07331</v>
      </c>
      <c r="CM37" s="166">
        <f t="array" ref="CM37">INDEX(Expenses!$1:$398,MATCH($C37,Expenses!$A:$A,0),MATCH(CM$4,Expenses!$4:$4,0))</f>
        <v>12896.76404</v>
      </c>
      <c r="CN37" s="166">
        <f t="array" ref="CN37">INDEX(Expenses!$1:$398,MATCH($C37,Expenses!$A:$A,0),MATCH(CN$4,Expenses!$4:$4,0))</f>
        <v>13025.73168</v>
      </c>
      <c r="CO37" s="166">
        <f t="array" ref="CO37">INDEX(Expenses!$1:$398,MATCH($C37,Expenses!$A:$A,0),MATCH(CO$4,Expenses!$4:$4,0))</f>
        <v>13155.989</v>
      </c>
      <c r="CP37" s="166">
        <f t="array" ref="CP37">INDEX(Expenses!$1:$398,MATCH($C37,Expenses!$A:$A,0),MATCH(CP$4,Expenses!$4:$4,0))</f>
        <v>13287.54889</v>
      </c>
      <c r="CQ37" s="166">
        <f t="array" ref="CQ37">INDEX(Expenses!$1:$398,MATCH($C37,Expenses!$A:$A,0),MATCH(CQ$4,Expenses!$4:$4,0))</f>
        <v>13420.42437</v>
      </c>
      <c r="CR37" s="166">
        <f t="array" ref="CR37">INDEX(Expenses!$1:$398,MATCH($C37,Expenses!$A:$A,0),MATCH(CR$4,Expenses!$4:$4,0))</f>
        <v>13554.62862</v>
      </c>
      <c r="CS37" s="166">
        <f t="array" ref="CS37">INDEX(Expenses!$1:$398,MATCH($C37,Expenses!$A:$A,0),MATCH(CS$4,Expenses!$4:$4,0))</f>
        <v>13690.1749</v>
      </c>
      <c r="CT37" s="166">
        <f t="array" ref="CT37">INDEX(Expenses!$1:$398,MATCH($C37,Expenses!$A:$A,0),MATCH(CT$4,Expenses!$4:$4,0))</f>
        <v>13827.07665</v>
      </c>
      <c r="CU37" s="166">
        <f t="array" ref="CU37">INDEX(Expenses!$1:$398,MATCH($C37,Expenses!$A:$A,0),MATCH(CU$4,Expenses!$4:$4,0))</f>
        <v>13965.34742</v>
      </c>
      <c r="CV37" s="162"/>
      <c r="CW37" s="162"/>
      <c r="CX37" s="162"/>
      <c r="CY37" s="162"/>
      <c r="CZ37" s="162"/>
      <c r="DA37" s="162"/>
      <c r="DB37" s="162"/>
      <c r="DC37" s="162"/>
    </row>
    <row r="38" ht="15.75" customHeight="1">
      <c r="A38" s="146" t="s">
        <v>118</v>
      </c>
      <c r="B38" s="146" t="s">
        <v>67</v>
      </c>
      <c r="C38" s="160" t="s">
        <v>220</v>
      </c>
      <c r="D38" s="161">
        <f t="shared" ref="D38:AL38" si="32">RANDBETWEEN(1000,2500)</f>
        <v>1893</v>
      </c>
      <c r="E38" s="161">
        <f t="shared" si="32"/>
        <v>2492</v>
      </c>
      <c r="F38" s="161">
        <f t="shared" si="32"/>
        <v>2051</v>
      </c>
      <c r="G38" s="161">
        <f t="shared" si="32"/>
        <v>1681</v>
      </c>
      <c r="H38" s="161">
        <f t="shared" si="32"/>
        <v>2370</v>
      </c>
      <c r="I38" s="161">
        <f t="shared" si="32"/>
        <v>1144</v>
      </c>
      <c r="J38" s="161">
        <f t="shared" si="32"/>
        <v>2456</v>
      </c>
      <c r="K38" s="161">
        <f t="shared" si="32"/>
        <v>1516</v>
      </c>
      <c r="L38" s="161">
        <f t="shared" si="32"/>
        <v>1997</v>
      </c>
      <c r="M38" s="161">
        <f t="shared" si="32"/>
        <v>2260</v>
      </c>
      <c r="N38" s="161">
        <f t="shared" si="32"/>
        <v>2351</v>
      </c>
      <c r="O38" s="161">
        <f t="shared" si="32"/>
        <v>1715</v>
      </c>
      <c r="P38" s="161">
        <f t="shared" si="32"/>
        <v>2175</v>
      </c>
      <c r="Q38" s="161">
        <f t="shared" si="32"/>
        <v>2155</v>
      </c>
      <c r="R38" s="161">
        <f t="shared" si="32"/>
        <v>2021</v>
      </c>
      <c r="S38" s="161">
        <f t="shared" si="32"/>
        <v>1425</v>
      </c>
      <c r="T38" s="161">
        <f t="shared" si="32"/>
        <v>1929</v>
      </c>
      <c r="U38" s="161">
        <f t="shared" si="32"/>
        <v>1911</v>
      </c>
      <c r="V38" s="161">
        <f t="shared" si="32"/>
        <v>2465</v>
      </c>
      <c r="W38" s="161">
        <f t="shared" si="32"/>
        <v>1574</v>
      </c>
      <c r="X38" s="161">
        <f t="shared" si="32"/>
        <v>2010</v>
      </c>
      <c r="Y38" s="161">
        <f t="shared" si="32"/>
        <v>2021</v>
      </c>
      <c r="Z38" s="161">
        <f t="shared" si="32"/>
        <v>1515</v>
      </c>
      <c r="AA38" s="161">
        <f t="shared" si="32"/>
        <v>1151</v>
      </c>
      <c r="AB38" s="161">
        <f t="shared" si="32"/>
        <v>1439</v>
      </c>
      <c r="AC38" s="161">
        <f t="shared" si="32"/>
        <v>2215</v>
      </c>
      <c r="AD38" s="161">
        <f t="shared" si="32"/>
        <v>2469</v>
      </c>
      <c r="AE38" s="161">
        <f t="shared" si="32"/>
        <v>1108</v>
      </c>
      <c r="AF38" s="161">
        <f t="shared" si="32"/>
        <v>2262</v>
      </c>
      <c r="AG38" s="161">
        <f t="shared" si="32"/>
        <v>1110</v>
      </c>
      <c r="AH38" s="161">
        <f t="shared" si="32"/>
        <v>1323</v>
      </c>
      <c r="AI38" s="161">
        <f t="shared" si="32"/>
        <v>1032</v>
      </c>
      <c r="AJ38" s="161">
        <f t="shared" si="32"/>
        <v>2454</v>
      </c>
      <c r="AK38" s="161">
        <f t="shared" si="32"/>
        <v>2362</v>
      </c>
      <c r="AL38" s="161">
        <f t="shared" si="32"/>
        <v>1142</v>
      </c>
      <c r="AM38" s="166">
        <f t="array" ref="AM38">INDEX(Expenses!$1:$398,MATCH($C38,Expenses!$A:$A,0),MATCH(AM$4,Expenses!$4:$4,0))</f>
        <v>3921.25875</v>
      </c>
      <c r="AN38" s="166">
        <f t="array" ref="AN38">INDEX(Expenses!$1:$398,MATCH($C38,Expenses!$A:$A,0),MATCH(AN$4,Expenses!$4:$4,0))</f>
        <v>4313.384625</v>
      </c>
      <c r="AO38" s="166">
        <f t="array" ref="AO38">INDEX(Expenses!$1:$398,MATCH($C38,Expenses!$A:$A,0),MATCH(AO$4,Expenses!$4:$4,0))</f>
        <v>4356.518471</v>
      </c>
      <c r="AP38" s="166">
        <f t="array" ref="AP38">INDEX(Expenses!$1:$398,MATCH($C38,Expenses!$A:$A,0),MATCH(AP$4,Expenses!$4:$4,0))</f>
        <v>4400.083656</v>
      </c>
      <c r="AQ38" s="166">
        <f t="array" ref="AQ38">INDEX(Expenses!$1:$398,MATCH($C38,Expenses!$A:$A,0),MATCH(AQ$4,Expenses!$4:$4,0))</f>
        <v>4444.084493</v>
      </c>
      <c r="AR38" s="166">
        <f t="array" ref="AR38">INDEX(Expenses!$1:$398,MATCH($C38,Expenses!$A:$A,0),MATCH(AR$4,Expenses!$4:$4,0))</f>
        <v>4488.525337</v>
      </c>
      <c r="AS38" s="166">
        <f t="array" ref="AS38">INDEX(Expenses!$1:$398,MATCH($C38,Expenses!$A:$A,0),MATCH(AS$4,Expenses!$4:$4,0))</f>
        <v>4533.410591</v>
      </c>
      <c r="AT38" s="166">
        <f t="array" ref="AT38">INDEX(Expenses!$1:$398,MATCH($C38,Expenses!$A:$A,0),MATCH(AT$4,Expenses!$4:$4,0))</f>
        <v>4578.744697</v>
      </c>
      <c r="AU38" s="166">
        <f t="array" ref="AU38">INDEX(Expenses!$1:$398,MATCH($C38,Expenses!$A:$A,0),MATCH(AU$4,Expenses!$4:$4,0))</f>
        <v>4624.532144</v>
      </c>
      <c r="AV38" s="166">
        <f t="array" ref="AV38">INDEX(Expenses!$1:$398,MATCH($C38,Expenses!$A:$A,0),MATCH(AV$4,Expenses!$4:$4,0))</f>
        <v>4670.777465</v>
      </c>
      <c r="AW38" s="166">
        <f t="array" ref="AW38">INDEX(Expenses!$1:$398,MATCH($C38,Expenses!$A:$A,0),MATCH(AW$4,Expenses!$4:$4,0))</f>
        <v>4717.48524</v>
      </c>
      <c r="AX38" s="166">
        <f t="array" ref="AX38">INDEX(Expenses!$1:$398,MATCH($C38,Expenses!$A:$A,0),MATCH(AX$4,Expenses!$4:$4,0))</f>
        <v>4764.660092</v>
      </c>
      <c r="AY38" s="166">
        <f t="array" ref="AY38">INDEX(Expenses!$1:$398,MATCH($C38,Expenses!$A:$A,0),MATCH(AY$4,Expenses!$4:$4,0))</f>
        <v>4812.306693</v>
      </c>
      <c r="AZ38" s="166">
        <f t="array" ref="AZ38">INDEX(Expenses!$1:$398,MATCH($C38,Expenses!$A:$A,0),MATCH(AZ$4,Expenses!$4:$4,0))</f>
        <v>4860.42976</v>
      </c>
      <c r="BA38" s="166">
        <f t="array" ref="BA38">INDEX(Expenses!$1:$398,MATCH($C38,Expenses!$A:$A,0),MATCH(BA$4,Expenses!$4:$4,0))</f>
        <v>4909.034058</v>
      </c>
      <c r="BB38" s="166">
        <f t="array" ref="BB38">INDEX(Expenses!$1:$398,MATCH($C38,Expenses!$A:$A,0),MATCH(BB$4,Expenses!$4:$4,0))</f>
        <v>4958.124398</v>
      </c>
      <c r="BC38" s="166">
        <f t="array" ref="BC38">INDEX(Expenses!$1:$398,MATCH($C38,Expenses!$A:$A,0),MATCH(BC$4,Expenses!$4:$4,0))</f>
        <v>5007.705642</v>
      </c>
      <c r="BD38" s="166">
        <f t="array" ref="BD38">INDEX(Expenses!$1:$398,MATCH($C38,Expenses!$A:$A,0),MATCH(BD$4,Expenses!$4:$4,0))</f>
        <v>5057.782699</v>
      </c>
      <c r="BE38" s="166">
        <f t="array" ref="BE38">INDEX(Expenses!$1:$398,MATCH($C38,Expenses!$A:$A,0),MATCH(BE$4,Expenses!$4:$4,0))</f>
        <v>5108.360526</v>
      </c>
      <c r="BF38" s="166">
        <f t="array" ref="BF38">INDEX(Expenses!$1:$398,MATCH($C38,Expenses!$A:$A,0),MATCH(BF$4,Expenses!$4:$4,0))</f>
        <v>5159.444131</v>
      </c>
      <c r="BG38" s="166">
        <f t="array" ref="BG38">INDEX(Expenses!$1:$398,MATCH($C38,Expenses!$A:$A,0),MATCH(BG$4,Expenses!$4:$4,0))</f>
        <v>5211.038572</v>
      </c>
      <c r="BH38" s="166">
        <f t="array" ref="BH38">INDEX(Expenses!$1:$398,MATCH($C38,Expenses!$A:$A,0),MATCH(BH$4,Expenses!$4:$4,0))</f>
        <v>5263.148958</v>
      </c>
      <c r="BI38" s="166">
        <f t="array" ref="BI38">INDEX(Expenses!$1:$398,MATCH($C38,Expenses!$A:$A,0),MATCH(BI$4,Expenses!$4:$4,0))</f>
        <v>5315.780447</v>
      </c>
      <c r="BJ38" s="166">
        <f t="array" ref="BJ38">INDEX(Expenses!$1:$398,MATCH($C38,Expenses!$A:$A,0),MATCH(BJ$4,Expenses!$4:$4,0))</f>
        <v>5368.938252</v>
      </c>
      <c r="BK38" s="166">
        <f t="array" ref="BK38">INDEX(Expenses!$1:$398,MATCH($C38,Expenses!$A:$A,0),MATCH(BK$4,Expenses!$4:$4,0))</f>
        <v>5422.627634</v>
      </c>
      <c r="BL38" s="166">
        <f t="array" ref="BL38">INDEX(Expenses!$1:$398,MATCH($C38,Expenses!$A:$A,0),MATCH(BL$4,Expenses!$4:$4,0))</f>
        <v>5476.853911</v>
      </c>
      <c r="BM38" s="166">
        <f t="array" ref="BM38">INDEX(Expenses!$1:$398,MATCH($C38,Expenses!$A:$A,0),MATCH(BM$4,Expenses!$4:$4,0))</f>
        <v>5531.62245</v>
      </c>
      <c r="BN38" s="166">
        <f t="array" ref="BN38">INDEX(Expenses!$1:$398,MATCH($C38,Expenses!$A:$A,0),MATCH(BN$4,Expenses!$4:$4,0))</f>
        <v>5586.938674</v>
      </c>
      <c r="BO38" s="166">
        <f t="array" ref="BO38">INDEX(Expenses!$1:$398,MATCH($C38,Expenses!$A:$A,0),MATCH(BO$4,Expenses!$4:$4,0))</f>
        <v>5642.808061</v>
      </c>
      <c r="BP38" s="166">
        <f t="array" ref="BP38">INDEX(Expenses!$1:$398,MATCH($C38,Expenses!$A:$A,0),MATCH(BP$4,Expenses!$4:$4,0))</f>
        <v>5699.236142</v>
      </c>
      <c r="BQ38" s="166">
        <f t="array" ref="BQ38">INDEX(Expenses!$1:$398,MATCH($C38,Expenses!$A:$A,0),MATCH(BQ$4,Expenses!$4:$4,0))</f>
        <v>5756.228503</v>
      </c>
      <c r="BR38" s="166">
        <f t="array" ref="BR38">INDEX(Expenses!$1:$398,MATCH($C38,Expenses!$A:$A,0),MATCH(BR$4,Expenses!$4:$4,0))</f>
        <v>5813.790788</v>
      </c>
      <c r="BS38" s="166">
        <f t="array" ref="BS38">INDEX(Expenses!$1:$398,MATCH($C38,Expenses!$A:$A,0),MATCH(BS$4,Expenses!$4:$4,0))</f>
        <v>5871.928696</v>
      </c>
      <c r="BT38" s="166">
        <f t="array" ref="BT38">INDEX(Expenses!$1:$398,MATCH($C38,Expenses!$A:$A,0),MATCH(BT$4,Expenses!$4:$4,0))</f>
        <v>5930.647983</v>
      </c>
      <c r="BU38" s="166">
        <f t="array" ref="BU38">INDEX(Expenses!$1:$398,MATCH($C38,Expenses!$A:$A,0),MATCH(BU$4,Expenses!$4:$4,0))</f>
        <v>5989.954463</v>
      </c>
      <c r="BV38" s="166">
        <f t="array" ref="BV38">INDEX(Expenses!$1:$398,MATCH($C38,Expenses!$A:$A,0),MATCH(BV$4,Expenses!$4:$4,0))</f>
        <v>6049.854008</v>
      </c>
      <c r="BW38" s="166">
        <f t="array" ref="BW38">INDEX(Expenses!$1:$398,MATCH($C38,Expenses!$A:$A,0),MATCH(BW$4,Expenses!$4:$4,0))</f>
        <v>6110.352548</v>
      </c>
      <c r="BX38" s="166">
        <f t="array" ref="BX38">INDEX(Expenses!$1:$398,MATCH($C38,Expenses!$A:$A,0),MATCH(BX$4,Expenses!$4:$4,0))</f>
        <v>6171.456073</v>
      </c>
      <c r="BY38" s="166">
        <f t="array" ref="BY38">INDEX(Expenses!$1:$398,MATCH($C38,Expenses!$A:$A,0),MATCH(BY$4,Expenses!$4:$4,0))</f>
        <v>6233.170634</v>
      </c>
      <c r="BZ38" s="166">
        <f t="array" ref="BZ38">INDEX(Expenses!$1:$398,MATCH($C38,Expenses!$A:$A,0),MATCH(BZ$4,Expenses!$4:$4,0))</f>
        <v>6295.50234</v>
      </c>
      <c r="CA38" s="166">
        <f t="array" ref="CA38">INDEX(Expenses!$1:$398,MATCH($C38,Expenses!$A:$A,0),MATCH(CA$4,Expenses!$4:$4,0))</f>
        <v>6358.457364</v>
      </c>
      <c r="CB38" s="166">
        <f t="array" ref="CB38">INDEX(Expenses!$1:$398,MATCH($C38,Expenses!$A:$A,0),MATCH(CB$4,Expenses!$4:$4,0))</f>
        <v>6422.041937</v>
      </c>
      <c r="CC38" s="166">
        <f t="array" ref="CC38">INDEX(Expenses!$1:$398,MATCH($C38,Expenses!$A:$A,0),MATCH(CC$4,Expenses!$4:$4,0))</f>
        <v>6486.262357</v>
      </c>
      <c r="CD38" s="166">
        <f t="array" ref="CD38">INDEX(Expenses!$1:$398,MATCH($C38,Expenses!$A:$A,0),MATCH(CD$4,Expenses!$4:$4,0))</f>
        <v>6551.12498</v>
      </c>
      <c r="CE38" s="166">
        <f t="array" ref="CE38">INDEX(Expenses!$1:$398,MATCH($C38,Expenses!$A:$A,0),MATCH(CE$4,Expenses!$4:$4,0))</f>
        <v>6616.63623</v>
      </c>
      <c r="CF38" s="166">
        <f t="array" ref="CF38">INDEX(Expenses!$1:$398,MATCH($C38,Expenses!$A:$A,0),MATCH(CF$4,Expenses!$4:$4,0))</f>
        <v>6682.802592</v>
      </c>
      <c r="CG38" s="166">
        <f t="array" ref="CG38">INDEX(Expenses!$1:$398,MATCH($C38,Expenses!$A:$A,0),MATCH(CG$4,Expenses!$4:$4,0))</f>
        <v>6749.630618</v>
      </c>
      <c r="CH38" s="166">
        <f t="array" ref="CH38">INDEX(Expenses!$1:$398,MATCH($C38,Expenses!$A:$A,0),MATCH(CH$4,Expenses!$4:$4,0))</f>
        <v>6817.126924</v>
      </c>
      <c r="CI38" s="166">
        <f t="array" ref="CI38">INDEX(Expenses!$1:$398,MATCH($C38,Expenses!$A:$A,0),MATCH(CI$4,Expenses!$4:$4,0))</f>
        <v>6885.298194</v>
      </c>
      <c r="CJ38" s="166">
        <f t="array" ref="CJ38">INDEX(Expenses!$1:$398,MATCH($C38,Expenses!$A:$A,0),MATCH(CJ$4,Expenses!$4:$4,0))</f>
        <v>6954.151175</v>
      </c>
      <c r="CK38" s="166">
        <f t="array" ref="CK38">INDEX(Expenses!$1:$398,MATCH($C38,Expenses!$A:$A,0),MATCH(CK$4,Expenses!$4:$4,0))</f>
        <v>7023.692687</v>
      </c>
      <c r="CL38" s="166">
        <f t="array" ref="CL38">INDEX(Expenses!$1:$398,MATCH($C38,Expenses!$A:$A,0),MATCH(CL$4,Expenses!$4:$4,0))</f>
        <v>7093.929614</v>
      </c>
      <c r="CM38" s="166">
        <f t="array" ref="CM38">INDEX(Expenses!$1:$398,MATCH($C38,Expenses!$A:$A,0),MATCH(CM$4,Expenses!$4:$4,0))</f>
        <v>7164.86891</v>
      </c>
      <c r="CN38" s="166">
        <f t="array" ref="CN38">INDEX(Expenses!$1:$398,MATCH($C38,Expenses!$A:$A,0),MATCH(CN$4,Expenses!$4:$4,0))</f>
        <v>7236.517599</v>
      </c>
      <c r="CO38" s="166">
        <f t="array" ref="CO38">INDEX(Expenses!$1:$398,MATCH($C38,Expenses!$A:$A,0),MATCH(CO$4,Expenses!$4:$4,0))</f>
        <v>7308.882775</v>
      </c>
      <c r="CP38" s="166">
        <f t="array" ref="CP38">INDEX(Expenses!$1:$398,MATCH($C38,Expenses!$A:$A,0),MATCH(CP$4,Expenses!$4:$4,0))</f>
        <v>7381.971603</v>
      </c>
      <c r="CQ38" s="166">
        <f t="array" ref="CQ38">INDEX(Expenses!$1:$398,MATCH($C38,Expenses!$A:$A,0),MATCH(CQ$4,Expenses!$4:$4,0))</f>
        <v>7455.791319</v>
      </c>
      <c r="CR38" s="166">
        <f t="array" ref="CR38">INDEX(Expenses!$1:$398,MATCH($C38,Expenses!$A:$A,0),MATCH(CR$4,Expenses!$4:$4,0))</f>
        <v>7530.349232</v>
      </c>
      <c r="CS38" s="166">
        <f t="array" ref="CS38">INDEX(Expenses!$1:$398,MATCH($C38,Expenses!$A:$A,0),MATCH(CS$4,Expenses!$4:$4,0))</f>
        <v>7605.652725</v>
      </c>
      <c r="CT38" s="166">
        <f t="array" ref="CT38">INDEX(Expenses!$1:$398,MATCH($C38,Expenses!$A:$A,0),MATCH(CT$4,Expenses!$4:$4,0))</f>
        <v>7681.709252</v>
      </c>
      <c r="CU38" s="166">
        <f t="array" ref="CU38">INDEX(Expenses!$1:$398,MATCH($C38,Expenses!$A:$A,0),MATCH(CU$4,Expenses!$4:$4,0))</f>
        <v>7758.526344</v>
      </c>
      <c r="CV38" s="162"/>
      <c r="CW38" s="162"/>
      <c r="CX38" s="162"/>
      <c r="CY38" s="162"/>
      <c r="CZ38" s="162"/>
      <c r="DA38" s="162"/>
      <c r="DB38" s="162"/>
      <c r="DC38" s="162"/>
    </row>
    <row r="39" ht="15.75" customHeight="1">
      <c r="A39" s="146"/>
      <c r="B39" s="146"/>
      <c r="C39" s="160" t="s">
        <v>221</v>
      </c>
      <c r="D39" s="163">
        <f t="shared" ref="D39:CU39" si="33">SUM(D26:D38)</f>
        <v>22596</v>
      </c>
      <c r="E39" s="163">
        <f t="shared" si="33"/>
        <v>22312</v>
      </c>
      <c r="F39" s="163">
        <f t="shared" si="33"/>
        <v>20207</v>
      </c>
      <c r="G39" s="163">
        <f t="shared" si="33"/>
        <v>19342</v>
      </c>
      <c r="H39" s="163">
        <f t="shared" si="33"/>
        <v>23038</v>
      </c>
      <c r="I39" s="163">
        <f t="shared" si="33"/>
        <v>21303</v>
      </c>
      <c r="J39" s="163">
        <f t="shared" si="33"/>
        <v>21998</v>
      </c>
      <c r="K39" s="163">
        <f t="shared" si="33"/>
        <v>20949</v>
      </c>
      <c r="L39" s="163">
        <f t="shared" si="33"/>
        <v>20438</v>
      </c>
      <c r="M39" s="163">
        <f t="shared" si="33"/>
        <v>22609</v>
      </c>
      <c r="N39" s="163">
        <f t="shared" si="33"/>
        <v>22753</v>
      </c>
      <c r="O39" s="163">
        <f t="shared" si="33"/>
        <v>23836</v>
      </c>
      <c r="P39" s="163">
        <f t="shared" si="33"/>
        <v>23816</v>
      </c>
      <c r="Q39" s="163">
        <f t="shared" si="33"/>
        <v>23918</v>
      </c>
      <c r="R39" s="163">
        <f t="shared" si="33"/>
        <v>21080</v>
      </c>
      <c r="S39" s="163">
        <f t="shared" si="33"/>
        <v>21457</v>
      </c>
      <c r="T39" s="163">
        <f t="shared" si="33"/>
        <v>23606</v>
      </c>
      <c r="U39" s="163">
        <f t="shared" si="33"/>
        <v>21803</v>
      </c>
      <c r="V39" s="163">
        <f t="shared" si="33"/>
        <v>23740</v>
      </c>
      <c r="W39" s="163">
        <f t="shared" si="33"/>
        <v>24490</v>
      </c>
      <c r="X39" s="163">
        <f t="shared" si="33"/>
        <v>24308</v>
      </c>
      <c r="Y39" s="163">
        <f t="shared" si="33"/>
        <v>22809</v>
      </c>
      <c r="Z39" s="163">
        <f t="shared" si="33"/>
        <v>24918</v>
      </c>
      <c r="AA39" s="163">
        <f t="shared" si="33"/>
        <v>22408</v>
      </c>
      <c r="AB39" s="163">
        <f t="shared" si="33"/>
        <v>22697</v>
      </c>
      <c r="AC39" s="163">
        <f t="shared" si="33"/>
        <v>23331</v>
      </c>
      <c r="AD39" s="163">
        <f t="shared" si="33"/>
        <v>25614</v>
      </c>
      <c r="AE39" s="163">
        <f t="shared" si="33"/>
        <v>24042</v>
      </c>
      <c r="AF39" s="163">
        <f t="shared" si="33"/>
        <v>23110</v>
      </c>
      <c r="AG39" s="163">
        <f t="shared" si="33"/>
        <v>20833</v>
      </c>
      <c r="AH39" s="163">
        <f t="shared" si="33"/>
        <v>24776</v>
      </c>
      <c r="AI39" s="163">
        <f t="shared" si="33"/>
        <v>20868</v>
      </c>
      <c r="AJ39" s="163">
        <f t="shared" si="33"/>
        <v>25330</v>
      </c>
      <c r="AK39" s="163">
        <f t="shared" si="33"/>
        <v>24537</v>
      </c>
      <c r="AL39" s="163">
        <f t="shared" si="33"/>
        <v>21379</v>
      </c>
      <c r="AM39" s="164">
        <f t="shared" si="33"/>
        <v>186238.8737</v>
      </c>
      <c r="AN39" s="164">
        <f t="shared" si="33"/>
        <v>196832.6168</v>
      </c>
      <c r="AO39" s="164">
        <f t="shared" si="33"/>
        <v>211479.682</v>
      </c>
      <c r="AP39" s="164">
        <f t="shared" si="33"/>
        <v>226024.9923</v>
      </c>
      <c r="AQ39" s="164">
        <f t="shared" si="33"/>
        <v>233913.4595</v>
      </c>
      <c r="AR39" s="164">
        <f t="shared" si="33"/>
        <v>244080.8295</v>
      </c>
      <c r="AS39" s="164">
        <f t="shared" si="33"/>
        <v>245293.2094</v>
      </c>
      <c r="AT39" s="164">
        <f t="shared" si="33"/>
        <v>268025.559</v>
      </c>
      <c r="AU39" s="164">
        <f t="shared" si="33"/>
        <v>275750.2889</v>
      </c>
      <c r="AV39" s="164">
        <f t="shared" si="33"/>
        <v>293328.0795</v>
      </c>
      <c r="AW39" s="164">
        <f t="shared" si="33"/>
        <v>309786.9697</v>
      </c>
      <c r="AX39" s="164">
        <f t="shared" si="33"/>
        <v>317415.7105</v>
      </c>
      <c r="AY39" s="164">
        <f t="shared" si="33"/>
        <v>338789.4575</v>
      </c>
      <c r="AZ39" s="164">
        <f t="shared" si="33"/>
        <v>412465.6381</v>
      </c>
      <c r="BA39" s="164">
        <f t="shared" si="33"/>
        <v>439956.8095</v>
      </c>
      <c r="BB39" s="164">
        <f t="shared" si="33"/>
        <v>454204.7143</v>
      </c>
      <c r="BC39" s="164">
        <f t="shared" si="33"/>
        <v>455301.7562</v>
      </c>
      <c r="BD39" s="164">
        <f t="shared" si="33"/>
        <v>480924.4179</v>
      </c>
      <c r="BE39" s="164">
        <f t="shared" si="33"/>
        <v>488532.08</v>
      </c>
      <c r="BF39" s="164">
        <f t="shared" si="33"/>
        <v>523590.6117</v>
      </c>
      <c r="BG39" s="164">
        <f t="shared" si="33"/>
        <v>545836.008</v>
      </c>
      <c r="BH39" s="164">
        <f t="shared" si="33"/>
        <v>576220.0828</v>
      </c>
      <c r="BI39" s="164">
        <f t="shared" si="33"/>
        <v>591240.7066</v>
      </c>
      <c r="BJ39" s="164">
        <f t="shared" si="33"/>
        <v>613186.7664</v>
      </c>
      <c r="BK39" s="164">
        <f t="shared" si="33"/>
        <v>614310.208</v>
      </c>
      <c r="BL39" s="164">
        <f t="shared" si="33"/>
        <v>657876.5755</v>
      </c>
      <c r="BM39" s="164">
        <f t="shared" si="33"/>
        <v>703194.1468</v>
      </c>
      <c r="BN39" s="164">
        <f t="shared" si="33"/>
        <v>726781.9334</v>
      </c>
      <c r="BO39" s="164">
        <f t="shared" si="33"/>
        <v>774048.0402</v>
      </c>
      <c r="BP39" s="164">
        <f t="shared" si="33"/>
        <v>801496.1651</v>
      </c>
      <c r="BQ39" s="164">
        <f t="shared" si="33"/>
        <v>817750.9392</v>
      </c>
      <c r="BR39" s="164">
        <f t="shared" si="33"/>
        <v>842072.8376</v>
      </c>
      <c r="BS39" s="164">
        <f t="shared" si="33"/>
        <v>851049.2843</v>
      </c>
      <c r="BT39" s="164">
        <f t="shared" si="33"/>
        <v>896059.3898</v>
      </c>
      <c r="BU39" s="164">
        <f t="shared" si="33"/>
        <v>920314.5214</v>
      </c>
      <c r="BV39" s="164">
        <f t="shared" si="33"/>
        <v>922003.1459</v>
      </c>
      <c r="BW39" s="164">
        <f t="shared" si="33"/>
        <v>960965.6731</v>
      </c>
      <c r="BX39" s="164">
        <f t="shared" si="33"/>
        <v>1066777.575</v>
      </c>
      <c r="BY39" s="164">
        <f t="shared" si="33"/>
        <v>1304121.629</v>
      </c>
      <c r="BZ39" s="164">
        <f t="shared" si="33"/>
        <v>1408086.844</v>
      </c>
      <c r="CA39" s="164">
        <f t="shared" si="33"/>
        <v>1428078.156</v>
      </c>
      <c r="CB39" s="164">
        <f t="shared" si="33"/>
        <v>1490745.175</v>
      </c>
      <c r="CC39" s="164">
        <f t="shared" si="33"/>
        <v>1500676.503</v>
      </c>
      <c r="CD39" s="164">
        <f t="shared" si="33"/>
        <v>1535342.555</v>
      </c>
      <c r="CE39" s="164">
        <f t="shared" si="33"/>
        <v>1561860.001</v>
      </c>
      <c r="CF39" s="164">
        <f t="shared" si="33"/>
        <v>1630139.011</v>
      </c>
      <c r="CG39" s="164">
        <f t="shared" si="33"/>
        <v>1640363.774</v>
      </c>
      <c r="CH39" s="164">
        <f t="shared" si="33"/>
        <v>1691302.087</v>
      </c>
      <c r="CI39" s="164">
        <f t="shared" si="33"/>
        <v>1693382.292</v>
      </c>
      <c r="CJ39" s="164">
        <f t="shared" si="33"/>
        <v>1792413.374</v>
      </c>
      <c r="CK39" s="164">
        <f t="shared" si="33"/>
        <v>1842400.095</v>
      </c>
      <c r="CL39" s="164">
        <f t="shared" si="33"/>
        <v>1860197.321</v>
      </c>
      <c r="CM39" s="164">
        <f t="shared" si="33"/>
        <v>1886703.228</v>
      </c>
      <c r="CN39" s="164">
        <f t="shared" si="33"/>
        <v>1949070.483</v>
      </c>
      <c r="CO39" s="164">
        <f t="shared" si="33"/>
        <v>1984346.319</v>
      </c>
      <c r="CP39" s="164">
        <f t="shared" si="33"/>
        <v>2002772.416</v>
      </c>
      <c r="CQ39" s="164">
        <f t="shared" si="33"/>
        <v>2004325.639</v>
      </c>
      <c r="CR39" s="164">
        <f t="shared" si="33"/>
        <v>2089345.653</v>
      </c>
      <c r="CS39" s="164">
        <f t="shared" si="33"/>
        <v>2090983.615</v>
      </c>
      <c r="CT39" s="164">
        <f t="shared" si="33"/>
        <v>2126524.451</v>
      </c>
      <c r="CU39" s="164">
        <f t="shared" si="33"/>
        <v>2153618.538</v>
      </c>
      <c r="CV39" s="165"/>
      <c r="CW39" s="165"/>
      <c r="CX39" s="165"/>
      <c r="CY39" s="165"/>
      <c r="CZ39" s="165"/>
      <c r="DA39" s="165"/>
      <c r="DB39" s="165"/>
      <c r="DC39" s="165"/>
    </row>
    <row r="40" ht="15.75" customHeight="1">
      <c r="A40" s="146"/>
      <c r="B40" s="146"/>
      <c r="C40" s="160" t="s">
        <v>104</v>
      </c>
      <c r="D40" s="163">
        <f t="shared" ref="D40:CU40" si="34">(D22)-(D39)</f>
        <v>1206347</v>
      </c>
      <c r="E40" s="163">
        <f t="shared" si="34"/>
        <v>1174699</v>
      </c>
      <c r="F40" s="163">
        <f t="shared" si="34"/>
        <v>1137117</v>
      </c>
      <c r="G40" s="163">
        <f t="shared" si="34"/>
        <v>1275072</v>
      </c>
      <c r="H40" s="163">
        <f t="shared" si="34"/>
        <v>1436229</v>
      </c>
      <c r="I40" s="163">
        <f t="shared" si="34"/>
        <v>1302927</v>
      </c>
      <c r="J40" s="163">
        <f t="shared" si="34"/>
        <v>1230937</v>
      </c>
      <c r="K40" s="163">
        <f t="shared" si="34"/>
        <v>1162216</v>
      </c>
      <c r="L40" s="163">
        <f t="shared" si="34"/>
        <v>1191164</v>
      </c>
      <c r="M40" s="163">
        <f t="shared" si="34"/>
        <v>1136139</v>
      </c>
      <c r="N40" s="163">
        <f t="shared" si="34"/>
        <v>1201174</v>
      </c>
      <c r="O40" s="163">
        <f t="shared" si="34"/>
        <v>1248603</v>
      </c>
      <c r="P40" s="163">
        <f t="shared" si="34"/>
        <v>1092923</v>
      </c>
      <c r="Q40" s="163">
        <f t="shared" si="34"/>
        <v>1211831</v>
      </c>
      <c r="R40" s="163">
        <f t="shared" si="34"/>
        <v>1273173</v>
      </c>
      <c r="S40" s="163">
        <f t="shared" si="34"/>
        <v>1355289</v>
      </c>
      <c r="T40" s="163">
        <f t="shared" si="34"/>
        <v>1264106</v>
      </c>
      <c r="U40" s="163">
        <f t="shared" si="34"/>
        <v>1295804</v>
      </c>
      <c r="V40" s="163">
        <f t="shared" si="34"/>
        <v>1147535</v>
      </c>
      <c r="W40" s="163">
        <f t="shared" si="34"/>
        <v>992389</v>
      </c>
      <c r="X40" s="163">
        <f t="shared" si="34"/>
        <v>1174770</v>
      </c>
      <c r="Y40" s="163">
        <f t="shared" si="34"/>
        <v>1322096</v>
      </c>
      <c r="Z40" s="163">
        <f t="shared" si="34"/>
        <v>1187090</v>
      </c>
      <c r="AA40" s="163">
        <f t="shared" si="34"/>
        <v>1100398</v>
      </c>
      <c r="AB40" s="163">
        <f t="shared" si="34"/>
        <v>1324314</v>
      </c>
      <c r="AC40" s="163">
        <f t="shared" si="34"/>
        <v>1077315</v>
      </c>
      <c r="AD40" s="163">
        <f t="shared" si="34"/>
        <v>1196497</v>
      </c>
      <c r="AE40" s="163">
        <f t="shared" si="34"/>
        <v>1247152</v>
      </c>
      <c r="AF40" s="163">
        <f t="shared" si="34"/>
        <v>1340639</v>
      </c>
      <c r="AG40" s="163">
        <f t="shared" si="34"/>
        <v>1147326</v>
      </c>
      <c r="AH40" s="163">
        <f t="shared" si="34"/>
        <v>1298790</v>
      </c>
      <c r="AI40" s="163">
        <f t="shared" si="34"/>
        <v>1475186</v>
      </c>
      <c r="AJ40" s="163">
        <f t="shared" si="34"/>
        <v>1426197</v>
      </c>
      <c r="AK40" s="163">
        <f t="shared" si="34"/>
        <v>1238614</v>
      </c>
      <c r="AL40" s="163">
        <f t="shared" si="34"/>
        <v>1287715</v>
      </c>
      <c r="AM40" s="164">
        <f t="shared" si="34"/>
        <v>1229551.757</v>
      </c>
      <c r="AN40" s="164">
        <f t="shared" si="34"/>
        <v>1470623.775</v>
      </c>
      <c r="AO40" s="164">
        <f t="shared" si="34"/>
        <v>1704684.625</v>
      </c>
      <c r="AP40" s="164">
        <f t="shared" si="34"/>
        <v>1917902.902</v>
      </c>
      <c r="AQ40" s="164">
        <f t="shared" si="34"/>
        <v>2128117.064</v>
      </c>
      <c r="AR40" s="164">
        <f t="shared" si="34"/>
        <v>2334652.891</v>
      </c>
      <c r="AS40" s="164">
        <f t="shared" si="34"/>
        <v>2551421.611</v>
      </c>
      <c r="AT40" s="164">
        <f t="shared" si="34"/>
        <v>2725187.428</v>
      </c>
      <c r="AU40" s="164">
        <f t="shared" si="34"/>
        <v>2910168.036</v>
      </c>
      <c r="AV40" s="164">
        <f t="shared" si="34"/>
        <v>3081260.646</v>
      </c>
      <c r="AW40" s="164">
        <f t="shared" si="34"/>
        <v>3240191.201</v>
      </c>
      <c r="AX40" s="164">
        <f t="shared" si="34"/>
        <v>3406258.734</v>
      </c>
      <c r="AY40" s="164">
        <f t="shared" si="34"/>
        <v>3560768.311</v>
      </c>
      <c r="AZ40" s="164">
        <f t="shared" si="34"/>
        <v>3660852.457</v>
      </c>
      <c r="BA40" s="164">
        <f t="shared" si="34"/>
        <v>3664307.539</v>
      </c>
      <c r="BB40" s="164">
        <f t="shared" si="34"/>
        <v>3693447.803</v>
      </c>
      <c r="BC40" s="164">
        <f t="shared" si="34"/>
        <v>3748590.749</v>
      </c>
      <c r="BD40" s="164">
        <f t="shared" si="34"/>
        <v>3782674.273</v>
      </c>
      <c r="BE40" s="164">
        <f t="shared" si="34"/>
        <v>3837163.493</v>
      </c>
      <c r="BF40" s="164">
        <f t="shared" si="34"/>
        <v>3863523.206</v>
      </c>
      <c r="BG40" s="164">
        <f t="shared" si="34"/>
        <v>3915426.239</v>
      </c>
      <c r="BH40" s="164">
        <f t="shared" si="34"/>
        <v>3944889.118</v>
      </c>
      <c r="BI40" s="164">
        <f t="shared" si="34"/>
        <v>3988865.785</v>
      </c>
      <c r="BJ40" s="164">
        <f t="shared" si="34"/>
        <v>4025101.382</v>
      </c>
      <c r="BK40" s="164">
        <f t="shared" si="34"/>
        <v>4081383.509</v>
      </c>
      <c r="BL40" s="164">
        <f t="shared" si="34"/>
        <v>4162856.026</v>
      </c>
      <c r="BM40" s="164">
        <f t="shared" si="34"/>
        <v>4211662.069</v>
      </c>
      <c r="BN40" s="164">
        <f t="shared" si="34"/>
        <v>4279295.985</v>
      </c>
      <c r="BO40" s="164">
        <f t="shared" si="34"/>
        <v>4320904.115</v>
      </c>
      <c r="BP40" s="164">
        <f t="shared" si="34"/>
        <v>4380341.244</v>
      </c>
      <c r="BQ40" s="164">
        <f t="shared" si="34"/>
        <v>4449213.622</v>
      </c>
      <c r="BR40" s="164">
        <f t="shared" si="34"/>
        <v>4508436.783</v>
      </c>
      <c r="BS40" s="164">
        <f t="shared" si="34"/>
        <v>4581566.841</v>
      </c>
      <c r="BT40" s="164">
        <f t="shared" si="34"/>
        <v>4617345.849</v>
      </c>
      <c r="BU40" s="164">
        <f t="shared" si="34"/>
        <v>4672667.111</v>
      </c>
      <c r="BV40" s="164">
        <f t="shared" si="34"/>
        <v>4749434.264</v>
      </c>
      <c r="BW40" s="164">
        <f t="shared" si="34"/>
        <v>4787889.22</v>
      </c>
      <c r="BX40" s="164">
        <f t="shared" si="34"/>
        <v>4793964.77</v>
      </c>
      <c r="BY40" s="164">
        <f t="shared" si="34"/>
        <v>4643471.091</v>
      </c>
      <c r="BZ40" s="164">
        <f t="shared" si="34"/>
        <v>4618161.801</v>
      </c>
      <c r="CA40" s="164">
        <f t="shared" si="34"/>
        <v>4675271.989</v>
      </c>
      <c r="CB40" s="164">
        <f t="shared" si="34"/>
        <v>4689324.696</v>
      </c>
      <c r="CC40" s="164">
        <f t="shared" si="34"/>
        <v>4755760.819</v>
      </c>
      <c r="CD40" s="164">
        <f t="shared" si="34"/>
        <v>4797160.806</v>
      </c>
      <c r="CE40" s="164">
        <f t="shared" si="34"/>
        <v>4846457.119</v>
      </c>
      <c r="CF40" s="164">
        <f t="shared" si="34"/>
        <v>4853786.11</v>
      </c>
      <c r="CG40" s="164">
        <f t="shared" si="34"/>
        <v>4919008.323</v>
      </c>
      <c r="CH40" s="164">
        <f t="shared" si="34"/>
        <v>4943399.409</v>
      </c>
      <c r="CI40" s="164">
        <f t="shared" si="34"/>
        <v>5016573.441</v>
      </c>
      <c r="CJ40" s="164">
        <f t="shared" si="34"/>
        <v>5020455.305</v>
      </c>
      <c r="CK40" s="164">
        <f t="shared" si="34"/>
        <v>5018570.855</v>
      </c>
      <c r="CL40" s="164">
        <f t="shared" si="34"/>
        <v>5046752.55</v>
      </c>
      <c r="CM40" s="164">
        <f t="shared" si="34"/>
        <v>5068625.427</v>
      </c>
      <c r="CN40" s="164">
        <f t="shared" si="34"/>
        <v>5056034.738</v>
      </c>
      <c r="CO40" s="164">
        <f t="shared" si="34"/>
        <v>5071179.792</v>
      </c>
      <c r="CP40" s="164">
        <f t="shared" si="34"/>
        <v>5103503.759</v>
      </c>
      <c r="CQ40" s="164">
        <f t="shared" si="34"/>
        <v>5152868.572</v>
      </c>
      <c r="CR40" s="164">
        <f t="shared" si="34"/>
        <v>5118843.548</v>
      </c>
      <c r="CS40" s="164">
        <f t="shared" si="34"/>
        <v>5168225.4</v>
      </c>
      <c r="CT40" s="164">
        <f t="shared" si="34"/>
        <v>5183701.455</v>
      </c>
      <c r="CU40" s="164">
        <f t="shared" si="34"/>
        <v>5207609.965</v>
      </c>
      <c r="CV40" s="165"/>
      <c r="CW40" s="165"/>
      <c r="CX40" s="165"/>
      <c r="CY40" s="165"/>
      <c r="CZ40" s="165"/>
      <c r="DA40" s="165"/>
      <c r="DB40" s="165"/>
      <c r="DC40" s="165"/>
    </row>
    <row r="41" ht="15.75" customHeight="1">
      <c r="A41" s="146"/>
      <c r="B41" s="146"/>
      <c r="C41" s="160"/>
      <c r="D41" s="146"/>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row>
    <row r="42" ht="15.75" customHeight="1">
      <c r="A42" s="125"/>
      <c r="B42" s="125"/>
      <c r="C42" s="167" t="s">
        <v>101</v>
      </c>
      <c r="D42" s="168">
        <f t="shared" ref="D42:CU42" si="35">D40/D22</f>
        <v>0.9816134678</v>
      </c>
      <c r="E42" s="168">
        <f t="shared" si="35"/>
        <v>0.9813602381</v>
      </c>
      <c r="F42" s="168">
        <f t="shared" si="35"/>
        <v>0.9825398938</v>
      </c>
      <c r="G42" s="168">
        <f t="shared" si="35"/>
        <v>0.985057331</v>
      </c>
      <c r="H42" s="168">
        <f t="shared" si="35"/>
        <v>0.9842126218</v>
      </c>
      <c r="I42" s="168">
        <f t="shared" si="35"/>
        <v>0.9839129154</v>
      </c>
      <c r="J42" s="168">
        <f t="shared" si="35"/>
        <v>0.9824428242</v>
      </c>
      <c r="K42" s="168">
        <f t="shared" si="35"/>
        <v>0.982294101</v>
      </c>
      <c r="L42" s="168">
        <f t="shared" si="35"/>
        <v>0.9831314243</v>
      </c>
      <c r="M42" s="168">
        <f t="shared" si="35"/>
        <v>0.9804884237</v>
      </c>
      <c r="N42" s="168">
        <f t="shared" si="35"/>
        <v>0.981409839</v>
      </c>
      <c r="O42" s="168">
        <f t="shared" si="35"/>
        <v>0.9812674714</v>
      </c>
      <c r="P42" s="168">
        <f t="shared" si="35"/>
        <v>0.9786736202</v>
      </c>
      <c r="Q42" s="168">
        <f t="shared" si="35"/>
        <v>0.9806449368</v>
      </c>
      <c r="R42" s="168">
        <f t="shared" si="35"/>
        <v>0.9837126126</v>
      </c>
      <c r="S42" s="168">
        <f t="shared" si="35"/>
        <v>0.9844146996</v>
      </c>
      <c r="T42" s="168">
        <f t="shared" si="35"/>
        <v>0.9816682612</v>
      </c>
      <c r="U42" s="168">
        <f t="shared" si="35"/>
        <v>0.9834525773</v>
      </c>
      <c r="V42" s="168">
        <f t="shared" si="35"/>
        <v>0.9797314892</v>
      </c>
      <c r="W42" s="168">
        <f t="shared" si="35"/>
        <v>0.9759165053</v>
      </c>
      <c r="X42" s="168">
        <f t="shared" si="35"/>
        <v>0.9797277575</v>
      </c>
      <c r="Y42" s="168">
        <f t="shared" si="35"/>
        <v>0.9830404378</v>
      </c>
      <c r="Z42" s="168">
        <f t="shared" si="35"/>
        <v>0.9794407298</v>
      </c>
      <c r="AA42" s="168">
        <f t="shared" si="35"/>
        <v>0.9800428569</v>
      </c>
      <c r="AB42" s="168">
        <f t="shared" si="35"/>
        <v>0.9831501005</v>
      </c>
      <c r="AC42" s="168">
        <f t="shared" si="35"/>
        <v>0.9788024487</v>
      </c>
      <c r="AD42" s="168">
        <f t="shared" si="35"/>
        <v>0.9790411837</v>
      </c>
      <c r="AE42" s="168">
        <f t="shared" si="35"/>
        <v>0.9810870725</v>
      </c>
      <c r="AF42" s="168">
        <f t="shared" si="35"/>
        <v>0.9830540664</v>
      </c>
      <c r="AG42" s="168">
        <f t="shared" si="35"/>
        <v>0.9821659551</v>
      </c>
      <c r="AH42" s="169">
        <f t="shared" si="35"/>
        <v>0.981280873</v>
      </c>
      <c r="AI42" s="169">
        <f t="shared" si="35"/>
        <v>0.9860513056</v>
      </c>
      <c r="AJ42" s="169">
        <f t="shared" si="35"/>
        <v>0.9825494118</v>
      </c>
      <c r="AK42" s="169">
        <f t="shared" si="35"/>
        <v>0.980574769</v>
      </c>
      <c r="AL42" s="169">
        <f t="shared" si="35"/>
        <v>0.983668858</v>
      </c>
      <c r="AM42" s="169">
        <f t="shared" si="35"/>
        <v>0.8684559216</v>
      </c>
      <c r="AN42" s="169">
        <f t="shared" si="35"/>
        <v>0.8819563631</v>
      </c>
      <c r="AO42" s="169">
        <f t="shared" si="35"/>
        <v>0.8896338475</v>
      </c>
      <c r="AP42" s="169">
        <f t="shared" si="35"/>
        <v>0.8945743498</v>
      </c>
      <c r="AQ42" s="169">
        <f t="shared" si="35"/>
        <v>0.9009693324</v>
      </c>
      <c r="AR42" s="169">
        <f t="shared" si="35"/>
        <v>0.9053485719</v>
      </c>
      <c r="AS42" s="169">
        <f t="shared" si="35"/>
        <v>0.9122923769</v>
      </c>
      <c r="AT42" s="169">
        <f t="shared" si="35"/>
        <v>0.9104555673</v>
      </c>
      <c r="AU42" s="169">
        <f t="shared" si="35"/>
        <v>0.9134471569</v>
      </c>
      <c r="AV42" s="169">
        <f t="shared" si="35"/>
        <v>0.9130773841</v>
      </c>
      <c r="AW42" s="169">
        <f t="shared" si="35"/>
        <v>0.9127355283</v>
      </c>
      <c r="AX42" s="169">
        <f t="shared" si="35"/>
        <v>0.9147573948</v>
      </c>
      <c r="AY42" s="169">
        <f t="shared" si="35"/>
        <v>0.9131210569</v>
      </c>
      <c r="AZ42" s="169">
        <f t="shared" si="35"/>
        <v>0.8987396446</v>
      </c>
      <c r="BA42" s="169">
        <f t="shared" si="35"/>
        <v>0.8928049531</v>
      </c>
      <c r="BB42" s="169">
        <f t="shared" si="35"/>
        <v>0.8904911363</v>
      </c>
      <c r="BC42" s="169">
        <f t="shared" si="35"/>
        <v>0.8916951954</v>
      </c>
      <c r="BD42" s="169">
        <f t="shared" si="35"/>
        <v>0.8872022315</v>
      </c>
      <c r="BE42" s="169">
        <f t="shared" si="35"/>
        <v>0.887062769</v>
      </c>
      <c r="BF42" s="169">
        <f t="shared" si="35"/>
        <v>0.8806526036</v>
      </c>
      <c r="BG42" s="169">
        <f t="shared" si="35"/>
        <v>0.8776498718</v>
      </c>
      <c r="BH42" s="169">
        <f t="shared" si="35"/>
        <v>0.8725489571</v>
      </c>
      <c r="BI42" s="169">
        <f t="shared" si="35"/>
        <v>0.8709111442</v>
      </c>
      <c r="BJ42" s="169">
        <f t="shared" si="35"/>
        <v>0.8677989062</v>
      </c>
      <c r="BK42" s="169">
        <f t="shared" si="35"/>
        <v>0.8691758353</v>
      </c>
      <c r="BL42" s="169">
        <f t="shared" si="35"/>
        <v>0.863531826</v>
      </c>
      <c r="BM42" s="169">
        <f t="shared" si="35"/>
        <v>0.8569247775</v>
      </c>
      <c r="BN42" s="169">
        <f t="shared" si="35"/>
        <v>0.8548200916</v>
      </c>
      <c r="BO42" s="169">
        <f t="shared" si="35"/>
        <v>0.8480755036</v>
      </c>
      <c r="BP42" s="169">
        <f t="shared" si="35"/>
        <v>0.8453258754</v>
      </c>
      <c r="BQ42" s="169">
        <f t="shared" si="35"/>
        <v>0.8447396162</v>
      </c>
      <c r="BR42" s="169">
        <f t="shared" si="35"/>
        <v>0.8426181995</v>
      </c>
      <c r="BS42" s="169">
        <f t="shared" si="35"/>
        <v>0.8433444836</v>
      </c>
      <c r="BT42" s="169">
        <f t="shared" si="35"/>
        <v>0.8374762327</v>
      </c>
      <c r="BU42" s="169">
        <f t="shared" si="35"/>
        <v>0.8354518963</v>
      </c>
      <c r="BV42" s="169">
        <f t="shared" si="35"/>
        <v>0.8374304291</v>
      </c>
      <c r="BW42" s="169">
        <f t="shared" si="35"/>
        <v>0.8328422458</v>
      </c>
      <c r="BX42" s="169">
        <f t="shared" si="35"/>
        <v>0.8179791036</v>
      </c>
      <c r="BY42" s="169">
        <f t="shared" si="35"/>
        <v>0.7807311814</v>
      </c>
      <c r="BZ42" s="169">
        <f t="shared" si="35"/>
        <v>0.7663410644</v>
      </c>
      <c r="CA42" s="169">
        <f t="shared" si="35"/>
        <v>0.7660173311</v>
      </c>
      <c r="CB42" s="169">
        <f t="shared" si="35"/>
        <v>0.7587818251</v>
      </c>
      <c r="CC42" s="169">
        <f t="shared" si="35"/>
        <v>0.7601388097</v>
      </c>
      <c r="CD42" s="169">
        <f t="shared" si="35"/>
        <v>0.7575457182</v>
      </c>
      <c r="CE42" s="169">
        <f t="shared" si="35"/>
        <v>0.7562761063</v>
      </c>
      <c r="CF42" s="169">
        <f t="shared" si="35"/>
        <v>0.7485876254</v>
      </c>
      <c r="CG42" s="169">
        <f t="shared" si="35"/>
        <v>0.7499206098</v>
      </c>
      <c r="CH42" s="169">
        <f t="shared" si="35"/>
        <v>0.7450824143</v>
      </c>
      <c r="CI42" s="169">
        <f t="shared" si="35"/>
        <v>0.7476313765</v>
      </c>
      <c r="CJ42" s="169">
        <f t="shared" si="35"/>
        <v>0.7369076878</v>
      </c>
      <c r="CK42" s="169">
        <f t="shared" si="35"/>
        <v>0.7314665652</v>
      </c>
      <c r="CL42" s="169">
        <f t="shared" si="35"/>
        <v>0.7306774545</v>
      </c>
      <c r="CM42" s="169">
        <f t="shared" si="35"/>
        <v>0.7287398883</v>
      </c>
      <c r="CN42" s="169">
        <f t="shared" si="35"/>
        <v>0.7217642817</v>
      </c>
      <c r="CO42" s="169">
        <f t="shared" si="35"/>
        <v>0.7187528913</v>
      </c>
      <c r="CP42" s="169">
        <f t="shared" si="35"/>
        <v>0.7181685081</v>
      </c>
      <c r="CQ42" s="169">
        <f t="shared" si="35"/>
        <v>0.7199565109</v>
      </c>
      <c r="CR42" s="169">
        <f t="shared" si="35"/>
        <v>0.7101427841</v>
      </c>
      <c r="CS42" s="169">
        <f t="shared" si="35"/>
        <v>0.711954345</v>
      </c>
      <c r="CT42" s="169">
        <f t="shared" si="35"/>
        <v>0.7091027722</v>
      </c>
      <c r="CU42" s="169">
        <f t="shared" si="35"/>
        <v>0.707437619</v>
      </c>
      <c r="CV42" s="169"/>
      <c r="CW42" s="169"/>
      <c r="CX42" s="169"/>
      <c r="CY42" s="169"/>
      <c r="CZ42" s="169"/>
      <c r="DA42" s="169"/>
      <c r="DB42" s="169"/>
      <c r="DC42" s="169"/>
    </row>
    <row r="43" ht="15.75" customHeight="1">
      <c r="A43" s="146"/>
      <c r="B43" s="146"/>
      <c r="C43" s="160"/>
      <c r="D43" s="146"/>
      <c r="E43" s="146"/>
      <c r="F43" s="146"/>
      <c r="G43" s="146"/>
      <c r="H43" s="146"/>
      <c r="I43" s="14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row>
    <row r="44" ht="15.75" customHeight="1">
      <c r="A44" s="146"/>
      <c r="B44" s="146"/>
      <c r="C44" s="160" t="s">
        <v>17</v>
      </c>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4"/>
      <c r="AI44" s="144"/>
      <c r="AJ44" s="144"/>
      <c r="AK44" s="144"/>
      <c r="AL44" s="144"/>
      <c r="AM44" s="144"/>
      <c r="AN44" s="144"/>
      <c r="AO44" s="144"/>
      <c r="AP44" s="144"/>
      <c r="AQ44" s="144"/>
      <c r="AR44" s="144"/>
      <c r="AS44" s="144"/>
      <c r="AT44" s="144"/>
      <c r="AU44" s="144"/>
      <c r="AV44" s="144"/>
      <c r="AW44" s="144"/>
      <c r="AX44" s="144"/>
      <c r="AY44" s="144"/>
      <c r="AZ44" s="144"/>
      <c r="BA44" s="144"/>
      <c r="BB44" s="144"/>
      <c r="BC44" s="144"/>
      <c r="BD44" s="144"/>
      <c r="BE44" s="144"/>
      <c r="BF44" s="144"/>
      <c r="BG44" s="144"/>
      <c r="BH44" s="144"/>
      <c r="BI44" s="144"/>
      <c r="BJ44" s="144"/>
      <c r="BK44" s="144"/>
      <c r="BL44" s="144"/>
      <c r="BM44" s="144"/>
      <c r="BN44" s="144"/>
      <c r="BO44" s="144"/>
      <c r="BP44" s="144"/>
      <c r="BQ44" s="144"/>
      <c r="BR44" s="144"/>
      <c r="BS44" s="144"/>
      <c r="BT44" s="144"/>
      <c r="BU44" s="144"/>
      <c r="BV44" s="144"/>
      <c r="BW44" s="144"/>
      <c r="BX44" s="144"/>
      <c r="BY44" s="144"/>
      <c r="BZ44" s="144"/>
      <c r="CA44" s="144"/>
      <c r="CB44" s="144"/>
      <c r="CC44" s="144"/>
      <c r="CD44" s="144"/>
      <c r="CE44" s="144"/>
      <c r="CF44" s="144"/>
      <c r="CG44" s="144"/>
      <c r="CH44" s="144"/>
      <c r="CI44" s="144"/>
      <c r="CJ44" s="144"/>
      <c r="CK44" s="144"/>
      <c r="CL44" s="144"/>
      <c r="CM44" s="144"/>
      <c r="CN44" s="144"/>
      <c r="CO44" s="144"/>
      <c r="CP44" s="144"/>
      <c r="CQ44" s="144"/>
      <c r="CR44" s="144"/>
      <c r="CS44" s="144"/>
      <c r="CT44" s="144"/>
      <c r="CU44" s="144"/>
      <c r="CV44" s="144"/>
      <c r="CW44" s="144"/>
      <c r="CX44" s="144"/>
      <c r="CY44" s="144"/>
      <c r="CZ44" s="144"/>
      <c r="DA44" s="144"/>
      <c r="DB44" s="144"/>
      <c r="DC44" s="144"/>
    </row>
    <row r="45" ht="15.75" customHeight="1">
      <c r="A45" s="146" t="s">
        <v>174</v>
      </c>
      <c r="B45" s="146" t="s">
        <v>175</v>
      </c>
      <c r="C45" s="160" t="s">
        <v>222</v>
      </c>
      <c r="D45" s="161">
        <f t="shared" ref="D45:AL45" si="36">RANDBETWEEN(1000,2500)</f>
        <v>2096</v>
      </c>
      <c r="E45" s="161">
        <f t="shared" si="36"/>
        <v>1424</v>
      </c>
      <c r="F45" s="161">
        <f t="shared" si="36"/>
        <v>2398</v>
      </c>
      <c r="G45" s="161">
        <f t="shared" si="36"/>
        <v>1002</v>
      </c>
      <c r="H45" s="161">
        <f t="shared" si="36"/>
        <v>1120</v>
      </c>
      <c r="I45" s="161">
        <f t="shared" si="36"/>
        <v>2029</v>
      </c>
      <c r="J45" s="161">
        <f t="shared" si="36"/>
        <v>2004</v>
      </c>
      <c r="K45" s="161">
        <f t="shared" si="36"/>
        <v>1914</v>
      </c>
      <c r="L45" s="161">
        <f t="shared" si="36"/>
        <v>1966</v>
      </c>
      <c r="M45" s="161">
        <f t="shared" si="36"/>
        <v>1721</v>
      </c>
      <c r="N45" s="161">
        <f t="shared" si="36"/>
        <v>1409</v>
      </c>
      <c r="O45" s="161">
        <f t="shared" si="36"/>
        <v>1930</v>
      </c>
      <c r="P45" s="161">
        <f t="shared" si="36"/>
        <v>1975</v>
      </c>
      <c r="Q45" s="161">
        <f t="shared" si="36"/>
        <v>1721</v>
      </c>
      <c r="R45" s="161">
        <f t="shared" si="36"/>
        <v>2399</v>
      </c>
      <c r="S45" s="161">
        <f t="shared" si="36"/>
        <v>1201</v>
      </c>
      <c r="T45" s="161">
        <f t="shared" si="36"/>
        <v>1477</v>
      </c>
      <c r="U45" s="161">
        <f t="shared" si="36"/>
        <v>1164</v>
      </c>
      <c r="V45" s="161">
        <f t="shared" si="36"/>
        <v>2019</v>
      </c>
      <c r="W45" s="161">
        <f t="shared" si="36"/>
        <v>1434</v>
      </c>
      <c r="X45" s="161">
        <f t="shared" si="36"/>
        <v>2080</v>
      </c>
      <c r="Y45" s="161">
        <f t="shared" si="36"/>
        <v>1593</v>
      </c>
      <c r="Z45" s="161">
        <f t="shared" si="36"/>
        <v>1737</v>
      </c>
      <c r="AA45" s="161">
        <f t="shared" si="36"/>
        <v>2445</v>
      </c>
      <c r="AB45" s="161">
        <f t="shared" si="36"/>
        <v>1171</v>
      </c>
      <c r="AC45" s="161">
        <f t="shared" si="36"/>
        <v>1923</v>
      </c>
      <c r="AD45" s="161">
        <f t="shared" si="36"/>
        <v>1908</v>
      </c>
      <c r="AE45" s="161">
        <f t="shared" si="36"/>
        <v>2295</v>
      </c>
      <c r="AF45" s="161">
        <f t="shared" si="36"/>
        <v>2136</v>
      </c>
      <c r="AG45" s="161">
        <f t="shared" si="36"/>
        <v>1948</v>
      </c>
      <c r="AH45" s="161">
        <f t="shared" si="36"/>
        <v>1212</v>
      </c>
      <c r="AI45" s="161">
        <f t="shared" si="36"/>
        <v>1298</v>
      </c>
      <c r="AJ45" s="161">
        <f t="shared" si="36"/>
        <v>1657</v>
      </c>
      <c r="AK45" s="161">
        <f t="shared" si="36"/>
        <v>1386</v>
      </c>
      <c r="AL45" s="161">
        <f t="shared" si="36"/>
        <v>1647</v>
      </c>
      <c r="AM45" s="162">
        <f>Headcount!S92</f>
        <v>71647</v>
      </c>
      <c r="AN45" s="162">
        <f>Headcount!T92</f>
        <v>116471.115</v>
      </c>
      <c r="AO45" s="162">
        <f>Headcount!U92</f>
        <v>134871.115</v>
      </c>
      <c r="AP45" s="162">
        <f>Headcount!V92</f>
        <v>142871.115</v>
      </c>
      <c r="AQ45" s="162">
        <f>Headcount!W92</f>
        <v>155871.115</v>
      </c>
      <c r="AR45" s="162">
        <f>Headcount!X92</f>
        <v>162885.3152</v>
      </c>
      <c r="AS45" s="162">
        <f>Headcount!Y92</f>
        <v>162885.3152</v>
      </c>
      <c r="AT45" s="162">
        <f>Headcount!Z92</f>
        <v>173701.3152</v>
      </c>
      <c r="AU45" s="162">
        <f>Headcount!AA92</f>
        <v>189717.3152</v>
      </c>
      <c r="AV45" s="162">
        <f>Headcount!AB92</f>
        <v>209070.5944</v>
      </c>
      <c r="AW45" s="162">
        <f>Headcount!AC92</f>
        <v>219886.5944</v>
      </c>
      <c r="AX45" s="162">
        <f>Headcount!AD92</f>
        <v>235902.5944</v>
      </c>
      <c r="AY45" s="162">
        <f>Headcount!AE92</f>
        <v>246718.5944</v>
      </c>
      <c r="AZ45" s="162">
        <f>Headcount!AF92</f>
        <v>267835.9781</v>
      </c>
      <c r="BA45" s="162">
        <f>Headcount!AG92</f>
        <v>267835.9781</v>
      </c>
      <c r="BB45" s="162">
        <f>Headcount!AH92</f>
        <v>267835.9781</v>
      </c>
      <c r="BC45" s="162">
        <f>Headcount!AI92</f>
        <v>267835.9781</v>
      </c>
      <c r="BD45" s="162">
        <f>Headcount!AJ92</f>
        <v>278549.4173</v>
      </c>
      <c r="BE45" s="162">
        <f>Headcount!AK92</f>
        <v>278549.4173</v>
      </c>
      <c r="BF45" s="162">
        <f>Headcount!AL92</f>
        <v>278549.4173</v>
      </c>
      <c r="BG45" s="162">
        <f>Headcount!AM92</f>
        <v>278549.4173</v>
      </c>
      <c r="BH45" s="162">
        <f>Headcount!AN92</f>
        <v>289691.3939</v>
      </c>
      <c r="BI45" s="162">
        <f>Headcount!AO92</f>
        <v>289691.3939</v>
      </c>
      <c r="BJ45" s="162">
        <f>Headcount!AP92</f>
        <v>289691.3939</v>
      </c>
      <c r="BK45" s="162">
        <f>Headcount!AQ92</f>
        <v>289691.3939</v>
      </c>
      <c r="BL45" s="162">
        <f>Headcount!AR92</f>
        <v>301279.0497</v>
      </c>
      <c r="BM45" s="162">
        <f>Headcount!AS92</f>
        <v>301279.0497</v>
      </c>
      <c r="BN45" s="162">
        <f>Headcount!AT92</f>
        <v>301279.0497</v>
      </c>
      <c r="BO45" s="162">
        <f>Headcount!AU92</f>
        <v>301279.0497</v>
      </c>
      <c r="BP45" s="162">
        <f>Headcount!AV92</f>
        <v>325496.7407</v>
      </c>
      <c r="BQ45" s="162">
        <f>Headcount!AW92</f>
        <v>325496.7407</v>
      </c>
      <c r="BR45" s="162">
        <f>Headcount!AX92</f>
        <v>331580.0052</v>
      </c>
      <c r="BS45" s="162">
        <f>Headcount!AY92</f>
        <v>344233.1954</v>
      </c>
      <c r="BT45" s="162">
        <f>Headcount!AZ92</f>
        <v>358002.5232</v>
      </c>
      <c r="BU45" s="162">
        <f>Headcount!BA92</f>
        <v>370655.7134</v>
      </c>
      <c r="BV45" s="162">
        <f>Headcount!BB92</f>
        <v>370655.7134</v>
      </c>
      <c r="BW45" s="162">
        <f>Headcount!BC92</f>
        <v>370655.7134</v>
      </c>
      <c r="BX45" s="162">
        <f>Headcount!BD92</f>
        <v>398641.2597</v>
      </c>
      <c r="BY45" s="162">
        <f>Headcount!BE92</f>
        <v>398641.2597</v>
      </c>
      <c r="BZ45" s="162">
        <f>Headcount!BF92</f>
        <v>398641.2597</v>
      </c>
      <c r="CA45" s="162">
        <f>Headcount!BG92</f>
        <v>411800.5775</v>
      </c>
      <c r="CB45" s="162">
        <f>Headcount!BH92</f>
        <v>434599.1957</v>
      </c>
      <c r="CC45" s="162">
        <f>Headcount!BI92</f>
        <v>434599.1957</v>
      </c>
      <c r="CD45" s="162">
        <f>Headcount!BJ92</f>
        <v>448284.8862</v>
      </c>
      <c r="CE45" s="162">
        <f>Headcount!BK92</f>
        <v>448284.8862</v>
      </c>
      <c r="CF45" s="162">
        <f>Headcount!BL92</f>
        <v>466216.2817</v>
      </c>
      <c r="CG45" s="162">
        <f>Headcount!BM92</f>
        <v>479901.9722</v>
      </c>
      <c r="CH45" s="162">
        <f>Headcount!BN92</f>
        <v>479901.9722</v>
      </c>
      <c r="CI45" s="162">
        <f>Headcount!BO92</f>
        <v>479901.9722</v>
      </c>
      <c r="CJ45" s="162">
        <f>Headcount!BP92</f>
        <v>513331.1692</v>
      </c>
      <c r="CK45" s="162">
        <f>Headcount!BQ92</f>
        <v>513331.1692</v>
      </c>
      <c r="CL45" s="162">
        <f>Headcount!BR92</f>
        <v>513331.1692</v>
      </c>
      <c r="CM45" s="162">
        <f>Headcount!BS92</f>
        <v>513331.1692</v>
      </c>
      <c r="CN45" s="162">
        <f>Headcount!BT92</f>
        <v>533864.416</v>
      </c>
      <c r="CO45" s="162">
        <f>Headcount!BU92</f>
        <v>533864.416</v>
      </c>
      <c r="CP45" s="162">
        <f>Headcount!BV92</f>
        <v>533864.416</v>
      </c>
      <c r="CQ45" s="162">
        <f>Headcount!BW92</f>
        <v>533864.416</v>
      </c>
      <c r="CR45" s="162">
        <f>Headcount!BX92</f>
        <v>555218.9926</v>
      </c>
      <c r="CS45" s="162">
        <f>Headcount!BY92</f>
        <v>555218.9926</v>
      </c>
      <c r="CT45" s="162">
        <f>Headcount!BZ92</f>
        <v>555218.9926</v>
      </c>
      <c r="CU45" s="162">
        <f>Headcount!CA92</f>
        <v>555218.9926</v>
      </c>
      <c r="CV45" s="162"/>
      <c r="CW45" s="162"/>
      <c r="CX45" s="162"/>
      <c r="CY45" s="162"/>
      <c r="CZ45" s="162"/>
      <c r="DA45" s="162"/>
      <c r="DB45" s="162"/>
      <c r="DC45" s="162"/>
    </row>
    <row r="46" ht="15.75" customHeight="1">
      <c r="A46" s="146" t="s">
        <v>174</v>
      </c>
      <c r="B46" s="146" t="s">
        <v>175</v>
      </c>
      <c r="C46" s="160" t="s">
        <v>223</v>
      </c>
      <c r="D46" s="161">
        <f t="shared" ref="D46:AL46" si="37">RANDBETWEEN(1000,2500)</f>
        <v>1934</v>
      </c>
      <c r="E46" s="161">
        <f t="shared" si="37"/>
        <v>2134</v>
      </c>
      <c r="F46" s="161">
        <f t="shared" si="37"/>
        <v>1940</v>
      </c>
      <c r="G46" s="161">
        <f t="shared" si="37"/>
        <v>2201</v>
      </c>
      <c r="H46" s="161">
        <f t="shared" si="37"/>
        <v>2026</v>
      </c>
      <c r="I46" s="161">
        <f t="shared" si="37"/>
        <v>1972</v>
      </c>
      <c r="J46" s="161">
        <f t="shared" si="37"/>
        <v>1333</v>
      </c>
      <c r="K46" s="161">
        <f t="shared" si="37"/>
        <v>2495</v>
      </c>
      <c r="L46" s="161">
        <f t="shared" si="37"/>
        <v>1396</v>
      </c>
      <c r="M46" s="161">
        <f t="shared" si="37"/>
        <v>1631</v>
      </c>
      <c r="N46" s="161">
        <f t="shared" si="37"/>
        <v>2338</v>
      </c>
      <c r="O46" s="161">
        <f t="shared" si="37"/>
        <v>1198</v>
      </c>
      <c r="P46" s="161">
        <f t="shared" si="37"/>
        <v>1712</v>
      </c>
      <c r="Q46" s="161">
        <f t="shared" si="37"/>
        <v>1521</v>
      </c>
      <c r="R46" s="161">
        <f t="shared" si="37"/>
        <v>1536</v>
      </c>
      <c r="S46" s="161">
        <f t="shared" si="37"/>
        <v>2149</v>
      </c>
      <c r="T46" s="161">
        <f t="shared" si="37"/>
        <v>2473</v>
      </c>
      <c r="U46" s="161">
        <f t="shared" si="37"/>
        <v>1668</v>
      </c>
      <c r="V46" s="161">
        <f t="shared" si="37"/>
        <v>1020</v>
      </c>
      <c r="W46" s="161">
        <f t="shared" si="37"/>
        <v>2478</v>
      </c>
      <c r="X46" s="161">
        <f t="shared" si="37"/>
        <v>2349</v>
      </c>
      <c r="Y46" s="161">
        <f t="shared" si="37"/>
        <v>1409</v>
      </c>
      <c r="Z46" s="161">
        <f t="shared" si="37"/>
        <v>1611</v>
      </c>
      <c r="AA46" s="161">
        <f t="shared" si="37"/>
        <v>1375</v>
      </c>
      <c r="AB46" s="161">
        <f t="shared" si="37"/>
        <v>1250</v>
      </c>
      <c r="AC46" s="161">
        <f t="shared" si="37"/>
        <v>1054</v>
      </c>
      <c r="AD46" s="161">
        <f t="shared" si="37"/>
        <v>2304</v>
      </c>
      <c r="AE46" s="161">
        <f t="shared" si="37"/>
        <v>1777</v>
      </c>
      <c r="AF46" s="161">
        <f t="shared" si="37"/>
        <v>2247</v>
      </c>
      <c r="AG46" s="161">
        <f t="shared" si="37"/>
        <v>2492</v>
      </c>
      <c r="AH46" s="161">
        <f t="shared" si="37"/>
        <v>2283</v>
      </c>
      <c r="AI46" s="161">
        <f t="shared" si="37"/>
        <v>2095</v>
      </c>
      <c r="AJ46" s="161">
        <f t="shared" si="37"/>
        <v>2327</v>
      </c>
      <c r="AK46" s="161">
        <f t="shared" si="37"/>
        <v>1566</v>
      </c>
      <c r="AL46" s="161">
        <f t="shared" si="37"/>
        <v>2153</v>
      </c>
      <c r="AM46" s="162">
        <f>Headcount!S168</f>
        <v>0</v>
      </c>
      <c r="AN46" s="162">
        <f>Headcount!T168</f>
        <v>0</v>
      </c>
      <c r="AO46" s="162">
        <f>Headcount!U168</f>
        <v>0</v>
      </c>
      <c r="AP46" s="162">
        <f>Headcount!V168</f>
        <v>0</v>
      </c>
      <c r="AQ46" s="162">
        <f>Headcount!W168</f>
        <v>0</v>
      </c>
      <c r="AR46" s="162">
        <f>Headcount!X168</f>
        <v>0</v>
      </c>
      <c r="AS46" s="162">
        <f>Headcount!Y168</f>
        <v>0</v>
      </c>
      <c r="AT46" s="162">
        <f>Headcount!Z168</f>
        <v>5000</v>
      </c>
      <c r="AU46" s="162">
        <f>Headcount!AA168</f>
        <v>5000</v>
      </c>
      <c r="AV46" s="162">
        <f>Headcount!AB168</f>
        <v>5000</v>
      </c>
      <c r="AW46" s="162">
        <f>Headcount!AC168</f>
        <v>5000</v>
      </c>
      <c r="AX46" s="162">
        <f>Headcount!AD168</f>
        <v>5000</v>
      </c>
      <c r="AY46" s="162">
        <f>Headcount!AE168</f>
        <v>5000</v>
      </c>
      <c r="AZ46" s="162">
        <f>Headcount!AF168</f>
        <v>10000</v>
      </c>
      <c r="BA46" s="162">
        <f>Headcount!AG168</f>
        <v>10000</v>
      </c>
      <c r="BB46" s="162">
        <f>Headcount!AH168</f>
        <v>10000</v>
      </c>
      <c r="BC46" s="162">
        <f>Headcount!AI168</f>
        <v>10000</v>
      </c>
      <c r="BD46" s="162">
        <f>Headcount!AJ168</f>
        <v>10000</v>
      </c>
      <c r="BE46" s="162">
        <f>Headcount!AK168</f>
        <v>10000</v>
      </c>
      <c r="BF46" s="162">
        <f>Headcount!AL168</f>
        <v>15000</v>
      </c>
      <c r="BG46" s="162">
        <f>Headcount!AM168</f>
        <v>15000</v>
      </c>
      <c r="BH46" s="162">
        <f>Headcount!AN168</f>
        <v>15000</v>
      </c>
      <c r="BI46" s="162">
        <f>Headcount!AO168</f>
        <v>15000</v>
      </c>
      <c r="BJ46" s="162">
        <f>Headcount!AP168</f>
        <v>15000</v>
      </c>
      <c r="BK46" s="162">
        <f>Headcount!AQ168</f>
        <v>15000</v>
      </c>
      <c r="BL46" s="162">
        <f>Headcount!AR168</f>
        <v>20000</v>
      </c>
      <c r="BM46" s="162">
        <f>Headcount!AS168</f>
        <v>25000</v>
      </c>
      <c r="BN46" s="162">
        <f>Headcount!AT168</f>
        <v>30000</v>
      </c>
      <c r="BO46" s="162">
        <f>Headcount!AU168</f>
        <v>35000</v>
      </c>
      <c r="BP46" s="162">
        <f>Headcount!AV168</f>
        <v>40000</v>
      </c>
      <c r="BQ46" s="162">
        <f>Headcount!AW168</f>
        <v>45000</v>
      </c>
      <c r="BR46" s="162">
        <f>Headcount!AX168</f>
        <v>50000</v>
      </c>
      <c r="BS46" s="162">
        <f>Headcount!AY168</f>
        <v>55000</v>
      </c>
      <c r="BT46" s="162">
        <f>Headcount!AZ168</f>
        <v>60000</v>
      </c>
      <c r="BU46" s="162">
        <f>Headcount!BA168</f>
        <v>65000</v>
      </c>
      <c r="BV46" s="162">
        <f>Headcount!BB168</f>
        <v>70000</v>
      </c>
      <c r="BW46" s="162">
        <f>Headcount!BC168</f>
        <v>75000</v>
      </c>
      <c r="BX46" s="162">
        <f>Headcount!BD168</f>
        <v>80000</v>
      </c>
      <c r="BY46" s="162">
        <f>Headcount!BE168</f>
        <v>85000</v>
      </c>
      <c r="BZ46" s="162">
        <f>Headcount!BF168</f>
        <v>90000</v>
      </c>
      <c r="CA46" s="162">
        <f>Headcount!BG168</f>
        <v>95000</v>
      </c>
      <c r="CB46" s="162">
        <f>Headcount!BH168</f>
        <v>100000</v>
      </c>
      <c r="CC46" s="162">
        <f>Headcount!BI168</f>
        <v>105000</v>
      </c>
      <c r="CD46" s="162">
        <f>Headcount!BJ168</f>
        <v>110000</v>
      </c>
      <c r="CE46" s="162">
        <f>Headcount!BK168</f>
        <v>115000</v>
      </c>
      <c r="CF46" s="162">
        <f>Headcount!BL168</f>
        <v>120000</v>
      </c>
      <c r="CG46" s="162">
        <f>Headcount!BM168</f>
        <v>125000</v>
      </c>
      <c r="CH46" s="162">
        <f>Headcount!BN168</f>
        <v>130000</v>
      </c>
      <c r="CI46" s="162">
        <f>Headcount!BO168</f>
        <v>135000</v>
      </c>
      <c r="CJ46" s="162">
        <f>Headcount!BP168</f>
        <v>140000</v>
      </c>
      <c r="CK46" s="162">
        <f>Headcount!BQ168</f>
        <v>145000</v>
      </c>
      <c r="CL46" s="162">
        <f>Headcount!BR168</f>
        <v>150000</v>
      </c>
      <c r="CM46" s="162">
        <f>Headcount!BS168</f>
        <v>155000</v>
      </c>
      <c r="CN46" s="162">
        <f>Headcount!BT168</f>
        <v>160000</v>
      </c>
      <c r="CO46" s="162">
        <f>Headcount!BU168</f>
        <v>165000</v>
      </c>
      <c r="CP46" s="162">
        <f>Headcount!BV168</f>
        <v>170000</v>
      </c>
      <c r="CQ46" s="162">
        <f>Headcount!BW168</f>
        <v>175000</v>
      </c>
      <c r="CR46" s="162">
        <f>Headcount!BX168</f>
        <v>180000</v>
      </c>
      <c r="CS46" s="162">
        <f>Headcount!BY168</f>
        <v>185000</v>
      </c>
      <c r="CT46" s="162">
        <f>Headcount!BZ168</f>
        <v>190000</v>
      </c>
      <c r="CU46" s="162">
        <f>Headcount!CA168</f>
        <v>195000</v>
      </c>
      <c r="CV46" s="162"/>
      <c r="CW46" s="162"/>
      <c r="CX46" s="162"/>
      <c r="CY46" s="162"/>
      <c r="CZ46" s="162"/>
      <c r="DA46" s="162"/>
      <c r="DB46" s="162"/>
      <c r="DC46" s="162"/>
    </row>
    <row r="47" ht="15.75" customHeight="1">
      <c r="A47" s="146"/>
      <c r="B47" s="146"/>
      <c r="C47" s="160" t="s">
        <v>224</v>
      </c>
      <c r="D47" s="163">
        <f t="shared" ref="D47:CU47" si="38">SUM(D45:D46)</f>
        <v>4030</v>
      </c>
      <c r="E47" s="163">
        <f t="shared" si="38"/>
        <v>3558</v>
      </c>
      <c r="F47" s="163">
        <f t="shared" si="38"/>
        <v>4338</v>
      </c>
      <c r="G47" s="163">
        <f t="shared" si="38"/>
        <v>3203</v>
      </c>
      <c r="H47" s="163">
        <f t="shared" si="38"/>
        <v>3146</v>
      </c>
      <c r="I47" s="163">
        <f t="shared" si="38"/>
        <v>4001</v>
      </c>
      <c r="J47" s="163">
        <f t="shared" si="38"/>
        <v>3337</v>
      </c>
      <c r="K47" s="163">
        <f t="shared" si="38"/>
        <v>4409</v>
      </c>
      <c r="L47" s="163">
        <f t="shared" si="38"/>
        <v>3362</v>
      </c>
      <c r="M47" s="163">
        <f t="shared" si="38"/>
        <v>3352</v>
      </c>
      <c r="N47" s="163">
        <f t="shared" si="38"/>
        <v>3747</v>
      </c>
      <c r="O47" s="163">
        <f t="shared" si="38"/>
        <v>3128</v>
      </c>
      <c r="P47" s="163">
        <f t="shared" si="38"/>
        <v>3687</v>
      </c>
      <c r="Q47" s="163">
        <f t="shared" si="38"/>
        <v>3242</v>
      </c>
      <c r="R47" s="163">
        <f t="shared" si="38"/>
        <v>3935</v>
      </c>
      <c r="S47" s="163">
        <f t="shared" si="38"/>
        <v>3350</v>
      </c>
      <c r="T47" s="163">
        <f t="shared" si="38"/>
        <v>3950</v>
      </c>
      <c r="U47" s="163">
        <f t="shared" si="38"/>
        <v>2832</v>
      </c>
      <c r="V47" s="163">
        <f t="shared" si="38"/>
        <v>3039</v>
      </c>
      <c r="W47" s="163">
        <f t="shared" si="38"/>
        <v>3912</v>
      </c>
      <c r="X47" s="163">
        <f t="shared" si="38"/>
        <v>4429</v>
      </c>
      <c r="Y47" s="163">
        <f t="shared" si="38"/>
        <v>3002</v>
      </c>
      <c r="Z47" s="163">
        <f t="shared" si="38"/>
        <v>3348</v>
      </c>
      <c r="AA47" s="163">
        <f t="shared" si="38"/>
        <v>3820</v>
      </c>
      <c r="AB47" s="163">
        <f t="shared" si="38"/>
        <v>2421</v>
      </c>
      <c r="AC47" s="163">
        <f t="shared" si="38"/>
        <v>2977</v>
      </c>
      <c r="AD47" s="163">
        <f t="shared" si="38"/>
        <v>4212</v>
      </c>
      <c r="AE47" s="163">
        <f t="shared" si="38"/>
        <v>4072</v>
      </c>
      <c r="AF47" s="163">
        <f t="shared" si="38"/>
        <v>4383</v>
      </c>
      <c r="AG47" s="163">
        <f t="shared" si="38"/>
        <v>4440</v>
      </c>
      <c r="AH47" s="163">
        <f t="shared" si="38"/>
        <v>3495</v>
      </c>
      <c r="AI47" s="163">
        <f t="shared" si="38"/>
        <v>3393</v>
      </c>
      <c r="AJ47" s="163">
        <f t="shared" si="38"/>
        <v>3984</v>
      </c>
      <c r="AK47" s="163">
        <f t="shared" si="38"/>
        <v>2952</v>
      </c>
      <c r="AL47" s="163">
        <f t="shared" si="38"/>
        <v>3800</v>
      </c>
      <c r="AM47" s="163">
        <f t="shared" si="38"/>
        <v>71647</v>
      </c>
      <c r="AN47" s="163">
        <f t="shared" si="38"/>
        <v>116471.115</v>
      </c>
      <c r="AO47" s="163">
        <f t="shared" si="38"/>
        <v>134871.115</v>
      </c>
      <c r="AP47" s="163">
        <f t="shared" si="38"/>
        <v>142871.115</v>
      </c>
      <c r="AQ47" s="163">
        <f t="shared" si="38"/>
        <v>155871.115</v>
      </c>
      <c r="AR47" s="163">
        <f t="shared" si="38"/>
        <v>162885.3152</v>
      </c>
      <c r="AS47" s="163">
        <f t="shared" si="38"/>
        <v>162885.3152</v>
      </c>
      <c r="AT47" s="163">
        <f t="shared" si="38"/>
        <v>178701.3152</v>
      </c>
      <c r="AU47" s="163">
        <f t="shared" si="38"/>
        <v>194717.3152</v>
      </c>
      <c r="AV47" s="163">
        <f t="shared" si="38"/>
        <v>214070.5944</v>
      </c>
      <c r="AW47" s="163">
        <f t="shared" si="38"/>
        <v>224886.5944</v>
      </c>
      <c r="AX47" s="163">
        <f t="shared" si="38"/>
        <v>240902.5944</v>
      </c>
      <c r="AY47" s="163">
        <f t="shared" si="38"/>
        <v>251718.5944</v>
      </c>
      <c r="AZ47" s="163">
        <f t="shared" si="38"/>
        <v>277835.9781</v>
      </c>
      <c r="BA47" s="163">
        <f t="shared" si="38"/>
        <v>277835.9781</v>
      </c>
      <c r="BB47" s="163">
        <f t="shared" si="38"/>
        <v>277835.9781</v>
      </c>
      <c r="BC47" s="163">
        <f t="shared" si="38"/>
        <v>277835.9781</v>
      </c>
      <c r="BD47" s="163">
        <f t="shared" si="38"/>
        <v>288549.4173</v>
      </c>
      <c r="BE47" s="163">
        <f t="shared" si="38"/>
        <v>288549.4173</v>
      </c>
      <c r="BF47" s="163">
        <f t="shared" si="38"/>
        <v>293549.4173</v>
      </c>
      <c r="BG47" s="163">
        <f t="shared" si="38"/>
        <v>293549.4173</v>
      </c>
      <c r="BH47" s="163">
        <f t="shared" si="38"/>
        <v>304691.3939</v>
      </c>
      <c r="BI47" s="163">
        <f t="shared" si="38"/>
        <v>304691.3939</v>
      </c>
      <c r="BJ47" s="163">
        <f t="shared" si="38"/>
        <v>304691.3939</v>
      </c>
      <c r="BK47" s="163">
        <f t="shared" si="38"/>
        <v>304691.3939</v>
      </c>
      <c r="BL47" s="163">
        <f t="shared" si="38"/>
        <v>321279.0497</v>
      </c>
      <c r="BM47" s="163">
        <f t="shared" si="38"/>
        <v>326279.0497</v>
      </c>
      <c r="BN47" s="163">
        <f t="shared" si="38"/>
        <v>331279.0497</v>
      </c>
      <c r="BO47" s="163">
        <f t="shared" si="38"/>
        <v>336279.0497</v>
      </c>
      <c r="BP47" s="163">
        <f t="shared" si="38"/>
        <v>365496.7407</v>
      </c>
      <c r="BQ47" s="163">
        <f t="shared" si="38"/>
        <v>370496.7407</v>
      </c>
      <c r="BR47" s="163">
        <f t="shared" si="38"/>
        <v>381580.0052</v>
      </c>
      <c r="BS47" s="163">
        <f t="shared" si="38"/>
        <v>399233.1954</v>
      </c>
      <c r="BT47" s="163">
        <f t="shared" si="38"/>
        <v>418002.5232</v>
      </c>
      <c r="BU47" s="163">
        <f t="shared" si="38"/>
        <v>435655.7134</v>
      </c>
      <c r="BV47" s="163">
        <f t="shared" si="38"/>
        <v>440655.7134</v>
      </c>
      <c r="BW47" s="163">
        <f t="shared" si="38"/>
        <v>445655.7134</v>
      </c>
      <c r="BX47" s="163">
        <f t="shared" si="38"/>
        <v>478641.2597</v>
      </c>
      <c r="BY47" s="163">
        <f t="shared" si="38"/>
        <v>483641.2597</v>
      </c>
      <c r="BZ47" s="163">
        <f t="shared" si="38"/>
        <v>488641.2597</v>
      </c>
      <c r="CA47" s="163">
        <f t="shared" si="38"/>
        <v>506800.5775</v>
      </c>
      <c r="CB47" s="163">
        <f t="shared" si="38"/>
        <v>534599.1957</v>
      </c>
      <c r="CC47" s="163">
        <f t="shared" si="38"/>
        <v>539599.1957</v>
      </c>
      <c r="CD47" s="163">
        <f t="shared" si="38"/>
        <v>558284.8862</v>
      </c>
      <c r="CE47" s="163">
        <f t="shared" si="38"/>
        <v>563284.8862</v>
      </c>
      <c r="CF47" s="163">
        <f t="shared" si="38"/>
        <v>586216.2817</v>
      </c>
      <c r="CG47" s="163">
        <f t="shared" si="38"/>
        <v>604901.9722</v>
      </c>
      <c r="CH47" s="163">
        <f t="shared" si="38"/>
        <v>609901.9722</v>
      </c>
      <c r="CI47" s="163">
        <f t="shared" si="38"/>
        <v>614901.9722</v>
      </c>
      <c r="CJ47" s="163">
        <f t="shared" si="38"/>
        <v>653331.1692</v>
      </c>
      <c r="CK47" s="163">
        <f t="shared" si="38"/>
        <v>658331.1692</v>
      </c>
      <c r="CL47" s="163">
        <f t="shared" si="38"/>
        <v>663331.1692</v>
      </c>
      <c r="CM47" s="163">
        <f t="shared" si="38"/>
        <v>668331.1692</v>
      </c>
      <c r="CN47" s="163">
        <f t="shared" si="38"/>
        <v>693864.416</v>
      </c>
      <c r="CO47" s="163">
        <f t="shared" si="38"/>
        <v>698864.416</v>
      </c>
      <c r="CP47" s="163">
        <f t="shared" si="38"/>
        <v>703864.416</v>
      </c>
      <c r="CQ47" s="163">
        <f t="shared" si="38"/>
        <v>708864.416</v>
      </c>
      <c r="CR47" s="163">
        <f t="shared" si="38"/>
        <v>735218.9926</v>
      </c>
      <c r="CS47" s="163">
        <f t="shared" si="38"/>
        <v>740218.9926</v>
      </c>
      <c r="CT47" s="163">
        <f t="shared" si="38"/>
        <v>745218.9926</v>
      </c>
      <c r="CU47" s="163">
        <f t="shared" si="38"/>
        <v>750218.9926</v>
      </c>
      <c r="CV47" s="170"/>
      <c r="CW47" s="170"/>
      <c r="CX47" s="170"/>
      <c r="CY47" s="170"/>
      <c r="CZ47" s="170"/>
      <c r="DA47" s="170"/>
      <c r="DB47" s="170"/>
      <c r="DC47" s="170"/>
    </row>
    <row r="48" ht="15.75" customHeight="1">
      <c r="A48" s="146" t="s">
        <v>174</v>
      </c>
      <c r="B48" s="146" t="s">
        <v>175</v>
      </c>
      <c r="C48" s="160" t="s">
        <v>225</v>
      </c>
      <c r="D48" s="161">
        <f t="shared" ref="D48:AL48" si="39">RANDBETWEEN(1000,2500)</f>
        <v>1563</v>
      </c>
      <c r="E48" s="161">
        <f t="shared" si="39"/>
        <v>1801</v>
      </c>
      <c r="F48" s="161">
        <f t="shared" si="39"/>
        <v>1902</v>
      </c>
      <c r="G48" s="161">
        <f t="shared" si="39"/>
        <v>1677</v>
      </c>
      <c r="H48" s="161">
        <f t="shared" si="39"/>
        <v>1693</v>
      </c>
      <c r="I48" s="161">
        <f t="shared" si="39"/>
        <v>1135</v>
      </c>
      <c r="J48" s="161">
        <f t="shared" si="39"/>
        <v>1269</v>
      </c>
      <c r="K48" s="161">
        <f t="shared" si="39"/>
        <v>1833</v>
      </c>
      <c r="L48" s="161">
        <f t="shared" si="39"/>
        <v>2090</v>
      </c>
      <c r="M48" s="161">
        <f t="shared" si="39"/>
        <v>1693</v>
      </c>
      <c r="N48" s="161">
        <f t="shared" si="39"/>
        <v>1046</v>
      </c>
      <c r="O48" s="161">
        <f t="shared" si="39"/>
        <v>1322</v>
      </c>
      <c r="P48" s="161">
        <f t="shared" si="39"/>
        <v>1349</v>
      </c>
      <c r="Q48" s="161">
        <f t="shared" si="39"/>
        <v>1409</v>
      </c>
      <c r="R48" s="161">
        <f t="shared" si="39"/>
        <v>2184</v>
      </c>
      <c r="S48" s="161">
        <f t="shared" si="39"/>
        <v>1687</v>
      </c>
      <c r="T48" s="161">
        <f t="shared" si="39"/>
        <v>1208</v>
      </c>
      <c r="U48" s="161">
        <f t="shared" si="39"/>
        <v>1289</v>
      </c>
      <c r="V48" s="161">
        <f t="shared" si="39"/>
        <v>1913</v>
      </c>
      <c r="W48" s="161">
        <f t="shared" si="39"/>
        <v>2349</v>
      </c>
      <c r="X48" s="161">
        <f t="shared" si="39"/>
        <v>1352</v>
      </c>
      <c r="Y48" s="161">
        <f t="shared" si="39"/>
        <v>2018</v>
      </c>
      <c r="Z48" s="161">
        <f t="shared" si="39"/>
        <v>1283</v>
      </c>
      <c r="AA48" s="161">
        <f t="shared" si="39"/>
        <v>2203</v>
      </c>
      <c r="AB48" s="161">
        <f t="shared" si="39"/>
        <v>1857</v>
      </c>
      <c r="AC48" s="161">
        <f t="shared" si="39"/>
        <v>1747</v>
      </c>
      <c r="AD48" s="161">
        <f t="shared" si="39"/>
        <v>1607</v>
      </c>
      <c r="AE48" s="161">
        <f t="shared" si="39"/>
        <v>2477</v>
      </c>
      <c r="AF48" s="161">
        <f t="shared" si="39"/>
        <v>2183</v>
      </c>
      <c r="AG48" s="161">
        <f t="shared" si="39"/>
        <v>2081</v>
      </c>
      <c r="AH48" s="161">
        <f t="shared" si="39"/>
        <v>1473</v>
      </c>
      <c r="AI48" s="161">
        <f t="shared" si="39"/>
        <v>1570</v>
      </c>
      <c r="AJ48" s="161">
        <f t="shared" si="39"/>
        <v>1069</v>
      </c>
      <c r="AK48" s="161">
        <f t="shared" si="39"/>
        <v>1180</v>
      </c>
      <c r="AL48" s="161">
        <f t="shared" si="39"/>
        <v>1806</v>
      </c>
      <c r="AM48" s="166">
        <f t="array" ref="AM48">AM$45*INDEX(Headcount!$1:$395,MATCH($C48,Headcount!$A:$A,0),MATCH(AM$4,Headcount!$4:$4,0))</f>
        <v>7164.7</v>
      </c>
      <c r="AN48" s="166">
        <f t="array" ref="AN48">AN$45*INDEX(Headcount!$1:$395,MATCH($C48,Headcount!$A:$A,0),MATCH(AN$4,Headcount!$4:$4,0))</f>
        <v>11647.1115</v>
      </c>
      <c r="AO48" s="166">
        <f t="array" ref="AO48">AO$45*INDEX(Headcount!$1:$395,MATCH($C48,Headcount!$A:$A,0),MATCH(AO$4,Headcount!$4:$4,0))</f>
        <v>13487.1115</v>
      </c>
      <c r="AP48" s="166">
        <f t="array" ref="AP48">AP$45*INDEX(Headcount!$1:$395,MATCH($C48,Headcount!$A:$A,0),MATCH(AP$4,Headcount!$4:$4,0))</f>
        <v>14287.1115</v>
      </c>
      <c r="AQ48" s="166">
        <f t="array" ref="AQ48">AQ$45*INDEX(Headcount!$1:$395,MATCH($C48,Headcount!$A:$A,0),MATCH(AQ$4,Headcount!$4:$4,0))</f>
        <v>15587.1115</v>
      </c>
      <c r="AR48" s="166">
        <f t="array" ref="AR48">AR$45*INDEX(Headcount!$1:$395,MATCH($C48,Headcount!$A:$A,0),MATCH(AR$4,Headcount!$4:$4,0))</f>
        <v>16288.53152</v>
      </c>
      <c r="AS48" s="166">
        <f t="array" ref="AS48">AS$45*INDEX(Headcount!$1:$395,MATCH($C48,Headcount!$A:$A,0),MATCH(AS$4,Headcount!$4:$4,0))</f>
        <v>16288.53152</v>
      </c>
      <c r="AT48" s="166">
        <f t="array" ref="AT48">AT$45*INDEX(Headcount!$1:$395,MATCH($C48,Headcount!$A:$A,0),MATCH(AT$4,Headcount!$4:$4,0))</f>
        <v>17370.13152</v>
      </c>
      <c r="AU48" s="166">
        <f t="array" ref="AU48">AU$45*INDEX(Headcount!$1:$395,MATCH($C48,Headcount!$A:$A,0),MATCH(AU$4,Headcount!$4:$4,0))</f>
        <v>18971.73152</v>
      </c>
      <c r="AV48" s="166">
        <f t="array" ref="AV48">AV$45*INDEX(Headcount!$1:$395,MATCH($C48,Headcount!$A:$A,0),MATCH(AV$4,Headcount!$4:$4,0))</f>
        <v>20907.05944</v>
      </c>
      <c r="AW48" s="166">
        <f t="array" ref="AW48">AW$45*INDEX(Headcount!$1:$395,MATCH($C48,Headcount!$A:$A,0),MATCH(AW$4,Headcount!$4:$4,0))</f>
        <v>21988.65944</v>
      </c>
      <c r="AX48" s="166">
        <f t="array" ref="AX48">AX$45*INDEX(Headcount!$1:$395,MATCH($C48,Headcount!$A:$A,0),MATCH(AX$4,Headcount!$4:$4,0))</f>
        <v>23590.25944</v>
      </c>
      <c r="AY48" s="166">
        <f t="array" ref="AY48">AY$45*INDEX(Headcount!$1:$395,MATCH($C48,Headcount!$A:$A,0),MATCH(AY$4,Headcount!$4:$4,0))</f>
        <v>24671.85944</v>
      </c>
      <c r="AZ48" s="166">
        <f t="array" ref="AZ48">AZ$45*INDEX(Headcount!$1:$395,MATCH($C48,Headcount!$A:$A,0),MATCH(AZ$4,Headcount!$4:$4,0))</f>
        <v>26783.59781</v>
      </c>
      <c r="BA48" s="166">
        <f t="array" ref="BA48">BA$45*INDEX(Headcount!$1:$395,MATCH($C48,Headcount!$A:$A,0),MATCH(BA$4,Headcount!$4:$4,0))</f>
        <v>26783.59781</v>
      </c>
      <c r="BB48" s="166">
        <f t="array" ref="BB48">BB$45*INDEX(Headcount!$1:$395,MATCH($C48,Headcount!$A:$A,0),MATCH(BB$4,Headcount!$4:$4,0))</f>
        <v>26783.59781</v>
      </c>
      <c r="BC48" s="166">
        <f t="array" ref="BC48">BC$45*INDEX(Headcount!$1:$395,MATCH($C48,Headcount!$A:$A,0),MATCH(BC$4,Headcount!$4:$4,0))</f>
        <v>26783.59781</v>
      </c>
      <c r="BD48" s="166">
        <f t="array" ref="BD48">BD$45*INDEX(Headcount!$1:$395,MATCH($C48,Headcount!$A:$A,0),MATCH(BD$4,Headcount!$4:$4,0))</f>
        <v>27854.94173</v>
      </c>
      <c r="BE48" s="166">
        <f t="array" ref="BE48">BE$45*INDEX(Headcount!$1:$395,MATCH($C48,Headcount!$A:$A,0),MATCH(BE$4,Headcount!$4:$4,0))</f>
        <v>27854.94173</v>
      </c>
      <c r="BF48" s="166">
        <f t="array" ref="BF48">BF$45*INDEX(Headcount!$1:$395,MATCH($C48,Headcount!$A:$A,0),MATCH(BF$4,Headcount!$4:$4,0))</f>
        <v>27854.94173</v>
      </c>
      <c r="BG48" s="166">
        <f t="array" ref="BG48">BG$45*INDEX(Headcount!$1:$395,MATCH($C48,Headcount!$A:$A,0),MATCH(BG$4,Headcount!$4:$4,0))</f>
        <v>27854.94173</v>
      </c>
      <c r="BH48" s="166">
        <f t="array" ref="BH48">BH$45*INDEX(Headcount!$1:$395,MATCH($C48,Headcount!$A:$A,0),MATCH(BH$4,Headcount!$4:$4,0))</f>
        <v>28969.13939</v>
      </c>
      <c r="BI48" s="166">
        <f t="array" ref="BI48">BI$45*INDEX(Headcount!$1:$395,MATCH($C48,Headcount!$A:$A,0),MATCH(BI$4,Headcount!$4:$4,0))</f>
        <v>28969.13939</v>
      </c>
      <c r="BJ48" s="166">
        <f t="array" ref="BJ48">BJ$45*INDEX(Headcount!$1:$395,MATCH($C48,Headcount!$A:$A,0),MATCH(BJ$4,Headcount!$4:$4,0))</f>
        <v>28969.13939</v>
      </c>
      <c r="BK48" s="166">
        <f t="array" ref="BK48">BK$45*INDEX(Headcount!$1:$395,MATCH($C48,Headcount!$A:$A,0),MATCH(BK$4,Headcount!$4:$4,0))</f>
        <v>28969.13939</v>
      </c>
      <c r="BL48" s="166">
        <f t="array" ref="BL48">BL$45*INDEX(Headcount!$1:$395,MATCH($C48,Headcount!$A:$A,0),MATCH(BL$4,Headcount!$4:$4,0))</f>
        <v>30127.90497</v>
      </c>
      <c r="BM48" s="166">
        <f t="array" ref="BM48">BM$45*INDEX(Headcount!$1:$395,MATCH($C48,Headcount!$A:$A,0),MATCH(BM$4,Headcount!$4:$4,0))</f>
        <v>30127.90497</v>
      </c>
      <c r="BN48" s="166">
        <f t="array" ref="BN48">BN$45*INDEX(Headcount!$1:$395,MATCH($C48,Headcount!$A:$A,0),MATCH(BN$4,Headcount!$4:$4,0))</f>
        <v>30127.90497</v>
      </c>
      <c r="BO48" s="166">
        <f t="array" ref="BO48">BO$45*INDEX(Headcount!$1:$395,MATCH($C48,Headcount!$A:$A,0),MATCH(BO$4,Headcount!$4:$4,0))</f>
        <v>30127.90497</v>
      </c>
      <c r="BP48" s="166">
        <f t="array" ref="BP48">BP$45*INDEX(Headcount!$1:$395,MATCH($C48,Headcount!$A:$A,0),MATCH(BP$4,Headcount!$4:$4,0))</f>
        <v>32549.67407</v>
      </c>
      <c r="BQ48" s="166">
        <f t="array" ref="BQ48">BQ$45*INDEX(Headcount!$1:$395,MATCH($C48,Headcount!$A:$A,0),MATCH(BQ$4,Headcount!$4:$4,0))</f>
        <v>32549.67407</v>
      </c>
      <c r="BR48" s="166">
        <f t="array" ref="BR48">BR$45*INDEX(Headcount!$1:$395,MATCH($C48,Headcount!$A:$A,0),MATCH(BR$4,Headcount!$4:$4,0))</f>
        <v>33158.00052</v>
      </c>
      <c r="BS48" s="166">
        <f t="array" ref="BS48">BS$45*INDEX(Headcount!$1:$395,MATCH($C48,Headcount!$A:$A,0),MATCH(BS$4,Headcount!$4:$4,0))</f>
        <v>34423.31954</v>
      </c>
      <c r="BT48" s="166">
        <f t="array" ref="BT48">BT$45*INDEX(Headcount!$1:$395,MATCH($C48,Headcount!$A:$A,0),MATCH(BT$4,Headcount!$4:$4,0))</f>
        <v>35800.25232</v>
      </c>
      <c r="BU48" s="166">
        <f t="array" ref="BU48">BU$45*INDEX(Headcount!$1:$395,MATCH($C48,Headcount!$A:$A,0),MATCH(BU$4,Headcount!$4:$4,0))</f>
        <v>37065.57134</v>
      </c>
      <c r="BV48" s="166">
        <f t="array" ref="BV48">BV$45*INDEX(Headcount!$1:$395,MATCH($C48,Headcount!$A:$A,0),MATCH(BV$4,Headcount!$4:$4,0))</f>
        <v>37065.57134</v>
      </c>
      <c r="BW48" s="166">
        <f t="array" ref="BW48">BW$45*INDEX(Headcount!$1:$395,MATCH($C48,Headcount!$A:$A,0),MATCH(BW$4,Headcount!$4:$4,0))</f>
        <v>37065.57134</v>
      </c>
      <c r="BX48" s="166">
        <f t="array" ref="BX48">BX$45*INDEX(Headcount!$1:$395,MATCH($C48,Headcount!$A:$A,0),MATCH(BX$4,Headcount!$4:$4,0))</f>
        <v>39864.12597</v>
      </c>
      <c r="BY48" s="166">
        <f t="array" ref="BY48">BY$45*INDEX(Headcount!$1:$395,MATCH($C48,Headcount!$A:$A,0),MATCH(BY$4,Headcount!$4:$4,0))</f>
        <v>39864.12597</v>
      </c>
      <c r="BZ48" s="166">
        <f t="array" ref="BZ48">BZ$45*INDEX(Headcount!$1:$395,MATCH($C48,Headcount!$A:$A,0),MATCH(BZ$4,Headcount!$4:$4,0))</f>
        <v>39864.12597</v>
      </c>
      <c r="CA48" s="166">
        <f t="array" ref="CA48">CA$45*INDEX(Headcount!$1:$395,MATCH($C48,Headcount!$A:$A,0),MATCH(CA$4,Headcount!$4:$4,0))</f>
        <v>41180.05775</v>
      </c>
      <c r="CB48" s="166">
        <f t="array" ref="CB48">CB$45*INDEX(Headcount!$1:$395,MATCH($C48,Headcount!$A:$A,0),MATCH(CB$4,Headcount!$4:$4,0))</f>
        <v>43459.91957</v>
      </c>
      <c r="CC48" s="166">
        <f t="array" ref="CC48">CC$45*INDEX(Headcount!$1:$395,MATCH($C48,Headcount!$A:$A,0),MATCH(CC$4,Headcount!$4:$4,0))</f>
        <v>43459.91957</v>
      </c>
      <c r="CD48" s="166">
        <f t="array" ref="CD48">CD$45*INDEX(Headcount!$1:$395,MATCH($C48,Headcount!$A:$A,0),MATCH(CD$4,Headcount!$4:$4,0))</f>
        <v>44828.48862</v>
      </c>
      <c r="CE48" s="166">
        <f t="array" ref="CE48">CE$45*INDEX(Headcount!$1:$395,MATCH($C48,Headcount!$A:$A,0),MATCH(CE$4,Headcount!$4:$4,0))</f>
        <v>44828.48862</v>
      </c>
      <c r="CF48" s="166">
        <f t="array" ref="CF48">CF$45*INDEX(Headcount!$1:$395,MATCH($C48,Headcount!$A:$A,0),MATCH(CF$4,Headcount!$4:$4,0))</f>
        <v>46621.62817</v>
      </c>
      <c r="CG48" s="166">
        <f t="array" ref="CG48">CG$45*INDEX(Headcount!$1:$395,MATCH($C48,Headcount!$A:$A,0),MATCH(CG$4,Headcount!$4:$4,0))</f>
        <v>47990.19722</v>
      </c>
      <c r="CH48" s="166">
        <f t="array" ref="CH48">CH$45*INDEX(Headcount!$1:$395,MATCH($C48,Headcount!$A:$A,0),MATCH(CH$4,Headcount!$4:$4,0))</f>
        <v>47990.19722</v>
      </c>
      <c r="CI48" s="166">
        <f t="array" ref="CI48">CI$45*INDEX(Headcount!$1:$395,MATCH($C48,Headcount!$A:$A,0),MATCH(CI$4,Headcount!$4:$4,0))</f>
        <v>47990.19722</v>
      </c>
      <c r="CJ48" s="166">
        <f t="array" ref="CJ48">CJ$45*INDEX(Headcount!$1:$395,MATCH($C48,Headcount!$A:$A,0),MATCH(CJ$4,Headcount!$4:$4,0))</f>
        <v>51333.11692</v>
      </c>
      <c r="CK48" s="166">
        <f t="array" ref="CK48">CK$45*INDEX(Headcount!$1:$395,MATCH($C48,Headcount!$A:$A,0),MATCH(CK$4,Headcount!$4:$4,0))</f>
        <v>51333.11692</v>
      </c>
      <c r="CL48" s="166">
        <f t="array" ref="CL48">CL$45*INDEX(Headcount!$1:$395,MATCH($C48,Headcount!$A:$A,0),MATCH(CL$4,Headcount!$4:$4,0))</f>
        <v>51333.11692</v>
      </c>
      <c r="CM48" s="166">
        <f t="array" ref="CM48">CM$45*INDEX(Headcount!$1:$395,MATCH($C48,Headcount!$A:$A,0),MATCH(CM$4,Headcount!$4:$4,0))</f>
        <v>51333.11692</v>
      </c>
      <c r="CN48" s="166">
        <f t="array" ref="CN48">CN$45*INDEX(Headcount!$1:$395,MATCH($C48,Headcount!$A:$A,0),MATCH(CN$4,Headcount!$4:$4,0))</f>
        <v>53386.4416</v>
      </c>
      <c r="CO48" s="166">
        <f t="array" ref="CO48">CO$45*INDEX(Headcount!$1:$395,MATCH($C48,Headcount!$A:$A,0),MATCH(CO$4,Headcount!$4:$4,0))</f>
        <v>53386.4416</v>
      </c>
      <c r="CP48" s="166">
        <f t="array" ref="CP48">CP$45*INDEX(Headcount!$1:$395,MATCH($C48,Headcount!$A:$A,0),MATCH(CP$4,Headcount!$4:$4,0))</f>
        <v>53386.4416</v>
      </c>
      <c r="CQ48" s="166">
        <f t="array" ref="CQ48">CQ$45*INDEX(Headcount!$1:$395,MATCH($C48,Headcount!$A:$A,0),MATCH(CQ$4,Headcount!$4:$4,0))</f>
        <v>53386.4416</v>
      </c>
      <c r="CR48" s="166">
        <f t="array" ref="CR48">CR$45*INDEX(Headcount!$1:$395,MATCH($C48,Headcount!$A:$A,0),MATCH(CR$4,Headcount!$4:$4,0))</f>
        <v>55521.89926</v>
      </c>
      <c r="CS48" s="166">
        <f t="array" ref="CS48">CS$45*INDEX(Headcount!$1:$395,MATCH($C48,Headcount!$A:$A,0),MATCH(CS$4,Headcount!$4:$4,0))</f>
        <v>55521.89926</v>
      </c>
      <c r="CT48" s="166">
        <f t="array" ref="CT48">CT$45*INDEX(Headcount!$1:$395,MATCH($C48,Headcount!$A:$A,0),MATCH(CT$4,Headcount!$4:$4,0))</f>
        <v>55521.89926</v>
      </c>
      <c r="CU48" s="166">
        <f t="array" ref="CU48">CU$45*INDEX(Headcount!$1:$395,MATCH($C48,Headcount!$A:$A,0),MATCH(CU$4,Headcount!$4:$4,0))</f>
        <v>55521.89926</v>
      </c>
      <c r="CV48" s="166"/>
      <c r="CW48" s="166"/>
      <c r="CX48" s="166"/>
      <c r="CY48" s="166"/>
      <c r="CZ48" s="166"/>
      <c r="DA48" s="166"/>
      <c r="DB48" s="166"/>
      <c r="DC48" s="166"/>
    </row>
    <row r="49" ht="15.75" customHeight="1">
      <c r="A49" s="146" t="s">
        <v>174</v>
      </c>
      <c r="B49" s="146" t="s">
        <v>175</v>
      </c>
      <c r="C49" s="160" t="s">
        <v>226</v>
      </c>
      <c r="D49" s="161">
        <f t="shared" ref="D49:AL49" si="40">RANDBETWEEN(1000,2500)</f>
        <v>1038</v>
      </c>
      <c r="E49" s="161">
        <f t="shared" si="40"/>
        <v>1413</v>
      </c>
      <c r="F49" s="161">
        <f t="shared" si="40"/>
        <v>2270</v>
      </c>
      <c r="G49" s="161">
        <f t="shared" si="40"/>
        <v>1889</v>
      </c>
      <c r="H49" s="161">
        <f t="shared" si="40"/>
        <v>2260</v>
      </c>
      <c r="I49" s="161">
        <f t="shared" si="40"/>
        <v>2113</v>
      </c>
      <c r="J49" s="161">
        <f t="shared" si="40"/>
        <v>1469</v>
      </c>
      <c r="K49" s="161">
        <f t="shared" si="40"/>
        <v>1486</v>
      </c>
      <c r="L49" s="161">
        <f t="shared" si="40"/>
        <v>1881</v>
      </c>
      <c r="M49" s="161">
        <f t="shared" si="40"/>
        <v>1747</v>
      </c>
      <c r="N49" s="161">
        <f t="shared" si="40"/>
        <v>1498</v>
      </c>
      <c r="O49" s="161">
        <f t="shared" si="40"/>
        <v>1298</v>
      </c>
      <c r="P49" s="161">
        <f t="shared" si="40"/>
        <v>1576</v>
      </c>
      <c r="Q49" s="161">
        <f t="shared" si="40"/>
        <v>1482</v>
      </c>
      <c r="R49" s="161">
        <f t="shared" si="40"/>
        <v>1736</v>
      </c>
      <c r="S49" s="161">
        <f t="shared" si="40"/>
        <v>1475</v>
      </c>
      <c r="T49" s="161">
        <f t="shared" si="40"/>
        <v>1917</v>
      </c>
      <c r="U49" s="161">
        <f t="shared" si="40"/>
        <v>1545</v>
      </c>
      <c r="V49" s="161">
        <f t="shared" si="40"/>
        <v>2403</v>
      </c>
      <c r="W49" s="161">
        <f t="shared" si="40"/>
        <v>2220</v>
      </c>
      <c r="X49" s="161">
        <f t="shared" si="40"/>
        <v>1809</v>
      </c>
      <c r="Y49" s="161">
        <f t="shared" si="40"/>
        <v>2347</v>
      </c>
      <c r="Z49" s="161">
        <f t="shared" si="40"/>
        <v>2015</v>
      </c>
      <c r="AA49" s="161">
        <f t="shared" si="40"/>
        <v>2142</v>
      </c>
      <c r="AB49" s="161">
        <f t="shared" si="40"/>
        <v>1058</v>
      </c>
      <c r="AC49" s="161">
        <f t="shared" si="40"/>
        <v>2128</v>
      </c>
      <c r="AD49" s="161">
        <f t="shared" si="40"/>
        <v>2437</v>
      </c>
      <c r="AE49" s="161">
        <f t="shared" si="40"/>
        <v>1802</v>
      </c>
      <c r="AF49" s="161">
        <f t="shared" si="40"/>
        <v>1602</v>
      </c>
      <c r="AG49" s="161">
        <f t="shared" si="40"/>
        <v>1040</v>
      </c>
      <c r="AH49" s="161">
        <f t="shared" si="40"/>
        <v>2273</v>
      </c>
      <c r="AI49" s="161">
        <f t="shared" si="40"/>
        <v>1516</v>
      </c>
      <c r="AJ49" s="161">
        <f t="shared" si="40"/>
        <v>1825</v>
      </c>
      <c r="AK49" s="161">
        <f t="shared" si="40"/>
        <v>2419</v>
      </c>
      <c r="AL49" s="161">
        <f t="shared" si="40"/>
        <v>1701</v>
      </c>
      <c r="AM49" s="166">
        <f t="array" ref="AM49">AM$45*INDEX(Headcount!$1:$395,MATCH($C49,Headcount!$A:$A,0),MATCH(AM$4,Headcount!$4:$4,0))</f>
        <v>10747.05</v>
      </c>
      <c r="AN49" s="166">
        <f t="array" ref="AN49">AN$45*INDEX(Headcount!$1:$395,MATCH($C49,Headcount!$A:$A,0),MATCH(AN$4,Headcount!$4:$4,0))</f>
        <v>17470.66725</v>
      </c>
      <c r="AO49" s="166">
        <f t="array" ref="AO49">AO$45*INDEX(Headcount!$1:$395,MATCH($C49,Headcount!$A:$A,0),MATCH(AO$4,Headcount!$4:$4,0))</f>
        <v>20230.66725</v>
      </c>
      <c r="AP49" s="166">
        <f t="array" ref="AP49">AP$45*INDEX(Headcount!$1:$395,MATCH($C49,Headcount!$A:$A,0),MATCH(AP$4,Headcount!$4:$4,0))</f>
        <v>21430.66725</v>
      </c>
      <c r="AQ49" s="166">
        <f t="array" ref="AQ49">AQ$45*INDEX(Headcount!$1:$395,MATCH($C49,Headcount!$A:$A,0),MATCH(AQ$4,Headcount!$4:$4,0))</f>
        <v>23380.66725</v>
      </c>
      <c r="AR49" s="166">
        <f t="array" ref="AR49">AR$45*INDEX(Headcount!$1:$395,MATCH($C49,Headcount!$A:$A,0),MATCH(AR$4,Headcount!$4:$4,0))</f>
        <v>24432.79728</v>
      </c>
      <c r="AS49" s="166">
        <f t="array" ref="AS49">AS$45*INDEX(Headcount!$1:$395,MATCH($C49,Headcount!$A:$A,0),MATCH(AS$4,Headcount!$4:$4,0))</f>
        <v>24432.79728</v>
      </c>
      <c r="AT49" s="166">
        <f t="array" ref="AT49">AT$45*INDEX(Headcount!$1:$395,MATCH($C49,Headcount!$A:$A,0),MATCH(AT$4,Headcount!$4:$4,0))</f>
        <v>26055.19728</v>
      </c>
      <c r="AU49" s="166">
        <f t="array" ref="AU49">AU$45*INDEX(Headcount!$1:$395,MATCH($C49,Headcount!$A:$A,0),MATCH(AU$4,Headcount!$4:$4,0))</f>
        <v>28457.59728</v>
      </c>
      <c r="AV49" s="166">
        <f t="array" ref="AV49">AV$45*INDEX(Headcount!$1:$395,MATCH($C49,Headcount!$A:$A,0),MATCH(AV$4,Headcount!$4:$4,0))</f>
        <v>31360.58915</v>
      </c>
      <c r="AW49" s="166">
        <f t="array" ref="AW49">AW$45*INDEX(Headcount!$1:$395,MATCH($C49,Headcount!$A:$A,0),MATCH(AW$4,Headcount!$4:$4,0))</f>
        <v>32982.98915</v>
      </c>
      <c r="AX49" s="166">
        <f t="array" ref="AX49">AX$45*INDEX(Headcount!$1:$395,MATCH($C49,Headcount!$A:$A,0),MATCH(AX$4,Headcount!$4:$4,0))</f>
        <v>35385.38915</v>
      </c>
      <c r="AY49" s="166">
        <f t="array" ref="AY49">AY$45*INDEX(Headcount!$1:$395,MATCH($C49,Headcount!$A:$A,0),MATCH(AY$4,Headcount!$4:$4,0))</f>
        <v>37007.78915</v>
      </c>
      <c r="AZ49" s="166">
        <f t="array" ref="AZ49">AZ$45*INDEX(Headcount!$1:$395,MATCH($C49,Headcount!$A:$A,0),MATCH(AZ$4,Headcount!$4:$4,0))</f>
        <v>40175.39672</v>
      </c>
      <c r="BA49" s="166">
        <f t="array" ref="BA49">BA$45*INDEX(Headcount!$1:$395,MATCH($C49,Headcount!$A:$A,0),MATCH(BA$4,Headcount!$4:$4,0))</f>
        <v>40175.39672</v>
      </c>
      <c r="BB49" s="166">
        <f t="array" ref="BB49">BB$45*INDEX(Headcount!$1:$395,MATCH($C49,Headcount!$A:$A,0),MATCH(BB$4,Headcount!$4:$4,0))</f>
        <v>40175.39672</v>
      </c>
      <c r="BC49" s="166">
        <f t="array" ref="BC49">BC$45*INDEX(Headcount!$1:$395,MATCH($C49,Headcount!$A:$A,0),MATCH(BC$4,Headcount!$4:$4,0))</f>
        <v>40175.39672</v>
      </c>
      <c r="BD49" s="166">
        <f t="array" ref="BD49">BD$45*INDEX(Headcount!$1:$395,MATCH($C49,Headcount!$A:$A,0),MATCH(BD$4,Headcount!$4:$4,0))</f>
        <v>41782.41259</v>
      </c>
      <c r="BE49" s="166">
        <f t="array" ref="BE49">BE$45*INDEX(Headcount!$1:$395,MATCH($C49,Headcount!$A:$A,0),MATCH(BE$4,Headcount!$4:$4,0))</f>
        <v>41782.41259</v>
      </c>
      <c r="BF49" s="166">
        <f t="array" ref="BF49">BF$45*INDEX(Headcount!$1:$395,MATCH($C49,Headcount!$A:$A,0),MATCH(BF$4,Headcount!$4:$4,0))</f>
        <v>41782.41259</v>
      </c>
      <c r="BG49" s="166">
        <f t="array" ref="BG49">BG$45*INDEX(Headcount!$1:$395,MATCH($C49,Headcount!$A:$A,0),MATCH(BG$4,Headcount!$4:$4,0))</f>
        <v>41782.41259</v>
      </c>
      <c r="BH49" s="166">
        <f t="array" ref="BH49">BH$45*INDEX(Headcount!$1:$395,MATCH($C49,Headcount!$A:$A,0),MATCH(BH$4,Headcount!$4:$4,0))</f>
        <v>43453.70909</v>
      </c>
      <c r="BI49" s="166">
        <f t="array" ref="BI49">BI$45*INDEX(Headcount!$1:$395,MATCH($C49,Headcount!$A:$A,0),MATCH(BI$4,Headcount!$4:$4,0))</f>
        <v>43453.70909</v>
      </c>
      <c r="BJ49" s="166">
        <f t="array" ref="BJ49">BJ$45*INDEX(Headcount!$1:$395,MATCH($C49,Headcount!$A:$A,0),MATCH(BJ$4,Headcount!$4:$4,0))</f>
        <v>43453.70909</v>
      </c>
      <c r="BK49" s="166">
        <f t="array" ref="BK49">BK$45*INDEX(Headcount!$1:$395,MATCH($C49,Headcount!$A:$A,0),MATCH(BK$4,Headcount!$4:$4,0))</f>
        <v>43453.70909</v>
      </c>
      <c r="BL49" s="166">
        <f t="array" ref="BL49">BL$45*INDEX(Headcount!$1:$395,MATCH($C49,Headcount!$A:$A,0),MATCH(BL$4,Headcount!$4:$4,0))</f>
        <v>45191.85746</v>
      </c>
      <c r="BM49" s="166">
        <f t="array" ref="BM49">BM$45*INDEX(Headcount!$1:$395,MATCH($C49,Headcount!$A:$A,0),MATCH(BM$4,Headcount!$4:$4,0))</f>
        <v>45191.85746</v>
      </c>
      <c r="BN49" s="166">
        <f t="array" ref="BN49">BN$45*INDEX(Headcount!$1:$395,MATCH($C49,Headcount!$A:$A,0),MATCH(BN$4,Headcount!$4:$4,0))</f>
        <v>45191.85746</v>
      </c>
      <c r="BO49" s="166">
        <f t="array" ref="BO49">BO$45*INDEX(Headcount!$1:$395,MATCH($C49,Headcount!$A:$A,0),MATCH(BO$4,Headcount!$4:$4,0))</f>
        <v>45191.85746</v>
      </c>
      <c r="BP49" s="166">
        <f t="array" ref="BP49">BP$45*INDEX(Headcount!$1:$395,MATCH($C49,Headcount!$A:$A,0),MATCH(BP$4,Headcount!$4:$4,0))</f>
        <v>48824.51111</v>
      </c>
      <c r="BQ49" s="166">
        <f t="array" ref="BQ49">BQ$45*INDEX(Headcount!$1:$395,MATCH($C49,Headcount!$A:$A,0),MATCH(BQ$4,Headcount!$4:$4,0))</f>
        <v>48824.51111</v>
      </c>
      <c r="BR49" s="166">
        <f t="array" ref="BR49">BR$45*INDEX(Headcount!$1:$395,MATCH($C49,Headcount!$A:$A,0),MATCH(BR$4,Headcount!$4:$4,0))</f>
        <v>49737.00078</v>
      </c>
      <c r="BS49" s="166">
        <f t="array" ref="BS49">BS$45*INDEX(Headcount!$1:$395,MATCH($C49,Headcount!$A:$A,0),MATCH(BS$4,Headcount!$4:$4,0))</f>
        <v>51634.97931</v>
      </c>
      <c r="BT49" s="166">
        <f t="array" ref="BT49">BT$45*INDEX(Headcount!$1:$395,MATCH($C49,Headcount!$A:$A,0),MATCH(BT$4,Headcount!$4:$4,0))</f>
        <v>53700.37848</v>
      </c>
      <c r="BU49" s="166">
        <f t="array" ref="BU49">BU$45*INDEX(Headcount!$1:$395,MATCH($C49,Headcount!$A:$A,0),MATCH(BU$4,Headcount!$4:$4,0))</f>
        <v>55598.35701</v>
      </c>
      <c r="BV49" s="166">
        <f t="array" ref="BV49">BV$45*INDEX(Headcount!$1:$395,MATCH($C49,Headcount!$A:$A,0),MATCH(BV$4,Headcount!$4:$4,0))</f>
        <v>55598.35701</v>
      </c>
      <c r="BW49" s="166">
        <f t="array" ref="BW49">BW$45*INDEX(Headcount!$1:$395,MATCH($C49,Headcount!$A:$A,0),MATCH(BW$4,Headcount!$4:$4,0))</f>
        <v>55598.35701</v>
      </c>
      <c r="BX49" s="166">
        <f t="array" ref="BX49">BX$45*INDEX(Headcount!$1:$395,MATCH($C49,Headcount!$A:$A,0),MATCH(BX$4,Headcount!$4:$4,0))</f>
        <v>59796.18896</v>
      </c>
      <c r="BY49" s="166">
        <f t="array" ref="BY49">BY$45*INDEX(Headcount!$1:$395,MATCH($C49,Headcount!$A:$A,0),MATCH(BY$4,Headcount!$4:$4,0))</f>
        <v>59796.18896</v>
      </c>
      <c r="BZ49" s="166">
        <f t="array" ref="BZ49">BZ$45*INDEX(Headcount!$1:$395,MATCH($C49,Headcount!$A:$A,0),MATCH(BZ$4,Headcount!$4:$4,0))</f>
        <v>59796.18896</v>
      </c>
      <c r="CA49" s="166">
        <f t="array" ref="CA49">CA$45*INDEX(Headcount!$1:$395,MATCH($C49,Headcount!$A:$A,0),MATCH(CA$4,Headcount!$4:$4,0))</f>
        <v>61770.08663</v>
      </c>
      <c r="CB49" s="166">
        <f t="array" ref="CB49">CB$45*INDEX(Headcount!$1:$395,MATCH($C49,Headcount!$A:$A,0),MATCH(CB$4,Headcount!$4:$4,0))</f>
        <v>65189.87936</v>
      </c>
      <c r="CC49" s="166">
        <f t="array" ref="CC49">CC$45*INDEX(Headcount!$1:$395,MATCH($C49,Headcount!$A:$A,0),MATCH(CC$4,Headcount!$4:$4,0))</f>
        <v>65189.87936</v>
      </c>
      <c r="CD49" s="166">
        <f t="array" ref="CD49">CD$45*INDEX(Headcount!$1:$395,MATCH($C49,Headcount!$A:$A,0),MATCH(CD$4,Headcount!$4:$4,0))</f>
        <v>67242.73294</v>
      </c>
      <c r="CE49" s="166">
        <f t="array" ref="CE49">CE$45*INDEX(Headcount!$1:$395,MATCH($C49,Headcount!$A:$A,0),MATCH(CE$4,Headcount!$4:$4,0))</f>
        <v>67242.73294</v>
      </c>
      <c r="CF49" s="166">
        <f t="array" ref="CF49">CF$45*INDEX(Headcount!$1:$395,MATCH($C49,Headcount!$A:$A,0),MATCH(CF$4,Headcount!$4:$4,0))</f>
        <v>69932.44225</v>
      </c>
      <c r="CG49" s="166">
        <f t="array" ref="CG49">CG$45*INDEX(Headcount!$1:$395,MATCH($C49,Headcount!$A:$A,0),MATCH(CG$4,Headcount!$4:$4,0))</f>
        <v>71985.29583</v>
      </c>
      <c r="CH49" s="166">
        <f t="array" ref="CH49">CH$45*INDEX(Headcount!$1:$395,MATCH($C49,Headcount!$A:$A,0),MATCH(CH$4,Headcount!$4:$4,0))</f>
        <v>71985.29583</v>
      </c>
      <c r="CI49" s="166">
        <f t="array" ref="CI49">CI$45*INDEX(Headcount!$1:$395,MATCH($C49,Headcount!$A:$A,0),MATCH(CI$4,Headcount!$4:$4,0))</f>
        <v>71985.29583</v>
      </c>
      <c r="CJ49" s="166">
        <f t="array" ref="CJ49">CJ$45*INDEX(Headcount!$1:$395,MATCH($C49,Headcount!$A:$A,0),MATCH(CJ$4,Headcount!$4:$4,0))</f>
        <v>76999.67538</v>
      </c>
      <c r="CK49" s="166">
        <f t="array" ref="CK49">CK$45*INDEX(Headcount!$1:$395,MATCH($C49,Headcount!$A:$A,0),MATCH(CK$4,Headcount!$4:$4,0))</f>
        <v>76999.67538</v>
      </c>
      <c r="CL49" s="166">
        <f t="array" ref="CL49">CL$45*INDEX(Headcount!$1:$395,MATCH($C49,Headcount!$A:$A,0),MATCH(CL$4,Headcount!$4:$4,0))</f>
        <v>76999.67538</v>
      </c>
      <c r="CM49" s="166">
        <f t="array" ref="CM49">CM$45*INDEX(Headcount!$1:$395,MATCH($C49,Headcount!$A:$A,0),MATCH(CM$4,Headcount!$4:$4,0))</f>
        <v>76999.67538</v>
      </c>
      <c r="CN49" s="166">
        <f t="array" ref="CN49">CN$45*INDEX(Headcount!$1:$395,MATCH($C49,Headcount!$A:$A,0),MATCH(CN$4,Headcount!$4:$4,0))</f>
        <v>80079.6624</v>
      </c>
      <c r="CO49" s="166">
        <f t="array" ref="CO49">CO$45*INDEX(Headcount!$1:$395,MATCH($C49,Headcount!$A:$A,0),MATCH(CO$4,Headcount!$4:$4,0))</f>
        <v>80079.6624</v>
      </c>
      <c r="CP49" s="166">
        <f t="array" ref="CP49">CP$45*INDEX(Headcount!$1:$395,MATCH($C49,Headcount!$A:$A,0),MATCH(CP$4,Headcount!$4:$4,0))</f>
        <v>80079.6624</v>
      </c>
      <c r="CQ49" s="166">
        <f t="array" ref="CQ49">CQ$45*INDEX(Headcount!$1:$395,MATCH($C49,Headcount!$A:$A,0),MATCH(CQ$4,Headcount!$4:$4,0))</f>
        <v>80079.6624</v>
      </c>
      <c r="CR49" s="166">
        <f t="array" ref="CR49">CR$45*INDEX(Headcount!$1:$395,MATCH($C49,Headcount!$A:$A,0),MATCH(CR$4,Headcount!$4:$4,0))</f>
        <v>83282.84889</v>
      </c>
      <c r="CS49" s="166">
        <f t="array" ref="CS49">CS$45*INDEX(Headcount!$1:$395,MATCH($C49,Headcount!$A:$A,0),MATCH(CS$4,Headcount!$4:$4,0))</f>
        <v>83282.84889</v>
      </c>
      <c r="CT49" s="166">
        <f t="array" ref="CT49">CT$45*INDEX(Headcount!$1:$395,MATCH($C49,Headcount!$A:$A,0),MATCH(CT$4,Headcount!$4:$4,0))</f>
        <v>83282.84889</v>
      </c>
      <c r="CU49" s="166">
        <f t="array" ref="CU49">CU$45*INDEX(Headcount!$1:$395,MATCH($C49,Headcount!$A:$A,0),MATCH(CU$4,Headcount!$4:$4,0))</f>
        <v>83282.84889</v>
      </c>
      <c r="CV49" s="166"/>
      <c r="CW49" s="166"/>
      <c r="CX49" s="166"/>
      <c r="CY49" s="166"/>
      <c r="CZ49" s="166"/>
      <c r="DA49" s="166"/>
      <c r="DB49" s="166"/>
      <c r="DC49" s="166"/>
    </row>
    <row r="50" ht="15.75" customHeight="1">
      <c r="A50" s="146" t="s">
        <v>174</v>
      </c>
      <c r="B50" s="146" t="s">
        <v>175</v>
      </c>
      <c r="C50" s="160" t="s">
        <v>227</v>
      </c>
      <c r="D50" s="161">
        <f t="shared" ref="D50:AL50" si="41">RANDBETWEEN(1000,2500)</f>
        <v>1389</v>
      </c>
      <c r="E50" s="161">
        <f t="shared" si="41"/>
        <v>1542</v>
      </c>
      <c r="F50" s="161">
        <f t="shared" si="41"/>
        <v>1373</v>
      </c>
      <c r="G50" s="161">
        <f t="shared" si="41"/>
        <v>2253</v>
      </c>
      <c r="H50" s="161">
        <f t="shared" si="41"/>
        <v>2259</v>
      </c>
      <c r="I50" s="161">
        <f t="shared" si="41"/>
        <v>1505</v>
      </c>
      <c r="J50" s="161">
        <f t="shared" si="41"/>
        <v>1474</v>
      </c>
      <c r="K50" s="161">
        <f t="shared" si="41"/>
        <v>1525</v>
      </c>
      <c r="L50" s="161">
        <f t="shared" si="41"/>
        <v>2172</v>
      </c>
      <c r="M50" s="161">
        <f t="shared" si="41"/>
        <v>1579</v>
      </c>
      <c r="N50" s="161">
        <f t="shared" si="41"/>
        <v>1532</v>
      </c>
      <c r="O50" s="161">
        <f t="shared" si="41"/>
        <v>2108</v>
      </c>
      <c r="P50" s="161">
        <f t="shared" si="41"/>
        <v>2247</v>
      </c>
      <c r="Q50" s="161">
        <f t="shared" si="41"/>
        <v>1622</v>
      </c>
      <c r="R50" s="161">
        <f t="shared" si="41"/>
        <v>1780</v>
      </c>
      <c r="S50" s="161">
        <f t="shared" si="41"/>
        <v>1778</v>
      </c>
      <c r="T50" s="161">
        <f t="shared" si="41"/>
        <v>1873</v>
      </c>
      <c r="U50" s="161">
        <f t="shared" si="41"/>
        <v>1089</v>
      </c>
      <c r="V50" s="161">
        <f t="shared" si="41"/>
        <v>1418</v>
      </c>
      <c r="W50" s="161">
        <f t="shared" si="41"/>
        <v>2388</v>
      </c>
      <c r="X50" s="161">
        <f t="shared" si="41"/>
        <v>1270</v>
      </c>
      <c r="Y50" s="161">
        <f t="shared" si="41"/>
        <v>1765</v>
      </c>
      <c r="Z50" s="161">
        <f t="shared" si="41"/>
        <v>1819</v>
      </c>
      <c r="AA50" s="161">
        <f t="shared" si="41"/>
        <v>1477</v>
      </c>
      <c r="AB50" s="161">
        <f t="shared" si="41"/>
        <v>2181</v>
      </c>
      <c r="AC50" s="161">
        <f t="shared" si="41"/>
        <v>2007</v>
      </c>
      <c r="AD50" s="161">
        <f t="shared" si="41"/>
        <v>1221</v>
      </c>
      <c r="AE50" s="161">
        <f t="shared" si="41"/>
        <v>1819</v>
      </c>
      <c r="AF50" s="161">
        <f t="shared" si="41"/>
        <v>1747</v>
      </c>
      <c r="AG50" s="161">
        <f t="shared" si="41"/>
        <v>1662</v>
      </c>
      <c r="AH50" s="161">
        <f t="shared" si="41"/>
        <v>1647</v>
      </c>
      <c r="AI50" s="161">
        <f t="shared" si="41"/>
        <v>1194</v>
      </c>
      <c r="AJ50" s="161">
        <f t="shared" si="41"/>
        <v>1990</v>
      </c>
      <c r="AK50" s="161">
        <f t="shared" si="41"/>
        <v>1129</v>
      </c>
      <c r="AL50" s="161">
        <f t="shared" si="41"/>
        <v>1129</v>
      </c>
      <c r="AM50" s="166">
        <f t="array" ref="AM50">AM$45*INDEX(Headcount!$1:$395,MATCH($C50,Headcount!$A:$A,0),MATCH(AM$4,Headcount!$4:$4,0))</f>
        <v>1432.94</v>
      </c>
      <c r="AN50" s="166">
        <f t="array" ref="AN50">AN$45*INDEX(Headcount!$1:$395,MATCH($C50,Headcount!$A:$A,0),MATCH(AN$4,Headcount!$4:$4,0))</f>
        <v>2329.4223</v>
      </c>
      <c r="AO50" s="166">
        <f t="array" ref="AO50">AO$45*INDEX(Headcount!$1:$395,MATCH($C50,Headcount!$A:$A,0),MATCH(AO$4,Headcount!$4:$4,0))</f>
        <v>2697.4223</v>
      </c>
      <c r="AP50" s="166">
        <f t="array" ref="AP50">AP$45*INDEX(Headcount!$1:$395,MATCH($C50,Headcount!$A:$A,0),MATCH(AP$4,Headcount!$4:$4,0))</f>
        <v>2857.4223</v>
      </c>
      <c r="AQ50" s="166">
        <f t="array" ref="AQ50">AQ$45*INDEX(Headcount!$1:$395,MATCH($C50,Headcount!$A:$A,0),MATCH(AQ$4,Headcount!$4:$4,0))</f>
        <v>3117.4223</v>
      </c>
      <c r="AR50" s="166">
        <f t="array" ref="AR50">AR$45*INDEX(Headcount!$1:$395,MATCH($C50,Headcount!$A:$A,0),MATCH(AR$4,Headcount!$4:$4,0))</f>
        <v>3257.706304</v>
      </c>
      <c r="AS50" s="166">
        <f t="array" ref="AS50">AS$45*INDEX(Headcount!$1:$395,MATCH($C50,Headcount!$A:$A,0),MATCH(AS$4,Headcount!$4:$4,0))</f>
        <v>3257.706304</v>
      </c>
      <c r="AT50" s="166">
        <f t="array" ref="AT50">AT$45*INDEX(Headcount!$1:$395,MATCH($C50,Headcount!$A:$A,0),MATCH(AT$4,Headcount!$4:$4,0))</f>
        <v>3474.026304</v>
      </c>
      <c r="AU50" s="166">
        <f t="array" ref="AU50">AU$45*INDEX(Headcount!$1:$395,MATCH($C50,Headcount!$A:$A,0),MATCH(AU$4,Headcount!$4:$4,0))</f>
        <v>3794.346304</v>
      </c>
      <c r="AV50" s="166">
        <f t="array" ref="AV50">AV$45*INDEX(Headcount!$1:$395,MATCH($C50,Headcount!$A:$A,0),MATCH(AV$4,Headcount!$4:$4,0))</f>
        <v>4181.411887</v>
      </c>
      <c r="AW50" s="166">
        <f t="array" ref="AW50">AW$45*INDEX(Headcount!$1:$395,MATCH($C50,Headcount!$A:$A,0),MATCH(AW$4,Headcount!$4:$4,0))</f>
        <v>4397.731887</v>
      </c>
      <c r="AX50" s="166">
        <f t="array" ref="AX50">AX$45*INDEX(Headcount!$1:$395,MATCH($C50,Headcount!$A:$A,0),MATCH(AX$4,Headcount!$4:$4,0))</f>
        <v>4718.051887</v>
      </c>
      <c r="AY50" s="166">
        <f t="array" ref="AY50">AY$45*INDEX(Headcount!$1:$395,MATCH($C50,Headcount!$A:$A,0),MATCH(AY$4,Headcount!$4:$4,0))</f>
        <v>4934.371887</v>
      </c>
      <c r="AZ50" s="166">
        <f t="array" ref="AZ50">AZ$45*INDEX(Headcount!$1:$395,MATCH($C50,Headcount!$A:$A,0),MATCH(AZ$4,Headcount!$4:$4,0))</f>
        <v>5356.719563</v>
      </c>
      <c r="BA50" s="166">
        <f t="array" ref="BA50">BA$45*INDEX(Headcount!$1:$395,MATCH($C50,Headcount!$A:$A,0),MATCH(BA$4,Headcount!$4:$4,0))</f>
        <v>5356.719563</v>
      </c>
      <c r="BB50" s="166">
        <f t="array" ref="BB50">BB$45*INDEX(Headcount!$1:$395,MATCH($C50,Headcount!$A:$A,0),MATCH(BB$4,Headcount!$4:$4,0))</f>
        <v>5356.719563</v>
      </c>
      <c r="BC50" s="166">
        <f t="array" ref="BC50">BC$45*INDEX(Headcount!$1:$395,MATCH($C50,Headcount!$A:$A,0),MATCH(BC$4,Headcount!$4:$4,0))</f>
        <v>5356.719563</v>
      </c>
      <c r="BD50" s="166">
        <f t="array" ref="BD50">BD$45*INDEX(Headcount!$1:$395,MATCH($C50,Headcount!$A:$A,0),MATCH(BD$4,Headcount!$4:$4,0))</f>
        <v>5570.988345</v>
      </c>
      <c r="BE50" s="166">
        <f t="array" ref="BE50">BE$45*INDEX(Headcount!$1:$395,MATCH($C50,Headcount!$A:$A,0),MATCH(BE$4,Headcount!$4:$4,0))</f>
        <v>5570.988345</v>
      </c>
      <c r="BF50" s="166">
        <f t="array" ref="BF50">BF$45*INDEX(Headcount!$1:$395,MATCH($C50,Headcount!$A:$A,0),MATCH(BF$4,Headcount!$4:$4,0))</f>
        <v>5570.988345</v>
      </c>
      <c r="BG50" s="166">
        <f t="array" ref="BG50">BG$45*INDEX(Headcount!$1:$395,MATCH($C50,Headcount!$A:$A,0),MATCH(BG$4,Headcount!$4:$4,0))</f>
        <v>5570.988345</v>
      </c>
      <c r="BH50" s="166">
        <f t="array" ref="BH50">BH$45*INDEX(Headcount!$1:$395,MATCH($C50,Headcount!$A:$A,0),MATCH(BH$4,Headcount!$4:$4,0))</f>
        <v>5793.827879</v>
      </c>
      <c r="BI50" s="166">
        <f t="array" ref="BI50">BI$45*INDEX(Headcount!$1:$395,MATCH($C50,Headcount!$A:$A,0),MATCH(BI$4,Headcount!$4:$4,0))</f>
        <v>5793.827879</v>
      </c>
      <c r="BJ50" s="166">
        <f t="array" ref="BJ50">BJ$45*INDEX(Headcount!$1:$395,MATCH($C50,Headcount!$A:$A,0),MATCH(BJ$4,Headcount!$4:$4,0))</f>
        <v>5793.827879</v>
      </c>
      <c r="BK50" s="166">
        <f t="array" ref="BK50">BK$45*INDEX(Headcount!$1:$395,MATCH($C50,Headcount!$A:$A,0),MATCH(BK$4,Headcount!$4:$4,0))</f>
        <v>5793.827879</v>
      </c>
      <c r="BL50" s="166">
        <f t="array" ref="BL50">BL$45*INDEX(Headcount!$1:$395,MATCH($C50,Headcount!$A:$A,0),MATCH(BL$4,Headcount!$4:$4,0))</f>
        <v>6025.580994</v>
      </c>
      <c r="BM50" s="166">
        <f t="array" ref="BM50">BM$45*INDEX(Headcount!$1:$395,MATCH($C50,Headcount!$A:$A,0),MATCH(BM$4,Headcount!$4:$4,0))</f>
        <v>6025.580994</v>
      </c>
      <c r="BN50" s="166">
        <f t="array" ref="BN50">BN$45*INDEX(Headcount!$1:$395,MATCH($C50,Headcount!$A:$A,0),MATCH(BN$4,Headcount!$4:$4,0))</f>
        <v>6025.580994</v>
      </c>
      <c r="BO50" s="166">
        <f t="array" ref="BO50">BO$45*INDEX(Headcount!$1:$395,MATCH($C50,Headcount!$A:$A,0),MATCH(BO$4,Headcount!$4:$4,0))</f>
        <v>6025.580994</v>
      </c>
      <c r="BP50" s="166">
        <f t="array" ref="BP50">BP$45*INDEX(Headcount!$1:$395,MATCH($C50,Headcount!$A:$A,0),MATCH(BP$4,Headcount!$4:$4,0))</f>
        <v>6509.934814</v>
      </c>
      <c r="BQ50" s="166">
        <f t="array" ref="BQ50">BQ$45*INDEX(Headcount!$1:$395,MATCH($C50,Headcount!$A:$A,0),MATCH(BQ$4,Headcount!$4:$4,0))</f>
        <v>6509.934814</v>
      </c>
      <c r="BR50" s="166">
        <f t="array" ref="BR50">BR$45*INDEX(Headcount!$1:$395,MATCH($C50,Headcount!$A:$A,0),MATCH(BR$4,Headcount!$4:$4,0))</f>
        <v>6631.600105</v>
      </c>
      <c r="BS50" s="166">
        <f t="array" ref="BS50">BS$45*INDEX(Headcount!$1:$395,MATCH($C50,Headcount!$A:$A,0),MATCH(BS$4,Headcount!$4:$4,0))</f>
        <v>6884.663908</v>
      </c>
      <c r="BT50" s="166">
        <f t="array" ref="BT50">BT$45*INDEX(Headcount!$1:$395,MATCH($C50,Headcount!$A:$A,0),MATCH(BT$4,Headcount!$4:$4,0))</f>
        <v>7160.050465</v>
      </c>
      <c r="BU50" s="166">
        <f t="array" ref="BU50">BU$45*INDEX(Headcount!$1:$395,MATCH($C50,Headcount!$A:$A,0),MATCH(BU$4,Headcount!$4:$4,0))</f>
        <v>7413.114268</v>
      </c>
      <c r="BV50" s="166">
        <f t="array" ref="BV50">BV$45*INDEX(Headcount!$1:$395,MATCH($C50,Headcount!$A:$A,0),MATCH(BV$4,Headcount!$4:$4,0))</f>
        <v>7413.114268</v>
      </c>
      <c r="BW50" s="166">
        <f t="array" ref="BW50">BW$45*INDEX(Headcount!$1:$395,MATCH($C50,Headcount!$A:$A,0),MATCH(BW$4,Headcount!$4:$4,0))</f>
        <v>7413.114268</v>
      </c>
      <c r="BX50" s="166">
        <f t="array" ref="BX50">BX$45*INDEX(Headcount!$1:$395,MATCH($C50,Headcount!$A:$A,0),MATCH(BX$4,Headcount!$4:$4,0))</f>
        <v>7972.825195</v>
      </c>
      <c r="BY50" s="166">
        <f t="array" ref="BY50">BY$45*INDEX(Headcount!$1:$395,MATCH($C50,Headcount!$A:$A,0),MATCH(BY$4,Headcount!$4:$4,0))</f>
        <v>7972.825195</v>
      </c>
      <c r="BZ50" s="166">
        <f t="array" ref="BZ50">BZ$45*INDEX(Headcount!$1:$395,MATCH($C50,Headcount!$A:$A,0),MATCH(BZ$4,Headcount!$4:$4,0))</f>
        <v>7972.825195</v>
      </c>
      <c r="CA50" s="166">
        <f t="array" ref="CA50">CA$45*INDEX(Headcount!$1:$395,MATCH($C50,Headcount!$A:$A,0),MATCH(CA$4,Headcount!$4:$4,0))</f>
        <v>8236.011551</v>
      </c>
      <c r="CB50" s="166">
        <f t="array" ref="CB50">CB$45*INDEX(Headcount!$1:$395,MATCH($C50,Headcount!$A:$A,0),MATCH(CB$4,Headcount!$4:$4,0))</f>
        <v>8691.983915</v>
      </c>
      <c r="CC50" s="166">
        <f t="array" ref="CC50">CC$45*INDEX(Headcount!$1:$395,MATCH($C50,Headcount!$A:$A,0),MATCH(CC$4,Headcount!$4:$4,0))</f>
        <v>8691.983915</v>
      </c>
      <c r="CD50" s="166">
        <f t="array" ref="CD50">CD$45*INDEX(Headcount!$1:$395,MATCH($C50,Headcount!$A:$A,0),MATCH(CD$4,Headcount!$4:$4,0))</f>
        <v>8965.697725</v>
      </c>
      <c r="CE50" s="166">
        <f t="array" ref="CE50">CE$45*INDEX(Headcount!$1:$395,MATCH($C50,Headcount!$A:$A,0),MATCH(CE$4,Headcount!$4:$4,0))</f>
        <v>8965.697725</v>
      </c>
      <c r="CF50" s="166">
        <f t="array" ref="CF50">CF$45*INDEX(Headcount!$1:$395,MATCH($C50,Headcount!$A:$A,0),MATCH(CF$4,Headcount!$4:$4,0))</f>
        <v>9324.325634</v>
      </c>
      <c r="CG50" s="166">
        <f t="array" ref="CG50">CG$45*INDEX(Headcount!$1:$395,MATCH($C50,Headcount!$A:$A,0),MATCH(CG$4,Headcount!$4:$4,0))</f>
        <v>9598.039444</v>
      </c>
      <c r="CH50" s="166">
        <f t="array" ref="CH50">CH$45*INDEX(Headcount!$1:$395,MATCH($C50,Headcount!$A:$A,0),MATCH(CH$4,Headcount!$4:$4,0))</f>
        <v>9598.039444</v>
      </c>
      <c r="CI50" s="166">
        <f t="array" ref="CI50">CI$45*INDEX(Headcount!$1:$395,MATCH($C50,Headcount!$A:$A,0),MATCH(CI$4,Headcount!$4:$4,0))</f>
        <v>9598.039444</v>
      </c>
      <c r="CJ50" s="166">
        <f t="array" ref="CJ50">CJ$45*INDEX(Headcount!$1:$395,MATCH($C50,Headcount!$A:$A,0),MATCH(CJ$4,Headcount!$4:$4,0))</f>
        <v>10266.62338</v>
      </c>
      <c r="CK50" s="166">
        <f t="array" ref="CK50">CK$45*INDEX(Headcount!$1:$395,MATCH($C50,Headcount!$A:$A,0),MATCH(CK$4,Headcount!$4:$4,0))</f>
        <v>10266.62338</v>
      </c>
      <c r="CL50" s="166">
        <f t="array" ref="CL50">CL$45*INDEX(Headcount!$1:$395,MATCH($C50,Headcount!$A:$A,0),MATCH(CL$4,Headcount!$4:$4,0))</f>
        <v>10266.62338</v>
      </c>
      <c r="CM50" s="166">
        <f t="array" ref="CM50">CM$45*INDEX(Headcount!$1:$395,MATCH($C50,Headcount!$A:$A,0),MATCH(CM$4,Headcount!$4:$4,0))</f>
        <v>10266.62338</v>
      </c>
      <c r="CN50" s="166">
        <f t="array" ref="CN50">CN$45*INDEX(Headcount!$1:$395,MATCH($C50,Headcount!$A:$A,0),MATCH(CN$4,Headcount!$4:$4,0))</f>
        <v>10677.28832</v>
      </c>
      <c r="CO50" s="166">
        <f t="array" ref="CO50">CO$45*INDEX(Headcount!$1:$395,MATCH($C50,Headcount!$A:$A,0),MATCH(CO$4,Headcount!$4:$4,0))</f>
        <v>10677.28832</v>
      </c>
      <c r="CP50" s="166">
        <f t="array" ref="CP50">CP$45*INDEX(Headcount!$1:$395,MATCH($C50,Headcount!$A:$A,0),MATCH(CP$4,Headcount!$4:$4,0))</f>
        <v>10677.28832</v>
      </c>
      <c r="CQ50" s="166">
        <f t="array" ref="CQ50">CQ$45*INDEX(Headcount!$1:$395,MATCH($C50,Headcount!$A:$A,0),MATCH(CQ$4,Headcount!$4:$4,0))</f>
        <v>10677.28832</v>
      </c>
      <c r="CR50" s="166">
        <f t="array" ref="CR50">CR$45*INDEX(Headcount!$1:$395,MATCH($C50,Headcount!$A:$A,0),MATCH(CR$4,Headcount!$4:$4,0))</f>
        <v>11104.37985</v>
      </c>
      <c r="CS50" s="166">
        <f t="array" ref="CS50">CS$45*INDEX(Headcount!$1:$395,MATCH($C50,Headcount!$A:$A,0),MATCH(CS$4,Headcount!$4:$4,0))</f>
        <v>11104.37985</v>
      </c>
      <c r="CT50" s="166">
        <f t="array" ref="CT50">CT$45*INDEX(Headcount!$1:$395,MATCH($C50,Headcount!$A:$A,0),MATCH(CT$4,Headcount!$4:$4,0))</f>
        <v>11104.37985</v>
      </c>
      <c r="CU50" s="166">
        <f t="array" ref="CU50">CU$45*INDEX(Headcount!$1:$395,MATCH($C50,Headcount!$A:$A,0),MATCH(CU$4,Headcount!$4:$4,0))</f>
        <v>11104.37985</v>
      </c>
      <c r="CV50" s="166"/>
      <c r="CW50" s="166"/>
      <c r="CX50" s="166"/>
      <c r="CY50" s="166"/>
      <c r="CZ50" s="166"/>
      <c r="DA50" s="166"/>
      <c r="DB50" s="166"/>
      <c r="DC50" s="166"/>
    </row>
    <row r="51" ht="15.75" customHeight="1">
      <c r="A51" s="146" t="s">
        <v>174</v>
      </c>
      <c r="B51" s="146" t="s">
        <v>175</v>
      </c>
      <c r="C51" s="160" t="s">
        <v>228</v>
      </c>
      <c r="D51" s="161">
        <f t="shared" ref="D51:AL51" si="42">RANDBETWEEN(1000,2500)</f>
        <v>1868</v>
      </c>
      <c r="E51" s="161">
        <f t="shared" si="42"/>
        <v>1992</v>
      </c>
      <c r="F51" s="161">
        <f t="shared" si="42"/>
        <v>1563</v>
      </c>
      <c r="G51" s="161">
        <f t="shared" si="42"/>
        <v>1942</v>
      </c>
      <c r="H51" s="161">
        <f t="shared" si="42"/>
        <v>1532</v>
      </c>
      <c r="I51" s="161">
        <f t="shared" si="42"/>
        <v>1789</v>
      </c>
      <c r="J51" s="161">
        <f t="shared" si="42"/>
        <v>1427</v>
      </c>
      <c r="K51" s="161">
        <f t="shared" si="42"/>
        <v>2415</v>
      </c>
      <c r="L51" s="161">
        <f t="shared" si="42"/>
        <v>2161</v>
      </c>
      <c r="M51" s="161">
        <f t="shared" si="42"/>
        <v>1869</v>
      </c>
      <c r="N51" s="161">
        <f t="shared" si="42"/>
        <v>1449</v>
      </c>
      <c r="O51" s="161">
        <f t="shared" si="42"/>
        <v>1945</v>
      </c>
      <c r="P51" s="161">
        <f t="shared" si="42"/>
        <v>2421</v>
      </c>
      <c r="Q51" s="161">
        <f t="shared" si="42"/>
        <v>1438</v>
      </c>
      <c r="R51" s="161">
        <f t="shared" si="42"/>
        <v>2007</v>
      </c>
      <c r="S51" s="161">
        <f t="shared" si="42"/>
        <v>1448</v>
      </c>
      <c r="T51" s="161">
        <f t="shared" si="42"/>
        <v>1567</v>
      </c>
      <c r="U51" s="161">
        <f t="shared" si="42"/>
        <v>1906</v>
      </c>
      <c r="V51" s="161">
        <f t="shared" si="42"/>
        <v>1549</v>
      </c>
      <c r="W51" s="161">
        <f t="shared" si="42"/>
        <v>2351</v>
      </c>
      <c r="X51" s="161">
        <f t="shared" si="42"/>
        <v>2132</v>
      </c>
      <c r="Y51" s="161">
        <f t="shared" si="42"/>
        <v>1682</v>
      </c>
      <c r="Z51" s="161">
        <f t="shared" si="42"/>
        <v>1478</v>
      </c>
      <c r="AA51" s="161">
        <f t="shared" si="42"/>
        <v>2252</v>
      </c>
      <c r="AB51" s="161">
        <f t="shared" si="42"/>
        <v>2172</v>
      </c>
      <c r="AC51" s="161">
        <f t="shared" si="42"/>
        <v>1733</v>
      </c>
      <c r="AD51" s="161">
        <f t="shared" si="42"/>
        <v>2500</v>
      </c>
      <c r="AE51" s="161">
        <f t="shared" si="42"/>
        <v>2183</v>
      </c>
      <c r="AF51" s="161">
        <f t="shared" si="42"/>
        <v>1987</v>
      </c>
      <c r="AG51" s="161">
        <f t="shared" si="42"/>
        <v>1136</v>
      </c>
      <c r="AH51" s="161">
        <f t="shared" si="42"/>
        <v>1029</v>
      </c>
      <c r="AI51" s="161">
        <f t="shared" si="42"/>
        <v>1867</v>
      </c>
      <c r="AJ51" s="161">
        <f t="shared" si="42"/>
        <v>1082</v>
      </c>
      <c r="AK51" s="161">
        <f t="shared" si="42"/>
        <v>1251</v>
      </c>
      <c r="AL51" s="161">
        <f t="shared" si="42"/>
        <v>2115</v>
      </c>
      <c r="AM51" s="166">
        <f t="array" ref="AM51">INDEX(Headcount!$1:$395,MATCH($C51,Headcount!$A:$A,0),MATCH(AM$4,Headcount!$4:$4,0))</f>
        <v>2287.381337</v>
      </c>
      <c r="AN51" s="166">
        <f t="array" ref="AN51">INDEX(Headcount!$1:$395,MATCH($C51,Headcount!$A:$A,0),MATCH(AN$4,Headcount!$4:$4,0))</f>
        <v>2693.977872</v>
      </c>
      <c r="AO51" s="166">
        <f t="array" ref="AO51">INDEX(Headcount!$1:$395,MATCH($C51,Headcount!$A:$A,0),MATCH(AO$4,Headcount!$4:$4,0))</f>
        <v>3095.795648</v>
      </c>
      <c r="AP51" s="166">
        <f t="array" ref="AP51">INDEX(Headcount!$1:$395,MATCH($C51,Headcount!$A:$A,0),MATCH(AP$4,Headcount!$4:$4,0))</f>
        <v>3463.775326</v>
      </c>
      <c r="AQ51" s="166">
        <f t="array" ref="AQ51">INDEX(Headcount!$1:$395,MATCH($C51,Headcount!$A:$A,0),MATCH(AQ$4,Headcount!$4:$4,0))</f>
        <v>3816.146554</v>
      </c>
      <c r="AR51" s="166">
        <f t="array" ref="AR51">INDEX(Headcount!$1:$395,MATCH($C51,Headcount!$A:$A,0),MATCH(AR$4,Headcount!$4:$4,0))</f>
        <v>4166.256831</v>
      </c>
      <c r="AS51" s="166">
        <f t="array" ref="AS51">INDEX(Headcount!$1:$395,MATCH($C51,Headcount!$A:$A,0),MATCH(AS$4,Headcount!$4:$4,0))</f>
        <v>4518.431713</v>
      </c>
      <c r="AT51" s="166">
        <f t="array" ref="AT51">INDEX(Headcount!$1:$395,MATCH($C51,Headcount!$A:$A,0),MATCH(AT$4,Headcount!$4:$4,0))</f>
        <v>4835.898314</v>
      </c>
      <c r="AU51" s="166">
        <f t="array" ref="AU51">INDEX(Headcount!$1:$395,MATCH($C51,Headcount!$A:$A,0),MATCH(AU$4,Headcount!$4:$4,0))</f>
        <v>5147.23714</v>
      </c>
      <c r="AV51" s="166">
        <f t="array" ref="AV51">INDEX(Headcount!$1:$395,MATCH($C51,Headcount!$A:$A,0),MATCH(AV$4,Headcount!$4:$4,0))</f>
        <v>5452.057036</v>
      </c>
      <c r="AW51" s="166">
        <f t="array" ref="AW51">INDEX(Headcount!$1:$395,MATCH($C51,Headcount!$A:$A,0),MATCH(AW$4,Headcount!$4:$4,0))</f>
        <v>5735.41994</v>
      </c>
      <c r="AX51" s="166">
        <f t="array" ref="AX51">INDEX(Headcount!$1:$395,MATCH($C51,Headcount!$A:$A,0),MATCH(AX$4,Headcount!$4:$4,0))</f>
        <v>6016.04732</v>
      </c>
      <c r="AY51" s="166">
        <f t="array" ref="AY51">INDEX(Headcount!$1:$395,MATCH($C51,Headcount!$A:$A,0),MATCH(AY$4,Headcount!$4:$4,0))</f>
        <v>6300.208145</v>
      </c>
      <c r="AZ51" s="166">
        <f t="array" ref="AZ51">INDEX(Headcount!$1:$395,MATCH($C51,Headcount!$A:$A,0),MATCH(AZ$4,Headcount!$4:$4,0))</f>
        <v>6580.939009</v>
      </c>
      <c r="BA51" s="166">
        <f t="array" ref="BA51">INDEX(Headcount!$1:$395,MATCH($C51,Headcount!$A:$A,0),MATCH(BA$4,Headcount!$4:$4,0))</f>
        <v>6630.936432</v>
      </c>
      <c r="BB51" s="166">
        <f t="array" ref="BB51">INDEX(Headcount!$1:$395,MATCH($C51,Headcount!$A:$A,0),MATCH(BB$4,Headcount!$4:$4,0))</f>
        <v>6701.035277</v>
      </c>
      <c r="BC51" s="166">
        <f t="array" ref="BC51">INDEX(Headcount!$1:$395,MATCH($C51,Headcount!$A:$A,0),MATCH(BC$4,Headcount!$4:$4,0))</f>
        <v>6791.897792</v>
      </c>
      <c r="BD51" s="166">
        <f t="array" ref="BD51">INDEX(Headcount!$1:$395,MATCH($C51,Headcount!$A:$A,0),MATCH(BD$4,Headcount!$4:$4,0))</f>
        <v>6888.36037</v>
      </c>
      <c r="BE51" s="166">
        <f t="array" ref="BE51">INDEX(Headcount!$1:$395,MATCH($C51,Headcount!$A:$A,0),MATCH(BE$4,Headcount!$4:$4,0))</f>
        <v>6988.685408</v>
      </c>
      <c r="BF51" s="166">
        <f t="array" ref="BF51">INDEX(Headcount!$1:$395,MATCH($C51,Headcount!$A:$A,0),MATCH(BF$4,Headcount!$4:$4,0))</f>
        <v>7087.914026</v>
      </c>
      <c r="BG51" s="166">
        <f t="array" ref="BG51">INDEX(Headcount!$1:$395,MATCH($C51,Headcount!$A:$A,0),MATCH(BG$4,Headcount!$4:$4,0))</f>
        <v>7207.709799</v>
      </c>
      <c r="BH51" s="166">
        <f t="array" ref="BH51">INDEX(Headcount!$1:$395,MATCH($C51,Headcount!$A:$A,0),MATCH(BH$4,Headcount!$4:$4,0))</f>
        <v>7304.399807</v>
      </c>
      <c r="BI51" s="166">
        <f t="array" ref="BI51">INDEX(Headcount!$1:$395,MATCH($C51,Headcount!$A:$A,0),MATCH(BI$4,Headcount!$4:$4,0))</f>
        <v>7399.717078</v>
      </c>
      <c r="BJ51" s="166">
        <f t="array" ref="BJ51">INDEX(Headcount!$1:$395,MATCH($C51,Headcount!$A:$A,0),MATCH(BJ$4,Headcount!$4:$4,0))</f>
        <v>7493.716596</v>
      </c>
      <c r="BK51" s="166">
        <f t="array" ref="BK51">INDEX(Headcount!$1:$395,MATCH($C51,Headcount!$A:$A,0),MATCH(BK$4,Headcount!$4:$4,0))</f>
        <v>7586.462249</v>
      </c>
      <c r="BL51" s="166">
        <f t="array" ref="BL51">INDEX(Headcount!$1:$395,MATCH($C51,Headcount!$A:$A,0),MATCH(BL$4,Headcount!$4:$4,0))</f>
        <v>7788.47772</v>
      </c>
      <c r="BM51" s="166">
        <f t="array" ref="BM51">INDEX(Headcount!$1:$395,MATCH($C51,Headcount!$A:$A,0),MATCH(BM$4,Headcount!$4:$4,0))</f>
        <v>7940.545826</v>
      </c>
      <c r="BN51" s="166">
        <f t="array" ref="BN51">INDEX(Headcount!$1:$395,MATCH($C51,Headcount!$A:$A,0),MATCH(BN$4,Headcount!$4:$4,0))</f>
        <v>8087.92554</v>
      </c>
      <c r="BO51" s="166">
        <f t="array" ref="BO51">INDEX(Headcount!$1:$395,MATCH($C51,Headcount!$A:$A,0),MATCH(BO$4,Headcount!$4:$4,0))</f>
        <v>8231.51264</v>
      </c>
      <c r="BP51" s="166">
        <f t="array" ref="BP51">INDEX(Headcount!$1:$395,MATCH($C51,Headcount!$A:$A,0),MATCH(BP$4,Headcount!$4:$4,0))</f>
        <v>8371.886297</v>
      </c>
      <c r="BQ51" s="166">
        <f t="array" ref="BQ51">INDEX(Headcount!$1:$395,MATCH($C51,Headcount!$A:$A,0),MATCH(BQ$4,Headcount!$4:$4,0))</f>
        <v>8509.419528</v>
      </c>
      <c r="BR51" s="166">
        <f t="array" ref="BR51">INDEX(Headcount!$1:$395,MATCH($C51,Headcount!$A:$A,0),MATCH(BR$4,Headcount!$4:$4,0))</f>
        <v>8644.396695</v>
      </c>
      <c r="BS51" s="166">
        <f t="array" ref="BS51">INDEX(Headcount!$1:$395,MATCH($C51,Headcount!$A:$A,0),MATCH(BS$4,Headcount!$4:$4,0))</f>
        <v>8777.049703</v>
      </c>
      <c r="BT51" s="166">
        <f t="array" ref="BT51">INDEX(Headcount!$1:$395,MATCH($C51,Headcount!$A:$A,0),MATCH(BT$4,Headcount!$4:$4,0))</f>
        <v>8907.574307</v>
      </c>
      <c r="BU51" s="166">
        <f t="array" ref="BU51">INDEX(Headcount!$1:$395,MATCH($C51,Headcount!$A:$A,0),MATCH(BU$4,Headcount!$4:$4,0))</f>
        <v>9036.139614</v>
      </c>
      <c r="BV51" s="166">
        <f t="array" ref="BV51">INDEX(Headcount!$1:$395,MATCH($C51,Headcount!$A:$A,0),MATCH(BV$4,Headcount!$4:$4,0))</f>
        <v>9162.894431</v>
      </c>
      <c r="BW51" s="166">
        <f t="array" ref="BW51">INDEX(Headcount!$1:$395,MATCH($C51,Headcount!$A:$A,0),MATCH(BW$4,Headcount!$4:$4,0))</f>
        <v>9287.971757</v>
      </c>
      <c r="BX51" s="166">
        <f t="array" ref="BX51">INDEX(Headcount!$1:$395,MATCH($C51,Headcount!$A:$A,0),MATCH(BX$4,Headcount!$4:$4,0))</f>
        <v>9468.739494</v>
      </c>
      <c r="BY51" s="166">
        <f t="array" ref="BY51">INDEX(Headcount!$1:$395,MATCH($C51,Headcount!$A:$A,0),MATCH(BY$4,Headcount!$4:$4,0))</f>
        <v>9609.0568</v>
      </c>
      <c r="BZ51" s="166">
        <f t="array" ref="BZ51">INDEX(Headcount!$1:$395,MATCH($C51,Headcount!$A:$A,0),MATCH(BZ$4,Headcount!$4:$4,0))</f>
        <v>9736.134978</v>
      </c>
      <c r="CA51" s="166">
        <f t="array" ref="CA51">INDEX(Headcount!$1:$395,MATCH($C51,Headcount!$A:$A,0),MATCH(CA$4,Headcount!$4:$4,0))</f>
        <v>9860.701795</v>
      </c>
      <c r="CB51" s="166">
        <f t="array" ref="CB51">INDEX(Headcount!$1:$395,MATCH($C51,Headcount!$A:$A,0),MATCH(CB$4,Headcount!$4:$4,0))</f>
        <v>9984.65181</v>
      </c>
      <c r="CC51" s="166">
        <f t="array" ref="CC51">INDEX(Headcount!$1:$395,MATCH($C51,Headcount!$A:$A,0),MATCH(CC$4,Headcount!$4:$4,0))</f>
        <v>10108.03268</v>
      </c>
      <c r="CD51" s="166">
        <f t="array" ref="CD51">INDEX(Headcount!$1:$395,MATCH($C51,Headcount!$A:$A,0),MATCH(CD$4,Headcount!$4:$4,0))</f>
        <v>10230.92659</v>
      </c>
      <c r="CE51" s="166">
        <f t="array" ref="CE51">INDEX(Headcount!$1:$395,MATCH($C51,Headcount!$A:$A,0),MATCH(CE$4,Headcount!$4:$4,0))</f>
        <v>10353.4129</v>
      </c>
      <c r="CF51" s="166">
        <f t="array" ref="CF51">INDEX(Headcount!$1:$395,MATCH($C51,Headcount!$A:$A,0),MATCH(CF$4,Headcount!$4:$4,0))</f>
        <v>10475.56679</v>
      </c>
      <c r="CG51" s="166">
        <f t="array" ref="CG51">INDEX(Headcount!$1:$395,MATCH($C51,Headcount!$A:$A,0),MATCH(CG$4,Headcount!$4:$4,0))</f>
        <v>10597.46052</v>
      </c>
      <c r="CH51" s="166">
        <f t="array" ref="CH51">INDEX(Headcount!$1:$395,MATCH($C51,Headcount!$A:$A,0),MATCH(CH$4,Headcount!$4:$4,0))</f>
        <v>10719.1643</v>
      </c>
      <c r="CI51" s="166">
        <f t="array" ref="CI51">INDEX(Headcount!$1:$395,MATCH($C51,Headcount!$A:$A,0),MATCH(CI$4,Headcount!$4:$4,0))</f>
        <v>10840.74664</v>
      </c>
      <c r="CJ51" s="166">
        <f t="array" ref="CJ51">INDEX(Headcount!$1:$395,MATCH($C51,Headcount!$A:$A,0),MATCH(CJ$4,Headcount!$4:$4,0))</f>
        <v>11007.01497</v>
      </c>
      <c r="CK51" s="166">
        <f t="array" ref="CK51">INDEX(Headcount!$1:$395,MATCH($C51,Headcount!$A:$A,0),MATCH(CK$4,Headcount!$4:$4,0))</f>
        <v>11084.73002</v>
      </c>
      <c r="CL51" s="166">
        <f t="array" ref="CL51">INDEX(Headcount!$1:$395,MATCH($C51,Headcount!$A:$A,0),MATCH(CL$4,Headcount!$4:$4,0))</f>
        <v>11159.01454</v>
      </c>
      <c r="CM51" s="166">
        <f t="array" ref="CM51">INDEX(Headcount!$1:$395,MATCH($C51,Headcount!$A:$A,0),MATCH(CM$4,Headcount!$4:$4,0))</f>
        <v>11237.17632</v>
      </c>
      <c r="CN51" s="166">
        <f t="array" ref="CN51">INDEX(Headcount!$1:$395,MATCH($C51,Headcount!$A:$A,0),MATCH(CN$4,Headcount!$4:$4,0))</f>
        <v>11317.5964</v>
      </c>
      <c r="CO51" s="166">
        <f t="array" ref="CO51">INDEX(Headcount!$1:$395,MATCH($C51,Headcount!$A:$A,0),MATCH(CO$4,Headcount!$4:$4,0))</f>
        <v>11399.05746</v>
      </c>
      <c r="CP51" s="166">
        <f t="array" ref="CP51">INDEX(Headcount!$1:$395,MATCH($C51,Headcount!$A:$A,0),MATCH(CP$4,Headcount!$4:$4,0))</f>
        <v>11481.05034</v>
      </c>
      <c r="CQ51" s="166">
        <f t="array" ref="CQ51">INDEX(Headcount!$1:$395,MATCH($C51,Headcount!$A:$A,0),MATCH(CQ$4,Headcount!$4:$4,0))</f>
        <v>11563.31459</v>
      </c>
      <c r="CR51" s="166">
        <f t="array" ref="CR51">INDEX(Headcount!$1:$395,MATCH($C51,Headcount!$A:$A,0),MATCH(CR$4,Headcount!$4:$4,0))</f>
        <v>11645.70318</v>
      </c>
      <c r="CS51" s="166">
        <f t="array" ref="CS51">INDEX(Headcount!$1:$395,MATCH($C51,Headcount!$A:$A,0),MATCH(CS$4,Headcount!$4:$4,0))</f>
        <v>11728.13187</v>
      </c>
      <c r="CT51" s="166">
        <f t="array" ref="CT51">INDEX(Headcount!$1:$395,MATCH($C51,Headcount!$A:$A,0),MATCH(CT$4,Headcount!$4:$4,0))</f>
        <v>11810.55584</v>
      </c>
      <c r="CU51" s="166">
        <f t="array" ref="CU51">INDEX(Headcount!$1:$395,MATCH($C51,Headcount!$A:$A,0),MATCH(CU$4,Headcount!$4:$4,0))</f>
        <v>11892.95672</v>
      </c>
      <c r="CV51" s="166"/>
      <c r="CW51" s="166"/>
      <c r="CX51" s="166"/>
      <c r="CY51" s="166"/>
      <c r="CZ51" s="166"/>
      <c r="DA51" s="166"/>
      <c r="DB51" s="166"/>
      <c r="DC51" s="166"/>
    </row>
    <row r="52" ht="15.75" customHeight="1">
      <c r="A52" s="146" t="s">
        <v>174</v>
      </c>
      <c r="B52" s="146" t="s">
        <v>175</v>
      </c>
      <c r="C52" s="160" t="s">
        <v>229</v>
      </c>
      <c r="D52" s="161">
        <f t="shared" ref="D52:AL52" si="43">RANDBETWEEN(1000,2500)</f>
        <v>1303</v>
      </c>
      <c r="E52" s="161">
        <f t="shared" si="43"/>
        <v>2427</v>
      </c>
      <c r="F52" s="161">
        <f t="shared" si="43"/>
        <v>1117</v>
      </c>
      <c r="G52" s="161">
        <f t="shared" si="43"/>
        <v>1172</v>
      </c>
      <c r="H52" s="161">
        <f t="shared" si="43"/>
        <v>1150</v>
      </c>
      <c r="I52" s="161">
        <f t="shared" si="43"/>
        <v>1819</v>
      </c>
      <c r="J52" s="161">
        <f t="shared" si="43"/>
        <v>1103</v>
      </c>
      <c r="K52" s="161">
        <f t="shared" si="43"/>
        <v>1530</v>
      </c>
      <c r="L52" s="161">
        <f t="shared" si="43"/>
        <v>1716</v>
      </c>
      <c r="M52" s="161">
        <f t="shared" si="43"/>
        <v>1466</v>
      </c>
      <c r="N52" s="161">
        <f t="shared" si="43"/>
        <v>1815</v>
      </c>
      <c r="O52" s="161">
        <f t="shared" si="43"/>
        <v>1316</v>
      </c>
      <c r="P52" s="161">
        <f t="shared" si="43"/>
        <v>1478</v>
      </c>
      <c r="Q52" s="161">
        <f t="shared" si="43"/>
        <v>1173</v>
      </c>
      <c r="R52" s="161">
        <f t="shared" si="43"/>
        <v>2033</v>
      </c>
      <c r="S52" s="161">
        <f t="shared" si="43"/>
        <v>1350</v>
      </c>
      <c r="T52" s="161">
        <f t="shared" si="43"/>
        <v>1843</v>
      </c>
      <c r="U52" s="161">
        <f t="shared" si="43"/>
        <v>1023</v>
      </c>
      <c r="V52" s="161">
        <f t="shared" si="43"/>
        <v>1037</v>
      </c>
      <c r="W52" s="161">
        <f t="shared" si="43"/>
        <v>1694</v>
      </c>
      <c r="X52" s="161">
        <f t="shared" si="43"/>
        <v>2159</v>
      </c>
      <c r="Y52" s="161">
        <f t="shared" si="43"/>
        <v>1781</v>
      </c>
      <c r="Z52" s="161">
        <f t="shared" si="43"/>
        <v>2008</v>
      </c>
      <c r="AA52" s="161">
        <f t="shared" si="43"/>
        <v>2360</v>
      </c>
      <c r="AB52" s="161">
        <f t="shared" si="43"/>
        <v>2367</v>
      </c>
      <c r="AC52" s="161">
        <f t="shared" si="43"/>
        <v>2035</v>
      </c>
      <c r="AD52" s="161">
        <f t="shared" si="43"/>
        <v>2198</v>
      </c>
      <c r="AE52" s="161">
        <f t="shared" si="43"/>
        <v>1668</v>
      </c>
      <c r="AF52" s="161">
        <f t="shared" si="43"/>
        <v>2397</v>
      </c>
      <c r="AG52" s="161">
        <f t="shared" si="43"/>
        <v>2265</v>
      </c>
      <c r="AH52" s="161">
        <f t="shared" si="43"/>
        <v>1189</v>
      </c>
      <c r="AI52" s="161">
        <f t="shared" si="43"/>
        <v>1184</v>
      </c>
      <c r="AJ52" s="161">
        <f t="shared" si="43"/>
        <v>1338</v>
      </c>
      <c r="AK52" s="161">
        <f t="shared" si="43"/>
        <v>2461</v>
      </c>
      <c r="AL52" s="161">
        <f t="shared" si="43"/>
        <v>1940</v>
      </c>
      <c r="AM52" s="166">
        <f t="array" ref="AM52">INDEX(Headcount!$1:$395,MATCH($C52,Headcount!$A:$A,0),MATCH(AM$4,Headcount!$4:$4,0))</f>
        <v>2098.118106</v>
      </c>
      <c r="AN52" s="166">
        <f t="array" ref="AN52">INDEX(Headcount!$1:$395,MATCH($C52,Headcount!$A:$A,0),MATCH(AN$4,Headcount!$4:$4,0))</f>
        <v>4168.64098</v>
      </c>
      <c r="AO52" s="166">
        <f t="array" ref="AO52">INDEX(Headcount!$1:$395,MATCH($C52,Headcount!$A:$A,0),MATCH(AO$4,Headcount!$4:$4,0))</f>
        <v>4790.410767</v>
      </c>
      <c r="AP52" s="166">
        <f t="array" ref="AP52">INDEX(Headcount!$1:$395,MATCH($C52,Headcount!$A:$A,0),MATCH(AP$4,Headcount!$4:$4,0))</f>
        <v>5359.819737</v>
      </c>
      <c r="AQ52" s="166">
        <f t="array" ref="AQ52">INDEX(Headcount!$1:$395,MATCH($C52,Headcount!$A:$A,0),MATCH(AQ$4,Headcount!$4:$4,0))</f>
        <v>5905.076308</v>
      </c>
      <c r="AR52" s="166">
        <f t="array" ref="AR52">INDEX(Headcount!$1:$395,MATCH($C52,Headcount!$A:$A,0),MATCH(AR$4,Headcount!$4:$4,0))</f>
        <v>6446.834302</v>
      </c>
      <c r="AS52" s="166">
        <f t="array" ref="AS52">INDEX(Headcount!$1:$395,MATCH($C52,Headcount!$A:$A,0),MATCH(AS$4,Headcount!$4:$4,0))</f>
        <v>6991.787051</v>
      </c>
      <c r="AT52" s="166">
        <f t="array" ref="AT52">INDEX(Headcount!$1:$395,MATCH($C52,Headcount!$A:$A,0),MATCH(AT$4,Headcount!$4:$4,0))</f>
        <v>7483.032468</v>
      </c>
      <c r="AU52" s="166">
        <f t="array" ref="AU52">INDEX(Headcount!$1:$395,MATCH($C52,Headcount!$A:$A,0),MATCH(AU$4,Headcount!$4:$4,0))</f>
        <v>7964.795812</v>
      </c>
      <c r="AV52" s="166">
        <f t="array" ref="AV52">INDEX(Headcount!$1:$395,MATCH($C52,Headcount!$A:$A,0),MATCH(AV$4,Headcount!$4:$4,0))</f>
        <v>8436.471813</v>
      </c>
      <c r="AW52" s="166">
        <f t="array" ref="AW52">INDEX(Headcount!$1:$395,MATCH($C52,Headcount!$A:$A,0),MATCH(AW$4,Headcount!$4:$4,0))</f>
        <v>8874.945427</v>
      </c>
      <c r="AX52" s="166">
        <f t="array" ref="AX52">INDEX(Headcount!$1:$395,MATCH($C52,Headcount!$A:$A,0),MATCH(AX$4,Headcount!$4:$4,0))</f>
        <v>9309.186112</v>
      </c>
      <c r="AY52" s="166">
        <f t="array" ref="AY52">INDEX(Headcount!$1:$395,MATCH($C52,Headcount!$A:$A,0),MATCH(AY$4,Headcount!$4:$4,0))</f>
        <v>9748.894422</v>
      </c>
      <c r="AZ52" s="166">
        <f t="array" ref="AZ52">INDEX(Headcount!$1:$395,MATCH($C52,Headcount!$A:$A,0),MATCH(AZ$4,Headcount!$4:$4,0))</f>
        <v>30549.88571</v>
      </c>
      <c r="BA52" s="166">
        <f t="array" ref="BA52">INDEX(Headcount!$1:$395,MATCH($C52,Headcount!$A:$A,0),MATCH(BA$4,Headcount!$4:$4,0))</f>
        <v>30781.98262</v>
      </c>
      <c r="BB52" s="166">
        <f t="array" ref="BB52">INDEX(Headcount!$1:$395,MATCH($C52,Headcount!$A:$A,0),MATCH(BB$4,Headcount!$4:$4,0))</f>
        <v>31107.39388</v>
      </c>
      <c r="BC52" s="166">
        <f t="array" ref="BC52">INDEX(Headcount!$1:$395,MATCH($C52,Headcount!$A:$A,0),MATCH(BC$4,Headcount!$4:$4,0))</f>
        <v>31529.19379</v>
      </c>
      <c r="BD52" s="166">
        <f t="array" ref="BD52">INDEX(Headcount!$1:$395,MATCH($C52,Headcount!$A:$A,0),MATCH(BD$4,Headcount!$4:$4,0))</f>
        <v>31976.99018</v>
      </c>
      <c r="BE52" s="166">
        <f t="array" ref="BE52">INDEX(Headcount!$1:$395,MATCH($C52,Headcount!$A:$A,0),MATCH(BE$4,Headcount!$4:$4,0))</f>
        <v>32442.71679</v>
      </c>
      <c r="BF52" s="166">
        <f t="array" ref="BF52">INDEX(Headcount!$1:$395,MATCH($C52,Headcount!$A:$A,0),MATCH(BF$4,Headcount!$4:$4,0))</f>
        <v>32903.35363</v>
      </c>
      <c r="BG52" s="166">
        <f t="array" ref="BG52">INDEX(Headcount!$1:$395,MATCH($C52,Headcount!$A:$A,0),MATCH(BG$4,Headcount!$4:$4,0))</f>
        <v>33459.46685</v>
      </c>
      <c r="BH52" s="166">
        <f t="array" ref="BH52">INDEX(Headcount!$1:$395,MATCH($C52,Headcount!$A:$A,0),MATCH(BH$4,Headcount!$4:$4,0))</f>
        <v>33908.31901</v>
      </c>
      <c r="BI52" s="166">
        <f t="array" ref="BI52">INDEX(Headcount!$1:$395,MATCH($C52,Headcount!$A:$A,0),MATCH(BI$4,Headcount!$4:$4,0))</f>
        <v>34350.79868</v>
      </c>
      <c r="BJ52" s="166">
        <f t="array" ref="BJ52">INDEX(Headcount!$1:$395,MATCH($C52,Headcount!$A:$A,0),MATCH(BJ$4,Headcount!$4:$4,0))</f>
        <v>34787.16111</v>
      </c>
      <c r="BK52" s="166">
        <f t="array" ref="BK52">INDEX(Headcount!$1:$395,MATCH($C52,Headcount!$A:$A,0),MATCH(BK$4,Headcount!$4:$4,0))</f>
        <v>35217.70288</v>
      </c>
      <c r="BL52" s="166">
        <f t="array" ref="BL52">INDEX(Headcount!$1:$395,MATCH($C52,Headcount!$A:$A,0),MATCH(BL$4,Headcount!$4:$4,0))</f>
        <v>40976.22712</v>
      </c>
      <c r="BM52" s="166">
        <f t="array" ref="BM52">INDEX(Headcount!$1:$395,MATCH($C52,Headcount!$A:$A,0),MATCH(BM$4,Headcount!$4:$4,0))</f>
        <v>41776.27784</v>
      </c>
      <c r="BN52" s="166">
        <f t="array" ref="BN52">INDEX(Headcount!$1:$395,MATCH($C52,Headcount!$A:$A,0),MATCH(BN$4,Headcount!$4:$4,0))</f>
        <v>42551.6623</v>
      </c>
      <c r="BO52" s="166">
        <f t="array" ref="BO52">INDEX(Headcount!$1:$395,MATCH($C52,Headcount!$A:$A,0),MATCH(BO$4,Headcount!$4:$4,0))</f>
        <v>43307.09332</v>
      </c>
      <c r="BP52" s="166">
        <f t="array" ref="BP52">INDEX(Headcount!$1:$395,MATCH($C52,Headcount!$A:$A,0),MATCH(BP$4,Headcount!$4:$4,0))</f>
        <v>44045.61798</v>
      </c>
      <c r="BQ52" s="166">
        <f t="array" ref="BQ52">INDEX(Headcount!$1:$395,MATCH($C52,Headcount!$A:$A,0),MATCH(BQ$4,Headcount!$4:$4,0))</f>
        <v>44769.19877</v>
      </c>
      <c r="BR52" s="166">
        <f t="array" ref="BR52">INDEX(Headcount!$1:$395,MATCH($C52,Headcount!$A:$A,0),MATCH(BR$4,Headcount!$4:$4,0))</f>
        <v>45479.33177</v>
      </c>
      <c r="BS52" s="166">
        <f t="array" ref="BS52">INDEX(Headcount!$1:$395,MATCH($C52,Headcount!$A:$A,0),MATCH(BS$4,Headcount!$4:$4,0))</f>
        <v>46177.23706</v>
      </c>
      <c r="BT52" s="166">
        <f t="array" ref="BT52">INDEX(Headcount!$1:$395,MATCH($C52,Headcount!$A:$A,0),MATCH(BT$4,Headcount!$4:$4,0))</f>
        <v>46863.94453</v>
      </c>
      <c r="BU52" s="166">
        <f t="array" ref="BU52">INDEX(Headcount!$1:$395,MATCH($C52,Headcount!$A:$A,0),MATCH(BU$4,Headcount!$4:$4,0))</f>
        <v>47540.34387</v>
      </c>
      <c r="BV52" s="166">
        <f t="array" ref="BV52">INDEX(Headcount!$1:$395,MATCH($C52,Headcount!$A:$A,0),MATCH(BV$4,Headcount!$4:$4,0))</f>
        <v>48207.21798</v>
      </c>
      <c r="BW52" s="166">
        <f t="array" ref="BW52">INDEX(Headcount!$1:$395,MATCH($C52,Headcount!$A:$A,0),MATCH(BW$4,Headcount!$4:$4,0))</f>
        <v>48865.26659</v>
      </c>
      <c r="BX52" s="166">
        <f t="array" ref="BX52">INDEX(Headcount!$1:$395,MATCH($C52,Headcount!$A:$A,0),MATCH(BX$4,Headcount!$4:$4,0))</f>
        <v>58607.42345</v>
      </c>
      <c r="BY52" s="166">
        <f t="array" ref="BY52">INDEX(Headcount!$1:$395,MATCH($C52,Headcount!$A:$A,0),MATCH(BY$4,Headcount!$4:$4,0))</f>
        <v>59475.9272</v>
      </c>
      <c r="BZ52" s="166">
        <f t="array" ref="BZ52">INDEX(Headcount!$1:$395,MATCH($C52,Headcount!$A:$A,0),MATCH(BZ$4,Headcount!$4:$4,0))</f>
        <v>60262.48645</v>
      </c>
      <c r="CA52" s="166">
        <f t="array" ref="CA52">INDEX(Headcount!$1:$395,MATCH($C52,Headcount!$A:$A,0),MATCH(CA$4,Headcount!$4:$4,0))</f>
        <v>61033.50145</v>
      </c>
      <c r="CB52" s="166">
        <f t="array" ref="CB52">INDEX(Headcount!$1:$395,MATCH($C52,Headcount!$A:$A,0),MATCH(CB$4,Headcount!$4:$4,0))</f>
        <v>61800.69871</v>
      </c>
      <c r="CC52" s="166">
        <f t="array" ref="CC52">INDEX(Headcount!$1:$395,MATCH($C52,Headcount!$A:$A,0),MATCH(CC$4,Headcount!$4:$4,0))</f>
        <v>62564.37323</v>
      </c>
      <c r="CD52" s="166">
        <f t="array" ref="CD52">INDEX(Headcount!$1:$395,MATCH($C52,Headcount!$A:$A,0),MATCH(CD$4,Headcount!$4:$4,0))</f>
        <v>63325.03361</v>
      </c>
      <c r="CE52" s="166">
        <f t="array" ref="CE52">INDEX(Headcount!$1:$395,MATCH($C52,Headcount!$A:$A,0),MATCH(CE$4,Headcount!$4:$4,0))</f>
        <v>64083.1712</v>
      </c>
      <c r="CF52" s="166">
        <f t="array" ref="CF52">INDEX(Headcount!$1:$395,MATCH($C52,Headcount!$A:$A,0),MATCH(CF$4,Headcount!$4:$4,0))</f>
        <v>64839.25121</v>
      </c>
      <c r="CG52" s="166">
        <f t="array" ref="CG52">INDEX(Headcount!$1:$395,MATCH($C52,Headcount!$A:$A,0),MATCH(CG$4,Headcount!$4:$4,0))</f>
        <v>65593.72097</v>
      </c>
      <c r="CH52" s="166">
        <f t="array" ref="CH52">INDEX(Headcount!$1:$395,MATCH($C52,Headcount!$A:$A,0),MATCH(CH$4,Headcount!$4:$4,0))</f>
        <v>66347.01496</v>
      </c>
      <c r="CI52" s="166">
        <f t="array" ref="CI52">INDEX(Headcount!$1:$395,MATCH($C52,Headcount!$A:$A,0),MATCH(CI$4,Headcount!$4:$4,0))</f>
        <v>67099.55734</v>
      </c>
      <c r="CJ52" s="166">
        <f t="array" ref="CJ52">INDEX(Headcount!$1:$395,MATCH($C52,Headcount!$A:$A,0),MATCH(CJ$4,Headcount!$4:$4,0))</f>
        <v>78347.98981</v>
      </c>
      <c r="CK52" s="166">
        <f t="array" ref="CK52">INDEX(Headcount!$1:$395,MATCH($C52,Headcount!$A:$A,0),MATCH(CK$4,Headcount!$4:$4,0))</f>
        <v>78901.16593</v>
      </c>
      <c r="CL52" s="166">
        <f t="array" ref="CL52">INDEX(Headcount!$1:$395,MATCH($C52,Headcount!$A:$A,0),MATCH(CL$4,Headcount!$4:$4,0))</f>
        <v>79429.92351</v>
      </c>
      <c r="CM52" s="166">
        <f t="array" ref="CM52">INDEX(Headcount!$1:$395,MATCH($C52,Headcount!$A:$A,0),MATCH(CM$4,Headcount!$4:$4,0))</f>
        <v>79986.27952</v>
      </c>
      <c r="CN52" s="166">
        <f t="array" ref="CN52">INDEX(Headcount!$1:$395,MATCH($C52,Headcount!$A:$A,0),MATCH(CN$4,Headcount!$4:$4,0))</f>
        <v>80558.71004</v>
      </c>
      <c r="CO52" s="166">
        <f t="array" ref="CO52">INDEX(Headcount!$1:$395,MATCH($C52,Headcount!$A:$A,0),MATCH(CO$4,Headcount!$4:$4,0))</f>
        <v>81138.55027</v>
      </c>
      <c r="CP52" s="166">
        <f t="array" ref="CP52">INDEX(Headcount!$1:$395,MATCH($C52,Headcount!$A:$A,0),MATCH(CP$4,Headcount!$4:$4,0))</f>
        <v>81722.17602</v>
      </c>
      <c r="CQ52" s="166">
        <f t="array" ref="CQ52">INDEX(Headcount!$1:$395,MATCH($C52,Headcount!$A:$A,0),MATCH(CQ$4,Headcount!$4:$4,0))</f>
        <v>82307.73342</v>
      </c>
      <c r="CR52" s="166">
        <f t="array" ref="CR52">INDEX(Headcount!$1:$395,MATCH($C52,Headcount!$A:$A,0),MATCH(CR$4,Headcount!$4:$4,0))</f>
        <v>82894.17582</v>
      </c>
      <c r="CS52" s="166">
        <f t="array" ref="CS52">INDEX(Headcount!$1:$395,MATCH($C52,Headcount!$A:$A,0),MATCH(CS$4,Headcount!$4:$4,0))</f>
        <v>83480.90368</v>
      </c>
      <c r="CT52" s="166">
        <f t="array" ref="CT52">INDEX(Headcount!$1:$395,MATCH($C52,Headcount!$A:$A,0),MATCH(CT$4,Headcount!$4:$4,0))</f>
        <v>84067.59792</v>
      </c>
      <c r="CU52" s="166">
        <f t="array" ref="CU52">INDEX(Headcount!$1:$395,MATCH($C52,Headcount!$A:$A,0),MATCH(CU$4,Headcount!$4:$4,0))</f>
        <v>84654.1278</v>
      </c>
      <c r="CV52" s="166"/>
      <c r="CW52" s="166"/>
      <c r="CX52" s="166"/>
      <c r="CY52" s="166"/>
      <c r="CZ52" s="166"/>
      <c r="DA52" s="166"/>
      <c r="DB52" s="166"/>
      <c r="DC52" s="166"/>
    </row>
    <row r="53" ht="15.75" customHeight="1">
      <c r="A53" s="146" t="s">
        <v>174</v>
      </c>
      <c r="B53" s="146" t="s">
        <v>177</v>
      </c>
      <c r="C53" s="160" t="s">
        <v>230</v>
      </c>
      <c r="D53" s="161">
        <f t="shared" ref="D53:AL53" si="44">RANDBETWEEN(1000,2500)</f>
        <v>1438</v>
      </c>
      <c r="E53" s="161">
        <f t="shared" si="44"/>
        <v>1922</v>
      </c>
      <c r="F53" s="161">
        <f t="shared" si="44"/>
        <v>1895</v>
      </c>
      <c r="G53" s="161">
        <f t="shared" si="44"/>
        <v>1078</v>
      </c>
      <c r="H53" s="161">
        <f t="shared" si="44"/>
        <v>1143</v>
      </c>
      <c r="I53" s="161">
        <f t="shared" si="44"/>
        <v>2418</v>
      </c>
      <c r="J53" s="161">
        <f t="shared" si="44"/>
        <v>1407</v>
      </c>
      <c r="K53" s="161">
        <f t="shared" si="44"/>
        <v>1492</v>
      </c>
      <c r="L53" s="161">
        <f t="shared" si="44"/>
        <v>2328</v>
      </c>
      <c r="M53" s="161">
        <f t="shared" si="44"/>
        <v>1491</v>
      </c>
      <c r="N53" s="161">
        <f t="shared" si="44"/>
        <v>1223</v>
      </c>
      <c r="O53" s="161">
        <f t="shared" si="44"/>
        <v>1714</v>
      </c>
      <c r="P53" s="161">
        <f t="shared" si="44"/>
        <v>1462</v>
      </c>
      <c r="Q53" s="161">
        <f t="shared" si="44"/>
        <v>2088</v>
      </c>
      <c r="R53" s="161">
        <f t="shared" si="44"/>
        <v>2133</v>
      </c>
      <c r="S53" s="161">
        <f t="shared" si="44"/>
        <v>1851</v>
      </c>
      <c r="T53" s="161">
        <f t="shared" si="44"/>
        <v>2221</v>
      </c>
      <c r="U53" s="161">
        <f t="shared" si="44"/>
        <v>2035</v>
      </c>
      <c r="V53" s="161">
        <f t="shared" si="44"/>
        <v>1908</v>
      </c>
      <c r="W53" s="161">
        <f t="shared" si="44"/>
        <v>1578</v>
      </c>
      <c r="X53" s="161">
        <f t="shared" si="44"/>
        <v>2458</v>
      </c>
      <c r="Y53" s="161">
        <f t="shared" si="44"/>
        <v>1781</v>
      </c>
      <c r="Z53" s="161">
        <f t="shared" si="44"/>
        <v>1425</v>
      </c>
      <c r="AA53" s="161">
        <f t="shared" si="44"/>
        <v>1338</v>
      </c>
      <c r="AB53" s="161">
        <f t="shared" si="44"/>
        <v>1110</v>
      </c>
      <c r="AC53" s="161">
        <f t="shared" si="44"/>
        <v>1905</v>
      </c>
      <c r="AD53" s="161">
        <f t="shared" si="44"/>
        <v>2287</v>
      </c>
      <c r="AE53" s="161">
        <f t="shared" si="44"/>
        <v>2048</v>
      </c>
      <c r="AF53" s="161">
        <f t="shared" si="44"/>
        <v>1271</v>
      </c>
      <c r="AG53" s="161">
        <f t="shared" si="44"/>
        <v>1961</v>
      </c>
      <c r="AH53" s="161">
        <f t="shared" si="44"/>
        <v>2362</v>
      </c>
      <c r="AI53" s="161">
        <f t="shared" si="44"/>
        <v>1582</v>
      </c>
      <c r="AJ53" s="161">
        <f t="shared" si="44"/>
        <v>1027</v>
      </c>
      <c r="AK53" s="161">
        <f t="shared" si="44"/>
        <v>2134</v>
      </c>
      <c r="AL53" s="161">
        <f t="shared" si="44"/>
        <v>2058</v>
      </c>
      <c r="AM53" s="166">
        <f t="array" ref="AM53">INDEX(Headcount!$1:$395,MATCH($C53,Headcount!$A:$A,0),MATCH(AM$4,Headcount!$4:$4,0))</f>
        <v>39336.9375</v>
      </c>
      <c r="AN53" s="166">
        <f t="array" ref="AN53">INDEX(Headcount!$1:$395,MATCH($C53,Headcount!$A:$A,0),MATCH(AN$4,Headcount!$4:$4,0))</f>
        <v>65462.39687</v>
      </c>
      <c r="AO53" s="166">
        <f t="array" ref="AO53">INDEX(Headcount!$1:$395,MATCH($C53,Headcount!$A:$A,0),MATCH(AO$4,Headcount!$4:$4,0))</f>
        <v>72873.98023</v>
      </c>
      <c r="AP53" s="166">
        <f t="array" ref="AP53">INDEX(Headcount!$1:$395,MATCH($C53,Headcount!$A:$A,0),MATCH(AP$4,Headcount!$4:$4,0))</f>
        <v>75204.09349</v>
      </c>
      <c r="AQ53" s="166">
        <f t="array" ref="AQ53">INDEX(Headcount!$1:$395,MATCH($C53,Headcount!$A:$A,0),MATCH(AQ$4,Headcount!$4:$4,0))</f>
        <v>77035.53214</v>
      </c>
      <c r="AR53" s="166">
        <f t="array" ref="AR53">INDEX(Headcount!$1:$395,MATCH($C53,Headcount!$A:$A,0),MATCH(AR$4,Headcount!$4:$4,0))</f>
        <v>87013.87002</v>
      </c>
      <c r="AS53" s="166">
        <f t="array" ref="AS53">INDEX(Headcount!$1:$395,MATCH($C53,Headcount!$A:$A,0),MATCH(AS$4,Headcount!$4:$4,0))</f>
        <v>88595.58488</v>
      </c>
      <c r="AT53" s="166">
        <f t="array" ref="AT53">INDEX(Headcount!$1:$395,MATCH($C53,Headcount!$A:$A,0),MATCH(AT$4,Headcount!$4:$4,0))</f>
        <v>89121.39255</v>
      </c>
      <c r="AU53" s="166">
        <f t="array" ref="AU53">INDEX(Headcount!$1:$395,MATCH($C53,Headcount!$A:$A,0),MATCH(AU$4,Headcount!$4:$4,0))</f>
        <v>89607.56763</v>
      </c>
      <c r="AV53" s="166">
        <f t="array" ref="AV53">INDEX(Headcount!$1:$395,MATCH($C53,Headcount!$A:$A,0),MATCH(AV$4,Headcount!$4:$4,0))</f>
        <v>91419.98819</v>
      </c>
      <c r="AW53" s="166">
        <f t="array" ref="AW53">INDEX(Headcount!$1:$395,MATCH($C53,Headcount!$A:$A,0),MATCH(AW$4,Headcount!$4:$4,0))</f>
        <v>90114.26979</v>
      </c>
      <c r="AX53" s="166">
        <f t="array" ref="AX53">INDEX(Headcount!$1:$395,MATCH($C53,Headcount!$A:$A,0),MATCH(AX$4,Headcount!$4:$4,0))</f>
        <v>91197.11396</v>
      </c>
      <c r="AY53" s="166">
        <f t="array" ref="AY53">INDEX(Headcount!$1:$395,MATCH($C53,Headcount!$A:$A,0),MATCH(AY$4,Headcount!$4:$4,0))</f>
        <v>92671.81397</v>
      </c>
      <c r="AZ53" s="166">
        <f t="array" ref="AZ53">INDEX(Headcount!$1:$395,MATCH($C53,Headcount!$A:$A,0),MATCH(AZ$4,Headcount!$4:$4,0))</f>
        <v>83832.90752</v>
      </c>
      <c r="BA53" s="166">
        <f t="array" ref="BA53">INDEX(Headcount!$1:$395,MATCH($C53,Headcount!$A:$A,0),MATCH(BA$4,Headcount!$4:$4,0))</f>
        <v>72801.51798</v>
      </c>
      <c r="BB53" s="166">
        <f t="array" ref="BB53">INDEX(Headcount!$1:$395,MATCH($C53,Headcount!$A:$A,0),MATCH(BB$4,Headcount!$4:$4,0))</f>
        <v>71412.43937</v>
      </c>
      <c r="BC53" s="166">
        <f t="array" ref="BC53">INDEX(Headcount!$1:$395,MATCH($C53,Headcount!$A:$A,0),MATCH(BC$4,Headcount!$4:$4,0))</f>
        <v>71874.95258</v>
      </c>
      <c r="BD53" s="166">
        <f t="array" ref="BD53">INDEX(Headcount!$1:$395,MATCH($C53,Headcount!$A:$A,0),MATCH(BD$4,Headcount!$4:$4,0))</f>
        <v>72341.71707</v>
      </c>
      <c r="BE53" s="166">
        <f t="array" ref="BE53">INDEX(Headcount!$1:$395,MATCH($C53,Headcount!$A:$A,0),MATCH(BE$4,Headcount!$4:$4,0))</f>
        <v>73068.8989</v>
      </c>
      <c r="BF53" s="166">
        <f t="array" ref="BF53">INDEX(Headcount!$1:$395,MATCH($C53,Headcount!$A:$A,0),MATCH(BF$4,Headcount!$4:$4,0))</f>
        <v>73545.58381</v>
      </c>
      <c r="BG53" s="166">
        <f t="array" ref="BG53">INDEX(Headcount!$1:$395,MATCH($C53,Headcount!$A:$A,0),MATCH(BG$4,Headcount!$4:$4,0))</f>
        <v>74026.66473</v>
      </c>
      <c r="BH53" s="166">
        <f t="array" ref="BH53">INDEX(Headcount!$1:$395,MATCH($C53,Headcount!$A:$A,0),MATCH(BH$4,Headcount!$4:$4,0))</f>
        <v>74512.18892</v>
      </c>
      <c r="BI53" s="166">
        <f t="array" ref="BI53">INDEX(Headcount!$1:$395,MATCH($C53,Headcount!$A:$A,0),MATCH(BI$4,Headcount!$4:$4,0))</f>
        <v>75002.20416</v>
      </c>
      <c r="BJ53" s="166">
        <f t="array" ref="BJ53">INDEX(Headcount!$1:$395,MATCH($C53,Headcount!$A:$A,0),MATCH(BJ$4,Headcount!$4:$4,0))</f>
        <v>75496.75881</v>
      </c>
      <c r="BK53" s="166">
        <f t="array" ref="BK53">INDEX(Headcount!$1:$395,MATCH($C53,Headcount!$A:$A,0),MATCH(BK$4,Headcount!$4:$4,0))</f>
        <v>75995.9018</v>
      </c>
      <c r="BL53" s="166">
        <f t="array" ref="BL53">INDEX(Headcount!$1:$395,MATCH($C53,Headcount!$A:$A,0),MATCH(BL$4,Headcount!$4:$4,0))</f>
        <v>76764.59193</v>
      </c>
      <c r="BM53" s="166">
        <f t="array" ref="BM53">INDEX(Headcount!$1:$395,MATCH($C53,Headcount!$A:$A,0),MATCH(BM$4,Headcount!$4:$4,0))</f>
        <v>77448.94923</v>
      </c>
      <c r="BN53" s="166">
        <f t="array" ref="BN53">INDEX(Headcount!$1:$395,MATCH($C53,Headcount!$A:$A,0),MATCH(BN$4,Headcount!$4:$4,0))</f>
        <v>77953.04767</v>
      </c>
      <c r="BO53" s="166">
        <f t="array" ref="BO53">INDEX(Headcount!$1:$395,MATCH($C53,Headcount!$A:$A,0),MATCH(BO$4,Headcount!$4:$4,0))</f>
        <v>78461.66771</v>
      </c>
      <c r="BP53" s="166">
        <f t="array" ref="BP53">INDEX(Headcount!$1:$395,MATCH($C53,Headcount!$A:$A,0),MATCH(BP$4,Headcount!$4:$4,0))</f>
        <v>78974.856</v>
      </c>
      <c r="BQ53" s="166">
        <f t="array" ref="BQ53">INDEX(Headcount!$1:$395,MATCH($C53,Headcount!$A:$A,0),MATCH(BQ$4,Headcount!$4:$4,0))</f>
        <v>79112.92389</v>
      </c>
      <c r="BR53" s="166">
        <f t="array" ref="BR53">INDEX(Headcount!$1:$395,MATCH($C53,Headcount!$A:$A,0),MATCH(BR$4,Headcount!$4:$4,0))</f>
        <v>79633.49204</v>
      </c>
      <c r="BS53" s="166">
        <f t="array" ref="BS53">INDEX(Headcount!$1:$395,MATCH($C53,Headcount!$A:$A,0),MATCH(BS$4,Headcount!$4:$4,0))</f>
        <v>80158.76203</v>
      </c>
      <c r="BT53" s="166">
        <f t="array" ref="BT53">INDEX(Headcount!$1:$395,MATCH($C53,Headcount!$A:$A,0),MATCH(BT$4,Headcount!$4:$4,0))</f>
        <v>80688.7826</v>
      </c>
      <c r="BU53" s="166">
        <f t="array" ref="BU53">INDEX(Headcount!$1:$395,MATCH($C53,Headcount!$A:$A,0),MATCH(BU$4,Headcount!$4:$4,0))</f>
        <v>81223.60302</v>
      </c>
      <c r="BV53" s="166">
        <f t="array" ref="BV53">INDEX(Headcount!$1:$395,MATCH($C53,Headcount!$A:$A,0),MATCH(BV$4,Headcount!$4:$4,0))</f>
        <v>81763.2731</v>
      </c>
      <c r="BW53" s="166">
        <f t="array" ref="BW53">INDEX(Headcount!$1:$395,MATCH($C53,Headcount!$A:$A,0),MATCH(BW$4,Headcount!$4:$4,0))</f>
        <v>82307.84322</v>
      </c>
      <c r="BX53" s="166">
        <f t="array" ref="BX53">INDEX(Headcount!$1:$395,MATCH($C53,Headcount!$A:$A,0),MATCH(BX$4,Headcount!$4:$4,0))</f>
        <v>84993.22926</v>
      </c>
      <c r="BY53" s="166">
        <f t="array" ref="BY53">INDEX(Headcount!$1:$395,MATCH($C53,Headcount!$A:$A,0),MATCH(BY$4,Headcount!$4:$4,0))</f>
        <v>85633.20029</v>
      </c>
      <c r="BZ53" s="166">
        <f t="array" ref="BZ53">INDEX(Headcount!$1:$395,MATCH($C53,Headcount!$A:$A,0),MATCH(BZ$4,Headcount!$4:$4,0))</f>
        <v>85209.3806</v>
      </c>
      <c r="CA53" s="166">
        <f t="array" ref="CA53">INDEX(Headcount!$1:$395,MATCH($C53,Headcount!$A:$A,0),MATCH(CA$4,Headcount!$4:$4,0))</f>
        <v>84858.38343</v>
      </c>
      <c r="CB53" s="166">
        <f t="array" ref="CB53">INDEX(Headcount!$1:$395,MATCH($C53,Headcount!$A:$A,0),MATCH(CB$4,Headcount!$4:$4,0))</f>
        <v>85496.37225</v>
      </c>
      <c r="CC53" s="166">
        <f t="array" ref="CC53">INDEX(Headcount!$1:$395,MATCH($C53,Headcount!$A:$A,0),MATCH(CC$4,Headcount!$4:$4,0))</f>
        <v>86143.02053</v>
      </c>
      <c r="CD53" s="166">
        <f t="array" ref="CD53">INDEX(Headcount!$1:$395,MATCH($C53,Headcount!$A:$A,0),MATCH(CD$4,Headcount!$4:$4,0))</f>
        <v>86798.51139</v>
      </c>
      <c r="CE53" s="166">
        <f t="array" ref="CE53">INDEX(Headcount!$1:$395,MATCH($C53,Headcount!$A:$A,0),MATCH(CE$4,Headcount!$4:$4,0))</f>
        <v>87463.03299</v>
      </c>
      <c r="CF53" s="166">
        <f t="array" ref="CF53">INDEX(Headcount!$1:$395,MATCH($C53,Headcount!$A:$A,0),MATCH(CF$4,Headcount!$4:$4,0))</f>
        <v>88136.77864</v>
      </c>
      <c r="CG53" s="166">
        <f t="array" ref="CG53">INDEX(Headcount!$1:$395,MATCH($C53,Headcount!$A:$A,0),MATCH(CG$4,Headcount!$4:$4,0))</f>
        <v>88819.94696</v>
      </c>
      <c r="CH53" s="166">
        <f t="array" ref="CH53">INDEX(Headcount!$1:$395,MATCH($C53,Headcount!$A:$A,0),MATCH(CH$4,Headcount!$4:$4,0))</f>
        <v>89512.74207</v>
      </c>
      <c r="CI53" s="166">
        <f t="array" ref="CI53">INDEX(Headcount!$1:$395,MATCH($C53,Headcount!$A:$A,0),MATCH(CI$4,Headcount!$4:$4,0))</f>
        <v>90215.37374</v>
      </c>
      <c r="CJ53" s="166">
        <f t="array" ref="CJ53">INDEX(Headcount!$1:$395,MATCH($C53,Headcount!$A:$A,0),MATCH(CJ$4,Headcount!$4:$4,0))</f>
        <v>99253.04967</v>
      </c>
      <c r="CK53" s="166">
        <f t="array" ref="CK53">INDEX(Headcount!$1:$395,MATCH($C53,Headcount!$A:$A,0),MATCH(CK$4,Headcount!$4:$4,0))</f>
        <v>99672.60472</v>
      </c>
      <c r="CL53" s="166">
        <f t="array" ref="CL53">INDEX(Headcount!$1:$395,MATCH($C53,Headcount!$A:$A,0),MATCH(CL$4,Headcount!$4:$4,0))</f>
        <v>97542.5219</v>
      </c>
      <c r="CM53" s="166">
        <f t="array" ref="CM53">INDEX(Headcount!$1:$395,MATCH($C53,Headcount!$A:$A,0),MATCH(CM$4,Headcount!$4:$4,0))</f>
        <v>92596.4892</v>
      </c>
      <c r="CN53" s="166">
        <f t="array" ref="CN53">INDEX(Headcount!$1:$395,MATCH($C53,Headcount!$A:$A,0),MATCH(CN$4,Headcount!$4:$4,0))</f>
        <v>92984.80585</v>
      </c>
      <c r="CO53" s="166">
        <f t="array" ref="CO53">INDEX(Headcount!$1:$395,MATCH($C53,Headcount!$A:$A,0),MATCH(CO$4,Headcount!$4:$4,0))</f>
        <v>93381.39487</v>
      </c>
      <c r="CP53" s="166">
        <f t="array" ref="CP53">INDEX(Headcount!$1:$395,MATCH($C53,Headcount!$A:$A,0),MATCH(CP$4,Headcount!$4:$4,0))</f>
        <v>93786.20512</v>
      </c>
      <c r="CQ53" s="166">
        <f t="array" ref="CQ53">INDEX(Headcount!$1:$395,MATCH($C53,Headcount!$A:$A,0),MATCH(CQ$4,Headcount!$4:$4,0))</f>
        <v>94199.18854</v>
      </c>
      <c r="CR53" s="166">
        <f t="array" ref="CR53">INDEX(Headcount!$1:$395,MATCH($C53,Headcount!$A:$A,0),MATCH(CR$4,Headcount!$4:$4,0))</f>
        <v>94620.29999</v>
      </c>
      <c r="CS53" s="166">
        <f t="array" ref="CS53">INDEX(Headcount!$1:$395,MATCH($C53,Headcount!$A:$A,0),MATCH(CS$4,Headcount!$4:$4,0))</f>
        <v>95049.49731</v>
      </c>
      <c r="CT53" s="166">
        <f t="array" ref="CT53">INDEX(Headcount!$1:$395,MATCH($C53,Headcount!$A:$A,0),MATCH(CT$4,Headcount!$4:$4,0))</f>
        <v>95486.74117</v>
      </c>
      <c r="CU53" s="166">
        <f t="array" ref="CU53">INDEX(Headcount!$1:$395,MATCH($C53,Headcount!$A:$A,0),MATCH(CU$4,Headcount!$4:$4,0))</f>
        <v>95931.99506</v>
      </c>
      <c r="CV53" s="166"/>
      <c r="CW53" s="166"/>
      <c r="CX53" s="166"/>
      <c r="CY53" s="166"/>
      <c r="CZ53" s="166"/>
      <c r="DA53" s="166"/>
      <c r="DB53" s="166"/>
      <c r="DC53" s="166"/>
    </row>
    <row r="54" ht="15.75" customHeight="1">
      <c r="A54" s="146" t="s">
        <v>174</v>
      </c>
      <c r="B54" s="146" t="s">
        <v>175</v>
      </c>
      <c r="C54" s="160" t="s">
        <v>231</v>
      </c>
      <c r="D54" s="161">
        <f t="shared" ref="D54:AL54" si="45">RANDBETWEEN(1000,2500)</f>
        <v>2016</v>
      </c>
      <c r="E54" s="161">
        <f t="shared" si="45"/>
        <v>1241</v>
      </c>
      <c r="F54" s="161">
        <f t="shared" si="45"/>
        <v>2218</v>
      </c>
      <c r="G54" s="161">
        <f t="shared" si="45"/>
        <v>1349</v>
      </c>
      <c r="H54" s="161">
        <f t="shared" si="45"/>
        <v>1330</v>
      </c>
      <c r="I54" s="161">
        <f t="shared" si="45"/>
        <v>2246</v>
      </c>
      <c r="J54" s="161">
        <f t="shared" si="45"/>
        <v>1777</v>
      </c>
      <c r="K54" s="161">
        <f t="shared" si="45"/>
        <v>1528</v>
      </c>
      <c r="L54" s="161">
        <f t="shared" si="45"/>
        <v>1032</v>
      </c>
      <c r="M54" s="161">
        <f t="shared" si="45"/>
        <v>2463</v>
      </c>
      <c r="N54" s="161">
        <f t="shared" si="45"/>
        <v>1941</v>
      </c>
      <c r="O54" s="161">
        <f t="shared" si="45"/>
        <v>2170</v>
      </c>
      <c r="P54" s="161">
        <f t="shared" si="45"/>
        <v>2262</v>
      </c>
      <c r="Q54" s="161">
        <f t="shared" si="45"/>
        <v>2173</v>
      </c>
      <c r="R54" s="161">
        <f t="shared" si="45"/>
        <v>1199</v>
      </c>
      <c r="S54" s="161">
        <f t="shared" si="45"/>
        <v>1706</v>
      </c>
      <c r="T54" s="161">
        <f t="shared" si="45"/>
        <v>1590</v>
      </c>
      <c r="U54" s="161">
        <f t="shared" si="45"/>
        <v>2020</v>
      </c>
      <c r="V54" s="161">
        <f t="shared" si="45"/>
        <v>1592</v>
      </c>
      <c r="W54" s="161">
        <f t="shared" si="45"/>
        <v>2367</v>
      </c>
      <c r="X54" s="161">
        <f t="shared" si="45"/>
        <v>2240</v>
      </c>
      <c r="Y54" s="161">
        <f t="shared" si="45"/>
        <v>1784</v>
      </c>
      <c r="Z54" s="161">
        <f t="shared" si="45"/>
        <v>2025</v>
      </c>
      <c r="AA54" s="161">
        <f t="shared" si="45"/>
        <v>1806</v>
      </c>
      <c r="AB54" s="161">
        <f t="shared" si="45"/>
        <v>1736</v>
      </c>
      <c r="AC54" s="161">
        <f t="shared" si="45"/>
        <v>1283</v>
      </c>
      <c r="AD54" s="161">
        <f t="shared" si="45"/>
        <v>1201</v>
      </c>
      <c r="AE54" s="161">
        <f t="shared" si="45"/>
        <v>2099</v>
      </c>
      <c r="AF54" s="161">
        <f t="shared" si="45"/>
        <v>2240</v>
      </c>
      <c r="AG54" s="161">
        <f t="shared" si="45"/>
        <v>1704</v>
      </c>
      <c r="AH54" s="161">
        <f t="shared" si="45"/>
        <v>1123</v>
      </c>
      <c r="AI54" s="161">
        <f t="shared" si="45"/>
        <v>1592</v>
      </c>
      <c r="AJ54" s="161">
        <f t="shared" si="45"/>
        <v>1643</v>
      </c>
      <c r="AK54" s="161">
        <f t="shared" si="45"/>
        <v>1575</v>
      </c>
      <c r="AL54" s="161">
        <f t="shared" si="45"/>
        <v>2406</v>
      </c>
      <c r="AM54" s="166">
        <f t="array" ref="AM54">AM$45*INDEX(Headcount!$1:$395,MATCH($C54,Headcount!$A:$A,0),MATCH(AM$4,Headcount!$4:$4,0))</f>
        <v>1074.705</v>
      </c>
      <c r="AN54" s="166">
        <f t="array" ref="AN54">AN$45*INDEX(Headcount!$1:$395,MATCH($C54,Headcount!$A:$A,0),MATCH(AN$4,Headcount!$4:$4,0))</f>
        <v>1747.066725</v>
      </c>
      <c r="AO54" s="166">
        <f t="array" ref="AO54">AO$45*INDEX(Headcount!$1:$395,MATCH($C54,Headcount!$A:$A,0),MATCH(AO$4,Headcount!$4:$4,0))</f>
        <v>2023.066725</v>
      </c>
      <c r="AP54" s="166">
        <f t="array" ref="AP54">AP$45*INDEX(Headcount!$1:$395,MATCH($C54,Headcount!$A:$A,0),MATCH(AP$4,Headcount!$4:$4,0))</f>
        <v>2143.066725</v>
      </c>
      <c r="AQ54" s="166">
        <f t="array" ref="AQ54">AQ$45*INDEX(Headcount!$1:$395,MATCH($C54,Headcount!$A:$A,0),MATCH(AQ$4,Headcount!$4:$4,0))</f>
        <v>2338.066725</v>
      </c>
      <c r="AR54" s="166">
        <f t="array" ref="AR54">AR$45*INDEX(Headcount!$1:$395,MATCH($C54,Headcount!$A:$A,0),MATCH(AR$4,Headcount!$4:$4,0))</f>
        <v>2443.279728</v>
      </c>
      <c r="AS54" s="166">
        <f t="array" ref="AS54">AS$45*INDEX(Headcount!$1:$395,MATCH($C54,Headcount!$A:$A,0),MATCH(AS$4,Headcount!$4:$4,0))</f>
        <v>2443.279728</v>
      </c>
      <c r="AT54" s="166">
        <f t="array" ref="AT54">AT$45*INDEX(Headcount!$1:$395,MATCH($C54,Headcount!$A:$A,0),MATCH(AT$4,Headcount!$4:$4,0))</f>
        <v>2605.519728</v>
      </c>
      <c r="AU54" s="166">
        <f t="array" ref="AU54">AU$45*INDEX(Headcount!$1:$395,MATCH($C54,Headcount!$A:$A,0),MATCH(AU$4,Headcount!$4:$4,0))</f>
        <v>2845.759728</v>
      </c>
      <c r="AV54" s="166">
        <f t="array" ref="AV54">AV$45*INDEX(Headcount!$1:$395,MATCH($C54,Headcount!$A:$A,0),MATCH(AV$4,Headcount!$4:$4,0))</f>
        <v>3136.058915</v>
      </c>
      <c r="AW54" s="166">
        <f t="array" ref="AW54">AW$45*INDEX(Headcount!$1:$395,MATCH($C54,Headcount!$A:$A,0),MATCH(AW$4,Headcount!$4:$4,0))</f>
        <v>3298.298915</v>
      </c>
      <c r="AX54" s="166">
        <f t="array" ref="AX54">AX$45*INDEX(Headcount!$1:$395,MATCH($C54,Headcount!$A:$A,0),MATCH(AX$4,Headcount!$4:$4,0))</f>
        <v>3538.538915</v>
      </c>
      <c r="AY54" s="166">
        <f t="array" ref="AY54">AY$45*INDEX(Headcount!$1:$395,MATCH($C54,Headcount!$A:$A,0),MATCH(AY$4,Headcount!$4:$4,0))</f>
        <v>3700.778915</v>
      </c>
      <c r="AZ54" s="166">
        <f t="array" ref="AZ54">AZ$45*INDEX(Headcount!$1:$395,MATCH($C54,Headcount!$A:$A,0),MATCH(AZ$4,Headcount!$4:$4,0))</f>
        <v>4017.539672</v>
      </c>
      <c r="BA54" s="166">
        <f t="array" ref="BA54">BA$45*INDEX(Headcount!$1:$395,MATCH($C54,Headcount!$A:$A,0),MATCH(BA$4,Headcount!$4:$4,0))</f>
        <v>4017.539672</v>
      </c>
      <c r="BB54" s="166">
        <f t="array" ref="BB54">BB$45*INDEX(Headcount!$1:$395,MATCH($C54,Headcount!$A:$A,0),MATCH(BB$4,Headcount!$4:$4,0))</f>
        <v>4017.539672</v>
      </c>
      <c r="BC54" s="166">
        <f t="array" ref="BC54">BC$45*INDEX(Headcount!$1:$395,MATCH($C54,Headcount!$A:$A,0),MATCH(BC$4,Headcount!$4:$4,0))</f>
        <v>4017.539672</v>
      </c>
      <c r="BD54" s="166">
        <f t="array" ref="BD54">BD$45*INDEX(Headcount!$1:$395,MATCH($C54,Headcount!$A:$A,0),MATCH(BD$4,Headcount!$4:$4,0))</f>
        <v>4178.241259</v>
      </c>
      <c r="BE54" s="166">
        <f t="array" ref="BE54">BE$45*INDEX(Headcount!$1:$395,MATCH($C54,Headcount!$A:$A,0),MATCH(BE$4,Headcount!$4:$4,0))</f>
        <v>4178.241259</v>
      </c>
      <c r="BF54" s="166">
        <f t="array" ref="BF54">BF$45*INDEX(Headcount!$1:$395,MATCH($C54,Headcount!$A:$A,0),MATCH(BF$4,Headcount!$4:$4,0))</f>
        <v>4178.241259</v>
      </c>
      <c r="BG54" s="166">
        <f t="array" ref="BG54">BG$45*INDEX(Headcount!$1:$395,MATCH($C54,Headcount!$A:$A,0),MATCH(BG$4,Headcount!$4:$4,0))</f>
        <v>4178.241259</v>
      </c>
      <c r="BH54" s="166">
        <f t="array" ref="BH54">BH$45*INDEX(Headcount!$1:$395,MATCH($C54,Headcount!$A:$A,0),MATCH(BH$4,Headcount!$4:$4,0))</f>
        <v>4345.370909</v>
      </c>
      <c r="BI54" s="166">
        <f t="array" ref="BI54">BI$45*INDEX(Headcount!$1:$395,MATCH($C54,Headcount!$A:$A,0),MATCH(BI$4,Headcount!$4:$4,0))</f>
        <v>4345.370909</v>
      </c>
      <c r="BJ54" s="166">
        <f t="array" ref="BJ54">BJ$45*INDEX(Headcount!$1:$395,MATCH($C54,Headcount!$A:$A,0),MATCH(BJ$4,Headcount!$4:$4,0))</f>
        <v>4345.370909</v>
      </c>
      <c r="BK54" s="166">
        <f t="array" ref="BK54">BK$45*INDEX(Headcount!$1:$395,MATCH($C54,Headcount!$A:$A,0),MATCH(BK$4,Headcount!$4:$4,0))</f>
        <v>4345.370909</v>
      </c>
      <c r="BL54" s="166">
        <f t="array" ref="BL54">BL$45*INDEX(Headcount!$1:$395,MATCH($C54,Headcount!$A:$A,0),MATCH(BL$4,Headcount!$4:$4,0))</f>
        <v>4519.185746</v>
      </c>
      <c r="BM54" s="166">
        <f t="array" ref="BM54">BM$45*INDEX(Headcount!$1:$395,MATCH($C54,Headcount!$A:$A,0),MATCH(BM$4,Headcount!$4:$4,0))</f>
        <v>4519.185746</v>
      </c>
      <c r="BN54" s="166">
        <f t="array" ref="BN54">BN$45*INDEX(Headcount!$1:$395,MATCH($C54,Headcount!$A:$A,0),MATCH(BN$4,Headcount!$4:$4,0))</f>
        <v>4519.185746</v>
      </c>
      <c r="BO54" s="166">
        <f t="array" ref="BO54">BO$45*INDEX(Headcount!$1:$395,MATCH($C54,Headcount!$A:$A,0),MATCH(BO$4,Headcount!$4:$4,0))</f>
        <v>4519.185746</v>
      </c>
      <c r="BP54" s="166">
        <f t="array" ref="BP54">BP$45*INDEX(Headcount!$1:$395,MATCH($C54,Headcount!$A:$A,0),MATCH(BP$4,Headcount!$4:$4,0))</f>
        <v>4882.451111</v>
      </c>
      <c r="BQ54" s="166">
        <f t="array" ref="BQ54">BQ$45*INDEX(Headcount!$1:$395,MATCH($C54,Headcount!$A:$A,0),MATCH(BQ$4,Headcount!$4:$4,0))</f>
        <v>4882.451111</v>
      </c>
      <c r="BR54" s="166">
        <f t="array" ref="BR54">BR$45*INDEX(Headcount!$1:$395,MATCH($C54,Headcount!$A:$A,0),MATCH(BR$4,Headcount!$4:$4,0))</f>
        <v>4973.700078</v>
      </c>
      <c r="BS54" s="166">
        <f t="array" ref="BS54">BS$45*INDEX(Headcount!$1:$395,MATCH($C54,Headcount!$A:$A,0),MATCH(BS$4,Headcount!$4:$4,0))</f>
        <v>5163.497931</v>
      </c>
      <c r="BT54" s="166">
        <f t="array" ref="BT54">BT$45*INDEX(Headcount!$1:$395,MATCH($C54,Headcount!$A:$A,0),MATCH(BT$4,Headcount!$4:$4,0))</f>
        <v>5370.037848</v>
      </c>
      <c r="BU54" s="166">
        <f t="array" ref="BU54">BU$45*INDEX(Headcount!$1:$395,MATCH($C54,Headcount!$A:$A,0),MATCH(BU$4,Headcount!$4:$4,0))</f>
        <v>5559.835701</v>
      </c>
      <c r="BV54" s="166">
        <f t="array" ref="BV54">BV$45*INDEX(Headcount!$1:$395,MATCH($C54,Headcount!$A:$A,0),MATCH(BV$4,Headcount!$4:$4,0))</f>
        <v>5559.835701</v>
      </c>
      <c r="BW54" s="166">
        <f t="array" ref="BW54">BW$45*INDEX(Headcount!$1:$395,MATCH($C54,Headcount!$A:$A,0),MATCH(BW$4,Headcount!$4:$4,0))</f>
        <v>5559.835701</v>
      </c>
      <c r="BX54" s="166">
        <f t="array" ref="BX54">BX$45*INDEX(Headcount!$1:$395,MATCH($C54,Headcount!$A:$A,0),MATCH(BX$4,Headcount!$4:$4,0))</f>
        <v>5979.618896</v>
      </c>
      <c r="BY54" s="166">
        <f t="array" ref="BY54">BY$45*INDEX(Headcount!$1:$395,MATCH($C54,Headcount!$A:$A,0),MATCH(BY$4,Headcount!$4:$4,0))</f>
        <v>5979.618896</v>
      </c>
      <c r="BZ54" s="166">
        <f t="array" ref="BZ54">BZ$45*INDEX(Headcount!$1:$395,MATCH($C54,Headcount!$A:$A,0),MATCH(BZ$4,Headcount!$4:$4,0))</f>
        <v>5979.618896</v>
      </c>
      <c r="CA54" s="166">
        <f t="array" ref="CA54">CA$45*INDEX(Headcount!$1:$395,MATCH($C54,Headcount!$A:$A,0),MATCH(CA$4,Headcount!$4:$4,0))</f>
        <v>6177.008663</v>
      </c>
      <c r="CB54" s="166">
        <f t="array" ref="CB54">CB$45*INDEX(Headcount!$1:$395,MATCH($C54,Headcount!$A:$A,0),MATCH(CB$4,Headcount!$4:$4,0))</f>
        <v>6518.987936</v>
      </c>
      <c r="CC54" s="166">
        <f t="array" ref="CC54">CC$45*INDEX(Headcount!$1:$395,MATCH($C54,Headcount!$A:$A,0),MATCH(CC$4,Headcount!$4:$4,0))</f>
        <v>6518.987936</v>
      </c>
      <c r="CD54" s="166">
        <f t="array" ref="CD54">CD$45*INDEX(Headcount!$1:$395,MATCH($C54,Headcount!$A:$A,0),MATCH(CD$4,Headcount!$4:$4,0))</f>
        <v>6724.273294</v>
      </c>
      <c r="CE54" s="166">
        <f t="array" ref="CE54">CE$45*INDEX(Headcount!$1:$395,MATCH($C54,Headcount!$A:$A,0),MATCH(CE$4,Headcount!$4:$4,0))</f>
        <v>6724.273294</v>
      </c>
      <c r="CF54" s="166">
        <f t="array" ref="CF54">CF$45*INDEX(Headcount!$1:$395,MATCH($C54,Headcount!$A:$A,0),MATCH(CF$4,Headcount!$4:$4,0))</f>
        <v>6993.244225</v>
      </c>
      <c r="CG54" s="166">
        <f t="array" ref="CG54">CG$45*INDEX(Headcount!$1:$395,MATCH($C54,Headcount!$A:$A,0),MATCH(CG$4,Headcount!$4:$4,0))</f>
        <v>7198.529583</v>
      </c>
      <c r="CH54" s="166">
        <f t="array" ref="CH54">CH$45*INDEX(Headcount!$1:$395,MATCH($C54,Headcount!$A:$A,0),MATCH(CH$4,Headcount!$4:$4,0))</f>
        <v>7198.529583</v>
      </c>
      <c r="CI54" s="166">
        <f t="array" ref="CI54">CI$45*INDEX(Headcount!$1:$395,MATCH($C54,Headcount!$A:$A,0),MATCH(CI$4,Headcount!$4:$4,0))</f>
        <v>7198.529583</v>
      </c>
      <c r="CJ54" s="166">
        <f t="array" ref="CJ54">CJ$45*INDEX(Headcount!$1:$395,MATCH($C54,Headcount!$A:$A,0),MATCH(CJ$4,Headcount!$4:$4,0))</f>
        <v>7699.967538</v>
      </c>
      <c r="CK54" s="166">
        <f t="array" ref="CK54">CK$45*INDEX(Headcount!$1:$395,MATCH($C54,Headcount!$A:$A,0),MATCH(CK$4,Headcount!$4:$4,0))</f>
        <v>7699.967538</v>
      </c>
      <c r="CL54" s="166">
        <f t="array" ref="CL54">CL$45*INDEX(Headcount!$1:$395,MATCH($C54,Headcount!$A:$A,0),MATCH(CL$4,Headcount!$4:$4,0))</f>
        <v>7699.967538</v>
      </c>
      <c r="CM54" s="166">
        <f t="array" ref="CM54">CM$45*INDEX(Headcount!$1:$395,MATCH($C54,Headcount!$A:$A,0),MATCH(CM$4,Headcount!$4:$4,0))</f>
        <v>7699.967538</v>
      </c>
      <c r="CN54" s="166">
        <f t="array" ref="CN54">CN$45*INDEX(Headcount!$1:$395,MATCH($C54,Headcount!$A:$A,0),MATCH(CN$4,Headcount!$4:$4,0))</f>
        <v>8007.96624</v>
      </c>
      <c r="CO54" s="166">
        <f t="array" ref="CO54">CO$45*INDEX(Headcount!$1:$395,MATCH($C54,Headcount!$A:$A,0),MATCH(CO$4,Headcount!$4:$4,0))</f>
        <v>8007.96624</v>
      </c>
      <c r="CP54" s="166">
        <f t="array" ref="CP54">CP$45*INDEX(Headcount!$1:$395,MATCH($C54,Headcount!$A:$A,0),MATCH(CP$4,Headcount!$4:$4,0))</f>
        <v>8007.96624</v>
      </c>
      <c r="CQ54" s="166">
        <f t="array" ref="CQ54">CQ$45*INDEX(Headcount!$1:$395,MATCH($C54,Headcount!$A:$A,0),MATCH(CQ$4,Headcount!$4:$4,0))</f>
        <v>8007.96624</v>
      </c>
      <c r="CR54" s="166">
        <f t="array" ref="CR54">CR$45*INDEX(Headcount!$1:$395,MATCH($C54,Headcount!$A:$A,0),MATCH(CR$4,Headcount!$4:$4,0))</f>
        <v>8328.284889</v>
      </c>
      <c r="CS54" s="166">
        <f t="array" ref="CS54">CS$45*INDEX(Headcount!$1:$395,MATCH($C54,Headcount!$A:$A,0),MATCH(CS$4,Headcount!$4:$4,0))</f>
        <v>8328.284889</v>
      </c>
      <c r="CT54" s="166">
        <f t="array" ref="CT54">CT$45*INDEX(Headcount!$1:$395,MATCH($C54,Headcount!$A:$A,0),MATCH(CT$4,Headcount!$4:$4,0))</f>
        <v>8328.284889</v>
      </c>
      <c r="CU54" s="166">
        <f t="array" ref="CU54">CU$45*INDEX(Headcount!$1:$395,MATCH($C54,Headcount!$A:$A,0),MATCH(CU$4,Headcount!$4:$4,0))</f>
        <v>8328.284889</v>
      </c>
      <c r="CV54" s="162"/>
      <c r="CW54" s="162"/>
      <c r="CX54" s="162"/>
      <c r="CY54" s="162"/>
      <c r="CZ54" s="162"/>
      <c r="DA54" s="162"/>
      <c r="DB54" s="162"/>
      <c r="DC54" s="162"/>
    </row>
    <row r="55" ht="15.75" customHeight="1">
      <c r="A55" s="146" t="s">
        <v>174</v>
      </c>
      <c r="B55" s="146" t="s">
        <v>176</v>
      </c>
      <c r="C55" s="160" t="s">
        <v>232</v>
      </c>
      <c r="D55" s="161">
        <f t="shared" ref="D55:AL55" si="46">RANDBETWEEN(1000,2500)</f>
        <v>1444</v>
      </c>
      <c r="E55" s="161">
        <f t="shared" si="46"/>
        <v>2301</v>
      </c>
      <c r="F55" s="161">
        <f t="shared" si="46"/>
        <v>2204</v>
      </c>
      <c r="G55" s="161">
        <f t="shared" si="46"/>
        <v>1964</v>
      </c>
      <c r="H55" s="161">
        <f t="shared" si="46"/>
        <v>1997</v>
      </c>
      <c r="I55" s="161">
        <f t="shared" si="46"/>
        <v>1099</v>
      </c>
      <c r="J55" s="161">
        <f t="shared" si="46"/>
        <v>1220</v>
      </c>
      <c r="K55" s="161">
        <f t="shared" si="46"/>
        <v>1085</v>
      </c>
      <c r="L55" s="161">
        <f t="shared" si="46"/>
        <v>1482</v>
      </c>
      <c r="M55" s="161">
        <f t="shared" si="46"/>
        <v>2030</v>
      </c>
      <c r="N55" s="161">
        <f t="shared" si="46"/>
        <v>1709</v>
      </c>
      <c r="O55" s="161">
        <f t="shared" si="46"/>
        <v>1944</v>
      </c>
      <c r="P55" s="161">
        <f t="shared" si="46"/>
        <v>1664</v>
      </c>
      <c r="Q55" s="161">
        <f t="shared" si="46"/>
        <v>2086</v>
      </c>
      <c r="R55" s="161">
        <f t="shared" si="46"/>
        <v>1657</v>
      </c>
      <c r="S55" s="161">
        <f t="shared" si="46"/>
        <v>2167</v>
      </c>
      <c r="T55" s="161">
        <f t="shared" si="46"/>
        <v>1899</v>
      </c>
      <c r="U55" s="161">
        <f t="shared" si="46"/>
        <v>2151</v>
      </c>
      <c r="V55" s="161">
        <f t="shared" si="46"/>
        <v>1244</v>
      </c>
      <c r="W55" s="161">
        <f t="shared" si="46"/>
        <v>2350</v>
      </c>
      <c r="X55" s="161">
        <f t="shared" si="46"/>
        <v>1589</v>
      </c>
      <c r="Y55" s="161">
        <f t="shared" si="46"/>
        <v>1916</v>
      </c>
      <c r="Z55" s="161">
        <f t="shared" si="46"/>
        <v>1836</v>
      </c>
      <c r="AA55" s="161">
        <f t="shared" si="46"/>
        <v>1644</v>
      </c>
      <c r="AB55" s="161">
        <f t="shared" si="46"/>
        <v>1185</v>
      </c>
      <c r="AC55" s="161">
        <f t="shared" si="46"/>
        <v>2212</v>
      </c>
      <c r="AD55" s="161">
        <f t="shared" si="46"/>
        <v>1019</v>
      </c>
      <c r="AE55" s="161">
        <f t="shared" si="46"/>
        <v>1687</v>
      </c>
      <c r="AF55" s="161">
        <f t="shared" si="46"/>
        <v>1322</v>
      </c>
      <c r="AG55" s="161">
        <f t="shared" si="46"/>
        <v>1672</v>
      </c>
      <c r="AH55" s="161">
        <f t="shared" si="46"/>
        <v>1449</v>
      </c>
      <c r="AI55" s="161">
        <f t="shared" si="46"/>
        <v>1462</v>
      </c>
      <c r="AJ55" s="161">
        <f t="shared" si="46"/>
        <v>1547</v>
      </c>
      <c r="AK55" s="161">
        <f t="shared" si="46"/>
        <v>2048</v>
      </c>
      <c r="AL55" s="161">
        <f t="shared" si="46"/>
        <v>2171</v>
      </c>
      <c r="AM55" s="166">
        <f t="array" ref="AM55">AM$45*INDEX(Headcount!$1:$395,MATCH($C55,Headcount!$A:$A,0),MATCH(AM$4,Headcount!$4:$4,0))</f>
        <v>71.647</v>
      </c>
      <c r="AN55" s="166">
        <f t="array" ref="AN55">AN$45*INDEX(Headcount!$1:$395,MATCH($C55,Headcount!$A:$A,0),MATCH(AN$4,Headcount!$4:$4,0))</f>
        <v>116.471115</v>
      </c>
      <c r="AO55" s="166">
        <f t="array" ref="AO55">AO$45*INDEX(Headcount!$1:$395,MATCH($C55,Headcount!$A:$A,0),MATCH(AO$4,Headcount!$4:$4,0))</f>
        <v>134.871115</v>
      </c>
      <c r="AP55" s="166">
        <f t="array" ref="AP55">AP$45*INDEX(Headcount!$1:$395,MATCH($C55,Headcount!$A:$A,0),MATCH(AP$4,Headcount!$4:$4,0))</f>
        <v>142.871115</v>
      </c>
      <c r="AQ55" s="166">
        <f t="array" ref="AQ55">AQ$45*INDEX(Headcount!$1:$395,MATCH($C55,Headcount!$A:$A,0),MATCH(AQ$4,Headcount!$4:$4,0))</f>
        <v>155.871115</v>
      </c>
      <c r="AR55" s="166">
        <f t="array" ref="AR55">AR$45*INDEX(Headcount!$1:$395,MATCH($C55,Headcount!$A:$A,0),MATCH(AR$4,Headcount!$4:$4,0))</f>
        <v>162.8853152</v>
      </c>
      <c r="AS55" s="166">
        <f t="array" ref="AS55">AS$45*INDEX(Headcount!$1:$395,MATCH($C55,Headcount!$A:$A,0),MATCH(AS$4,Headcount!$4:$4,0))</f>
        <v>162.8853152</v>
      </c>
      <c r="AT55" s="166">
        <f t="array" ref="AT55">AT$45*INDEX(Headcount!$1:$395,MATCH($C55,Headcount!$A:$A,0),MATCH(AT$4,Headcount!$4:$4,0))</f>
        <v>173.7013152</v>
      </c>
      <c r="AU55" s="166">
        <f t="array" ref="AU55">AU$45*INDEX(Headcount!$1:$395,MATCH($C55,Headcount!$A:$A,0),MATCH(AU$4,Headcount!$4:$4,0))</f>
        <v>189.7173152</v>
      </c>
      <c r="AV55" s="166">
        <f t="array" ref="AV55">AV$45*INDEX(Headcount!$1:$395,MATCH($C55,Headcount!$A:$A,0),MATCH(AV$4,Headcount!$4:$4,0))</f>
        <v>209.0705944</v>
      </c>
      <c r="AW55" s="166">
        <f t="array" ref="AW55">AW$45*INDEX(Headcount!$1:$395,MATCH($C55,Headcount!$A:$A,0),MATCH(AW$4,Headcount!$4:$4,0))</f>
        <v>219.8865944</v>
      </c>
      <c r="AX55" s="166">
        <f t="array" ref="AX55">AX$45*INDEX(Headcount!$1:$395,MATCH($C55,Headcount!$A:$A,0),MATCH(AX$4,Headcount!$4:$4,0))</f>
        <v>235.9025944</v>
      </c>
      <c r="AY55" s="166">
        <f t="array" ref="AY55">AY$45*INDEX(Headcount!$1:$395,MATCH($C55,Headcount!$A:$A,0),MATCH(AY$4,Headcount!$4:$4,0))</f>
        <v>246.7185944</v>
      </c>
      <c r="AZ55" s="166">
        <f t="array" ref="AZ55">AZ$45*INDEX(Headcount!$1:$395,MATCH($C55,Headcount!$A:$A,0),MATCH(AZ$4,Headcount!$4:$4,0))</f>
        <v>535.6719563</v>
      </c>
      <c r="BA55" s="166">
        <f t="array" ref="BA55">BA$45*INDEX(Headcount!$1:$395,MATCH($C55,Headcount!$A:$A,0),MATCH(BA$4,Headcount!$4:$4,0))</f>
        <v>535.6719563</v>
      </c>
      <c r="BB55" s="166">
        <f t="array" ref="BB55">BB$45*INDEX(Headcount!$1:$395,MATCH($C55,Headcount!$A:$A,0),MATCH(BB$4,Headcount!$4:$4,0))</f>
        <v>535.6719563</v>
      </c>
      <c r="BC55" s="166">
        <f t="array" ref="BC55">BC$45*INDEX(Headcount!$1:$395,MATCH($C55,Headcount!$A:$A,0),MATCH(BC$4,Headcount!$4:$4,0))</f>
        <v>535.6719563</v>
      </c>
      <c r="BD55" s="166">
        <f t="array" ref="BD55">BD$45*INDEX(Headcount!$1:$395,MATCH($C55,Headcount!$A:$A,0),MATCH(BD$4,Headcount!$4:$4,0))</f>
        <v>557.0988345</v>
      </c>
      <c r="BE55" s="166">
        <f t="array" ref="BE55">BE$45*INDEX(Headcount!$1:$395,MATCH($C55,Headcount!$A:$A,0),MATCH(BE$4,Headcount!$4:$4,0))</f>
        <v>557.0988345</v>
      </c>
      <c r="BF55" s="166">
        <f t="array" ref="BF55">BF$45*INDEX(Headcount!$1:$395,MATCH($C55,Headcount!$A:$A,0),MATCH(BF$4,Headcount!$4:$4,0))</f>
        <v>557.0988345</v>
      </c>
      <c r="BG55" s="166">
        <f t="array" ref="BG55">BG$45*INDEX(Headcount!$1:$395,MATCH($C55,Headcount!$A:$A,0),MATCH(BG$4,Headcount!$4:$4,0))</f>
        <v>557.0988345</v>
      </c>
      <c r="BH55" s="166">
        <f t="array" ref="BH55">BH$45*INDEX(Headcount!$1:$395,MATCH($C55,Headcount!$A:$A,0),MATCH(BH$4,Headcount!$4:$4,0))</f>
        <v>579.3827879</v>
      </c>
      <c r="BI55" s="166">
        <f t="array" ref="BI55">BI$45*INDEX(Headcount!$1:$395,MATCH($C55,Headcount!$A:$A,0),MATCH(BI$4,Headcount!$4:$4,0))</f>
        <v>579.3827879</v>
      </c>
      <c r="BJ55" s="166">
        <f t="array" ref="BJ55">BJ$45*INDEX(Headcount!$1:$395,MATCH($C55,Headcount!$A:$A,0),MATCH(BJ$4,Headcount!$4:$4,0))</f>
        <v>579.3827879</v>
      </c>
      <c r="BK55" s="166">
        <f t="array" ref="BK55">BK$45*INDEX(Headcount!$1:$395,MATCH($C55,Headcount!$A:$A,0),MATCH(BK$4,Headcount!$4:$4,0))</f>
        <v>579.3827879</v>
      </c>
      <c r="BL55" s="166">
        <f t="array" ref="BL55">BL$45*INDEX(Headcount!$1:$395,MATCH($C55,Headcount!$A:$A,0),MATCH(BL$4,Headcount!$4:$4,0))</f>
        <v>903.8371491</v>
      </c>
      <c r="BM55" s="166">
        <f t="array" ref="BM55">BM$45*INDEX(Headcount!$1:$395,MATCH($C55,Headcount!$A:$A,0),MATCH(BM$4,Headcount!$4:$4,0))</f>
        <v>903.8371491</v>
      </c>
      <c r="BN55" s="166">
        <f t="array" ref="BN55">BN$45*INDEX(Headcount!$1:$395,MATCH($C55,Headcount!$A:$A,0),MATCH(BN$4,Headcount!$4:$4,0))</f>
        <v>903.8371491</v>
      </c>
      <c r="BO55" s="166">
        <f t="array" ref="BO55">BO$45*INDEX(Headcount!$1:$395,MATCH($C55,Headcount!$A:$A,0),MATCH(BO$4,Headcount!$4:$4,0))</f>
        <v>903.8371491</v>
      </c>
      <c r="BP55" s="166">
        <f t="array" ref="BP55">BP$45*INDEX(Headcount!$1:$395,MATCH($C55,Headcount!$A:$A,0),MATCH(BP$4,Headcount!$4:$4,0))</f>
        <v>976.4902222</v>
      </c>
      <c r="BQ55" s="166">
        <f t="array" ref="BQ55">BQ$45*INDEX(Headcount!$1:$395,MATCH($C55,Headcount!$A:$A,0),MATCH(BQ$4,Headcount!$4:$4,0))</f>
        <v>976.4902222</v>
      </c>
      <c r="BR55" s="166">
        <f t="array" ref="BR55">BR$45*INDEX(Headcount!$1:$395,MATCH($C55,Headcount!$A:$A,0),MATCH(BR$4,Headcount!$4:$4,0))</f>
        <v>994.7400157</v>
      </c>
      <c r="BS55" s="166">
        <f t="array" ref="BS55">BS$45*INDEX(Headcount!$1:$395,MATCH($C55,Headcount!$A:$A,0),MATCH(BS$4,Headcount!$4:$4,0))</f>
        <v>1032.699586</v>
      </c>
      <c r="BT55" s="166">
        <f t="array" ref="BT55">BT$45*INDEX(Headcount!$1:$395,MATCH($C55,Headcount!$A:$A,0),MATCH(BT$4,Headcount!$4:$4,0))</f>
        <v>1074.00757</v>
      </c>
      <c r="BU55" s="166">
        <f t="array" ref="BU55">BU$45*INDEX(Headcount!$1:$395,MATCH($C55,Headcount!$A:$A,0),MATCH(BU$4,Headcount!$4:$4,0))</f>
        <v>1111.96714</v>
      </c>
      <c r="BV55" s="166">
        <f t="array" ref="BV55">BV$45*INDEX(Headcount!$1:$395,MATCH($C55,Headcount!$A:$A,0),MATCH(BV$4,Headcount!$4:$4,0))</f>
        <v>1111.96714</v>
      </c>
      <c r="BW55" s="166">
        <f t="array" ref="BW55">BW$45*INDEX(Headcount!$1:$395,MATCH($C55,Headcount!$A:$A,0),MATCH(BW$4,Headcount!$4:$4,0))</f>
        <v>1111.96714</v>
      </c>
      <c r="BX55" s="166">
        <f t="array" ref="BX55">BX$45*INDEX(Headcount!$1:$395,MATCH($C55,Headcount!$A:$A,0),MATCH(BX$4,Headcount!$4:$4,0))</f>
        <v>1195.923779</v>
      </c>
      <c r="BY55" s="166">
        <f t="array" ref="BY55">BY$45*INDEX(Headcount!$1:$395,MATCH($C55,Headcount!$A:$A,0),MATCH(BY$4,Headcount!$4:$4,0))</f>
        <v>1594.565039</v>
      </c>
      <c r="BZ55" s="166">
        <f t="array" ref="BZ55">BZ$45*INDEX(Headcount!$1:$395,MATCH($C55,Headcount!$A:$A,0),MATCH(BZ$4,Headcount!$4:$4,0))</f>
        <v>1594.565039</v>
      </c>
      <c r="CA55" s="166">
        <f t="array" ref="CA55">CA$45*INDEX(Headcount!$1:$395,MATCH($C55,Headcount!$A:$A,0),MATCH(CA$4,Headcount!$4:$4,0))</f>
        <v>1647.20231</v>
      </c>
      <c r="CB55" s="166">
        <f t="array" ref="CB55">CB$45*INDEX(Headcount!$1:$395,MATCH($C55,Headcount!$A:$A,0),MATCH(CB$4,Headcount!$4:$4,0))</f>
        <v>1738.396783</v>
      </c>
      <c r="CC55" s="166">
        <f t="array" ref="CC55">CC$45*INDEX(Headcount!$1:$395,MATCH($C55,Headcount!$A:$A,0),MATCH(CC$4,Headcount!$4:$4,0))</f>
        <v>1738.396783</v>
      </c>
      <c r="CD55" s="166">
        <f t="array" ref="CD55">CD$45*INDEX(Headcount!$1:$395,MATCH($C55,Headcount!$A:$A,0),MATCH(CD$4,Headcount!$4:$4,0))</f>
        <v>1793.139545</v>
      </c>
      <c r="CE55" s="166">
        <f t="array" ref="CE55">CE$45*INDEX(Headcount!$1:$395,MATCH($C55,Headcount!$A:$A,0),MATCH(CE$4,Headcount!$4:$4,0))</f>
        <v>1793.139545</v>
      </c>
      <c r="CF55" s="166">
        <f t="array" ref="CF55">CF$45*INDEX(Headcount!$1:$395,MATCH($C55,Headcount!$A:$A,0),MATCH(CF$4,Headcount!$4:$4,0))</f>
        <v>1864.865127</v>
      </c>
      <c r="CG55" s="166">
        <f t="array" ref="CG55">CG$45*INDEX(Headcount!$1:$395,MATCH($C55,Headcount!$A:$A,0),MATCH(CG$4,Headcount!$4:$4,0))</f>
        <v>1919.607889</v>
      </c>
      <c r="CH55" s="166">
        <f t="array" ref="CH55">CH$45*INDEX(Headcount!$1:$395,MATCH($C55,Headcount!$A:$A,0),MATCH(CH$4,Headcount!$4:$4,0))</f>
        <v>1919.607889</v>
      </c>
      <c r="CI55" s="166">
        <f t="array" ref="CI55">CI$45*INDEX(Headcount!$1:$395,MATCH($C55,Headcount!$A:$A,0),MATCH(CI$4,Headcount!$4:$4,0))</f>
        <v>1919.607889</v>
      </c>
      <c r="CJ55" s="166">
        <f t="array" ref="CJ55">CJ$45*INDEX(Headcount!$1:$395,MATCH($C55,Headcount!$A:$A,0),MATCH(CJ$4,Headcount!$4:$4,0))</f>
        <v>2566.655846</v>
      </c>
      <c r="CK55" s="166">
        <f t="array" ref="CK55">CK$45*INDEX(Headcount!$1:$395,MATCH($C55,Headcount!$A:$A,0),MATCH(CK$4,Headcount!$4:$4,0))</f>
        <v>2566.655846</v>
      </c>
      <c r="CL55" s="166">
        <f t="array" ref="CL55">CL$45*INDEX(Headcount!$1:$395,MATCH($C55,Headcount!$A:$A,0),MATCH(CL$4,Headcount!$4:$4,0))</f>
        <v>2566.655846</v>
      </c>
      <c r="CM55" s="166">
        <f t="array" ref="CM55">CM$45*INDEX(Headcount!$1:$395,MATCH($C55,Headcount!$A:$A,0),MATCH(CM$4,Headcount!$4:$4,0))</f>
        <v>2566.655846</v>
      </c>
      <c r="CN55" s="166">
        <f t="array" ref="CN55">CN$45*INDEX(Headcount!$1:$395,MATCH($C55,Headcount!$A:$A,0),MATCH(CN$4,Headcount!$4:$4,0))</f>
        <v>2669.32208</v>
      </c>
      <c r="CO55" s="166">
        <f t="array" ref="CO55">CO$45*INDEX(Headcount!$1:$395,MATCH($C55,Headcount!$A:$A,0),MATCH(CO$4,Headcount!$4:$4,0))</f>
        <v>2669.32208</v>
      </c>
      <c r="CP55" s="166">
        <f t="array" ref="CP55">CP$45*INDEX(Headcount!$1:$395,MATCH($C55,Headcount!$A:$A,0),MATCH(CP$4,Headcount!$4:$4,0))</f>
        <v>2669.32208</v>
      </c>
      <c r="CQ55" s="166">
        <f t="array" ref="CQ55">CQ$45*INDEX(Headcount!$1:$395,MATCH($C55,Headcount!$A:$A,0),MATCH(CQ$4,Headcount!$4:$4,0))</f>
        <v>2669.32208</v>
      </c>
      <c r="CR55" s="166">
        <f t="array" ref="CR55">CR$45*INDEX(Headcount!$1:$395,MATCH($C55,Headcount!$A:$A,0),MATCH(CR$4,Headcount!$4:$4,0))</f>
        <v>2776.094963</v>
      </c>
      <c r="CS55" s="166">
        <f t="array" ref="CS55">CS$45*INDEX(Headcount!$1:$395,MATCH($C55,Headcount!$A:$A,0),MATCH(CS$4,Headcount!$4:$4,0))</f>
        <v>2776.094963</v>
      </c>
      <c r="CT55" s="166">
        <f t="array" ref="CT55">CT$45*INDEX(Headcount!$1:$395,MATCH($C55,Headcount!$A:$A,0),MATCH(CT$4,Headcount!$4:$4,0))</f>
        <v>2776.094963</v>
      </c>
      <c r="CU55" s="166">
        <f t="array" ref="CU55">CU$45*INDEX(Headcount!$1:$395,MATCH($C55,Headcount!$A:$A,0),MATCH(CU$4,Headcount!$4:$4,0))</f>
        <v>2776.094963</v>
      </c>
      <c r="CV55" s="162"/>
      <c r="CW55" s="162"/>
      <c r="CX55" s="162"/>
      <c r="CY55" s="162"/>
      <c r="CZ55" s="162"/>
      <c r="DA55" s="162"/>
      <c r="DB55" s="162"/>
      <c r="DC55" s="162"/>
    </row>
    <row r="56" ht="15.75" customHeight="1">
      <c r="A56" s="146" t="s">
        <v>174</v>
      </c>
      <c r="B56" s="146" t="s">
        <v>176</v>
      </c>
      <c r="C56" s="160" t="s">
        <v>233</v>
      </c>
      <c r="D56" s="161">
        <f t="shared" ref="D56:AL56" si="47">RANDBETWEEN(1000,2500)</f>
        <v>1601</v>
      </c>
      <c r="E56" s="161">
        <f t="shared" si="47"/>
        <v>1596</v>
      </c>
      <c r="F56" s="161">
        <f t="shared" si="47"/>
        <v>1387</v>
      </c>
      <c r="G56" s="161">
        <f t="shared" si="47"/>
        <v>1923</v>
      </c>
      <c r="H56" s="161">
        <f t="shared" si="47"/>
        <v>1618</v>
      </c>
      <c r="I56" s="161">
        <f t="shared" si="47"/>
        <v>2289</v>
      </c>
      <c r="J56" s="161">
        <f t="shared" si="47"/>
        <v>2118</v>
      </c>
      <c r="K56" s="161">
        <f t="shared" si="47"/>
        <v>2450</v>
      </c>
      <c r="L56" s="161">
        <f t="shared" si="47"/>
        <v>2217</v>
      </c>
      <c r="M56" s="161">
        <f t="shared" si="47"/>
        <v>1907</v>
      </c>
      <c r="N56" s="161">
        <f t="shared" si="47"/>
        <v>1491</v>
      </c>
      <c r="O56" s="161">
        <f t="shared" si="47"/>
        <v>2445</v>
      </c>
      <c r="P56" s="161">
        <f t="shared" si="47"/>
        <v>1217</v>
      </c>
      <c r="Q56" s="161">
        <f t="shared" si="47"/>
        <v>1042</v>
      </c>
      <c r="R56" s="161">
        <f t="shared" si="47"/>
        <v>1903</v>
      </c>
      <c r="S56" s="161">
        <f t="shared" si="47"/>
        <v>1594</v>
      </c>
      <c r="T56" s="161">
        <f t="shared" si="47"/>
        <v>1225</v>
      </c>
      <c r="U56" s="161">
        <f t="shared" si="47"/>
        <v>1675</v>
      </c>
      <c r="V56" s="161">
        <f t="shared" si="47"/>
        <v>1248</v>
      </c>
      <c r="W56" s="161">
        <f t="shared" si="47"/>
        <v>1261</v>
      </c>
      <c r="X56" s="161">
        <f t="shared" si="47"/>
        <v>2377</v>
      </c>
      <c r="Y56" s="161">
        <f t="shared" si="47"/>
        <v>2172</v>
      </c>
      <c r="Z56" s="161">
        <f t="shared" si="47"/>
        <v>2140</v>
      </c>
      <c r="AA56" s="161">
        <f t="shared" si="47"/>
        <v>2265</v>
      </c>
      <c r="AB56" s="161">
        <f t="shared" si="47"/>
        <v>2054</v>
      </c>
      <c r="AC56" s="161">
        <f t="shared" si="47"/>
        <v>1906</v>
      </c>
      <c r="AD56" s="161">
        <f t="shared" si="47"/>
        <v>2078</v>
      </c>
      <c r="AE56" s="161">
        <f t="shared" si="47"/>
        <v>2052</v>
      </c>
      <c r="AF56" s="161">
        <f t="shared" si="47"/>
        <v>1390</v>
      </c>
      <c r="AG56" s="161">
        <f t="shared" si="47"/>
        <v>1890</v>
      </c>
      <c r="AH56" s="161">
        <f t="shared" si="47"/>
        <v>2093</v>
      </c>
      <c r="AI56" s="161">
        <f t="shared" si="47"/>
        <v>1877</v>
      </c>
      <c r="AJ56" s="161">
        <f t="shared" si="47"/>
        <v>2264</v>
      </c>
      <c r="AK56" s="161">
        <f t="shared" si="47"/>
        <v>1733</v>
      </c>
      <c r="AL56" s="161">
        <f t="shared" si="47"/>
        <v>1228</v>
      </c>
      <c r="AM56" s="166">
        <v>0.0</v>
      </c>
      <c r="AN56" s="166">
        <v>0.0</v>
      </c>
      <c r="AO56" s="166">
        <v>0.0</v>
      </c>
      <c r="AP56" s="166">
        <v>0.0</v>
      </c>
      <c r="AQ56" s="166">
        <v>0.0</v>
      </c>
      <c r="AR56" s="166">
        <v>0.0</v>
      </c>
      <c r="AS56" s="166">
        <v>0.0</v>
      </c>
      <c r="AT56" s="166">
        <v>0.0</v>
      </c>
      <c r="AU56" s="166">
        <v>0.0</v>
      </c>
      <c r="AV56" s="166">
        <v>0.0</v>
      </c>
      <c r="AW56" s="166">
        <v>0.0</v>
      </c>
      <c r="AX56" s="166">
        <v>0.0</v>
      </c>
      <c r="AY56" s="166">
        <v>0.0</v>
      </c>
      <c r="AZ56" s="166">
        <v>0.0</v>
      </c>
      <c r="BA56" s="166">
        <v>0.0</v>
      </c>
      <c r="BB56" s="166">
        <v>0.0</v>
      </c>
      <c r="BC56" s="166">
        <v>0.0</v>
      </c>
      <c r="BD56" s="166">
        <v>0.0</v>
      </c>
      <c r="BE56" s="166">
        <v>0.0</v>
      </c>
      <c r="BF56" s="166">
        <v>0.0</v>
      </c>
      <c r="BG56" s="166">
        <v>0.0</v>
      </c>
      <c r="BH56" s="166">
        <v>0.0</v>
      </c>
      <c r="BI56" s="166">
        <v>0.0</v>
      </c>
      <c r="BJ56" s="166">
        <v>0.0</v>
      </c>
      <c r="BK56" s="166">
        <v>0.0</v>
      </c>
      <c r="BL56" s="166">
        <v>0.0</v>
      </c>
      <c r="BM56" s="166">
        <v>0.0</v>
      </c>
      <c r="BN56" s="166">
        <v>0.0</v>
      </c>
      <c r="BO56" s="166">
        <v>0.0</v>
      </c>
      <c r="BP56" s="166">
        <v>0.0</v>
      </c>
      <c r="BQ56" s="166">
        <v>0.0</v>
      </c>
      <c r="BR56" s="166">
        <v>0.0</v>
      </c>
      <c r="BS56" s="166">
        <v>0.0</v>
      </c>
      <c r="BT56" s="166">
        <v>0.0</v>
      </c>
      <c r="BU56" s="166">
        <v>0.0</v>
      </c>
      <c r="BV56" s="166">
        <v>0.0</v>
      </c>
      <c r="BW56" s="166">
        <v>0.0</v>
      </c>
      <c r="BX56" s="166">
        <v>0.0</v>
      </c>
      <c r="BY56" s="166">
        <v>0.0</v>
      </c>
      <c r="BZ56" s="166">
        <v>0.0</v>
      </c>
      <c r="CA56" s="166">
        <v>0.0</v>
      </c>
      <c r="CB56" s="166">
        <v>0.0</v>
      </c>
      <c r="CC56" s="166">
        <v>0.0</v>
      </c>
      <c r="CD56" s="166">
        <v>0.0</v>
      </c>
      <c r="CE56" s="166">
        <v>0.0</v>
      </c>
      <c r="CF56" s="166">
        <v>0.0</v>
      </c>
      <c r="CG56" s="166">
        <v>0.0</v>
      </c>
      <c r="CH56" s="166">
        <v>0.0</v>
      </c>
      <c r="CI56" s="166">
        <v>0.0</v>
      </c>
      <c r="CJ56" s="166">
        <v>0.0</v>
      </c>
      <c r="CK56" s="166">
        <v>0.0</v>
      </c>
      <c r="CL56" s="166">
        <v>0.0</v>
      </c>
      <c r="CM56" s="166">
        <v>0.0</v>
      </c>
      <c r="CN56" s="166">
        <v>0.0</v>
      </c>
      <c r="CO56" s="166">
        <v>0.0</v>
      </c>
      <c r="CP56" s="166">
        <v>0.0</v>
      </c>
      <c r="CQ56" s="166">
        <v>0.0</v>
      </c>
      <c r="CR56" s="166">
        <v>0.0</v>
      </c>
      <c r="CS56" s="166">
        <v>0.0</v>
      </c>
      <c r="CT56" s="166">
        <v>0.0</v>
      </c>
      <c r="CU56" s="166">
        <v>0.0</v>
      </c>
      <c r="CV56" s="162"/>
      <c r="CW56" s="162"/>
      <c r="CX56" s="162"/>
      <c r="CY56" s="162"/>
      <c r="CZ56" s="162"/>
      <c r="DA56" s="162"/>
      <c r="DB56" s="162"/>
      <c r="DC56" s="162"/>
    </row>
    <row r="57" ht="15.75" customHeight="1">
      <c r="A57" s="146" t="s">
        <v>174</v>
      </c>
      <c r="B57" s="146" t="s">
        <v>175</v>
      </c>
      <c r="C57" s="160" t="s">
        <v>234</v>
      </c>
      <c r="D57" s="161">
        <f t="shared" ref="D57:AL57" si="48">RANDBETWEEN(1000,2500)</f>
        <v>1408</v>
      </c>
      <c r="E57" s="161">
        <f t="shared" si="48"/>
        <v>2093</v>
      </c>
      <c r="F57" s="161">
        <f t="shared" si="48"/>
        <v>2335</v>
      </c>
      <c r="G57" s="161">
        <f t="shared" si="48"/>
        <v>1550</v>
      </c>
      <c r="H57" s="161">
        <f t="shared" si="48"/>
        <v>1946</v>
      </c>
      <c r="I57" s="161">
        <f t="shared" si="48"/>
        <v>1858</v>
      </c>
      <c r="J57" s="161">
        <f t="shared" si="48"/>
        <v>2293</v>
      </c>
      <c r="K57" s="161">
        <f t="shared" si="48"/>
        <v>2452</v>
      </c>
      <c r="L57" s="161">
        <f t="shared" si="48"/>
        <v>1992</v>
      </c>
      <c r="M57" s="161">
        <f t="shared" si="48"/>
        <v>1101</v>
      </c>
      <c r="N57" s="161">
        <f t="shared" si="48"/>
        <v>1640</v>
      </c>
      <c r="O57" s="161">
        <f t="shared" si="48"/>
        <v>1042</v>
      </c>
      <c r="P57" s="161">
        <f t="shared" si="48"/>
        <v>1381</v>
      </c>
      <c r="Q57" s="161">
        <f t="shared" si="48"/>
        <v>1435</v>
      </c>
      <c r="R57" s="161">
        <f t="shared" si="48"/>
        <v>1270</v>
      </c>
      <c r="S57" s="161">
        <f t="shared" si="48"/>
        <v>1391</v>
      </c>
      <c r="T57" s="161">
        <f t="shared" si="48"/>
        <v>1305</v>
      </c>
      <c r="U57" s="161">
        <f t="shared" si="48"/>
        <v>1748</v>
      </c>
      <c r="V57" s="161">
        <f t="shared" si="48"/>
        <v>1057</v>
      </c>
      <c r="W57" s="161">
        <f t="shared" si="48"/>
        <v>2409</v>
      </c>
      <c r="X57" s="161">
        <f t="shared" si="48"/>
        <v>2364</v>
      </c>
      <c r="Y57" s="161">
        <f t="shared" si="48"/>
        <v>1824</v>
      </c>
      <c r="Z57" s="161">
        <f t="shared" si="48"/>
        <v>1479</v>
      </c>
      <c r="AA57" s="161">
        <f t="shared" si="48"/>
        <v>1693</v>
      </c>
      <c r="AB57" s="161">
        <f t="shared" si="48"/>
        <v>1950</v>
      </c>
      <c r="AC57" s="161">
        <f t="shared" si="48"/>
        <v>1057</v>
      </c>
      <c r="AD57" s="161">
        <f t="shared" si="48"/>
        <v>1744</v>
      </c>
      <c r="AE57" s="161">
        <f t="shared" si="48"/>
        <v>1800</v>
      </c>
      <c r="AF57" s="161">
        <f t="shared" si="48"/>
        <v>1893</v>
      </c>
      <c r="AG57" s="161">
        <f t="shared" si="48"/>
        <v>1014</v>
      </c>
      <c r="AH57" s="161">
        <f t="shared" si="48"/>
        <v>1014</v>
      </c>
      <c r="AI57" s="161">
        <f t="shared" si="48"/>
        <v>2385</v>
      </c>
      <c r="AJ57" s="161">
        <f t="shared" si="48"/>
        <v>1641</v>
      </c>
      <c r="AK57" s="161">
        <f t="shared" si="48"/>
        <v>1499</v>
      </c>
      <c r="AL57" s="161">
        <f t="shared" si="48"/>
        <v>2236</v>
      </c>
      <c r="AM57" s="166">
        <f t="array" ref="AM57">AM$45*INDEX(Headcount!$1:$395,MATCH($C57,Headcount!$A:$A,0),MATCH(AM$4,Headcount!$4:$4,0))</f>
        <v>5445.172</v>
      </c>
      <c r="AN57" s="166">
        <f t="array" ref="AN57">AN$45*INDEX(Headcount!$1:$395,MATCH($C57,Headcount!$A:$A,0),MATCH(AN$4,Headcount!$4:$4,0))</f>
        <v>8851.80474</v>
      </c>
      <c r="AO57" s="166">
        <f t="array" ref="AO57">AO$45*INDEX(Headcount!$1:$395,MATCH($C57,Headcount!$A:$A,0),MATCH(AO$4,Headcount!$4:$4,0))</f>
        <v>6743.55575</v>
      </c>
      <c r="AP57" s="166">
        <f t="array" ref="AP57">AP$45*INDEX(Headcount!$1:$395,MATCH($C57,Headcount!$A:$A,0),MATCH(AP$4,Headcount!$4:$4,0))</f>
        <v>4286.13345</v>
      </c>
      <c r="AQ57" s="166">
        <f t="array" ref="AQ57">AQ$45*INDEX(Headcount!$1:$395,MATCH($C57,Headcount!$A:$A,0),MATCH(AQ$4,Headcount!$4:$4,0))</f>
        <v>4676.13345</v>
      </c>
      <c r="AR57" s="166">
        <f t="array" ref="AR57">AR$45*INDEX(Headcount!$1:$395,MATCH($C57,Headcount!$A:$A,0),MATCH(AR$4,Headcount!$4:$4,0))</f>
        <v>3257.706304</v>
      </c>
      <c r="AS57" s="166">
        <f t="array" ref="AS57">AS$45*INDEX(Headcount!$1:$395,MATCH($C57,Headcount!$A:$A,0),MATCH(AS$4,Headcount!$4:$4,0))</f>
        <v>3257.706304</v>
      </c>
      <c r="AT57" s="166">
        <f t="array" ref="AT57">AT$45*INDEX(Headcount!$1:$395,MATCH($C57,Headcount!$A:$A,0),MATCH(AT$4,Headcount!$4:$4,0))</f>
        <v>3474.026304</v>
      </c>
      <c r="AU57" s="166">
        <f t="array" ref="AU57">AU$45*INDEX(Headcount!$1:$395,MATCH($C57,Headcount!$A:$A,0),MATCH(AU$4,Headcount!$4:$4,0))</f>
        <v>3794.346304</v>
      </c>
      <c r="AV57" s="166">
        <f t="array" ref="AV57">AV$45*INDEX(Headcount!$1:$395,MATCH($C57,Headcount!$A:$A,0),MATCH(AV$4,Headcount!$4:$4,0))</f>
        <v>4181.411887</v>
      </c>
      <c r="AW57" s="166">
        <f t="array" ref="AW57">AW$45*INDEX(Headcount!$1:$395,MATCH($C57,Headcount!$A:$A,0),MATCH(AW$4,Headcount!$4:$4,0))</f>
        <v>4397.731887</v>
      </c>
      <c r="AX57" s="166">
        <f t="array" ref="AX57">AX$45*INDEX(Headcount!$1:$395,MATCH($C57,Headcount!$A:$A,0),MATCH(AX$4,Headcount!$4:$4,0))</f>
        <v>4718.051887</v>
      </c>
      <c r="AY57" s="166">
        <f t="array" ref="AY57">AY$45*INDEX(Headcount!$1:$395,MATCH($C57,Headcount!$A:$A,0),MATCH(AY$4,Headcount!$4:$4,0))</f>
        <v>4934.371887</v>
      </c>
      <c r="AZ57" s="166">
        <f t="array" ref="AZ57">AZ$45*INDEX(Headcount!$1:$395,MATCH($C57,Headcount!$A:$A,0),MATCH(AZ$4,Headcount!$4:$4,0))</f>
        <v>5356.719563</v>
      </c>
      <c r="BA57" s="166">
        <f t="array" ref="BA57">BA$45*INDEX(Headcount!$1:$395,MATCH($C57,Headcount!$A:$A,0),MATCH(BA$4,Headcount!$4:$4,0))</f>
        <v>5356.719563</v>
      </c>
      <c r="BB57" s="166">
        <f t="array" ref="BB57">BB$45*INDEX(Headcount!$1:$395,MATCH($C57,Headcount!$A:$A,0),MATCH(BB$4,Headcount!$4:$4,0))</f>
        <v>5356.719563</v>
      </c>
      <c r="BC57" s="166">
        <f t="array" ref="BC57">BC$45*INDEX(Headcount!$1:$395,MATCH($C57,Headcount!$A:$A,0),MATCH(BC$4,Headcount!$4:$4,0))</f>
        <v>5356.719563</v>
      </c>
      <c r="BD57" s="166">
        <f t="array" ref="BD57">BD$45*INDEX(Headcount!$1:$395,MATCH($C57,Headcount!$A:$A,0),MATCH(BD$4,Headcount!$4:$4,0))</f>
        <v>5570.988345</v>
      </c>
      <c r="BE57" s="166">
        <f t="array" ref="BE57">BE$45*INDEX(Headcount!$1:$395,MATCH($C57,Headcount!$A:$A,0),MATCH(BE$4,Headcount!$4:$4,0))</f>
        <v>5570.988345</v>
      </c>
      <c r="BF57" s="166">
        <f t="array" ref="BF57">BF$45*INDEX(Headcount!$1:$395,MATCH($C57,Headcount!$A:$A,0),MATCH(BF$4,Headcount!$4:$4,0))</f>
        <v>5570.988345</v>
      </c>
      <c r="BG57" s="166">
        <f t="array" ref="BG57">BG$45*INDEX(Headcount!$1:$395,MATCH($C57,Headcount!$A:$A,0),MATCH(BG$4,Headcount!$4:$4,0))</f>
        <v>5570.988345</v>
      </c>
      <c r="BH57" s="166">
        <f t="array" ref="BH57">BH$45*INDEX(Headcount!$1:$395,MATCH($C57,Headcount!$A:$A,0),MATCH(BH$4,Headcount!$4:$4,0))</f>
        <v>5793.827879</v>
      </c>
      <c r="BI57" s="166">
        <f t="array" ref="BI57">BI$45*INDEX(Headcount!$1:$395,MATCH($C57,Headcount!$A:$A,0),MATCH(BI$4,Headcount!$4:$4,0))</f>
        <v>5793.827879</v>
      </c>
      <c r="BJ57" s="166">
        <f t="array" ref="BJ57">BJ$45*INDEX(Headcount!$1:$395,MATCH($C57,Headcount!$A:$A,0),MATCH(BJ$4,Headcount!$4:$4,0))</f>
        <v>5793.827879</v>
      </c>
      <c r="BK57" s="166">
        <f t="array" ref="BK57">BK$45*INDEX(Headcount!$1:$395,MATCH($C57,Headcount!$A:$A,0),MATCH(BK$4,Headcount!$4:$4,0))</f>
        <v>5793.827879</v>
      </c>
      <c r="BL57" s="166">
        <f t="array" ref="BL57">BL$45*INDEX(Headcount!$1:$395,MATCH($C57,Headcount!$A:$A,0),MATCH(BL$4,Headcount!$4:$4,0))</f>
        <v>6025.580994</v>
      </c>
      <c r="BM57" s="166">
        <f t="array" ref="BM57">BM$45*INDEX(Headcount!$1:$395,MATCH($C57,Headcount!$A:$A,0),MATCH(BM$4,Headcount!$4:$4,0))</f>
        <v>6025.580994</v>
      </c>
      <c r="BN57" s="166">
        <f t="array" ref="BN57">BN$45*INDEX(Headcount!$1:$395,MATCH($C57,Headcount!$A:$A,0),MATCH(BN$4,Headcount!$4:$4,0))</f>
        <v>6025.580994</v>
      </c>
      <c r="BO57" s="166">
        <f t="array" ref="BO57">BO$45*INDEX(Headcount!$1:$395,MATCH($C57,Headcount!$A:$A,0),MATCH(BO$4,Headcount!$4:$4,0))</f>
        <v>6025.580994</v>
      </c>
      <c r="BP57" s="166">
        <f t="array" ref="BP57">BP$45*INDEX(Headcount!$1:$395,MATCH($C57,Headcount!$A:$A,0),MATCH(BP$4,Headcount!$4:$4,0))</f>
        <v>6509.934814</v>
      </c>
      <c r="BQ57" s="166">
        <f t="array" ref="BQ57">BQ$45*INDEX(Headcount!$1:$395,MATCH($C57,Headcount!$A:$A,0),MATCH(BQ$4,Headcount!$4:$4,0))</f>
        <v>6509.934814</v>
      </c>
      <c r="BR57" s="166">
        <f t="array" ref="BR57">BR$45*INDEX(Headcount!$1:$395,MATCH($C57,Headcount!$A:$A,0),MATCH(BR$4,Headcount!$4:$4,0))</f>
        <v>6631.600105</v>
      </c>
      <c r="BS57" s="166">
        <f t="array" ref="BS57">BS$45*INDEX(Headcount!$1:$395,MATCH($C57,Headcount!$A:$A,0),MATCH(BS$4,Headcount!$4:$4,0))</f>
        <v>6884.663908</v>
      </c>
      <c r="BT57" s="166">
        <f t="array" ref="BT57">BT$45*INDEX(Headcount!$1:$395,MATCH($C57,Headcount!$A:$A,0),MATCH(BT$4,Headcount!$4:$4,0))</f>
        <v>7160.050465</v>
      </c>
      <c r="BU57" s="166">
        <f t="array" ref="BU57">BU$45*INDEX(Headcount!$1:$395,MATCH($C57,Headcount!$A:$A,0),MATCH(BU$4,Headcount!$4:$4,0))</f>
        <v>7413.114268</v>
      </c>
      <c r="BV57" s="166">
        <f t="array" ref="BV57">BV$45*INDEX(Headcount!$1:$395,MATCH($C57,Headcount!$A:$A,0),MATCH(BV$4,Headcount!$4:$4,0))</f>
        <v>7413.114268</v>
      </c>
      <c r="BW57" s="166">
        <f t="array" ref="BW57">BW$45*INDEX(Headcount!$1:$395,MATCH($C57,Headcount!$A:$A,0),MATCH(BW$4,Headcount!$4:$4,0))</f>
        <v>7413.114268</v>
      </c>
      <c r="BX57" s="166">
        <f t="array" ref="BX57">BX$45*INDEX(Headcount!$1:$395,MATCH($C57,Headcount!$A:$A,0),MATCH(BX$4,Headcount!$4:$4,0))</f>
        <v>7972.825195</v>
      </c>
      <c r="BY57" s="166">
        <f t="array" ref="BY57">BY$45*INDEX(Headcount!$1:$395,MATCH($C57,Headcount!$A:$A,0),MATCH(BY$4,Headcount!$4:$4,0))</f>
        <v>7972.825195</v>
      </c>
      <c r="BZ57" s="166">
        <f t="array" ref="BZ57">BZ$45*INDEX(Headcount!$1:$395,MATCH($C57,Headcount!$A:$A,0),MATCH(BZ$4,Headcount!$4:$4,0))</f>
        <v>7972.825195</v>
      </c>
      <c r="CA57" s="166">
        <f t="array" ref="CA57">CA$45*INDEX(Headcount!$1:$395,MATCH($C57,Headcount!$A:$A,0),MATCH(CA$4,Headcount!$4:$4,0))</f>
        <v>8236.011551</v>
      </c>
      <c r="CB57" s="166">
        <f t="array" ref="CB57">CB$45*INDEX(Headcount!$1:$395,MATCH($C57,Headcount!$A:$A,0),MATCH(CB$4,Headcount!$4:$4,0))</f>
        <v>8691.983915</v>
      </c>
      <c r="CC57" s="166">
        <f t="array" ref="CC57">CC$45*INDEX(Headcount!$1:$395,MATCH($C57,Headcount!$A:$A,0),MATCH(CC$4,Headcount!$4:$4,0))</f>
        <v>8691.983915</v>
      </c>
      <c r="CD57" s="166">
        <f t="array" ref="CD57">CD$45*INDEX(Headcount!$1:$395,MATCH($C57,Headcount!$A:$A,0),MATCH(CD$4,Headcount!$4:$4,0))</f>
        <v>8965.697725</v>
      </c>
      <c r="CE57" s="166">
        <f t="array" ref="CE57">CE$45*INDEX(Headcount!$1:$395,MATCH($C57,Headcount!$A:$A,0),MATCH(CE$4,Headcount!$4:$4,0))</f>
        <v>8965.697725</v>
      </c>
      <c r="CF57" s="166">
        <f t="array" ref="CF57">CF$45*INDEX(Headcount!$1:$395,MATCH($C57,Headcount!$A:$A,0),MATCH(CF$4,Headcount!$4:$4,0))</f>
        <v>9324.325634</v>
      </c>
      <c r="CG57" s="166">
        <f t="array" ref="CG57">CG$45*INDEX(Headcount!$1:$395,MATCH($C57,Headcount!$A:$A,0),MATCH(CG$4,Headcount!$4:$4,0))</f>
        <v>9598.039444</v>
      </c>
      <c r="CH57" s="166">
        <f t="array" ref="CH57">CH$45*INDEX(Headcount!$1:$395,MATCH($C57,Headcount!$A:$A,0),MATCH(CH$4,Headcount!$4:$4,0))</f>
        <v>9598.039444</v>
      </c>
      <c r="CI57" s="166">
        <f t="array" ref="CI57">CI$45*INDEX(Headcount!$1:$395,MATCH($C57,Headcount!$A:$A,0),MATCH(CI$4,Headcount!$4:$4,0))</f>
        <v>9598.039444</v>
      </c>
      <c r="CJ57" s="166">
        <f t="array" ref="CJ57">CJ$45*INDEX(Headcount!$1:$395,MATCH($C57,Headcount!$A:$A,0),MATCH(CJ$4,Headcount!$4:$4,0))</f>
        <v>10266.62338</v>
      </c>
      <c r="CK57" s="166">
        <f t="array" ref="CK57">CK$45*INDEX(Headcount!$1:$395,MATCH($C57,Headcount!$A:$A,0),MATCH(CK$4,Headcount!$4:$4,0))</f>
        <v>10266.62338</v>
      </c>
      <c r="CL57" s="166">
        <f t="array" ref="CL57">CL$45*INDEX(Headcount!$1:$395,MATCH($C57,Headcount!$A:$A,0),MATCH(CL$4,Headcount!$4:$4,0))</f>
        <v>10266.62338</v>
      </c>
      <c r="CM57" s="166">
        <f t="array" ref="CM57">CM$45*INDEX(Headcount!$1:$395,MATCH($C57,Headcount!$A:$A,0),MATCH(CM$4,Headcount!$4:$4,0))</f>
        <v>10266.62338</v>
      </c>
      <c r="CN57" s="166">
        <f t="array" ref="CN57">CN$45*INDEX(Headcount!$1:$395,MATCH($C57,Headcount!$A:$A,0),MATCH(CN$4,Headcount!$4:$4,0))</f>
        <v>10677.28832</v>
      </c>
      <c r="CO57" s="166">
        <f t="array" ref="CO57">CO$45*INDEX(Headcount!$1:$395,MATCH($C57,Headcount!$A:$A,0),MATCH(CO$4,Headcount!$4:$4,0))</f>
        <v>10677.28832</v>
      </c>
      <c r="CP57" s="166">
        <f t="array" ref="CP57">CP$45*INDEX(Headcount!$1:$395,MATCH($C57,Headcount!$A:$A,0),MATCH(CP$4,Headcount!$4:$4,0))</f>
        <v>10677.28832</v>
      </c>
      <c r="CQ57" s="166">
        <f t="array" ref="CQ57">CQ$45*INDEX(Headcount!$1:$395,MATCH($C57,Headcount!$A:$A,0),MATCH(CQ$4,Headcount!$4:$4,0))</f>
        <v>10677.28832</v>
      </c>
      <c r="CR57" s="166">
        <f t="array" ref="CR57">CR$45*INDEX(Headcount!$1:$395,MATCH($C57,Headcount!$A:$A,0),MATCH(CR$4,Headcount!$4:$4,0))</f>
        <v>11104.37985</v>
      </c>
      <c r="CS57" s="166">
        <f t="array" ref="CS57">CS$45*INDEX(Headcount!$1:$395,MATCH($C57,Headcount!$A:$A,0),MATCH(CS$4,Headcount!$4:$4,0))</f>
        <v>11104.37985</v>
      </c>
      <c r="CT57" s="166">
        <f t="array" ref="CT57">CT$45*INDEX(Headcount!$1:$395,MATCH($C57,Headcount!$A:$A,0),MATCH(CT$4,Headcount!$4:$4,0))</f>
        <v>11104.37985</v>
      </c>
      <c r="CU57" s="166">
        <f t="array" ref="CU57">CU$45*INDEX(Headcount!$1:$395,MATCH($C57,Headcount!$A:$A,0),MATCH(CU$4,Headcount!$4:$4,0))</f>
        <v>11104.37985</v>
      </c>
      <c r="CV57" s="162"/>
      <c r="CW57" s="162"/>
      <c r="CX57" s="162"/>
      <c r="CY57" s="162"/>
      <c r="CZ57" s="162"/>
      <c r="DA57" s="162"/>
      <c r="DB57" s="162"/>
      <c r="DC57" s="162"/>
    </row>
    <row r="58" ht="15.75" customHeight="1">
      <c r="A58" s="146" t="s">
        <v>174</v>
      </c>
      <c r="B58" s="146" t="s">
        <v>176</v>
      </c>
      <c r="C58" s="160" t="s">
        <v>235</v>
      </c>
      <c r="D58" s="161">
        <f t="shared" ref="D58:AL58" si="49">RANDBETWEEN(1000,2500)</f>
        <v>1591</v>
      </c>
      <c r="E58" s="161">
        <f t="shared" si="49"/>
        <v>2012</v>
      </c>
      <c r="F58" s="161">
        <f t="shared" si="49"/>
        <v>1004</v>
      </c>
      <c r="G58" s="161">
        <f t="shared" si="49"/>
        <v>1534</v>
      </c>
      <c r="H58" s="161">
        <f t="shared" si="49"/>
        <v>1191</v>
      </c>
      <c r="I58" s="161">
        <f t="shared" si="49"/>
        <v>2093</v>
      </c>
      <c r="J58" s="161">
        <f t="shared" si="49"/>
        <v>1456</v>
      </c>
      <c r="K58" s="161">
        <f t="shared" si="49"/>
        <v>1981</v>
      </c>
      <c r="L58" s="161">
        <f t="shared" si="49"/>
        <v>1496</v>
      </c>
      <c r="M58" s="161">
        <f t="shared" si="49"/>
        <v>2256</v>
      </c>
      <c r="N58" s="161">
        <f t="shared" si="49"/>
        <v>2500</v>
      </c>
      <c r="O58" s="161">
        <f t="shared" si="49"/>
        <v>1221</v>
      </c>
      <c r="P58" s="161">
        <f t="shared" si="49"/>
        <v>1338</v>
      </c>
      <c r="Q58" s="161">
        <f t="shared" si="49"/>
        <v>2139</v>
      </c>
      <c r="R58" s="161">
        <f t="shared" si="49"/>
        <v>2073</v>
      </c>
      <c r="S58" s="161">
        <f t="shared" si="49"/>
        <v>1091</v>
      </c>
      <c r="T58" s="161">
        <f t="shared" si="49"/>
        <v>2411</v>
      </c>
      <c r="U58" s="161">
        <f t="shared" si="49"/>
        <v>1076</v>
      </c>
      <c r="V58" s="161">
        <f t="shared" si="49"/>
        <v>1506</v>
      </c>
      <c r="W58" s="161">
        <f t="shared" si="49"/>
        <v>2126</v>
      </c>
      <c r="X58" s="161">
        <f t="shared" si="49"/>
        <v>1565</v>
      </c>
      <c r="Y58" s="161">
        <f t="shared" si="49"/>
        <v>2482</v>
      </c>
      <c r="Z58" s="161">
        <f t="shared" si="49"/>
        <v>1519</v>
      </c>
      <c r="AA58" s="161">
        <f t="shared" si="49"/>
        <v>2189</v>
      </c>
      <c r="AB58" s="161">
        <f t="shared" si="49"/>
        <v>1694</v>
      </c>
      <c r="AC58" s="161">
        <f t="shared" si="49"/>
        <v>1794</v>
      </c>
      <c r="AD58" s="161">
        <f t="shared" si="49"/>
        <v>1342</v>
      </c>
      <c r="AE58" s="161">
        <f t="shared" si="49"/>
        <v>2242</v>
      </c>
      <c r="AF58" s="161">
        <f t="shared" si="49"/>
        <v>2107</v>
      </c>
      <c r="AG58" s="161">
        <f t="shared" si="49"/>
        <v>1502</v>
      </c>
      <c r="AH58" s="161">
        <f t="shared" si="49"/>
        <v>1054</v>
      </c>
      <c r="AI58" s="161">
        <f t="shared" si="49"/>
        <v>1458</v>
      </c>
      <c r="AJ58" s="161">
        <f t="shared" si="49"/>
        <v>1702</v>
      </c>
      <c r="AK58" s="161">
        <f t="shared" si="49"/>
        <v>1106</v>
      </c>
      <c r="AL58" s="161">
        <f t="shared" si="49"/>
        <v>1621</v>
      </c>
      <c r="AM58" s="166">
        <f t="array" ref="AM58">AM$45*INDEX(Headcount!$1:$395,MATCH($C58,Headcount!$A:$A,0),MATCH(AM$4,Headcount!$4:$4,0))</f>
        <v>716.47</v>
      </c>
      <c r="AN58" s="166">
        <f t="array" ref="AN58">AN$45*INDEX(Headcount!$1:$395,MATCH($C58,Headcount!$A:$A,0),MATCH(AN$4,Headcount!$4:$4,0))</f>
        <v>1164.71115</v>
      </c>
      <c r="AO58" s="166">
        <f t="array" ref="AO58">AO$45*INDEX(Headcount!$1:$395,MATCH($C58,Headcount!$A:$A,0),MATCH(AO$4,Headcount!$4:$4,0))</f>
        <v>1348.71115</v>
      </c>
      <c r="AP58" s="166">
        <f t="array" ref="AP58">AP$45*INDEX(Headcount!$1:$395,MATCH($C58,Headcount!$A:$A,0),MATCH(AP$4,Headcount!$4:$4,0))</f>
        <v>1428.71115</v>
      </c>
      <c r="AQ58" s="166">
        <f t="array" ref="AQ58">AQ$45*INDEX(Headcount!$1:$395,MATCH($C58,Headcount!$A:$A,0),MATCH(AQ$4,Headcount!$4:$4,0))</f>
        <v>1558.71115</v>
      </c>
      <c r="AR58" s="166">
        <f t="array" ref="AR58">AR$45*INDEX(Headcount!$1:$395,MATCH($C58,Headcount!$A:$A,0),MATCH(AR$4,Headcount!$4:$4,0))</f>
        <v>1628.853152</v>
      </c>
      <c r="AS58" s="166">
        <f t="array" ref="AS58">AS$45*INDEX(Headcount!$1:$395,MATCH($C58,Headcount!$A:$A,0),MATCH(AS$4,Headcount!$4:$4,0))</f>
        <v>1628.853152</v>
      </c>
      <c r="AT58" s="166">
        <f t="array" ref="AT58">AT$45*INDEX(Headcount!$1:$395,MATCH($C58,Headcount!$A:$A,0),MATCH(AT$4,Headcount!$4:$4,0))</f>
        <v>1737.013152</v>
      </c>
      <c r="AU58" s="166">
        <f t="array" ref="AU58">AU$45*INDEX(Headcount!$1:$395,MATCH($C58,Headcount!$A:$A,0),MATCH(AU$4,Headcount!$4:$4,0))</f>
        <v>1897.173152</v>
      </c>
      <c r="AV58" s="166">
        <f t="array" ref="AV58">AV$45*INDEX(Headcount!$1:$395,MATCH($C58,Headcount!$A:$A,0),MATCH(AV$4,Headcount!$4:$4,0))</f>
        <v>2090.705944</v>
      </c>
      <c r="AW58" s="166">
        <f t="array" ref="AW58">AW$45*INDEX(Headcount!$1:$395,MATCH($C58,Headcount!$A:$A,0),MATCH(AW$4,Headcount!$4:$4,0))</f>
        <v>2198.865944</v>
      </c>
      <c r="AX58" s="166">
        <f t="array" ref="AX58">AX$45*INDEX(Headcount!$1:$395,MATCH($C58,Headcount!$A:$A,0),MATCH(AX$4,Headcount!$4:$4,0))</f>
        <v>2359.025944</v>
      </c>
      <c r="AY58" s="166">
        <f t="array" ref="AY58">AY$45*INDEX(Headcount!$1:$395,MATCH($C58,Headcount!$A:$A,0),MATCH(AY$4,Headcount!$4:$4,0))</f>
        <v>2467.185944</v>
      </c>
      <c r="AZ58" s="166">
        <f t="array" ref="AZ58">AZ$45*INDEX(Headcount!$1:$395,MATCH($C58,Headcount!$A:$A,0),MATCH(AZ$4,Headcount!$4:$4,0))</f>
        <v>3214.031738</v>
      </c>
      <c r="BA58" s="166">
        <f t="array" ref="BA58">BA$45*INDEX(Headcount!$1:$395,MATCH($C58,Headcount!$A:$A,0),MATCH(BA$4,Headcount!$4:$4,0))</f>
        <v>3214.031738</v>
      </c>
      <c r="BB58" s="166">
        <f t="array" ref="BB58">BB$45*INDEX(Headcount!$1:$395,MATCH($C58,Headcount!$A:$A,0),MATCH(BB$4,Headcount!$4:$4,0))</f>
        <v>3214.031738</v>
      </c>
      <c r="BC58" s="166">
        <f t="array" ref="BC58">BC$45*INDEX(Headcount!$1:$395,MATCH($C58,Headcount!$A:$A,0),MATCH(BC$4,Headcount!$4:$4,0))</f>
        <v>3214.031738</v>
      </c>
      <c r="BD58" s="166">
        <f t="array" ref="BD58">BD$45*INDEX(Headcount!$1:$395,MATCH($C58,Headcount!$A:$A,0),MATCH(BD$4,Headcount!$4:$4,0))</f>
        <v>3342.593007</v>
      </c>
      <c r="BE58" s="166">
        <f t="array" ref="BE58">BE$45*INDEX(Headcount!$1:$395,MATCH($C58,Headcount!$A:$A,0),MATCH(BE$4,Headcount!$4:$4,0))</f>
        <v>3342.593007</v>
      </c>
      <c r="BF58" s="166">
        <f t="array" ref="BF58">BF$45*INDEX(Headcount!$1:$395,MATCH($C58,Headcount!$A:$A,0),MATCH(BF$4,Headcount!$4:$4,0))</f>
        <v>3342.593007</v>
      </c>
      <c r="BG58" s="166">
        <f t="array" ref="BG58">BG$45*INDEX(Headcount!$1:$395,MATCH($C58,Headcount!$A:$A,0),MATCH(BG$4,Headcount!$4:$4,0))</f>
        <v>3342.593007</v>
      </c>
      <c r="BH58" s="166">
        <f t="array" ref="BH58">BH$45*INDEX(Headcount!$1:$395,MATCH($C58,Headcount!$A:$A,0),MATCH(BH$4,Headcount!$4:$4,0))</f>
        <v>3476.296727</v>
      </c>
      <c r="BI58" s="166">
        <f t="array" ref="BI58">BI$45*INDEX(Headcount!$1:$395,MATCH($C58,Headcount!$A:$A,0),MATCH(BI$4,Headcount!$4:$4,0))</f>
        <v>3476.296727</v>
      </c>
      <c r="BJ58" s="166">
        <f t="array" ref="BJ58">BJ$45*INDEX(Headcount!$1:$395,MATCH($C58,Headcount!$A:$A,0),MATCH(BJ$4,Headcount!$4:$4,0))</f>
        <v>3476.296727</v>
      </c>
      <c r="BK58" s="166">
        <f t="array" ref="BK58">BK$45*INDEX(Headcount!$1:$395,MATCH($C58,Headcount!$A:$A,0),MATCH(BK$4,Headcount!$4:$4,0))</f>
        <v>3476.296727</v>
      </c>
      <c r="BL58" s="166">
        <f t="array" ref="BL58">BL$45*INDEX(Headcount!$1:$395,MATCH($C58,Headcount!$A:$A,0),MATCH(BL$4,Headcount!$4:$4,0))</f>
        <v>4217.906696</v>
      </c>
      <c r="BM58" s="166">
        <f t="array" ref="BM58">BM$45*INDEX(Headcount!$1:$395,MATCH($C58,Headcount!$A:$A,0),MATCH(BM$4,Headcount!$4:$4,0))</f>
        <v>4217.906696</v>
      </c>
      <c r="BN58" s="166">
        <f t="array" ref="BN58">BN$45*INDEX(Headcount!$1:$395,MATCH($C58,Headcount!$A:$A,0),MATCH(BN$4,Headcount!$4:$4,0))</f>
        <v>4217.906696</v>
      </c>
      <c r="BO58" s="166">
        <f t="array" ref="BO58">BO$45*INDEX(Headcount!$1:$395,MATCH($C58,Headcount!$A:$A,0),MATCH(BO$4,Headcount!$4:$4,0))</f>
        <v>4217.906696</v>
      </c>
      <c r="BP58" s="166">
        <f t="array" ref="BP58">BP$45*INDEX(Headcount!$1:$395,MATCH($C58,Headcount!$A:$A,0),MATCH(BP$4,Headcount!$4:$4,0))</f>
        <v>4556.95437</v>
      </c>
      <c r="BQ58" s="166">
        <f t="array" ref="BQ58">BQ$45*INDEX(Headcount!$1:$395,MATCH($C58,Headcount!$A:$A,0),MATCH(BQ$4,Headcount!$4:$4,0))</f>
        <v>4556.95437</v>
      </c>
      <c r="BR58" s="166">
        <f t="array" ref="BR58">BR$45*INDEX(Headcount!$1:$395,MATCH($C58,Headcount!$A:$A,0),MATCH(BR$4,Headcount!$4:$4,0))</f>
        <v>4642.120073</v>
      </c>
      <c r="BS58" s="166">
        <f t="array" ref="BS58">BS$45*INDEX(Headcount!$1:$395,MATCH($C58,Headcount!$A:$A,0),MATCH(BS$4,Headcount!$4:$4,0))</f>
        <v>4819.264736</v>
      </c>
      <c r="BT58" s="166">
        <f t="array" ref="BT58">BT$45*INDEX(Headcount!$1:$395,MATCH($C58,Headcount!$A:$A,0),MATCH(BT$4,Headcount!$4:$4,0))</f>
        <v>5012.035325</v>
      </c>
      <c r="BU58" s="166">
        <f t="array" ref="BU58">BU$45*INDEX(Headcount!$1:$395,MATCH($C58,Headcount!$A:$A,0),MATCH(BU$4,Headcount!$4:$4,0))</f>
        <v>5189.179988</v>
      </c>
      <c r="BV58" s="166">
        <f t="array" ref="BV58">BV$45*INDEX(Headcount!$1:$395,MATCH($C58,Headcount!$A:$A,0),MATCH(BV$4,Headcount!$4:$4,0))</f>
        <v>5189.179988</v>
      </c>
      <c r="BW58" s="166">
        <f t="array" ref="BW58">BW$45*INDEX(Headcount!$1:$395,MATCH($C58,Headcount!$A:$A,0),MATCH(BW$4,Headcount!$4:$4,0))</f>
        <v>5189.179988</v>
      </c>
      <c r="BX58" s="166">
        <f t="array" ref="BX58">BX$45*INDEX(Headcount!$1:$395,MATCH($C58,Headcount!$A:$A,0),MATCH(BX$4,Headcount!$4:$4,0))</f>
        <v>5580.977636</v>
      </c>
      <c r="BY58" s="166">
        <f t="array" ref="BY58">BY$45*INDEX(Headcount!$1:$395,MATCH($C58,Headcount!$A:$A,0),MATCH(BY$4,Headcount!$4:$4,0))</f>
        <v>6378.260156</v>
      </c>
      <c r="BZ58" s="166">
        <f t="array" ref="BZ58">BZ$45*INDEX(Headcount!$1:$395,MATCH($C58,Headcount!$A:$A,0),MATCH(BZ$4,Headcount!$4:$4,0))</f>
        <v>6378.260156</v>
      </c>
      <c r="CA58" s="166">
        <f t="array" ref="CA58">CA$45*INDEX(Headcount!$1:$395,MATCH($C58,Headcount!$A:$A,0),MATCH(CA$4,Headcount!$4:$4,0))</f>
        <v>6588.809241</v>
      </c>
      <c r="CB58" s="166">
        <f t="array" ref="CB58">CB$45*INDEX(Headcount!$1:$395,MATCH($C58,Headcount!$A:$A,0),MATCH(CB$4,Headcount!$4:$4,0))</f>
        <v>6953.587132</v>
      </c>
      <c r="CC58" s="166">
        <f t="array" ref="CC58">CC$45*INDEX(Headcount!$1:$395,MATCH($C58,Headcount!$A:$A,0),MATCH(CC$4,Headcount!$4:$4,0))</f>
        <v>6953.587132</v>
      </c>
      <c r="CD58" s="166">
        <f t="array" ref="CD58">CD$45*INDEX(Headcount!$1:$395,MATCH($C58,Headcount!$A:$A,0),MATCH(CD$4,Headcount!$4:$4,0))</f>
        <v>7172.55818</v>
      </c>
      <c r="CE58" s="166">
        <f t="array" ref="CE58">CE$45*INDEX(Headcount!$1:$395,MATCH($C58,Headcount!$A:$A,0),MATCH(CE$4,Headcount!$4:$4,0))</f>
        <v>7172.55818</v>
      </c>
      <c r="CF58" s="166">
        <f t="array" ref="CF58">CF$45*INDEX(Headcount!$1:$395,MATCH($C58,Headcount!$A:$A,0),MATCH(CF$4,Headcount!$4:$4,0))</f>
        <v>7459.460507</v>
      </c>
      <c r="CG58" s="166">
        <f t="array" ref="CG58">CG$45*INDEX(Headcount!$1:$395,MATCH($C58,Headcount!$A:$A,0),MATCH(CG$4,Headcount!$4:$4,0))</f>
        <v>7678.431555</v>
      </c>
      <c r="CH58" s="166">
        <f t="array" ref="CH58">CH$45*INDEX(Headcount!$1:$395,MATCH($C58,Headcount!$A:$A,0),MATCH(CH$4,Headcount!$4:$4,0))</f>
        <v>7678.431555</v>
      </c>
      <c r="CI58" s="166">
        <f t="array" ref="CI58">CI$45*INDEX(Headcount!$1:$395,MATCH($C58,Headcount!$A:$A,0),MATCH(CI$4,Headcount!$4:$4,0))</f>
        <v>7678.431555</v>
      </c>
      <c r="CJ58" s="166">
        <f t="array" ref="CJ58">CJ$45*INDEX(Headcount!$1:$395,MATCH($C58,Headcount!$A:$A,0),MATCH(CJ$4,Headcount!$4:$4,0))</f>
        <v>9239.961046</v>
      </c>
      <c r="CK58" s="166">
        <f t="array" ref="CK58">CK$45*INDEX(Headcount!$1:$395,MATCH($C58,Headcount!$A:$A,0),MATCH(CK$4,Headcount!$4:$4,0))</f>
        <v>9239.961046</v>
      </c>
      <c r="CL58" s="166">
        <f t="array" ref="CL58">CL$45*INDEX(Headcount!$1:$395,MATCH($C58,Headcount!$A:$A,0),MATCH(CL$4,Headcount!$4:$4,0))</f>
        <v>9239.961046</v>
      </c>
      <c r="CM58" s="166">
        <f t="array" ref="CM58">CM$45*INDEX(Headcount!$1:$395,MATCH($C58,Headcount!$A:$A,0),MATCH(CM$4,Headcount!$4:$4,0))</f>
        <v>9239.961046</v>
      </c>
      <c r="CN58" s="166">
        <f t="array" ref="CN58">CN$45*INDEX(Headcount!$1:$395,MATCH($C58,Headcount!$A:$A,0),MATCH(CN$4,Headcount!$4:$4,0))</f>
        <v>9609.559487</v>
      </c>
      <c r="CO58" s="166">
        <f t="array" ref="CO58">CO$45*INDEX(Headcount!$1:$395,MATCH($C58,Headcount!$A:$A,0),MATCH(CO$4,Headcount!$4:$4,0))</f>
        <v>9609.559487</v>
      </c>
      <c r="CP58" s="166">
        <f t="array" ref="CP58">CP$45*INDEX(Headcount!$1:$395,MATCH($C58,Headcount!$A:$A,0),MATCH(CP$4,Headcount!$4:$4,0))</f>
        <v>9609.559487</v>
      </c>
      <c r="CQ58" s="166">
        <f t="array" ref="CQ58">CQ$45*INDEX(Headcount!$1:$395,MATCH($C58,Headcount!$A:$A,0),MATCH(CQ$4,Headcount!$4:$4,0))</f>
        <v>9609.559487</v>
      </c>
      <c r="CR58" s="166">
        <f t="array" ref="CR58">CR$45*INDEX(Headcount!$1:$395,MATCH($C58,Headcount!$A:$A,0),MATCH(CR$4,Headcount!$4:$4,0))</f>
        <v>9993.941867</v>
      </c>
      <c r="CS58" s="166">
        <f t="array" ref="CS58">CS$45*INDEX(Headcount!$1:$395,MATCH($C58,Headcount!$A:$A,0),MATCH(CS$4,Headcount!$4:$4,0))</f>
        <v>9993.941867</v>
      </c>
      <c r="CT58" s="166">
        <f t="array" ref="CT58">CT$45*INDEX(Headcount!$1:$395,MATCH($C58,Headcount!$A:$A,0),MATCH(CT$4,Headcount!$4:$4,0))</f>
        <v>9993.941867</v>
      </c>
      <c r="CU58" s="166">
        <f t="array" ref="CU58">CU$45*INDEX(Headcount!$1:$395,MATCH($C58,Headcount!$A:$A,0),MATCH(CU$4,Headcount!$4:$4,0))</f>
        <v>9993.941867</v>
      </c>
      <c r="CV58" s="162"/>
      <c r="CW58" s="162"/>
      <c r="CX58" s="162"/>
      <c r="CY58" s="162"/>
      <c r="CZ58" s="162"/>
      <c r="DA58" s="162"/>
      <c r="DB58" s="162"/>
      <c r="DC58" s="162"/>
    </row>
    <row r="59" ht="15.75" customHeight="1">
      <c r="A59" s="146" t="s">
        <v>174</v>
      </c>
      <c r="B59" s="146" t="s">
        <v>66</v>
      </c>
      <c r="C59" s="160" t="s">
        <v>236</v>
      </c>
      <c r="D59" s="161">
        <f t="shared" ref="D59:AL59" si="50">RANDBETWEEN(1000,2500)</f>
        <v>1547</v>
      </c>
      <c r="E59" s="161">
        <f t="shared" si="50"/>
        <v>1044</v>
      </c>
      <c r="F59" s="161">
        <f t="shared" si="50"/>
        <v>2149</v>
      </c>
      <c r="G59" s="161">
        <f t="shared" si="50"/>
        <v>2370</v>
      </c>
      <c r="H59" s="161">
        <f t="shared" si="50"/>
        <v>1735</v>
      </c>
      <c r="I59" s="161">
        <f t="shared" si="50"/>
        <v>1497</v>
      </c>
      <c r="J59" s="161">
        <f t="shared" si="50"/>
        <v>2139</v>
      </c>
      <c r="K59" s="161">
        <f t="shared" si="50"/>
        <v>2410</v>
      </c>
      <c r="L59" s="161">
        <f t="shared" si="50"/>
        <v>1132</v>
      </c>
      <c r="M59" s="161">
        <f t="shared" si="50"/>
        <v>1297</v>
      </c>
      <c r="N59" s="161">
        <f t="shared" si="50"/>
        <v>1045</v>
      </c>
      <c r="O59" s="161">
        <f t="shared" si="50"/>
        <v>1621</v>
      </c>
      <c r="P59" s="161">
        <f t="shared" si="50"/>
        <v>1436</v>
      </c>
      <c r="Q59" s="161">
        <f t="shared" si="50"/>
        <v>1534</v>
      </c>
      <c r="R59" s="161">
        <f t="shared" si="50"/>
        <v>1349</v>
      </c>
      <c r="S59" s="161">
        <f t="shared" si="50"/>
        <v>1123</v>
      </c>
      <c r="T59" s="161">
        <f t="shared" si="50"/>
        <v>2277</v>
      </c>
      <c r="U59" s="161">
        <f t="shared" si="50"/>
        <v>1644</v>
      </c>
      <c r="V59" s="161">
        <f t="shared" si="50"/>
        <v>1177</v>
      </c>
      <c r="W59" s="161">
        <f t="shared" si="50"/>
        <v>2079</v>
      </c>
      <c r="X59" s="161">
        <f t="shared" si="50"/>
        <v>1323</v>
      </c>
      <c r="Y59" s="161">
        <f t="shared" si="50"/>
        <v>1911</v>
      </c>
      <c r="Z59" s="161">
        <f t="shared" si="50"/>
        <v>1831</v>
      </c>
      <c r="AA59" s="161">
        <f t="shared" si="50"/>
        <v>1967</v>
      </c>
      <c r="AB59" s="161">
        <f t="shared" si="50"/>
        <v>2005</v>
      </c>
      <c r="AC59" s="161">
        <f t="shared" si="50"/>
        <v>1133</v>
      </c>
      <c r="AD59" s="161">
        <f t="shared" si="50"/>
        <v>1023</v>
      </c>
      <c r="AE59" s="161">
        <f t="shared" si="50"/>
        <v>2038</v>
      </c>
      <c r="AF59" s="161">
        <f t="shared" si="50"/>
        <v>1637</v>
      </c>
      <c r="AG59" s="161">
        <f t="shared" si="50"/>
        <v>2063</v>
      </c>
      <c r="AH59" s="161">
        <f t="shared" si="50"/>
        <v>1794</v>
      </c>
      <c r="AI59" s="161">
        <f t="shared" si="50"/>
        <v>1231</v>
      </c>
      <c r="AJ59" s="161">
        <f t="shared" si="50"/>
        <v>2076</v>
      </c>
      <c r="AK59" s="161">
        <f t="shared" si="50"/>
        <v>1590</v>
      </c>
      <c r="AL59" s="161">
        <f t="shared" si="50"/>
        <v>1425</v>
      </c>
      <c r="AM59" s="166">
        <f t="array" ref="AM59">INDEX(Expenses!$1:$398,MATCH($C59,Expenses!$A:$A,0),MATCH(AM$4,Expenses!$4:$4,0))</f>
        <v>13133.59</v>
      </c>
      <c r="AN59" s="166">
        <f t="array" ref="AN59">INDEX(Expenses!$1:$398,MATCH($C59,Expenses!$A:$A,0),MATCH(AN$4,Expenses!$4:$4,0))</f>
        <v>18149.25795</v>
      </c>
      <c r="AO59" s="166">
        <f t="array" ref="AO59">INDEX(Expenses!$1:$398,MATCH($C59,Expenses!$A:$A,0),MATCH(AO$4,Expenses!$4:$4,0))</f>
        <v>18190.00424</v>
      </c>
      <c r="AP59" s="166">
        <f t="array" ref="AP59">INDEX(Expenses!$1:$398,MATCH($C59,Expenses!$A:$A,0),MATCH(AP$4,Expenses!$4:$4,0))</f>
        <v>18230.95426</v>
      </c>
      <c r="AQ59" s="166">
        <f t="array" ref="AQ59">INDEX(Expenses!$1:$398,MATCH($C59,Expenses!$A:$A,0),MATCH(AQ$4,Expenses!$4:$4,0))</f>
        <v>18272.10903</v>
      </c>
      <c r="AR59" s="166">
        <f t="array" ref="AR59">INDEX(Expenses!$1:$398,MATCH($C59,Expenses!$A:$A,0),MATCH(AR$4,Expenses!$4:$4,0))</f>
        <v>18313.46958</v>
      </c>
      <c r="AS59" s="166">
        <f t="array" ref="AS59">INDEX(Expenses!$1:$398,MATCH($C59,Expenses!$A:$A,0),MATCH(AS$4,Expenses!$4:$4,0))</f>
        <v>18355.03693</v>
      </c>
      <c r="AT59" s="166">
        <f t="array" ref="AT59">INDEX(Expenses!$1:$398,MATCH($C59,Expenses!$A:$A,0),MATCH(AT$4,Expenses!$4:$4,0))</f>
        <v>18396.81211</v>
      </c>
      <c r="AU59" s="166">
        <f t="array" ref="AU59">INDEX(Expenses!$1:$398,MATCH($C59,Expenses!$A:$A,0),MATCH(AU$4,Expenses!$4:$4,0))</f>
        <v>18438.79617</v>
      </c>
      <c r="AV59" s="166">
        <f t="array" ref="AV59">INDEX(Expenses!$1:$398,MATCH($C59,Expenses!$A:$A,0),MATCH(AV$4,Expenses!$4:$4,0))</f>
        <v>18480.99015</v>
      </c>
      <c r="AW59" s="166">
        <f t="array" ref="AW59">INDEX(Expenses!$1:$398,MATCH($C59,Expenses!$A:$A,0),MATCH(AW$4,Expenses!$4:$4,0))</f>
        <v>18523.3951</v>
      </c>
      <c r="AX59" s="166">
        <f t="array" ref="AX59">INDEX(Expenses!$1:$398,MATCH($C59,Expenses!$A:$A,0),MATCH(AX$4,Expenses!$4:$4,0))</f>
        <v>18566.01208</v>
      </c>
      <c r="AY59" s="166">
        <f t="array" ref="AY59">INDEX(Expenses!$1:$398,MATCH($C59,Expenses!$A:$A,0),MATCH(AY$4,Expenses!$4:$4,0))</f>
        <v>18608.84214</v>
      </c>
      <c r="AZ59" s="166">
        <f t="array" ref="AZ59">INDEX(Expenses!$1:$398,MATCH($C59,Expenses!$A:$A,0),MATCH(AZ$4,Expenses!$4:$4,0))</f>
        <v>18651.88635</v>
      </c>
      <c r="BA59" s="166">
        <f t="array" ref="BA59">INDEX(Expenses!$1:$398,MATCH($C59,Expenses!$A:$A,0),MATCH(BA$4,Expenses!$4:$4,0))</f>
        <v>18695.14578</v>
      </c>
      <c r="BB59" s="166">
        <f t="array" ref="BB59">INDEX(Expenses!$1:$398,MATCH($C59,Expenses!$A:$A,0),MATCH(BB$4,Expenses!$4:$4,0))</f>
        <v>18738.62151</v>
      </c>
      <c r="BC59" s="166">
        <f t="array" ref="BC59">INDEX(Expenses!$1:$398,MATCH($C59,Expenses!$A:$A,0),MATCH(BC$4,Expenses!$4:$4,0))</f>
        <v>18782.31462</v>
      </c>
      <c r="BD59" s="166">
        <f t="array" ref="BD59">INDEX(Expenses!$1:$398,MATCH($C59,Expenses!$A:$A,0),MATCH(BD$4,Expenses!$4:$4,0))</f>
        <v>18826.22619</v>
      </c>
      <c r="BE59" s="166">
        <f t="array" ref="BE59">INDEX(Expenses!$1:$398,MATCH($C59,Expenses!$A:$A,0),MATCH(BE$4,Expenses!$4:$4,0))</f>
        <v>18870.35732</v>
      </c>
      <c r="BF59" s="166">
        <f t="array" ref="BF59">INDEX(Expenses!$1:$398,MATCH($C59,Expenses!$A:$A,0),MATCH(BF$4,Expenses!$4:$4,0))</f>
        <v>18914.70911</v>
      </c>
      <c r="BG59" s="166">
        <f t="array" ref="BG59">INDEX(Expenses!$1:$398,MATCH($C59,Expenses!$A:$A,0),MATCH(BG$4,Expenses!$4:$4,0))</f>
        <v>18959.28265</v>
      </c>
      <c r="BH59" s="166">
        <f t="array" ref="BH59">INDEX(Expenses!$1:$398,MATCH($C59,Expenses!$A:$A,0),MATCH(BH$4,Expenses!$4:$4,0))</f>
        <v>19004.07907</v>
      </c>
      <c r="BI59" s="166">
        <f t="array" ref="BI59">INDEX(Expenses!$1:$398,MATCH($C59,Expenses!$A:$A,0),MATCH(BI$4,Expenses!$4:$4,0))</f>
        <v>19049.09946</v>
      </c>
      <c r="BJ59" s="166">
        <f t="array" ref="BJ59">INDEX(Expenses!$1:$398,MATCH($C59,Expenses!$A:$A,0),MATCH(BJ$4,Expenses!$4:$4,0))</f>
        <v>19094.34496</v>
      </c>
      <c r="BK59" s="166">
        <f t="array" ref="BK59">INDEX(Expenses!$1:$398,MATCH($C59,Expenses!$A:$A,0),MATCH(BK$4,Expenses!$4:$4,0))</f>
        <v>19139.81668</v>
      </c>
      <c r="BL59" s="166">
        <f t="array" ref="BL59">INDEX(Expenses!$1:$398,MATCH($C59,Expenses!$A:$A,0),MATCH(BL$4,Expenses!$4:$4,0))</f>
        <v>19185.51577</v>
      </c>
      <c r="BM59" s="166">
        <f t="array" ref="BM59">INDEX(Expenses!$1:$398,MATCH($C59,Expenses!$A:$A,0),MATCH(BM$4,Expenses!$4:$4,0))</f>
        <v>19231.44335</v>
      </c>
      <c r="BN59" s="166">
        <f t="array" ref="BN59">INDEX(Expenses!$1:$398,MATCH($C59,Expenses!$A:$A,0),MATCH(BN$4,Expenses!$4:$4,0))</f>
        <v>19277.60056</v>
      </c>
      <c r="BO59" s="166">
        <f t="array" ref="BO59">INDEX(Expenses!$1:$398,MATCH($C59,Expenses!$A:$A,0),MATCH(BO$4,Expenses!$4:$4,0))</f>
        <v>19323.98857</v>
      </c>
      <c r="BP59" s="166">
        <f t="array" ref="BP59">INDEX(Expenses!$1:$398,MATCH($C59,Expenses!$A:$A,0),MATCH(BP$4,Expenses!$4:$4,0))</f>
        <v>19370.60851</v>
      </c>
      <c r="BQ59" s="166">
        <f t="array" ref="BQ59">INDEX(Expenses!$1:$398,MATCH($C59,Expenses!$A:$A,0),MATCH(BQ$4,Expenses!$4:$4,0))</f>
        <v>19417.46155</v>
      </c>
      <c r="BR59" s="166">
        <f t="array" ref="BR59">INDEX(Expenses!$1:$398,MATCH($C59,Expenses!$A:$A,0),MATCH(BR$4,Expenses!$4:$4,0))</f>
        <v>19464.54886</v>
      </c>
      <c r="BS59" s="166">
        <f t="array" ref="BS59">INDEX(Expenses!$1:$398,MATCH($C59,Expenses!$A:$A,0),MATCH(BS$4,Expenses!$4:$4,0))</f>
        <v>19511.8716</v>
      </c>
      <c r="BT59" s="166">
        <f t="array" ref="BT59">INDEX(Expenses!$1:$398,MATCH($C59,Expenses!$A:$A,0),MATCH(BT$4,Expenses!$4:$4,0))</f>
        <v>19559.43096</v>
      </c>
      <c r="BU59" s="166">
        <f t="array" ref="BU59">INDEX(Expenses!$1:$398,MATCH($C59,Expenses!$A:$A,0),MATCH(BU$4,Expenses!$4:$4,0))</f>
        <v>19607.22812</v>
      </c>
      <c r="BV59" s="166">
        <f t="array" ref="BV59">INDEX(Expenses!$1:$398,MATCH($C59,Expenses!$A:$A,0),MATCH(BV$4,Expenses!$4:$4,0))</f>
        <v>19655.26426</v>
      </c>
      <c r="BW59" s="166">
        <f t="array" ref="BW59">INDEX(Expenses!$1:$398,MATCH($C59,Expenses!$A:$A,0),MATCH(BW$4,Expenses!$4:$4,0))</f>
        <v>19703.54058</v>
      </c>
      <c r="BX59" s="166">
        <f t="array" ref="BX59">INDEX(Expenses!$1:$398,MATCH($C59,Expenses!$A:$A,0),MATCH(BX$4,Expenses!$4:$4,0))</f>
        <v>19752.05828</v>
      </c>
      <c r="BY59" s="166">
        <f t="array" ref="BY59">INDEX(Expenses!$1:$398,MATCH($C59,Expenses!$A:$A,0),MATCH(BY$4,Expenses!$4:$4,0))</f>
        <v>19800.81857</v>
      </c>
      <c r="BZ59" s="166">
        <f t="array" ref="BZ59">INDEX(Expenses!$1:$398,MATCH($C59,Expenses!$A:$A,0),MATCH(BZ$4,Expenses!$4:$4,0))</f>
        <v>19849.82266</v>
      </c>
      <c r="CA59" s="166">
        <f t="array" ref="CA59">INDEX(Expenses!$1:$398,MATCH($C59,Expenses!$A:$A,0),MATCH(CA$4,Expenses!$4:$4,0))</f>
        <v>19899.07178</v>
      </c>
      <c r="CB59" s="166">
        <f t="array" ref="CB59">INDEX(Expenses!$1:$398,MATCH($C59,Expenses!$A:$A,0),MATCH(CB$4,Expenses!$4:$4,0))</f>
        <v>19948.56714</v>
      </c>
      <c r="CC59" s="166">
        <f t="array" ref="CC59">INDEX(Expenses!$1:$398,MATCH($C59,Expenses!$A:$A,0),MATCH(CC$4,Expenses!$4:$4,0))</f>
        <v>19998.30997</v>
      </c>
      <c r="CD59" s="166">
        <f t="array" ref="CD59">INDEX(Expenses!$1:$398,MATCH($C59,Expenses!$A:$A,0),MATCH(CD$4,Expenses!$4:$4,0))</f>
        <v>20048.30152</v>
      </c>
      <c r="CE59" s="166">
        <f t="array" ref="CE59">INDEX(Expenses!$1:$398,MATCH($C59,Expenses!$A:$A,0),MATCH(CE$4,Expenses!$4:$4,0))</f>
        <v>20098.54303</v>
      </c>
      <c r="CF59" s="166">
        <f t="array" ref="CF59">INDEX(Expenses!$1:$398,MATCH($C59,Expenses!$A:$A,0),MATCH(CF$4,Expenses!$4:$4,0))</f>
        <v>20149.03575</v>
      </c>
      <c r="CG59" s="166">
        <f t="array" ref="CG59">INDEX(Expenses!$1:$398,MATCH($C59,Expenses!$A:$A,0),MATCH(CG$4,Expenses!$4:$4,0))</f>
        <v>20199.78092</v>
      </c>
      <c r="CH59" s="166">
        <f t="array" ref="CH59">INDEX(Expenses!$1:$398,MATCH($C59,Expenses!$A:$A,0),MATCH(CH$4,Expenses!$4:$4,0))</f>
        <v>20250.77983</v>
      </c>
      <c r="CI59" s="166">
        <f t="array" ref="CI59">INDEX(Expenses!$1:$398,MATCH($C59,Expenses!$A:$A,0),MATCH(CI$4,Expenses!$4:$4,0))</f>
        <v>20302.03373</v>
      </c>
      <c r="CJ59" s="166">
        <f t="array" ref="CJ59">INDEX(Expenses!$1:$398,MATCH($C59,Expenses!$A:$A,0),MATCH(CJ$4,Expenses!$4:$4,0))</f>
        <v>20353.5439</v>
      </c>
      <c r="CK59" s="166">
        <f t="array" ref="CK59">INDEX(Expenses!$1:$398,MATCH($C59,Expenses!$A:$A,0),MATCH(CK$4,Expenses!$4:$4,0))</f>
        <v>20405.31162</v>
      </c>
      <c r="CL59" s="166">
        <f t="array" ref="CL59">INDEX(Expenses!$1:$398,MATCH($C59,Expenses!$A:$A,0),MATCH(CL$4,Expenses!$4:$4,0))</f>
        <v>20457.33817</v>
      </c>
      <c r="CM59" s="166">
        <f t="array" ref="CM59">INDEX(Expenses!$1:$398,MATCH($C59,Expenses!$A:$A,0),MATCH(CM$4,Expenses!$4:$4,0))</f>
        <v>20509.62486</v>
      </c>
      <c r="CN59" s="166">
        <f t="array" ref="CN59">INDEX(Expenses!$1:$398,MATCH($C59,Expenses!$A:$A,0),MATCH(CN$4,Expenses!$4:$4,0))</f>
        <v>20562.17299</v>
      </c>
      <c r="CO59" s="166">
        <f t="array" ref="CO59">INDEX(Expenses!$1:$398,MATCH($C59,Expenses!$A:$A,0),MATCH(CO$4,Expenses!$4:$4,0))</f>
        <v>20614.98385</v>
      </c>
      <c r="CP59" s="166">
        <f t="array" ref="CP59">INDEX(Expenses!$1:$398,MATCH($C59,Expenses!$A:$A,0),MATCH(CP$4,Expenses!$4:$4,0))</f>
        <v>20668.05877</v>
      </c>
      <c r="CQ59" s="166">
        <f t="array" ref="CQ59">INDEX(Expenses!$1:$398,MATCH($C59,Expenses!$A:$A,0),MATCH(CQ$4,Expenses!$4:$4,0))</f>
        <v>20721.39907</v>
      </c>
      <c r="CR59" s="166">
        <f t="array" ref="CR59">INDEX(Expenses!$1:$398,MATCH($C59,Expenses!$A:$A,0),MATCH(CR$4,Expenses!$4:$4,0))</f>
        <v>20775.00606</v>
      </c>
      <c r="CS59" s="166">
        <f t="array" ref="CS59">INDEX(Expenses!$1:$398,MATCH($C59,Expenses!$A:$A,0),MATCH(CS$4,Expenses!$4:$4,0))</f>
        <v>20828.88109</v>
      </c>
      <c r="CT59" s="166">
        <f t="array" ref="CT59">INDEX(Expenses!$1:$398,MATCH($C59,Expenses!$A:$A,0),MATCH(CT$4,Expenses!$4:$4,0))</f>
        <v>20883.0255</v>
      </c>
      <c r="CU59" s="166">
        <f t="array" ref="CU59">INDEX(Expenses!$1:$398,MATCH($C59,Expenses!$A:$A,0),MATCH(CU$4,Expenses!$4:$4,0))</f>
        <v>20937.44063</v>
      </c>
      <c r="CV59" s="162"/>
      <c r="CW59" s="162"/>
      <c r="CX59" s="162"/>
      <c r="CY59" s="162"/>
      <c r="CZ59" s="162"/>
      <c r="DA59" s="162"/>
      <c r="DB59" s="162"/>
      <c r="DC59" s="162"/>
    </row>
    <row r="60" ht="15.75" customHeight="1">
      <c r="A60" s="146" t="s">
        <v>174</v>
      </c>
      <c r="B60" s="146" t="s">
        <v>66</v>
      </c>
      <c r="C60" s="160" t="s">
        <v>237</v>
      </c>
      <c r="D60" s="161">
        <f t="shared" ref="D60:AL60" si="51">RANDBETWEEN(1000,2500)</f>
        <v>1637</v>
      </c>
      <c r="E60" s="161">
        <f t="shared" si="51"/>
        <v>1916</v>
      </c>
      <c r="F60" s="161">
        <f t="shared" si="51"/>
        <v>1237</v>
      </c>
      <c r="G60" s="161">
        <f t="shared" si="51"/>
        <v>1614</v>
      </c>
      <c r="H60" s="161">
        <f t="shared" si="51"/>
        <v>1934</v>
      </c>
      <c r="I60" s="161">
        <f t="shared" si="51"/>
        <v>1391</v>
      </c>
      <c r="J60" s="161">
        <f t="shared" si="51"/>
        <v>1830</v>
      </c>
      <c r="K60" s="161">
        <f t="shared" si="51"/>
        <v>1405</v>
      </c>
      <c r="L60" s="161">
        <f t="shared" si="51"/>
        <v>2304</v>
      </c>
      <c r="M60" s="161">
        <f t="shared" si="51"/>
        <v>1821</v>
      </c>
      <c r="N60" s="161">
        <f t="shared" si="51"/>
        <v>1369</v>
      </c>
      <c r="O60" s="161">
        <f t="shared" si="51"/>
        <v>1946</v>
      </c>
      <c r="P60" s="161">
        <f t="shared" si="51"/>
        <v>1775</v>
      </c>
      <c r="Q60" s="161">
        <f t="shared" si="51"/>
        <v>1031</v>
      </c>
      <c r="R60" s="161">
        <f t="shared" si="51"/>
        <v>2350</v>
      </c>
      <c r="S60" s="161">
        <f t="shared" si="51"/>
        <v>1749</v>
      </c>
      <c r="T60" s="161">
        <f t="shared" si="51"/>
        <v>1863</v>
      </c>
      <c r="U60" s="161">
        <f t="shared" si="51"/>
        <v>2282</v>
      </c>
      <c r="V60" s="161">
        <f t="shared" si="51"/>
        <v>2042</v>
      </c>
      <c r="W60" s="161">
        <f t="shared" si="51"/>
        <v>1115</v>
      </c>
      <c r="X60" s="161">
        <f t="shared" si="51"/>
        <v>1729</v>
      </c>
      <c r="Y60" s="161">
        <f t="shared" si="51"/>
        <v>1067</v>
      </c>
      <c r="Z60" s="161">
        <f t="shared" si="51"/>
        <v>2124</v>
      </c>
      <c r="AA60" s="161">
        <f t="shared" si="51"/>
        <v>1382</v>
      </c>
      <c r="AB60" s="161">
        <f t="shared" si="51"/>
        <v>1997</v>
      </c>
      <c r="AC60" s="161">
        <f t="shared" si="51"/>
        <v>1273</v>
      </c>
      <c r="AD60" s="161">
        <f t="shared" si="51"/>
        <v>1812</v>
      </c>
      <c r="AE60" s="161">
        <f t="shared" si="51"/>
        <v>1629</v>
      </c>
      <c r="AF60" s="161">
        <f t="shared" si="51"/>
        <v>2242</v>
      </c>
      <c r="AG60" s="161">
        <f t="shared" si="51"/>
        <v>2283</v>
      </c>
      <c r="AH60" s="161">
        <f t="shared" si="51"/>
        <v>1680</v>
      </c>
      <c r="AI60" s="161">
        <f t="shared" si="51"/>
        <v>2173</v>
      </c>
      <c r="AJ60" s="161">
        <f t="shared" si="51"/>
        <v>1530</v>
      </c>
      <c r="AK60" s="161">
        <f t="shared" si="51"/>
        <v>2497</v>
      </c>
      <c r="AL60" s="161">
        <f t="shared" si="51"/>
        <v>2232</v>
      </c>
      <c r="AM60" s="166">
        <f t="array" ref="AM60">INDEX(Expenses!$1:$398,MATCH($C60,Expenses!$A:$A,0),MATCH(AM$4,Expenses!$4:$4,0))</f>
        <v>2350.14</v>
      </c>
      <c r="AN60" s="166">
        <f t="array" ref="AN60">INDEX(Expenses!$1:$398,MATCH($C60,Expenses!$A:$A,0),MATCH(AN$4,Expenses!$4:$4,0))</f>
        <v>2367.8157</v>
      </c>
      <c r="AO60" s="166">
        <f t="array" ref="AO60">INDEX(Expenses!$1:$398,MATCH($C60,Expenses!$A:$A,0),MATCH(AO$4,Expenses!$4:$4,0))</f>
        <v>2385.579779</v>
      </c>
      <c r="AP60" s="166">
        <f t="array" ref="AP60">INDEX(Expenses!$1:$398,MATCH($C60,Expenses!$A:$A,0),MATCH(AP$4,Expenses!$4:$4,0))</f>
        <v>2403.432677</v>
      </c>
      <c r="AQ60" s="166">
        <f t="array" ref="AQ60">INDEX(Expenses!$1:$398,MATCH($C60,Expenses!$A:$A,0),MATCH(AQ$4,Expenses!$4:$4,0))</f>
        <v>2421.374841</v>
      </c>
      <c r="AR60" s="166">
        <f t="array" ref="AR60">INDEX(Expenses!$1:$398,MATCH($C60,Expenses!$A:$A,0),MATCH(AR$4,Expenses!$4:$4,0))</f>
        <v>2439.406715</v>
      </c>
      <c r="AS60" s="166">
        <f t="array" ref="AS60">INDEX(Expenses!$1:$398,MATCH($C60,Expenses!$A:$A,0),MATCH(AS$4,Expenses!$4:$4,0))</f>
        <v>2457.528749</v>
      </c>
      <c r="AT60" s="166">
        <f t="array" ref="AT60">INDEX(Expenses!$1:$398,MATCH($C60,Expenses!$A:$A,0),MATCH(AT$4,Expenses!$4:$4,0))</f>
        <v>2475.741392</v>
      </c>
      <c r="AU60" s="166">
        <f t="array" ref="AU60">INDEX(Expenses!$1:$398,MATCH($C60,Expenses!$A:$A,0),MATCH(AU$4,Expenses!$4:$4,0))</f>
        <v>2494.045099</v>
      </c>
      <c r="AV60" s="166">
        <f t="array" ref="AV60">INDEX(Expenses!$1:$398,MATCH($C60,Expenses!$A:$A,0),MATCH(AV$4,Expenses!$4:$4,0))</f>
        <v>2512.440325</v>
      </c>
      <c r="AW60" s="166">
        <f t="array" ref="AW60">INDEX(Expenses!$1:$398,MATCH($C60,Expenses!$A:$A,0),MATCH(AW$4,Expenses!$4:$4,0))</f>
        <v>2530.927526</v>
      </c>
      <c r="AX60" s="166">
        <f t="array" ref="AX60">INDEX(Expenses!$1:$398,MATCH($C60,Expenses!$A:$A,0),MATCH(AX$4,Expenses!$4:$4,0))</f>
        <v>2549.507164</v>
      </c>
      <c r="AY60" s="166">
        <f t="array" ref="AY60">INDEX(Expenses!$1:$398,MATCH($C60,Expenses!$A:$A,0),MATCH(AY$4,Expenses!$4:$4,0))</f>
        <v>2568.1797</v>
      </c>
      <c r="AZ60" s="166">
        <f t="array" ref="AZ60">INDEX(Expenses!$1:$398,MATCH($C60,Expenses!$A:$A,0),MATCH(AZ$4,Expenses!$4:$4,0))</f>
        <v>2581.020598</v>
      </c>
      <c r="BA60" s="166">
        <f t="array" ref="BA60">INDEX(Expenses!$1:$398,MATCH($C60,Expenses!$A:$A,0),MATCH(BA$4,Expenses!$4:$4,0))</f>
        <v>2593.925701</v>
      </c>
      <c r="BB60" s="166">
        <f t="array" ref="BB60">INDEX(Expenses!$1:$398,MATCH($C60,Expenses!$A:$A,0),MATCH(BB$4,Expenses!$4:$4,0))</f>
        <v>2606.89533</v>
      </c>
      <c r="BC60" s="166">
        <f t="array" ref="BC60">INDEX(Expenses!$1:$398,MATCH($C60,Expenses!$A:$A,0),MATCH(BC$4,Expenses!$4:$4,0))</f>
        <v>2619.929806</v>
      </c>
      <c r="BD60" s="166">
        <f t="array" ref="BD60">INDEX(Expenses!$1:$398,MATCH($C60,Expenses!$A:$A,0),MATCH(BD$4,Expenses!$4:$4,0))</f>
        <v>2633.029456</v>
      </c>
      <c r="BE60" s="166">
        <f t="array" ref="BE60">INDEX(Expenses!$1:$398,MATCH($C60,Expenses!$A:$A,0),MATCH(BE$4,Expenses!$4:$4,0))</f>
        <v>2646.194603</v>
      </c>
      <c r="BF60" s="166">
        <f t="array" ref="BF60">INDEX(Expenses!$1:$398,MATCH($C60,Expenses!$A:$A,0),MATCH(BF$4,Expenses!$4:$4,0))</f>
        <v>2659.425576</v>
      </c>
      <c r="BG60" s="166">
        <f t="array" ref="BG60">INDEX(Expenses!$1:$398,MATCH($C60,Expenses!$A:$A,0),MATCH(BG$4,Expenses!$4:$4,0))</f>
        <v>2672.722704</v>
      </c>
      <c r="BH60" s="166">
        <f t="array" ref="BH60">INDEX(Expenses!$1:$398,MATCH($C60,Expenses!$A:$A,0),MATCH(BH$4,Expenses!$4:$4,0))</f>
        <v>2686.086317</v>
      </c>
      <c r="BI60" s="166">
        <f t="array" ref="BI60">INDEX(Expenses!$1:$398,MATCH($C60,Expenses!$A:$A,0),MATCH(BI$4,Expenses!$4:$4,0))</f>
        <v>2699.516749</v>
      </c>
      <c r="BJ60" s="166">
        <f t="array" ref="BJ60">INDEX(Expenses!$1:$398,MATCH($C60,Expenses!$A:$A,0),MATCH(BJ$4,Expenses!$4:$4,0))</f>
        <v>2713.014333</v>
      </c>
      <c r="BK60" s="166">
        <f t="array" ref="BK60">INDEX(Expenses!$1:$398,MATCH($C60,Expenses!$A:$A,0),MATCH(BK$4,Expenses!$4:$4,0))</f>
        <v>2726.579404</v>
      </c>
      <c r="BL60" s="166">
        <f t="array" ref="BL60">INDEX(Expenses!$1:$398,MATCH($C60,Expenses!$A:$A,0),MATCH(BL$4,Expenses!$4:$4,0))</f>
        <v>2740.212301</v>
      </c>
      <c r="BM60" s="166">
        <f t="array" ref="BM60">INDEX(Expenses!$1:$398,MATCH($C60,Expenses!$A:$A,0),MATCH(BM$4,Expenses!$4:$4,0))</f>
        <v>2753.913363</v>
      </c>
      <c r="BN60" s="166">
        <f t="array" ref="BN60">INDEX(Expenses!$1:$398,MATCH($C60,Expenses!$A:$A,0),MATCH(BN$4,Expenses!$4:$4,0))</f>
        <v>2767.68293</v>
      </c>
      <c r="BO60" s="166">
        <f t="array" ref="BO60">INDEX(Expenses!$1:$398,MATCH($C60,Expenses!$A:$A,0),MATCH(BO$4,Expenses!$4:$4,0))</f>
        <v>2781.521344</v>
      </c>
      <c r="BP60" s="166">
        <f t="array" ref="BP60">INDEX(Expenses!$1:$398,MATCH($C60,Expenses!$A:$A,0),MATCH(BP$4,Expenses!$4:$4,0))</f>
        <v>2795.428951</v>
      </c>
      <c r="BQ60" s="166">
        <f t="array" ref="BQ60">INDEX(Expenses!$1:$398,MATCH($C60,Expenses!$A:$A,0),MATCH(BQ$4,Expenses!$4:$4,0))</f>
        <v>2809.406096</v>
      </c>
      <c r="BR60" s="166">
        <f t="array" ref="BR60">INDEX(Expenses!$1:$398,MATCH($C60,Expenses!$A:$A,0),MATCH(BR$4,Expenses!$4:$4,0))</f>
        <v>2823.453126</v>
      </c>
      <c r="BS60" s="166">
        <f t="array" ref="BS60">INDEX(Expenses!$1:$398,MATCH($C60,Expenses!$A:$A,0),MATCH(BS$4,Expenses!$4:$4,0))</f>
        <v>2837.570392</v>
      </c>
      <c r="BT60" s="166">
        <f t="array" ref="BT60">INDEX(Expenses!$1:$398,MATCH($C60,Expenses!$A:$A,0),MATCH(BT$4,Expenses!$4:$4,0))</f>
        <v>2851.758244</v>
      </c>
      <c r="BU60" s="166">
        <f t="array" ref="BU60">INDEX(Expenses!$1:$398,MATCH($C60,Expenses!$A:$A,0),MATCH(BU$4,Expenses!$4:$4,0))</f>
        <v>2866.017035</v>
      </c>
      <c r="BV60" s="166">
        <f t="array" ref="BV60">INDEX(Expenses!$1:$398,MATCH($C60,Expenses!$A:$A,0),MATCH(BV$4,Expenses!$4:$4,0))</f>
        <v>2880.34712</v>
      </c>
      <c r="BW60" s="166">
        <f t="array" ref="BW60">INDEX(Expenses!$1:$398,MATCH($C60,Expenses!$A:$A,0),MATCH(BW$4,Expenses!$4:$4,0))</f>
        <v>2894.748856</v>
      </c>
      <c r="BX60" s="166">
        <f t="array" ref="BX60">INDEX(Expenses!$1:$398,MATCH($C60,Expenses!$A:$A,0),MATCH(BX$4,Expenses!$4:$4,0))</f>
        <v>2909.2226</v>
      </c>
      <c r="BY60" s="166">
        <f t="array" ref="BY60">INDEX(Expenses!$1:$398,MATCH($C60,Expenses!$A:$A,0),MATCH(BY$4,Expenses!$4:$4,0))</f>
        <v>2923.768713</v>
      </c>
      <c r="BZ60" s="166">
        <f t="array" ref="BZ60">INDEX(Expenses!$1:$398,MATCH($C60,Expenses!$A:$A,0),MATCH(BZ$4,Expenses!$4:$4,0))</f>
        <v>2938.387557</v>
      </c>
      <c r="CA60" s="166">
        <f t="array" ref="CA60">INDEX(Expenses!$1:$398,MATCH($C60,Expenses!$A:$A,0),MATCH(CA$4,Expenses!$4:$4,0))</f>
        <v>2953.079494</v>
      </c>
      <c r="CB60" s="166">
        <f t="array" ref="CB60">INDEX(Expenses!$1:$398,MATCH($C60,Expenses!$A:$A,0),MATCH(CB$4,Expenses!$4:$4,0))</f>
        <v>2967.844892</v>
      </c>
      <c r="CC60" s="166">
        <f t="array" ref="CC60">INDEX(Expenses!$1:$398,MATCH($C60,Expenses!$A:$A,0),MATCH(CC$4,Expenses!$4:$4,0))</f>
        <v>2982.684116</v>
      </c>
      <c r="CD60" s="166">
        <f t="array" ref="CD60">INDEX(Expenses!$1:$398,MATCH($C60,Expenses!$A:$A,0),MATCH(CD$4,Expenses!$4:$4,0))</f>
        <v>2997.597537</v>
      </c>
      <c r="CE60" s="166">
        <f t="array" ref="CE60">INDEX(Expenses!$1:$398,MATCH($C60,Expenses!$A:$A,0),MATCH(CE$4,Expenses!$4:$4,0))</f>
        <v>3012.585525</v>
      </c>
      <c r="CF60" s="166">
        <f t="array" ref="CF60">INDEX(Expenses!$1:$398,MATCH($C60,Expenses!$A:$A,0),MATCH(CF$4,Expenses!$4:$4,0))</f>
        <v>3027.648452</v>
      </c>
      <c r="CG60" s="166">
        <f t="array" ref="CG60">INDEX(Expenses!$1:$398,MATCH($C60,Expenses!$A:$A,0),MATCH(CG$4,Expenses!$4:$4,0))</f>
        <v>3042.786694</v>
      </c>
      <c r="CH60" s="166">
        <f t="array" ref="CH60">INDEX(Expenses!$1:$398,MATCH($C60,Expenses!$A:$A,0),MATCH(CH$4,Expenses!$4:$4,0))</f>
        <v>3058.000628</v>
      </c>
      <c r="CI60" s="166">
        <f t="array" ref="CI60">INDEX(Expenses!$1:$398,MATCH($C60,Expenses!$A:$A,0),MATCH(CI$4,Expenses!$4:$4,0))</f>
        <v>3073.290631</v>
      </c>
      <c r="CJ60" s="166">
        <f t="array" ref="CJ60">INDEX(Expenses!$1:$398,MATCH($C60,Expenses!$A:$A,0),MATCH(CJ$4,Expenses!$4:$4,0))</f>
        <v>3088.657084</v>
      </c>
      <c r="CK60" s="166">
        <f t="array" ref="CK60">INDEX(Expenses!$1:$398,MATCH($C60,Expenses!$A:$A,0),MATCH(CK$4,Expenses!$4:$4,0))</f>
        <v>3104.10037</v>
      </c>
      <c r="CL60" s="166">
        <f t="array" ref="CL60">INDEX(Expenses!$1:$398,MATCH($C60,Expenses!$A:$A,0),MATCH(CL$4,Expenses!$4:$4,0))</f>
        <v>3119.620871</v>
      </c>
      <c r="CM60" s="166">
        <f t="array" ref="CM60">INDEX(Expenses!$1:$398,MATCH($C60,Expenses!$A:$A,0),MATCH(CM$4,Expenses!$4:$4,0))</f>
        <v>3135.218976</v>
      </c>
      <c r="CN60" s="166">
        <f t="array" ref="CN60">INDEX(Expenses!$1:$398,MATCH($C60,Expenses!$A:$A,0),MATCH(CN$4,Expenses!$4:$4,0))</f>
        <v>3150.895071</v>
      </c>
      <c r="CO60" s="166">
        <f t="array" ref="CO60">INDEX(Expenses!$1:$398,MATCH($C60,Expenses!$A:$A,0),MATCH(CO$4,Expenses!$4:$4,0))</f>
        <v>3166.649546</v>
      </c>
      <c r="CP60" s="166">
        <f t="array" ref="CP60">INDEX(Expenses!$1:$398,MATCH($C60,Expenses!$A:$A,0),MATCH(CP$4,Expenses!$4:$4,0))</f>
        <v>3182.482794</v>
      </c>
      <c r="CQ60" s="166">
        <f t="array" ref="CQ60">INDEX(Expenses!$1:$398,MATCH($C60,Expenses!$A:$A,0),MATCH(CQ$4,Expenses!$4:$4,0))</f>
        <v>3198.395208</v>
      </c>
      <c r="CR60" s="166">
        <f t="array" ref="CR60">INDEX(Expenses!$1:$398,MATCH($C60,Expenses!$A:$A,0),MATCH(CR$4,Expenses!$4:$4,0))</f>
        <v>3214.387184</v>
      </c>
      <c r="CS60" s="166">
        <f t="array" ref="CS60">INDEX(Expenses!$1:$398,MATCH($C60,Expenses!$A:$A,0),MATCH(CS$4,Expenses!$4:$4,0))</f>
        <v>3230.45912</v>
      </c>
      <c r="CT60" s="166">
        <f t="array" ref="CT60">INDEX(Expenses!$1:$398,MATCH($C60,Expenses!$A:$A,0),MATCH(CT$4,Expenses!$4:$4,0))</f>
        <v>3246.611415</v>
      </c>
      <c r="CU60" s="166">
        <f t="array" ref="CU60">INDEX(Expenses!$1:$398,MATCH($C60,Expenses!$A:$A,0),MATCH(CU$4,Expenses!$4:$4,0))</f>
        <v>3262.844472</v>
      </c>
      <c r="CV60" s="162"/>
      <c r="CW60" s="162"/>
      <c r="CX60" s="162"/>
      <c r="CY60" s="162"/>
      <c r="CZ60" s="162"/>
      <c r="DA60" s="162"/>
      <c r="DB60" s="162"/>
      <c r="DC60" s="162"/>
    </row>
    <row r="61" ht="15.75" customHeight="1">
      <c r="A61" s="146" t="s">
        <v>174</v>
      </c>
      <c r="B61" s="146" t="s">
        <v>178</v>
      </c>
      <c r="C61" s="160" t="s">
        <v>238</v>
      </c>
      <c r="D61" s="161">
        <f t="shared" ref="D61:AL61" si="52">RANDBETWEEN(1000,2500)</f>
        <v>1504</v>
      </c>
      <c r="E61" s="161">
        <f t="shared" si="52"/>
        <v>2261</v>
      </c>
      <c r="F61" s="161">
        <f t="shared" si="52"/>
        <v>1888</v>
      </c>
      <c r="G61" s="161">
        <f t="shared" si="52"/>
        <v>2171</v>
      </c>
      <c r="H61" s="161">
        <f t="shared" si="52"/>
        <v>1469</v>
      </c>
      <c r="I61" s="161">
        <f t="shared" si="52"/>
        <v>1617</v>
      </c>
      <c r="J61" s="161">
        <f t="shared" si="52"/>
        <v>2291</v>
      </c>
      <c r="K61" s="161">
        <f t="shared" si="52"/>
        <v>1663</v>
      </c>
      <c r="L61" s="161">
        <f t="shared" si="52"/>
        <v>1381</v>
      </c>
      <c r="M61" s="161">
        <f t="shared" si="52"/>
        <v>2030</v>
      </c>
      <c r="N61" s="161">
        <f t="shared" si="52"/>
        <v>1367</v>
      </c>
      <c r="O61" s="161">
        <f t="shared" si="52"/>
        <v>2180</v>
      </c>
      <c r="P61" s="161">
        <f t="shared" si="52"/>
        <v>2079</v>
      </c>
      <c r="Q61" s="161">
        <f t="shared" si="52"/>
        <v>2127</v>
      </c>
      <c r="R61" s="161">
        <f t="shared" si="52"/>
        <v>2229</v>
      </c>
      <c r="S61" s="161">
        <f t="shared" si="52"/>
        <v>2473</v>
      </c>
      <c r="T61" s="161">
        <f t="shared" si="52"/>
        <v>2084</v>
      </c>
      <c r="U61" s="161">
        <f t="shared" si="52"/>
        <v>1108</v>
      </c>
      <c r="V61" s="161">
        <f t="shared" si="52"/>
        <v>2304</v>
      </c>
      <c r="W61" s="161">
        <f t="shared" si="52"/>
        <v>1013</v>
      </c>
      <c r="X61" s="161">
        <f t="shared" si="52"/>
        <v>1838</v>
      </c>
      <c r="Y61" s="161">
        <f t="shared" si="52"/>
        <v>1803</v>
      </c>
      <c r="Z61" s="161">
        <f t="shared" si="52"/>
        <v>1359</v>
      </c>
      <c r="AA61" s="161">
        <f t="shared" si="52"/>
        <v>1587</v>
      </c>
      <c r="AB61" s="161">
        <f t="shared" si="52"/>
        <v>1747</v>
      </c>
      <c r="AC61" s="161">
        <f t="shared" si="52"/>
        <v>2224</v>
      </c>
      <c r="AD61" s="161">
        <f t="shared" si="52"/>
        <v>2108</v>
      </c>
      <c r="AE61" s="161">
        <f t="shared" si="52"/>
        <v>1305</v>
      </c>
      <c r="AF61" s="161">
        <f t="shared" si="52"/>
        <v>2169</v>
      </c>
      <c r="AG61" s="161">
        <f t="shared" si="52"/>
        <v>1093</v>
      </c>
      <c r="AH61" s="161">
        <f t="shared" si="52"/>
        <v>1197</v>
      </c>
      <c r="AI61" s="161">
        <f t="shared" si="52"/>
        <v>1714</v>
      </c>
      <c r="AJ61" s="161">
        <f t="shared" si="52"/>
        <v>1823</v>
      </c>
      <c r="AK61" s="161">
        <f t="shared" si="52"/>
        <v>1151</v>
      </c>
      <c r="AL61" s="161">
        <f t="shared" si="52"/>
        <v>1756</v>
      </c>
      <c r="AM61" s="166">
        <f t="array" ref="AM61">INDEX(Expenses!$1:$398,MATCH($C61,Expenses!$A:$A,0),MATCH(AM$4,Expenses!$4:$4,0))</f>
        <v>1358.88</v>
      </c>
      <c r="AN61" s="166">
        <f t="array" ref="AN61">INDEX(Expenses!$1:$398,MATCH($C61,Expenses!$A:$A,0),MATCH(AN$4,Expenses!$4:$4,0))</f>
        <v>1358.88</v>
      </c>
      <c r="AO61" s="166">
        <f t="array" ref="AO61">INDEX(Expenses!$1:$398,MATCH($C61,Expenses!$A:$A,0),MATCH(AO$4,Expenses!$4:$4,0))</f>
        <v>1358.88</v>
      </c>
      <c r="AP61" s="166">
        <f t="array" ref="AP61">INDEX(Expenses!$1:$398,MATCH($C61,Expenses!$A:$A,0),MATCH(AP$4,Expenses!$4:$4,0))</f>
        <v>1358.88</v>
      </c>
      <c r="AQ61" s="166">
        <f t="array" ref="AQ61">INDEX(Expenses!$1:$398,MATCH($C61,Expenses!$A:$A,0),MATCH(AQ$4,Expenses!$4:$4,0))</f>
        <v>1358.88</v>
      </c>
      <c r="AR61" s="166">
        <f t="array" ref="AR61">INDEX(Expenses!$1:$398,MATCH($C61,Expenses!$A:$A,0),MATCH(AR$4,Expenses!$4:$4,0))</f>
        <v>1358.88</v>
      </c>
      <c r="AS61" s="166">
        <f t="array" ref="AS61">INDEX(Expenses!$1:$398,MATCH($C61,Expenses!$A:$A,0),MATCH(AS$4,Expenses!$4:$4,0))</f>
        <v>1358.88</v>
      </c>
      <c r="AT61" s="166">
        <f t="array" ref="AT61">INDEX(Expenses!$1:$398,MATCH($C61,Expenses!$A:$A,0),MATCH(AT$4,Expenses!$4:$4,0))</f>
        <v>1358.88</v>
      </c>
      <c r="AU61" s="166">
        <f t="array" ref="AU61">INDEX(Expenses!$1:$398,MATCH($C61,Expenses!$A:$A,0),MATCH(AU$4,Expenses!$4:$4,0))</f>
        <v>1358.88</v>
      </c>
      <c r="AV61" s="166">
        <f t="array" ref="AV61">INDEX(Expenses!$1:$398,MATCH($C61,Expenses!$A:$A,0),MATCH(AV$4,Expenses!$4:$4,0))</f>
        <v>1358.88</v>
      </c>
      <c r="AW61" s="166">
        <f t="array" ref="AW61">INDEX(Expenses!$1:$398,MATCH($C61,Expenses!$A:$A,0),MATCH(AW$4,Expenses!$4:$4,0))</f>
        <v>1358.88</v>
      </c>
      <c r="AX61" s="166">
        <f t="array" ref="AX61">INDEX(Expenses!$1:$398,MATCH($C61,Expenses!$A:$A,0),MATCH(AX$4,Expenses!$4:$4,0))</f>
        <v>1358.88</v>
      </c>
      <c r="AY61" s="166">
        <f t="array" ref="AY61">INDEX(Expenses!$1:$398,MATCH($C61,Expenses!$A:$A,0),MATCH(AY$4,Expenses!$4:$4,0))</f>
        <v>1358.88</v>
      </c>
      <c r="AZ61" s="166">
        <f t="array" ref="AZ61">INDEX(Expenses!$1:$398,MATCH($C61,Expenses!$A:$A,0),MATCH(AZ$4,Expenses!$4:$4,0))</f>
        <v>2783.88</v>
      </c>
      <c r="BA61" s="166">
        <f t="array" ref="BA61">INDEX(Expenses!$1:$398,MATCH($C61,Expenses!$A:$A,0),MATCH(BA$4,Expenses!$4:$4,0))</f>
        <v>2783.88</v>
      </c>
      <c r="BB61" s="166">
        <f t="array" ref="BB61">INDEX(Expenses!$1:$398,MATCH($C61,Expenses!$A:$A,0),MATCH(BB$4,Expenses!$4:$4,0))</f>
        <v>2783.88</v>
      </c>
      <c r="BC61" s="166">
        <f t="array" ref="BC61">INDEX(Expenses!$1:$398,MATCH($C61,Expenses!$A:$A,0),MATCH(BC$4,Expenses!$4:$4,0))</f>
        <v>2783.88</v>
      </c>
      <c r="BD61" s="166">
        <f t="array" ref="BD61">INDEX(Expenses!$1:$398,MATCH($C61,Expenses!$A:$A,0),MATCH(BD$4,Expenses!$4:$4,0))</f>
        <v>2783.88</v>
      </c>
      <c r="BE61" s="166">
        <f t="array" ref="BE61">INDEX(Expenses!$1:$398,MATCH($C61,Expenses!$A:$A,0),MATCH(BE$4,Expenses!$4:$4,0))</f>
        <v>2783.88</v>
      </c>
      <c r="BF61" s="166">
        <f t="array" ref="BF61">INDEX(Expenses!$1:$398,MATCH($C61,Expenses!$A:$A,0),MATCH(BF$4,Expenses!$4:$4,0))</f>
        <v>4208.88</v>
      </c>
      <c r="BG61" s="166">
        <f t="array" ref="BG61">INDEX(Expenses!$1:$398,MATCH($C61,Expenses!$A:$A,0),MATCH(BG$4,Expenses!$4:$4,0))</f>
        <v>4208.88</v>
      </c>
      <c r="BH61" s="166">
        <f t="array" ref="BH61">INDEX(Expenses!$1:$398,MATCH($C61,Expenses!$A:$A,0),MATCH(BH$4,Expenses!$4:$4,0))</f>
        <v>4208.88</v>
      </c>
      <c r="BI61" s="166">
        <f t="array" ref="BI61">INDEX(Expenses!$1:$398,MATCH($C61,Expenses!$A:$A,0),MATCH(BI$4,Expenses!$4:$4,0))</f>
        <v>4208.88</v>
      </c>
      <c r="BJ61" s="166">
        <f t="array" ref="BJ61">INDEX(Expenses!$1:$398,MATCH($C61,Expenses!$A:$A,0),MATCH(BJ$4,Expenses!$4:$4,0))</f>
        <v>4208.88</v>
      </c>
      <c r="BK61" s="166">
        <f t="array" ref="BK61">INDEX(Expenses!$1:$398,MATCH($C61,Expenses!$A:$A,0),MATCH(BK$4,Expenses!$4:$4,0))</f>
        <v>4208.88</v>
      </c>
      <c r="BL61" s="166">
        <f t="array" ref="BL61">INDEX(Expenses!$1:$398,MATCH($C61,Expenses!$A:$A,0),MATCH(BL$4,Expenses!$4:$4,0))</f>
        <v>5633.88</v>
      </c>
      <c r="BM61" s="166">
        <f t="array" ref="BM61">INDEX(Expenses!$1:$398,MATCH($C61,Expenses!$A:$A,0),MATCH(BM$4,Expenses!$4:$4,0))</f>
        <v>5633.88</v>
      </c>
      <c r="BN61" s="166">
        <f t="array" ref="BN61">INDEX(Expenses!$1:$398,MATCH($C61,Expenses!$A:$A,0),MATCH(BN$4,Expenses!$4:$4,0))</f>
        <v>5633.88</v>
      </c>
      <c r="BO61" s="166">
        <f t="array" ref="BO61">INDEX(Expenses!$1:$398,MATCH($C61,Expenses!$A:$A,0),MATCH(BO$4,Expenses!$4:$4,0))</f>
        <v>5633.88</v>
      </c>
      <c r="BP61" s="166">
        <f t="array" ref="BP61">INDEX(Expenses!$1:$398,MATCH($C61,Expenses!$A:$A,0),MATCH(BP$4,Expenses!$4:$4,0))</f>
        <v>5633.88</v>
      </c>
      <c r="BQ61" s="166">
        <f t="array" ref="BQ61">INDEX(Expenses!$1:$398,MATCH($C61,Expenses!$A:$A,0),MATCH(BQ$4,Expenses!$4:$4,0))</f>
        <v>5633.88</v>
      </c>
      <c r="BR61" s="166">
        <f t="array" ref="BR61">INDEX(Expenses!$1:$398,MATCH($C61,Expenses!$A:$A,0),MATCH(BR$4,Expenses!$4:$4,0))</f>
        <v>7058.88</v>
      </c>
      <c r="BS61" s="166">
        <f t="array" ref="BS61">INDEX(Expenses!$1:$398,MATCH($C61,Expenses!$A:$A,0),MATCH(BS$4,Expenses!$4:$4,0))</f>
        <v>7058.88</v>
      </c>
      <c r="BT61" s="166">
        <f t="array" ref="BT61">INDEX(Expenses!$1:$398,MATCH($C61,Expenses!$A:$A,0),MATCH(BT$4,Expenses!$4:$4,0))</f>
        <v>7058.88</v>
      </c>
      <c r="BU61" s="166">
        <f t="array" ref="BU61">INDEX(Expenses!$1:$398,MATCH($C61,Expenses!$A:$A,0),MATCH(BU$4,Expenses!$4:$4,0))</f>
        <v>7058.88</v>
      </c>
      <c r="BV61" s="166">
        <f t="array" ref="BV61">INDEX(Expenses!$1:$398,MATCH($C61,Expenses!$A:$A,0),MATCH(BV$4,Expenses!$4:$4,0))</f>
        <v>7058.88</v>
      </c>
      <c r="BW61" s="166">
        <f t="array" ref="BW61">INDEX(Expenses!$1:$398,MATCH($C61,Expenses!$A:$A,0),MATCH(BW$4,Expenses!$4:$4,0))</f>
        <v>7058.88</v>
      </c>
      <c r="BX61" s="166">
        <f t="array" ref="BX61">INDEX(Expenses!$1:$398,MATCH($C61,Expenses!$A:$A,0),MATCH(BX$4,Expenses!$4:$4,0))</f>
        <v>8483.88</v>
      </c>
      <c r="BY61" s="166">
        <f t="array" ref="BY61">INDEX(Expenses!$1:$398,MATCH($C61,Expenses!$A:$A,0),MATCH(BY$4,Expenses!$4:$4,0))</f>
        <v>8483.88</v>
      </c>
      <c r="BZ61" s="166">
        <f t="array" ref="BZ61">INDEX(Expenses!$1:$398,MATCH($C61,Expenses!$A:$A,0),MATCH(BZ$4,Expenses!$4:$4,0))</f>
        <v>8483.88</v>
      </c>
      <c r="CA61" s="166">
        <f t="array" ref="CA61">INDEX(Expenses!$1:$398,MATCH($C61,Expenses!$A:$A,0),MATCH(CA$4,Expenses!$4:$4,0))</f>
        <v>8483.88</v>
      </c>
      <c r="CB61" s="166">
        <f t="array" ref="CB61">INDEX(Expenses!$1:$398,MATCH($C61,Expenses!$A:$A,0),MATCH(CB$4,Expenses!$4:$4,0))</f>
        <v>8483.88</v>
      </c>
      <c r="CC61" s="166">
        <f t="array" ref="CC61">INDEX(Expenses!$1:$398,MATCH($C61,Expenses!$A:$A,0),MATCH(CC$4,Expenses!$4:$4,0))</f>
        <v>8483.88</v>
      </c>
      <c r="CD61" s="166">
        <f t="array" ref="CD61">INDEX(Expenses!$1:$398,MATCH($C61,Expenses!$A:$A,0),MATCH(CD$4,Expenses!$4:$4,0))</f>
        <v>9908.88</v>
      </c>
      <c r="CE61" s="166">
        <f t="array" ref="CE61">INDEX(Expenses!$1:$398,MATCH($C61,Expenses!$A:$A,0),MATCH(CE$4,Expenses!$4:$4,0))</f>
        <v>9908.88</v>
      </c>
      <c r="CF61" s="166">
        <f t="array" ref="CF61">INDEX(Expenses!$1:$398,MATCH($C61,Expenses!$A:$A,0),MATCH(CF$4,Expenses!$4:$4,0))</f>
        <v>9908.88</v>
      </c>
      <c r="CG61" s="166">
        <f t="array" ref="CG61">INDEX(Expenses!$1:$398,MATCH($C61,Expenses!$A:$A,0),MATCH(CG$4,Expenses!$4:$4,0))</f>
        <v>9908.88</v>
      </c>
      <c r="CH61" s="166">
        <f t="array" ref="CH61">INDEX(Expenses!$1:$398,MATCH($C61,Expenses!$A:$A,0),MATCH(CH$4,Expenses!$4:$4,0))</f>
        <v>9908.88</v>
      </c>
      <c r="CI61" s="166">
        <f t="array" ref="CI61">INDEX(Expenses!$1:$398,MATCH($C61,Expenses!$A:$A,0),MATCH(CI$4,Expenses!$4:$4,0))</f>
        <v>9908.88</v>
      </c>
      <c r="CJ61" s="166">
        <f t="array" ref="CJ61">INDEX(Expenses!$1:$398,MATCH($C61,Expenses!$A:$A,0),MATCH(CJ$4,Expenses!$4:$4,0))</f>
        <v>11333.88</v>
      </c>
      <c r="CK61" s="166">
        <f t="array" ref="CK61">INDEX(Expenses!$1:$398,MATCH($C61,Expenses!$A:$A,0),MATCH(CK$4,Expenses!$4:$4,0))</f>
        <v>11333.88</v>
      </c>
      <c r="CL61" s="166">
        <f t="array" ref="CL61">INDEX(Expenses!$1:$398,MATCH($C61,Expenses!$A:$A,0),MATCH(CL$4,Expenses!$4:$4,0))</f>
        <v>11333.88</v>
      </c>
      <c r="CM61" s="166">
        <f t="array" ref="CM61">INDEX(Expenses!$1:$398,MATCH($C61,Expenses!$A:$A,0),MATCH(CM$4,Expenses!$4:$4,0))</f>
        <v>11333.88</v>
      </c>
      <c r="CN61" s="166">
        <f t="array" ref="CN61">INDEX(Expenses!$1:$398,MATCH($C61,Expenses!$A:$A,0),MATCH(CN$4,Expenses!$4:$4,0))</f>
        <v>11333.88</v>
      </c>
      <c r="CO61" s="166">
        <f t="array" ref="CO61">INDEX(Expenses!$1:$398,MATCH($C61,Expenses!$A:$A,0),MATCH(CO$4,Expenses!$4:$4,0))</f>
        <v>11333.88</v>
      </c>
      <c r="CP61" s="166">
        <f t="array" ref="CP61">INDEX(Expenses!$1:$398,MATCH($C61,Expenses!$A:$A,0),MATCH(CP$4,Expenses!$4:$4,0))</f>
        <v>12758.88</v>
      </c>
      <c r="CQ61" s="166">
        <f t="array" ref="CQ61">INDEX(Expenses!$1:$398,MATCH($C61,Expenses!$A:$A,0),MATCH(CQ$4,Expenses!$4:$4,0))</f>
        <v>12758.88</v>
      </c>
      <c r="CR61" s="166">
        <f t="array" ref="CR61">INDEX(Expenses!$1:$398,MATCH($C61,Expenses!$A:$A,0),MATCH(CR$4,Expenses!$4:$4,0))</f>
        <v>12758.88</v>
      </c>
      <c r="CS61" s="166">
        <f t="array" ref="CS61">INDEX(Expenses!$1:$398,MATCH($C61,Expenses!$A:$A,0),MATCH(CS$4,Expenses!$4:$4,0))</f>
        <v>12758.88</v>
      </c>
      <c r="CT61" s="166">
        <f t="array" ref="CT61">INDEX(Expenses!$1:$398,MATCH($C61,Expenses!$A:$A,0),MATCH(CT$4,Expenses!$4:$4,0))</f>
        <v>12758.88</v>
      </c>
      <c r="CU61" s="166">
        <f t="array" ref="CU61">INDEX(Expenses!$1:$398,MATCH($C61,Expenses!$A:$A,0),MATCH(CU$4,Expenses!$4:$4,0))</f>
        <v>12758.88</v>
      </c>
      <c r="CV61" s="162"/>
      <c r="CW61" s="162"/>
      <c r="CX61" s="162"/>
      <c r="CY61" s="162"/>
      <c r="CZ61" s="162"/>
      <c r="DA61" s="162"/>
      <c r="DB61" s="162"/>
      <c r="DC61" s="162"/>
    </row>
    <row r="62" ht="15.75" customHeight="1">
      <c r="A62" s="146" t="s">
        <v>174</v>
      </c>
      <c r="B62" s="146" t="s">
        <v>178</v>
      </c>
      <c r="C62" s="160" t="s">
        <v>239</v>
      </c>
      <c r="D62" s="161">
        <f t="shared" ref="D62:AL62" si="53">RANDBETWEEN(1000,2500)</f>
        <v>2224</v>
      </c>
      <c r="E62" s="161">
        <f t="shared" si="53"/>
        <v>2054</v>
      </c>
      <c r="F62" s="161">
        <f t="shared" si="53"/>
        <v>1824</v>
      </c>
      <c r="G62" s="161">
        <f t="shared" si="53"/>
        <v>1217</v>
      </c>
      <c r="H62" s="161">
        <f t="shared" si="53"/>
        <v>2160</v>
      </c>
      <c r="I62" s="161">
        <f t="shared" si="53"/>
        <v>2325</v>
      </c>
      <c r="J62" s="161">
        <f t="shared" si="53"/>
        <v>1028</v>
      </c>
      <c r="K62" s="161">
        <f t="shared" si="53"/>
        <v>1398</v>
      </c>
      <c r="L62" s="161">
        <f t="shared" si="53"/>
        <v>1532</v>
      </c>
      <c r="M62" s="161">
        <f t="shared" si="53"/>
        <v>1439</v>
      </c>
      <c r="N62" s="161">
        <f t="shared" si="53"/>
        <v>1076</v>
      </c>
      <c r="O62" s="161">
        <f t="shared" si="53"/>
        <v>1370</v>
      </c>
      <c r="P62" s="161">
        <f t="shared" si="53"/>
        <v>1710</v>
      </c>
      <c r="Q62" s="161">
        <f t="shared" si="53"/>
        <v>2151</v>
      </c>
      <c r="R62" s="161">
        <f t="shared" si="53"/>
        <v>2224</v>
      </c>
      <c r="S62" s="161">
        <f t="shared" si="53"/>
        <v>2059</v>
      </c>
      <c r="T62" s="161">
        <f t="shared" si="53"/>
        <v>2474</v>
      </c>
      <c r="U62" s="161">
        <f t="shared" si="53"/>
        <v>1588</v>
      </c>
      <c r="V62" s="161">
        <f t="shared" si="53"/>
        <v>1136</v>
      </c>
      <c r="W62" s="161">
        <f t="shared" si="53"/>
        <v>1422</v>
      </c>
      <c r="X62" s="161">
        <f t="shared" si="53"/>
        <v>2227</v>
      </c>
      <c r="Y62" s="161">
        <f t="shared" si="53"/>
        <v>1494</v>
      </c>
      <c r="Z62" s="161">
        <f t="shared" si="53"/>
        <v>1090</v>
      </c>
      <c r="AA62" s="161">
        <f t="shared" si="53"/>
        <v>2240</v>
      </c>
      <c r="AB62" s="161">
        <f t="shared" si="53"/>
        <v>1272</v>
      </c>
      <c r="AC62" s="161">
        <f t="shared" si="53"/>
        <v>2306</v>
      </c>
      <c r="AD62" s="161">
        <f t="shared" si="53"/>
        <v>1616</v>
      </c>
      <c r="AE62" s="161">
        <f t="shared" si="53"/>
        <v>1156</v>
      </c>
      <c r="AF62" s="161">
        <f t="shared" si="53"/>
        <v>2281</v>
      </c>
      <c r="AG62" s="161">
        <f t="shared" si="53"/>
        <v>2272</v>
      </c>
      <c r="AH62" s="161">
        <f t="shared" si="53"/>
        <v>2387</v>
      </c>
      <c r="AI62" s="161">
        <f t="shared" si="53"/>
        <v>1398</v>
      </c>
      <c r="AJ62" s="161">
        <f t="shared" si="53"/>
        <v>2396</v>
      </c>
      <c r="AK62" s="161">
        <f t="shared" si="53"/>
        <v>2187</v>
      </c>
      <c r="AL62" s="161">
        <f t="shared" si="53"/>
        <v>1013</v>
      </c>
      <c r="AM62" s="166">
        <f t="array" ref="AM62">INDEX(Expenses!$1:$398,MATCH($C62,Expenses!$A:$A,0),MATCH(AM$4,Expenses!$4:$4,0))</f>
        <v>153</v>
      </c>
      <c r="AN62" s="166">
        <f t="array" ref="AN62">INDEX(Expenses!$1:$398,MATCH($C62,Expenses!$A:$A,0),MATCH(AN$4,Expenses!$4:$4,0))</f>
        <v>23.84</v>
      </c>
      <c r="AO62" s="166">
        <f t="array" ref="AO62">INDEX(Expenses!$1:$398,MATCH($C62,Expenses!$A:$A,0),MATCH(AO$4,Expenses!$4:$4,0))</f>
        <v>23.84</v>
      </c>
      <c r="AP62" s="166">
        <f t="array" ref="AP62">INDEX(Expenses!$1:$398,MATCH($C62,Expenses!$A:$A,0),MATCH(AP$4,Expenses!$4:$4,0))</f>
        <v>23.84</v>
      </c>
      <c r="AQ62" s="166">
        <f t="array" ref="AQ62">INDEX(Expenses!$1:$398,MATCH($C62,Expenses!$A:$A,0),MATCH(AQ$4,Expenses!$4:$4,0))</f>
        <v>23.84</v>
      </c>
      <c r="AR62" s="166">
        <f t="array" ref="AR62">INDEX(Expenses!$1:$398,MATCH($C62,Expenses!$A:$A,0),MATCH(AR$4,Expenses!$4:$4,0))</f>
        <v>23.84</v>
      </c>
      <c r="AS62" s="166">
        <f t="array" ref="AS62">INDEX(Expenses!$1:$398,MATCH($C62,Expenses!$A:$A,0),MATCH(AS$4,Expenses!$4:$4,0))</f>
        <v>23.84</v>
      </c>
      <c r="AT62" s="166">
        <f t="array" ref="AT62">INDEX(Expenses!$1:$398,MATCH($C62,Expenses!$A:$A,0),MATCH(AT$4,Expenses!$4:$4,0))</f>
        <v>23.84</v>
      </c>
      <c r="AU62" s="166">
        <f t="array" ref="AU62">INDEX(Expenses!$1:$398,MATCH($C62,Expenses!$A:$A,0),MATCH(AU$4,Expenses!$4:$4,0))</f>
        <v>23.84</v>
      </c>
      <c r="AV62" s="166">
        <f t="array" ref="AV62">INDEX(Expenses!$1:$398,MATCH($C62,Expenses!$A:$A,0),MATCH(AV$4,Expenses!$4:$4,0))</f>
        <v>23.84</v>
      </c>
      <c r="AW62" s="166">
        <f t="array" ref="AW62">INDEX(Expenses!$1:$398,MATCH($C62,Expenses!$A:$A,0),MATCH(AW$4,Expenses!$4:$4,0))</f>
        <v>23.84</v>
      </c>
      <c r="AX62" s="166">
        <f t="array" ref="AX62">INDEX(Expenses!$1:$398,MATCH($C62,Expenses!$A:$A,0),MATCH(AX$4,Expenses!$4:$4,0))</f>
        <v>23.84</v>
      </c>
      <c r="AY62" s="166">
        <f t="array" ref="AY62">INDEX(Expenses!$1:$398,MATCH($C62,Expenses!$A:$A,0),MATCH(AY$4,Expenses!$4:$4,0))</f>
        <v>23.84</v>
      </c>
      <c r="AZ62" s="166">
        <f t="array" ref="AZ62">INDEX(Expenses!$1:$398,MATCH($C62,Expenses!$A:$A,0),MATCH(AZ$4,Expenses!$4:$4,0))</f>
        <v>48.84</v>
      </c>
      <c r="BA62" s="166">
        <f t="array" ref="BA62">INDEX(Expenses!$1:$398,MATCH($C62,Expenses!$A:$A,0),MATCH(BA$4,Expenses!$4:$4,0))</f>
        <v>48.84</v>
      </c>
      <c r="BB62" s="166">
        <f t="array" ref="BB62">INDEX(Expenses!$1:$398,MATCH($C62,Expenses!$A:$A,0),MATCH(BB$4,Expenses!$4:$4,0))</f>
        <v>48.84</v>
      </c>
      <c r="BC62" s="166">
        <f t="array" ref="BC62">INDEX(Expenses!$1:$398,MATCH($C62,Expenses!$A:$A,0),MATCH(BC$4,Expenses!$4:$4,0))</f>
        <v>48.84</v>
      </c>
      <c r="BD62" s="166">
        <f t="array" ref="BD62">INDEX(Expenses!$1:$398,MATCH($C62,Expenses!$A:$A,0),MATCH(BD$4,Expenses!$4:$4,0))</f>
        <v>48.84</v>
      </c>
      <c r="BE62" s="166">
        <f t="array" ref="BE62">INDEX(Expenses!$1:$398,MATCH($C62,Expenses!$A:$A,0),MATCH(BE$4,Expenses!$4:$4,0))</f>
        <v>48.84</v>
      </c>
      <c r="BF62" s="166">
        <f t="array" ref="BF62">INDEX(Expenses!$1:$398,MATCH($C62,Expenses!$A:$A,0),MATCH(BF$4,Expenses!$4:$4,0))</f>
        <v>73.84</v>
      </c>
      <c r="BG62" s="166">
        <f t="array" ref="BG62">INDEX(Expenses!$1:$398,MATCH($C62,Expenses!$A:$A,0),MATCH(BG$4,Expenses!$4:$4,0))</f>
        <v>73.84</v>
      </c>
      <c r="BH62" s="166">
        <f t="array" ref="BH62">INDEX(Expenses!$1:$398,MATCH($C62,Expenses!$A:$A,0),MATCH(BH$4,Expenses!$4:$4,0))</f>
        <v>73.84</v>
      </c>
      <c r="BI62" s="166">
        <f t="array" ref="BI62">INDEX(Expenses!$1:$398,MATCH($C62,Expenses!$A:$A,0),MATCH(BI$4,Expenses!$4:$4,0))</f>
        <v>73.84</v>
      </c>
      <c r="BJ62" s="166">
        <f t="array" ref="BJ62">INDEX(Expenses!$1:$398,MATCH($C62,Expenses!$A:$A,0),MATCH(BJ$4,Expenses!$4:$4,0))</f>
        <v>73.84</v>
      </c>
      <c r="BK62" s="166">
        <f t="array" ref="BK62">INDEX(Expenses!$1:$398,MATCH($C62,Expenses!$A:$A,0),MATCH(BK$4,Expenses!$4:$4,0))</f>
        <v>73.84</v>
      </c>
      <c r="BL62" s="166">
        <f t="array" ref="BL62">INDEX(Expenses!$1:$398,MATCH($C62,Expenses!$A:$A,0),MATCH(BL$4,Expenses!$4:$4,0))</f>
        <v>98.84</v>
      </c>
      <c r="BM62" s="166">
        <f t="array" ref="BM62">INDEX(Expenses!$1:$398,MATCH($C62,Expenses!$A:$A,0),MATCH(BM$4,Expenses!$4:$4,0))</f>
        <v>98.84</v>
      </c>
      <c r="BN62" s="166">
        <f t="array" ref="BN62">INDEX(Expenses!$1:$398,MATCH($C62,Expenses!$A:$A,0),MATCH(BN$4,Expenses!$4:$4,0))</f>
        <v>98.84</v>
      </c>
      <c r="BO62" s="166">
        <f t="array" ref="BO62">INDEX(Expenses!$1:$398,MATCH($C62,Expenses!$A:$A,0),MATCH(BO$4,Expenses!$4:$4,0))</f>
        <v>98.84</v>
      </c>
      <c r="BP62" s="166">
        <f t="array" ref="BP62">INDEX(Expenses!$1:$398,MATCH($C62,Expenses!$A:$A,0),MATCH(BP$4,Expenses!$4:$4,0))</f>
        <v>98.84</v>
      </c>
      <c r="BQ62" s="166">
        <f t="array" ref="BQ62">INDEX(Expenses!$1:$398,MATCH($C62,Expenses!$A:$A,0),MATCH(BQ$4,Expenses!$4:$4,0))</f>
        <v>98.84</v>
      </c>
      <c r="BR62" s="166">
        <f t="array" ref="BR62">INDEX(Expenses!$1:$398,MATCH($C62,Expenses!$A:$A,0),MATCH(BR$4,Expenses!$4:$4,0))</f>
        <v>123.84</v>
      </c>
      <c r="BS62" s="166">
        <f t="array" ref="BS62">INDEX(Expenses!$1:$398,MATCH($C62,Expenses!$A:$A,0),MATCH(BS$4,Expenses!$4:$4,0))</f>
        <v>123.84</v>
      </c>
      <c r="BT62" s="166">
        <f t="array" ref="BT62">INDEX(Expenses!$1:$398,MATCH($C62,Expenses!$A:$A,0),MATCH(BT$4,Expenses!$4:$4,0))</f>
        <v>123.84</v>
      </c>
      <c r="BU62" s="166">
        <f t="array" ref="BU62">INDEX(Expenses!$1:$398,MATCH($C62,Expenses!$A:$A,0),MATCH(BU$4,Expenses!$4:$4,0))</f>
        <v>123.84</v>
      </c>
      <c r="BV62" s="166">
        <f t="array" ref="BV62">INDEX(Expenses!$1:$398,MATCH($C62,Expenses!$A:$A,0),MATCH(BV$4,Expenses!$4:$4,0))</f>
        <v>123.84</v>
      </c>
      <c r="BW62" s="166">
        <f t="array" ref="BW62">INDEX(Expenses!$1:$398,MATCH($C62,Expenses!$A:$A,0),MATCH(BW$4,Expenses!$4:$4,0))</f>
        <v>123.84</v>
      </c>
      <c r="BX62" s="166">
        <f t="array" ref="BX62">INDEX(Expenses!$1:$398,MATCH($C62,Expenses!$A:$A,0),MATCH(BX$4,Expenses!$4:$4,0))</f>
        <v>148.84</v>
      </c>
      <c r="BY62" s="166">
        <f t="array" ref="BY62">INDEX(Expenses!$1:$398,MATCH($C62,Expenses!$A:$A,0),MATCH(BY$4,Expenses!$4:$4,0))</f>
        <v>148.84</v>
      </c>
      <c r="BZ62" s="166">
        <f t="array" ref="BZ62">INDEX(Expenses!$1:$398,MATCH($C62,Expenses!$A:$A,0),MATCH(BZ$4,Expenses!$4:$4,0))</f>
        <v>148.84</v>
      </c>
      <c r="CA62" s="166">
        <f t="array" ref="CA62">INDEX(Expenses!$1:$398,MATCH($C62,Expenses!$A:$A,0),MATCH(CA$4,Expenses!$4:$4,0))</f>
        <v>148.84</v>
      </c>
      <c r="CB62" s="166">
        <f t="array" ref="CB62">INDEX(Expenses!$1:$398,MATCH($C62,Expenses!$A:$A,0),MATCH(CB$4,Expenses!$4:$4,0))</f>
        <v>148.84</v>
      </c>
      <c r="CC62" s="166">
        <f t="array" ref="CC62">INDEX(Expenses!$1:$398,MATCH($C62,Expenses!$A:$A,0),MATCH(CC$4,Expenses!$4:$4,0))</f>
        <v>148.84</v>
      </c>
      <c r="CD62" s="166">
        <f t="array" ref="CD62">INDEX(Expenses!$1:$398,MATCH($C62,Expenses!$A:$A,0),MATCH(CD$4,Expenses!$4:$4,0))</f>
        <v>173.84</v>
      </c>
      <c r="CE62" s="166">
        <f t="array" ref="CE62">INDEX(Expenses!$1:$398,MATCH($C62,Expenses!$A:$A,0),MATCH(CE$4,Expenses!$4:$4,0))</f>
        <v>173.84</v>
      </c>
      <c r="CF62" s="166">
        <f t="array" ref="CF62">INDEX(Expenses!$1:$398,MATCH($C62,Expenses!$A:$A,0),MATCH(CF$4,Expenses!$4:$4,0))</f>
        <v>173.84</v>
      </c>
      <c r="CG62" s="166">
        <f t="array" ref="CG62">INDEX(Expenses!$1:$398,MATCH($C62,Expenses!$A:$A,0),MATCH(CG$4,Expenses!$4:$4,0))</f>
        <v>173.84</v>
      </c>
      <c r="CH62" s="166">
        <f t="array" ref="CH62">INDEX(Expenses!$1:$398,MATCH($C62,Expenses!$A:$A,0),MATCH(CH$4,Expenses!$4:$4,0))</f>
        <v>173.84</v>
      </c>
      <c r="CI62" s="166">
        <f t="array" ref="CI62">INDEX(Expenses!$1:$398,MATCH($C62,Expenses!$A:$A,0),MATCH(CI$4,Expenses!$4:$4,0))</f>
        <v>173.84</v>
      </c>
      <c r="CJ62" s="166">
        <f t="array" ref="CJ62">INDEX(Expenses!$1:$398,MATCH($C62,Expenses!$A:$A,0),MATCH(CJ$4,Expenses!$4:$4,0))</f>
        <v>198.84</v>
      </c>
      <c r="CK62" s="166">
        <f t="array" ref="CK62">INDEX(Expenses!$1:$398,MATCH($C62,Expenses!$A:$A,0),MATCH(CK$4,Expenses!$4:$4,0))</f>
        <v>198.84</v>
      </c>
      <c r="CL62" s="166">
        <f t="array" ref="CL62">INDEX(Expenses!$1:$398,MATCH($C62,Expenses!$A:$A,0),MATCH(CL$4,Expenses!$4:$4,0))</f>
        <v>198.84</v>
      </c>
      <c r="CM62" s="166">
        <f t="array" ref="CM62">INDEX(Expenses!$1:$398,MATCH($C62,Expenses!$A:$A,0),MATCH(CM$4,Expenses!$4:$4,0))</f>
        <v>198.84</v>
      </c>
      <c r="CN62" s="166">
        <f t="array" ref="CN62">INDEX(Expenses!$1:$398,MATCH($C62,Expenses!$A:$A,0),MATCH(CN$4,Expenses!$4:$4,0))</f>
        <v>198.84</v>
      </c>
      <c r="CO62" s="166">
        <f t="array" ref="CO62">INDEX(Expenses!$1:$398,MATCH($C62,Expenses!$A:$A,0),MATCH(CO$4,Expenses!$4:$4,0))</f>
        <v>198.84</v>
      </c>
      <c r="CP62" s="166">
        <f t="array" ref="CP62">INDEX(Expenses!$1:$398,MATCH($C62,Expenses!$A:$A,0),MATCH(CP$4,Expenses!$4:$4,0))</f>
        <v>223.84</v>
      </c>
      <c r="CQ62" s="166">
        <f t="array" ref="CQ62">INDEX(Expenses!$1:$398,MATCH($C62,Expenses!$A:$A,0),MATCH(CQ$4,Expenses!$4:$4,0))</f>
        <v>223.84</v>
      </c>
      <c r="CR62" s="166">
        <f t="array" ref="CR62">INDEX(Expenses!$1:$398,MATCH($C62,Expenses!$A:$A,0),MATCH(CR$4,Expenses!$4:$4,0))</f>
        <v>223.84</v>
      </c>
      <c r="CS62" s="166">
        <f t="array" ref="CS62">INDEX(Expenses!$1:$398,MATCH($C62,Expenses!$A:$A,0),MATCH(CS$4,Expenses!$4:$4,0))</f>
        <v>223.84</v>
      </c>
      <c r="CT62" s="166">
        <f t="array" ref="CT62">INDEX(Expenses!$1:$398,MATCH($C62,Expenses!$A:$A,0),MATCH(CT$4,Expenses!$4:$4,0))</f>
        <v>223.84</v>
      </c>
      <c r="CU62" s="166">
        <f t="array" ref="CU62">INDEX(Expenses!$1:$398,MATCH($C62,Expenses!$A:$A,0),MATCH(CU$4,Expenses!$4:$4,0))</f>
        <v>223.84</v>
      </c>
      <c r="CV62" s="162"/>
      <c r="CW62" s="162"/>
      <c r="CX62" s="162"/>
      <c r="CY62" s="162"/>
      <c r="CZ62" s="162"/>
      <c r="DA62" s="162"/>
      <c r="DB62" s="162"/>
      <c r="DC62" s="162"/>
    </row>
    <row r="63" ht="15.75" customHeight="1">
      <c r="A63" s="146" t="s">
        <v>174</v>
      </c>
      <c r="B63" s="146" t="s">
        <v>178</v>
      </c>
      <c r="C63" s="160" t="s">
        <v>240</v>
      </c>
      <c r="D63" s="161">
        <f t="shared" ref="D63:AL63" si="54">RANDBETWEEN(1000,2500)</f>
        <v>1843</v>
      </c>
      <c r="E63" s="161">
        <f t="shared" si="54"/>
        <v>1615</v>
      </c>
      <c r="F63" s="161">
        <f t="shared" si="54"/>
        <v>1012</v>
      </c>
      <c r="G63" s="161">
        <f t="shared" si="54"/>
        <v>1410</v>
      </c>
      <c r="H63" s="161">
        <f t="shared" si="54"/>
        <v>1782</v>
      </c>
      <c r="I63" s="161">
        <f t="shared" si="54"/>
        <v>1754</v>
      </c>
      <c r="J63" s="161">
        <f t="shared" si="54"/>
        <v>2123</v>
      </c>
      <c r="K63" s="161">
        <f t="shared" si="54"/>
        <v>1695</v>
      </c>
      <c r="L63" s="161">
        <f t="shared" si="54"/>
        <v>1793</v>
      </c>
      <c r="M63" s="161">
        <f t="shared" si="54"/>
        <v>2466</v>
      </c>
      <c r="N63" s="161">
        <f t="shared" si="54"/>
        <v>2321</v>
      </c>
      <c r="O63" s="161">
        <f t="shared" si="54"/>
        <v>1660</v>
      </c>
      <c r="P63" s="161">
        <f t="shared" si="54"/>
        <v>1404</v>
      </c>
      <c r="Q63" s="161">
        <f t="shared" si="54"/>
        <v>1338</v>
      </c>
      <c r="R63" s="161">
        <f t="shared" si="54"/>
        <v>1690</v>
      </c>
      <c r="S63" s="161">
        <f t="shared" si="54"/>
        <v>2190</v>
      </c>
      <c r="T63" s="161">
        <f t="shared" si="54"/>
        <v>1897</v>
      </c>
      <c r="U63" s="161">
        <f t="shared" si="54"/>
        <v>1834</v>
      </c>
      <c r="V63" s="161">
        <f t="shared" si="54"/>
        <v>1397</v>
      </c>
      <c r="W63" s="161">
        <f t="shared" si="54"/>
        <v>1598</v>
      </c>
      <c r="X63" s="161">
        <f t="shared" si="54"/>
        <v>1227</v>
      </c>
      <c r="Y63" s="161">
        <f t="shared" si="54"/>
        <v>2391</v>
      </c>
      <c r="Z63" s="161">
        <f t="shared" si="54"/>
        <v>1982</v>
      </c>
      <c r="AA63" s="161">
        <f t="shared" si="54"/>
        <v>2408</v>
      </c>
      <c r="AB63" s="161">
        <f t="shared" si="54"/>
        <v>1254</v>
      </c>
      <c r="AC63" s="161">
        <f t="shared" si="54"/>
        <v>1528</v>
      </c>
      <c r="AD63" s="161">
        <f t="shared" si="54"/>
        <v>1122</v>
      </c>
      <c r="AE63" s="161">
        <f t="shared" si="54"/>
        <v>2227</v>
      </c>
      <c r="AF63" s="161">
        <f t="shared" si="54"/>
        <v>1705</v>
      </c>
      <c r="AG63" s="161">
        <f t="shared" si="54"/>
        <v>1755</v>
      </c>
      <c r="AH63" s="161">
        <f t="shared" si="54"/>
        <v>1519</v>
      </c>
      <c r="AI63" s="161">
        <f t="shared" si="54"/>
        <v>1224</v>
      </c>
      <c r="AJ63" s="161">
        <f t="shared" si="54"/>
        <v>2229</v>
      </c>
      <c r="AK63" s="161">
        <f t="shared" si="54"/>
        <v>1437</v>
      </c>
      <c r="AL63" s="161">
        <f t="shared" si="54"/>
        <v>2419</v>
      </c>
      <c r="AM63" s="166">
        <f t="array" ref="AM63">INDEX(Expenses!$1:$398,MATCH($C63,Expenses!$A:$A,0),MATCH(AM$4,Expenses!$4:$4,0))</f>
        <v>2616.158607</v>
      </c>
      <c r="AN63" s="166">
        <f t="array" ref="AN63">INDEX(Expenses!$1:$398,MATCH($C63,Expenses!$A:$A,0),MATCH(AN$4,Expenses!$4:$4,0))</f>
        <v>3081.197387</v>
      </c>
      <c r="AO63" s="166">
        <f t="array" ref="AO63">INDEX(Expenses!$1:$398,MATCH($C63,Expenses!$A:$A,0),MATCH(AO$4,Expenses!$4:$4,0))</f>
        <v>3540.770531</v>
      </c>
      <c r="AP63" s="166">
        <f t="array" ref="AP63">INDEX(Expenses!$1:$398,MATCH($C63,Expenses!$A:$A,0),MATCH(AP$4,Expenses!$4:$4,0))</f>
        <v>3961.641851</v>
      </c>
      <c r="AQ63" s="166">
        <f t="array" ref="AQ63">INDEX(Expenses!$1:$398,MATCH($C63,Expenses!$A:$A,0),MATCH(AQ$4,Expenses!$4:$4,0))</f>
        <v>4364.661236</v>
      </c>
      <c r="AR63" s="166">
        <f t="array" ref="AR63">INDEX(Expenses!$1:$398,MATCH($C63,Expenses!$A:$A,0),MATCH(AR$4,Expenses!$4:$4,0))</f>
        <v>4765.094692</v>
      </c>
      <c r="AS63" s="166">
        <f t="array" ref="AS63">INDEX(Expenses!$1:$398,MATCH($C63,Expenses!$A:$A,0),MATCH(AS$4,Expenses!$4:$4,0))</f>
        <v>5167.88951</v>
      </c>
      <c r="AT63" s="166">
        <f t="array" ref="AT63">INDEX(Expenses!$1:$398,MATCH($C63,Expenses!$A:$A,0),MATCH(AT$4,Expenses!$4:$4,0))</f>
        <v>5530.987245</v>
      </c>
      <c r="AU63" s="166">
        <f t="array" ref="AU63">INDEX(Expenses!$1:$398,MATCH($C63,Expenses!$A:$A,0),MATCH(AU$4,Expenses!$4:$4,0))</f>
        <v>5887.076426</v>
      </c>
      <c r="AV63" s="166">
        <f t="array" ref="AV63">INDEX(Expenses!$1:$398,MATCH($C63,Expenses!$A:$A,0),MATCH(AV$4,Expenses!$4:$4,0))</f>
        <v>6235.709679</v>
      </c>
      <c r="AW63" s="166">
        <f t="array" ref="AW63">INDEX(Expenses!$1:$398,MATCH($C63,Expenses!$A:$A,0),MATCH(AW$4,Expenses!$4:$4,0))</f>
        <v>6559.801814</v>
      </c>
      <c r="AX63" s="166">
        <f t="array" ref="AX63">INDEX(Expenses!$1:$398,MATCH($C63,Expenses!$A:$A,0),MATCH(AX$4,Expenses!$4:$4,0))</f>
        <v>6880.765233</v>
      </c>
      <c r="AY63" s="166">
        <f t="array" ref="AY63">INDEX(Expenses!$1:$398,MATCH($C63,Expenses!$A:$A,0),MATCH(AY$4,Expenses!$4:$4,0))</f>
        <v>7205.769977</v>
      </c>
      <c r="AZ63" s="166">
        <f t="array" ref="AZ63">INDEX(Expenses!$1:$398,MATCH($C63,Expenses!$A:$A,0),MATCH(AZ$4,Expenses!$4:$4,0))</f>
        <v>7526.851755</v>
      </c>
      <c r="BA63" s="166">
        <f t="array" ref="BA63">INDEX(Expenses!$1:$398,MATCH($C63,Expenses!$A:$A,0),MATCH(BA$4,Expenses!$4:$4,0))</f>
        <v>7584.035569</v>
      </c>
      <c r="BB63" s="166">
        <f t="array" ref="BB63">INDEX(Expenses!$1:$398,MATCH($C63,Expenses!$A:$A,0),MATCH(BB$4,Expenses!$4:$4,0))</f>
        <v>7664.210087</v>
      </c>
      <c r="BC63" s="166">
        <f t="array" ref="BC63">INDEX(Expenses!$1:$398,MATCH($C63,Expenses!$A:$A,0),MATCH(BC$4,Expenses!$4:$4,0))</f>
        <v>7768.132747</v>
      </c>
      <c r="BD63" s="166">
        <f t="array" ref="BD63">INDEX(Expenses!$1:$398,MATCH($C63,Expenses!$A:$A,0),MATCH(BD$4,Expenses!$4:$4,0))</f>
        <v>7878.460395</v>
      </c>
      <c r="BE63" s="166">
        <f t="array" ref="BE63">INDEX(Expenses!$1:$398,MATCH($C63,Expenses!$A:$A,0),MATCH(BE$4,Expenses!$4:$4,0))</f>
        <v>7993.205675</v>
      </c>
      <c r="BF63" s="166">
        <f t="array" ref="BF63">INDEX(Expenses!$1:$398,MATCH($C63,Expenses!$A:$A,0),MATCH(BF$4,Expenses!$4:$4,0))</f>
        <v>8106.69694</v>
      </c>
      <c r="BG63" s="166">
        <f t="array" ref="BG63">INDEX(Expenses!$1:$398,MATCH($C63,Expenses!$A:$A,0),MATCH(BG$4,Expenses!$4:$4,0))</f>
        <v>8243.711586</v>
      </c>
      <c r="BH63" s="166">
        <f t="array" ref="BH63">INDEX(Expenses!$1:$398,MATCH($C63,Expenses!$A:$A,0),MATCH(BH$4,Expenses!$4:$4,0))</f>
        <v>8354.299353</v>
      </c>
      <c r="BI63" s="166">
        <f t="array" ref="BI63">INDEX(Expenses!$1:$398,MATCH($C63,Expenses!$A:$A,0),MATCH(BI$4,Expenses!$4:$4,0))</f>
        <v>8463.317075</v>
      </c>
      <c r="BJ63" s="166">
        <f t="array" ref="BJ63">INDEX(Expenses!$1:$398,MATCH($C63,Expenses!$A:$A,0),MATCH(BJ$4,Expenses!$4:$4,0))</f>
        <v>8570.827634</v>
      </c>
      <c r="BK63" s="166">
        <f t="array" ref="BK63">INDEX(Expenses!$1:$398,MATCH($C63,Expenses!$A:$A,0),MATCH(BK$4,Expenses!$4:$4,0))</f>
        <v>8676.904104</v>
      </c>
      <c r="BL63" s="166">
        <f t="array" ref="BL63">INDEX(Expenses!$1:$398,MATCH($C63,Expenses!$A:$A,0),MATCH(BL$4,Expenses!$4:$4,0))</f>
        <v>8907.956315</v>
      </c>
      <c r="BM63" s="166">
        <f t="array" ref="BM63">INDEX(Expenses!$1:$398,MATCH($C63,Expenses!$A:$A,0),MATCH(BM$4,Expenses!$4:$4,0))</f>
        <v>9081.881963</v>
      </c>
      <c r="BN63" s="166">
        <f t="array" ref="BN63">INDEX(Expenses!$1:$398,MATCH($C63,Expenses!$A:$A,0),MATCH(BN$4,Expenses!$4:$4,0))</f>
        <v>9250.445334</v>
      </c>
      <c r="BO63" s="166">
        <f t="array" ref="BO63">INDEX(Expenses!$1:$398,MATCH($C63,Expenses!$A:$A,0),MATCH(BO$4,Expenses!$4:$4,0))</f>
        <v>9414.670958</v>
      </c>
      <c r="BP63" s="166">
        <f t="array" ref="BP63">INDEX(Expenses!$1:$398,MATCH($C63,Expenses!$A:$A,0),MATCH(BP$4,Expenses!$4:$4,0))</f>
        <v>9575.221254</v>
      </c>
      <c r="BQ63" s="166">
        <f t="array" ref="BQ63">INDEX(Expenses!$1:$398,MATCH($C63,Expenses!$A:$A,0),MATCH(BQ$4,Expenses!$4:$4,0))</f>
        <v>9732.522855</v>
      </c>
      <c r="BR63" s="166">
        <f t="array" ref="BR63">INDEX(Expenses!$1:$398,MATCH($C63,Expenses!$A:$A,0),MATCH(BR$4,Expenses!$4:$4,0))</f>
        <v>9886.900995</v>
      </c>
      <c r="BS63" s="166">
        <f t="array" ref="BS63">INDEX(Expenses!$1:$398,MATCH($C63,Expenses!$A:$A,0),MATCH(BS$4,Expenses!$4:$4,0))</f>
        <v>10038.62091</v>
      </c>
      <c r="BT63" s="166">
        <f t="array" ref="BT63">INDEX(Expenses!$1:$398,MATCH($C63,Expenses!$A:$A,0),MATCH(BT$4,Expenses!$4:$4,0))</f>
        <v>10187.9065</v>
      </c>
      <c r="BU63" s="166">
        <f t="array" ref="BU63">INDEX(Expenses!$1:$398,MATCH($C63,Expenses!$A:$A,0),MATCH(BU$4,Expenses!$4:$4,0))</f>
        <v>10334.95117</v>
      </c>
      <c r="BV63" s="166">
        <f t="array" ref="BV63">INDEX(Expenses!$1:$398,MATCH($C63,Expenses!$A:$A,0),MATCH(BV$4,Expenses!$4:$4,0))</f>
        <v>10479.92512</v>
      </c>
      <c r="BW63" s="166">
        <f t="array" ref="BW63">INDEX(Expenses!$1:$398,MATCH($C63,Expenses!$A:$A,0),MATCH(BW$4,Expenses!$4:$4,0))</f>
        <v>10622.98046</v>
      </c>
      <c r="BX63" s="166">
        <f t="array" ref="BX63">INDEX(Expenses!$1:$398,MATCH($C63,Expenses!$A:$A,0),MATCH(BX$4,Expenses!$4:$4,0))</f>
        <v>10829.73089</v>
      </c>
      <c r="BY63" s="166">
        <f t="array" ref="BY63">INDEX(Expenses!$1:$398,MATCH($C63,Expenses!$A:$A,0),MATCH(BY$4,Expenses!$4:$4,0))</f>
        <v>10990.21674</v>
      </c>
      <c r="BZ63" s="166">
        <f t="array" ref="BZ63">INDEX(Expenses!$1:$398,MATCH($C63,Expenses!$A:$A,0),MATCH(BZ$4,Expenses!$4:$4,0))</f>
        <v>11135.56053</v>
      </c>
      <c r="CA63" s="166">
        <f t="array" ref="CA63">INDEX(Expenses!$1:$398,MATCH($C63,Expenses!$A:$A,0),MATCH(CA$4,Expenses!$4:$4,0))</f>
        <v>11278.03198</v>
      </c>
      <c r="CB63" s="166">
        <f t="array" ref="CB63">INDEX(Expenses!$1:$398,MATCH($C63,Expenses!$A:$A,0),MATCH(CB$4,Expenses!$4:$4,0))</f>
        <v>11419.79798</v>
      </c>
      <c r="CC63" s="166">
        <f t="array" ref="CC63">INDEX(Expenses!$1:$398,MATCH($C63,Expenses!$A:$A,0),MATCH(CC$4,Expenses!$4:$4,0))</f>
        <v>11560.91303</v>
      </c>
      <c r="CD63" s="166">
        <f t="array" ref="CD63">INDEX(Expenses!$1:$398,MATCH($C63,Expenses!$A:$A,0),MATCH(CD$4,Expenses!$4:$4,0))</f>
        <v>11701.47112</v>
      </c>
      <c r="CE63" s="166">
        <f t="array" ref="CE63">INDEX(Expenses!$1:$398,MATCH($C63,Expenses!$A:$A,0),MATCH(CE$4,Expenses!$4:$4,0))</f>
        <v>11841.56303</v>
      </c>
      <c r="CF63" s="166">
        <f t="array" ref="CF63">INDEX(Expenses!$1:$398,MATCH($C63,Expenses!$A:$A,0),MATCH(CF$4,Expenses!$4:$4,0))</f>
        <v>11981.27473</v>
      </c>
      <c r="CG63" s="166">
        <f t="array" ref="CG63">INDEX(Expenses!$1:$398,MATCH($C63,Expenses!$A:$A,0),MATCH(CG$4,Expenses!$4:$4,0))</f>
        <v>12120.68889</v>
      </c>
      <c r="CH63" s="166">
        <f t="array" ref="CH63">INDEX(Expenses!$1:$398,MATCH($C63,Expenses!$A:$A,0),MATCH(CH$4,Expenses!$4:$4,0))</f>
        <v>12259.88578</v>
      </c>
      <c r="CI63" s="166">
        <f t="array" ref="CI63">INDEX(Expenses!$1:$398,MATCH($C63,Expenses!$A:$A,0),MATCH(CI$4,Expenses!$4:$4,0))</f>
        <v>12398.94379</v>
      </c>
      <c r="CJ63" s="166">
        <f t="array" ref="CJ63">INDEX(Expenses!$1:$398,MATCH($C63,Expenses!$A:$A,0),MATCH(CJ$4,Expenses!$4:$4,0))</f>
        <v>12589.11074</v>
      </c>
      <c r="CK63" s="166">
        <f t="array" ref="CK63">INDEX(Expenses!$1:$398,MATCH($C63,Expenses!$A:$A,0),MATCH(CK$4,Expenses!$4:$4,0))</f>
        <v>12677.99618</v>
      </c>
      <c r="CL63" s="166">
        <f t="array" ref="CL63">INDEX(Expenses!$1:$398,MATCH($C63,Expenses!$A:$A,0),MATCH(CL$4,Expenses!$4:$4,0))</f>
        <v>12762.958</v>
      </c>
      <c r="CM63" s="166">
        <f t="array" ref="CM63">INDEX(Expenses!$1:$398,MATCH($C63,Expenses!$A:$A,0),MATCH(CM$4,Expenses!$4:$4,0))</f>
        <v>12852.35439</v>
      </c>
      <c r="CN63" s="166">
        <f t="array" ref="CN63">INDEX(Expenses!$1:$398,MATCH($C63,Expenses!$A:$A,0),MATCH(CN$4,Expenses!$4:$4,0))</f>
        <v>12944.33366</v>
      </c>
      <c r="CO63" s="166">
        <f t="array" ref="CO63">INDEX(Expenses!$1:$398,MATCH($C63,Expenses!$A:$A,0),MATCH(CO$4,Expenses!$4:$4,0))</f>
        <v>13037.50354</v>
      </c>
      <c r="CP63" s="166">
        <f t="array" ref="CP63">INDEX(Expenses!$1:$398,MATCH($C63,Expenses!$A:$A,0),MATCH(CP$4,Expenses!$4:$4,0))</f>
        <v>13131.28169</v>
      </c>
      <c r="CQ63" s="166">
        <f t="array" ref="CQ63">INDEX(Expenses!$1:$398,MATCH($C63,Expenses!$A:$A,0),MATCH(CQ$4,Expenses!$4:$4,0))</f>
        <v>13225.37021</v>
      </c>
      <c r="CR63" s="166">
        <f t="array" ref="CR63">INDEX(Expenses!$1:$398,MATCH($C63,Expenses!$A:$A,0),MATCH(CR$4,Expenses!$4:$4,0))</f>
        <v>13319.60094</v>
      </c>
      <c r="CS63" s="166">
        <f t="array" ref="CS63">INDEX(Expenses!$1:$398,MATCH($C63,Expenses!$A:$A,0),MATCH(CS$4,Expenses!$4:$4,0))</f>
        <v>13413.87754</v>
      </c>
      <c r="CT63" s="166">
        <f t="array" ref="CT63">INDEX(Expenses!$1:$398,MATCH($C63,Expenses!$A:$A,0),MATCH(CT$4,Expenses!$4:$4,0))</f>
        <v>13508.14874</v>
      </c>
      <c r="CU63" s="166">
        <f t="array" ref="CU63">INDEX(Expenses!$1:$398,MATCH($C63,Expenses!$A:$A,0),MATCH(CU$4,Expenses!$4:$4,0))</f>
        <v>13602.39353</v>
      </c>
      <c r="CV63" s="162"/>
      <c r="CW63" s="162"/>
      <c r="CX63" s="162"/>
      <c r="CY63" s="162"/>
      <c r="CZ63" s="162"/>
      <c r="DA63" s="162"/>
      <c r="DB63" s="162"/>
      <c r="DC63" s="162"/>
    </row>
    <row r="64" ht="15.75" customHeight="1">
      <c r="A64" s="146" t="s">
        <v>174</v>
      </c>
      <c r="B64" s="146" t="s">
        <v>178</v>
      </c>
      <c r="C64" s="160" t="s">
        <v>241</v>
      </c>
      <c r="D64" s="161">
        <f t="shared" ref="D64:AL64" si="55">RANDBETWEEN(1000,2500)</f>
        <v>2421</v>
      </c>
      <c r="E64" s="161">
        <f t="shared" si="55"/>
        <v>2229</v>
      </c>
      <c r="F64" s="161">
        <f t="shared" si="55"/>
        <v>2234</v>
      </c>
      <c r="G64" s="161">
        <f t="shared" si="55"/>
        <v>1563</v>
      </c>
      <c r="H64" s="161">
        <f t="shared" si="55"/>
        <v>1694</v>
      </c>
      <c r="I64" s="161">
        <f t="shared" si="55"/>
        <v>1620</v>
      </c>
      <c r="J64" s="161">
        <f t="shared" si="55"/>
        <v>2484</v>
      </c>
      <c r="K64" s="161">
        <f t="shared" si="55"/>
        <v>1979</v>
      </c>
      <c r="L64" s="161">
        <f t="shared" si="55"/>
        <v>1149</v>
      </c>
      <c r="M64" s="161">
        <f t="shared" si="55"/>
        <v>2105</v>
      </c>
      <c r="N64" s="161">
        <f t="shared" si="55"/>
        <v>1603</v>
      </c>
      <c r="O64" s="161">
        <f t="shared" si="55"/>
        <v>1729</v>
      </c>
      <c r="P64" s="161">
        <f t="shared" si="55"/>
        <v>1560</v>
      </c>
      <c r="Q64" s="161">
        <f t="shared" si="55"/>
        <v>1926</v>
      </c>
      <c r="R64" s="161">
        <f t="shared" si="55"/>
        <v>1129</v>
      </c>
      <c r="S64" s="161">
        <f t="shared" si="55"/>
        <v>2346</v>
      </c>
      <c r="T64" s="161">
        <f t="shared" si="55"/>
        <v>2334</v>
      </c>
      <c r="U64" s="161">
        <f t="shared" si="55"/>
        <v>1976</v>
      </c>
      <c r="V64" s="161">
        <f t="shared" si="55"/>
        <v>1475</v>
      </c>
      <c r="W64" s="161">
        <f t="shared" si="55"/>
        <v>1027</v>
      </c>
      <c r="X64" s="161">
        <f t="shared" si="55"/>
        <v>1942</v>
      </c>
      <c r="Y64" s="161">
        <f t="shared" si="55"/>
        <v>1541</v>
      </c>
      <c r="Z64" s="161">
        <f t="shared" si="55"/>
        <v>1769</v>
      </c>
      <c r="AA64" s="161">
        <f t="shared" si="55"/>
        <v>2146</v>
      </c>
      <c r="AB64" s="161">
        <f t="shared" si="55"/>
        <v>2046</v>
      </c>
      <c r="AC64" s="161">
        <f t="shared" si="55"/>
        <v>1971</v>
      </c>
      <c r="AD64" s="161">
        <f t="shared" si="55"/>
        <v>1568</v>
      </c>
      <c r="AE64" s="161">
        <f t="shared" si="55"/>
        <v>1154</v>
      </c>
      <c r="AF64" s="161">
        <f t="shared" si="55"/>
        <v>2014</v>
      </c>
      <c r="AG64" s="161">
        <f t="shared" si="55"/>
        <v>2067</v>
      </c>
      <c r="AH64" s="161">
        <f t="shared" si="55"/>
        <v>1821</v>
      </c>
      <c r="AI64" s="161">
        <f t="shared" si="55"/>
        <v>1374</v>
      </c>
      <c r="AJ64" s="161">
        <f t="shared" si="55"/>
        <v>2402</v>
      </c>
      <c r="AK64" s="161">
        <f t="shared" si="55"/>
        <v>2357</v>
      </c>
      <c r="AL64" s="161">
        <f t="shared" si="55"/>
        <v>1349</v>
      </c>
      <c r="AM64" s="166">
        <f t="array" ref="AM64">INDEX(Expenses!$1:$398,MATCH($C64,Expenses!$A:$A,0),MATCH(AM$4,Expenses!$4:$4,0))</f>
        <v>953.6</v>
      </c>
      <c r="AN64" s="166">
        <f t="array" ref="AN64">INDEX(Expenses!$1:$398,MATCH($C64,Expenses!$A:$A,0),MATCH(AN$4,Expenses!$4:$4,0))</f>
        <v>953.6</v>
      </c>
      <c r="AO64" s="166">
        <f t="array" ref="AO64">INDEX(Expenses!$1:$398,MATCH($C64,Expenses!$A:$A,0),MATCH(AO$4,Expenses!$4:$4,0))</f>
        <v>953.6</v>
      </c>
      <c r="AP64" s="166">
        <f t="array" ref="AP64">INDEX(Expenses!$1:$398,MATCH($C64,Expenses!$A:$A,0),MATCH(AP$4,Expenses!$4:$4,0))</f>
        <v>953.6</v>
      </c>
      <c r="AQ64" s="166">
        <f t="array" ref="AQ64">INDEX(Expenses!$1:$398,MATCH($C64,Expenses!$A:$A,0),MATCH(AQ$4,Expenses!$4:$4,0))</f>
        <v>953.6</v>
      </c>
      <c r="AR64" s="166">
        <f t="array" ref="AR64">INDEX(Expenses!$1:$398,MATCH($C64,Expenses!$A:$A,0),MATCH(AR$4,Expenses!$4:$4,0))</f>
        <v>953.6</v>
      </c>
      <c r="AS64" s="166">
        <f t="array" ref="AS64">INDEX(Expenses!$1:$398,MATCH($C64,Expenses!$A:$A,0),MATCH(AS$4,Expenses!$4:$4,0))</f>
        <v>953.6</v>
      </c>
      <c r="AT64" s="166">
        <f t="array" ref="AT64">INDEX(Expenses!$1:$398,MATCH($C64,Expenses!$A:$A,0),MATCH(AT$4,Expenses!$4:$4,0))</f>
        <v>953.6</v>
      </c>
      <c r="AU64" s="166">
        <f t="array" ref="AU64">INDEX(Expenses!$1:$398,MATCH($C64,Expenses!$A:$A,0),MATCH(AU$4,Expenses!$4:$4,0))</f>
        <v>953.6</v>
      </c>
      <c r="AV64" s="166">
        <f t="array" ref="AV64">INDEX(Expenses!$1:$398,MATCH($C64,Expenses!$A:$A,0),MATCH(AV$4,Expenses!$4:$4,0))</f>
        <v>953.6</v>
      </c>
      <c r="AW64" s="166">
        <f t="array" ref="AW64">INDEX(Expenses!$1:$398,MATCH($C64,Expenses!$A:$A,0),MATCH(AW$4,Expenses!$4:$4,0))</f>
        <v>953.6</v>
      </c>
      <c r="AX64" s="166">
        <f t="array" ref="AX64">INDEX(Expenses!$1:$398,MATCH($C64,Expenses!$A:$A,0),MATCH(AX$4,Expenses!$4:$4,0))</f>
        <v>953.6</v>
      </c>
      <c r="AY64" s="166">
        <f t="array" ref="AY64">INDEX(Expenses!$1:$398,MATCH($C64,Expenses!$A:$A,0),MATCH(AY$4,Expenses!$4:$4,0))</f>
        <v>953.6</v>
      </c>
      <c r="AZ64" s="166">
        <f t="array" ref="AZ64">INDEX(Expenses!$1:$398,MATCH($C64,Expenses!$A:$A,0),MATCH(AZ$4,Expenses!$4:$4,0))</f>
        <v>1953.6</v>
      </c>
      <c r="BA64" s="166">
        <f t="array" ref="BA64">INDEX(Expenses!$1:$398,MATCH($C64,Expenses!$A:$A,0),MATCH(BA$4,Expenses!$4:$4,0))</f>
        <v>1953.6</v>
      </c>
      <c r="BB64" s="166">
        <f t="array" ref="BB64">INDEX(Expenses!$1:$398,MATCH($C64,Expenses!$A:$A,0),MATCH(BB$4,Expenses!$4:$4,0))</f>
        <v>1953.6</v>
      </c>
      <c r="BC64" s="166">
        <f t="array" ref="BC64">INDEX(Expenses!$1:$398,MATCH($C64,Expenses!$A:$A,0),MATCH(BC$4,Expenses!$4:$4,0))</f>
        <v>1953.6</v>
      </c>
      <c r="BD64" s="166">
        <f t="array" ref="BD64">INDEX(Expenses!$1:$398,MATCH($C64,Expenses!$A:$A,0),MATCH(BD$4,Expenses!$4:$4,0))</f>
        <v>1953.6</v>
      </c>
      <c r="BE64" s="166">
        <f t="array" ref="BE64">INDEX(Expenses!$1:$398,MATCH($C64,Expenses!$A:$A,0),MATCH(BE$4,Expenses!$4:$4,0))</f>
        <v>1953.6</v>
      </c>
      <c r="BF64" s="166">
        <f t="array" ref="BF64">INDEX(Expenses!$1:$398,MATCH($C64,Expenses!$A:$A,0),MATCH(BF$4,Expenses!$4:$4,0))</f>
        <v>2953.6</v>
      </c>
      <c r="BG64" s="166">
        <f t="array" ref="BG64">INDEX(Expenses!$1:$398,MATCH($C64,Expenses!$A:$A,0),MATCH(BG$4,Expenses!$4:$4,0))</f>
        <v>2953.6</v>
      </c>
      <c r="BH64" s="166">
        <f t="array" ref="BH64">INDEX(Expenses!$1:$398,MATCH($C64,Expenses!$A:$A,0),MATCH(BH$4,Expenses!$4:$4,0))</f>
        <v>2953.6</v>
      </c>
      <c r="BI64" s="166">
        <f t="array" ref="BI64">INDEX(Expenses!$1:$398,MATCH($C64,Expenses!$A:$A,0),MATCH(BI$4,Expenses!$4:$4,0))</f>
        <v>2953.6</v>
      </c>
      <c r="BJ64" s="166">
        <f t="array" ref="BJ64">INDEX(Expenses!$1:$398,MATCH($C64,Expenses!$A:$A,0),MATCH(BJ$4,Expenses!$4:$4,0))</f>
        <v>2953.6</v>
      </c>
      <c r="BK64" s="166">
        <f t="array" ref="BK64">INDEX(Expenses!$1:$398,MATCH($C64,Expenses!$A:$A,0),MATCH(BK$4,Expenses!$4:$4,0))</f>
        <v>2953.6</v>
      </c>
      <c r="BL64" s="166">
        <f t="array" ref="BL64">INDEX(Expenses!$1:$398,MATCH($C64,Expenses!$A:$A,0),MATCH(BL$4,Expenses!$4:$4,0))</f>
        <v>3953.6</v>
      </c>
      <c r="BM64" s="166">
        <f t="array" ref="BM64">INDEX(Expenses!$1:$398,MATCH($C64,Expenses!$A:$A,0),MATCH(BM$4,Expenses!$4:$4,0))</f>
        <v>3953.6</v>
      </c>
      <c r="BN64" s="166">
        <f t="array" ref="BN64">INDEX(Expenses!$1:$398,MATCH($C64,Expenses!$A:$A,0),MATCH(BN$4,Expenses!$4:$4,0))</f>
        <v>3953.6</v>
      </c>
      <c r="BO64" s="166">
        <f t="array" ref="BO64">INDEX(Expenses!$1:$398,MATCH($C64,Expenses!$A:$A,0),MATCH(BO$4,Expenses!$4:$4,0))</f>
        <v>3953.6</v>
      </c>
      <c r="BP64" s="166">
        <f t="array" ref="BP64">INDEX(Expenses!$1:$398,MATCH($C64,Expenses!$A:$A,0),MATCH(BP$4,Expenses!$4:$4,0))</f>
        <v>3953.6</v>
      </c>
      <c r="BQ64" s="166">
        <f t="array" ref="BQ64">INDEX(Expenses!$1:$398,MATCH($C64,Expenses!$A:$A,0),MATCH(BQ$4,Expenses!$4:$4,0))</f>
        <v>3953.6</v>
      </c>
      <c r="BR64" s="166">
        <f t="array" ref="BR64">INDEX(Expenses!$1:$398,MATCH($C64,Expenses!$A:$A,0),MATCH(BR$4,Expenses!$4:$4,0))</f>
        <v>4953.6</v>
      </c>
      <c r="BS64" s="166">
        <f t="array" ref="BS64">INDEX(Expenses!$1:$398,MATCH($C64,Expenses!$A:$A,0),MATCH(BS$4,Expenses!$4:$4,0))</f>
        <v>4953.6</v>
      </c>
      <c r="BT64" s="166">
        <f t="array" ref="BT64">INDEX(Expenses!$1:$398,MATCH($C64,Expenses!$A:$A,0),MATCH(BT$4,Expenses!$4:$4,0))</f>
        <v>4953.6</v>
      </c>
      <c r="BU64" s="166">
        <f t="array" ref="BU64">INDEX(Expenses!$1:$398,MATCH($C64,Expenses!$A:$A,0),MATCH(BU$4,Expenses!$4:$4,0))</f>
        <v>4953.6</v>
      </c>
      <c r="BV64" s="166">
        <f t="array" ref="BV64">INDEX(Expenses!$1:$398,MATCH($C64,Expenses!$A:$A,0),MATCH(BV$4,Expenses!$4:$4,0))</f>
        <v>4953.6</v>
      </c>
      <c r="BW64" s="166">
        <f t="array" ref="BW64">INDEX(Expenses!$1:$398,MATCH($C64,Expenses!$A:$A,0),MATCH(BW$4,Expenses!$4:$4,0))</f>
        <v>4953.6</v>
      </c>
      <c r="BX64" s="166">
        <f t="array" ref="BX64">INDEX(Expenses!$1:$398,MATCH($C64,Expenses!$A:$A,0),MATCH(BX$4,Expenses!$4:$4,0))</f>
        <v>5953.6</v>
      </c>
      <c r="BY64" s="166">
        <f t="array" ref="BY64">INDEX(Expenses!$1:$398,MATCH($C64,Expenses!$A:$A,0),MATCH(BY$4,Expenses!$4:$4,0))</f>
        <v>5953.6</v>
      </c>
      <c r="BZ64" s="166">
        <f t="array" ref="BZ64">INDEX(Expenses!$1:$398,MATCH($C64,Expenses!$A:$A,0),MATCH(BZ$4,Expenses!$4:$4,0))</f>
        <v>5953.6</v>
      </c>
      <c r="CA64" s="166">
        <f t="array" ref="CA64">INDEX(Expenses!$1:$398,MATCH($C64,Expenses!$A:$A,0),MATCH(CA$4,Expenses!$4:$4,0))</f>
        <v>5953.6</v>
      </c>
      <c r="CB64" s="166">
        <f t="array" ref="CB64">INDEX(Expenses!$1:$398,MATCH($C64,Expenses!$A:$A,0),MATCH(CB$4,Expenses!$4:$4,0))</f>
        <v>5953.6</v>
      </c>
      <c r="CC64" s="166">
        <f t="array" ref="CC64">INDEX(Expenses!$1:$398,MATCH($C64,Expenses!$A:$A,0),MATCH(CC$4,Expenses!$4:$4,0))</f>
        <v>5953.6</v>
      </c>
      <c r="CD64" s="166">
        <f t="array" ref="CD64">INDEX(Expenses!$1:$398,MATCH($C64,Expenses!$A:$A,0),MATCH(CD$4,Expenses!$4:$4,0))</f>
        <v>6953.6</v>
      </c>
      <c r="CE64" s="166">
        <f t="array" ref="CE64">INDEX(Expenses!$1:$398,MATCH($C64,Expenses!$A:$A,0),MATCH(CE$4,Expenses!$4:$4,0))</f>
        <v>6953.6</v>
      </c>
      <c r="CF64" s="166">
        <f t="array" ref="CF64">INDEX(Expenses!$1:$398,MATCH($C64,Expenses!$A:$A,0),MATCH(CF$4,Expenses!$4:$4,0))</f>
        <v>6953.6</v>
      </c>
      <c r="CG64" s="166">
        <f t="array" ref="CG64">INDEX(Expenses!$1:$398,MATCH($C64,Expenses!$A:$A,0),MATCH(CG$4,Expenses!$4:$4,0))</f>
        <v>6953.6</v>
      </c>
      <c r="CH64" s="166">
        <f t="array" ref="CH64">INDEX(Expenses!$1:$398,MATCH($C64,Expenses!$A:$A,0),MATCH(CH$4,Expenses!$4:$4,0))</f>
        <v>6953.6</v>
      </c>
      <c r="CI64" s="166">
        <f t="array" ref="CI64">INDEX(Expenses!$1:$398,MATCH($C64,Expenses!$A:$A,0),MATCH(CI$4,Expenses!$4:$4,0))</f>
        <v>6953.6</v>
      </c>
      <c r="CJ64" s="166">
        <f t="array" ref="CJ64">INDEX(Expenses!$1:$398,MATCH($C64,Expenses!$A:$A,0),MATCH(CJ$4,Expenses!$4:$4,0))</f>
        <v>7953.6</v>
      </c>
      <c r="CK64" s="166">
        <f t="array" ref="CK64">INDEX(Expenses!$1:$398,MATCH($C64,Expenses!$A:$A,0),MATCH(CK$4,Expenses!$4:$4,0))</f>
        <v>7953.6</v>
      </c>
      <c r="CL64" s="166">
        <f t="array" ref="CL64">INDEX(Expenses!$1:$398,MATCH($C64,Expenses!$A:$A,0),MATCH(CL$4,Expenses!$4:$4,0))</f>
        <v>7953.6</v>
      </c>
      <c r="CM64" s="166">
        <f t="array" ref="CM64">INDEX(Expenses!$1:$398,MATCH($C64,Expenses!$A:$A,0),MATCH(CM$4,Expenses!$4:$4,0))</f>
        <v>7953.6</v>
      </c>
      <c r="CN64" s="166">
        <f t="array" ref="CN64">INDEX(Expenses!$1:$398,MATCH($C64,Expenses!$A:$A,0),MATCH(CN$4,Expenses!$4:$4,0))</f>
        <v>7953.6</v>
      </c>
      <c r="CO64" s="166">
        <f t="array" ref="CO64">INDEX(Expenses!$1:$398,MATCH($C64,Expenses!$A:$A,0),MATCH(CO$4,Expenses!$4:$4,0))</f>
        <v>7953.6</v>
      </c>
      <c r="CP64" s="166">
        <f t="array" ref="CP64">INDEX(Expenses!$1:$398,MATCH($C64,Expenses!$A:$A,0),MATCH(CP$4,Expenses!$4:$4,0))</f>
        <v>8953.6</v>
      </c>
      <c r="CQ64" s="166">
        <f t="array" ref="CQ64">INDEX(Expenses!$1:$398,MATCH($C64,Expenses!$A:$A,0),MATCH(CQ$4,Expenses!$4:$4,0))</f>
        <v>8953.6</v>
      </c>
      <c r="CR64" s="166">
        <f t="array" ref="CR64">INDEX(Expenses!$1:$398,MATCH($C64,Expenses!$A:$A,0),MATCH(CR$4,Expenses!$4:$4,0))</f>
        <v>8953.6</v>
      </c>
      <c r="CS64" s="166">
        <f t="array" ref="CS64">INDEX(Expenses!$1:$398,MATCH($C64,Expenses!$A:$A,0),MATCH(CS$4,Expenses!$4:$4,0))</f>
        <v>8953.6</v>
      </c>
      <c r="CT64" s="166">
        <f t="array" ref="CT64">INDEX(Expenses!$1:$398,MATCH($C64,Expenses!$A:$A,0),MATCH(CT$4,Expenses!$4:$4,0))</f>
        <v>8953.6</v>
      </c>
      <c r="CU64" s="166">
        <f t="array" ref="CU64">INDEX(Expenses!$1:$398,MATCH($C64,Expenses!$A:$A,0),MATCH(CU$4,Expenses!$4:$4,0))</f>
        <v>8953.6</v>
      </c>
      <c r="CV64" s="162"/>
      <c r="CW64" s="162"/>
      <c r="CX64" s="162"/>
      <c r="CY64" s="162"/>
      <c r="CZ64" s="162"/>
      <c r="DA64" s="162"/>
      <c r="DB64" s="162"/>
      <c r="DC64" s="162"/>
    </row>
    <row r="65" ht="15.75" customHeight="1">
      <c r="A65" s="146" t="s">
        <v>174</v>
      </c>
      <c r="B65" s="146" t="s">
        <v>178</v>
      </c>
      <c r="C65" s="160" t="s">
        <v>242</v>
      </c>
      <c r="D65" s="161">
        <f t="shared" ref="D65:AL65" si="56">RANDBETWEEN(1000,2500)</f>
        <v>2140</v>
      </c>
      <c r="E65" s="161">
        <f t="shared" si="56"/>
        <v>1552</v>
      </c>
      <c r="F65" s="161">
        <f t="shared" si="56"/>
        <v>1534</v>
      </c>
      <c r="G65" s="161">
        <f t="shared" si="56"/>
        <v>1730</v>
      </c>
      <c r="H65" s="161">
        <f t="shared" si="56"/>
        <v>1318</v>
      </c>
      <c r="I65" s="161">
        <f t="shared" si="56"/>
        <v>1329</v>
      </c>
      <c r="J65" s="161">
        <f t="shared" si="56"/>
        <v>1361</v>
      </c>
      <c r="K65" s="161">
        <f t="shared" si="56"/>
        <v>1347</v>
      </c>
      <c r="L65" s="161">
        <f t="shared" si="56"/>
        <v>1727</v>
      </c>
      <c r="M65" s="161">
        <f t="shared" si="56"/>
        <v>1368</v>
      </c>
      <c r="N65" s="161">
        <f t="shared" si="56"/>
        <v>1566</v>
      </c>
      <c r="O65" s="161">
        <f t="shared" si="56"/>
        <v>1368</v>
      </c>
      <c r="P65" s="161">
        <f t="shared" si="56"/>
        <v>2358</v>
      </c>
      <c r="Q65" s="161">
        <f t="shared" si="56"/>
        <v>1636</v>
      </c>
      <c r="R65" s="161">
        <f t="shared" si="56"/>
        <v>1911</v>
      </c>
      <c r="S65" s="161">
        <f t="shared" si="56"/>
        <v>2310</v>
      </c>
      <c r="T65" s="161">
        <f t="shared" si="56"/>
        <v>2024</v>
      </c>
      <c r="U65" s="161">
        <f t="shared" si="56"/>
        <v>2342</v>
      </c>
      <c r="V65" s="161">
        <f t="shared" si="56"/>
        <v>1169</v>
      </c>
      <c r="W65" s="161">
        <f t="shared" si="56"/>
        <v>1638</v>
      </c>
      <c r="X65" s="161">
        <f t="shared" si="56"/>
        <v>1899</v>
      </c>
      <c r="Y65" s="161">
        <f t="shared" si="56"/>
        <v>1775</v>
      </c>
      <c r="Z65" s="161">
        <f t="shared" si="56"/>
        <v>1483</v>
      </c>
      <c r="AA65" s="161">
        <f t="shared" si="56"/>
        <v>2495</v>
      </c>
      <c r="AB65" s="161">
        <f t="shared" si="56"/>
        <v>2466</v>
      </c>
      <c r="AC65" s="161">
        <f t="shared" si="56"/>
        <v>1655</v>
      </c>
      <c r="AD65" s="161">
        <f t="shared" si="56"/>
        <v>1476</v>
      </c>
      <c r="AE65" s="161">
        <f t="shared" si="56"/>
        <v>1462</v>
      </c>
      <c r="AF65" s="161">
        <f t="shared" si="56"/>
        <v>1671</v>
      </c>
      <c r="AG65" s="161">
        <f t="shared" si="56"/>
        <v>2146</v>
      </c>
      <c r="AH65" s="161">
        <f t="shared" si="56"/>
        <v>1630</v>
      </c>
      <c r="AI65" s="161">
        <f t="shared" si="56"/>
        <v>2202</v>
      </c>
      <c r="AJ65" s="161">
        <f t="shared" si="56"/>
        <v>1480</v>
      </c>
      <c r="AK65" s="161">
        <f t="shared" si="56"/>
        <v>2042</v>
      </c>
      <c r="AL65" s="161">
        <f t="shared" si="56"/>
        <v>2266</v>
      </c>
      <c r="AM65" s="166">
        <f t="array" ref="AM65">INDEX(Expenses!$1:$398,MATCH($C65,Expenses!$A:$A,0),MATCH(AM$4,Expenses!$4:$4,0))</f>
        <v>306</v>
      </c>
      <c r="AN65" s="166">
        <f t="array" ref="AN65">INDEX(Expenses!$1:$398,MATCH($C65,Expenses!$A:$A,0),MATCH(AN$4,Expenses!$4:$4,0))</f>
        <v>47.68</v>
      </c>
      <c r="AO65" s="166">
        <f t="array" ref="AO65">INDEX(Expenses!$1:$398,MATCH($C65,Expenses!$A:$A,0),MATCH(AO$4,Expenses!$4:$4,0))</f>
        <v>47.68</v>
      </c>
      <c r="AP65" s="166">
        <f t="array" ref="AP65">INDEX(Expenses!$1:$398,MATCH($C65,Expenses!$A:$A,0),MATCH(AP$4,Expenses!$4:$4,0))</f>
        <v>47.68</v>
      </c>
      <c r="AQ65" s="166">
        <f t="array" ref="AQ65">INDEX(Expenses!$1:$398,MATCH($C65,Expenses!$A:$A,0),MATCH(AQ$4,Expenses!$4:$4,0))</f>
        <v>47.68</v>
      </c>
      <c r="AR65" s="166">
        <f t="array" ref="AR65">INDEX(Expenses!$1:$398,MATCH($C65,Expenses!$A:$A,0),MATCH(AR$4,Expenses!$4:$4,0))</f>
        <v>47.68</v>
      </c>
      <c r="AS65" s="166">
        <f t="array" ref="AS65">INDEX(Expenses!$1:$398,MATCH($C65,Expenses!$A:$A,0),MATCH(AS$4,Expenses!$4:$4,0))</f>
        <v>47.68</v>
      </c>
      <c r="AT65" s="166">
        <f t="array" ref="AT65">INDEX(Expenses!$1:$398,MATCH($C65,Expenses!$A:$A,0),MATCH(AT$4,Expenses!$4:$4,0))</f>
        <v>47.68</v>
      </c>
      <c r="AU65" s="166">
        <f t="array" ref="AU65">INDEX(Expenses!$1:$398,MATCH($C65,Expenses!$A:$A,0),MATCH(AU$4,Expenses!$4:$4,0))</f>
        <v>47.68</v>
      </c>
      <c r="AV65" s="166">
        <f t="array" ref="AV65">INDEX(Expenses!$1:$398,MATCH($C65,Expenses!$A:$A,0),MATCH(AV$4,Expenses!$4:$4,0))</f>
        <v>47.68</v>
      </c>
      <c r="AW65" s="166">
        <f t="array" ref="AW65">INDEX(Expenses!$1:$398,MATCH($C65,Expenses!$A:$A,0),MATCH(AW$4,Expenses!$4:$4,0))</f>
        <v>47.68</v>
      </c>
      <c r="AX65" s="166">
        <f t="array" ref="AX65">INDEX(Expenses!$1:$398,MATCH($C65,Expenses!$A:$A,0),MATCH(AX$4,Expenses!$4:$4,0))</f>
        <v>47.68</v>
      </c>
      <c r="AY65" s="166">
        <f t="array" ref="AY65">INDEX(Expenses!$1:$398,MATCH($C65,Expenses!$A:$A,0),MATCH(AY$4,Expenses!$4:$4,0))</f>
        <v>47.68</v>
      </c>
      <c r="AZ65" s="166">
        <f t="array" ref="AZ65">INDEX(Expenses!$1:$398,MATCH($C65,Expenses!$A:$A,0),MATCH(AZ$4,Expenses!$4:$4,0))</f>
        <v>97.68</v>
      </c>
      <c r="BA65" s="166">
        <f t="array" ref="BA65">INDEX(Expenses!$1:$398,MATCH($C65,Expenses!$A:$A,0),MATCH(BA$4,Expenses!$4:$4,0))</f>
        <v>97.68</v>
      </c>
      <c r="BB65" s="166">
        <f t="array" ref="BB65">INDEX(Expenses!$1:$398,MATCH($C65,Expenses!$A:$A,0),MATCH(BB$4,Expenses!$4:$4,0))</f>
        <v>97.68</v>
      </c>
      <c r="BC65" s="166">
        <f t="array" ref="BC65">INDEX(Expenses!$1:$398,MATCH($C65,Expenses!$A:$A,0),MATCH(BC$4,Expenses!$4:$4,0))</f>
        <v>97.68</v>
      </c>
      <c r="BD65" s="166">
        <f t="array" ref="BD65">INDEX(Expenses!$1:$398,MATCH($C65,Expenses!$A:$A,0),MATCH(BD$4,Expenses!$4:$4,0))</f>
        <v>97.68</v>
      </c>
      <c r="BE65" s="166">
        <f t="array" ref="BE65">INDEX(Expenses!$1:$398,MATCH($C65,Expenses!$A:$A,0),MATCH(BE$4,Expenses!$4:$4,0))</f>
        <v>97.68</v>
      </c>
      <c r="BF65" s="166">
        <f t="array" ref="BF65">INDEX(Expenses!$1:$398,MATCH($C65,Expenses!$A:$A,0),MATCH(BF$4,Expenses!$4:$4,0))</f>
        <v>147.68</v>
      </c>
      <c r="BG65" s="166">
        <f t="array" ref="BG65">INDEX(Expenses!$1:$398,MATCH($C65,Expenses!$A:$A,0),MATCH(BG$4,Expenses!$4:$4,0))</f>
        <v>147.68</v>
      </c>
      <c r="BH65" s="166">
        <f t="array" ref="BH65">INDEX(Expenses!$1:$398,MATCH($C65,Expenses!$A:$A,0),MATCH(BH$4,Expenses!$4:$4,0))</f>
        <v>147.68</v>
      </c>
      <c r="BI65" s="166">
        <f t="array" ref="BI65">INDEX(Expenses!$1:$398,MATCH($C65,Expenses!$A:$A,0),MATCH(BI$4,Expenses!$4:$4,0))</f>
        <v>147.68</v>
      </c>
      <c r="BJ65" s="166">
        <f t="array" ref="BJ65">INDEX(Expenses!$1:$398,MATCH($C65,Expenses!$A:$A,0),MATCH(BJ$4,Expenses!$4:$4,0))</f>
        <v>147.68</v>
      </c>
      <c r="BK65" s="166">
        <f t="array" ref="BK65">INDEX(Expenses!$1:$398,MATCH($C65,Expenses!$A:$A,0),MATCH(BK$4,Expenses!$4:$4,0))</f>
        <v>147.68</v>
      </c>
      <c r="BL65" s="166">
        <f t="array" ref="BL65">INDEX(Expenses!$1:$398,MATCH($C65,Expenses!$A:$A,0),MATCH(BL$4,Expenses!$4:$4,0))</f>
        <v>197.68</v>
      </c>
      <c r="BM65" s="166">
        <f t="array" ref="BM65">INDEX(Expenses!$1:$398,MATCH($C65,Expenses!$A:$A,0),MATCH(BM$4,Expenses!$4:$4,0))</f>
        <v>197.68</v>
      </c>
      <c r="BN65" s="166">
        <f t="array" ref="BN65">INDEX(Expenses!$1:$398,MATCH($C65,Expenses!$A:$A,0),MATCH(BN$4,Expenses!$4:$4,0))</f>
        <v>197.68</v>
      </c>
      <c r="BO65" s="166">
        <f t="array" ref="BO65">INDEX(Expenses!$1:$398,MATCH($C65,Expenses!$A:$A,0),MATCH(BO$4,Expenses!$4:$4,0))</f>
        <v>197.68</v>
      </c>
      <c r="BP65" s="166">
        <f t="array" ref="BP65">INDEX(Expenses!$1:$398,MATCH($C65,Expenses!$A:$A,0),MATCH(BP$4,Expenses!$4:$4,0))</f>
        <v>197.68</v>
      </c>
      <c r="BQ65" s="166">
        <f t="array" ref="BQ65">INDEX(Expenses!$1:$398,MATCH($C65,Expenses!$A:$A,0),MATCH(BQ$4,Expenses!$4:$4,0))</f>
        <v>197.68</v>
      </c>
      <c r="BR65" s="166">
        <f t="array" ref="BR65">INDEX(Expenses!$1:$398,MATCH($C65,Expenses!$A:$A,0),MATCH(BR$4,Expenses!$4:$4,0))</f>
        <v>247.68</v>
      </c>
      <c r="BS65" s="166">
        <f t="array" ref="BS65">INDEX(Expenses!$1:$398,MATCH($C65,Expenses!$A:$A,0),MATCH(BS$4,Expenses!$4:$4,0))</f>
        <v>247.68</v>
      </c>
      <c r="BT65" s="166">
        <f t="array" ref="BT65">INDEX(Expenses!$1:$398,MATCH($C65,Expenses!$A:$A,0),MATCH(BT$4,Expenses!$4:$4,0))</f>
        <v>247.68</v>
      </c>
      <c r="BU65" s="166">
        <f t="array" ref="BU65">INDEX(Expenses!$1:$398,MATCH($C65,Expenses!$A:$A,0),MATCH(BU$4,Expenses!$4:$4,0))</f>
        <v>247.68</v>
      </c>
      <c r="BV65" s="166">
        <f t="array" ref="BV65">INDEX(Expenses!$1:$398,MATCH($C65,Expenses!$A:$A,0),MATCH(BV$4,Expenses!$4:$4,0))</f>
        <v>247.68</v>
      </c>
      <c r="BW65" s="166">
        <f t="array" ref="BW65">INDEX(Expenses!$1:$398,MATCH($C65,Expenses!$A:$A,0),MATCH(BW$4,Expenses!$4:$4,0))</f>
        <v>247.68</v>
      </c>
      <c r="BX65" s="166">
        <f t="array" ref="BX65">INDEX(Expenses!$1:$398,MATCH($C65,Expenses!$A:$A,0),MATCH(BX$4,Expenses!$4:$4,0))</f>
        <v>297.68</v>
      </c>
      <c r="BY65" s="166">
        <f t="array" ref="BY65">INDEX(Expenses!$1:$398,MATCH($C65,Expenses!$A:$A,0),MATCH(BY$4,Expenses!$4:$4,0))</f>
        <v>297.68</v>
      </c>
      <c r="BZ65" s="166">
        <f t="array" ref="BZ65">INDEX(Expenses!$1:$398,MATCH($C65,Expenses!$A:$A,0),MATCH(BZ$4,Expenses!$4:$4,0))</f>
        <v>297.68</v>
      </c>
      <c r="CA65" s="166">
        <f t="array" ref="CA65">INDEX(Expenses!$1:$398,MATCH($C65,Expenses!$A:$A,0),MATCH(CA$4,Expenses!$4:$4,0))</f>
        <v>297.68</v>
      </c>
      <c r="CB65" s="166">
        <f t="array" ref="CB65">INDEX(Expenses!$1:$398,MATCH($C65,Expenses!$A:$A,0),MATCH(CB$4,Expenses!$4:$4,0))</f>
        <v>297.68</v>
      </c>
      <c r="CC65" s="166">
        <f t="array" ref="CC65">INDEX(Expenses!$1:$398,MATCH($C65,Expenses!$A:$A,0),MATCH(CC$4,Expenses!$4:$4,0))</f>
        <v>297.68</v>
      </c>
      <c r="CD65" s="166">
        <f t="array" ref="CD65">INDEX(Expenses!$1:$398,MATCH($C65,Expenses!$A:$A,0),MATCH(CD$4,Expenses!$4:$4,0))</f>
        <v>347.68</v>
      </c>
      <c r="CE65" s="166">
        <f t="array" ref="CE65">INDEX(Expenses!$1:$398,MATCH($C65,Expenses!$A:$A,0),MATCH(CE$4,Expenses!$4:$4,0))</f>
        <v>347.68</v>
      </c>
      <c r="CF65" s="166">
        <f t="array" ref="CF65">INDEX(Expenses!$1:$398,MATCH($C65,Expenses!$A:$A,0),MATCH(CF$4,Expenses!$4:$4,0))</f>
        <v>347.68</v>
      </c>
      <c r="CG65" s="166">
        <f t="array" ref="CG65">INDEX(Expenses!$1:$398,MATCH($C65,Expenses!$A:$A,0),MATCH(CG$4,Expenses!$4:$4,0))</f>
        <v>347.68</v>
      </c>
      <c r="CH65" s="166">
        <f t="array" ref="CH65">INDEX(Expenses!$1:$398,MATCH($C65,Expenses!$A:$A,0),MATCH(CH$4,Expenses!$4:$4,0))</f>
        <v>347.68</v>
      </c>
      <c r="CI65" s="166">
        <f t="array" ref="CI65">INDEX(Expenses!$1:$398,MATCH($C65,Expenses!$A:$A,0),MATCH(CI$4,Expenses!$4:$4,0))</f>
        <v>347.68</v>
      </c>
      <c r="CJ65" s="166">
        <f t="array" ref="CJ65">INDEX(Expenses!$1:$398,MATCH($C65,Expenses!$A:$A,0),MATCH(CJ$4,Expenses!$4:$4,0))</f>
        <v>397.68</v>
      </c>
      <c r="CK65" s="166">
        <f t="array" ref="CK65">INDEX(Expenses!$1:$398,MATCH($C65,Expenses!$A:$A,0),MATCH(CK$4,Expenses!$4:$4,0))</f>
        <v>397.68</v>
      </c>
      <c r="CL65" s="166">
        <f t="array" ref="CL65">INDEX(Expenses!$1:$398,MATCH($C65,Expenses!$A:$A,0),MATCH(CL$4,Expenses!$4:$4,0))</f>
        <v>397.68</v>
      </c>
      <c r="CM65" s="166">
        <f t="array" ref="CM65">INDEX(Expenses!$1:$398,MATCH($C65,Expenses!$A:$A,0),MATCH(CM$4,Expenses!$4:$4,0))</f>
        <v>397.68</v>
      </c>
      <c r="CN65" s="166">
        <f t="array" ref="CN65">INDEX(Expenses!$1:$398,MATCH($C65,Expenses!$A:$A,0),MATCH(CN$4,Expenses!$4:$4,0))</f>
        <v>397.68</v>
      </c>
      <c r="CO65" s="166">
        <f t="array" ref="CO65">INDEX(Expenses!$1:$398,MATCH($C65,Expenses!$A:$A,0),MATCH(CO$4,Expenses!$4:$4,0))</f>
        <v>397.68</v>
      </c>
      <c r="CP65" s="166">
        <f t="array" ref="CP65">INDEX(Expenses!$1:$398,MATCH($C65,Expenses!$A:$A,0),MATCH(CP$4,Expenses!$4:$4,0))</f>
        <v>447.68</v>
      </c>
      <c r="CQ65" s="166">
        <f t="array" ref="CQ65">INDEX(Expenses!$1:$398,MATCH($C65,Expenses!$A:$A,0),MATCH(CQ$4,Expenses!$4:$4,0))</f>
        <v>447.68</v>
      </c>
      <c r="CR65" s="166">
        <f t="array" ref="CR65">INDEX(Expenses!$1:$398,MATCH($C65,Expenses!$A:$A,0),MATCH(CR$4,Expenses!$4:$4,0))</f>
        <v>447.68</v>
      </c>
      <c r="CS65" s="166">
        <f t="array" ref="CS65">INDEX(Expenses!$1:$398,MATCH($C65,Expenses!$A:$A,0),MATCH(CS$4,Expenses!$4:$4,0))</f>
        <v>447.68</v>
      </c>
      <c r="CT65" s="166">
        <f t="array" ref="CT65">INDEX(Expenses!$1:$398,MATCH($C65,Expenses!$A:$A,0),MATCH(CT$4,Expenses!$4:$4,0))</f>
        <v>447.68</v>
      </c>
      <c r="CU65" s="166">
        <f t="array" ref="CU65">INDEX(Expenses!$1:$398,MATCH($C65,Expenses!$A:$A,0),MATCH(CU$4,Expenses!$4:$4,0))</f>
        <v>447.68</v>
      </c>
      <c r="CV65" s="162"/>
      <c r="CW65" s="162"/>
      <c r="CX65" s="162"/>
      <c r="CY65" s="162"/>
      <c r="CZ65" s="162"/>
      <c r="DA65" s="162"/>
      <c r="DB65" s="162"/>
      <c r="DC65" s="162"/>
    </row>
    <row r="66" ht="15.75" customHeight="1">
      <c r="A66" s="146" t="s">
        <v>174</v>
      </c>
      <c r="B66" s="146" t="s">
        <v>70</v>
      </c>
      <c r="C66" s="160" t="s">
        <v>243</v>
      </c>
      <c r="D66" s="161">
        <f t="shared" ref="D66:AL66" si="57">RANDBETWEEN(1000,2500)</f>
        <v>2262</v>
      </c>
      <c r="E66" s="161">
        <f t="shared" si="57"/>
        <v>1961</v>
      </c>
      <c r="F66" s="161">
        <f t="shared" si="57"/>
        <v>1511</v>
      </c>
      <c r="G66" s="161">
        <f t="shared" si="57"/>
        <v>2400</v>
      </c>
      <c r="H66" s="161">
        <f t="shared" si="57"/>
        <v>2337</v>
      </c>
      <c r="I66" s="161">
        <f t="shared" si="57"/>
        <v>1328</v>
      </c>
      <c r="J66" s="161">
        <f t="shared" si="57"/>
        <v>2098</v>
      </c>
      <c r="K66" s="161">
        <f t="shared" si="57"/>
        <v>1371</v>
      </c>
      <c r="L66" s="161">
        <f t="shared" si="57"/>
        <v>1267</v>
      </c>
      <c r="M66" s="161">
        <f t="shared" si="57"/>
        <v>1067</v>
      </c>
      <c r="N66" s="161">
        <f t="shared" si="57"/>
        <v>2117</v>
      </c>
      <c r="O66" s="161">
        <f t="shared" si="57"/>
        <v>1435</v>
      </c>
      <c r="P66" s="161">
        <f t="shared" si="57"/>
        <v>2355</v>
      </c>
      <c r="Q66" s="161">
        <f t="shared" si="57"/>
        <v>1011</v>
      </c>
      <c r="R66" s="161">
        <f t="shared" si="57"/>
        <v>1217</v>
      </c>
      <c r="S66" s="161">
        <f t="shared" si="57"/>
        <v>1485</v>
      </c>
      <c r="T66" s="161">
        <f t="shared" si="57"/>
        <v>2024</v>
      </c>
      <c r="U66" s="161">
        <f t="shared" si="57"/>
        <v>2283</v>
      </c>
      <c r="V66" s="161">
        <f t="shared" si="57"/>
        <v>1546</v>
      </c>
      <c r="W66" s="161">
        <f t="shared" si="57"/>
        <v>1301</v>
      </c>
      <c r="X66" s="161">
        <f t="shared" si="57"/>
        <v>1214</v>
      </c>
      <c r="Y66" s="161">
        <f t="shared" si="57"/>
        <v>2290</v>
      </c>
      <c r="Z66" s="161">
        <f t="shared" si="57"/>
        <v>2072</v>
      </c>
      <c r="AA66" s="161">
        <f t="shared" si="57"/>
        <v>2319</v>
      </c>
      <c r="AB66" s="161">
        <f t="shared" si="57"/>
        <v>2164</v>
      </c>
      <c r="AC66" s="161">
        <f t="shared" si="57"/>
        <v>1688</v>
      </c>
      <c r="AD66" s="161">
        <f t="shared" si="57"/>
        <v>2037</v>
      </c>
      <c r="AE66" s="161">
        <f t="shared" si="57"/>
        <v>2131</v>
      </c>
      <c r="AF66" s="161">
        <f t="shared" si="57"/>
        <v>1392</v>
      </c>
      <c r="AG66" s="161">
        <f t="shared" si="57"/>
        <v>1200</v>
      </c>
      <c r="AH66" s="161">
        <f t="shared" si="57"/>
        <v>2014</v>
      </c>
      <c r="AI66" s="161">
        <f t="shared" si="57"/>
        <v>1314</v>
      </c>
      <c r="AJ66" s="161">
        <f t="shared" si="57"/>
        <v>2048</v>
      </c>
      <c r="AK66" s="161">
        <f t="shared" si="57"/>
        <v>1053</v>
      </c>
      <c r="AL66" s="161">
        <f t="shared" si="57"/>
        <v>1913</v>
      </c>
      <c r="AM66" s="166">
        <f t="array" ref="AM66">INDEX(Expenses!$1:$398,MATCH($C66,Expenses!$A:$A,0),MATCH(AM$4,Expenses!$4:$4,0))</f>
        <v>2494.2</v>
      </c>
      <c r="AN66" s="166">
        <f t="array" ref="AN66">INDEX(Expenses!$1:$398,MATCH($C66,Expenses!$A:$A,0),MATCH(AN$4,Expenses!$4:$4,0))</f>
        <v>5494.2</v>
      </c>
      <c r="AO66" s="166">
        <f t="array" ref="AO66">INDEX(Expenses!$1:$398,MATCH($C66,Expenses!$A:$A,0),MATCH(AO$4,Expenses!$4:$4,0))</f>
        <v>5494.2</v>
      </c>
      <c r="AP66" s="166">
        <f t="array" ref="AP66">INDEX(Expenses!$1:$398,MATCH($C66,Expenses!$A:$A,0),MATCH(AP$4,Expenses!$4:$4,0))</f>
        <v>5494.2</v>
      </c>
      <c r="AQ66" s="166">
        <f t="array" ref="AQ66">INDEX(Expenses!$1:$398,MATCH($C66,Expenses!$A:$A,0),MATCH(AQ$4,Expenses!$4:$4,0))</f>
        <v>5494.2</v>
      </c>
      <c r="AR66" s="166">
        <f t="array" ref="AR66">INDEX(Expenses!$1:$398,MATCH($C66,Expenses!$A:$A,0),MATCH(AR$4,Expenses!$4:$4,0))</f>
        <v>8494.2</v>
      </c>
      <c r="AS66" s="166">
        <f t="array" ref="AS66">INDEX(Expenses!$1:$398,MATCH($C66,Expenses!$A:$A,0),MATCH(AS$4,Expenses!$4:$4,0))</f>
        <v>8494.2</v>
      </c>
      <c r="AT66" s="166">
        <f t="array" ref="AT66">INDEX(Expenses!$1:$398,MATCH($C66,Expenses!$A:$A,0),MATCH(AT$4,Expenses!$4:$4,0))</f>
        <v>8494.2</v>
      </c>
      <c r="AU66" s="166">
        <f t="array" ref="AU66">INDEX(Expenses!$1:$398,MATCH($C66,Expenses!$A:$A,0),MATCH(AU$4,Expenses!$4:$4,0))</f>
        <v>8494.2</v>
      </c>
      <c r="AV66" s="166">
        <f t="array" ref="AV66">INDEX(Expenses!$1:$398,MATCH($C66,Expenses!$A:$A,0),MATCH(AV$4,Expenses!$4:$4,0))</f>
        <v>11494.2</v>
      </c>
      <c r="AW66" s="166">
        <f t="array" ref="AW66">INDEX(Expenses!$1:$398,MATCH($C66,Expenses!$A:$A,0),MATCH(AW$4,Expenses!$4:$4,0))</f>
        <v>11494.2</v>
      </c>
      <c r="AX66" s="166">
        <f t="array" ref="AX66">INDEX(Expenses!$1:$398,MATCH($C66,Expenses!$A:$A,0),MATCH(AX$4,Expenses!$4:$4,0))</f>
        <v>11494.2</v>
      </c>
      <c r="AY66" s="166">
        <f t="array" ref="AY66">INDEX(Expenses!$1:$398,MATCH($C66,Expenses!$A:$A,0),MATCH(AY$4,Expenses!$4:$4,0))</f>
        <v>11494.2</v>
      </c>
      <c r="AZ66" s="166">
        <f t="array" ref="AZ66">INDEX(Expenses!$1:$398,MATCH($C66,Expenses!$A:$A,0),MATCH(AZ$4,Expenses!$4:$4,0))</f>
        <v>11494.2</v>
      </c>
      <c r="BA66" s="166">
        <f t="array" ref="BA66">INDEX(Expenses!$1:$398,MATCH($C66,Expenses!$A:$A,0),MATCH(BA$4,Expenses!$4:$4,0))</f>
        <v>11494.2</v>
      </c>
      <c r="BB66" s="166">
        <f t="array" ref="BB66">INDEX(Expenses!$1:$398,MATCH($C66,Expenses!$A:$A,0),MATCH(BB$4,Expenses!$4:$4,0))</f>
        <v>11494.2</v>
      </c>
      <c r="BC66" s="166">
        <f t="array" ref="BC66">INDEX(Expenses!$1:$398,MATCH($C66,Expenses!$A:$A,0),MATCH(BC$4,Expenses!$4:$4,0))</f>
        <v>11494.2</v>
      </c>
      <c r="BD66" s="166">
        <f t="array" ref="BD66">INDEX(Expenses!$1:$398,MATCH($C66,Expenses!$A:$A,0),MATCH(BD$4,Expenses!$4:$4,0))</f>
        <v>11494.2</v>
      </c>
      <c r="BE66" s="166">
        <f t="array" ref="BE66">INDEX(Expenses!$1:$398,MATCH($C66,Expenses!$A:$A,0),MATCH(BE$4,Expenses!$4:$4,0))</f>
        <v>11494.2</v>
      </c>
      <c r="BF66" s="166">
        <f t="array" ref="BF66">INDEX(Expenses!$1:$398,MATCH($C66,Expenses!$A:$A,0),MATCH(BF$4,Expenses!$4:$4,0))</f>
        <v>11494.2</v>
      </c>
      <c r="BG66" s="166">
        <f t="array" ref="BG66">INDEX(Expenses!$1:$398,MATCH($C66,Expenses!$A:$A,0),MATCH(BG$4,Expenses!$4:$4,0))</f>
        <v>11494.2</v>
      </c>
      <c r="BH66" s="166">
        <f t="array" ref="BH66">INDEX(Expenses!$1:$398,MATCH($C66,Expenses!$A:$A,0),MATCH(BH$4,Expenses!$4:$4,0))</f>
        <v>13894.2</v>
      </c>
      <c r="BI66" s="166">
        <f t="array" ref="BI66">INDEX(Expenses!$1:$398,MATCH($C66,Expenses!$A:$A,0),MATCH(BI$4,Expenses!$4:$4,0))</f>
        <v>13894.2</v>
      </c>
      <c r="BJ66" s="166">
        <f t="array" ref="BJ66">INDEX(Expenses!$1:$398,MATCH($C66,Expenses!$A:$A,0),MATCH(BJ$4,Expenses!$4:$4,0))</f>
        <v>13894.2</v>
      </c>
      <c r="BK66" s="166">
        <f t="array" ref="BK66">INDEX(Expenses!$1:$398,MATCH($C66,Expenses!$A:$A,0),MATCH(BK$4,Expenses!$4:$4,0))</f>
        <v>13894.2</v>
      </c>
      <c r="BL66" s="166">
        <f t="array" ref="BL66">INDEX(Expenses!$1:$398,MATCH($C66,Expenses!$A:$A,0),MATCH(BL$4,Expenses!$4:$4,0))</f>
        <v>19894.2</v>
      </c>
      <c r="BM66" s="166">
        <f t="array" ref="BM66">INDEX(Expenses!$1:$398,MATCH($C66,Expenses!$A:$A,0),MATCH(BM$4,Expenses!$4:$4,0))</f>
        <v>19894.2</v>
      </c>
      <c r="BN66" s="166">
        <f t="array" ref="BN66">INDEX(Expenses!$1:$398,MATCH($C66,Expenses!$A:$A,0),MATCH(BN$4,Expenses!$4:$4,0))</f>
        <v>19894.2</v>
      </c>
      <c r="BO66" s="166">
        <f t="array" ref="BO66">INDEX(Expenses!$1:$398,MATCH($C66,Expenses!$A:$A,0),MATCH(BO$4,Expenses!$4:$4,0))</f>
        <v>19894.2</v>
      </c>
      <c r="BP66" s="166">
        <f t="array" ref="BP66">INDEX(Expenses!$1:$398,MATCH($C66,Expenses!$A:$A,0),MATCH(BP$4,Expenses!$4:$4,0))</f>
        <v>25894.2</v>
      </c>
      <c r="BQ66" s="166">
        <f t="array" ref="BQ66">INDEX(Expenses!$1:$398,MATCH($C66,Expenses!$A:$A,0),MATCH(BQ$4,Expenses!$4:$4,0))</f>
        <v>25894.2</v>
      </c>
      <c r="BR66" s="166">
        <f t="array" ref="BR66">INDEX(Expenses!$1:$398,MATCH($C66,Expenses!$A:$A,0),MATCH(BR$4,Expenses!$4:$4,0))</f>
        <v>25894.2</v>
      </c>
      <c r="BS66" s="166">
        <f t="array" ref="BS66">INDEX(Expenses!$1:$398,MATCH($C66,Expenses!$A:$A,0),MATCH(BS$4,Expenses!$4:$4,0))</f>
        <v>25894.2</v>
      </c>
      <c r="BT66" s="166">
        <f t="array" ref="BT66">INDEX(Expenses!$1:$398,MATCH($C66,Expenses!$A:$A,0),MATCH(BT$4,Expenses!$4:$4,0))</f>
        <v>31894.2</v>
      </c>
      <c r="BU66" s="166">
        <f t="array" ref="BU66">INDEX(Expenses!$1:$398,MATCH($C66,Expenses!$A:$A,0),MATCH(BU$4,Expenses!$4:$4,0))</f>
        <v>31894.2</v>
      </c>
      <c r="BV66" s="166">
        <f t="array" ref="BV66">INDEX(Expenses!$1:$398,MATCH($C66,Expenses!$A:$A,0),MATCH(BV$4,Expenses!$4:$4,0))</f>
        <v>31894.2</v>
      </c>
      <c r="BW66" s="166">
        <f t="array" ref="BW66">INDEX(Expenses!$1:$398,MATCH($C66,Expenses!$A:$A,0),MATCH(BW$4,Expenses!$4:$4,0))</f>
        <v>31894.2</v>
      </c>
      <c r="BX66" s="166">
        <f t="array" ref="BX66">INDEX(Expenses!$1:$398,MATCH($C66,Expenses!$A:$A,0),MATCH(BX$4,Expenses!$4:$4,0))</f>
        <v>32014.2</v>
      </c>
      <c r="BY66" s="166">
        <f t="array" ref="BY66">INDEX(Expenses!$1:$398,MATCH($C66,Expenses!$A:$A,0),MATCH(BY$4,Expenses!$4:$4,0))</f>
        <v>32014.2</v>
      </c>
      <c r="BZ66" s="166">
        <f t="array" ref="BZ66">INDEX(Expenses!$1:$398,MATCH($C66,Expenses!$A:$A,0),MATCH(BZ$4,Expenses!$4:$4,0))</f>
        <v>32014.2</v>
      </c>
      <c r="CA66" s="166">
        <f t="array" ref="CA66">INDEX(Expenses!$1:$398,MATCH($C66,Expenses!$A:$A,0),MATCH(CA$4,Expenses!$4:$4,0))</f>
        <v>32014.2</v>
      </c>
      <c r="CB66" s="166">
        <f t="array" ref="CB66">INDEX(Expenses!$1:$398,MATCH($C66,Expenses!$A:$A,0),MATCH(CB$4,Expenses!$4:$4,0))</f>
        <v>32134.2</v>
      </c>
      <c r="CC66" s="166">
        <f t="array" ref="CC66">INDEX(Expenses!$1:$398,MATCH($C66,Expenses!$A:$A,0),MATCH(CC$4,Expenses!$4:$4,0))</f>
        <v>32134.2</v>
      </c>
      <c r="CD66" s="166">
        <f t="array" ref="CD66">INDEX(Expenses!$1:$398,MATCH($C66,Expenses!$A:$A,0),MATCH(CD$4,Expenses!$4:$4,0))</f>
        <v>32134.2</v>
      </c>
      <c r="CE66" s="166">
        <f t="array" ref="CE66">INDEX(Expenses!$1:$398,MATCH($C66,Expenses!$A:$A,0),MATCH(CE$4,Expenses!$4:$4,0))</f>
        <v>32134.2</v>
      </c>
      <c r="CF66" s="166">
        <f t="array" ref="CF66">INDEX(Expenses!$1:$398,MATCH($C66,Expenses!$A:$A,0),MATCH(CF$4,Expenses!$4:$4,0))</f>
        <v>32254.2</v>
      </c>
      <c r="CG66" s="166">
        <f t="array" ref="CG66">INDEX(Expenses!$1:$398,MATCH($C66,Expenses!$A:$A,0),MATCH(CG$4,Expenses!$4:$4,0))</f>
        <v>32254.2</v>
      </c>
      <c r="CH66" s="166">
        <f t="array" ref="CH66">INDEX(Expenses!$1:$398,MATCH($C66,Expenses!$A:$A,0),MATCH(CH$4,Expenses!$4:$4,0))</f>
        <v>32254.2</v>
      </c>
      <c r="CI66" s="166">
        <f t="array" ref="CI66">INDEX(Expenses!$1:$398,MATCH($C66,Expenses!$A:$A,0),MATCH(CI$4,Expenses!$4:$4,0))</f>
        <v>32254.2</v>
      </c>
      <c r="CJ66" s="166">
        <f t="array" ref="CJ66">INDEX(Expenses!$1:$398,MATCH($C66,Expenses!$A:$A,0),MATCH(CJ$4,Expenses!$4:$4,0))</f>
        <v>32374.2</v>
      </c>
      <c r="CK66" s="166">
        <f t="array" ref="CK66">INDEX(Expenses!$1:$398,MATCH($C66,Expenses!$A:$A,0),MATCH(CK$4,Expenses!$4:$4,0))</f>
        <v>32374.2</v>
      </c>
      <c r="CL66" s="166">
        <f t="array" ref="CL66">INDEX(Expenses!$1:$398,MATCH($C66,Expenses!$A:$A,0),MATCH(CL$4,Expenses!$4:$4,0))</f>
        <v>32374.2</v>
      </c>
      <c r="CM66" s="166">
        <f t="array" ref="CM66">INDEX(Expenses!$1:$398,MATCH($C66,Expenses!$A:$A,0),MATCH(CM$4,Expenses!$4:$4,0))</f>
        <v>32374.2</v>
      </c>
      <c r="CN66" s="166">
        <f t="array" ref="CN66">INDEX(Expenses!$1:$398,MATCH($C66,Expenses!$A:$A,0),MATCH(CN$4,Expenses!$4:$4,0))</f>
        <v>32494.2</v>
      </c>
      <c r="CO66" s="166">
        <f t="array" ref="CO66">INDEX(Expenses!$1:$398,MATCH($C66,Expenses!$A:$A,0),MATCH(CO$4,Expenses!$4:$4,0))</f>
        <v>32494.2</v>
      </c>
      <c r="CP66" s="166">
        <f t="array" ref="CP66">INDEX(Expenses!$1:$398,MATCH($C66,Expenses!$A:$A,0),MATCH(CP$4,Expenses!$4:$4,0))</f>
        <v>32494.2</v>
      </c>
      <c r="CQ66" s="166">
        <f t="array" ref="CQ66">INDEX(Expenses!$1:$398,MATCH($C66,Expenses!$A:$A,0),MATCH(CQ$4,Expenses!$4:$4,0))</f>
        <v>32494.2</v>
      </c>
      <c r="CR66" s="166">
        <f t="array" ref="CR66">INDEX(Expenses!$1:$398,MATCH($C66,Expenses!$A:$A,0),MATCH(CR$4,Expenses!$4:$4,0))</f>
        <v>33994.2</v>
      </c>
      <c r="CS66" s="166">
        <f t="array" ref="CS66">INDEX(Expenses!$1:$398,MATCH($C66,Expenses!$A:$A,0),MATCH(CS$4,Expenses!$4:$4,0))</f>
        <v>33994.2</v>
      </c>
      <c r="CT66" s="166">
        <f t="array" ref="CT66">INDEX(Expenses!$1:$398,MATCH($C66,Expenses!$A:$A,0),MATCH(CT$4,Expenses!$4:$4,0))</f>
        <v>33994.2</v>
      </c>
      <c r="CU66" s="166">
        <f t="array" ref="CU66">INDEX(Expenses!$1:$398,MATCH($C66,Expenses!$A:$A,0),MATCH(CU$4,Expenses!$4:$4,0))</f>
        <v>33994.2</v>
      </c>
      <c r="CV66" s="162"/>
      <c r="CW66" s="162"/>
      <c r="CX66" s="162"/>
      <c r="CY66" s="162"/>
      <c r="CZ66" s="162"/>
      <c r="DA66" s="162"/>
      <c r="DB66" s="162"/>
      <c r="DC66" s="162"/>
    </row>
    <row r="67" ht="15.75" customHeight="1">
      <c r="A67" s="146" t="s">
        <v>174</v>
      </c>
      <c r="B67" s="146" t="s">
        <v>120</v>
      </c>
      <c r="C67" s="160" t="s">
        <v>244</v>
      </c>
      <c r="D67" s="161">
        <f t="shared" ref="D67:AL67" si="58">RANDBETWEEN(1000,2500)</f>
        <v>2319</v>
      </c>
      <c r="E67" s="161">
        <f t="shared" si="58"/>
        <v>2020</v>
      </c>
      <c r="F67" s="161">
        <f t="shared" si="58"/>
        <v>1995</v>
      </c>
      <c r="G67" s="161">
        <f t="shared" si="58"/>
        <v>1556</v>
      </c>
      <c r="H67" s="161">
        <f t="shared" si="58"/>
        <v>2190</v>
      </c>
      <c r="I67" s="161">
        <f t="shared" si="58"/>
        <v>2185</v>
      </c>
      <c r="J67" s="161">
        <f t="shared" si="58"/>
        <v>2072</v>
      </c>
      <c r="K67" s="161">
        <f t="shared" si="58"/>
        <v>1000</v>
      </c>
      <c r="L67" s="161">
        <f t="shared" si="58"/>
        <v>1294</v>
      </c>
      <c r="M67" s="161">
        <f t="shared" si="58"/>
        <v>1380</v>
      </c>
      <c r="N67" s="161">
        <f t="shared" si="58"/>
        <v>1270</v>
      </c>
      <c r="O67" s="161">
        <f t="shared" si="58"/>
        <v>2356</v>
      </c>
      <c r="P67" s="161">
        <f t="shared" si="58"/>
        <v>1875</v>
      </c>
      <c r="Q67" s="161">
        <f t="shared" si="58"/>
        <v>1506</v>
      </c>
      <c r="R67" s="161">
        <f t="shared" si="58"/>
        <v>1653</v>
      </c>
      <c r="S67" s="161">
        <f t="shared" si="58"/>
        <v>1664</v>
      </c>
      <c r="T67" s="161">
        <f t="shared" si="58"/>
        <v>1496</v>
      </c>
      <c r="U67" s="161">
        <f t="shared" si="58"/>
        <v>1752</v>
      </c>
      <c r="V67" s="161">
        <f t="shared" si="58"/>
        <v>1848</v>
      </c>
      <c r="W67" s="161">
        <f t="shared" si="58"/>
        <v>1083</v>
      </c>
      <c r="X67" s="161">
        <f t="shared" si="58"/>
        <v>1774</v>
      </c>
      <c r="Y67" s="161">
        <f t="shared" si="58"/>
        <v>1376</v>
      </c>
      <c r="Z67" s="161">
        <f t="shared" si="58"/>
        <v>2124</v>
      </c>
      <c r="AA67" s="161">
        <f t="shared" si="58"/>
        <v>1514</v>
      </c>
      <c r="AB67" s="161">
        <f t="shared" si="58"/>
        <v>1162</v>
      </c>
      <c r="AC67" s="161">
        <f t="shared" si="58"/>
        <v>1899</v>
      </c>
      <c r="AD67" s="161">
        <f t="shared" si="58"/>
        <v>1793</v>
      </c>
      <c r="AE67" s="161">
        <f t="shared" si="58"/>
        <v>1862</v>
      </c>
      <c r="AF67" s="161">
        <f t="shared" si="58"/>
        <v>1934</v>
      </c>
      <c r="AG67" s="161">
        <f t="shared" si="58"/>
        <v>2224</v>
      </c>
      <c r="AH67" s="161">
        <f t="shared" si="58"/>
        <v>1277</v>
      </c>
      <c r="AI67" s="161">
        <f t="shared" si="58"/>
        <v>1605</v>
      </c>
      <c r="AJ67" s="161">
        <f t="shared" si="58"/>
        <v>1875</v>
      </c>
      <c r="AK67" s="161">
        <f t="shared" si="58"/>
        <v>1530</v>
      </c>
      <c r="AL67" s="161">
        <f t="shared" si="58"/>
        <v>2039</v>
      </c>
      <c r="AM67" s="166">
        <f t="array" ref="AM67">INDEX(Expenses!$1:$398,MATCH($C67,Expenses!$A:$A,0),MATCH(AM$4,Expenses!$4:$4,0))</f>
        <v>1937.05</v>
      </c>
      <c r="AN67" s="166">
        <f t="array" ref="AN67">INDEX(Expenses!$1:$398,MATCH($C67,Expenses!$A:$A,0),MATCH(AN$4,Expenses!$4:$4,0))</f>
        <v>2033.9025</v>
      </c>
      <c r="AO67" s="166">
        <f t="array" ref="AO67">INDEX(Expenses!$1:$398,MATCH($C67,Expenses!$A:$A,0),MATCH(AO$4,Expenses!$4:$4,0))</f>
        <v>2033.9025</v>
      </c>
      <c r="AP67" s="166">
        <f t="array" ref="AP67">INDEX(Expenses!$1:$398,MATCH($C67,Expenses!$A:$A,0),MATCH(AP$4,Expenses!$4:$4,0))</f>
        <v>2033.9025</v>
      </c>
      <c r="AQ67" s="166">
        <f t="array" ref="AQ67">INDEX(Expenses!$1:$398,MATCH($C67,Expenses!$A:$A,0),MATCH(AQ$4,Expenses!$4:$4,0))</f>
        <v>2033.9025</v>
      </c>
      <c r="AR67" s="166">
        <f t="array" ref="AR67">INDEX(Expenses!$1:$398,MATCH($C67,Expenses!$A:$A,0),MATCH(AR$4,Expenses!$4:$4,0))</f>
        <v>2033.9025</v>
      </c>
      <c r="AS67" s="166">
        <f t="array" ref="AS67">INDEX(Expenses!$1:$398,MATCH($C67,Expenses!$A:$A,0),MATCH(AS$4,Expenses!$4:$4,0))</f>
        <v>2033.9025</v>
      </c>
      <c r="AT67" s="166">
        <f t="array" ref="AT67">INDEX(Expenses!$1:$398,MATCH($C67,Expenses!$A:$A,0),MATCH(AT$4,Expenses!$4:$4,0))</f>
        <v>2033.9025</v>
      </c>
      <c r="AU67" s="166">
        <f t="array" ref="AU67">INDEX(Expenses!$1:$398,MATCH($C67,Expenses!$A:$A,0),MATCH(AU$4,Expenses!$4:$4,0))</f>
        <v>2033.9025</v>
      </c>
      <c r="AV67" s="166">
        <f t="array" ref="AV67">INDEX(Expenses!$1:$398,MATCH($C67,Expenses!$A:$A,0),MATCH(AV$4,Expenses!$4:$4,0))</f>
        <v>2033.9025</v>
      </c>
      <c r="AW67" s="166">
        <f t="array" ref="AW67">INDEX(Expenses!$1:$398,MATCH($C67,Expenses!$A:$A,0),MATCH(AW$4,Expenses!$4:$4,0))</f>
        <v>2033.9025</v>
      </c>
      <c r="AX67" s="166">
        <f t="array" ref="AX67">INDEX(Expenses!$1:$398,MATCH($C67,Expenses!$A:$A,0),MATCH(AX$4,Expenses!$4:$4,0))</f>
        <v>2033.9025</v>
      </c>
      <c r="AY67" s="166">
        <f t="array" ref="AY67">INDEX(Expenses!$1:$398,MATCH($C67,Expenses!$A:$A,0),MATCH(AY$4,Expenses!$4:$4,0))</f>
        <v>2033.9025</v>
      </c>
      <c r="AZ67" s="166">
        <f t="array" ref="AZ67">INDEX(Expenses!$1:$398,MATCH($C67,Expenses!$A:$A,0),MATCH(AZ$4,Expenses!$4:$4,0))</f>
        <v>2054.241525</v>
      </c>
      <c r="BA67" s="166">
        <f t="array" ref="BA67">INDEX(Expenses!$1:$398,MATCH($C67,Expenses!$A:$A,0),MATCH(BA$4,Expenses!$4:$4,0))</f>
        <v>2074.78394</v>
      </c>
      <c r="BB67" s="166">
        <f t="array" ref="BB67">INDEX(Expenses!$1:$398,MATCH($C67,Expenses!$A:$A,0),MATCH(BB$4,Expenses!$4:$4,0))</f>
        <v>2095.53178</v>
      </c>
      <c r="BC67" s="166">
        <f t="array" ref="BC67">INDEX(Expenses!$1:$398,MATCH($C67,Expenses!$A:$A,0),MATCH(BC$4,Expenses!$4:$4,0))</f>
        <v>2116.487097</v>
      </c>
      <c r="BD67" s="166">
        <f t="array" ref="BD67">INDEX(Expenses!$1:$398,MATCH($C67,Expenses!$A:$A,0),MATCH(BD$4,Expenses!$4:$4,0))</f>
        <v>2137.651968</v>
      </c>
      <c r="BE67" s="166">
        <f t="array" ref="BE67">INDEX(Expenses!$1:$398,MATCH($C67,Expenses!$A:$A,0),MATCH(BE$4,Expenses!$4:$4,0))</f>
        <v>2159.028488</v>
      </c>
      <c r="BF67" s="166">
        <f t="array" ref="BF67">INDEX(Expenses!$1:$398,MATCH($C67,Expenses!$A:$A,0),MATCH(BF$4,Expenses!$4:$4,0))</f>
        <v>2180.618773</v>
      </c>
      <c r="BG67" s="166">
        <f t="array" ref="BG67">INDEX(Expenses!$1:$398,MATCH($C67,Expenses!$A:$A,0),MATCH(BG$4,Expenses!$4:$4,0))</f>
        <v>2202.424961</v>
      </c>
      <c r="BH67" s="166">
        <f t="array" ref="BH67">INDEX(Expenses!$1:$398,MATCH($C67,Expenses!$A:$A,0),MATCH(BH$4,Expenses!$4:$4,0))</f>
        <v>2224.44921</v>
      </c>
      <c r="BI67" s="166">
        <f t="array" ref="BI67">INDEX(Expenses!$1:$398,MATCH($C67,Expenses!$A:$A,0),MATCH(BI$4,Expenses!$4:$4,0))</f>
        <v>2246.693702</v>
      </c>
      <c r="BJ67" s="166">
        <f t="array" ref="BJ67">INDEX(Expenses!$1:$398,MATCH($C67,Expenses!$A:$A,0),MATCH(BJ$4,Expenses!$4:$4,0))</f>
        <v>2269.160639</v>
      </c>
      <c r="BK67" s="166">
        <f t="array" ref="BK67">INDEX(Expenses!$1:$398,MATCH($C67,Expenses!$A:$A,0),MATCH(BK$4,Expenses!$4:$4,0))</f>
        <v>2291.852246</v>
      </c>
      <c r="BL67" s="166">
        <f t="array" ref="BL67">INDEX(Expenses!$1:$398,MATCH($C67,Expenses!$A:$A,0),MATCH(BL$4,Expenses!$4:$4,0))</f>
        <v>2314.770768</v>
      </c>
      <c r="BM67" s="166">
        <f t="array" ref="BM67">INDEX(Expenses!$1:$398,MATCH($C67,Expenses!$A:$A,0),MATCH(BM$4,Expenses!$4:$4,0))</f>
        <v>2337.918476</v>
      </c>
      <c r="BN67" s="166">
        <f t="array" ref="BN67">INDEX(Expenses!$1:$398,MATCH($C67,Expenses!$A:$A,0),MATCH(BN$4,Expenses!$4:$4,0))</f>
        <v>2361.297661</v>
      </c>
      <c r="BO67" s="166">
        <f t="array" ref="BO67">INDEX(Expenses!$1:$398,MATCH($C67,Expenses!$A:$A,0),MATCH(BO$4,Expenses!$4:$4,0))</f>
        <v>2384.910637</v>
      </c>
      <c r="BP67" s="166">
        <f t="array" ref="BP67">INDEX(Expenses!$1:$398,MATCH($C67,Expenses!$A:$A,0),MATCH(BP$4,Expenses!$4:$4,0))</f>
        <v>2408.759744</v>
      </c>
      <c r="BQ67" s="166">
        <f t="array" ref="BQ67">INDEX(Expenses!$1:$398,MATCH($C67,Expenses!$A:$A,0),MATCH(BQ$4,Expenses!$4:$4,0))</f>
        <v>2432.847341</v>
      </c>
      <c r="BR67" s="166">
        <f t="array" ref="BR67">INDEX(Expenses!$1:$398,MATCH($C67,Expenses!$A:$A,0),MATCH(BR$4,Expenses!$4:$4,0))</f>
        <v>2457.175815</v>
      </c>
      <c r="BS67" s="166">
        <f t="array" ref="BS67">INDEX(Expenses!$1:$398,MATCH($C67,Expenses!$A:$A,0),MATCH(BS$4,Expenses!$4:$4,0))</f>
        <v>2481.747573</v>
      </c>
      <c r="BT67" s="166">
        <f t="array" ref="BT67">INDEX(Expenses!$1:$398,MATCH($C67,Expenses!$A:$A,0),MATCH(BT$4,Expenses!$4:$4,0))</f>
        <v>2506.565048</v>
      </c>
      <c r="BU67" s="166">
        <f t="array" ref="BU67">INDEX(Expenses!$1:$398,MATCH($C67,Expenses!$A:$A,0),MATCH(BU$4,Expenses!$4:$4,0))</f>
        <v>2531.630699</v>
      </c>
      <c r="BV67" s="166">
        <f t="array" ref="BV67">INDEX(Expenses!$1:$398,MATCH($C67,Expenses!$A:$A,0),MATCH(BV$4,Expenses!$4:$4,0))</f>
        <v>2556.947006</v>
      </c>
      <c r="BW67" s="166">
        <f t="array" ref="BW67">INDEX(Expenses!$1:$398,MATCH($C67,Expenses!$A:$A,0),MATCH(BW$4,Expenses!$4:$4,0))</f>
        <v>2582.516476</v>
      </c>
      <c r="BX67" s="166">
        <f t="array" ref="BX67">INDEX(Expenses!$1:$398,MATCH($C67,Expenses!$A:$A,0),MATCH(BX$4,Expenses!$4:$4,0))</f>
        <v>2608.341641</v>
      </c>
      <c r="BY67" s="166">
        <f t="array" ref="BY67">INDEX(Expenses!$1:$398,MATCH($C67,Expenses!$A:$A,0),MATCH(BY$4,Expenses!$4:$4,0))</f>
        <v>2634.425057</v>
      </c>
      <c r="BZ67" s="166">
        <f t="array" ref="BZ67">INDEX(Expenses!$1:$398,MATCH($C67,Expenses!$A:$A,0),MATCH(BZ$4,Expenses!$4:$4,0))</f>
        <v>2660.769308</v>
      </c>
      <c r="CA67" s="166">
        <f t="array" ref="CA67">INDEX(Expenses!$1:$398,MATCH($C67,Expenses!$A:$A,0),MATCH(CA$4,Expenses!$4:$4,0))</f>
        <v>2687.377001</v>
      </c>
      <c r="CB67" s="166">
        <f t="array" ref="CB67">INDEX(Expenses!$1:$398,MATCH($C67,Expenses!$A:$A,0),MATCH(CB$4,Expenses!$4:$4,0))</f>
        <v>2714.250771</v>
      </c>
      <c r="CC67" s="166">
        <f t="array" ref="CC67">INDEX(Expenses!$1:$398,MATCH($C67,Expenses!$A:$A,0),MATCH(CC$4,Expenses!$4:$4,0))</f>
        <v>2741.393279</v>
      </c>
      <c r="CD67" s="166">
        <f t="array" ref="CD67">INDEX(Expenses!$1:$398,MATCH($C67,Expenses!$A:$A,0),MATCH(CD$4,Expenses!$4:$4,0))</f>
        <v>2768.807211</v>
      </c>
      <c r="CE67" s="166">
        <f t="array" ref="CE67">INDEX(Expenses!$1:$398,MATCH($C67,Expenses!$A:$A,0),MATCH(CE$4,Expenses!$4:$4,0))</f>
        <v>2796.495283</v>
      </c>
      <c r="CF67" s="166">
        <f t="array" ref="CF67">INDEX(Expenses!$1:$398,MATCH($C67,Expenses!$A:$A,0),MATCH(CF$4,Expenses!$4:$4,0))</f>
        <v>2824.460236</v>
      </c>
      <c r="CG67" s="166">
        <f t="array" ref="CG67">INDEX(Expenses!$1:$398,MATCH($C67,Expenses!$A:$A,0),MATCH(CG$4,Expenses!$4:$4,0))</f>
        <v>2852.704839</v>
      </c>
      <c r="CH67" s="166">
        <f t="array" ref="CH67">INDEX(Expenses!$1:$398,MATCH($C67,Expenses!$A:$A,0),MATCH(CH$4,Expenses!$4:$4,0))</f>
        <v>2881.231887</v>
      </c>
      <c r="CI67" s="166">
        <f t="array" ref="CI67">INDEX(Expenses!$1:$398,MATCH($C67,Expenses!$A:$A,0),MATCH(CI$4,Expenses!$4:$4,0))</f>
        <v>2910.044206</v>
      </c>
      <c r="CJ67" s="166">
        <f t="array" ref="CJ67">INDEX(Expenses!$1:$398,MATCH($C67,Expenses!$A:$A,0),MATCH(CJ$4,Expenses!$4:$4,0))</f>
        <v>2939.144648</v>
      </c>
      <c r="CK67" s="166">
        <f t="array" ref="CK67">INDEX(Expenses!$1:$398,MATCH($C67,Expenses!$A:$A,0),MATCH(CK$4,Expenses!$4:$4,0))</f>
        <v>2968.536094</v>
      </c>
      <c r="CL67" s="166">
        <f t="array" ref="CL67">INDEX(Expenses!$1:$398,MATCH($C67,Expenses!$A:$A,0),MATCH(CL$4,Expenses!$4:$4,0))</f>
        <v>2998.221455</v>
      </c>
      <c r="CM67" s="166">
        <f t="array" ref="CM67">INDEX(Expenses!$1:$398,MATCH($C67,Expenses!$A:$A,0),MATCH(CM$4,Expenses!$4:$4,0))</f>
        <v>3028.20367</v>
      </c>
      <c r="CN67" s="166">
        <f t="array" ref="CN67">INDEX(Expenses!$1:$398,MATCH($C67,Expenses!$A:$A,0),MATCH(CN$4,Expenses!$4:$4,0))</f>
        <v>3058.485707</v>
      </c>
      <c r="CO67" s="166">
        <f t="array" ref="CO67">INDEX(Expenses!$1:$398,MATCH($C67,Expenses!$A:$A,0),MATCH(CO$4,Expenses!$4:$4,0))</f>
        <v>3089.070564</v>
      </c>
      <c r="CP67" s="166">
        <f t="array" ref="CP67">INDEX(Expenses!$1:$398,MATCH($C67,Expenses!$A:$A,0),MATCH(CP$4,Expenses!$4:$4,0))</f>
        <v>3119.961269</v>
      </c>
      <c r="CQ67" s="166">
        <f t="array" ref="CQ67">INDEX(Expenses!$1:$398,MATCH($C67,Expenses!$A:$A,0),MATCH(CQ$4,Expenses!$4:$4,0))</f>
        <v>3151.160882</v>
      </c>
      <c r="CR67" s="166">
        <f t="array" ref="CR67">INDEX(Expenses!$1:$398,MATCH($C67,Expenses!$A:$A,0),MATCH(CR$4,Expenses!$4:$4,0))</f>
        <v>3182.672491</v>
      </c>
      <c r="CS67" s="166">
        <f t="array" ref="CS67">INDEX(Expenses!$1:$398,MATCH($C67,Expenses!$A:$A,0),MATCH(CS$4,Expenses!$4:$4,0))</f>
        <v>3214.499216</v>
      </c>
      <c r="CT67" s="166">
        <f t="array" ref="CT67">INDEX(Expenses!$1:$398,MATCH($C67,Expenses!$A:$A,0),MATCH(CT$4,Expenses!$4:$4,0))</f>
        <v>3246.644208</v>
      </c>
      <c r="CU67" s="166">
        <f t="array" ref="CU67">INDEX(Expenses!$1:$398,MATCH($C67,Expenses!$A:$A,0),MATCH(CU$4,Expenses!$4:$4,0))</f>
        <v>3279.11065</v>
      </c>
      <c r="CV67" s="162"/>
      <c r="CW67" s="162"/>
      <c r="CX67" s="162"/>
      <c r="CY67" s="162"/>
      <c r="CZ67" s="162"/>
      <c r="DA67" s="162"/>
      <c r="DB67" s="162"/>
      <c r="DC67" s="162"/>
    </row>
    <row r="68" ht="15.75" customHeight="1">
      <c r="A68" s="146" t="s">
        <v>174</v>
      </c>
      <c r="B68" s="146" t="s">
        <v>120</v>
      </c>
      <c r="C68" s="160" t="s">
        <v>245</v>
      </c>
      <c r="D68" s="161">
        <f t="shared" ref="D68:AL68" si="59">RANDBETWEEN(1000,2500)</f>
        <v>2428</v>
      </c>
      <c r="E68" s="161">
        <f t="shared" si="59"/>
        <v>1103</v>
      </c>
      <c r="F68" s="161">
        <f t="shared" si="59"/>
        <v>1569</v>
      </c>
      <c r="G68" s="161">
        <f t="shared" si="59"/>
        <v>1145</v>
      </c>
      <c r="H68" s="161">
        <f t="shared" si="59"/>
        <v>2038</v>
      </c>
      <c r="I68" s="161">
        <f t="shared" si="59"/>
        <v>2151</v>
      </c>
      <c r="J68" s="161">
        <f t="shared" si="59"/>
        <v>1225</v>
      </c>
      <c r="K68" s="161">
        <f t="shared" si="59"/>
        <v>1230</v>
      </c>
      <c r="L68" s="161">
        <f t="shared" si="59"/>
        <v>1945</v>
      </c>
      <c r="M68" s="161">
        <f t="shared" si="59"/>
        <v>1702</v>
      </c>
      <c r="N68" s="161">
        <f t="shared" si="59"/>
        <v>1672</v>
      </c>
      <c r="O68" s="161">
        <f t="shared" si="59"/>
        <v>1640</v>
      </c>
      <c r="P68" s="161">
        <f t="shared" si="59"/>
        <v>1936</v>
      </c>
      <c r="Q68" s="161">
        <f t="shared" si="59"/>
        <v>1522</v>
      </c>
      <c r="R68" s="161">
        <f t="shared" si="59"/>
        <v>2289</v>
      </c>
      <c r="S68" s="161">
        <f t="shared" si="59"/>
        <v>2092</v>
      </c>
      <c r="T68" s="161">
        <f t="shared" si="59"/>
        <v>1207</v>
      </c>
      <c r="U68" s="161">
        <f t="shared" si="59"/>
        <v>1116</v>
      </c>
      <c r="V68" s="161">
        <f t="shared" si="59"/>
        <v>1662</v>
      </c>
      <c r="W68" s="161">
        <f t="shared" si="59"/>
        <v>1388</v>
      </c>
      <c r="X68" s="161">
        <f t="shared" si="59"/>
        <v>2101</v>
      </c>
      <c r="Y68" s="161">
        <f t="shared" si="59"/>
        <v>1966</v>
      </c>
      <c r="Z68" s="161">
        <f t="shared" si="59"/>
        <v>1087</v>
      </c>
      <c r="AA68" s="161">
        <f t="shared" si="59"/>
        <v>2424</v>
      </c>
      <c r="AB68" s="161">
        <f t="shared" si="59"/>
        <v>1417</v>
      </c>
      <c r="AC68" s="161">
        <f t="shared" si="59"/>
        <v>2118</v>
      </c>
      <c r="AD68" s="161">
        <f t="shared" si="59"/>
        <v>2158</v>
      </c>
      <c r="AE68" s="161">
        <f t="shared" si="59"/>
        <v>1348</v>
      </c>
      <c r="AF68" s="161">
        <f t="shared" si="59"/>
        <v>1180</v>
      </c>
      <c r="AG68" s="161">
        <f t="shared" si="59"/>
        <v>1104</v>
      </c>
      <c r="AH68" s="161">
        <f t="shared" si="59"/>
        <v>2025</v>
      </c>
      <c r="AI68" s="161">
        <f t="shared" si="59"/>
        <v>2082</v>
      </c>
      <c r="AJ68" s="161">
        <f t="shared" si="59"/>
        <v>2121</v>
      </c>
      <c r="AK68" s="161">
        <f t="shared" si="59"/>
        <v>1042</v>
      </c>
      <c r="AL68" s="161">
        <f t="shared" si="59"/>
        <v>2258</v>
      </c>
      <c r="AM68" s="166">
        <f t="array" ref="AM68">INDEX(Expenses!$1:$398,MATCH($C68,Expenses!$A:$A,0),MATCH(AM$4,Expenses!$4:$4,0))</f>
        <v>2258</v>
      </c>
      <c r="AN68" s="166">
        <f t="array" ref="AN68">INDEX(Expenses!$1:$398,MATCH($C68,Expenses!$A:$A,0),MATCH(AN$4,Expenses!$4:$4,0))</f>
        <v>2370.9</v>
      </c>
      <c r="AO68" s="166">
        <f t="array" ref="AO68">INDEX(Expenses!$1:$398,MATCH($C68,Expenses!$A:$A,0),MATCH(AO$4,Expenses!$4:$4,0))</f>
        <v>2370.9</v>
      </c>
      <c r="AP68" s="166">
        <f t="array" ref="AP68">INDEX(Expenses!$1:$398,MATCH($C68,Expenses!$A:$A,0),MATCH(AP$4,Expenses!$4:$4,0))</f>
        <v>2370.9</v>
      </c>
      <c r="AQ68" s="166">
        <f t="array" ref="AQ68">INDEX(Expenses!$1:$398,MATCH($C68,Expenses!$A:$A,0),MATCH(AQ$4,Expenses!$4:$4,0))</f>
        <v>2370.9</v>
      </c>
      <c r="AR68" s="166">
        <f t="array" ref="AR68">INDEX(Expenses!$1:$398,MATCH($C68,Expenses!$A:$A,0),MATCH(AR$4,Expenses!$4:$4,0))</f>
        <v>2370.9</v>
      </c>
      <c r="AS68" s="166">
        <f t="array" ref="AS68">INDEX(Expenses!$1:$398,MATCH($C68,Expenses!$A:$A,0),MATCH(AS$4,Expenses!$4:$4,0))</f>
        <v>2370.9</v>
      </c>
      <c r="AT68" s="166">
        <f t="array" ref="AT68">INDEX(Expenses!$1:$398,MATCH($C68,Expenses!$A:$A,0),MATCH(AT$4,Expenses!$4:$4,0))</f>
        <v>2382.7545</v>
      </c>
      <c r="AU68" s="166">
        <f t="array" ref="AU68">INDEX(Expenses!$1:$398,MATCH($C68,Expenses!$A:$A,0),MATCH(AU$4,Expenses!$4:$4,0))</f>
        <v>2394.668273</v>
      </c>
      <c r="AV68" s="166">
        <f t="array" ref="AV68">INDEX(Expenses!$1:$398,MATCH($C68,Expenses!$A:$A,0),MATCH(AV$4,Expenses!$4:$4,0))</f>
        <v>2406.641614</v>
      </c>
      <c r="AW68" s="166">
        <f t="array" ref="AW68">INDEX(Expenses!$1:$398,MATCH($C68,Expenses!$A:$A,0),MATCH(AW$4,Expenses!$4:$4,0))</f>
        <v>2418.674822</v>
      </c>
      <c r="AX68" s="166">
        <f t="array" ref="AX68">INDEX(Expenses!$1:$398,MATCH($C68,Expenses!$A:$A,0),MATCH(AX$4,Expenses!$4:$4,0))</f>
        <v>2430.768196</v>
      </c>
      <c r="AY68" s="166">
        <f t="array" ref="AY68">INDEX(Expenses!$1:$398,MATCH($C68,Expenses!$A:$A,0),MATCH(AY$4,Expenses!$4:$4,0))</f>
        <v>2442.922037</v>
      </c>
      <c r="AZ68" s="166">
        <f t="array" ref="AZ68">INDEX(Expenses!$1:$398,MATCH($C68,Expenses!$A:$A,0),MATCH(AZ$4,Expenses!$4:$4,0))</f>
        <v>2455.136647</v>
      </c>
      <c r="BA68" s="166">
        <f t="array" ref="BA68">INDEX(Expenses!$1:$398,MATCH($C68,Expenses!$A:$A,0),MATCH(BA$4,Expenses!$4:$4,0))</f>
        <v>2467.41233</v>
      </c>
      <c r="BB68" s="166">
        <f t="array" ref="BB68">INDEX(Expenses!$1:$398,MATCH($C68,Expenses!$A:$A,0),MATCH(BB$4,Expenses!$4:$4,0))</f>
        <v>2479.749392</v>
      </c>
      <c r="BC68" s="166">
        <f t="array" ref="BC68">INDEX(Expenses!$1:$398,MATCH($C68,Expenses!$A:$A,0),MATCH(BC$4,Expenses!$4:$4,0))</f>
        <v>2492.148139</v>
      </c>
      <c r="BD68" s="166">
        <f t="array" ref="BD68">INDEX(Expenses!$1:$398,MATCH($C68,Expenses!$A:$A,0),MATCH(BD$4,Expenses!$4:$4,0))</f>
        <v>2504.60888</v>
      </c>
      <c r="BE68" s="166">
        <f t="array" ref="BE68">INDEX(Expenses!$1:$398,MATCH($C68,Expenses!$A:$A,0),MATCH(BE$4,Expenses!$4:$4,0))</f>
        <v>2517.131924</v>
      </c>
      <c r="BF68" s="166">
        <f t="array" ref="BF68">INDEX(Expenses!$1:$398,MATCH($C68,Expenses!$A:$A,0),MATCH(BF$4,Expenses!$4:$4,0))</f>
        <v>2529.717584</v>
      </c>
      <c r="BG68" s="166">
        <f t="array" ref="BG68">INDEX(Expenses!$1:$398,MATCH($C68,Expenses!$A:$A,0),MATCH(BG$4,Expenses!$4:$4,0))</f>
        <v>2542.366172</v>
      </c>
      <c r="BH68" s="166">
        <f t="array" ref="BH68">INDEX(Expenses!$1:$398,MATCH($C68,Expenses!$A:$A,0),MATCH(BH$4,Expenses!$4:$4,0))</f>
        <v>2555.078003</v>
      </c>
      <c r="BI68" s="166">
        <f t="array" ref="BI68">INDEX(Expenses!$1:$398,MATCH($C68,Expenses!$A:$A,0),MATCH(BI$4,Expenses!$4:$4,0))</f>
        <v>2567.853393</v>
      </c>
      <c r="BJ68" s="166">
        <f t="array" ref="BJ68">INDEX(Expenses!$1:$398,MATCH($C68,Expenses!$A:$A,0),MATCH(BJ$4,Expenses!$4:$4,0))</f>
        <v>2580.69266</v>
      </c>
      <c r="BK68" s="166">
        <f t="array" ref="BK68">INDEX(Expenses!$1:$398,MATCH($C68,Expenses!$A:$A,0),MATCH(BK$4,Expenses!$4:$4,0))</f>
        <v>2593.596123</v>
      </c>
      <c r="BL68" s="166">
        <f t="array" ref="BL68">INDEX(Expenses!$1:$398,MATCH($C68,Expenses!$A:$A,0),MATCH(BL$4,Expenses!$4:$4,0))</f>
        <v>2606.564103</v>
      </c>
      <c r="BM68" s="166">
        <f t="array" ref="BM68">INDEX(Expenses!$1:$398,MATCH($C68,Expenses!$A:$A,0),MATCH(BM$4,Expenses!$4:$4,0))</f>
        <v>2619.596924</v>
      </c>
      <c r="BN68" s="166">
        <f t="array" ref="BN68">INDEX(Expenses!$1:$398,MATCH($C68,Expenses!$A:$A,0),MATCH(BN$4,Expenses!$4:$4,0))</f>
        <v>2632.694909</v>
      </c>
      <c r="BO68" s="166">
        <f t="array" ref="BO68">INDEX(Expenses!$1:$398,MATCH($C68,Expenses!$A:$A,0),MATCH(BO$4,Expenses!$4:$4,0))</f>
        <v>2645.858383</v>
      </c>
      <c r="BP68" s="166">
        <f t="array" ref="BP68">INDEX(Expenses!$1:$398,MATCH($C68,Expenses!$A:$A,0),MATCH(BP$4,Expenses!$4:$4,0))</f>
        <v>2659.087675</v>
      </c>
      <c r="BQ68" s="166">
        <f t="array" ref="BQ68">INDEX(Expenses!$1:$398,MATCH($C68,Expenses!$A:$A,0),MATCH(BQ$4,Expenses!$4:$4,0))</f>
        <v>2672.383113</v>
      </c>
      <c r="BR68" s="166">
        <f t="array" ref="BR68">INDEX(Expenses!$1:$398,MATCH($C68,Expenses!$A:$A,0),MATCH(BR$4,Expenses!$4:$4,0))</f>
        <v>2685.745029</v>
      </c>
      <c r="BS68" s="166">
        <f t="array" ref="BS68">INDEX(Expenses!$1:$398,MATCH($C68,Expenses!$A:$A,0),MATCH(BS$4,Expenses!$4:$4,0))</f>
        <v>2699.173754</v>
      </c>
      <c r="BT68" s="166">
        <f t="array" ref="BT68">INDEX(Expenses!$1:$398,MATCH($C68,Expenses!$A:$A,0),MATCH(BT$4,Expenses!$4:$4,0))</f>
        <v>2712.669623</v>
      </c>
      <c r="BU68" s="166">
        <f t="array" ref="BU68">INDEX(Expenses!$1:$398,MATCH($C68,Expenses!$A:$A,0),MATCH(BU$4,Expenses!$4:$4,0))</f>
        <v>2726.232971</v>
      </c>
      <c r="BV68" s="166">
        <f t="array" ref="BV68">INDEX(Expenses!$1:$398,MATCH($C68,Expenses!$A:$A,0),MATCH(BV$4,Expenses!$4:$4,0))</f>
        <v>2739.864136</v>
      </c>
      <c r="BW68" s="166">
        <f t="array" ref="BW68">INDEX(Expenses!$1:$398,MATCH($C68,Expenses!$A:$A,0),MATCH(BW$4,Expenses!$4:$4,0))</f>
        <v>2753.563457</v>
      </c>
      <c r="BX68" s="166">
        <f t="array" ref="BX68">INDEX(Expenses!$1:$398,MATCH($C68,Expenses!$A:$A,0),MATCH(BX$4,Expenses!$4:$4,0))</f>
        <v>2767.331274</v>
      </c>
      <c r="BY68" s="166">
        <f t="array" ref="BY68">INDEX(Expenses!$1:$398,MATCH($C68,Expenses!$A:$A,0),MATCH(BY$4,Expenses!$4:$4,0))</f>
        <v>2781.16793</v>
      </c>
      <c r="BZ68" s="166">
        <f t="array" ref="BZ68">INDEX(Expenses!$1:$398,MATCH($C68,Expenses!$A:$A,0),MATCH(BZ$4,Expenses!$4:$4,0))</f>
        <v>2795.07377</v>
      </c>
      <c r="CA68" s="166">
        <f t="array" ref="CA68">INDEX(Expenses!$1:$398,MATCH($C68,Expenses!$A:$A,0),MATCH(CA$4,Expenses!$4:$4,0))</f>
        <v>2809.049139</v>
      </c>
      <c r="CB68" s="166">
        <f t="array" ref="CB68">INDEX(Expenses!$1:$398,MATCH($C68,Expenses!$A:$A,0),MATCH(CB$4,Expenses!$4:$4,0))</f>
        <v>2823.094384</v>
      </c>
      <c r="CC68" s="166">
        <f t="array" ref="CC68">INDEX(Expenses!$1:$398,MATCH($C68,Expenses!$A:$A,0),MATCH(CC$4,Expenses!$4:$4,0))</f>
        <v>2837.209856</v>
      </c>
      <c r="CD68" s="166">
        <f t="array" ref="CD68">INDEX(Expenses!$1:$398,MATCH($C68,Expenses!$A:$A,0),MATCH(CD$4,Expenses!$4:$4,0))</f>
        <v>2851.395906</v>
      </c>
      <c r="CE68" s="166">
        <f t="array" ref="CE68">INDEX(Expenses!$1:$398,MATCH($C68,Expenses!$A:$A,0),MATCH(CE$4,Expenses!$4:$4,0))</f>
        <v>2865.652885</v>
      </c>
      <c r="CF68" s="166">
        <f t="array" ref="CF68">INDEX(Expenses!$1:$398,MATCH($C68,Expenses!$A:$A,0),MATCH(CF$4,Expenses!$4:$4,0))</f>
        <v>2879.98115</v>
      </c>
      <c r="CG68" s="166">
        <f t="array" ref="CG68">INDEX(Expenses!$1:$398,MATCH($C68,Expenses!$A:$A,0),MATCH(CG$4,Expenses!$4:$4,0))</f>
        <v>2894.381055</v>
      </c>
      <c r="CH68" s="166">
        <f t="array" ref="CH68">INDEX(Expenses!$1:$398,MATCH($C68,Expenses!$A:$A,0),MATCH(CH$4,Expenses!$4:$4,0))</f>
        <v>2908.852961</v>
      </c>
      <c r="CI68" s="166">
        <f t="array" ref="CI68">INDEX(Expenses!$1:$398,MATCH($C68,Expenses!$A:$A,0),MATCH(CI$4,Expenses!$4:$4,0))</f>
        <v>2923.397225</v>
      </c>
      <c r="CJ68" s="166">
        <f t="array" ref="CJ68">INDEX(Expenses!$1:$398,MATCH($C68,Expenses!$A:$A,0),MATCH(CJ$4,Expenses!$4:$4,0))</f>
        <v>2938.014211</v>
      </c>
      <c r="CK68" s="166">
        <f t="array" ref="CK68">INDEX(Expenses!$1:$398,MATCH($C68,Expenses!$A:$A,0),MATCH(CK$4,Expenses!$4:$4,0))</f>
        <v>2952.704283</v>
      </c>
      <c r="CL68" s="166">
        <f t="array" ref="CL68">INDEX(Expenses!$1:$398,MATCH($C68,Expenses!$A:$A,0),MATCH(CL$4,Expenses!$4:$4,0))</f>
        <v>2967.467804</v>
      </c>
      <c r="CM68" s="166">
        <f t="array" ref="CM68">INDEX(Expenses!$1:$398,MATCH($C68,Expenses!$A:$A,0),MATCH(CM$4,Expenses!$4:$4,0))</f>
        <v>2982.305143</v>
      </c>
      <c r="CN68" s="166">
        <f t="array" ref="CN68">INDEX(Expenses!$1:$398,MATCH($C68,Expenses!$A:$A,0),MATCH(CN$4,Expenses!$4:$4,0))</f>
        <v>2997.216669</v>
      </c>
      <c r="CO68" s="166">
        <f t="array" ref="CO68">INDEX(Expenses!$1:$398,MATCH($C68,Expenses!$A:$A,0),MATCH(CO$4,Expenses!$4:$4,0))</f>
        <v>3012.202752</v>
      </c>
      <c r="CP68" s="166">
        <f t="array" ref="CP68">INDEX(Expenses!$1:$398,MATCH($C68,Expenses!$A:$A,0),MATCH(CP$4,Expenses!$4:$4,0))</f>
        <v>3027.263766</v>
      </c>
      <c r="CQ68" s="166">
        <f t="array" ref="CQ68">INDEX(Expenses!$1:$398,MATCH($C68,Expenses!$A:$A,0),MATCH(CQ$4,Expenses!$4:$4,0))</f>
        <v>3042.400085</v>
      </c>
      <c r="CR68" s="166">
        <f t="array" ref="CR68">INDEX(Expenses!$1:$398,MATCH($C68,Expenses!$A:$A,0),MATCH(CR$4,Expenses!$4:$4,0))</f>
        <v>3057.612085</v>
      </c>
      <c r="CS68" s="166">
        <f t="array" ref="CS68">INDEX(Expenses!$1:$398,MATCH($C68,Expenses!$A:$A,0),MATCH(CS$4,Expenses!$4:$4,0))</f>
        <v>3072.900145</v>
      </c>
      <c r="CT68" s="166">
        <f t="array" ref="CT68">INDEX(Expenses!$1:$398,MATCH($C68,Expenses!$A:$A,0),MATCH(CT$4,Expenses!$4:$4,0))</f>
        <v>3088.264646</v>
      </c>
      <c r="CU68" s="166">
        <f t="array" ref="CU68">INDEX(Expenses!$1:$398,MATCH($C68,Expenses!$A:$A,0),MATCH(CU$4,Expenses!$4:$4,0))</f>
        <v>3103.705969</v>
      </c>
      <c r="CV68" s="162"/>
      <c r="CW68" s="162"/>
      <c r="CX68" s="162"/>
      <c r="CY68" s="162"/>
      <c r="CZ68" s="162"/>
      <c r="DA68" s="162"/>
      <c r="DB68" s="162"/>
      <c r="DC68" s="162"/>
    </row>
    <row r="69" ht="15.75" customHeight="1">
      <c r="A69" s="146" t="s">
        <v>174</v>
      </c>
      <c r="B69" s="146" t="s">
        <v>120</v>
      </c>
      <c r="C69" s="160" t="s">
        <v>246</v>
      </c>
      <c r="D69" s="161">
        <f t="shared" ref="D69:AL69" si="60">RANDBETWEEN(1000,2500)</f>
        <v>2346</v>
      </c>
      <c r="E69" s="161">
        <f t="shared" si="60"/>
        <v>2172</v>
      </c>
      <c r="F69" s="161">
        <f t="shared" si="60"/>
        <v>1633</v>
      </c>
      <c r="G69" s="161">
        <f t="shared" si="60"/>
        <v>1771</v>
      </c>
      <c r="H69" s="161">
        <f t="shared" si="60"/>
        <v>1892</v>
      </c>
      <c r="I69" s="161">
        <f t="shared" si="60"/>
        <v>1735</v>
      </c>
      <c r="J69" s="161">
        <f t="shared" si="60"/>
        <v>1106</v>
      </c>
      <c r="K69" s="161">
        <f t="shared" si="60"/>
        <v>1013</v>
      </c>
      <c r="L69" s="161">
        <f t="shared" si="60"/>
        <v>1128</v>
      </c>
      <c r="M69" s="161">
        <f t="shared" si="60"/>
        <v>2359</v>
      </c>
      <c r="N69" s="161">
        <f t="shared" si="60"/>
        <v>1904</v>
      </c>
      <c r="O69" s="161">
        <f t="shared" si="60"/>
        <v>1718</v>
      </c>
      <c r="P69" s="161">
        <f t="shared" si="60"/>
        <v>2095</v>
      </c>
      <c r="Q69" s="161">
        <f t="shared" si="60"/>
        <v>1607</v>
      </c>
      <c r="R69" s="161">
        <f t="shared" si="60"/>
        <v>1232</v>
      </c>
      <c r="S69" s="161">
        <f t="shared" si="60"/>
        <v>2080</v>
      </c>
      <c r="T69" s="161">
        <f t="shared" si="60"/>
        <v>1724</v>
      </c>
      <c r="U69" s="161">
        <f t="shared" si="60"/>
        <v>1198</v>
      </c>
      <c r="V69" s="161">
        <f t="shared" si="60"/>
        <v>2158</v>
      </c>
      <c r="W69" s="161">
        <f t="shared" si="60"/>
        <v>2212</v>
      </c>
      <c r="X69" s="161">
        <f t="shared" si="60"/>
        <v>1381</v>
      </c>
      <c r="Y69" s="161">
        <f t="shared" si="60"/>
        <v>1772</v>
      </c>
      <c r="Z69" s="161">
        <f t="shared" si="60"/>
        <v>1266</v>
      </c>
      <c r="AA69" s="161">
        <f t="shared" si="60"/>
        <v>1705</v>
      </c>
      <c r="AB69" s="161">
        <f t="shared" si="60"/>
        <v>2485</v>
      </c>
      <c r="AC69" s="161">
        <f t="shared" si="60"/>
        <v>1772</v>
      </c>
      <c r="AD69" s="161">
        <f t="shared" si="60"/>
        <v>1869</v>
      </c>
      <c r="AE69" s="161">
        <f t="shared" si="60"/>
        <v>1421</v>
      </c>
      <c r="AF69" s="161">
        <f t="shared" si="60"/>
        <v>1211</v>
      </c>
      <c r="AG69" s="161">
        <f t="shared" si="60"/>
        <v>2282</v>
      </c>
      <c r="AH69" s="161">
        <f t="shared" si="60"/>
        <v>1427</v>
      </c>
      <c r="AI69" s="161">
        <f t="shared" si="60"/>
        <v>1047</v>
      </c>
      <c r="AJ69" s="161">
        <f t="shared" si="60"/>
        <v>1651</v>
      </c>
      <c r="AK69" s="161">
        <f t="shared" si="60"/>
        <v>2020</v>
      </c>
      <c r="AL69" s="161">
        <f t="shared" si="60"/>
        <v>1241</v>
      </c>
      <c r="AM69" s="166">
        <f t="array" ref="AM69">INDEX(Expenses!$1:$398,MATCH($C69,Expenses!$A:$A,0),MATCH(AM$4,Expenses!$4:$4,0))</f>
        <v>3723</v>
      </c>
      <c r="AN69" s="166">
        <f t="array" ref="AN69">INDEX(Expenses!$1:$398,MATCH($C69,Expenses!$A:$A,0),MATCH(AN$4,Expenses!$4:$4,0))</f>
        <v>3760.23</v>
      </c>
      <c r="AO69" s="166">
        <f t="array" ref="AO69">INDEX(Expenses!$1:$398,MATCH($C69,Expenses!$A:$A,0),MATCH(AO$4,Expenses!$4:$4,0))</f>
        <v>107166.555</v>
      </c>
      <c r="AP69" s="166">
        <f t="array" ref="AP69">INDEX(Expenses!$1:$398,MATCH($C69,Expenses!$A:$A,0),MATCH(AP$4,Expenses!$4:$4,0))</f>
        <v>4286.6622</v>
      </c>
      <c r="AQ69" s="166">
        <f t="array" ref="AQ69">INDEX(Expenses!$1:$398,MATCH($C69,Expenses!$A:$A,0),MATCH(AQ$4,Expenses!$4:$4,0))</f>
        <v>4308.095511</v>
      </c>
      <c r="AR69" s="166">
        <f t="array" ref="AR69">INDEX(Expenses!$1:$398,MATCH($C69,Expenses!$A:$A,0),MATCH(AR$4,Expenses!$4:$4,0))</f>
        <v>4329.635989</v>
      </c>
      <c r="AS69" s="166">
        <f t="array" ref="AS69">INDEX(Expenses!$1:$398,MATCH($C69,Expenses!$A:$A,0),MATCH(AS$4,Expenses!$4:$4,0))</f>
        <v>4351.284168</v>
      </c>
      <c r="AT69" s="166">
        <f t="array" ref="AT69">INDEX(Expenses!$1:$398,MATCH($C69,Expenses!$A:$A,0),MATCH(AT$4,Expenses!$4:$4,0))</f>
        <v>113133.3884</v>
      </c>
      <c r="AU69" s="166">
        <f t="array" ref="AU69">INDEX(Expenses!$1:$398,MATCH($C69,Expenses!$A:$A,0),MATCH(AU$4,Expenses!$4:$4,0))</f>
        <v>4525.335535</v>
      </c>
      <c r="AV69" s="166">
        <f t="array" ref="AV69">INDEX(Expenses!$1:$398,MATCH($C69,Expenses!$A:$A,0),MATCH(AV$4,Expenses!$4:$4,0))</f>
        <v>4547.962213</v>
      </c>
      <c r="AW69" s="166">
        <f t="array" ref="AW69">INDEX(Expenses!$1:$398,MATCH($C69,Expenses!$A:$A,0),MATCH(AW$4,Expenses!$4:$4,0))</f>
        <v>4570.702024</v>
      </c>
      <c r="AX69" s="166">
        <f t="array" ref="AX69">INDEX(Expenses!$1:$398,MATCH($C69,Expenses!$A:$A,0),MATCH(AX$4,Expenses!$4:$4,0))</f>
        <v>4593.555534</v>
      </c>
      <c r="AY69" s="166">
        <f t="array" ref="AY69">INDEX(Expenses!$1:$398,MATCH($C69,Expenses!$A:$A,0),MATCH(AY$4,Expenses!$4:$4,0))</f>
        <v>4616.523312</v>
      </c>
      <c r="AZ69" s="166">
        <f t="array" ref="AZ69">INDEX(Expenses!$1:$398,MATCH($C69,Expenses!$A:$A,0),MATCH(AZ$4,Expenses!$4:$4,0))</f>
        <v>115413.0828</v>
      </c>
      <c r="BA69" s="166">
        <f t="array" ref="BA69">INDEX(Expenses!$1:$398,MATCH($C69,Expenses!$A:$A,0),MATCH(BA$4,Expenses!$4:$4,0))</f>
        <v>4616.523312</v>
      </c>
      <c r="BB69" s="166">
        <f t="array" ref="BB69">INDEX(Expenses!$1:$398,MATCH($C69,Expenses!$A:$A,0),MATCH(BB$4,Expenses!$4:$4,0))</f>
        <v>4639.605928</v>
      </c>
      <c r="BC69" s="166">
        <f t="array" ref="BC69">INDEX(Expenses!$1:$398,MATCH($C69,Expenses!$A:$A,0),MATCH(BC$4,Expenses!$4:$4,0))</f>
        <v>4662.803958</v>
      </c>
      <c r="BD69" s="166">
        <f t="array" ref="BD69">INDEX(Expenses!$1:$398,MATCH($C69,Expenses!$A:$A,0),MATCH(BD$4,Expenses!$4:$4,0))</f>
        <v>4686.117978</v>
      </c>
      <c r="BE69" s="166">
        <f t="array" ref="BE69">INDEX(Expenses!$1:$398,MATCH($C69,Expenses!$A:$A,0),MATCH(BE$4,Expenses!$4:$4,0))</f>
        <v>4709.548568</v>
      </c>
      <c r="BF69" s="166">
        <f t="array" ref="BF69">INDEX(Expenses!$1:$398,MATCH($C69,Expenses!$A:$A,0),MATCH(BF$4,Expenses!$4:$4,0))</f>
        <v>108319.6171</v>
      </c>
      <c r="BG69" s="166">
        <f t="array" ref="BG69">INDEX(Expenses!$1:$398,MATCH($C69,Expenses!$A:$A,0),MATCH(BG$4,Expenses!$4:$4,0))</f>
        <v>5415.980853</v>
      </c>
      <c r="BH69" s="166">
        <f t="array" ref="BH69">INDEX(Expenses!$1:$398,MATCH($C69,Expenses!$A:$A,0),MATCH(BH$4,Expenses!$4:$4,0))</f>
        <v>5443.060757</v>
      </c>
      <c r="BI69" s="166">
        <f t="array" ref="BI69">INDEX(Expenses!$1:$398,MATCH($C69,Expenses!$A:$A,0),MATCH(BI$4,Expenses!$4:$4,0))</f>
        <v>5470.276061</v>
      </c>
      <c r="BJ69" s="166">
        <f t="array" ref="BJ69">INDEX(Expenses!$1:$398,MATCH($C69,Expenses!$A:$A,0),MATCH(BJ$4,Expenses!$4:$4,0))</f>
        <v>5497.627441</v>
      </c>
      <c r="BK69" s="166">
        <f t="array" ref="BK69">INDEX(Expenses!$1:$398,MATCH($C69,Expenses!$A:$A,0),MATCH(BK$4,Expenses!$4:$4,0))</f>
        <v>5525.115578</v>
      </c>
      <c r="BL69" s="166">
        <f t="array" ref="BL69">INDEX(Expenses!$1:$398,MATCH($C69,Expenses!$A:$A,0),MATCH(BL$4,Expenses!$4:$4,0))</f>
        <v>127077.6583</v>
      </c>
      <c r="BM69" s="166">
        <f t="array" ref="BM69">INDEX(Expenses!$1:$398,MATCH($C69,Expenses!$A:$A,0),MATCH(BM$4,Expenses!$4:$4,0))</f>
        <v>6353.882915</v>
      </c>
      <c r="BN69" s="166">
        <f t="array" ref="BN69">INDEX(Expenses!$1:$398,MATCH($C69,Expenses!$A:$A,0),MATCH(BN$4,Expenses!$4:$4,0))</f>
        <v>6385.65233</v>
      </c>
      <c r="BO69" s="166">
        <f t="array" ref="BO69">INDEX(Expenses!$1:$398,MATCH($C69,Expenses!$A:$A,0),MATCH(BO$4,Expenses!$4:$4,0))</f>
        <v>6417.580591</v>
      </c>
      <c r="BP69" s="166">
        <f t="array" ref="BP69">INDEX(Expenses!$1:$398,MATCH($C69,Expenses!$A:$A,0),MATCH(BP$4,Expenses!$4:$4,0))</f>
        <v>6449.668494</v>
      </c>
      <c r="BQ69" s="166">
        <f t="array" ref="BQ69">INDEX(Expenses!$1:$398,MATCH($C69,Expenses!$A:$A,0),MATCH(BQ$4,Expenses!$4:$4,0))</f>
        <v>6481.916837</v>
      </c>
      <c r="BR69" s="166">
        <f t="array" ref="BR69">INDEX(Expenses!$1:$398,MATCH($C69,Expenses!$A:$A,0),MATCH(BR$4,Expenses!$4:$4,0))</f>
        <v>136120.2536</v>
      </c>
      <c r="BS69" s="166">
        <f t="array" ref="BS69">INDEX(Expenses!$1:$398,MATCH($C69,Expenses!$A:$A,0),MATCH(BS$4,Expenses!$4:$4,0))</f>
        <v>6806.012679</v>
      </c>
      <c r="BT69" s="166">
        <f t="array" ref="BT69">INDEX(Expenses!$1:$398,MATCH($C69,Expenses!$A:$A,0),MATCH(BT$4,Expenses!$4:$4,0))</f>
        <v>6840.042742</v>
      </c>
      <c r="BU69" s="166">
        <f t="array" ref="BU69">INDEX(Expenses!$1:$398,MATCH($C69,Expenses!$A:$A,0),MATCH(BU$4,Expenses!$4:$4,0))</f>
        <v>6874.242956</v>
      </c>
      <c r="BV69" s="166">
        <f t="array" ref="BV69">INDEX(Expenses!$1:$398,MATCH($C69,Expenses!$A:$A,0),MATCH(BV$4,Expenses!$4:$4,0))</f>
        <v>6908.61417</v>
      </c>
      <c r="BW69" s="166">
        <f t="array" ref="BW69">INDEX(Expenses!$1:$398,MATCH($C69,Expenses!$A:$A,0),MATCH(BW$4,Expenses!$4:$4,0))</f>
        <v>6943.157241</v>
      </c>
      <c r="BX69" s="166">
        <f t="array" ref="BX69">INDEX(Expenses!$1:$398,MATCH($C69,Expenses!$A:$A,0),MATCH(BX$4,Expenses!$4:$4,0))</f>
        <v>131919.9876</v>
      </c>
      <c r="BY69" s="166">
        <f t="array" ref="BY69">INDEX(Expenses!$1:$398,MATCH($C69,Expenses!$A:$A,0),MATCH(BY$4,Expenses!$4:$4,0))</f>
        <v>6595.999379</v>
      </c>
      <c r="BZ69" s="166">
        <f t="array" ref="BZ69">INDEX(Expenses!$1:$398,MATCH($C69,Expenses!$A:$A,0),MATCH(BZ$4,Expenses!$4:$4,0))</f>
        <v>6628.979376</v>
      </c>
      <c r="CA69" s="166">
        <f t="array" ref="CA69">INDEX(Expenses!$1:$398,MATCH($C69,Expenses!$A:$A,0),MATCH(CA$4,Expenses!$4:$4,0))</f>
        <v>6662.124273</v>
      </c>
      <c r="CB69" s="166">
        <f t="array" ref="CB69">INDEX(Expenses!$1:$398,MATCH($C69,Expenses!$A:$A,0),MATCH(CB$4,Expenses!$4:$4,0))</f>
        <v>6695.434894</v>
      </c>
      <c r="CC69" s="166">
        <f t="array" ref="CC69">INDEX(Expenses!$1:$398,MATCH($C69,Expenses!$A:$A,0),MATCH(CC$4,Expenses!$4:$4,0))</f>
        <v>6728.912069</v>
      </c>
      <c r="CD69" s="166">
        <f t="array" ref="CD69">INDEX(Expenses!$1:$398,MATCH($C69,Expenses!$A:$A,0),MATCH(CD$4,Expenses!$4:$4,0))</f>
        <v>127849.3293</v>
      </c>
      <c r="CE69" s="166">
        <f t="array" ref="CE69">INDEX(Expenses!$1:$398,MATCH($C69,Expenses!$A:$A,0),MATCH(CE$4,Expenses!$4:$4,0))</f>
        <v>6392.466465</v>
      </c>
      <c r="CF69" s="166">
        <f t="array" ref="CF69">INDEX(Expenses!$1:$398,MATCH($C69,Expenses!$A:$A,0),MATCH(CF$4,Expenses!$4:$4,0))</f>
        <v>6424.428798</v>
      </c>
      <c r="CG69" s="166">
        <f t="array" ref="CG69">INDEX(Expenses!$1:$398,MATCH($C69,Expenses!$A:$A,0),MATCH(CG$4,Expenses!$4:$4,0))</f>
        <v>6456.550942</v>
      </c>
      <c r="CH69" s="166">
        <f t="array" ref="CH69">INDEX(Expenses!$1:$398,MATCH($C69,Expenses!$A:$A,0),MATCH(CH$4,Expenses!$4:$4,0))</f>
        <v>6488.833696</v>
      </c>
      <c r="CI69" s="166">
        <f t="array" ref="CI69">INDEX(Expenses!$1:$398,MATCH($C69,Expenses!$A:$A,0),MATCH(CI$4,Expenses!$4:$4,0))</f>
        <v>6521.277865</v>
      </c>
      <c r="CJ69" s="166">
        <f t="array" ref="CJ69">INDEX(Expenses!$1:$398,MATCH($C69,Expenses!$A:$A,0),MATCH(CJ$4,Expenses!$4:$4,0))</f>
        <v>123904.2794</v>
      </c>
      <c r="CK69" s="166">
        <f t="array" ref="CK69">INDEX(Expenses!$1:$398,MATCH($C69,Expenses!$A:$A,0),MATCH(CK$4,Expenses!$4:$4,0))</f>
        <v>6195.213972</v>
      </c>
      <c r="CL69" s="166">
        <f t="array" ref="CL69">INDEX(Expenses!$1:$398,MATCH($C69,Expenses!$A:$A,0),MATCH(CL$4,Expenses!$4:$4,0))</f>
        <v>6226.190042</v>
      </c>
      <c r="CM69" s="166">
        <f t="array" ref="CM69">INDEX(Expenses!$1:$398,MATCH($C69,Expenses!$A:$A,0),MATCH(CM$4,Expenses!$4:$4,0))</f>
        <v>6257.320992</v>
      </c>
      <c r="CN69" s="166">
        <f t="array" ref="CN69">INDEX(Expenses!$1:$398,MATCH($C69,Expenses!$A:$A,0),MATCH(CN$4,Expenses!$4:$4,0))</f>
        <v>6288.607597</v>
      </c>
      <c r="CO69" s="166">
        <f t="array" ref="CO69">INDEX(Expenses!$1:$398,MATCH($C69,Expenses!$A:$A,0),MATCH(CO$4,Expenses!$4:$4,0))</f>
        <v>6320.050635</v>
      </c>
      <c r="CP69" s="166">
        <f t="array" ref="CP69">INDEX(Expenses!$1:$398,MATCH($C69,Expenses!$A:$A,0),MATCH(CP$4,Expenses!$4:$4,0))</f>
        <v>107440.8608</v>
      </c>
      <c r="CQ69" s="166">
        <f t="array" ref="CQ69">INDEX(Expenses!$1:$398,MATCH($C69,Expenses!$A:$A,0),MATCH(CQ$4,Expenses!$4:$4,0))</f>
        <v>5372.043039</v>
      </c>
      <c r="CR69" s="166">
        <f t="array" ref="CR69">INDEX(Expenses!$1:$398,MATCH($C69,Expenses!$A:$A,0),MATCH(CR$4,Expenses!$4:$4,0))</f>
        <v>5398.903255</v>
      </c>
      <c r="CS69" s="166">
        <f t="array" ref="CS69">INDEX(Expenses!$1:$398,MATCH($C69,Expenses!$A:$A,0),MATCH(CS$4,Expenses!$4:$4,0))</f>
        <v>5425.897771</v>
      </c>
      <c r="CT69" s="166">
        <f t="array" ref="CT69">INDEX(Expenses!$1:$398,MATCH($C69,Expenses!$A:$A,0),MATCH(CT$4,Expenses!$4:$4,0))</f>
        <v>5453.02726</v>
      </c>
      <c r="CU69" s="166">
        <f t="array" ref="CU69">INDEX(Expenses!$1:$398,MATCH($C69,Expenses!$A:$A,0),MATCH(CU$4,Expenses!$4:$4,0))</f>
        <v>5480.292396</v>
      </c>
      <c r="CV69" s="162"/>
      <c r="CW69" s="162"/>
      <c r="CX69" s="162"/>
      <c r="CY69" s="162"/>
      <c r="CZ69" s="162"/>
      <c r="DA69" s="162"/>
      <c r="DB69" s="162"/>
      <c r="DC69" s="162"/>
    </row>
    <row r="70" ht="15.75" customHeight="1">
      <c r="A70" s="146" t="s">
        <v>174</v>
      </c>
      <c r="B70" s="146" t="s">
        <v>120</v>
      </c>
      <c r="C70" s="160" t="s">
        <v>247</v>
      </c>
      <c r="D70" s="161">
        <f t="shared" ref="D70:AL70" si="61">RANDBETWEEN(1000,2500)</f>
        <v>2092</v>
      </c>
      <c r="E70" s="161">
        <f t="shared" si="61"/>
        <v>1307</v>
      </c>
      <c r="F70" s="161">
        <f t="shared" si="61"/>
        <v>2112</v>
      </c>
      <c r="G70" s="161">
        <f t="shared" si="61"/>
        <v>1444</v>
      </c>
      <c r="H70" s="161">
        <f t="shared" si="61"/>
        <v>2345</v>
      </c>
      <c r="I70" s="161">
        <f t="shared" si="61"/>
        <v>1546</v>
      </c>
      <c r="J70" s="161">
        <f t="shared" si="61"/>
        <v>1033</v>
      </c>
      <c r="K70" s="161">
        <f t="shared" si="61"/>
        <v>1044</v>
      </c>
      <c r="L70" s="161">
        <f t="shared" si="61"/>
        <v>2386</v>
      </c>
      <c r="M70" s="161">
        <f t="shared" si="61"/>
        <v>2330</v>
      </c>
      <c r="N70" s="161">
        <f t="shared" si="61"/>
        <v>1649</v>
      </c>
      <c r="O70" s="161">
        <f t="shared" si="61"/>
        <v>1628</v>
      </c>
      <c r="P70" s="161">
        <f t="shared" si="61"/>
        <v>1228</v>
      </c>
      <c r="Q70" s="161">
        <f t="shared" si="61"/>
        <v>2313</v>
      </c>
      <c r="R70" s="161">
        <f t="shared" si="61"/>
        <v>1170</v>
      </c>
      <c r="S70" s="161">
        <f t="shared" si="61"/>
        <v>1431</v>
      </c>
      <c r="T70" s="161">
        <f t="shared" si="61"/>
        <v>1407</v>
      </c>
      <c r="U70" s="161">
        <f t="shared" si="61"/>
        <v>1303</v>
      </c>
      <c r="V70" s="161">
        <f t="shared" si="61"/>
        <v>1052</v>
      </c>
      <c r="W70" s="161">
        <f t="shared" si="61"/>
        <v>1114</v>
      </c>
      <c r="X70" s="161">
        <f t="shared" si="61"/>
        <v>2217</v>
      </c>
      <c r="Y70" s="161">
        <f t="shared" si="61"/>
        <v>2087</v>
      </c>
      <c r="Z70" s="161">
        <f t="shared" si="61"/>
        <v>2307</v>
      </c>
      <c r="AA70" s="161">
        <f t="shared" si="61"/>
        <v>2019</v>
      </c>
      <c r="AB70" s="161">
        <f t="shared" si="61"/>
        <v>2035</v>
      </c>
      <c r="AC70" s="161">
        <f t="shared" si="61"/>
        <v>2194</v>
      </c>
      <c r="AD70" s="161">
        <f t="shared" si="61"/>
        <v>1452</v>
      </c>
      <c r="AE70" s="161">
        <f t="shared" si="61"/>
        <v>2472</v>
      </c>
      <c r="AF70" s="161">
        <f t="shared" si="61"/>
        <v>1194</v>
      </c>
      <c r="AG70" s="161">
        <f t="shared" si="61"/>
        <v>1693</v>
      </c>
      <c r="AH70" s="161">
        <f t="shared" si="61"/>
        <v>1276</v>
      </c>
      <c r="AI70" s="161">
        <f t="shared" si="61"/>
        <v>1917</v>
      </c>
      <c r="AJ70" s="161">
        <f t="shared" si="61"/>
        <v>1772</v>
      </c>
      <c r="AK70" s="161">
        <f t="shared" si="61"/>
        <v>2433</v>
      </c>
      <c r="AL70" s="161">
        <f t="shared" si="61"/>
        <v>1448</v>
      </c>
      <c r="AM70" s="166">
        <f t="array" ref="AM70">INDEX(Expenses!$1:$398,MATCH($C70,Expenses!$A:$A,0),MATCH(AM$4,Expenses!$4:$4,0))</f>
        <v>0</v>
      </c>
      <c r="AN70" s="166">
        <f t="array" ref="AN70">INDEX(Expenses!$1:$398,MATCH($C70,Expenses!$A:$A,0),MATCH(AN$4,Expenses!$4:$4,0))</f>
        <v>0</v>
      </c>
      <c r="AO70" s="166">
        <f t="array" ref="AO70">INDEX(Expenses!$1:$398,MATCH($C70,Expenses!$A:$A,0),MATCH(AO$4,Expenses!$4:$4,0))</f>
        <v>0</v>
      </c>
      <c r="AP70" s="166">
        <f t="array" ref="AP70">INDEX(Expenses!$1:$398,MATCH($C70,Expenses!$A:$A,0),MATCH(AP$4,Expenses!$4:$4,0))</f>
        <v>0</v>
      </c>
      <c r="AQ70" s="166">
        <f t="array" ref="AQ70">INDEX(Expenses!$1:$398,MATCH($C70,Expenses!$A:$A,0),MATCH(AQ$4,Expenses!$4:$4,0))</f>
        <v>0</v>
      </c>
      <c r="AR70" s="166">
        <f t="array" ref="AR70">INDEX(Expenses!$1:$398,MATCH($C70,Expenses!$A:$A,0),MATCH(AR$4,Expenses!$4:$4,0))</f>
        <v>0</v>
      </c>
      <c r="AS70" s="166">
        <f t="array" ref="AS70">INDEX(Expenses!$1:$398,MATCH($C70,Expenses!$A:$A,0),MATCH(AS$4,Expenses!$4:$4,0))</f>
        <v>0</v>
      </c>
      <c r="AT70" s="166">
        <f t="array" ref="AT70">INDEX(Expenses!$1:$398,MATCH($C70,Expenses!$A:$A,0),MATCH(AT$4,Expenses!$4:$4,0))</f>
        <v>0</v>
      </c>
      <c r="AU70" s="166">
        <f t="array" ref="AU70">INDEX(Expenses!$1:$398,MATCH($C70,Expenses!$A:$A,0),MATCH(AU$4,Expenses!$4:$4,0))</f>
        <v>0</v>
      </c>
      <c r="AV70" s="166">
        <f t="array" ref="AV70">INDEX(Expenses!$1:$398,MATCH($C70,Expenses!$A:$A,0),MATCH(AV$4,Expenses!$4:$4,0))</f>
        <v>0</v>
      </c>
      <c r="AW70" s="166">
        <f t="array" ref="AW70">INDEX(Expenses!$1:$398,MATCH($C70,Expenses!$A:$A,0),MATCH(AW$4,Expenses!$4:$4,0))</f>
        <v>0</v>
      </c>
      <c r="AX70" s="166">
        <f t="array" ref="AX70">INDEX(Expenses!$1:$398,MATCH($C70,Expenses!$A:$A,0),MATCH(AX$4,Expenses!$4:$4,0))</f>
        <v>0</v>
      </c>
      <c r="AY70" s="166">
        <f t="array" ref="AY70">INDEX(Expenses!$1:$398,MATCH($C70,Expenses!$A:$A,0),MATCH(AY$4,Expenses!$4:$4,0))</f>
        <v>0</v>
      </c>
      <c r="AZ70" s="166">
        <f t="array" ref="AZ70">INDEX(Expenses!$1:$398,MATCH($C70,Expenses!$A:$A,0),MATCH(AZ$4,Expenses!$4:$4,0))</f>
        <v>0</v>
      </c>
      <c r="BA70" s="166">
        <f t="array" ref="BA70">INDEX(Expenses!$1:$398,MATCH($C70,Expenses!$A:$A,0),MATCH(BA$4,Expenses!$4:$4,0))</f>
        <v>0</v>
      </c>
      <c r="BB70" s="166">
        <f t="array" ref="BB70">INDEX(Expenses!$1:$398,MATCH($C70,Expenses!$A:$A,0),MATCH(BB$4,Expenses!$4:$4,0))</f>
        <v>0</v>
      </c>
      <c r="BC70" s="166">
        <f t="array" ref="BC70">INDEX(Expenses!$1:$398,MATCH($C70,Expenses!$A:$A,0),MATCH(BC$4,Expenses!$4:$4,0))</f>
        <v>0</v>
      </c>
      <c r="BD70" s="166">
        <f t="array" ref="BD70">INDEX(Expenses!$1:$398,MATCH($C70,Expenses!$A:$A,0),MATCH(BD$4,Expenses!$4:$4,0))</f>
        <v>0</v>
      </c>
      <c r="BE70" s="166">
        <f t="array" ref="BE70">INDEX(Expenses!$1:$398,MATCH($C70,Expenses!$A:$A,0),MATCH(BE$4,Expenses!$4:$4,0))</f>
        <v>0</v>
      </c>
      <c r="BF70" s="166">
        <f t="array" ref="BF70">INDEX(Expenses!$1:$398,MATCH($C70,Expenses!$A:$A,0),MATCH(BF$4,Expenses!$4:$4,0))</f>
        <v>0</v>
      </c>
      <c r="BG70" s="166">
        <f t="array" ref="BG70">INDEX(Expenses!$1:$398,MATCH($C70,Expenses!$A:$A,0),MATCH(BG$4,Expenses!$4:$4,0))</f>
        <v>0</v>
      </c>
      <c r="BH70" s="166">
        <f t="array" ref="BH70">INDEX(Expenses!$1:$398,MATCH($C70,Expenses!$A:$A,0),MATCH(BH$4,Expenses!$4:$4,0))</f>
        <v>0</v>
      </c>
      <c r="BI70" s="166">
        <f t="array" ref="BI70">INDEX(Expenses!$1:$398,MATCH($C70,Expenses!$A:$A,0),MATCH(BI$4,Expenses!$4:$4,0))</f>
        <v>0</v>
      </c>
      <c r="BJ70" s="166">
        <f t="array" ref="BJ70">INDEX(Expenses!$1:$398,MATCH($C70,Expenses!$A:$A,0),MATCH(BJ$4,Expenses!$4:$4,0))</f>
        <v>0</v>
      </c>
      <c r="BK70" s="166">
        <f t="array" ref="BK70">INDEX(Expenses!$1:$398,MATCH($C70,Expenses!$A:$A,0),MATCH(BK$4,Expenses!$4:$4,0))</f>
        <v>0</v>
      </c>
      <c r="BL70" s="166">
        <f t="array" ref="BL70">INDEX(Expenses!$1:$398,MATCH($C70,Expenses!$A:$A,0),MATCH(BL$4,Expenses!$4:$4,0))</f>
        <v>0</v>
      </c>
      <c r="BM70" s="166">
        <f t="array" ref="BM70">INDEX(Expenses!$1:$398,MATCH($C70,Expenses!$A:$A,0),MATCH(BM$4,Expenses!$4:$4,0))</f>
        <v>0</v>
      </c>
      <c r="BN70" s="166">
        <f t="array" ref="BN70">INDEX(Expenses!$1:$398,MATCH($C70,Expenses!$A:$A,0),MATCH(BN$4,Expenses!$4:$4,0))</f>
        <v>0</v>
      </c>
      <c r="BO70" s="166">
        <f t="array" ref="BO70">INDEX(Expenses!$1:$398,MATCH($C70,Expenses!$A:$A,0),MATCH(BO$4,Expenses!$4:$4,0))</f>
        <v>0</v>
      </c>
      <c r="BP70" s="166">
        <f t="array" ref="BP70">INDEX(Expenses!$1:$398,MATCH($C70,Expenses!$A:$A,0),MATCH(BP$4,Expenses!$4:$4,0))</f>
        <v>0</v>
      </c>
      <c r="BQ70" s="166">
        <f t="array" ref="BQ70">INDEX(Expenses!$1:$398,MATCH($C70,Expenses!$A:$A,0),MATCH(BQ$4,Expenses!$4:$4,0))</f>
        <v>0</v>
      </c>
      <c r="BR70" s="166">
        <f t="array" ref="BR70">INDEX(Expenses!$1:$398,MATCH($C70,Expenses!$A:$A,0),MATCH(BR$4,Expenses!$4:$4,0))</f>
        <v>0</v>
      </c>
      <c r="BS70" s="166">
        <f t="array" ref="BS70">INDEX(Expenses!$1:$398,MATCH($C70,Expenses!$A:$A,0),MATCH(BS$4,Expenses!$4:$4,0))</f>
        <v>0</v>
      </c>
      <c r="BT70" s="166">
        <f t="array" ref="BT70">INDEX(Expenses!$1:$398,MATCH($C70,Expenses!$A:$A,0),MATCH(BT$4,Expenses!$4:$4,0))</f>
        <v>0</v>
      </c>
      <c r="BU70" s="166">
        <f t="array" ref="BU70">INDEX(Expenses!$1:$398,MATCH($C70,Expenses!$A:$A,0),MATCH(BU$4,Expenses!$4:$4,0))</f>
        <v>0</v>
      </c>
      <c r="BV70" s="166">
        <f t="array" ref="BV70">INDEX(Expenses!$1:$398,MATCH($C70,Expenses!$A:$A,0),MATCH(BV$4,Expenses!$4:$4,0))</f>
        <v>0</v>
      </c>
      <c r="BW70" s="166">
        <f t="array" ref="BW70">INDEX(Expenses!$1:$398,MATCH($C70,Expenses!$A:$A,0),MATCH(BW$4,Expenses!$4:$4,0))</f>
        <v>0</v>
      </c>
      <c r="BX70" s="166">
        <f t="array" ref="BX70">INDEX(Expenses!$1:$398,MATCH($C70,Expenses!$A:$A,0),MATCH(BX$4,Expenses!$4:$4,0))</f>
        <v>0</v>
      </c>
      <c r="BY70" s="166">
        <f t="array" ref="BY70">INDEX(Expenses!$1:$398,MATCH($C70,Expenses!$A:$A,0),MATCH(BY$4,Expenses!$4:$4,0))</f>
        <v>0</v>
      </c>
      <c r="BZ70" s="166">
        <f t="array" ref="BZ70">INDEX(Expenses!$1:$398,MATCH($C70,Expenses!$A:$A,0),MATCH(BZ$4,Expenses!$4:$4,0))</f>
        <v>0</v>
      </c>
      <c r="CA70" s="166">
        <f t="array" ref="CA70">INDEX(Expenses!$1:$398,MATCH($C70,Expenses!$A:$A,0),MATCH(CA$4,Expenses!$4:$4,0))</f>
        <v>0</v>
      </c>
      <c r="CB70" s="166">
        <f t="array" ref="CB70">INDEX(Expenses!$1:$398,MATCH($C70,Expenses!$A:$A,0),MATCH(CB$4,Expenses!$4:$4,0))</f>
        <v>0</v>
      </c>
      <c r="CC70" s="166">
        <f t="array" ref="CC70">INDEX(Expenses!$1:$398,MATCH($C70,Expenses!$A:$A,0),MATCH(CC$4,Expenses!$4:$4,0))</f>
        <v>0</v>
      </c>
      <c r="CD70" s="166">
        <f t="array" ref="CD70">INDEX(Expenses!$1:$398,MATCH($C70,Expenses!$A:$A,0),MATCH(CD$4,Expenses!$4:$4,0))</f>
        <v>0</v>
      </c>
      <c r="CE70" s="166">
        <f t="array" ref="CE70">INDEX(Expenses!$1:$398,MATCH($C70,Expenses!$A:$A,0),MATCH(CE$4,Expenses!$4:$4,0))</f>
        <v>0</v>
      </c>
      <c r="CF70" s="166">
        <f t="array" ref="CF70">INDEX(Expenses!$1:$398,MATCH($C70,Expenses!$A:$A,0),MATCH(CF$4,Expenses!$4:$4,0))</f>
        <v>0</v>
      </c>
      <c r="CG70" s="166">
        <f t="array" ref="CG70">INDEX(Expenses!$1:$398,MATCH($C70,Expenses!$A:$A,0),MATCH(CG$4,Expenses!$4:$4,0))</f>
        <v>0</v>
      </c>
      <c r="CH70" s="166">
        <f t="array" ref="CH70">INDEX(Expenses!$1:$398,MATCH($C70,Expenses!$A:$A,0),MATCH(CH$4,Expenses!$4:$4,0))</f>
        <v>0</v>
      </c>
      <c r="CI70" s="166">
        <f t="array" ref="CI70">INDEX(Expenses!$1:$398,MATCH($C70,Expenses!$A:$A,0),MATCH(CI$4,Expenses!$4:$4,0))</f>
        <v>0</v>
      </c>
      <c r="CJ70" s="166">
        <f t="array" ref="CJ70">INDEX(Expenses!$1:$398,MATCH($C70,Expenses!$A:$A,0),MATCH(CJ$4,Expenses!$4:$4,0))</f>
        <v>0</v>
      </c>
      <c r="CK70" s="166">
        <f t="array" ref="CK70">INDEX(Expenses!$1:$398,MATCH($C70,Expenses!$A:$A,0),MATCH(CK$4,Expenses!$4:$4,0))</f>
        <v>0</v>
      </c>
      <c r="CL70" s="166">
        <f t="array" ref="CL70">INDEX(Expenses!$1:$398,MATCH($C70,Expenses!$A:$A,0),MATCH(CL$4,Expenses!$4:$4,0))</f>
        <v>0</v>
      </c>
      <c r="CM70" s="166">
        <f t="array" ref="CM70">INDEX(Expenses!$1:$398,MATCH($C70,Expenses!$A:$A,0),MATCH(CM$4,Expenses!$4:$4,0))</f>
        <v>0</v>
      </c>
      <c r="CN70" s="166">
        <f t="array" ref="CN70">INDEX(Expenses!$1:$398,MATCH($C70,Expenses!$A:$A,0),MATCH(CN$4,Expenses!$4:$4,0))</f>
        <v>0</v>
      </c>
      <c r="CO70" s="166">
        <f t="array" ref="CO70">INDEX(Expenses!$1:$398,MATCH($C70,Expenses!$A:$A,0),MATCH(CO$4,Expenses!$4:$4,0))</f>
        <v>0</v>
      </c>
      <c r="CP70" s="166">
        <f t="array" ref="CP70">INDEX(Expenses!$1:$398,MATCH($C70,Expenses!$A:$A,0),MATCH(CP$4,Expenses!$4:$4,0))</f>
        <v>0</v>
      </c>
      <c r="CQ70" s="166">
        <f t="array" ref="CQ70">INDEX(Expenses!$1:$398,MATCH($C70,Expenses!$A:$A,0),MATCH(CQ$4,Expenses!$4:$4,0))</f>
        <v>0</v>
      </c>
      <c r="CR70" s="166">
        <f t="array" ref="CR70">INDEX(Expenses!$1:$398,MATCH($C70,Expenses!$A:$A,0),MATCH(CR$4,Expenses!$4:$4,0))</f>
        <v>0</v>
      </c>
      <c r="CS70" s="166">
        <f t="array" ref="CS70">INDEX(Expenses!$1:$398,MATCH($C70,Expenses!$A:$A,0),MATCH(CS$4,Expenses!$4:$4,0))</f>
        <v>0</v>
      </c>
      <c r="CT70" s="166">
        <f t="array" ref="CT70">INDEX(Expenses!$1:$398,MATCH($C70,Expenses!$A:$A,0),MATCH(CT$4,Expenses!$4:$4,0))</f>
        <v>0</v>
      </c>
      <c r="CU70" s="166">
        <f t="array" ref="CU70">INDEX(Expenses!$1:$398,MATCH($C70,Expenses!$A:$A,0),MATCH(CU$4,Expenses!$4:$4,0))</f>
        <v>0</v>
      </c>
      <c r="CV70" s="162"/>
      <c r="CW70" s="162"/>
      <c r="CX70" s="162"/>
      <c r="CY70" s="162"/>
      <c r="CZ70" s="162"/>
      <c r="DA70" s="162"/>
      <c r="DB70" s="162"/>
      <c r="DC70" s="162"/>
    </row>
    <row r="71" ht="15.75" customHeight="1">
      <c r="A71" s="146" t="s">
        <v>174</v>
      </c>
      <c r="B71" s="146" t="s">
        <v>120</v>
      </c>
      <c r="C71" s="160" t="s">
        <v>248</v>
      </c>
      <c r="D71" s="161">
        <f t="shared" ref="D71:AL71" si="62">RANDBETWEEN(1000,2500)</f>
        <v>1910</v>
      </c>
      <c r="E71" s="161">
        <f t="shared" si="62"/>
        <v>1211</v>
      </c>
      <c r="F71" s="161">
        <f t="shared" si="62"/>
        <v>1247</v>
      </c>
      <c r="G71" s="161">
        <f t="shared" si="62"/>
        <v>1240</v>
      </c>
      <c r="H71" s="161">
        <f t="shared" si="62"/>
        <v>1399</v>
      </c>
      <c r="I71" s="161">
        <f t="shared" si="62"/>
        <v>2158</v>
      </c>
      <c r="J71" s="161">
        <f t="shared" si="62"/>
        <v>1734</v>
      </c>
      <c r="K71" s="161">
        <f t="shared" si="62"/>
        <v>2295</v>
      </c>
      <c r="L71" s="161">
        <f t="shared" si="62"/>
        <v>1182</v>
      </c>
      <c r="M71" s="161">
        <f t="shared" si="62"/>
        <v>2305</v>
      </c>
      <c r="N71" s="161">
        <f t="shared" si="62"/>
        <v>2482</v>
      </c>
      <c r="O71" s="161">
        <f t="shared" si="62"/>
        <v>2081</v>
      </c>
      <c r="P71" s="161">
        <f t="shared" si="62"/>
        <v>2438</v>
      </c>
      <c r="Q71" s="161">
        <f t="shared" si="62"/>
        <v>1520</v>
      </c>
      <c r="R71" s="161">
        <f t="shared" si="62"/>
        <v>1555</v>
      </c>
      <c r="S71" s="161">
        <f t="shared" si="62"/>
        <v>1971</v>
      </c>
      <c r="T71" s="161">
        <f t="shared" si="62"/>
        <v>1677</v>
      </c>
      <c r="U71" s="161">
        <f t="shared" si="62"/>
        <v>2388</v>
      </c>
      <c r="V71" s="161">
        <f t="shared" si="62"/>
        <v>1819</v>
      </c>
      <c r="W71" s="161">
        <f t="shared" si="62"/>
        <v>1423</v>
      </c>
      <c r="X71" s="161">
        <f t="shared" si="62"/>
        <v>1550</v>
      </c>
      <c r="Y71" s="161">
        <f t="shared" si="62"/>
        <v>1249</v>
      </c>
      <c r="Z71" s="161">
        <f t="shared" si="62"/>
        <v>2118</v>
      </c>
      <c r="AA71" s="161">
        <f t="shared" si="62"/>
        <v>1372</v>
      </c>
      <c r="AB71" s="161">
        <f t="shared" si="62"/>
        <v>1559</v>
      </c>
      <c r="AC71" s="161">
        <f t="shared" si="62"/>
        <v>1199</v>
      </c>
      <c r="AD71" s="161">
        <f t="shared" si="62"/>
        <v>2225</v>
      </c>
      <c r="AE71" s="161">
        <f t="shared" si="62"/>
        <v>2370</v>
      </c>
      <c r="AF71" s="161">
        <f t="shared" si="62"/>
        <v>2004</v>
      </c>
      <c r="AG71" s="161">
        <f t="shared" si="62"/>
        <v>1711</v>
      </c>
      <c r="AH71" s="161">
        <f t="shared" si="62"/>
        <v>1095</v>
      </c>
      <c r="AI71" s="161">
        <f t="shared" si="62"/>
        <v>1830</v>
      </c>
      <c r="AJ71" s="161">
        <f t="shared" si="62"/>
        <v>2380</v>
      </c>
      <c r="AK71" s="161">
        <f t="shared" si="62"/>
        <v>2444</v>
      </c>
      <c r="AL71" s="161">
        <f t="shared" si="62"/>
        <v>1307</v>
      </c>
      <c r="AM71" s="166">
        <f t="array" ref="AM71">INDEX(Expenses!$1:$398,MATCH($C71,Expenses!$A:$A,0),MATCH(AM$4,Expenses!$4:$4,0))</f>
        <v>392.1</v>
      </c>
      <c r="AN71" s="166">
        <f t="array" ref="AN71">INDEX(Expenses!$1:$398,MATCH($C71,Expenses!$A:$A,0),MATCH(AN$4,Expenses!$4:$4,0))</f>
        <v>394.0605</v>
      </c>
      <c r="AO71" s="166">
        <f t="array" ref="AO71">INDEX(Expenses!$1:$398,MATCH($C71,Expenses!$A:$A,0),MATCH(AO$4,Expenses!$4:$4,0))</f>
        <v>396.0308025</v>
      </c>
      <c r="AP71" s="166">
        <f t="array" ref="AP71">INDEX(Expenses!$1:$398,MATCH($C71,Expenses!$A:$A,0),MATCH(AP$4,Expenses!$4:$4,0))</f>
        <v>398.0109565</v>
      </c>
      <c r="AQ71" s="166">
        <f t="array" ref="AQ71">INDEX(Expenses!$1:$398,MATCH($C71,Expenses!$A:$A,0),MATCH(AQ$4,Expenses!$4:$4,0))</f>
        <v>400.0010113</v>
      </c>
      <c r="AR71" s="166">
        <f t="array" ref="AR71">INDEX(Expenses!$1:$398,MATCH($C71,Expenses!$A:$A,0),MATCH(AR$4,Expenses!$4:$4,0))</f>
        <v>402.0010164</v>
      </c>
      <c r="AS71" s="166">
        <f t="array" ref="AS71">INDEX(Expenses!$1:$398,MATCH($C71,Expenses!$A:$A,0),MATCH(AS$4,Expenses!$4:$4,0))</f>
        <v>404.0110214</v>
      </c>
      <c r="AT71" s="166">
        <f t="array" ref="AT71">INDEX(Expenses!$1:$398,MATCH($C71,Expenses!$A:$A,0),MATCH(AT$4,Expenses!$4:$4,0))</f>
        <v>406.0310765</v>
      </c>
      <c r="AU71" s="166">
        <f t="array" ref="AU71">INDEX(Expenses!$1:$398,MATCH($C71,Expenses!$A:$A,0),MATCH(AU$4,Expenses!$4:$4,0))</f>
        <v>408.0612319</v>
      </c>
      <c r="AV71" s="166">
        <f t="array" ref="AV71">INDEX(Expenses!$1:$398,MATCH($C71,Expenses!$A:$A,0),MATCH(AV$4,Expenses!$4:$4,0))</f>
        <v>410.1015381</v>
      </c>
      <c r="AW71" s="166">
        <f t="array" ref="AW71">INDEX(Expenses!$1:$398,MATCH($C71,Expenses!$A:$A,0),MATCH(AW$4,Expenses!$4:$4,0))</f>
        <v>412.1520458</v>
      </c>
      <c r="AX71" s="166">
        <f t="array" ref="AX71">INDEX(Expenses!$1:$398,MATCH($C71,Expenses!$A:$A,0),MATCH(AX$4,Expenses!$4:$4,0))</f>
        <v>414.212806</v>
      </c>
      <c r="AY71" s="166">
        <f t="array" ref="AY71">INDEX(Expenses!$1:$398,MATCH($C71,Expenses!$A:$A,0),MATCH(AY$4,Expenses!$4:$4,0))</f>
        <v>416.28387</v>
      </c>
      <c r="AZ71" s="166">
        <f t="array" ref="AZ71">INDEX(Expenses!$1:$398,MATCH($C71,Expenses!$A:$A,0),MATCH(AZ$4,Expenses!$4:$4,0))</f>
        <v>418.3652894</v>
      </c>
      <c r="BA71" s="166">
        <f t="array" ref="BA71">INDEX(Expenses!$1:$398,MATCH($C71,Expenses!$A:$A,0),MATCH(BA$4,Expenses!$4:$4,0))</f>
        <v>420.4571158</v>
      </c>
      <c r="BB71" s="166">
        <f t="array" ref="BB71">INDEX(Expenses!$1:$398,MATCH($C71,Expenses!$A:$A,0),MATCH(BB$4,Expenses!$4:$4,0))</f>
        <v>422.5594014</v>
      </c>
      <c r="BC71" s="166">
        <f t="array" ref="BC71">INDEX(Expenses!$1:$398,MATCH($C71,Expenses!$A:$A,0),MATCH(BC$4,Expenses!$4:$4,0))</f>
        <v>424.6721984</v>
      </c>
      <c r="BD71" s="166">
        <f t="array" ref="BD71">INDEX(Expenses!$1:$398,MATCH($C71,Expenses!$A:$A,0),MATCH(BD$4,Expenses!$4:$4,0))</f>
        <v>426.7955594</v>
      </c>
      <c r="BE71" s="166">
        <f t="array" ref="BE71">INDEX(Expenses!$1:$398,MATCH($C71,Expenses!$A:$A,0),MATCH(BE$4,Expenses!$4:$4,0))</f>
        <v>428.9295372</v>
      </c>
      <c r="BF71" s="166">
        <f t="array" ref="BF71">INDEX(Expenses!$1:$398,MATCH($C71,Expenses!$A:$A,0),MATCH(BF$4,Expenses!$4:$4,0))</f>
        <v>431.0741849</v>
      </c>
      <c r="BG71" s="166">
        <f t="array" ref="BG71">INDEX(Expenses!$1:$398,MATCH($C71,Expenses!$A:$A,0),MATCH(BG$4,Expenses!$4:$4,0))</f>
        <v>433.2295558</v>
      </c>
      <c r="BH71" s="166">
        <f t="array" ref="BH71">INDEX(Expenses!$1:$398,MATCH($C71,Expenses!$A:$A,0),MATCH(BH$4,Expenses!$4:$4,0))</f>
        <v>435.3957036</v>
      </c>
      <c r="BI71" s="166">
        <f t="array" ref="BI71">INDEX(Expenses!$1:$398,MATCH($C71,Expenses!$A:$A,0),MATCH(BI$4,Expenses!$4:$4,0))</f>
        <v>437.5726821</v>
      </c>
      <c r="BJ71" s="166">
        <f t="array" ref="BJ71">INDEX(Expenses!$1:$398,MATCH($C71,Expenses!$A:$A,0),MATCH(BJ$4,Expenses!$4:$4,0))</f>
        <v>439.7605455</v>
      </c>
      <c r="BK71" s="166">
        <f t="array" ref="BK71">INDEX(Expenses!$1:$398,MATCH($C71,Expenses!$A:$A,0),MATCH(BK$4,Expenses!$4:$4,0))</f>
        <v>441.9593483</v>
      </c>
      <c r="BL71" s="166">
        <f t="array" ref="BL71">INDEX(Expenses!$1:$398,MATCH($C71,Expenses!$A:$A,0),MATCH(BL$4,Expenses!$4:$4,0))</f>
        <v>444.169145</v>
      </c>
      <c r="BM71" s="166">
        <f t="array" ref="BM71">INDEX(Expenses!$1:$398,MATCH($C71,Expenses!$A:$A,0),MATCH(BM$4,Expenses!$4:$4,0))</f>
        <v>446.3899907</v>
      </c>
      <c r="BN71" s="166">
        <f t="array" ref="BN71">INDEX(Expenses!$1:$398,MATCH($C71,Expenses!$A:$A,0),MATCH(BN$4,Expenses!$4:$4,0))</f>
        <v>448.6219407</v>
      </c>
      <c r="BO71" s="166">
        <f t="array" ref="BO71">INDEX(Expenses!$1:$398,MATCH($C71,Expenses!$A:$A,0),MATCH(BO$4,Expenses!$4:$4,0))</f>
        <v>450.8650504</v>
      </c>
      <c r="BP71" s="166">
        <f t="array" ref="BP71">INDEX(Expenses!$1:$398,MATCH($C71,Expenses!$A:$A,0),MATCH(BP$4,Expenses!$4:$4,0))</f>
        <v>453.1193756</v>
      </c>
      <c r="BQ71" s="166">
        <f t="array" ref="BQ71">INDEX(Expenses!$1:$398,MATCH($C71,Expenses!$A:$A,0),MATCH(BQ$4,Expenses!$4:$4,0))</f>
        <v>455.3849725</v>
      </c>
      <c r="BR71" s="166">
        <f t="array" ref="BR71">INDEX(Expenses!$1:$398,MATCH($C71,Expenses!$A:$A,0),MATCH(BR$4,Expenses!$4:$4,0))</f>
        <v>457.6618974</v>
      </c>
      <c r="BS71" s="166">
        <f t="array" ref="BS71">INDEX(Expenses!$1:$398,MATCH($C71,Expenses!$A:$A,0),MATCH(BS$4,Expenses!$4:$4,0))</f>
        <v>459.9502069</v>
      </c>
      <c r="BT71" s="166">
        <f t="array" ref="BT71">INDEX(Expenses!$1:$398,MATCH($C71,Expenses!$A:$A,0),MATCH(BT$4,Expenses!$4:$4,0))</f>
        <v>462.2499579</v>
      </c>
      <c r="BU71" s="166">
        <f t="array" ref="BU71">INDEX(Expenses!$1:$398,MATCH($C71,Expenses!$A:$A,0),MATCH(BU$4,Expenses!$4:$4,0))</f>
        <v>464.5612077</v>
      </c>
      <c r="BV71" s="166">
        <f t="array" ref="BV71">INDEX(Expenses!$1:$398,MATCH($C71,Expenses!$A:$A,0),MATCH(BV$4,Expenses!$4:$4,0))</f>
        <v>466.8840137</v>
      </c>
      <c r="BW71" s="166">
        <f t="array" ref="BW71">INDEX(Expenses!$1:$398,MATCH($C71,Expenses!$A:$A,0),MATCH(BW$4,Expenses!$4:$4,0))</f>
        <v>469.2184338</v>
      </c>
      <c r="BX71" s="166">
        <f t="array" ref="BX71">INDEX(Expenses!$1:$398,MATCH($C71,Expenses!$A:$A,0),MATCH(BX$4,Expenses!$4:$4,0))</f>
        <v>471.564526</v>
      </c>
      <c r="BY71" s="166">
        <f t="array" ref="BY71">INDEX(Expenses!$1:$398,MATCH($C71,Expenses!$A:$A,0),MATCH(BY$4,Expenses!$4:$4,0))</f>
        <v>473.9223486</v>
      </c>
      <c r="BZ71" s="166">
        <f t="array" ref="BZ71">INDEX(Expenses!$1:$398,MATCH($C71,Expenses!$A:$A,0),MATCH(BZ$4,Expenses!$4:$4,0))</f>
        <v>476.2919603</v>
      </c>
      <c r="CA71" s="166">
        <f t="array" ref="CA71">INDEX(Expenses!$1:$398,MATCH($C71,Expenses!$A:$A,0),MATCH(CA$4,Expenses!$4:$4,0))</f>
        <v>478.6734201</v>
      </c>
      <c r="CB71" s="166">
        <f t="array" ref="CB71">INDEX(Expenses!$1:$398,MATCH($C71,Expenses!$A:$A,0),MATCH(CB$4,Expenses!$4:$4,0))</f>
        <v>481.0667872</v>
      </c>
      <c r="CC71" s="166">
        <f t="array" ref="CC71">INDEX(Expenses!$1:$398,MATCH($C71,Expenses!$A:$A,0),MATCH(CC$4,Expenses!$4:$4,0))</f>
        <v>483.4721212</v>
      </c>
      <c r="CD71" s="166">
        <f t="array" ref="CD71">INDEX(Expenses!$1:$398,MATCH($C71,Expenses!$A:$A,0),MATCH(CD$4,Expenses!$4:$4,0))</f>
        <v>485.8894818</v>
      </c>
      <c r="CE71" s="166">
        <f t="array" ref="CE71">INDEX(Expenses!$1:$398,MATCH($C71,Expenses!$A:$A,0),MATCH(CE$4,Expenses!$4:$4,0))</f>
        <v>488.3189292</v>
      </c>
      <c r="CF71" s="166">
        <f t="array" ref="CF71">INDEX(Expenses!$1:$398,MATCH($C71,Expenses!$A:$A,0),MATCH(CF$4,Expenses!$4:$4,0))</f>
        <v>490.7605238</v>
      </c>
      <c r="CG71" s="166">
        <f t="array" ref="CG71">INDEX(Expenses!$1:$398,MATCH($C71,Expenses!$A:$A,0),MATCH(CG$4,Expenses!$4:$4,0))</f>
        <v>493.2143264</v>
      </c>
      <c r="CH71" s="166">
        <f t="array" ref="CH71">INDEX(Expenses!$1:$398,MATCH($C71,Expenses!$A:$A,0),MATCH(CH$4,Expenses!$4:$4,0))</f>
        <v>495.6803981</v>
      </c>
      <c r="CI71" s="166">
        <f t="array" ref="CI71">INDEX(Expenses!$1:$398,MATCH($C71,Expenses!$A:$A,0),MATCH(CI$4,Expenses!$4:$4,0))</f>
        <v>498.1588001</v>
      </c>
      <c r="CJ71" s="166">
        <f t="array" ref="CJ71">INDEX(Expenses!$1:$398,MATCH($C71,Expenses!$A:$A,0),MATCH(CJ$4,Expenses!$4:$4,0))</f>
        <v>500.6495941</v>
      </c>
      <c r="CK71" s="166">
        <f t="array" ref="CK71">INDEX(Expenses!$1:$398,MATCH($C71,Expenses!$A:$A,0),MATCH(CK$4,Expenses!$4:$4,0))</f>
        <v>503.152842</v>
      </c>
      <c r="CL71" s="166">
        <f t="array" ref="CL71">INDEX(Expenses!$1:$398,MATCH($C71,Expenses!$A:$A,0),MATCH(CL$4,Expenses!$4:$4,0))</f>
        <v>505.6686062</v>
      </c>
      <c r="CM71" s="166">
        <f t="array" ref="CM71">INDEX(Expenses!$1:$398,MATCH($C71,Expenses!$A:$A,0),MATCH(CM$4,Expenses!$4:$4,0))</f>
        <v>508.1969493</v>
      </c>
      <c r="CN71" s="166">
        <f t="array" ref="CN71">INDEX(Expenses!$1:$398,MATCH($C71,Expenses!$A:$A,0),MATCH(CN$4,Expenses!$4:$4,0))</f>
        <v>510.737934</v>
      </c>
      <c r="CO71" s="166">
        <f t="array" ref="CO71">INDEX(Expenses!$1:$398,MATCH($C71,Expenses!$A:$A,0),MATCH(CO$4,Expenses!$4:$4,0))</f>
        <v>513.2916237</v>
      </c>
      <c r="CP71" s="166">
        <f t="array" ref="CP71">INDEX(Expenses!$1:$398,MATCH($C71,Expenses!$A:$A,0),MATCH(CP$4,Expenses!$4:$4,0))</f>
        <v>515.8580818</v>
      </c>
      <c r="CQ71" s="166">
        <f t="array" ref="CQ71">INDEX(Expenses!$1:$398,MATCH($C71,Expenses!$A:$A,0),MATCH(CQ$4,Expenses!$4:$4,0))</f>
        <v>518.4373722</v>
      </c>
      <c r="CR71" s="166">
        <f t="array" ref="CR71">INDEX(Expenses!$1:$398,MATCH($C71,Expenses!$A:$A,0),MATCH(CR$4,Expenses!$4:$4,0))</f>
        <v>521.0295591</v>
      </c>
      <c r="CS71" s="166">
        <f t="array" ref="CS71">INDEX(Expenses!$1:$398,MATCH($C71,Expenses!$A:$A,0),MATCH(CS$4,Expenses!$4:$4,0))</f>
        <v>523.6347069</v>
      </c>
      <c r="CT71" s="166">
        <f t="array" ref="CT71">INDEX(Expenses!$1:$398,MATCH($C71,Expenses!$A:$A,0),MATCH(CT$4,Expenses!$4:$4,0))</f>
        <v>526.2528804</v>
      </c>
      <c r="CU71" s="166">
        <f t="array" ref="CU71">INDEX(Expenses!$1:$398,MATCH($C71,Expenses!$A:$A,0),MATCH(CU$4,Expenses!$4:$4,0))</f>
        <v>528.8841448</v>
      </c>
      <c r="CV71" s="162"/>
      <c r="CW71" s="162"/>
      <c r="CX71" s="162"/>
      <c r="CY71" s="162"/>
      <c r="CZ71" s="162"/>
      <c r="DA71" s="162"/>
      <c r="DB71" s="162"/>
      <c r="DC71" s="162"/>
    </row>
    <row r="72" ht="15.75" customHeight="1">
      <c r="A72" s="146" t="s">
        <v>174</v>
      </c>
      <c r="B72" s="146" t="s">
        <v>179</v>
      </c>
      <c r="C72" s="160" t="s">
        <v>249</v>
      </c>
      <c r="D72" s="161">
        <f t="shared" ref="D72:AL72" si="63">RANDBETWEEN(1000,2500)</f>
        <v>1385</v>
      </c>
      <c r="E72" s="161">
        <f t="shared" si="63"/>
        <v>2065</v>
      </c>
      <c r="F72" s="161">
        <f t="shared" si="63"/>
        <v>2370</v>
      </c>
      <c r="G72" s="161">
        <f t="shared" si="63"/>
        <v>1824</v>
      </c>
      <c r="H72" s="161">
        <f t="shared" si="63"/>
        <v>1225</v>
      </c>
      <c r="I72" s="161">
        <f t="shared" si="63"/>
        <v>1406</v>
      </c>
      <c r="J72" s="161">
        <f t="shared" si="63"/>
        <v>2229</v>
      </c>
      <c r="K72" s="161">
        <f t="shared" si="63"/>
        <v>1292</v>
      </c>
      <c r="L72" s="161">
        <f t="shared" si="63"/>
        <v>2126</v>
      </c>
      <c r="M72" s="161">
        <f t="shared" si="63"/>
        <v>1954</v>
      </c>
      <c r="N72" s="161">
        <f t="shared" si="63"/>
        <v>2390</v>
      </c>
      <c r="O72" s="161">
        <f t="shared" si="63"/>
        <v>1650</v>
      </c>
      <c r="P72" s="161">
        <f t="shared" si="63"/>
        <v>1601</v>
      </c>
      <c r="Q72" s="161">
        <f t="shared" si="63"/>
        <v>1559</v>
      </c>
      <c r="R72" s="161">
        <f t="shared" si="63"/>
        <v>1696</v>
      </c>
      <c r="S72" s="161">
        <f t="shared" si="63"/>
        <v>1892</v>
      </c>
      <c r="T72" s="161">
        <f t="shared" si="63"/>
        <v>2008</v>
      </c>
      <c r="U72" s="161">
        <f t="shared" si="63"/>
        <v>1192</v>
      </c>
      <c r="V72" s="161">
        <f t="shared" si="63"/>
        <v>1740</v>
      </c>
      <c r="W72" s="161">
        <f t="shared" si="63"/>
        <v>1311</v>
      </c>
      <c r="X72" s="161">
        <f t="shared" si="63"/>
        <v>1789</v>
      </c>
      <c r="Y72" s="161">
        <f t="shared" si="63"/>
        <v>1142</v>
      </c>
      <c r="Z72" s="161">
        <f t="shared" si="63"/>
        <v>1654</v>
      </c>
      <c r="AA72" s="161">
        <f t="shared" si="63"/>
        <v>2148</v>
      </c>
      <c r="AB72" s="161">
        <f t="shared" si="63"/>
        <v>1023</v>
      </c>
      <c r="AC72" s="161">
        <f t="shared" si="63"/>
        <v>2351</v>
      </c>
      <c r="AD72" s="161">
        <f t="shared" si="63"/>
        <v>1056</v>
      </c>
      <c r="AE72" s="161">
        <f t="shared" si="63"/>
        <v>1518</v>
      </c>
      <c r="AF72" s="161">
        <f t="shared" si="63"/>
        <v>2329</v>
      </c>
      <c r="AG72" s="161">
        <f t="shared" si="63"/>
        <v>1523</v>
      </c>
      <c r="AH72" s="161">
        <f t="shared" si="63"/>
        <v>1406</v>
      </c>
      <c r="AI72" s="161">
        <f t="shared" si="63"/>
        <v>1971</v>
      </c>
      <c r="AJ72" s="161">
        <f t="shared" si="63"/>
        <v>2086</v>
      </c>
      <c r="AK72" s="161">
        <f t="shared" si="63"/>
        <v>2071</v>
      </c>
      <c r="AL72" s="161">
        <f t="shared" si="63"/>
        <v>2418</v>
      </c>
      <c r="AM72" s="166">
        <f t="array" ref="AM72">INDEX(Expenses!$1:$398,MATCH($C72,Expenses!$A:$A,0),MATCH(AM$4,Expenses!$4:$4,0))</f>
        <v>11914.6</v>
      </c>
      <c r="AN72" s="166">
        <f t="array" ref="AN72">INDEX(Expenses!$1:$398,MATCH($C72,Expenses!$A:$A,0),MATCH(AN$4,Expenses!$4:$4,0))</f>
        <v>6414</v>
      </c>
      <c r="AO72" s="166">
        <f t="array" ref="AO72">INDEX(Expenses!$1:$398,MATCH($C72,Expenses!$A:$A,0),MATCH(AO$4,Expenses!$4:$4,0))</f>
        <v>2962.43256</v>
      </c>
      <c r="AP72" s="166">
        <f t="array" ref="AP72">INDEX(Expenses!$1:$398,MATCH($C72,Expenses!$A:$A,0),MATCH(AP$4,Expenses!$4:$4,0))</f>
        <v>2992.056886</v>
      </c>
      <c r="AQ72" s="166">
        <f t="array" ref="AQ72">INDEX(Expenses!$1:$398,MATCH($C72,Expenses!$A:$A,0),MATCH(AQ$4,Expenses!$4:$4,0))</f>
        <v>3021.977455</v>
      </c>
      <c r="AR72" s="166">
        <f t="array" ref="AR72">INDEX(Expenses!$1:$398,MATCH($C72,Expenses!$A:$A,0),MATCH(AR$4,Expenses!$4:$4,0))</f>
        <v>24050</v>
      </c>
      <c r="AS72" s="166">
        <f t="array" ref="AS72">INDEX(Expenses!$1:$398,MATCH($C72,Expenses!$A:$A,0),MATCH(AS$4,Expenses!$4:$4,0))</f>
        <v>3082.719202</v>
      </c>
      <c r="AT72" s="166">
        <f t="array" ref="AT72">INDEX(Expenses!$1:$398,MATCH($C72,Expenses!$A:$A,0),MATCH(AT$4,Expenses!$4:$4,0))</f>
        <v>3113.546394</v>
      </c>
      <c r="AU72" s="166">
        <f t="array" ref="AU72">INDEX(Expenses!$1:$398,MATCH($C72,Expenses!$A:$A,0),MATCH(AU$4,Expenses!$4:$4,0))</f>
        <v>3144.681858</v>
      </c>
      <c r="AV72" s="166">
        <f t="array" ref="AV72">INDEX(Expenses!$1:$398,MATCH($C72,Expenses!$A:$A,0),MATCH(AV$4,Expenses!$4:$4,0))</f>
        <v>24700</v>
      </c>
      <c r="AW72" s="166">
        <f t="array" ref="AW72">INDEX(Expenses!$1:$398,MATCH($C72,Expenses!$A:$A,0),MATCH(AW$4,Expenses!$4:$4,0))</f>
        <v>3207.889963</v>
      </c>
      <c r="AX72" s="166">
        <f t="array" ref="AX72">INDEX(Expenses!$1:$398,MATCH($C72,Expenses!$A:$A,0),MATCH(AX$4,Expenses!$4:$4,0))</f>
        <v>3239.968863</v>
      </c>
      <c r="AY72" s="166">
        <f t="array" ref="AY72">INDEX(Expenses!$1:$398,MATCH($C72,Expenses!$A:$A,0),MATCH(AY$4,Expenses!$4:$4,0))</f>
        <v>3272.368551</v>
      </c>
      <c r="AZ72" s="166">
        <f t="array" ref="AZ72">INDEX(Expenses!$1:$398,MATCH($C72,Expenses!$A:$A,0),MATCH(AZ$4,Expenses!$4:$4,0))</f>
        <v>26130</v>
      </c>
      <c r="BA72" s="166">
        <f t="array" ref="BA72">INDEX(Expenses!$1:$398,MATCH($C72,Expenses!$A:$A,0),MATCH(BA$4,Expenses!$4:$4,0))</f>
        <v>981.8068115</v>
      </c>
      <c r="BB72" s="166">
        <f t="array" ref="BB72">INDEX(Expenses!$1:$398,MATCH($C72,Expenses!$A:$A,0),MATCH(BB$4,Expenses!$4:$4,0))</f>
        <v>991.6248796</v>
      </c>
      <c r="BC72" s="166">
        <f t="array" ref="BC72">INDEX(Expenses!$1:$398,MATCH($C72,Expenses!$A:$A,0),MATCH(BC$4,Expenses!$4:$4,0))</f>
        <v>1001.541128</v>
      </c>
      <c r="BD72" s="166">
        <f t="array" ref="BD72">INDEX(Expenses!$1:$398,MATCH($C72,Expenses!$A:$A,0),MATCH(BD$4,Expenses!$4:$4,0))</f>
        <v>26780</v>
      </c>
      <c r="BE72" s="166">
        <f t="array" ref="BE72">INDEX(Expenses!$1:$398,MATCH($C72,Expenses!$A:$A,0),MATCH(BE$4,Expenses!$4:$4,0))</f>
        <v>1021.672105</v>
      </c>
      <c r="BF72" s="166">
        <f t="array" ref="BF72">INDEX(Expenses!$1:$398,MATCH($C72,Expenses!$A:$A,0),MATCH(BF$4,Expenses!$4:$4,0))</f>
        <v>1031.888826</v>
      </c>
      <c r="BG72" s="166">
        <f t="array" ref="BG72">INDEX(Expenses!$1:$398,MATCH($C72,Expenses!$A:$A,0),MATCH(BG$4,Expenses!$4:$4,0))</f>
        <v>1042.207714</v>
      </c>
      <c r="BH72" s="166">
        <f t="array" ref="BH72">INDEX(Expenses!$1:$398,MATCH($C72,Expenses!$A:$A,0),MATCH(BH$4,Expenses!$4:$4,0))</f>
        <v>27430</v>
      </c>
      <c r="BI72" s="166">
        <f t="array" ref="BI72">INDEX(Expenses!$1:$398,MATCH($C72,Expenses!$A:$A,0),MATCH(BI$4,Expenses!$4:$4,0))</f>
        <v>1063.156089</v>
      </c>
      <c r="BJ72" s="166">
        <f t="array" ref="BJ72">INDEX(Expenses!$1:$398,MATCH($C72,Expenses!$A:$A,0),MATCH(BJ$4,Expenses!$4:$4,0))</f>
        <v>1073.78765</v>
      </c>
      <c r="BK72" s="166">
        <f t="array" ref="BK72">INDEX(Expenses!$1:$398,MATCH($C72,Expenses!$A:$A,0),MATCH(BK$4,Expenses!$4:$4,0))</f>
        <v>1084.525527</v>
      </c>
      <c r="BL72" s="166">
        <f t="array" ref="BL72">INDEX(Expenses!$1:$398,MATCH($C72,Expenses!$A:$A,0),MATCH(BL$4,Expenses!$4:$4,0))</f>
        <v>27950</v>
      </c>
      <c r="BM72" s="166">
        <f t="array" ref="BM72">INDEX(Expenses!$1:$398,MATCH($C72,Expenses!$A:$A,0),MATCH(BM$4,Expenses!$4:$4,0))</f>
        <v>1106.32449</v>
      </c>
      <c r="BN72" s="166">
        <f t="array" ref="BN72">INDEX(Expenses!$1:$398,MATCH($C72,Expenses!$A:$A,0),MATCH(BN$4,Expenses!$4:$4,0))</f>
        <v>1117.387735</v>
      </c>
      <c r="BO72" s="166">
        <f t="array" ref="BO72">INDEX(Expenses!$1:$398,MATCH($C72,Expenses!$A:$A,0),MATCH(BO$4,Expenses!$4:$4,0))</f>
        <v>1128.561612</v>
      </c>
      <c r="BP72" s="166">
        <f t="array" ref="BP72">INDEX(Expenses!$1:$398,MATCH($C72,Expenses!$A:$A,0),MATCH(BP$4,Expenses!$4:$4,0))</f>
        <v>29250</v>
      </c>
      <c r="BQ72" s="166">
        <f t="array" ref="BQ72">INDEX(Expenses!$1:$398,MATCH($C72,Expenses!$A:$A,0),MATCH(BQ$4,Expenses!$4:$4,0))</f>
        <v>1151.245701</v>
      </c>
      <c r="BR72" s="166">
        <f t="array" ref="BR72">INDEX(Expenses!$1:$398,MATCH($C72,Expenses!$A:$A,0),MATCH(BR$4,Expenses!$4:$4,0))</f>
        <v>1162.758158</v>
      </c>
      <c r="BS72" s="166">
        <f t="array" ref="BS72">INDEX(Expenses!$1:$398,MATCH($C72,Expenses!$A:$A,0),MATCH(BS$4,Expenses!$4:$4,0))</f>
        <v>1174.385739</v>
      </c>
      <c r="BT72" s="166">
        <f t="array" ref="BT72">INDEX(Expenses!$1:$398,MATCH($C72,Expenses!$A:$A,0),MATCH(BT$4,Expenses!$4:$4,0))</f>
        <v>30160</v>
      </c>
      <c r="BU72" s="166">
        <f t="array" ref="BU72">INDEX(Expenses!$1:$398,MATCH($C72,Expenses!$A:$A,0),MATCH(BU$4,Expenses!$4:$4,0))</f>
        <v>1197.990893</v>
      </c>
      <c r="BV72" s="166">
        <f t="array" ref="BV72">INDEX(Expenses!$1:$398,MATCH($C72,Expenses!$A:$A,0),MATCH(BV$4,Expenses!$4:$4,0))</f>
        <v>1209.970802</v>
      </c>
      <c r="BW72" s="166">
        <f t="array" ref="BW72">INDEX(Expenses!$1:$398,MATCH($C72,Expenses!$A:$A,0),MATCH(BW$4,Expenses!$4:$4,0))</f>
        <v>1222.07051</v>
      </c>
      <c r="BX72" s="166">
        <f t="array" ref="BX72">INDEX(Expenses!$1:$398,MATCH($C72,Expenses!$A:$A,0),MATCH(BX$4,Expenses!$4:$4,0))</f>
        <v>31070</v>
      </c>
      <c r="BY72" s="166">
        <f t="array" ref="BY72">INDEX(Expenses!$1:$398,MATCH($C72,Expenses!$A:$A,0),MATCH(BY$4,Expenses!$4:$4,0))</f>
        <v>1246.634127</v>
      </c>
      <c r="BZ72" s="166">
        <f t="array" ref="BZ72">INDEX(Expenses!$1:$398,MATCH($C72,Expenses!$A:$A,0),MATCH(BZ$4,Expenses!$4:$4,0))</f>
        <v>1259.100468</v>
      </c>
      <c r="CA72" s="166">
        <f t="array" ref="CA72">INDEX(Expenses!$1:$398,MATCH($C72,Expenses!$A:$A,0),MATCH(CA$4,Expenses!$4:$4,0))</f>
        <v>1271.691473</v>
      </c>
      <c r="CB72" s="166">
        <f t="array" ref="CB72">INDEX(Expenses!$1:$398,MATCH($C72,Expenses!$A:$A,0),MATCH(CB$4,Expenses!$4:$4,0))</f>
        <v>34840</v>
      </c>
      <c r="CC72" s="166">
        <f t="array" ref="CC72">INDEX(Expenses!$1:$398,MATCH($C72,Expenses!$A:$A,0),MATCH(CC$4,Expenses!$4:$4,0))</f>
        <v>1297.252471</v>
      </c>
      <c r="CD72" s="166">
        <f t="array" ref="CD72">INDEX(Expenses!$1:$398,MATCH($C72,Expenses!$A:$A,0),MATCH(CD$4,Expenses!$4:$4,0))</f>
        <v>1310.224996</v>
      </c>
      <c r="CE72" s="166">
        <f t="array" ref="CE72">INDEX(Expenses!$1:$398,MATCH($C72,Expenses!$A:$A,0),MATCH(CE$4,Expenses!$4:$4,0))</f>
        <v>1323.327246</v>
      </c>
      <c r="CF72" s="166">
        <f t="array" ref="CF72">INDEX(Expenses!$1:$398,MATCH($C72,Expenses!$A:$A,0),MATCH(CF$4,Expenses!$4:$4,0))</f>
        <v>35880</v>
      </c>
      <c r="CG72" s="166">
        <f t="array" ref="CG72">INDEX(Expenses!$1:$398,MATCH($C72,Expenses!$A:$A,0),MATCH(CG$4,Expenses!$4:$4,0))</f>
        <v>1349.926124</v>
      </c>
      <c r="CH72" s="166">
        <f t="array" ref="CH72">INDEX(Expenses!$1:$398,MATCH($C72,Expenses!$A:$A,0),MATCH(CH$4,Expenses!$4:$4,0))</f>
        <v>1363.425385</v>
      </c>
      <c r="CI72" s="166">
        <f t="array" ref="CI72">INDEX(Expenses!$1:$398,MATCH($C72,Expenses!$A:$A,0),MATCH(CI$4,Expenses!$4:$4,0))</f>
        <v>1377.059639</v>
      </c>
      <c r="CJ72" s="166">
        <f t="array" ref="CJ72">INDEX(Expenses!$1:$398,MATCH($C72,Expenses!$A:$A,0),MATCH(CJ$4,Expenses!$4:$4,0))</f>
        <v>36660</v>
      </c>
      <c r="CK72" s="166">
        <f t="array" ref="CK72">INDEX(Expenses!$1:$398,MATCH($C72,Expenses!$A:$A,0),MATCH(CK$4,Expenses!$4:$4,0))</f>
        <v>1404.738537</v>
      </c>
      <c r="CL72" s="166">
        <f t="array" ref="CL72">INDEX(Expenses!$1:$398,MATCH($C72,Expenses!$A:$A,0),MATCH(CL$4,Expenses!$4:$4,0))</f>
        <v>1418.785923</v>
      </c>
      <c r="CM72" s="166">
        <f t="array" ref="CM72">INDEX(Expenses!$1:$398,MATCH($C72,Expenses!$A:$A,0),MATCH(CM$4,Expenses!$4:$4,0))</f>
        <v>1432.973782</v>
      </c>
      <c r="CN72" s="166">
        <f t="array" ref="CN72">INDEX(Expenses!$1:$398,MATCH($C72,Expenses!$A:$A,0),MATCH(CN$4,Expenses!$4:$4,0))</f>
        <v>37700</v>
      </c>
      <c r="CO72" s="166">
        <f t="array" ref="CO72">INDEX(Expenses!$1:$398,MATCH($C72,Expenses!$A:$A,0),MATCH(CO$4,Expenses!$4:$4,0))</f>
        <v>1461.776555</v>
      </c>
      <c r="CP72" s="166">
        <f t="array" ref="CP72">INDEX(Expenses!$1:$398,MATCH($C72,Expenses!$A:$A,0),MATCH(CP$4,Expenses!$4:$4,0))</f>
        <v>1476.394321</v>
      </c>
      <c r="CQ72" s="166">
        <f t="array" ref="CQ72">INDEX(Expenses!$1:$398,MATCH($C72,Expenses!$A:$A,0),MATCH(CQ$4,Expenses!$4:$4,0))</f>
        <v>1491.158264</v>
      </c>
      <c r="CR72" s="166">
        <f t="array" ref="CR72">INDEX(Expenses!$1:$398,MATCH($C72,Expenses!$A:$A,0),MATCH(CR$4,Expenses!$4:$4,0))</f>
        <v>38220</v>
      </c>
      <c r="CS72" s="166">
        <f t="array" ref="CS72">INDEX(Expenses!$1:$398,MATCH($C72,Expenses!$A:$A,0),MATCH(CS$4,Expenses!$4:$4,0))</f>
        <v>1521.130545</v>
      </c>
      <c r="CT72" s="166">
        <f t="array" ref="CT72">INDEX(Expenses!$1:$398,MATCH($C72,Expenses!$A:$A,0),MATCH(CT$4,Expenses!$4:$4,0))</f>
        <v>1536.34185</v>
      </c>
      <c r="CU72" s="166">
        <f t="array" ref="CU72">INDEX(Expenses!$1:$398,MATCH($C72,Expenses!$A:$A,0),MATCH(CU$4,Expenses!$4:$4,0))</f>
        <v>1551.705269</v>
      </c>
      <c r="CV72" s="162"/>
      <c r="CW72" s="162"/>
      <c r="CX72" s="162"/>
      <c r="CY72" s="162"/>
      <c r="CZ72" s="162"/>
      <c r="DA72" s="162"/>
      <c r="DB72" s="162"/>
      <c r="DC72" s="162"/>
    </row>
    <row r="73" ht="15.75" customHeight="1">
      <c r="A73" s="146" t="s">
        <v>174</v>
      </c>
      <c r="B73" s="146" t="s">
        <v>179</v>
      </c>
      <c r="C73" s="160" t="s">
        <v>250</v>
      </c>
      <c r="D73" s="161">
        <f t="shared" ref="D73:AL73" si="64">RANDBETWEEN(1000,2500)</f>
        <v>1236</v>
      </c>
      <c r="E73" s="161">
        <f t="shared" si="64"/>
        <v>1225</v>
      </c>
      <c r="F73" s="161">
        <f t="shared" si="64"/>
        <v>1005</v>
      </c>
      <c r="G73" s="161">
        <f t="shared" si="64"/>
        <v>2196</v>
      </c>
      <c r="H73" s="161">
        <f t="shared" si="64"/>
        <v>1241</v>
      </c>
      <c r="I73" s="161">
        <f t="shared" si="64"/>
        <v>2188</v>
      </c>
      <c r="J73" s="161">
        <f t="shared" si="64"/>
        <v>1713</v>
      </c>
      <c r="K73" s="161">
        <f t="shared" si="64"/>
        <v>1281</v>
      </c>
      <c r="L73" s="161">
        <f t="shared" si="64"/>
        <v>1686</v>
      </c>
      <c r="M73" s="161">
        <f t="shared" si="64"/>
        <v>1121</v>
      </c>
      <c r="N73" s="161">
        <f t="shared" si="64"/>
        <v>1451</v>
      </c>
      <c r="O73" s="161">
        <f t="shared" si="64"/>
        <v>1090</v>
      </c>
      <c r="P73" s="161">
        <f t="shared" si="64"/>
        <v>1139</v>
      </c>
      <c r="Q73" s="161">
        <f t="shared" si="64"/>
        <v>1662</v>
      </c>
      <c r="R73" s="161">
        <f t="shared" si="64"/>
        <v>1094</v>
      </c>
      <c r="S73" s="161">
        <f t="shared" si="64"/>
        <v>1410</v>
      </c>
      <c r="T73" s="161">
        <f t="shared" si="64"/>
        <v>1998</v>
      </c>
      <c r="U73" s="161">
        <f t="shared" si="64"/>
        <v>1769</v>
      </c>
      <c r="V73" s="161">
        <f t="shared" si="64"/>
        <v>1673</v>
      </c>
      <c r="W73" s="161">
        <f t="shared" si="64"/>
        <v>2445</v>
      </c>
      <c r="X73" s="161">
        <f t="shared" si="64"/>
        <v>1238</v>
      </c>
      <c r="Y73" s="161">
        <f t="shared" si="64"/>
        <v>1868</v>
      </c>
      <c r="Z73" s="161">
        <f t="shared" si="64"/>
        <v>1376</v>
      </c>
      <c r="AA73" s="161">
        <f t="shared" si="64"/>
        <v>1705</v>
      </c>
      <c r="AB73" s="161">
        <f t="shared" si="64"/>
        <v>1049</v>
      </c>
      <c r="AC73" s="161">
        <f t="shared" si="64"/>
        <v>1805</v>
      </c>
      <c r="AD73" s="161">
        <f t="shared" si="64"/>
        <v>2470</v>
      </c>
      <c r="AE73" s="161">
        <f t="shared" si="64"/>
        <v>2407</v>
      </c>
      <c r="AF73" s="161">
        <f t="shared" si="64"/>
        <v>1498</v>
      </c>
      <c r="AG73" s="161">
        <f t="shared" si="64"/>
        <v>2134</v>
      </c>
      <c r="AH73" s="161">
        <f t="shared" si="64"/>
        <v>2489</v>
      </c>
      <c r="AI73" s="161">
        <f t="shared" si="64"/>
        <v>1123</v>
      </c>
      <c r="AJ73" s="161">
        <f t="shared" si="64"/>
        <v>2308</v>
      </c>
      <c r="AK73" s="161">
        <f t="shared" si="64"/>
        <v>1644</v>
      </c>
      <c r="AL73" s="161">
        <f t="shared" si="64"/>
        <v>1439</v>
      </c>
      <c r="AM73" s="166">
        <f t="array" ref="AM73">INDEX(Expenses!$1:$398,MATCH($C73,Expenses!$A:$A,0),MATCH(AM$4,Expenses!$4:$4,0))</f>
        <v>11914.6</v>
      </c>
      <c r="AN73" s="166">
        <f t="array" ref="AN73">INDEX(Expenses!$1:$398,MATCH($C73,Expenses!$A:$A,0),MATCH(AN$4,Expenses!$4:$4,0))</f>
        <v>6414</v>
      </c>
      <c r="AO73" s="166">
        <f t="array" ref="AO73">INDEX(Expenses!$1:$398,MATCH($C73,Expenses!$A:$A,0),MATCH(AO$4,Expenses!$4:$4,0))</f>
        <v>2962.43256</v>
      </c>
      <c r="AP73" s="166">
        <f t="array" ref="AP73">INDEX(Expenses!$1:$398,MATCH($C73,Expenses!$A:$A,0),MATCH(AP$4,Expenses!$4:$4,0))</f>
        <v>2992.056886</v>
      </c>
      <c r="AQ73" s="166">
        <f t="array" ref="AQ73">INDEX(Expenses!$1:$398,MATCH($C73,Expenses!$A:$A,0),MATCH(AQ$4,Expenses!$4:$4,0))</f>
        <v>3021.977455</v>
      </c>
      <c r="AR73" s="166">
        <f t="array" ref="AR73">INDEX(Expenses!$1:$398,MATCH($C73,Expenses!$A:$A,0),MATCH(AR$4,Expenses!$4:$4,0))</f>
        <v>24050</v>
      </c>
      <c r="AS73" s="166">
        <f t="array" ref="AS73">INDEX(Expenses!$1:$398,MATCH($C73,Expenses!$A:$A,0),MATCH(AS$4,Expenses!$4:$4,0))</f>
        <v>3082.719202</v>
      </c>
      <c r="AT73" s="166">
        <f t="array" ref="AT73">INDEX(Expenses!$1:$398,MATCH($C73,Expenses!$A:$A,0),MATCH(AT$4,Expenses!$4:$4,0))</f>
        <v>3113.546394</v>
      </c>
      <c r="AU73" s="166">
        <f t="array" ref="AU73">INDEX(Expenses!$1:$398,MATCH($C73,Expenses!$A:$A,0),MATCH(AU$4,Expenses!$4:$4,0))</f>
        <v>3144.681858</v>
      </c>
      <c r="AV73" s="166">
        <f t="array" ref="AV73">INDEX(Expenses!$1:$398,MATCH($C73,Expenses!$A:$A,0),MATCH(AV$4,Expenses!$4:$4,0))</f>
        <v>24700</v>
      </c>
      <c r="AW73" s="166">
        <f t="array" ref="AW73">INDEX(Expenses!$1:$398,MATCH($C73,Expenses!$A:$A,0),MATCH(AW$4,Expenses!$4:$4,0))</f>
        <v>3207.889963</v>
      </c>
      <c r="AX73" s="166">
        <f t="array" ref="AX73">INDEX(Expenses!$1:$398,MATCH($C73,Expenses!$A:$A,0),MATCH(AX$4,Expenses!$4:$4,0))</f>
        <v>3239.968863</v>
      </c>
      <c r="AY73" s="166">
        <f t="array" ref="AY73">INDEX(Expenses!$1:$398,MATCH($C73,Expenses!$A:$A,0),MATCH(AY$4,Expenses!$4:$4,0))</f>
        <v>3272.368551</v>
      </c>
      <c r="AZ73" s="166">
        <f t="array" ref="AZ73">INDEX(Expenses!$1:$398,MATCH($C73,Expenses!$A:$A,0),MATCH(AZ$4,Expenses!$4:$4,0))</f>
        <v>26130</v>
      </c>
      <c r="BA73" s="166">
        <f t="array" ref="BA73">INDEX(Expenses!$1:$398,MATCH($C73,Expenses!$A:$A,0),MATCH(BA$4,Expenses!$4:$4,0))</f>
        <v>981.8068115</v>
      </c>
      <c r="BB73" s="166">
        <f t="array" ref="BB73">INDEX(Expenses!$1:$398,MATCH($C73,Expenses!$A:$A,0),MATCH(BB$4,Expenses!$4:$4,0))</f>
        <v>991.6248796</v>
      </c>
      <c r="BC73" s="166">
        <f t="array" ref="BC73">INDEX(Expenses!$1:$398,MATCH($C73,Expenses!$A:$A,0),MATCH(BC$4,Expenses!$4:$4,0))</f>
        <v>1001.541128</v>
      </c>
      <c r="BD73" s="166">
        <f t="array" ref="BD73">INDEX(Expenses!$1:$398,MATCH($C73,Expenses!$A:$A,0),MATCH(BD$4,Expenses!$4:$4,0))</f>
        <v>26780</v>
      </c>
      <c r="BE73" s="166">
        <f t="array" ref="BE73">INDEX(Expenses!$1:$398,MATCH($C73,Expenses!$A:$A,0),MATCH(BE$4,Expenses!$4:$4,0))</f>
        <v>1021.672105</v>
      </c>
      <c r="BF73" s="166">
        <f t="array" ref="BF73">INDEX(Expenses!$1:$398,MATCH($C73,Expenses!$A:$A,0),MATCH(BF$4,Expenses!$4:$4,0))</f>
        <v>1031.888826</v>
      </c>
      <c r="BG73" s="166">
        <f t="array" ref="BG73">INDEX(Expenses!$1:$398,MATCH($C73,Expenses!$A:$A,0),MATCH(BG$4,Expenses!$4:$4,0))</f>
        <v>1042.207714</v>
      </c>
      <c r="BH73" s="166">
        <f t="array" ref="BH73">INDEX(Expenses!$1:$398,MATCH($C73,Expenses!$A:$A,0),MATCH(BH$4,Expenses!$4:$4,0))</f>
        <v>27430</v>
      </c>
      <c r="BI73" s="166">
        <f t="array" ref="BI73">INDEX(Expenses!$1:$398,MATCH($C73,Expenses!$A:$A,0),MATCH(BI$4,Expenses!$4:$4,0))</f>
        <v>1063.156089</v>
      </c>
      <c r="BJ73" s="166">
        <f t="array" ref="BJ73">INDEX(Expenses!$1:$398,MATCH($C73,Expenses!$A:$A,0),MATCH(BJ$4,Expenses!$4:$4,0))</f>
        <v>1073.78765</v>
      </c>
      <c r="BK73" s="166">
        <f t="array" ref="BK73">INDEX(Expenses!$1:$398,MATCH($C73,Expenses!$A:$A,0),MATCH(BK$4,Expenses!$4:$4,0))</f>
        <v>1084.525527</v>
      </c>
      <c r="BL73" s="166">
        <f t="array" ref="BL73">INDEX(Expenses!$1:$398,MATCH($C73,Expenses!$A:$A,0),MATCH(BL$4,Expenses!$4:$4,0))</f>
        <v>27950</v>
      </c>
      <c r="BM73" s="166">
        <f t="array" ref="BM73">INDEX(Expenses!$1:$398,MATCH($C73,Expenses!$A:$A,0),MATCH(BM$4,Expenses!$4:$4,0))</f>
        <v>1106.32449</v>
      </c>
      <c r="BN73" s="166">
        <f t="array" ref="BN73">INDEX(Expenses!$1:$398,MATCH($C73,Expenses!$A:$A,0),MATCH(BN$4,Expenses!$4:$4,0))</f>
        <v>1117.387735</v>
      </c>
      <c r="BO73" s="166">
        <f t="array" ref="BO73">INDEX(Expenses!$1:$398,MATCH($C73,Expenses!$A:$A,0),MATCH(BO$4,Expenses!$4:$4,0))</f>
        <v>1128.561612</v>
      </c>
      <c r="BP73" s="166">
        <f t="array" ref="BP73">INDEX(Expenses!$1:$398,MATCH($C73,Expenses!$A:$A,0),MATCH(BP$4,Expenses!$4:$4,0))</f>
        <v>29250</v>
      </c>
      <c r="BQ73" s="166">
        <f t="array" ref="BQ73">INDEX(Expenses!$1:$398,MATCH($C73,Expenses!$A:$A,0),MATCH(BQ$4,Expenses!$4:$4,0))</f>
        <v>1151.245701</v>
      </c>
      <c r="BR73" s="166">
        <f t="array" ref="BR73">INDEX(Expenses!$1:$398,MATCH($C73,Expenses!$A:$A,0),MATCH(BR$4,Expenses!$4:$4,0))</f>
        <v>1162.758158</v>
      </c>
      <c r="BS73" s="166">
        <f t="array" ref="BS73">INDEX(Expenses!$1:$398,MATCH($C73,Expenses!$A:$A,0),MATCH(BS$4,Expenses!$4:$4,0))</f>
        <v>1174.385739</v>
      </c>
      <c r="BT73" s="166">
        <f t="array" ref="BT73">INDEX(Expenses!$1:$398,MATCH($C73,Expenses!$A:$A,0),MATCH(BT$4,Expenses!$4:$4,0))</f>
        <v>30160</v>
      </c>
      <c r="BU73" s="166">
        <f t="array" ref="BU73">INDEX(Expenses!$1:$398,MATCH($C73,Expenses!$A:$A,0),MATCH(BU$4,Expenses!$4:$4,0))</f>
        <v>1197.990893</v>
      </c>
      <c r="BV73" s="166">
        <f t="array" ref="BV73">INDEX(Expenses!$1:$398,MATCH($C73,Expenses!$A:$A,0),MATCH(BV$4,Expenses!$4:$4,0))</f>
        <v>1209.970802</v>
      </c>
      <c r="BW73" s="166">
        <f t="array" ref="BW73">INDEX(Expenses!$1:$398,MATCH($C73,Expenses!$A:$A,0),MATCH(BW$4,Expenses!$4:$4,0))</f>
        <v>1222.07051</v>
      </c>
      <c r="BX73" s="166">
        <f t="array" ref="BX73">INDEX(Expenses!$1:$398,MATCH($C73,Expenses!$A:$A,0),MATCH(BX$4,Expenses!$4:$4,0))</f>
        <v>31070</v>
      </c>
      <c r="BY73" s="166">
        <f t="array" ref="BY73">INDEX(Expenses!$1:$398,MATCH($C73,Expenses!$A:$A,0),MATCH(BY$4,Expenses!$4:$4,0))</f>
        <v>1246.634127</v>
      </c>
      <c r="BZ73" s="166">
        <f t="array" ref="BZ73">INDEX(Expenses!$1:$398,MATCH($C73,Expenses!$A:$A,0),MATCH(BZ$4,Expenses!$4:$4,0))</f>
        <v>1259.100468</v>
      </c>
      <c r="CA73" s="166">
        <f t="array" ref="CA73">INDEX(Expenses!$1:$398,MATCH($C73,Expenses!$A:$A,0),MATCH(CA$4,Expenses!$4:$4,0))</f>
        <v>1271.691473</v>
      </c>
      <c r="CB73" s="166">
        <f t="array" ref="CB73">INDEX(Expenses!$1:$398,MATCH($C73,Expenses!$A:$A,0),MATCH(CB$4,Expenses!$4:$4,0))</f>
        <v>34840</v>
      </c>
      <c r="CC73" s="166">
        <f t="array" ref="CC73">INDEX(Expenses!$1:$398,MATCH($C73,Expenses!$A:$A,0),MATCH(CC$4,Expenses!$4:$4,0))</f>
        <v>1297.252471</v>
      </c>
      <c r="CD73" s="166">
        <f t="array" ref="CD73">INDEX(Expenses!$1:$398,MATCH($C73,Expenses!$A:$A,0),MATCH(CD$4,Expenses!$4:$4,0))</f>
        <v>1310.224996</v>
      </c>
      <c r="CE73" s="166">
        <f t="array" ref="CE73">INDEX(Expenses!$1:$398,MATCH($C73,Expenses!$A:$A,0),MATCH(CE$4,Expenses!$4:$4,0))</f>
        <v>1323.327246</v>
      </c>
      <c r="CF73" s="166">
        <f t="array" ref="CF73">INDEX(Expenses!$1:$398,MATCH($C73,Expenses!$A:$A,0),MATCH(CF$4,Expenses!$4:$4,0))</f>
        <v>35880</v>
      </c>
      <c r="CG73" s="166">
        <f t="array" ref="CG73">INDEX(Expenses!$1:$398,MATCH($C73,Expenses!$A:$A,0),MATCH(CG$4,Expenses!$4:$4,0))</f>
        <v>1349.926124</v>
      </c>
      <c r="CH73" s="166">
        <f t="array" ref="CH73">INDEX(Expenses!$1:$398,MATCH($C73,Expenses!$A:$A,0),MATCH(CH$4,Expenses!$4:$4,0))</f>
        <v>1363.425385</v>
      </c>
      <c r="CI73" s="166">
        <f t="array" ref="CI73">INDEX(Expenses!$1:$398,MATCH($C73,Expenses!$A:$A,0),MATCH(CI$4,Expenses!$4:$4,0))</f>
        <v>1377.059639</v>
      </c>
      <c r="CJ73" s="166">
        <f t="array" ref="CJ73">INDEX(Expenses!$1:$398,MATCH($C73,Expenses!$A:$A,0),MATCH(CJ$4,Expenses!$4:$4,0))</f>
        <v>36660</v>
      </c>
      <c r="CK73" s="166">
        <f t="array" ref="CK73">INDEX(Expenses!$1:$398,MATCH($C73,Expenses!$A:$A,0),MATCH(CK$4,Expenses!$4:$4,0))</f>
        <v>1404.738537</v>
      </c>
      <c r="CL73" s="166">
        <f t="array" ref="CL73">INDEX(Expenses!$1:$398,MATCH($C73,Expenses!$A:$A,0),MATCH(CL$4,Expenses!$4:$4,0))</f>
        <v>1418.785923</v>
      </c>
      <c r="CM73" s="166">
        <f t="array" ref="CM73">INDEX(Expenses!$1:$398,MATCH($C73,Expenses!$A:$A,0),MATCH(CM$4,Expenses!$4:$4,0))</f>
        <v>1432.973782</v>
      </c>
      <c r="CN73" s="166">
        <f t="array" ref="CN73">INDEX(Expenses!$1:$398,MATCH($C73,Expenses!$A:$A,0),MATCH(CN$4,Expenses!$4:$4,0))</f>
        <v>37700</v>
      </c>
      <c r="CO73" s="166">
        <f t="array" ref="CO73">INDEX(Expenses!$1:$398,MATCH($C73,Expenses!$A:$A,0),MATCH(CO$4,Expenses!$4:$4,0))</f>
        <v>1461.776555</v>
      </c>
      <c r="CP73" s="166">
        <f t="array" ref="CP73">INDEX(Expenses!$1:$398,MATCH($C73,Expenses!$A:$A,0),MATCH(CP$4,Expenses!$4:$4,0))</f>
        <v>1476.394321</v>
      </c>
      <c r="CQ73" s="166">
        <f t="array" ref="CQ73">INDEX(Expenses!$1:$398,MATCH($C73,Expenses!$A:$A,0),MATCH(CQ$4,Expenses!$4:$4,0))</f>
        <v>1491.158264</v>
      </c>
      <c r="CR73" s="166">
        <f t="array" ref="CR73">INDEX(Expenses!$1:$398,MATCH($C73,Expenses!$A:$A,0),MATCH(CR$4,Expenses!$4:$4,0))</f>
        <v>38220</v>
      </c>
      <c r="CS73" s="166">
        <f t="array" ref="CS73">INDEX(Expenses!$1:$398,MATCH($C73,Expenses!$A:$A,0),MATCH(CS$4,Expenses!$4:$4,0))</f>
        <v>1521.130545</v>
      </c>
      <c r="CT73" s="166">
        <f t="array" ref="CT73">INDEX(Expenses!$1:$398,MATCH($C73,Expenses!$A:$A,0),MATCH(CT$4,Expenses!$4:$4,0))</f>
        <v>1536.34185</v>
      </c>
      <c r="CU73" s="166">
        <f t="array" ref="CU73">INDEX(Expenses!$1:$398,MATCH($C73,Expenses!$A:$A,0),MATCH(CU$4,Expenses!$4:$4,0))</f>
        <v>1551.705269</v>
      </c>
      <c r="CV73" s="162"/>
      <c r="CW73" s="162"/>
      <c r="CX73" s="162"/>
      <c r="CY73" s="162"/>
      <c r="CZ73" s="162"/>
      <c r="DA73" s="162"/>
      <c r="DB73" s="162"/>
      <c r="DC73" s="162"/>
    </row>
    <row r="74" ht="15.75" customHeight="1">
      <c r="A74" s="146" t="s">
        <v>174</v>
      </c>
      <c r="B74" s="146" t="s">
        <v>179</v>
      </c>
      <c r="C74" s="160" t="s">
        <v>251</v>
      </c>
      <c r="D74" s="161">
        <f t="shared" ref="D74:AL74" si="65">RANDBETWEEN(1000,2500)</f>
        <v>1633</v>
      </c>
      <c r="E74" s="161">
        <f t="shared" si="65"/>
        <v>1766</v>
      </c>
      <c r="F74" s="161">
        <f t="shared" si="65"/>
        <v>1030</v>
      </c>
      <c r="G74" s="161">
        <f t="shared" si="65"/>
        <v>1428</v>
      </c>
      <c r="H74" s="161">
        <f t="shared" si="65"/>
        <v>1467</v>
      </c>
      <c r="I74" s="161">
        <f t="shared" si="65"/>
        <v>2206</v>
      </c>
      <c r="J74" s="161">
        <f t="shared" si="65"/>
        <v>1287</v>
      </c>
      <c r="K74" s="161">
        <f t="shared" si="65"/>
        <v>1815</v>
      </c>
      <c r="L74" s="161">
        <f t="shared" si="65"/>
        <v>1684</v>
      </c>
      <c r="M74" s="161">
        <f t="shared" si="65"/>
        <v>2046</v>
      </c>
      <c r="N74" s="161">
        <f t="shared" si="65"/>
        <v>2121</v>
      </c>
      <c r="O74" s="161">
        <f t="shared" si="65"/>
        <v>2203</v>
      </c>
      <c r="P74" s="161">
        <f t="shared" si="65"/>
        <v>2377</v>
      </c>
      <c r="Q74" s="161">
        <f t="shared" si="65"/>
        <v>1405</v>
      </c>
      <c r="R74" s="161">
        <f t="shared" si="65"/>
        <v>1175</v>
      </c>
      <c r="S74" s="161">
        <f t="shared" si="65"/>
        <v>1742</v>
      </c>
      <c r="T74" s="161">
        <f t="shared" si="65"/>
        <v>1956</v>
      </c>
      <c r="U74" s="161">
        <f t="shared" si="65"/>
        <v>1151</v>
      </c>
      <c r="V74" s="161">
        <f t="shared" si="65"/>
        <v>2315</v>
      </c>
      <c r="W74" s="161">
        <f t="shared" si="65"/>
        <v>2250</v>
      </c>
      <c r="X74" s="161">
        <f t="shared" si="65"/>
        <v>1849</v>
      </c>
      <c r="Y74" s="161">
        <f t="shared" si="65"/>
        <v>1816</v>
      </c>
      <c r="Z74" s="161">
        <f t="shared" si="65"/>
        <v>2188</v>
      </c>
      <c r="AA74" s="161">
        <f t="shared" si="65"/>
        <v>2116</v>
      </c>
      <c r="AB74" s="161">
        <f t="shared" si="65"/>
        <v>1298</v>
      </c>
      <c r="AC74" s="161">
        <f t="shared" si="65"/>
        <v>1262</v>
      </c>
      <c r="AD74" s="161">
        <f t="shared" si="65"/>
        <v>1301</v>
      </c>
      <c r="AE74" s="161">
        <f t="shared" si="65"/>
        <v>2437</v>
      </c>
      <c r="AF74" s="161">
        <f t="shared" si="65"/>
        <v>2424</v>
      </c>
      <c r="AG74" s="161">
        <f t="shared" si="65"/>
        <v>2384</v>
      </c>
      <c r="AH74" s="161">
        <f t="shared" si="65"/>
        <v>1455</v>
      </c>
      <c r="AI74" s="161">
        <f t="shared" si="65"/>
        <v>2300</v>
      </c>
      <c r="AJ74" s="161">
        <f t="shared" si="65"/>
        <v>1079</v>
      </c>
      <c r="AK74" s="161">
        <f t="shared" si="65"/>
        <v>1941</v>
      </c>
      <c r="AL74" s="161">
        <f t="shared" si="65"/>
        <v>1253</v>
      </c>
      <c r="AM74" s="166">
        <v>0.0</v>
      </c>
      <c r="AN74" s="166">
        <v>0.0</v>
      </c>
      <c r="AO74" s="166">
        <v>0.0</v>
      </c>
      <c r="AP74" s="166">
        <v>0.0</v>
      </c>
      <c r="AQ74" s="166">
        <v>0.0</v>
      </c>
      <c r="AR74" s="166">
        <v>0.0</v>
      </c>
      <c r="AS74" s="166">
        <v>0.0</v>
      </c>
      <c r="AT74" s="166">
        <v>0.0</v>
      </c>
      <c r="AU74" s="166">
        <v>0.0</v>
      </c>
      <c r="AV74" s="166">
        <v>0.0</v>
      </c>
      <c r="AW74" s="166">
        <v>0.0</v>
      </c>
      <c r="AX74" s="166">
        <v>0.0</v>
      </c>
      <c r="AY74" s="166">
        <v>0.0</v>
      </c>
      <c r="AZ74" s="166">
        <v>0.0</v>
      </c>
      <c r="BA74" s="166">
        <v>0.0</v>
      </c>
      <c r="BB74" s="166">
        <v>0.0</v>
      </c>
      <c r="BC74" s="166">
        <v>0.0</v>
      </c>
      <c r="BD74" s="166">
        <v>0.0</v>
      </c>
      <c r="BE74" s="166">
        <v>0.0</v>
      </c>
      <c r="BF74" s="166">
        <v>0.0</v>
      </c>
      <c r="BG74" s="166">
        <v>0.0</v>
      </c>
      <c r="BH74" s="166">
        <v>0.0</v>
      </c>
      <c r="BI74" s="166">
        <v>0.0</v>
      </c>
      <c r="BJ74" s="166">
        <v>0.0</v>
      </c>
      <c r="BK74" s="166">
        <v>0.0</v>
      </c>
      <c r="BL74" s="166">
        <v>0.0</v>
      </c>
      <c r="BM74" s="166">
        <v>0.0</v>
      </c>
      <c r="BN74" s="166">
        <v>0.0</v>
      </c>
      <c r="BO74" s="166">
        <v>0.0</v>
      </c>
      <c r="BP74" s="166">
        <v>0.0</v>
      </c>
      <c r="BQ74" s="166">
        <v>0.0</v>
      </c>
      <c r="BR74" s="166">
        <v>0.0</v>
      </c>
      <c r="BS74" s="166">
        <v>0.0</v>
      </c>
      <c r="BT74" s="166">
        <v>0.0</v>
      </c>
      <c r="BU74" s="166">
        <v>0.0</v>
      </c>
      <c r="BV74" s="166">
        <v>0.0</v>
      </c>
      <c r="BW74" s="166">
        <v>0.0</v>
      </c>
      <c r="BX74" s="166">
        <v>0.0</v>
      </c>
      <c r="BY74" s="166">
        <v>0.0</v>
      </c>
      <c r="BZ74" s="166">
        <v>0.0</v>
      </c>
      <c r="CA74" s="166">
        <v>0.0</v>
      </c>
      <c r="CB74" s="166">
        <v>0.0</v>
      </c>
      <c r="CC74" s="166">
        <v>0.0</v>
      </c>
      <c r="CD74" s="166">
        <v>0.0</v>
      </c>
      <c r="CE74" s="166">
        <v>0.0</v>
      </c>
      <c r="CF74" s="166">
        <v>0.0</v>
      </c>
      <c r="CG74" s="166">
        <v>0.0</v>
      </c>
      <c r="CH74" s="166">
        <v>0.0</v>
      </c>
      <c r="CI74" s="166">
        <v>0.0</v>
      </c>
      <c r="CJ74" s="166">
        <v>0.0</v>
      </c>
      <c r="CK74" s="166">
        <v>0.0</v>
      </c>
      <c r="CL74" s="166">
        <v>0.0</v>
      </c>
      <c r="CM74" s="166">
        <v>0.0</v>
      </c>
      <c r="CN74" s="166">
        <v>0.0</v>
      </c>
      <c r="CO74" s="166">
        <v>0.0</v>
      </c>
      <c r="CP74" s="166">
        <v>0.0</v>
      </c>
      <c r="CQ74" s="166">
        <v>0.0</v>
      </c>
      <c r="CR74" s="166">
        <v>0.0</v>
      </c>
      <c r="CS74" s="166">
        <v>0.0</v>
      </c>
      <c r="CT74" s="166">
        <v>0.0</v>
      </c>
      <c r="CU74" s="166">
        <v>0.0</v>
      </c>
      <c r="CV74" s="162"/>
      <c r="CW74" s="162"/>
      <c r="CX74" s="162"/>
      <c r="CY74" s="162"/>
      <c r="CZ74" s="162"/>
      <c r="DA74" s="162"/>
      <c r="DB74" s="162"/>
      <c r="DC74" s="162"/>
    </row>
    <row r="75" ht="15.75" customHeight="1">
      <c r="A75" s="146" t="s">
        <v>174</v>
      </c>
      <c r="B75" s="146" t="s">
        <v>179</v>
      </c>
      <c r="C75" s="160" t="s">
        <v>252</v>
      </c>
      <c r="D75" s="161">
        <f t="shared" ref="D75:AL75" si="66">RANDBETWEEN(1000,2500)</f>
        <v>1940</v>
      </c>
      <c r="E75" s="161">
        <f t="shared" si="66"/>
        <v>2345</v>
      </c>
      <c r="F75" s="161">
        <f t="shared" si="66"/>
        <v>2474</v>
      </c>
      <c r="G75" s="161">
        <f t="shared" si="66"/>
        <v>2494</v>
      </c>
      <c r="H75" s="161">
        <f t="shared" si="66"/>
        <v>1737</v>
      </c>
      <c r="I75" s="161">
        <f t="shared" si="66"/>
        <v>2342</v>
      </c>
      <c r="J75" s="161">
        <f t="shared" si="66"/>
        <v>1234</v>
      </c>
      <c r="K75" s="161">
        <f t="shared" si="66"/>
        <v>1967</v>
      </c>
      <c r="L75" s="161">
        <f t="shared" si="66"/>
        <v>2247</v>
      </c>
      <c r="M75" s="161">
        <f t="shared" si="66"/>
        <v>1953</v>
      </c>
      <c r="N75" s="161">
        <f t="shared" si="66"/>
        <v>1650</v>
      </c>
      <c r="O75" s="161">
        <f t="shared" si="66"/>
        <v>1896</v>
      </c>
      <c r="P75" s="161">
        <f t="shared" si="66"/>
        <v>2340</v>
      </c>
      <c r="Q75" s="161">
        <f t="shared" si="66"/>
        <v>1489</v>
      </c>
      <c r="R75" s="161">
        <f t="shared" si="66"/>
        <v>2036</v>
      </c>
      <c r="S75" s="161">
        <f t="shared" si="66"/>
        <v>1958</v>
      </c>
      <c r="T75" s="161">
        <f t="shared" si="66"/>
        <v>1000</v>
      </c>
      <c r="U75" s="161">
        <f t="shared" si="66"/>
        <v>1026</v>
      </c>
      <c r="V75" s="161">
        <f t="shared" si="66"/>
        <v>1598</v>
      </c>
      <c r="W75" s="161">
        <f t="shared" si="66"/>
        <v>1952</v>
      </c>
      <c r="X75" s="161">
        <f t="shared" si="66"/>
        <v>2282</v>
      </c>
      <c r="Y75" s="161">
        <f t="shared" si="66"/>
        <v>2368</v>
      </c>
      <c r="Z75" s="161">
        <f t="shared" si="66"/>
        <v>1327</v>
      </c>
      <c r="AA75" s="161">
        <f t="shared" si="66"/>
        <v>1900</v>
      </c>
      <c r="AB75" s="161">
        <f t="shared" si="66"/>
        <v>2096</v>
      </c>
      <c r="AC75" s="161">
        <f t="shared" si="66"/>
        <v>1579</v>
      </c>
      <c r="AD75" s="161">
        <f t="shared" si="66"/>
        <v>1214</v>
      </c>
      <c r="AE75" s="161">
        <f t="shared" si="66"/>
        <v>1608</v>
      </c>
      <c r="AF75" s="161">
        <f t="shared" si="66"/>
        <v>2393</v>
      </c>
      <c r="AG75" s="161">
        <f t="shared" si="66"/>
        <v>1971</v>
      </c>
      <c r="AH75" s="161">
        <f t="shared" si="66"/>
        <v>1982</v>
      </c>
      <c r="AI75" s="161">
        <f t="shared" si="66"/>
        <v>1244</v>
      </c>
      <c r="AJ75" s="161">
        <f t="shared" si="66"/>
        <v>1106</v>
      </c>
      <c r="AK75" s="161">
        <f t="shared" si="66"/>
        <v>1245</v>
      </c>
      <c r="AL75" s="161">
        <f t="shared" si="66"/>
        <v>1933</v>
      </c>
      <c r="AM75" s="166">
        <v>0.0</v>
      </c>
      <c r="AN75" s="166">
        <v>0.0</v>
      </c>
      <c r="AO75" s="166">
        <v>0.0</v>
      </c>
      <c r="AP75" s="166">
        <v>0.0</v>
      </c>
      <c r="AQ75" s="166">
        <v>0.0</v>
      </c>
      <c r="AR75" s="166">
        <v>0.0</v>
      </c>
      <c r="AS75" s="166">
        <v>0.0</v>
      </c>
      <c r="AT75" s="166">
        <v>0.0</v>
      </c>
      <c r="AU75" s="166">
        <v>0.0</v>
      </c>
      <c r="AV75" s="166">
        <v>0.0</v>
      </c>
      <c r="AW75" s="166">
        <v>0.0</v>
      </c>
      <c r="AX75" s="166">
        <v>0.0</v>
      </c>
      <c r="AY75" s="166">
        <v>0.0</v>
      </c>
      <c r="AZ75" s="166">
        <v>0.0</v>
      </c>
      <c r="BA75" s="166">
        <v>0.0</v>
      </c>
      <c r="BB75" s="166">
        <v>0.0</v>
      </c>
      <c r="BC75" s="166">
        <v>0.0</v>
      </c>
      <c r="BD75" s="166">
        <v>0.0</v>
      </c>
      <c r="BE75" s="166">
        <v>0.0</v>
      </c>
      <c r="BF75" s="166">
        <v>0.0</v>
      </c>
      <c r="BG75" s="166">
        <v>0.0</v>
      </c>
      <c r="BH75" s="166">
        <v>0.0</v>
      </c>
      <c r="BI75" s="166">
        <v>0.0</v>
      </c>
      <c r="BJ75" s="166">
        <v>0.0</v>
      </c>
      <c r="BK75" s="166">
        <v>0.0</v>
      </c>
      <c r="BL75" s="166">
        <v>0.0</v>
      </c>
      <c r="BM75" s="166">
        <v>0.0</v>
      </c>
      <c r="BN75" s="166">
        <v>0.0</v>
      </c>
      <c r="BO75" s="166">
        <v>0.0</v>
      </c>
      <c r="BP75" s="166">
        <v>0.0</v>
      </c>
      <c r="BQ75" s="166">
        <v>0.0</v>
      </c>
      <c r="BR75" s="166">
        <v>0.0</v>
      </c>
      <c r="BS75" s="166">
        <v>0.0</v>
      </c>
      <c r="BT75" s="166">
        <v>0.0</v>
      </c>
      <c r="BU75" s="166">
        <v>0.0</v>
      </c>
      <c r="BV75" s="166">
        <v>0.0</v>
      </c>
      <c r="BW75" s="166">
        <v>0.0</v>
      </c>
      <c r="BX75" s="166">
        <v>0.0</v>
      </c>
      <c r="BY75" s="166">
        <v>0.0</v>
      </c>
      <c r="BZ75" s="166">
        <v>0.0</v>
      </c>
      <c r="CA75" s="166">
        <v>0.0</v>
      </c>
      <c r="CB75" s="166">
        <v>0.0</v>
      </c>
      <c r="CC75" s="166">
        <v>0.0</v>
      </c>
      <c r="CD75" s="166">
        <v>0.0</v>
      </c>
      <c r="CE75" s="166">
        <v>0.0</v>
      </c>
      <c r="CF75" s="166">
        <v>0.0</v>
      </c>
      <c r="CG75" s="166">
        <v>0.0</v>
      </c>
      <c r="CH75" s="166">
        <v>0.0</v>
      </c>
      <c r="CI75" s="166">
        <v>0.0</v>
      </c>
      <c r="CJ75" s="166">
        <v>0.0</v>
      </c>
      <c r="CK75" s="166">
        <v>0.0</v>
      </c>
      <c r="CL75" s="166">
        <v>0.0</v>
      </c>
      <c r="CM75" s="166">
        <v>0.0</v>
      </c>
      <c r="CN75" s="166">
        <v>0.0</v>
      </c>
      <c r="CO75" s="166">
        <v>0.0</v>
      </c>
      <c r="CP75" s="166">
        <v>0.0</v>
      </c>
      <c r="CQ75" s="166">
        <v>0.0</v>
      </c>
      <c r="CR75" s="166">
        <v>0.0</v>
      </c>
      <c r="CS75" s="166">
        <v>0.0</v>
      </c>
      <c r="CT75" s="166">
        <v>0.0</v>
      </c>
      <c r="CU75" s="166">
        <v>0.0</v>
      </c>
      <c r="CV75" s="162"/>
      <c r="CW75" s="162"/>
      <c r="CX75" s="162"/>
      <c r="CY75" s="162"/>
      <c r="CZ75" s="162"/>
      <c r="DA75" s="162"/>
      <c r="DB75" s="162"/>
      <c r="DC75" s="162"/>
    </row>
    <row r="76" ht="15.75" customHeight="1">
      <c r="A76" s="146" t="s">
        <v>174</v>
      </c>
      <c r="B76" s="146" t="s">
        <v>179</v>
      </c>
      <c r="C76" s="160" t="s">
        <v>253</v>
      </c>
      <c r="D76" s="161">
        <f t="shared" ref="D76:AL76" si="67">RANDBETWEEN(1000,2500)</f>
        <v>1729</v>
      </c>
      <c r="E76" s="161">
        <f t="shared" si="67"/>
        <v>1450</v>
      </c>
      <c r="F76" s="161">
        <f t="shared" si="67"/>
        <v>1186</v>
      </c>
      <c r="G76" s="161">
        <f t="shared" si="67"/>
        <v>1788</v>
      </c>
      <c r="H76" s="161">
        <f t="shared" si="67"/>
        <v>2202</v>
      </c>
      <c r="I76" s="161">
        <f t="shared" si="67"/>
        <v>2375</v>
      </c>
      <c r="J76" s="161">
        <f t="shared" si="67"/>
        <v>1933</v>
      </c>
      <c r="K76" s="161">
        <f t="shared" si="67"/>
        <v>1756</v>
      </c>
      <c r="L76" s="161">
        <f t="shared" si="67"/>
        <v>1771</v>
      </c>
      <c r="M76" s="161">
        <f t="shared" si="67"/>
        <v>1045</v>
      </c>
      <c r="N76" s="161">
        <f t="shared" si="67"/>
        <v>2078</v>
      </c>
      <c r="O76" s="161">
        <f t="shared" si="67"/>
        <v>2437</v>
      </c>
      <c r="P76" s="161">
        <f t="shared" si="67"/>
        <v>1609</v>
      </c>
      <c r="Q76" s="161">
        <f t="shared" si="67"/>
        <v>1706</v>
      </c>
      <c r="R76" s="161">
        <f t="shared" si="67"/>
        <v>1225</v>
      </c>
      <c r="S76" s="161">
        <f t="shared" si="67"/>
        <v>1688</v>
      </c>
      <c r="T76" s="161">
        <f t="shared" si="67"/>
        <v>1928</v>
      </c>
      <c r="U76" s="161">
        <f t="shared" si="67"/>
        <v>1745</v>
      </c>
      <c r="V76" s="161">
        <f t="shared" si="67"/>
        <v>1817</v>
      </c>
      <c r="W76" s="161">
        <f t="shared" si="67"/>
        <v>1630</v>
      </c>
      <c r="X76" s="161">
        <f t="shared" si="67"/>
        <v>2112</v>
      </c>
      <c r="Y76" s="161">
        <f t="shared" si="67"/>
        <v>1274</v>
      </c>
      <c r="Z76" s="161">
        <f t="shared" si="67"/>
        <v>1996</v>
      </c>
      <c r="AA76" s="161">
        <f t="shared" si="67"/>
        <v>1508</v>
      </c>
      <c r="AB76" s="161">
        <f t="shared" si="67"/>
        <v>2215</v>
      </c>
      <c r="AC76" s="161">
        <f t="shared" si="67"/>
        <v>1940</v>
      </c>
      <c r="AD76" s="161">
        <f t="shared" si="67"/>
        <v>1051</v>
      </c>
      <c r="AE76" s="161">
        <f t="shared" si="67"/>
        <v>2295</v>
      </c>
      <c r="AF76" s="161">
        <f t="shared" si="67"/>
        <v>2079</v>
      </c>
      <c r="AG76" s="161">
        <f t="shared" si="67"/>
        <v>1823</v>
      </c>
      <c r="AH76" s="161">
        <f t="shared" si="67"/>
        <v>1867</v>
      </c>
      <c r="AI76" s="161">
        <f t="shared" si="67"/>
        <v>1564</v>
      </c>
      <c r="AJ76" s="161">
        <f t="shared" si="67"/>
        <v>2196</v>
      </c>
      <c r="AK76" s="161">
        <f t="shared" si="67"/>
        <v>1144</v>
      </c>
      <c r="AL76" s="161">
        <f t="shared" si="67"/>
        <v>1201</v>
      </c>
      <c r="AM76" s="166">
        <f t="array" ref="AM76">INDEX(Expenses!$1:$398,MATCH($C76,Expenses!$A:$A,0),MATCH(AM$4,Expenses!$4:$4,0))</f>
        <v>35743.8</v>
      </c>
      <c r="AN76" s="166">
        <f t="array" ref="AN76">INDEX(Expenses!$1:$398,MATCH($C76,Expenses!$A:$A,0),MATCH(AN$4,Expenses!$4:$4,0))</f>
        <v>19242</v>
      </c>
      <c r="AO76" s="166">
        <f t="array" ref="AO76">INDEX(Expenses!$1:$398,MATCH($C76,Expenses!$A:$A,0),MATCH(AO$4,Expenses!$4:$4,0))</f>
        <v>8887.297681</v>
      </c>
      <c r="AP76" s="166">
        <f t="array" ref="AP76">INDEX(Expenses!$1:$398,MATCH($C76,Expenses!$A:$A,0),MATCH(AP$4,Expenses!$4:$4,0))</f>
        <v>8976.170658</v>
      </c>
      <c r="AQ76" s="166">
        <f t="array" ref="AQ76">INDEX(Expenses!$1:$398,MATCH($C76,Expenses!$A:$A,0),MATCH(AQ$4,Expenses!$4:$4,0))</f>
        <v>9065.932365</v>
      </c>
      <c r="AR76" s="166">
        <f t="array" ref="AR76">INDEX(Expenses!$1:$398,MATCH($C76,Expenses!$A:$A,0),MATCH(AR$4,Expenses!$4:$4,0))</f>
        <v>72150</v>
      </c>
      <c r="AS76" s="166">
        <f t="array" ref="AS76">INDEX(Expenses!$1:$398,MATCH($C76,Expenses!$A:$A,0),MATCH(AS$4,Expenses!$4:$4,0))</f>
        <v>9248.157605</v>
      </c>
      <c r="AT76" s="166">
        <f t="array" ref="AT76">INDEX(Expenses!$1:$398,MATCH($C76,Expenses!$A:$A,0),MATCH(AT$4,Expenses!$4:$4,0))</f>
        <v>9340.639181</v>
      </c>
      <c r="AU76" s="166">
        <f t="array" ref="AU76">INDEX(Expenses!$1:$398,MATCH($C76,Expenses!$A:$A,0),MATCH(AU$4,Expenses!$4:$4,0))</f>
        <v>9434.045573</v>
      </c>
      <c r="AV76" s="166">
        <f t="array" ref="AV76">INDEX(Expenses!$1:$398,MATCH($C76,Expenses!$A:$A,0),MATCH(AV$4,Expenses!$4:$4,0))</f>
        <v>74100</v>
      </c>
      <c r="AW76" s="166">
        <f t="array" ref="AW76">INDEX(Expenses!$1:$398,MATCH($C76,Expenses!$A:$A,0),MATCH(AW$4,Expenses!$4:$4,0))</f>
        <v>9623.669889</v>
      </c>
      <c r="AX76" s="166">
        <f t="array" ref="AX76">INDEX(Expenses!$1:$398,MATCH($C76,Expenses!$A:$A,0),MATCH(AX$4,Expenses!$4:$4,0))</f>
        <v>9719.906588</v>
      </c>
      <c r="AY76" s="166">
        <f t="array" ref="AY76">INDEX(Expenses!$1:$398,MATCH($C76,Expenses!$A:$A,0),MATCH(AY$4,Expenses!$4:$4,0))</f>
        <v>9817.105654</v>
      </c>
      <c r="AZ76" s="166">
        <f t="array" ref="AZ76">INDEX(Expenses!$1:$398,MATCH($C76,Expenses!$A:$A,0),MATCH(AZ$4,Expenses!$4:$4,0))</f>
        <v>78390</v>
      </c>
      <c r="BA76" s="166">
        <f t="array" ref="BA76">INDEX(Expenses!$1:$398,MATCH($C76,Expenses!$A:$A,0),MATCH(BA$4,Expenses!$4:$4,0))</f>
        <v>2945.420435</v>
      </c>
      <c r="BB76" s="166">
        <f t="array" ref="BB76">INDEX(Expenses!$1:$398,MATCH($C76,Expenses!$A:$A,0),MATCH(BB$4,Expenses!$4:$4,0))</f>
        <v>2974.874639</v>
      </c>
      <c r="BC76" s="166">
        <f t="array" ref="BC76">INDEX(Expenses!$1:$398,MATCH($C76,Expenses!$A:$A,0),MATCH(BC$4,Expenses!$4:$4,0))</f>
        <v>3004.623385</v>
      </c>
      <c r="BD76" s="166">
        <f t="array" ref="BD76">INDEX(Expenses!$1:$398,MATCH($C76,Expenses!$A:$A,0),MATCH(BD$4,Expenses!$4:$4,0))</f>
        <v>80340</v>
      </c>
      <c r="BE76" s="166">
        <f t="array" ref="BE76">INDEX(Expenses!$1:$398,MATCH($C76,Expenses!$A:$A,0),MATCH(BE$4,Expenses!$4:$4,0))</f>
        <v>3065.016315</v>
      </c>
      <c r="BF76" s="166">
        <f t="array" ref="BF76">INDEX(Expenses!$1:$398,MATCH($C76,Expenses!$A:$A,0),MATCH(BF$4,Expenses!$4:$4,0))</f>
        <v>3095.666479</v>
      </c>
      <c r="BG76" s="166">
        <f t="array" ref="BG76">INDEX(Expenses!$1:$398,MATCH($C76,Expenses!$A:$A,0),MATCH(BG$4,Expenses!$4:$4,0))</f>
        <v>3126.623143</v>
      </c>
      <c r="BH76" s="166">
        <f t="array" ref="BH76">INDEX(Expenses!$1:$398,MATCH($C76,Expenses!$A:$A,0),MATCH(BH$4,Expenses!$4:$4,0))</f>
        <v>82290</v>
      </c>
      <c r="BI76" s="166">
        <f t="array" ref="BI76">INDEX(Expenses!$1:$398,MATCH($C76,Expenses!$A:$A,0),MATCH(BI$4,Expenses!$4:$4,0))</f>
        <v>3189.468268</v>
      </c>
      <c r="BJ76" s="166">
        <f t="array" ref="BJ76">INDEX(Expenses!$1:$398,MATCH($C76,Expenses!$A:$A,0),MATCH(BJ$4,Expenses!$4:$4,0))</f>
        <v>3221.362951</v>
      </c>
      <c r="BK76" s="166">
        <f t="array" ref="BK76">INDEX(Expenses!$1:$398,MATCH($C76,Expenses!$A:$A,0),MATCH(BK$4,Expenses!$4:$4,0))</f>
        <v>3253.576581</v>
      </c>
      <c r="BL76" s="166">
        <f t="array" ref="BL76">INDEX(Expenses!$1:$398,MATCH($C76,Expenses!$A:$A,0),MATCH(BL$4,Expenses!$4:$4,0))</f>
        <v>83850</v>
      </c>
      <c r="BM76" s="166">
        <f t="array" ref="BM76">INDEX(Expenses!$1:$398,MATCH($C76,Expenses!$A:$A,0),MATCH(BM$4,Expenses!$4:$4,0))</f>
        <v>3318.97347</v>
      </c>
      <c r="BN76" s="166">
        <f t="array" ref="BN76">INDEX(Expenses!$1:$398,MATCH($C76,Expenses!$A:$A,0),MATCH(BN$4,Expenses!$4:$4,0))</f>
        <v>3352.163205</v>
      </c>
      <c r="BO76" s="166">
        <f t="array" ref="BO76">INDEX(Expenses!$1:$398,MATCH($C76,Expenses!$A:$A,0),MATCH(BO$4,Expenses!$4:$4,0))</f>
        <v>3385.684837</v>
      </c>
      <c r="BP76" s="166">
        <f t="array" ref="BP76">INDEX(Expenses!$1:$398,MATCH($C76,Expenses!$A:$A,0),MATCH(BP$4,Expenses!$4:$4,0))</f>
        <v>87750</v>
      </c>
      <c r="BQ76" s="166">
        <f t="array" ref="BQ76">INDEX(Expenses!$1:$398,MATCH($C76,Expenses!$A:$A,0),MATCH(BQ$4,Expenses!$4:$4,0))</f>
        <v>3453.737102</v>
      </c>
      <c r="BR76" s="166">
        <f t="array" ref="BR76">INDEX(Expenses!$1:$398,MATCH($C76,Expenses!$A:$A,0),MATCH(BR$4,Expenses!$4:$4,0))</f>
        <v>3488.274473</v>
      </c>
      <c r="BS76" s="166">
        <f t="array" ref="BS76">INDEX(Expenses!$1:$398,MATCH($C76,Expenses!$A:$A,0),MATCH(BS$4,Expenses!$4:$4,0))</f>
        <v>3523.157218</v>
      </c>
      <c r="BT76" s="166">
        <f t="array" ref="BT76">INDEX(Expenses!$1:$398,MATCH($C76,Expenses!$A:$A,0),MATCH(BT$4,Expenses!$4:$4,0))</f>
        <v>90480</v>
      </c>
      <c r="BU76" s="166">
        <f t="array" ref="BU76">INDEX(Expenses!$1:$398,MATCH($C76,Expenses!$A:$A,0),MATCH(BU$4,Expenses!$4:$4,0))</f>
        <v>3593.972678</v>
      </c>
      <c r="BV76" s="166">
        <f t="array" ref="BV76">INDEX(Expenses!$1:$398,MATCH($C76,Expenses!$A:$A,0),MATCH(BV$4,Expenses!$4:$4,0))</f>
        <v>3629.912405</v>
      </c>
      <c r="BW76" s="166">
        <f t="array" ref="BW76">INDEX(Expenses!$1:$398,MATCH($C76,Expenses!$A:$A,0),MATCH(BW$4,Expenses!$4:$4,0))</f>
        <v>3666.211529</v>
      </c>
      <c r="BX76" s="166">
        <f t="array" ref="BX76">INDEX(Expenses!$1:$398,MATCH($C76,Expenses!$A:$A,0),MATCH(BX$4,Expenses!$4:$4,0))</f>
        <v>93210</v>
      </c>
      <c r="BY76" s="166">
        <f t="array" ref="BY76">INDEX(Expenses!$1:$398,MATCH($C76,Expenses!$A:$A,0),MATCH(BY$4,Expenses!$4:$4,0))</f>
        <v>3739.90238</v>
      </c>
      <c r="BZ76" s="166">
        <f t="array" ref="BZ76">INDEX(Expenses!$1:$398,MATCH($C76,Expenses!$A:$A,0),MATCH(BZ$4,Expenses!$4:$4,0))</f>
        <v>3777.301404</v>
      </c>
      <c r="CA76" s="166">
        <f t="array" ref="CA76">INDEX(Expenses!$1:$398,MATCH($C76,Expenses!$A:$A,0),MATCH(CA$4,Expenses!$4:$4,0))</f>
        <v>3815.074418</v>
      </c>
      <c r="CB76" s="166">
        <f t="array" ref="CB76">INDEX(Expenses!$1:$398,MATCH($C76,Expenses!$A:$A,0),MATCH(CB$4,Expenses!$4:$4,0))</f>
        <v>104520</v>
      </c>
      <c r="CC76" s="166">
        <f t="array" ref="CC76">INDEX(Expenses!$1:$398,MATCH($C76,Expenses!$A:$A,0),MATCH(CC$4,Expenses!$4:$4,0))</f>
        <v>3891.757414</v>
      </c>
      <c r="CD76" s="166">
        <f t="array" ref="CD76">INDEX(Expenses!$1:$398,MATCH($C76,Expenses!$A:$A,0),MATCH(CD$4,Expenses!$4:$4,0))</f>
        <v>3930.674988</v>
      </c>
      <c r="CE76" s="166">
        <f t="array" ref="CE76">INDEX(Expenses!$1:$398,MATCH($C76,Expenses!$A:$A,0),MATCH(CE$4,Expenses!$4:$4,0))</f>
        <v>3969.981738</v>
      </c>
      <c r="CF76" s="166">
        <f t="array" ref="CF76">INDEX(Expenses!$1:$398,MATCH($C76,Expenses!$A:$A,0),MATCH(CF$4,Expenses!$4:$4,0))</f>
        <v>107640</v>
      </c>
      <c r="CG76" s="166">
        <f t="array" ref="CG76">INDEX(Expenses!$1:$398,MATCH($C76,Expenses!$A:$A,0),MATCH(CG$4,Expenses!$4:$4,0))</f>
        <v>4049.778371</v>
      </c>
      <c r="CH76" s="166">
        <f t="array" ref="CH76">INDEX(Expenses!$1:$398,MATCH($C76,Expenses!$A:$A,0),MATCH(CH$4,Expenses!$4:$4,0))</f>
        <v>4090.276155</v>
      </c>
      <c r="CI76" s="166">
        <f t="array" ref="CI76">INDEX(Expenses!$1:$398,MATCH($C76,Expenses!$A:$A,0),MATCH(CI$4,Expenses!$4:$4,0))</f>
        <v>4131.178916</v>
      </c>
      <c r="CJ76" s="166">
        <f t="array" ref="CJ76">INDEX(Expenses!$1:$398,MATCH($C76,Expenses!$A:$A,0),MATCH(CJ$4,Expenses!$4:$4,0))</f>
        <v>109980</v>
      </c>
      <c r="CK76" s="166">
        <f t="array" ref="CK76">INDEX(Expenses!$1:$398,MATCH($C76,Expenses!$A:$A,0),MATCH(CK$4,Expenses!$4:$4,0))</f>
        <v>4214.215612</v>
      </c>
      <c r="CL76" s="166">
        <f t="array" ref="CL76">INDEX(Expenses!$1:$398,MATCH($C76,Expenses!$A:$A,0),MATCH(CL$4,Expenses!$4:$4,0))</f>
        <v>4256.357768</v>
      </c>
      <c r="CM76" s="166">
        <f t="array" ref="CM76">INDEX(Expenses!$1:$398,MATCH($C76,Expenses!$A:$A,0),MATCH(CM$4,Expenses!$4:$4,0))</f>
        <v>4298.921346</v>
      </c>
      <c r="CN76" s="166">
        <f t="array" ref="CN76">INDEX(Expenses!$1:$398,MATCH($C76,Expenses!$A:$A,0),MATCH(CN$4,Expenses!$4:$4,0))</f>
        <v>113100</v>
      </c>
      <c r="CO76" s="166">
        <f t="array" ref="CO76">INDEX(Expenses!$1:$398,MATCH($C76,Expenses!$A:$A,0),MATCH(CO$4,Expenses!$4:$4,0))</f>
        <v>4385.329665</v>
      </c>
      <c r="CP76" s="166">
        <f t="array" ref="CP76">INDEX(Expenses!$1:$398,MATCH($C76,Expenses!$A:$A,0),MATCH(CP$4,Expenses!$4:$4,0))</f>
        <v>4429.182962</v>
      </c>
      <c r="CQ76" s="166">
        <f t="array" ref="CQ76">INDEX(Expenses!$1:$398,MATCH($C76,Expenses!$A:$A,0),MATCH(CQ$4,Expenses!$4:$4,0))</f>
        <v>4473.474791</v>
      </c>
      <c r="CR76" s="166">
        <f t="array" ref="CR76">INDEX(Expenses!$1:$398,MATCH($C76,Expenses!$A:$A,0),MATCH(CR$4,Expenses!$4:$4,0))</f>
        <v>114660</v>
      </c>
      <c r="CS76" s="166">
        <f t="array" ref="CS76">INDEX(Expenses!$1:$398,MATCH($C76,Expenses!$A:$A,0),MATCH(CS$4,Expenses!$4:$4,0))</f>
        <v>4563.391635</v>
      </c>
      <c r="CT76" s="166">
        <f t="array" ref="CT76">INDEX(Expenses!$1:$398,MATCH($C76,Expenses!$A:$A,0),MATCH(CT$4,Expenses!$4:$4,0))</f>
        <v>4609.025551</v>
      </c>
      <c r="CU76" s="166">
        <f t="array" ref="CU76">INDEX(Expenses!$1:$398,MATCH($C76,Expenses!$A:$A,0),MATCH(CU$4,Expenses!$4:$4,0))</f>
        <v>4655.115807</v>
      </c>
      <c r="CV76" s="162"/>
      <c r="CW76" s="162"/>
      <c r="CX76" s="162"/>
      <c r="CY76" s="162"/>
      <c r="CZ76" s="162"/>
      <c r="DA76" s="162"/>
      <c r="DB76" s="162"/>
      <c r="DC76" s="162"/>
    </row>
    <row r="77" ht="15.75" customHeight="1">
      <c r="A77" s="146" t="s">
        <v>174</v>
      </c>
      <c r="B77" s="146" t="s">
        <v>72</v>
      </c>
      <c r="C77" s="160" t="s">
        <v>254</v>
      </c>
      <c r="D77" s="161">
        <f t="shared" ref="D77:AL77" si="68">RANDBETWEEN(1000,2500)</f>
        <v>1531</v>
      </c>
      <c r="E77" s="161">
        <f t="shared" si="68"/>
        <v>1327</v>
      </c>
      <c r="F77" s="161">
        <f t="shared" si="68"/>
        <v>2031</v>
      </c>
      <c r="G77" s="161">
        <f t="shared" si="68"/>
        <v>2350</v>
      </c>
      <c r="H77" s="161">
        <f t="shared" si="68"/>
        <v>1898</v>
      </c>
      <c r="I77" s="161">
        <f t="shared" si="68"/>
        <v>1096</v>
      </c>
      <c r="J77" s="161">
        <f t="shared" si="68"/>
        <v>1213</v>
      </c>
      <c r="K77" s="161">
        <f t="shared" si="68"/>
        <v>2002</v>
      </c>
      <c r="L77" s="161">
        <f t="shared" si="68"/>
        <v>1638</v>
      </c>
      <c r="M77" s="161">
        <f t="shared" si="68"/>
        <v>2179</v>
      </c>
      <c r="N77" s="161">
        <f t="shared" si="68"/>
        <v>1043</v>
      </c>
      <c r="O77" s="161">
        <f t="shared" si="68"/>
        <v>2014</v>
      </c>
      <c r="P77" s="161">
        <f t="shared" si="68"/>
        <v>2301</v>
      </c>
      <c r="Q77" s="161">
        <f t="shared" si="68"/>
        <v>1448</v>
      </c>
      <c r="R77" s="161">
        <f t="shared" si="68"/>
        <v>2139</v>
      </c>
      <c r="S77" s="161">
        <f t="shared" si="68"/>
        <v>2421</v>
      </c>
      <c r="T77" s="161">
        <f t="shared" si="68"/>
        <v>1974</v>
      </c>
      <c r="U77" s="161">
        <f t="shared" si="68"/>
        <v>1455</v>
      </c>
      <c r="V77" s="161">
        <f t="shared" si="68"/>
        <v>1610</v>
      </c>
      <c r="W77" s="161">
        <f t="shared" si="68"/>
        <v>2151</v>
      </c>
      <c r="X77" s="161">
        <f t="shared" si="68"/>
        <v>1552</v>
      </c>
      <c r="Y77" s="161">
        <f t="shared" si="68"/>
        <v>1178</v>
      </c>
      <c r="Z77" s="161">
        <f t="shared" si="68"/>
        <v>1489</v>
      </c>
      <c r="AA77" s="161">
        <f t="shared" si="68"/>
        <v>2021</v>
      </c>
      <c r="AB77" s="161">
        <f t="shared" si="68"/>
        <v>1734</v>
      </c>
      <c r="AC77" s="161">
        <f t="shared" si="68"/>
        <v>2380</v>
      </c>
      <c r="AD77" s="161">
        <f t="shared" si="68"/>
        <v>1017</v>
      </c>
      <c r="AE77" s="161">
        <f t="shared" si="68"/>
        <v>1133</v>
      </c>
      <c r="AF77" s="161">
        <f t="shared" si="68"/>
        <v>1129</v>
      </c>
      <c r="AG77" s="161">
        <f t="shared" si="68"/>
        <v>2281</v>
      </c>
      <c r="AH77" s="161">
        <f t="shared" si="68"/>
        <v>1373</v>
      </c>
      <c r="AI77" s="161">
        <f t="shared" si="68"/>
        <v>1096</v>
      </c>
      <c r="AJ77" s="161">
        <f t="shared" si="68"/>
        <v>1704</v>
      </c>
      <c r="AK77" s="161">
        <f t="shared" si="68"/>
        <v>2131</v>
      </c>
      <c r="AL77" s="161">
        <f t="shared" si="68"/>
        <v>2251</v>
      </c>
      <c r="AM77" s="166">
        <f t="array" ref="AM77">INDEX(Expenses!$1:$398,MATCH($C77,Expenses!$A:$A,0),MATCH(AM$4,Expenses!$4:$4,0))</f>
        <v>1061.842973</v>
      </c>
      <c r="AN77" s="166">
        <f t="array" ref="AN77">INDEX(Expenses!$1:$398,MATCH($C77,Expenses!$A:$A,0),MATCH(AN$4,Expenses!$4:$4,0))</f>
        <v>1250.592294</v>
      </c>
      <c r="AO77" s="166">
        <f t="array" ref="AO77">INDEX(Expenses!$1:$398,MATCH($C77,Expenses!$A:$A,0),MATCH(AO$4,Expenses!$4:$4,0))</f>
        <v>1437.12323</v>
      </c>
      <c r="AP77" s="166">
        <f t="array" ref="AP77">INDEX(Expenses!$1:$398,MATCH($C77,Expenses!$A:$A,0),MATCH(AP$4,Expenses!$4:$4,0))</f>
        <v>1607.945921</v>
      </c>
      <c r="AQ77" s="166">
        <f t="array" ref="AQ77">INDEX(Expenses!$1:$398,MATCH($C77,Expenses!$A:$A,0),MATCH(AQ$4,Expenses!$4:$4,0))</f>
        <v>1771.522892</v>
      </c>
      <c r="AR77" s="166">
        <f t="array" ref="AR77">INDEX(Expenses!$1:$398,MATCH($C77,Expenses!$A:$A,0),MATCH(AR$4,Expenses!$4:$4,0))</f>
        <v>1934.050291</v>
      </c>
      <c r="AS77" s="166">
        <f t="array" ref="AS77">INDEX(Expenses!$1:$398,MATCH($C77,Expenses!$A:$A,0),MATCH(AS$4,Expenses!$4:$4,0))</f>
        <v>2097.536115</v>
      </c>
      <c r="AT77" s="166">
        <f t="array" ref="AT77">INDEX(Expenses!$1:$398,MATCH($C77,Expenses!$A:$A,0),MATCH(AT$4,Expenses!$4:$4,0))</f>
        <v>2244.90974</v>
      </c>
      <c r="AU77" s="166">
        <f t="array" ref="AU77">INDEX(Expenses!$1:$398,MATCH($C77,Expenses!$A:$A,0),MATCH(AU$4,Expenses!$4:$4,0))</f>
        <v>2389.438743</v>
      </c>
      <c r="AV77" s="166">
        <f t="array" ref="AV77">INDEX(Expenses!$1:$398,MATCH($C77,Expenses!$A:$A,0),MATCH(AV$4,Expenses!$4:$4,0))</f>
        <v>2530.941544</v>
      </c>
      <c r="AW77" s="166">
        <f t="array" ref="AW77">INDEX(Expenses!$1:$398,MATCH($C77,Expenses!$A:$A,0),MATCH(AW$4,Expenses!$4:$4,0))</f>
        <v>2662.483628</v>
      </c>
      <c r="AX77" s="166">
        <f t="array" ref="AX77">INDEX(Expenses!$1:$398,MATCH($C77,Expenses!$A:$A,0),MATCH(AX$4,Expenses!$4:$4,0))</f>
        <v>2792.755834</v>
      </c>
      <c r="AY77" s="166">
        <f t="array" ref="AY77">INDEX(Expenses!$1:$398,MATCH($C77,Expenses!$A:$A,0),MATCH(AY$4,Expenses!$4:$4,0))</f>
        <v>2924.668327</v>
      </c>
      <c r="AZ77" s="166">
        <f t="array" ref="AZ77">INDEX(Expenses!$1:$398,MATCH($C77,Expenses!$A:$A,0),MATCH(AZ$4,Expenses!$4:$4,0))</f>
        <v>3054.988571</v>
      </c>
      <c r="BA77" s="166">
        <f t="array" ref="BA77">INDEX(Expenses!$1:$398,MATCH($C77,Expenses!$A:$A,0),MATCH(BA$4,Expenses!$4:$4,0))</f>
        <v>3078.198262</v>
      </c>
      <c r="BB77" s="166">
        <f t="array" ref="BB77">INDEX(Expenses!$1:$398,MATCH($C77,Expenses!$A:$A,0),MATCH(BB$4,Expenses!$4:$4,0))</f>
        <v>3110.739388</v>
      </c>
      <c r="BC77" s="166">
        <f t="array" ref="BC77">INDEX(Expenses!$1:$398,MATCH($C77,Expenses!$A:$A,0),MATCH(BC$4,Expenses!$4:$4,0))</f>
        <v>3152.919379</v>
      </c>
      <c r="BD77" s="166">
        <f t="array" ref="BD77">INDEX(Expenses!$1:$398,MATCH($C77,Expenses!$A:$A,0),MATCH(BD$4,Expenses!$4:$4,0))</f>
        <v>3197.699018</v>
      </c>
      <c r="BE77" s="166">
        <f t="array" ref="BE77">INDEX(Expenses!$1:$398,MATCH($C77,Expenses!$A:$A,0),MATCH(BE$4,Expenses!$4:$4,0))</f>
        <v>3244.271679</v>
      </c>
      <c r="BF77" s="166">
        <f t="array" ref="BF77">INDEX(Expenses!$1:$398,MATCH($C77,Expenses!$A:$A,0),MATCH(BF$4,Expenses!$4:$4,0))</f>
        <v>3290.335363</v>
      </c>
      <c r="BG77" s="166">
        <f t="array" ref="BG77">INDEX(Expenses!$1:$398,MATCH($C77,Expenses!$A:$A,0),MATCH(BG$4,Expenses!$4:$4,0))</f>
        <v>3345.946685</v>
      </c>
      <c r="BH77" s="166">
        <f t="array" ref="BH77">INDEX(Expenses!$1:$398,MATCH($C77,Expenses!$A:$A,0),MATCH(BH$4,Expenses!$4:$4,0))</f>
        <v>3390.831901</v>
      </c>
      <c r="BI77" s="166">
        <f t="array" ref="BI77">INDEX(Expenses!$1:$398,MATCH($C77,Expenses!$A:$A,0),MATCH(BI$4,Expenses!$4:$4,0))</f>
        <v>3435.079868</v>
      </c>
      <c r="BJ77" s="166">
        <f t="array" ref="BJ77">INDEX(Expenses!$1:$398,MATCH($C77,Expenses!$A:$A,0),MATCH(BJ$4,Expenses!$4:$4,0))</f>
        <v>3478.716111</v>
      </c>
      <c r="BK77" s="166">
        <f t="array" ref="BK77">INDEX(Expenses!$1:$398,MATCH($C77,Expenses!$A:$A,0),MATCH(BK$4,Expenses!$4:$4,0))</f>
        <v>3521.770288</v>
      </c>
      <c r="BL77" s="166">
        <f t="array" ref="BL77">INDEX(Expenses!$1:$398,MATCH($C77,Expenses!$A:$A,0),MATCH(BL$4,Expenses!$4:$4,0))</f>
        <v>3615.549451</v>
      </c>
      <c r="BM77" s="166">
        <f t="array" ref="BM77">INDEX(Expenses!$1:$398,MATCH($C77,Expenses!$A:$A,0),MATCH(BM$4,Expenses!$4:$4,0))</f>
        <v>3686.142162</v>
      </c>
      <c r="BN77" s="166">
        <f t="array" ref="BN77">INDEX(Expenses!$1:$398,MATCH($C77,Expenses!$A:$A,0),MATCH(BN$4,Expenses!$4:$4,0))</f>
        <v>3754.558438</v>
      </c>
      <c r="BO77" s="166">
        <f t="array" ref="BO77">INDEX(Expenses!$1:$398,MATCH($C77,Expenses!$A:$A,0),MATCH(BO$4,Expenses!$4:$4,0))</f>
        <v>3821.214116</v>
      </c>
      <c r="BP77" s="166">
        <f t="array" ref="BP77">INDEX(Expenses!$1:$398,MATCH($C77,Expenses!$A:$A,0),MATCH(BP$4,Expenses!$4:$4,0))</f>
        <v>3886.378057</v>
      </c>
      <c r="BQ77" s="166">
        <f t="array" ref="BQ77">INDEX(Expenses!$1:$398,MATCH($C77,Expenses!$A:$A,0),MATCH(BQ$4,Expenses!$4:$4,0))</f>
        <v>3950.223421</v>
      </c>
      <c r="BR77" s="166">
        <f t="array" ref="BR77">INDEX(Expenses!$1:$398,MATCH($C77,Expenses!$A:$A,0),MATCH(BR$4,Expenses!$4:$4,0))</f>
        <v>4012.882215</v>
      </c>
      <c r="BS77" s="166">
        <f t="array" ref="BS77">INDEX(Expenses!$1:$398,MATCH($C77,Expenses!$A:$A,0),MATCH(BS$4,Expenses!$4:$4,0))</f>
        <v>4074.462094</v>
      </c>
      <c r="BT77" s="166">
        <f t="array" ref="BT77">INDEX(Expenses!$1:$398,MATCH($C77,Expenses!$A:$A,0),MATCH(BT$4,Expenses!$4:$4,0))</f>
        <v>4135.053929</v>
      </c>
      <c r="BU77" s="166">
        <f t="array" ref="BU77">INDEX(Expenses!$1:$398,MATCH($C77,Expenses!$A:$A,0),MATCH(BU$4,Expenses!$4:$4,0))</f>
        <v>4194.736224</v>
      </c>
      <c r="BV77" s="166">
        <f t="array" ref="BV77">INDEX(Expenses!$1:$398,MATCH($C77,Expenses!$A:$A,0),MATCH(BV$4,Expenses!$4:$4,0))</f>
        <v>4253.578057</v>
      </c>
      <c r="BW77" s="166">
        <f t="array" ref="BW77">INDEX(Expenses!$1:$398,MATCH($C77,Expenses!$A:$A,0),MATCH(BW$4,Expenses!$4:$4,0))</f>
        <v>4311.64117</v>
      </c>
      <c r="BX77" s="166">
        <f t="array" ref="BX77">INDEX(Expenses!$1:$398,MATCH($C77,Expenses!$A:$A,0),MATCH(BX$4,Expenses!$4:$4,0))</f>
        <v>4395.556759</v>
      </c>
      <c r="BY77" s="166">
        <f t="array" ref="BY77">INDEX(Expenses!$1:$398,MATCH($C77,Expenses!$A:$A,0),MATCH(BY$4,Expenses!$4:$4,0))</f>
        <v>4460.69454</v>
      </c>
      <c r="BZ77" s="166">
        <f t="array" ref="BZ77">INDEX(Expenses!$1:$398,MATCH($C77,Expenses!$A:$A,0),MATCH(BZ$4,Expenses!$4:$4,0))</f>
        <v>4519.686484</v>
      </c>
      <c r="CA77" s="166">
        <f t="array" ref="CA77">INDEX(Expenses!$1:$398,MATCH($C77,Expenses!$A:$A,0),MATCH(CA$4,Expenses!$4:$4,0))</f>
        <v>4577.512608</v>
      </c>
      <c r="CB77" s="166">
        <f t="array" ref="CB77">INDEX(Expenses!$1:$398,MATCH($C77,Expenses!$A:$A,0),MATCH(CB$4,Expenses!$4:$4,0))</f>
        <v>4635.052403</v>
      </c>
      <c r="CC77" s="166">
        <f t="array" ref="CC77">INDEX(Expenses!$1:$398,MATCH($C77,Expenses!$A:$A,0),MATCH(CC$4,Expenses!$4:$4,0))</f>
        <v>4692.327992</v>
      </c>
      <c r="CD77" s="166">
        <f t="array" ref="CD77">INDEX(Expenses!$1:$398,MATCH($C77,Expenses!$A:$A,0),MATCH(CD$4,Expenses!$4:$4,0))</f>
        <v>4749.377521</v>
      </c>
      <c r="CE77" s="166">
        <f t="array" ref="CE77">INDEX(Expenses!$1:$398,MATCH($C77,Expenses!$A:$A,0),MATCH(CE$4,Expenses!$4:$4,0))</f>
        <v>4806.23784</v>
      </c>
      <c r="CF77" s="166">
        <f t="array" ref="CF77">INDEX(Expenses!$1:$398,MATCH($C77,Expenses!$A:$A,0),MATCH(CF$4,Expenses!$4:$4,0))</f>
        <v>4862.943841</v>
      </c>
      <c r="CG77" s="166">
        <f t="array" ref="CG77">INDEX(Expenses!$1:$398,MATCH($C77,Expenses!$A:$A,0),MATCH(CG$4,Expenses!$4:$4,0))</f>
        <v>4919.529073</v>
      </c>
      <c r="CH77" s="166">
        <f t="array" ref="CH77">INDEX(Expenses!$1:$398,MATCH($C77,Expenses!$A:$A,0),MATCH(CH$4,Expenses!$4:$4,0))</f>
        <v>4976.026122</v>
      </c>
      <c r="CI77" s="166">
        <f t="array" ref="CI77">INDEX(Expenses!$1:$398,MATCH($C77,Expenses!$A:$A,0),MATCH(CI$4,Expenses!$4:$4,0))</f>
        <v>5032.4668</v>
      </c>
      <c r="CJ77" s="166">
        <f t="array" ref="CJ77">INDEX(Expenses!$1:$398,MATCH($C77,Expenses!$A:$A,0),MATCH(CJ$4,Expenses!$4:$4,0))</f>
        <v>5109.651509</v>
      </c>
      <c r="CK77" s="166">
        <f t="array" ref="CK77">INDEX(Expenses!$1:$398,MATCH($C77,Expenses!$A:$A,0),MATCH(CK$4,Expenses!$4:$4,0))</f>
        <v>5145.728213</v>
      </c>
      <c r="CL77" s="166">
        <f t="array" ref="CL77">INDEX(Expenses!$1:$398,MATCH($C77,Expenses!$A:$A,0),MATCH(CL$4,Expenses!$4:$4,0))</f>
        <v>5180.212403</v>
      </c>
      <c r="CM77" s="166">
        <f t="array" ref="CM77">INDEX(Expenses!$1:$398,MATCH($C77,Expenses!$A:$A,0),MATCH(CM$4,Expenses!$4:$4,0))</f>
        <v>5216.496491</v>
      </c>
      <c r="CN77" s="166">
        <f t="array" ref="CN77">INDEX(Expenses!$1:$398,MATCH($C77,Expenses!$A:$A,0),MATCH(CN$4,Expenses!$4:$4,0))</f>
        <v>5253.828916</v>
      </c>
      <c r="CO77" s="166">
        <f t="array" ref="CO77">INDEX(Expenses!$1:$398,MATCH($C77,Expenses!$A:$A,0),MATCH(CO$4,Expenses!$4:$4,0))</f>
        <v>5291.644583</v>
      </c>
      <c r="CP77" s="166">
        <f t="array" ref="CP77">INDEX(Expenses!$1:$398,MATCH($C77,Expenses!$A:$A,0),MATCH(CP$4,Expenses!$4:$4,0))</f>
        <v>5329.707132</v>
      </c>
      <c r="CQ77" s="166">
        <f t="array" ref="CQ77">INDEX(Expenses!$1:$398,MATCH($C77,Expenses!$A:$A,0),MATCH(CQ$4,Expenses!$4:$4,0))</f>
        <v>5367.895658</v>
      </c>
      <c r="CR77" s="166">
        <f t="array" ref="CR77">INDEX(Expenses!$1:$398,MATCH($C77,Expenses!$A:$A,0),MATCH(CR$4,Expenses!$4:$4,0))</f>
        <v>5406.141901</v>
      </c>
      <c r="CS77" s="166">
        <f t="array" ref="CS77">INDEX(Expenses!$1:$398,MATCH($C77,Expenses!$A:$A,0),MATCH(CS$4,Expenses!$4:$4,0))</f>
        <v>5444.406762</v>
      </c>
      <c r="CT77" s="166">
        <f t="array" ref="CT77">INDEX(Expenses!$1:$398,MATCH($C77,Expenses!$A:$A,0),MATCH(CT$4,Expenses!$4:$4,0))</f>
        <v>5482.669429</v>
      </c>
      <c r="CU77" s="166">
        <f t="array" ref="CU77">INDEX(Expenses!$1:$398,MATCH($C77,Expenses!$A:$A,0),MATCH(CU$4,Expenses!$4:$4,0))</f>
        <v>5520.921378</v>
      </c>
      <c r="CV77" s="162"/>
      <c r="CW77" s="162"/>
      <c r="CX77" s="162"/>
      <c r="CY77" s="162"/>
      <c r="CZ77" s="162"/>
      <c r="DA77" s="162"/>
      <c r="DB77" s="162"/>
      <c r="DC77" s="162"/>
    </row>
    <row r="78" ht="15.75" customHeight="1">
      <c r="A78" s="146" t="s">
        <v>174</v>
      </c>
      <c r="B78" s="146" t="s">
        <v>72</v>
      </c>
      <c r="C78" s="160" t="s">
        <v>255</v>
      </c>
      <c r="D78" s="161">
        <f t="shared" ref="D78:AL78" si="69">RANDBETWEEN(1000,2500)</f>
        <v>1226</v>
      </c>
      <c r="E78" s="161">
        <f t="shared" si="69"/>
        <v>2369</v>
      </c>
      <c r="F78" s="161">
        <f t="shared" si="69"/>
        <v>1840</v>
      </c>
      <c r="G78" s="161">
        <f t="shared" si="69"/>
        <v>2006</v>
      </c>
      <c r="H78" s="161">
        <f t="shared" si="69"/>
        <v>2472</v>
      </c>
      <c r="I78" s="161">
        <f t="shared" si="69"/>
        <v>2424</v>
      </c>
      <c r="J78" s="161">
        <f t="shared" si="69"/>
        <v>1465</v>
      </c>
      <c r="K78" s="161">
        <f t="shared" si="69"/>
        <v>2298</v>
      </c>
      <c r="L78" s="161">
        <f t="shared" si="69"/>
        <v>1833</v>
      </c>
      <c r="M78" s="161">
        <f t="shared" si="69"/>
        <v>1375</v>
      </c>
      <c r="N78" s="161">
        <f t="shared" si="69"/>
        <v>2008</v>
      </c>
      <c r="O78" s="161">
        <f t="shared" si="69"/>
        <v>1865</v>
      </c>
      <c r="P78" s="161">
        <f t="shared" si="69"/>
        <v>1361</v>
      </c>
      <c r="Q78" s="161">
        <f t="shared" si="69"/>
        <v>1859</v>
      </c>
      <c r="R78" s="161">
        <f t="shared" si="69"/>
        <v>2345</v>
      </c>
      <c r="S78" s="161">
        <f t="shared" si="69"/>
        <v>2063</v>
      </c>
      <c r="T78" s="161">
        <f t="shared" si="69"/>
        <v>1310</v>
      </c>
      <c r="U78" s="161">
        <f t="shared" si="69"/>
        <v>1233</v>
      </c>
      <c r="V78" s="161">
        <f t="shared" si="69"/>
        <v>1041</v>
      </c>
      <c r="W78" s="161">
        <f t="shared" si="69"/>
        <v>1443</v>
      </c>
      <c r="X78" s="161">
        <f t="shared" si="69"/>
        <v>1316</v>
      </c>
      <c r="Y78" s="161">
        <f t="shared" si="69"/>
        <v>1499</v>
      </c>
      <c r="Z78" s="161">
        <f t="shared" si="69"/>
        <v>2372</v>
      </c>
      <c r="AA78" s="161">
        <f t="shared" si="69"/>
        <v>1167</v>
      </c>
      <c r="AB78" s="161">
        <f t="shared" si="69"/>
        <v>2050</v>
      </c>
      <c r="AC78" s="161">
        <f t="shared" si="69"/>
        <v>2144</v>
      </c>
      <c r="AD78" s="161">
        <f t="shared" si="69"/>
        <v>1048</v>
      </c>
      <c r="AE78" s="161">
        <f t="shared" si="69"/>
        <v>1643</v>
      </c>
      <c r="AF78" s="161">
        <f t="shared" si="69"/>
        <v>2166</v>
      </c>
      <c r="AG78" s="161">
        <f t="shared" si="69"/>
        <v>2351</v>
      </c>
      <c r="AH78" s="161">
        <f t="shared" si="69"/>
        <v>2213</v>
      </c>
      <c r="AI78" s="161">
        <f t="shared" si="69"/>
        <v>2010</v>
      </c>
      <c r="AJ78" s="161">
        <f t="shared" si="69"/>
        <v>2300</v>
      </c>
      <c r="AK78" s="161">
        <f t="shared" si="69"/>
        <v>1890</v>
      </c>
      <c r="AL78" s="161">
        <f t="shared" si="69"/>
        <v>1583</v>
      </c>
      <c r="AM78" s="166">
        <f t="array" ref="AM78">INDEX(Expenses!$1:$398,MATCH($C78,Expenses!$A:$A,0),MATCH(AM$4,Expenses!$4:$4,0))</f>
        <v>2831.581261</v>
      </c>
      <c r="AN78" s="166">
        <f t="array" ref="AN78">INDEX(Expenses!$1:$398,MATCH($C78,Expenses!$A:$A,0),MATCH(AN$4,Expenses!$4:$4,0))</f>
        <v>3334.912784</v>
      </c>
      <c r="AO78" s="166">
        <f t="array" ref="AO78">INDEX(Expenses!$1:$398,MATCH($C78,Expenses!$A:$A,0),MATCH(AO$4,Expenses!$4:$4,0))</f>
        <v>3832.328613</v>
      </c>
      <c r="AP78" s="166">
        <f t="array" ref="AP78">INDEX(Expenses!$1:$398,MATCH($C78,Expenses!$A:$A,0),MATCH(AP$4,Expenses!$4:$4,0))</f>
        <v>4287.855789</v>
      </c>
      <c r="AQ78" s="166">
        <f t="array" ref="AQ78">INDEX(Expenses!$1:$398,MATCH($C78,Expenses!$A:$A,0),MATCH(AQ$4,Expenses!$4:$4,0))</f>
        <v>4724.061046</v>
      </c>
      <c r="AR78" s="166">
        <f t="array" ref="AR78">INDEX(Expenses!$1:$398,MATCH($C78,Expenses!$A:$A,0),MATCH(AR$4,Expenses!$4:$4,0))</f>
        <v>5157.467442</v>
      </c>
      <c r="AS78" s="166">
        <f t="array" ref="AS78">INDEX(Expenses!$1:$398,MATCH($C78,Expenses!$A:$A,0),MATCH(AS$4,Expenses!$4:$4,0))</f>
        <v>5593.429641</v>
      </c>
      <c r="AT78" s="166">
        <f t="array" ref="AT78">INDEX(Expenses!$1:$398,MATCH($C78,Expenses!$A:$A,0),MATCH(AT$4,Expenses!$4:$4,0))</f>
        <v>5986.425974</v>
      </c>
      <c r="AU78" s="166">
        <f t="array" ref="AU78">INDEX(Expenses!$1:$398,MATCH($C78,Expenses!$A:$A,0),MATCH(AU$4,Expenses!$4:$4,0))</f>
        <v>6371.836649</v>
      </c>
      <c r="AV78" s="166">
        <f t="array" ref="AV78">INDEX(Expenses!$1:$398,MATCH($C78,Expenses!$A:$A,0),MATCH(AV$4,Expenses!$4:$4,0))</f>
        <v>6749.17745</v>
      </c>
      <c r="AW78" s="166">
        <f t="array" ref="AW78">INDEX(Expenses!$1:$398,MATCH($C78,Expenses!$A:$A,0),MATCH(AW$4,Expenses!$4:$4,0))</f>
        <v>7099.956342</v>
      </c>
      <c r="AX78" s="166">
        <f t="array" ref="AX78">INDEX(Expenses!$1:$398,MATCH($C78,Expenses!$A:$A,0),MATCH(AX$4,Expenses!$4:$4,0))</f>
        <v>7447.348889</v>
      </c>
      <c r="AY78" s="166">
        <f t="array" ref="AY78">INDEX(Expenses!$1:$398,MATCH($C78,Expenses!$A:$A,0),MATCH(AY$4,Expenses!$4:$4,0))</f>
        <v>7799.115538</v>
      </c>
      <c r="AZ78" s="166">
        <f t="array" ref="AZ78">INDEX(Expenses!$1:$398,MATCH($C78,Expenses!$A:$A,0),MATCH(AZ$4,Expenses!$4:$4,0))</f>
        <v>8146.63619</v>
      </c>
      <c r="BA78" s="166">
        <f t="array" ref="BA78">INDEX(Expenses!$1:$398,MATCH($C78,Expenses!$A:$A,0),MATCH(BA$4,Expenses!$4:$4,0))</f>
        <v>8208.528697</v>
      </c>
      <c r="BB78" s="166">
        <f t="array" ref="BB78">INDEX(Expenses!$1:$398,MATCH($C78,Expenses!$A:$A,0),MATCH(BB$4,Expenses!$4:$4,0))</f>
        <v>8295.305035</v>
      </c>
      <c r="BC78" s="166">
        <f t="array" ref="BC78">INDEX(Expenses!$1:$398,MATCH($C78,Expenses!$A:$A,0),MATCH(BC$4,Expenses!$4:$4,0))</f>
        <v>8407.78501</v>
      </c>
      <c r="BD78" s="166">
        <f t="array" ref="BD78">INDEX(Expenses!$1:$398,MATCH($C78,Expenses!$A:$A,0),MATCH(BD$4,Expenses!$4:$4,0))</f>
        <v>8527.197381</v>
      </c>
      <c r="BE78" s="166">
        <f t="array" ref="BE78">INDEX(Expenses!$1:$398,MATCH($C78,Expenses!$A:$A,0),MATCH(BE$4,Expenses!$4:$4,0))</f>
        <v>8651.391145</v>
      </c>
      <c r="BF78" s="166">
        <f t="array" ref="BF78">INDEX(Expenses!$1:$398,MATCH($C78,Expenses!$A:$A,0),MATCH(BF$4,Expenses!$4:$4,0))</f>
        <v>8774.227634</v>
      </c>
      <c r="BG78" s="166">
        <f t="array" ref="BG78">INDEX(Expenses!$1:$398,MATCH($C78,Expenses!$A:$A,0),MATCH(BG$4,Expenses!$4:$4,0))</f>
        <v>8922.524494</v>
      </c>
      <c r="BH78" s="166">
        <f t="array" ref="BH78">INDEX(Expenses!$1:$398,MATCH($C78,Expenses!$A:$A,0),MATCH(BH$4,Expenses!$4:$4,0))</f>
        <v>9042.218402</v>
      </c>
      <c r="BI78" s="166">
        <f t="array" ref="BI78">INDEX(Expenses!$1:$398,MATCH($C78,Expenses!$A:$A,0),MATCH(BI$4,Expenses!$4:$4,0))</f>
        <v>9160.212983</v>
      </c>
      <c r="BJ78" s="166">
        <f t="array" ref="BJ78">INDEX(Expenses!$1:$398,MATCH($C78,Expenses!$A:$A,0),MATCH(BJ$4,Expenses!$4:$4,0))</f>
        <v>9276.576296</v>
      </c>
      <c r="BK78" s="166">
        <f t="array" ref="BK78">INDEX(Expenses!$1:$398,MATCH($C78,Expenses!$A:$A,0),MATCH(BK$4,Expenses!$4:$4,0))</f>
        <v>9391.387434</v>
      </c>
      <c r="BL78" s="166">
        <f t="array" ref="BL78">INDEX(Expenses!$1:$398,MATCH($C78,Expenses!$A:$A,0),MATCH(BL$4,Expenses!$4:$4,0))</f>
        <v>9641.465204</v>
      </c>
      <c r="BM78" s="166">
        <f t="array" ref="BM78">INDEX(Expenses!$1:$398,MATCH($C78,Expenses!$A:$A,0),MATCH(BM$4,Expenses!$4:$4,0))</f>
        <v>9829.712432</v>
      </c>
      <c r="BN78" s="166">
        <f t="array" ref="BN78">INDEX(Expenses!$1:$398,MATCH($C78,Expenses!$A:$A,0),MATCH(BN$4,Expenses!$4:$4,0))</f>
        <v>10012.15584</v>
      </c>
      <c r="BO78" s="166">
        <f t="array" ref="BO78">INDEX(Expenses!$1:$398,MATCH($C78,Expenses!$A:$A,0),MATCH(BO$4,Expenses!$4:$4,0))</f>
        <v>10189.90431</v>
      </c>
      <c r="BP78" s="166">
        <f t="array" ref="BP78">INDEX(Expenses!$1:$398,MATCH($C78,Expenses!$A:$A,0),MATCH(BP$4,Expenses!$4:$4,0))</f>
        <v>10363.67482</v>
      </c>
      <c r="BQ78" s="166">
        <f t="array" ref="BQ78">INDEX(Expenses!$1:$398,MATCH($C78,Expenses!$A:$A,0),MATCH(BQ$4,Expenses!$4:$4,0))</f>
        <v>10533.92912</v>
      </c>
      <c r="BR78" s="166">
        <f t="array" ref="BR78">INDEX(Expenses!$1:$398,MATCH($C78,Expenses!$A:$A,0),MATCH(BR$4,Expenses!$4:$4,0))</f>
        <v>10701.01924</v>
      </c>
      <c r="BS78" s="166">
        <f t="array" ref="BS78">INDEX(Expenses!$1:$398,MATCH($C78,Expenses!$A:$A,0),MATCH(BS$4,Expenses!$4:$4,0))</f>
        <v>10865.23225</v>
      </c>
      <c r="BT78" s="166">
        <f t="array" ref="BT78">INDEX(Expenses!$1:$398,MATCH($C78,Expenses!$A:$A,0),MATCH(BT$4,Expenses!$4:$4,0))</f>
        <v>11026.81048</v>
      </c>
      <c r="BU78" s="166">
        <f t="array" ref="BU78">INDEX(Expenses!$1:$398,MATCH($C78,Expenses!$A:$A,0),MATCH(BU$4,Expenses!$4:$4,0))</f>
        <v>11185.96326</v>
      </c>
      <c r="BV78" s="166">
        <f t="array" ref="BV78">INDEX(Expenses!$1:$398,MATCH($C78,Expenses!$A:$A,0),MATCH(BV$4,Expenses!$4:$4,0))</f>
        <v>11342.87482</v>
      </c>
      <c r="BW78" s="166">
        <f t="array" ref="BW78">INDEX(Expenses!$1:$398,MATCH($C78,Expenses!$A:$A,0),MATCH(BW$4,Expenses!$4:$4,0))</f>
        <v>11497.70979</v>
      </c>
      <c r="BX78" s="166">
        <f t="array" ref="BX78">INDEX(Expenses!$1:$398,MATCH($C78,Expenses!$A:$A,0),MATCH(BX$4,Expenses!$4:$4,0))</f>
        <v>11721.48469</v>
      </c>
      <c r="BY78" s="166">
        <f t="array" ref="BY78">INDEX(Expenses!$1:$398,MATCH($C78,Expenses!$A:$A,0),MATCH(BY$4,Expenses!$4:$4,0))</f>
        <v>11895.18544</v>
      </c>
      <c r="BZ78" s="166">
        <f t="array" ref="BZ78">INDEX(Expenses!$1:$398,MATCH($C78,Expenses!$A:$A,0),MATCH(BZ$4,Expenses!$4:$4,0))</f>
        <v>12052.49729</v>
      </c>
      <c r="CA78" s="166">
        <f t="array" ref="CA78">INDEX(Expenses!$1:$398,MATCH($C78,Expenses!$A:$A,0),MATCH(CA$4,Expenses!$4:$4,0))</f>
        <v>12206.70029</v>
      </c>
      <c r="CB78" s="166">
        <f t="array" ref="CB78">INDEX(Expenses!$1:$398,MATCH($C78,Expenses!$A:$A,0),MATCH(CB$4,Expenses!$4:$4,0))</f>
        <v>12360.13974</v>
      </c>
      <c r="CC78" s="166">
        <f t="array" ref="CC78">INDEX(Expenses!$1:$398,MATCH($C78,Expenses!$A:$A,0),MATCH(CC$4,Expenses!$4:$4,0))</f>
        <v>12512.87465</v>
      </c>
      <c r="CD78" s="166">
        <f t="array" ref="CD78">INDEX(Expenses!$1:$398,MATCH($C78,Expenses!$A:$A,0),MATCH(CD$4,Expenses!$4:$4,0))</f>
        <v>12665.00672</v>
      </c>
      <c r="CE78" s="166">
        <f t="array" ref="CE78">INDEX(Expenses!$1:$398,MATCH($C78,Expenses!$A:$A,0),MATCH(CE$4,Expenses!$4:$4,0))</f>
        <v>12816.63424</v>
      </c>
      <c r="CF78" s="166">
        <f t="array" ref="CF78">INDEX(Expenses!$1:$398,MATCH($C78,Expenses!$A:$A,0),MATCH(CF$4,Expenses!$4:$4,0))</f>
        <v>12967.85024</v>
      </c>
      <c r="CG78" s="166">
        <f t="array" ref="CG78">INDEX(Expenses!$1:$398,MATCH($C78,Expenses!$A:$A,0),MATCH(CG$4,Expenses!$4:$4,0))</f>
        <v>13118.74419</v>
      </c>
      <c r="CH78" s="166">
        <f t="array" ref="CH78">INDEX(Expenses!$1:$398,MATCH($C78,Expenses!$A:$A,0),MATCH(CH$4,Expenses!$4:$4,0))</f>
        <v>13269.40299</v>
      </c>
      <c r="CI78" s="166">
        <f t="array" ref="CI78">INDEX(Expenses!$1:$398,MATCH($C78,Expenses!$A:$A,0),MATCH(CI$4,Expenses!$4:$4,0))</f>
        <v>13419.91147</v>
      </c>
      <c r="CJ78" s="166">
        <f t="array" ref="CJ78">INDEX(Expenses!$1:$398,MATCH($C78,Expenses!$A:$A,0),MATCH(CJ$4,Expenses!$4:$4,0))</f>
        <v>13625.73736</v>
      </c>
      <c r="CK78" s="166">
        <f t="array" ref="CK78">INDEX(Expenses!$1:$398,MATCH($C78,Expenses!$A:$A,0),MATCH(CK$4,Expenses!$4:$4,0))</f>
        <v>13721.9419</v>
      </c>
      <c r="CL78" s="166">
        <f t="array" ref="CL78">INDEX(Expenses!$1:$398,MATCH($C78,Expenses!$A:$A,0),MATCH(CL$4,Expenses!$4:$4,0))</f>
        <v>13813.89974</v>
      </c>
      <c r="CM78" s="166">
        <f t="array" ref="CM78">INDEX(Expenses!$1:$398,MATCH($C78,Expenses!$A:$A,0),MATCH(CM$4,Expenses!$4:$4,0))</f>
        <v>13910.65731</v>
      </c>
      <c r="CN78" s="166">
        <f t="array" ref="CN78">INDEX(Expenses!$1:$398,MATCH($C78,Expenses!$A:$A,0),MATCH(CN$4,Expenses!$4:$4,0))</f>
        <v>14010.21044</v>
      </c>
      <c r="CO78" s="166">
        <f t="array" ref="CO78">INDEX(Expenses!$1:$398,MATCH($C78,Expenses!$A:$A,0),MATCH(CO$4,Expenses!$4:$4,0))</f>
        <v>14111.05222</v>
      </c>
      <c r="CP78" s="166">
        <f t="array" ref="CP78">INDEX(Expenses!$1:$398,MATCH($C78,Expenses!$A:$A,0),MATCH(CP$4,Expenses!$4:$4,0))</f>
        <v>14212.55235</v>
      </c>
      <c r="CQ78" s="166">
        <f t="array" ref="CQ78">INDEX(Expenses!$1:$398,MATCH($C78,Expenses!$A:$A,0),MATCH(CQ$4,Expenses!$4:$4,0))</f>
        <v>14314.38842</v>
      </c>
      <c r="CR78" s="166">
        <f t="array" ref="CR78">INDEX(Expenses!$1:$398,MATCH($C78,Expenses!$A:$A,0),MATCH(CR$4,Expenses!$4:$4,0))</f>
        <v>14416.3784</v>
      </c>
      <c r="CS78" s="166">
        <f t="array" ref="CS78">INDEX(Expenses!$1:$398,MATCH($C78,Expenses!$A:$A,0),MATCH(CS$4,Expenses!$4:$4,0))</f>
        <v>14518.41803</v>
      </c>
      <c r="CT78" s="166">
        <f t="array" ref="CT78">INDEX(Expenses!$1:$398,MATCH($C78,Expenses!$A:$A,0),MATCH(CT$4,Expenses!$4:$4,0))</f>
        <v>14620.45181</v>
      </c>
      <c r="CU78" s="166">
        <f t="array" ref="CU78">INDEX(Expenses!$1:$398,MATCH($C78,Expenses!$A:$A,0),MATCH(CU$4,Expenses!$4:$4,0))</f>
        <v>14722.45701</v>
      </c>
      <c r="CV78" s="162"/>
      <c r="CW78" s="162"/>
      <c r="CX78" s="162"/>
      <c r="CY78" s="162"/>
      <c r="CZ78" s="162"/>
      <c r="DA78" s="162"/>
      <c r="DB78" s="162"/>
      <c r="DC78" s="162"/>
    </row>
    <row r="79" ht="15.75" customHeight="1">
      <c r="A79" s="146" t="s">
        <v>174</v>
      </c>
      <c r="B79" s="146" t="s">
        <v>72</v>
      </c>
      <c r="C79" s="160" t="s">
        <v>256</v>
      </c>
      <c r="D79" s="161">
        <f t="shared" ref="D79:AL79" si="70">RANDBETWEEN(1000,2500)</f>
        <v>2500</v>
      </c>
      <c r="E79" s="161">
        <f t="shared" si="70"/>
        <v>1772</v>
      </c>
      <c r="F79" s="161">
        <f t="shared" si="70"/>
        <v>1955</v>
      </c>
      <c r="G79" s="161">
        <f t="shared" si="70"/>
        <v>1381</v>
      </c>
      <c r="H79" s="161">
        <f t="shared" si="70"/>
        <v>1705</v>
      </c>
      <c r="I79" s="161">
        <f t="shared" si="70"/>
        <v>1348</v>
      </c>
      <c r="J79" s="161">
        <f t="shared" si="70"/>
        <v>2326</v>
      </c>
      <c r="K79" s="161">
        <f t="shared" si="70"/>
        <v>1791</v>
      </c>
      <c r="L79" s="161">
        <f t="shared" si="70"/>
        <v>1431</v>
      </c>
      <c r="M79" s="161">
        <f t="shared" si="70"/>
        <v>1910</v>
      </c>
      <c r="N79" s="161">
        <f t="shared" si="70"/>
        <v>1268</v>
      </c>
      <c r="O79" s="161">
        <f t="shared" si="70"/>
        <v>1753</v>
      </c>
      <c r="P79" s="161">
        <f t="shared" si="70"/>
        <v>1915</v>
      </c>
      <c r="Q79" s="161">
        <f t="shared" si="70"/>
        <v>1346</v>
      </c>
      <c r="R79" s="161">
        <f t="shared" si="70"/>
        <v>1471</v>
      </c>
      <c r="S79" s="161">
        <f t="shared" si="70"/>
        <v>2332</v>
      </c>
      <c r="T79" s="161">
        <f t="shared" si="70"/>
        <v>1296</v>
      </c>
      <c r="U79" s="161">
        <f t="shared" si="70"/>
        <v>1882</v>
      </c>
      <c r="V79" s="161">
        <f t="shared" si="70"/>
        <v>1209</v>
      </c>
      <c r="W79" s="161">
        <f t="shared" si="70"/>
        <v>1608</v>
      </c>
      <c r="X79" s="161">
        <f t="shared" si="70"/>
        <v>1066</v>
      </c>
      <c r="Y79" s="161">
        <f t="shared" si="70"/>
        <v>2158</v>
      </c>
      <c r="Z79" s="161">
        <f t="shared" si="70"/>
        <v>2375</v>
      </c>
      <c r="AA79" s="161">
        <f t="shared" si="70"/>
        <v>1486</v>
      </c>
      <c r="AB79" s="161">
        <f t="shared" si="70"/>
        <v>1416</v>
      </c>
      <c r="AC79" s="161">
        <f t="shared" si="70"/>
        <v>1108</v>
      </c>
      <c r="AD79" s="161">
        <f t="shared" si="70"/>
        <v>1945</v>
      </c>
      <c r="AE79" s="161">
        <f t="shared" si="70"/>
        <v>2274</v>
      </c>
      <c r="AF79" s="161">
        <f t="shared" si="70"/>
        <v>2189</v>
      </c>
      <c r="AG79" s="161">
        <f t="shared" si="70"/>
        <v>1674</v>
      </c>
      <c r="AH79" s="161">
        <f t="shared" si="70"/>
        <v>2312</v>
      </c>
      <c r="AI79" s="161">
        <f t="shared" si="70"/>
        <v>1762</v>
      </c>
      <c r="AJ79" s="161">
        <f t="shared" si="70"/>
        <v>1517</v>
      </c>
      <c r="AK79" s="161">
        <f t="shared" si="70"/>
        <v>1283</v>
      </c>
      <c r="AL79" s="161">
        <f t="shared" si="70"/>
        <v>1222</v>
      </c>
      <c r="AM79" s="166">
        <f t="array" ref="AM79">INDEX(Expenses!$1:$398,MATCH($C79,Expenses!$A:$A,0),MATCH(AM$4,Expenses!$4:$4,0))</f>
        <v>5375</v>
      </c>
      <c r="AN79" s="166">
        <f t="array" ref="AN79">INDEX(Expenses!$1:$398,MATCH($C79,Expenses!$A:$A,0),MATCH(AN$4,Expenses!$4:$4,0))</f>
        <v>5375</v>
      </c>
      <c r="AO79" s="166">
        <f t="array" ref="AO79">INDEX(Expenses!$1:$398,MATCH($C79,Expenses!$A:$A,0),MATCH(AO$4,Expenses!$4:$4,0))</f>
        <v>5375</v>
      </c>
      <c r="AP79" s="166">
        <f t="array" ref="AP79">INDEX(Expenses!$1:$398,MATCH($C79,Expenses!$A:$A,0),MATCH(AP$4,Expenses!$4:$4,0))</f>
        <v>5375</v>
      </c>
      <c r="AQ79" s="166">
        <f t="array" ref="AQ79">INDEX(Expenses!$1:$398,MATCH($C79,Expenses!$A:$A,0),MATCH(AQ$4,Expenses!$4:$4,0))</f>
        <v>5375</v>
      </c>
      <c r="AR79" s="166">
        <f t="array" ref="AR79">INDEX(Expenses!$1:$398,MATCH($C79,Expenses!$A:$A,0),MATCH(AR$4,Expenses!$4:$4,0))</f>
        <v>5375</v>
      </c>
      <c r="AS79" s="166">
        <f t="array" ref="AS79">INDEX(Expenses!$1:$398,MATCH($C79,Expenses!$A:$A,0),MATCH(AS$4,Expenses!$4:$4,0))</f>
        <v>5575</v>
      </c>
      <c r="AT79" s="166">
        <f t="array" ref="AT79">INDEX(Expenses!$1:$398,MATCH($C79,Expenses!$A:$A,0),MATCH(AT$4,Expenses!$4:$4,0))</f>
        <v>5575</v>
      </c>
      <c r="AU79" s="166">
        <f t="array" ref="AU79">INDEX(Expenses!$1:$398,MATCH($C79,Expenses!$A:$A,0),MATCH(AU$4,Expenses!$4:$4,0))</f>
        <v>5575</v>
      </c>
      <c r="AV79" s="166">
        <f t="array" ref="AV79">INDEX(Expenses!$1:$398,MATCH($C79,Expenses!$A:$A,0),MATCH(AV$4,Expenses!$4:$4,0))</f>
        <v>5575</v>
      </c>
      <c r="AW79" s="166">
        <f t="array" ref="AW79">INDEX(Expenses!$1:$398,MATCH($C79,Expenses!$A:$A,0),MATCH(AW$4,Expenses!$4:$4,0))</f>
        <v>5575</v>
      </c>
      <c r="AX79" s="166">
        <f t="array" ref="AX79">INDEX(Expenses!$1:$398,MATCH($C79,Expenses!$A:$A,0),MATCH(AX$4,Expenses!$4:$4,0))</f>
        <v>5575</v>
      </c>
      <c r="AY79" s="166">
        <f t="array" ref="AY79">INDEX(Expenses!$1:$398,MATCH($C79,Expenses!$A:$A,0),MATCH(AY$4,Expenses!$4:$4,0))</f>
        <v>5575</v>
      </c>
      <c r="AZ79" s="166">
        <f t="array" ref="AZ79">INDEX(Expenses!$1:$398,MATCH($C79,Expenses!$A:$A,0),MATCH(AZ$4,Expenses!$4:$4,0))</f>
        <v>5575</v>
      </c>
      <c r="BA79" s="166">
        <f t="array" ref="BA79">INDEX(Expenses!$1:$398,MATCH($C79,Expenses!$A:$A,0),MATCH(BA$4,Expenses!$4:$4,0))</f>
        <v>5575</v>
      </c>
      <c r="BB79" s="166">
        <f t="array" ref="BB79">INDEX(Expenses!$1:$398,MATCH($C79,Expenses!$A:$A,0),MATCH(BB$4,Expenses!$4:$4,0))</f>
        <v>5575</v>
      </c>
      <c r="BC79" s="166">
        <f t="array" ref="BC79">INDEX(Expenses!$1:$398,MATCH($C79,Expenses!$A:$A,0),MATCH(BC$4,Expenses!$4:$4,0))</f>
        <v>5575</v>
      </c>
      <c r="BD79" s="166">
        <f t="array" ref="BD79">INDEX(Expenses!$1:$398,MATCH($C79,Expenses!$A:$A,0),MATCH(BD$4,Expenses!$4:$4,0))</f>
        <v>5575</v>
      </c>
      <c r="BE79" s="166">
        <f t="array" ref="BE79">INDEX(Expenses!$1:$398,MATCH($C79,Expenses!$A:$A,0),MATCH(BE$4,Expenses!$4:$4,0))</f>
        <v>5575</v>
      </c>
      <c r="BF79" s="166">
        <f t="array" ref="BF79">INDEX(Expenses!$1:$398,MATCH($C79,Expenses!$A:$A,0),MATCH(BF$4,Expenses!$4:$4,0))</f>
        <v>5575</v>
      </c>
      <c r="BG79" s="166">
        <f t="array" ref="BG79">INDEX(Expenses!$1:$398,MATCH($C79,Expenses!$A:$A,0),MATCH(BG$4,Expenses!$4:$4,0))</f>
        <v>5575</v>
      </c>
      <c r="BH79" s="166">
        <f t="array" ref="BH79">INDEX(Expenses!$1:$398,MATCH($C79,Expenses!$A:$A,0),MATCH(BH$4,Expenses!$4:$4,0))</f>
        <v>5575</v>
      </c>
      <c r="BI79" s="166">
        <f t="array" ref="BI79">INDEX(Expenses!$1:$398,MATCH($C79,Expenses!$A:$A,0),MATCH(BI$4,Expenses!$4:$4,0))</f>
        <v>5575</v>
      </c>
      <c r="BJ79" s="166">
        <f t="array" ref="BJ79">INDEX(Expenses!$1:$398,MATCH($C79,Expenses!$A:$A,0),MATCH(BJ$4,Expenses!$4:$4,0))</f>
        <v>5575</v>
      </c>
      <c r="BK79" s="166">
        <f t="array" ref="BK79">INDEX(Expenses!$1:$398,MATCH($C79,Expenses!$A:$A,0),MATCH(BK$4,Expenses!$4:$4,0))</f>
        <v>5575</v>
      </c>
      <c r="BL79" s="166">
        <f t="array" ref="BL79">INDEX(Expenses!$1:$398,MATCH($C79,Expenses!$A:$A,0),MATCH(BL$4,Expenses!$4:$4,0))</f>
        <v>5575</v>
      </c>
      <c r="BM79" s="166">
        <f t="array" ref="BM79">INDEX(Expenses!$1:$398,MATCH($C79,Expenses!$A:$A,0),MATCH(BM$4,Expenses!$4:$4,0))</f>
        <v>5575</v>
      </c>
      <c r="BN79" s="166">
        <f t="array" ref="BN79">INDEX(Expenses!$1:$398,MATCH($C79,Expenses!$A:$A,0),MATCH(BN$4,Expenses!$4:$4,0))</f>
        <v>5575</v>
      </c>
      <c r="BO79" s="166">
        <f t="array" ref="BO79">INDEX(Expenses!$1:$398,MATCH($C79,Expenses!$A:$A,0),MATCH(BO$4,Expenses!$4:$4,0))</f>
        <v>5575</v>
      </c>
      <c r="BP79" s="166">
        <f t="array" ref="BP79">INDEX(Expenses!$1:$398,MATCH($C79,Expenses!$A:$A,0),MATCH(BP$4,Expenses!$4:$4,0))</f>
        <v>5575</v>
      </c>
      <c r="BQ79" s="166">
        <f t="array" ref="BQ79">INDEX(Expenses!$1:$398,MATCH($C79,Expenses!$A:$A,0),MATCH(BQ$4,Expenses!$4:$4,0))</f>
        <v>5575</v>
      </c>
      <c r="BR79" s="166">
        <f t="array" ref="BR79">INDEX(Expenses!$1:$398,MATCH($C79,Expenses!$A:$A,0),MATCH(BR$4,Expenses!$4:$4,0))</f>
        <v>5575</v>
      </c>
      <c r="BS79" s="166">
        <f t="array" ref="BS79">INDEX(Expenses!$1:$398,MATCH($C79,Expenses!$A:$A,0),MATCH(BS$4,Expenses!$4:$4,0))</f>
        <v>5575</v>
      </c>
      <c r="BT79" s="166">
        <f t="array" ref="BT79">INDEX(Expenses!$1:$398,MATCH($C79,Expenses!$A:$A,0),MATCH(BT$4,Expenses!$4:$4,0))</f>
        <v>5575</v>
      </c>
      <c r="BU79" s="166">
        <f t="array" ref="BU79">INDEX(Expenses!$1:$398,MATCH($C79,Expenses!$A:$A,0),MATCH(BU$4,Expenses!$4:$4,0))</f>
        <v>5575</v>
      </c>
      <c r="BV79" s="166">
        <f t="array" ref="BV79">INDEX(Expenses!$1:$398,MATCH($C79,Expenses!$A:$A,0),MATCH(BV$4,Expenses!$4:$4,0))</f>
        <v>5575</v>
      </c>
      <c r="BW79" s="166">
        <f t="array" ref="BW79">INDEX(Expenses!$1:$398,MATCH($C79,Expenses!$A:$A,0),MATCH(BW$4,Expenses!$4:$4,0))</f>
        <v>5575</v>
      </c>
      <c r="BX79" s="166">
        <f t="array" ref="BX79">INDEX(Expenses!$1:$398,MATCH($C79,Expenses!$A:$A,0),MATCH(BX$4,Expenses!$4:$4,0))</f>
        <v>5575</v>
      </c>
      <c r="BY79" s="166">
        <f t="array" ref="BY79">INDEX(Expenses!$1:$398,MATCH($C79,Expenses!$A:$A,0),MATCH(BY$4,Expenses!$4:$4,0))</f>
        <v>5575</v>
      </c>
      <c r="BZ79" s="166">
        <f t="array" ref="BZ79">INDEX(Expenses!$1:$398,MATCH($C79,Expenses!$A:$A,0),MATCH(BZ$4,Expenses!$4:$4,0))</f>
        <v>5575</v>
      </c>
      <c r="CA79" s="166">
        <f t="array" ref="CA79">INDEX(Expenses!$1:$398,MATCH($C79,Expenses!$A:$A,0),MATCH(CA$4,Expenses!$4:$4,0))</f>
        <v>5575</v>
      </c>
      <c r="CB79" s="166">
        <f t="array" ref="CB79">INDEX(Expenses!$1:$398,MATCH($C79,Expenses!$A:$A,0),MATCH(CB$4,Expenses!$4:$4,0))</f>
        <v>5575</v>
      </c>
      <c r="CC79" s="166">
        <f t="array" ref="CC79">INDEX(Expenses!$1:$398,MATCH($C79,Expenses!$A:$A,0),MATCH(CC$4,Expenses!$4:$4,0))</f>
        <v>5575</v>
      </c>
      <c r="CD79" s="166">
        <f t="array" ref="CD79">INDEX(Expenses!$1:$398,MATCH($C79,Expenses!$A:$A,0),MATCH(CD$4,Expenses!$4:$4,0))</f>
        <v>5575</v>
      </c>
      <c r="CE79" s="166">
        <f t="array" ref="CE79">INDEX(Expenses!$1:$398,MATCH($C79,Expenses!$A:$A,0),MATCH(CE$4,Expenses!$4:$4,0))</f>
        <v>5575</v>
      </c>
      <c r="CF79" s="166">
        <f t="array" ref="CF79">INDEX(Expenses!$1:$398,MATCH($C79,Expenses!$A:$A,0),MATCH(CF$4,Expenses!$4:$4,0))</f>
        <v>5575</v>
      </c>
      <c r="CG79" s="166">
        <f t="array" ref="CG79">INDEX(Expenses!$1:$398,MATCH($C79,Expenses!$A:$A,0),MATCH(CG$4,Expenses!$4:$4,0))</f>
        <v>5575</v>
      </c>
      <c r="CH79" s="166">
        <f t="array" ref="CH79">INDEX(Expenses!$1:$398,MATCH($C79,Expenses!$A:$A,0),MATCH(CH$4,Expenses!$4:$4,0))</f>
        <v>5575</v>
      </c>
      <c r="CI79" s="166">
        <f t="array" ref="CI79">INDEX(Expenses!$1:$398,MATCH($C79,Expenses!$A:$A,0),MATCH(CI$4,Expenses!$4:$4,0))</f>
        <v>5575</v>
      </c>
      <c r="CJ79" s="166">
        <f t="array" ref="CJ79">INDEX(Expenses!$1:$398,MATCH($C79,Expenses!$A:$A,0),MATCH(CJ$4,Expenses!$4:$4,0))</f>
        <v>5575</v>
      </c>
      <c r="CK79" s="166">
        <f t="array" ref="CK79">INDEX(Expenses!$1:$398,MATCH($C79,Expenses!$A:$A,0),MATCH(CK$4,Expenses!$4:$4,0))</f>
        <v>5575</v>
      </c>
      <c r="CL79" s="166">
        <f t="array" ref="CL79">INDEX(Expenses!$1:$398,MATCH($C79,Expenses!$A:$A,0),MATCH(CL$4,Expenses!$4:$4,0))</f>
        <v>5575</v>
      </c>
      <c r="CM79" s="166">
        <f t="array" ref="CM79">INDEX(Expenses!$1:$398,MATCH($C79,Expenses!$A:$A,0),MATCH(CM$4,Expenses!$4:$4,0))</f>
        <v>5575</v>
      </c>
      <c r="CN79" s="166">
        <f t="array" ref="CN79">INDEX(Expenses!$1:$398,MATCH($C79,Expenses!$A:$A,0),MATCH(CN$4,Expenses!$4:$4,0))</f>
        <v>5575</v>
      </c>
      <c r="CO79" s="166">
        <f t="array" ref="CO79">INDEX(Expenses!$1:$398,MATCH($C79,Expenses!$A:$A,0),MATCH(CO$4,Expenses!$4:$4,0))</f>
        <v>5575</v>
      </c>
      <c r="CP79" s="166">
        <f t="array" ref="CP79">INDEX(Expenses!$1:$398,MATCH($C79,Expenses!$A:$A,0),MATCH(CP$4,Expenses!$4:$4,0))</f>
        <v>5575</v>
      </c>
      <c r="CQ79" s="166">
        <f t="array" ref="CQ79">INDEX(Expenses!$1:$398,MATCH($C79,Expenses!$A:$A,0),MATCH(CQ$4,Expenses!$4:$4,0))</f>
        <v>5575</v>
      </c>
      <c r="CR79" s="166">
        <f t="array" ref="CR79">INDEX(Expenses!$1:$398,MATCH($C79,Expenses!$A:$A,0),MATCH(CR$4,Expenses!$4:$4,0))</f>
        <v>5575</v>
      </c>
      <c r="CS79" s="166">
        <f t="array" ref="CS79">INDEX(Expenses!$1:$398,MATCH($C79,Expenses!$A:$A,0),MATCH(CS$4,Expenses!$4:$4,0))</f>
        <v>5575</v>
      </c>
      <c r="CT79" s="166">
        <f t="array" ref="CT79">INDEX(Expenses!$1:$398,MATCH($C79,Expenses!$A:$A,0),MATCH(CT$4,Expenses!$4:$4,0))</f>
        <v>5575</v>
      </c>
      <c r="CU79" s="166">
        <f t="array" ref="CU79">INDEX(Expenses!$1:$398,MATCH($C79,Expenses!$A:$A,0),MATCH(CU$4,Expenses!$4:$4,0))</f>
        <v>5575</v>
      </c>
      <c r="CV79" s="162"/>
      <c r="CW79" s="162"/>
      <c r="CX79" s="162"/>
      <c r="CY79" s="162"/>
      <c r="CZ79" s="162"/>
      <c r="DA79" s="162"/>
      <c r="DB79" s="162"/>
      <c r="DC79" s="162"/>
    </row>
    <row r="80" ht="15.75" customHeight="1">
      <c r="A80" s="146" t="s">
        <v>174</v>
      </c>
      <c r="B80" s="146" t="s">
        <v>72</v>
      </c>
      <c r="C80" s="160" t="s">
        <v>257</v>
      </c>
      <c r="D80" s="161">
        <f t="shared" ref="D80:AL80" si="71">RANDBETWEEN(1000,2500)</f>
        <v>1515</v>
      </c>
      <c r="E80" s="161">
        <f t="shared" si="71"/>
        <v>2312</v>
      </c>
      <c r="F80" s="161">
        <f t="shared" si="71"/>
        <v>1890</v>
      </c>
      <c r="G80" s="161">
        <f t="shared" si="71"/>
        <v>1554</v>
      </c>
      <c r="H80" s="161">
        <f t="shared" si="71"/>
        <v>1134</v>
      </c>
      <c r="I80" s="161">
        <f t="shared" si="71"/>
        <v>1470</v>
      </c>
      <c r="J80" s="161">
        <f t="shared" si="71"/>
        <v>1983</v>
      </c>
      <c r="K80" s="161">
        <f t="shared" si="71"/>
        <v>1196</v>
      </c>
      <c r="L80" s="161">
        <f t="shared" si="71"/>
        <v>1589</v>
      </c>
      <c r="M80" s="161">
        <f t="shared" si="71"/>
        <v>1945</v>
      </c>
      <c r="N80" s="161">
        <f t="shared" si="71"/>
        <v>1965</v>
      </c>
      <c r="O80" s="161">
        <f t="shared" si="71"/>
        <v>1905</v>
      </c>
      <c r="P80" s="161">
        <f t="shared" si="71"/>
        <v>1040</v>
      </c>
      <c r="Q80" s="161">
        <f t="shared" si="71"/>
        <v>1780</v>
      </c>
      <c r="R80" s="161">
        <f t="shared" si="71"/>
        <v>1858</v>
      </c>
      <c r="S80" s="161">
        <f t="shared" si="71"/>
        <v>2021</v>
      </c>
      <c r="T80" s="161">
        <f t="shared" si="71"/>
        <v>1098</v>
      </c>
      <c r="U80" s="161">
        <f t="shared" si="71"/>
        <v>1438</v>
      </c>
      <c r="V80" s="161">
        <f t="shared" si="71"/>
        <v>1045</v>
      </c>
      <c r="W80" s="161">
        <f t="shared" si="71"/>
        <v>1783</v>
      </c>
      <c r="X80" s="161">
        <f t="shared" si="71"/>
        <v>2388</v>
      </c>
      <c r="Y80" s="161">
        <f t="shared" si="71"/>
        <v>2064</v>
      </c>
      <c r="Z80" s="161">
        <f t="shared" si="71"/>
        <v>1696</v>
      </c>
      <c r="AA80" s="161">
        <f t="shared" si="71"/>
        <v>1898</v>
      </c>
      <c r="AB80" s="161">
        <f t="shared" si="71"/>
        <v>1395</v>
      </c>
      <c r="AC80" s="161">
        <f t="shared" si="71"/>
        <v>1949</v>
      </c>
      <c r="AD80" s="161">
        <f t="shared" si="71"/>
        <v>1506</v>
      </c>
      <c r="AE80" s="161">
        <f t="shared" si="71"/>
        <v>1149</v>
      </c>
      <c r="AF80" s="161">
        <f t="shared" si="71"/>
        <v>1526</v>
      </c>
      <c r="AG80" s="161">
        <f t="shared" si="71"/>
        <v>1220</v>
      </c>
      <c r="AH80" s="161">
        <f t="shared" si="71"/>
        <v>2404</v>
      </c>
      <c r="AI80" s="161">
        <f t="shared" si="71"/>
        <v>1772</v>
      </c>
      <c r="AJ80" s="161">
        <f t="shared" si="71"/>
        <v>2194</v>
      </c>
      <c r="AK80" s="161">
        <f t="shared" si="71"/>
        <v>1170</v>
      </c>
      <c r="AL80" s="161">
        <f t="shared" si="71"/>
        <v>2204</v>
      </c>
      <c r="AM80" s="166">
        <f t="array" ref="AM80">INDEX(Expenses!$1:$398,MATCH($C80,Expenses!$A:$A,0),MATCH(AM$4,Expenses!$4:$4,0))</f>
        <v>0</v>
      </c>
      <c r="AN80" s="166">
        <f t="array" ref="AN80">INDEX(Expenses!$1:$398,MATCH($C80,Expenses!$A:$A,0),MATCH(AN$4,Expenses!$4:$4,0))</f>
        <v>0</v>
      </c>
      <c r="AO80" s="166">
        <f t="array" ref="AO80">INDEX(Expenses!$1:$398,MATCH($C80,Expenses!$A:$A,0),MATCH(AO$4,Expenses!$4:$4,0))</f>
        <v>0</v>
      </c>
      <c r="AP80" s="166">
        <f t="array" ref="AP80">INDEX(Expenses!$1:$398,MATCH($C80,Expenses!$A:$A,0),MATCH(AP$4,Expenses!$4:$4,0))</f>
        <v>0</v>
      </c>
      <c r="AQ80" s="166">
        <f t="array" ref="AQ80">INDEX(Expenses!$1:$398,MATCH($C80,Expenses!$A:$A,0),MATCH(AQ$4,Expenses!$4:$4,0))</f>
        <v>0</v>
      </c>
      <c r="AR80" s="166">
        <f t="array" ref="AR80">INDEX(Expenses!$1:$398,MATCH($C80,Expenses!$A:$A,0),MATCH(AR$4,Expenses!$4:$4,0))</f>
        <v>0</v>
      </c>
      <c r="AS80" s="166">
        <f t="array" ref="AS80">INDEX(Expenses!$1:$398,MATCH($C80,Expenses!$A:$A,0),MATCH(AS$4,Expenses!$4:$4,0))</f>
        <v>0</v>
      </c>
      <c r="AT80" s="166">
        <f t="array" ref="AT80">INDEX(Expenses!$1:$398,MATCH($C80,Expenses!$A:$A,0),MATCH(AT$4,Expenses!$4:$4,0))</f>
        <v>0</v>
      </c>
      <c r="AU80" s="166">
        <f t="array" ref="AU80">INDEX(Expenses!$1:$398,MATCH($C80,Expenses!$A:$A,0),MATCH(AU$4,Expenses!$4:$4,0))</f>
        <v>0</v>
      </c>
      <c r="AV80" s="166">
        <f t="array" ref="AV80">INDEX(Expenses!$1:$398,MATCH($C80,Expenses!$A:$A,0),MATCH(AV$4,Expenses!$4:$4,0))</f>
        <v>0</v>
      </c>
      <c r="AW80" s="166">
        <f t="array" ref="AW80">INDEX(Expenses!$1:$398,MATCH($C80,Expenses!$A:$A,0),MATCH(AW$4,Expenses!$4:$4,0))</f>
        <v>0</v>
      </c>
      <c r="AX80" s="166">
        <f t="array" ref="AX80">INDEX(Expenses!$1:$398,MATCH($C80,Expenses!$A:$A,0),MATCH(AX$4,Expenses!$4:$4,0))</f>
        <v>0</v>
      </c>
      <c r="AY80" s="166">
        <f t="array" ref="AY80">INDEX(Expenses!$1:$398,MATCH($C80,Expenses!$A:$A,0),MATCH(AY$4,Expenses!$4:$4,0))</f>
        <v>0</v>
      </c>
      <c r="AZ80" s="166">
        <f t="array" ref="AZ80">INDEX(Expenses!$1:$398,MATCH($C80,Expenses!$A:$A,0),MATCH(AZ$4,Expenses!$4:$4,0))</f>
        <v>0</v>
      </c>
      <c r="BA80" s="166">
        <f t="array" ref="BA80">INDEX(Expenses!$1:$398,MATCH($C80,Expenses!$A:$A,0),MATCH(BA$4,Expenses!$4:$4,0))</f>
        <v>0</v>
      </c>
      <c r="BB80" s="166">
        <f t="array" ref="BB80">INDEX(Expenses!$1:$398,MATCH($C80,Expenses!$A:$A,0),MATCH(BB$4,Expenses!$4:$4,0))</f>
        <v>0</v>
      </c>
      <c r="BC80" s="166">
        <f t="array" ref="BC80">INDEX(Expenses!$1:$398,MATCH($C80,Expenses!$A:$A,0),MATCH(BC$4,Expenses!$4:$4,0))</f>
        <v>0</v>
      </c>
      <c r="BD80" s="166">
        <f t="array" ref="BD80">INDEX(Expenses!$1:$398,MATCH($C80,Expenses!$A:$A,0),MATCH(BD$4,Expenses!$4:$4,0))</f>
        <v>0</v>
      </c>
      <c r="BE80" s="166">
        <f t="array" ref="BE80">INDEX(Expenses!$1:$398,MATCH($C80,Expenses!$A:$A,0),MATCH(BE$4,Expenses!$4:$4,0))</f>
        <v>0</v>
      </c>
      <c r="BF80" s="166">
        <f t="array" ref="BF80">INDEX(Expenses!$1:$398,MATCH($C80,Expenses!$A:$A,0),MATCH(BF$4,Expenses!$4:$4,0))</f>
        <v>0</v>
      </c>
      <c r="BG80" s="166">
        <f t="array" ref="BG80">INDEX(Expenses!$1:$398,MATCH($C80,Expenses!$A:$A,0),MATCH(BG$4,Expenses!$4:$4,0))</f>
        <v>0</v>
      </c>
      <c r="BH80" s="166">
        <f t="array" ref="BH80">INDEX(Expenses!$1:$398,MATCH($C80,Expenses!$A:$A,0),MATCH(BH$4,Expenses!$4:$4,0))</f>
        <v>0</v>
      </c>
      <c r="BI80" s="166">
        <f t="array" ref="BI80">INDEX(Expenses!$1:$398,MATCH($C80,Expenses!$A:$A,0),MATCH(BI$4,Expenses!$4:$4,0))</f>
        <v>0</v>
      </c>
      <c r="BJ80" s="166">
        <f t="array" ref="BJ80">INDEX(Expenses!$1:$398,MATCH($C80,Expenses!$A:$A,0),MATCH(BJ$4,Expenses!$4:$4,0))</f>
        <v>0</v>
      </c>
      <c r="BK80" s="166">
        <f t="array" ref="BK80">INDEX(Expenses!$1:$398,MATCH($C80,Expenses!$A:$A,0),MATCH(BK$4,Expenses!$4:$4,0))</f>
        <v>0</v>
      </c>
      <c r="BL80" s="166">
        <f t="array" ref="BL80">INDEX(Expenses!$1:$398,MATCH($C80,Expenses!$A:$A,0),MATCH(BL$4,Expenses!$4:$4,0))</f>
        <v>0</v>
      </c>
      <c r="BM80" s="166">
        <f t="array" ref="BM80">INDEX(Expenses!$1:$398,MATCH($C80,Expenses!$A:$A,0),MATCH(BM$4,Expenses!$4:$4,0))</f>
        <v>0</v>
      </c>
      <c r="BN80" s="166">
        <f t="array" ref="BN80">INDEX(Expenses!$1:$398,MATCH($C80,Expenses!$A:$A,0),MATCH(BN$4,Expenses!$4:$4,0))</f>
        <v>0</v>
      </c>
      <c r="BO80" s="166">
        <f t="array" ref="BO80">INDEX(Expenses!$1:$398,MATCH($C80,Expenses!$A:$A,0),MATCH(BO$4,Expenses!$4:$4,0))</f>
        <v>0</v>
      </c>
      <c r="BP80" s="166">
        <f t="array" ref="BP80">INDEX(Expenses!$1:$398,MATCH($C80,Expenses!$A:$A,0),MATCH(BP$4,Expenses!$4:$4,0))</f>
        <v>0</v>
      </c>
      <c r="BQ80" s="166">
        <f t="array" ref="BQ80">INDEX(Expenses!$1:$398,MATCH($C80,Expenses!$A:$A,0),MATCH(BQ$4,Expenses!$4:$4,0))</f>
        <v>0</v>
      </c>
      <c r="BR80" s="166">
        <f t="array" ref="BR80">INDEX(Expenses!$1:$398,MATCH($C80,Expenses!$A:$A,0),MATCH(BR$4,Expenses!$4:$4,0))</f>
        <v>0</v>
      </c>
      <c r="BS80" s="166">
        <f t="array" ref="BS80">INDEX(Expenses!$1:$398,MATCH($C80,Expenses!$A:$A,0),MATCH(BS$4,Expenses!$4:$4,0))</f>
        <v>0</v>
      </c>
      <c r="BT80" s="166">
        <f t="array" ref="BT80">INDEX(Expenses!$1:$398,MATCH($C80,Expenses!$A:$A,0),MATCH(BT$4,Expenses!$4:$4,0))</f>
        <v>0</v>
      </c>
      <c r="BU80" s="166">
        <f t="array" ref="BU80">INDEX(Expenses!$1:$398,MATCH($C80,Expenses!$A:$A,0),MATCH(BU$4,Expenses!$4:$4,0))</f>
        <v>0</v>
      </c>
      <c r="BV80" s="166">
        <f t="array" ref="BV80">INDEX(Expenses!$1:$398,MATCH($C80,Expenses!$A:$A,0),MATCH(BV$4,Expenses!$4:$4,0))</f>
        <v>0</v>
      </c>
      <c r="BW80" s="166">
        <f t="array" ref="BW80">INDEX(Expenses!$1:$398,MATCH($C80,Expenses!$A:$A,0),MATCH(BW$4,Expenses!$4:$4,0))</f>
        <v>0</v>
      </c>
      <c r="BX80" s="166">
        <f t="array" ref="BX80">INDEX(Expenses!$1:$398,MATCH($C80,Expenses!$A:$A,0),MATCH(BX$4,Expenses!$4:$4,0))</f>
        <v>0</v>
      </c>
      <c r="BY80" s="166">
        <f t="array" ref="BY80">INDEX(Expenses!$1:$398,MATCH($C80,Expenses!$A:$A,0),MATCH(BY$4,Expenses!$4:$4,0))</f>
        <v>0</v>
      </c>
      <c r="BZ80" s="166">
        <f t="array" ref="BZ80">INDEX(Expenses!$1:$398,MATCH($C80,Expenses!$A:$A,0),MATCH(BZ$4,Expenses!$4:$4,0))</f>
        <v>0</v>
      </c>
      <c r="CA80" s="166">
        <f t="array" ref="CA80">INDEX(Expenses!$1:$398,MATCH($C80,Expenses!$A:$A,0),MATCH(CA$4,Expenses!$4:$4,0))</f>
        <v>0</v>
      </c>
      <c r="CB80" s="166">
        <f t="array" ref="CB80">INDEX(Expenses!$1:$398,MATCH($C80,Expenses!$A:$A,0),MATCH(CB$4,Expenses!$4:$4,0))</f>
        <v>0</v>
      </c>
      <c r="CC80" s="166">
        <f t="array" ref="CC80">INDEX(Expenses!$1:$398,MATCH($C80,Expenses!$A:$A,0),MATCH(CC$4,Expenses!$4:$4,0))</f>
        <v>0</v>
      </c>
      <c r="CD80" s="166">
        <f t="array" ref="CD80">INDEX(Expenses!$1:$398,MATCH($C80,Expenses!$A:$A,0),MATCH(CD$4,Expenses!$4:$4,0))</f>
        <v>0</v>
      </c>
      <c r="CE80" s="166">
        <f t="array" ref="CE80">INDEX(Expenses!$1:$398,MATCH($C80,Expenses!$A:$A,0),MATCH(CE$4,Expenses!$4:$4,0))</f>
        <v>0</v>
      </c>
      <c r="CF80" s="166">
        <f t="array" ref="CF80">INDEX(Expenses!$1:$398,MATCH($C80,Expenses!$A:$A,0),MATCH(CF$4,Expenses!$4:$4,0))</f>
        <v>0</v>
      </c>
      <c r="CG80" s="166">
        <f t="array" ref="CG80">INDEX(Expenses!$1:$398,MATCH($C80,Expenses!$A:$A,0),MATCH(CG$4,Expenses!$4:$4,0))</f>
        <v>0</v>
      </c>
      <c r="CH80" s="166">
        <f t="array" ref="CH80">INDEX(Expenses!$1:$398,MATCH($C80,Expenses!$A:$A,0),MATCH(CH$4,Expenses!$4:$4,0))</f>
        <v>0</v>
      </c>
      <c r="CI80" s="166">
        <f t="array" ref="CI80">INDEX(Expenses!$1:$398,MATCH($C80,Expenses!$A:$A,0),MATCH(CI$4,Expenses!$4:$4,0))</f>
        <v>0</v>
      </c>
      <c r="CJ80" s="166">
        <f t="array" ref="CJ80">INDEX(Expenses!$1:$398,MATCH($C80,Expenses!$A:$A,0),MATCH(CJ$4,Expenses!$4:$4,0))</f>
        <v>0</v>
      </c>
      <c r="CK80" s="166">
        <f t="array" ref="CK80">INDEX(Expenses!$1:$398,MATCH($C80,Expenses!$A:$A,0),MATCH(CK$4,Expenses!$4:$4,0))</f>
        <v>0</v>
      </c>
      <c r="CL80" s="166">
        <f t="array" ref="CL80">INDEX(Expenses!$1:$398,MATCH($C80,Expenses!$A:$A,0),MATCH(CL$4,Expenses!$4:$4,0))</f>
        <v>0</v>
      </c>
      <c r="CM80" s="166">
        <f t="array" ref="CM80">INDEX(Expenses!$1:$398,MATCH($C80,Expenses!$A:$A,0),MATCH(CM$4,Expenses!$4:$4,0))</f>
        <v>0</v>
      </c>
      <c r="CN80" s="166">
        <f t="array" ref="CN80">INDEX(Expenses!$1:$398,MATCH($C80,Expenses!$A:$A,0),MATCH(CN$4,Expenses!$4:$4,0))</f>
        <v>0</v>
      </c>
      <c r="CO80" s="166">
        <f t="array" ref="CO80">INDEX(Expenses!$1:$398,MATCH($C80,Expenses!$A:$A,0),MATCH(CO$4,Expenses!$4:$4,0))</f>
        <v>0</v>
      </c>
      <c r="CP80" s="166">
        <f t="array" ref="CP80">INDEX(Expenses!$1:$398,MATCH($C80,Expenses!$A:$A,0),MATCH(CP$4,Expenses!$4:$4,0))</f>
        <v>0</v>
      </c>
      <c r="CQ80" s="166">
        <f t="array" ref="CQ80">INDEX(Expenses!$1:$398,MATCH($C80,Expenses!$A:$A,0),MATCH(CQ$4,Expenses!$4:$4,0))</f>
        <v>0</v>
      </c>
      <c r="CR80" s="166">
        <f t="array" ref="CR80">INDEX(Expenses!$1:$398,MATCH($C80,Expenses!$A:$A,0),MATCH(CR$4,Expenses!$4:$4,0))</f>
        <v>0</v>
      </c>
      <c r="CS80" s="166">
        <f t="array" ref="CS80">INDEX(Expenses!$1:$398,MATCH($C80,Expenses!$A:$A,0),MATCH(CS$4,Expenses!$4:$4,0))</f>
        <v>0</v>
      </c>
      <c r="CT80" s="166">
        <f t="array" ref="CT80">INDEX(Expenses!$1:$398,MATCH($C80,Expenses!$A:$A,0),MATCH(CT$4,Expenses!$4:$4,0))</f>
        <v>0</v>
      </c>
      <c r="CU80" s="166">
        <f t="array" ref="CU80">INDEX(Expenses!$1:$398,MATCH($C80,Expenses!$A:$A,0),MATCH(CU$4,Expenses!$4:$4,0))</f>
        <v>0</v>
      </c>
      <c r="CV80" s="162"/>
      <c r="CW80" s="162"/>
      <c r="CX80" s="162"/>
      <c r="CY80" s="162"/>
      <c r="CZ80" s="162"/>
      <c r="DA80" s="162"/>
      <c r="DB80" s="162"/>
      <c r="DC80" s="162"/>
    </row>
    <row r="81" ht="15.75" customHeight="1">
      <c r="A81" s="146" t="s">
        <v>174</v>
      </c>
      <c r="B81" s="146" t="s">
        <v>72</v>
      </c>
      <c r="C81" s="160" t="s">
        <v>258</v>
      </c>
      <c r="D81" s="161">
        <f t="shared" ref="D81:AL81" si="72">RANDBETWEEN(1000,2500)</f>
        <v>1120</v>
      </c>
      <c r="E81" s="161">
        <f t="shared" si="72"/>
        <v>1671</v>
      </c>
      <c r="F81" s="161">
        <f t="shared" si="72"/>
        <v>1967</v>
      </c>
      <c r="G81" s="161">
        <f t="shared" si="72"/>
        <v>1361</v>
      </c>
      <c r="H81" s="161">
        <f t="shared" si="72"/>
        <v>1259</v>
      </c>
      <c r="I81" s="161">
        <f t="shared" si="72"/>
        <v>1591</v>
      </c>
      <c r="J81" s="161">
        <f t="shared" si="72"/>
        <v>2228</v>
      </c>
      <c r="K81" s="161">
        <f t="shared" si="72"/>
        <v>1441</v>
      </c>
      <c r="L81" s="161">
        <f t="shared" si="72"/>
        <v>2402</v>
      </c>
      <c r="M81" s="161">
        <f t="shared" si="72"/>
        <v>2383</v>
      </c>
      <c r="N81" s="161">
        <f t="shared" si="72"/>
        <v>1359</v>
      </c>
      <c r="O81" s="161">
        <f t="shared" si="72"/>
        <v>2073</v>
      </c>
      <c r="P81" s="161">
        <f t="shared" si="72"/>
        <v>2233</v>
      </c>
      <c r="Q81" s="161">
        <f t="shared" si="72"/>
        <v>2080</v>
      </c>
      <c r="R81" s="161">
        <f t="shared" si="72"/>
        <v>2358</v>
      </c>
      <c r="S81" s="161">
        <f t="shared" si="72"/>
        <v>1130</v>
      </c>
      <c r="T81" s="161">
        <f t="shared" si="72"/>
        <v>2192</v>
      </c>
      <c r="U81" s="161">
        <f t="shared" si="72"/>
        <v>2488</v>
      </c>
      <c r="V81" s="161">
        <f t="shared" si="72"/>
        <v>1206</v>
      </c>
      <c r="W81" s="161">
        <f t="shared" si="72"/>
        <v>2171</v>
      </c>
      <c r="X81" s="161">
        <f t="shared" si="72"/>
        <v>2070</v>
      </c>
      <c r="Y81" s="161">
        <f t="shared" si="72"/>
        <v>2085</v>
      </c>
      <c r="Z81" s="161">
        <f t="shared" si="72"/>
        <v>1334</v>
      </c>
      <c r="AA81" s="161">
        <f t="shared" si="72"/>
        <v>1117</v>
      </c>
      <c r="AB81" s="161">
        <f t="shared" si="72"/>
        <v>1302</v>
      </c>
      <c r="AC81" s="161">
        <f t="shared" si="72"/>
        <v>1406</v>
      </c>
      <c r="AD81" s="161">
        <f t="shared" si="72"/>
        <v>1009</v>
      </c>
      <c r="AE81" s="161">
        <f t="shared" si="72"/>
        <v>2335</v>
      </c>
      <c r="AF81" s="161">
        <f t="shared" si="72"/>
        <v>1022</v>
      </c>
      <c r="AG81" s="161">
        <f t="shared" si="72"/>
        <v>2329</v>
      </c>
      <c r="AH81" s="161">
        <f t="shared" si="72"/>
        <v>1906</v>
      </c>
      <c r="AI81" s="161">
        <f t="shared" si="72"/>
        <v>2178</v>
      </c>
      <c r="AJ81" s="161">
        <f t="shared" si="72"/>
        <v>1287</v>
      </c>
      <c r="AK81" s="161">
        <f t="shared" si="72"/>
        <v>1005</v>
      </c>
      <c r="AL81" s="161">
        <f t="shared" si="72"/>
        <v>1949</v>
      </c>
      <c r="AM81" s="166">
        <f t="array" ref="AM81">INDEX(Expenses!$1:$398,MATCH($C81,Expenses!$A:$A,0),MATCH(AM$4,Expenses!$4:$4,0))</f>
        <v>4000</v>
      </c>
      <c r="AN81" s="166">
        <f t="array" ref="AN81">INDEX(Expenses!$1:$398,MATCH($C81,Expenses!$A:$A,0),MATCH(AN$4,Expenses!$4:$4,0))</f>
        <v>4000</v>
      </c>
      <c r="AO81" s="166">
        <f t="array" ref="AO81">INDEX(Expenses!$1:$398,MATCH($C81,Expenses!$A:$A,0),MATCH(AO$4,Expenses!$4:$4,0))</f>
        <v>4000</v>
      </c>
      <c r="AP81" s="166">
        <f t="array" ref="AP81">INDEX(Expenses!$1:$398,MATCH($C81,Expenses!$A:$A,0),MATCH(AP$4,Expenses!$4:$4,0))</f>
        <v>4000</v>
      </c>
      <c r="AQ81" s="166">
        <f t="array" ref="AQ81">INDEX(Expenses!$1:$398,MATCH($C81,Expenses!$A:$A,0),MATCH(AQ$4,Expenses!$4:$4,0))</f>
        <v>4000</v>
      </c>
      <c r="AR81" s="166">
        <f t="array" ref="AR81">INDEX(Expenses!$1:$398,MATCH($C81,Expenses!$A:$A,0),MATCH(AR$4,Expenses!$4:$4,0))</f>
        <v>4000</v>
      </c>
      <c r="AS81" s="166">
        <f t="array" ref="AS81">INDEX(Expenses!$1:$398,MATCH($C81,Expenses!$A:$A,0),MATCH(AS$4,Expenses!$4:$4,0))</f>
        <v>4000</v>
      </c>
      <c r="AT81" s="166">
        <f t="array" ref="AT81">INDEX(Expenses!$1:$398,MATCH($C81,Expenses!$A:$A,0),MATCH(AT$4,Expenses!$4:$4,0))</f>
        <v>4000</v>
      </c>
      <c r="AU81" s="166">
        <f t="array" ref="AU81">INDEX(Expenses!$1:$398,MATCH($C81,Expenses!$A:$A,0),MATCH(AU$4,Expenses!$4:$4,0))</f>
        <v>4000</v>
      </c>
      <c r="AV81" s="166">
        <f t="array" ref="AV81">INDEX(Expenses!$1:$398,MATCH($C81,Expenses!$A:$A,0),MATCH(AV$4,Expenses!$4:$4,0))</f>
        <v>4000</v>
      </c>
      <c r="AW81" s="166">
        <f t="array" ref="AW81">INDEX(Expenses!$1:$398,MATCH($C81,Expenses!$A:$A,0),MATCH(AW$4,Expenses!$4:$4,0))</f>
        <v>4000</v>
      </c>
      <c r="AX81" s="166">
        <f t="array" ref="AX81">INDEX(Expenses!$1:$398,MATCH($C81,Expenses!$A:$A,0),MATCH(AX$4,Expenses!$4:$4,0))</f>
        <v>4000</v>
      </c>
      <c r="AY81" s="166">
        <f t="array" ref="AY81">INDEX(Expenses!$1:$398,MATCH($C81,Expenses!$A:$A,0),MATCH(AY$4,Expenses!$4:$4,0))</f>
        <v>4000</v>
      </c>
      <c r="AZ81" s="166">
        <f t="array" ref="AZ81">INDEX(Expenses!$1:$398,MATCH($C81,Expenses!$A:$A,0),MATCH(AZ$4,Expenses!$4:$4,0))</f>
        <v>4000</v>
      </c>
      <c r="BA81" s="166">
        <f t="array" ref="BA81">INDEX(Expenses!$1:$398,MATCH($C81,Expenses!$A:$A,0),MATCH(BA$4,Expenses!$4:$4,0))</f>
        <v>4000</v>
      </c>
      <c r="BB81" s="166">
        <f t="array" ref="BB81">INDEX(Expenses!$1:$398,MATCH($C81,Expenses!$A:$A,0),MATCH(BB$4,Expenses!$4:$4,0))</f>
        <v>4000</v>
      </c>
      <c r="BC81" s="166">
        <f t="array" ref="BC81">INDEX(Expenses!$1:$398,MATCH($C81,Expenses!$A:$A,0),MATCH(BC$4,Expenses!$4:$4,0))</f>
        <v>4000</v>
      </c>
      <c r="BD81" s="166">
        <f t="array" ref="BD81">INDEX(Expenses!$1:$398,MATCH($C81,Expenses!$A:$A,0),MATCH(BD$4,Expenses!$4:$4,0))</f>
        <v>4000</v>
      </c>
      <c r="BE81" s="166">
        <f t="array" ref="BE81">INDEX(Expenses!$1:$398,MATCH($C81,Expenses!$A:$A,0),MATCH(BE$4,Expenses!$4:$4,0))</f>
        <v>4000</v>
      </c>
      <c r="BF81" s="166">
        <f t="array" ref="BF81">INDEX(Expenses!$1:$398,MATCH($C81,Expenses!$A:$A,0),MATCH(BF$4,Expenses!$4:$4,0))</f>
        <v>4000</v>
      </c>
      <c r="BG81" s="166">
        <f t="array" ref="BG81">INDEX(Expenses!$1:$398,MATCH($C81,Expenses!$A:$A,0),MATCH(BG$4,Expenses!$4:$4,0))</f>
        <v>4000</v>
      </c>
      <c r="BH81" s="166">
        <f t="array" ref="BH81">INDEX(Expenses!$1:$398,MATCH($C81,Expenses!$A:$A,0),MATCH(BH$4,Expenses!$4:$4,0))</f>
        <v>4000</v>
      </c>
      <c r="BI81" s="166">
        <f t="array" ref="BI81">INDEX(Expenses!$1:$398,MATCH($C81,Expenses!$A:$A,0),MATCH(BI$4,Expenses!$4:$4,0))</f>
        <v>4000</v>
      </c>
      <c r="BJ81" s="166">
        <f t="array" ref="BJ81">INDEX(Expenses!$1:$398,MATCH($C81,Expenses!$A:$A,0),MATCH(BJ$4,Expenses!$4:$4,0))</f>
        <v>4000</v>
      </c>
      <c r="BK81" s="166">
        <f t="array" ref="BK81">INDEX(Expenses!$1:$398,MATCH($C81,Expenses!$A:$A,0),MATCH(BK$4,Expenses!$4:$4,0))</f>
        <v>4000</v>
      </c>
      <c r="BL81" s="166">
        <f t="array" ref="BL81">INDEX(Expenses!$1:$398,MATCH($C81,Expenses!$A:$A,0),MATCH(BL$4,Expenses!$4:$4,0))</f>
        <v>4000</v>
      </c>
      <c r="BM81" s="166">
        <f t="array" ref="BM81">INDEX(Expenses!$1:$398,MATCH($C81,Expenses!$A:$A,0),MATCH(BM$4,Expenses!$4:$4,0))</f>
        <v>4000</v>
      </c>
      <c r="BN81" s="166">
        <f t="array" ref="BN81">INDEX(Expenses!$1:$398,MATCH($C81,Expenses!$A:$A,0),MATCH(BN$4,Expenses!$4:$4,0))</f>
        <v>4000</v>
      </c>
      <c r="BO81" s="166">
        <f t="array" ref="BO81">INDEX(Expenses!$1:$398,MATCH($C81,Expenses!$A:$A,0),MATCH(BO$4,Expenses!$4:$4,0))</f>
        <v>4000</v>
      </c>
      <c r="BP81" s="166">
        <f t="array" ref="BP81">INDEX(Expenses!$1:$398,MATCH($C81,Expenses!$A:$A,0),MATCH(BP$4,Expenses!$4:$4,0))</f>
        <v>4000</v>
      </c>
      <c r="BQ81" s="166">
        <f t="array" ref="BQ81">INDEX(Expenses!$1:$398,MATCH($C81,Expenses!$A:$A,0),MATCH(BQ$4,Expenses!$4:$4,0))</f>
        <v>4000</v>
      </c>
      <c r="BR81" s="166">
        <f t="array" ref="BR81">INDEX(Expenses!$1:$398,MATCH($C81,Expenses!$A:$A,0),MATCH(BR$4,Expenses!$4:$4,0))</f>
        <v>4000</v>
      </c>
      <c r="BS81" s="166">
        <f t="array" ref="BS81">INDEX(Expenses!$1:$398,MATCH($C81,Expenses!$A:$A,0),MATCH(BS$4,Expenses!$4:$4,0))</f>
        <v>4000</v>
      </c>
      <c r="BT81" s="166">
        <f t="array" ref="BT81">INDEX(Expenses!$1:$398,MATCH($C81,Expenses!$A:$A,0),MATCH(BT$4,Expenses!$4:$4,0))</f>
        <v>4000</v>
      </c>
      <c r="BU81" s="166">
        <f t="array" ref="BU81">INDEX(Expenses!$1:$398,MATCH($C81,Expenses!$A:$A,0),MATCH(BU$4,Expenses!$4:$4,0))</f>
        <v>4000</v>
      </c>
      <c r="BV81" s="166">
        <f t="array" ref="BV81">INDEX(Expenses!$1:$398,MATCH($C81,Expenses!$A:$A,0),MATCH(BV$4,Expenses!$4:$4,0))</f>
        <v>4000</v>
      </c>
      <c r="BW81" s="166">
        <f t="array" ref="BW81">INDEX(Expenses!$1:$398,MATCH($C81,Expenses!$A:$A,0),MATCH(BW$4,Expenses!$4:$4,0))</f>
        <v>4000</v>
      </c>
      <c r="BX81" s="166">
        <f t="array" ref="BX81">INDEX(Expenses!$1:$398,MATCH($C81,Expenses!$A:$A,0),MATCH(BX$4,Expenses!$4:$4,0))</f>
        <v>4000</v>
      </c>
      <c r="BY81" s="166">
        <f t="array" ref="BY81">INDEX(Expenses!$1:$398,MATCH($C81,Expenses!$A:$A,0),MATCH(BY$4,Expenses!$4:$4,0))</f>
        <v>4000</v>
      </c>
      <c r="BZ81" s="166">
        <f t="array" ref="BZ81">INDEX(Expenses!$1:$398,MATCH($C81,Expenses!$A:$A,0),MATCH(BZ$4,Expenses!$4:$4,0))</f>
        <v>4000</v>
      </c>
      <c r="CA81" s="166">
        <f t="array" ref="CA81">INDEX(Expenses!$1:$398,MATCH($C81,Expenses!$A:$A,0),MATCH(CA$4,Expenses!$4:$4,0))</f>
        <v>4000</v>
      </c>
      <c r="CB81" s="166">
        <f t="array" ref="CB81">INDEX(Expenses!$1:$398,MATCH($C81,Expenses!$A:$A,0),MATCH(CB$4,Expenses!$4:$4,0))</f>
        <v>4000</v>
      </c>
      <c r="CC81" s="166">
        <f t="array" ref="CC81">INDEX(Expenses!$1:$398,MATCH($C81,Expenses!$A:$A,0),MATCH(CC$4,Expenses!$4:$4,0))</f>
        <v>4000</v>
      </c>
      <c r="CD81" s="166">
        <f t="array" ref="CD81">INDEX(Expenses!$1:$398,MATCH($C81,Expenses!$A:$A,0),MATCH(CD$4,Expenses!$4:$4,0))</f>
        <v>4000</v>
      </c>
      <c r="CE81" s="166">
        <f t="array" ref="CE81">INDEX(Expenses!$1:$398,MATCH($C81,Expenses!$A:$A,0),MATCH(CE$4,Expenses!$4:$4,0))</f>
        <v>4000</v>
      </c>
      <c r="CF81" s="166">
        <f t="array" ref="CF81">INDEX(Expenses!$1:$398,MATCH($C81,Expenses!$A:$A,0),MATCH(CF$4,Expenses!$4:$4,0))</f>
        <v>4000</v>
      </c>
      <c r="CG81" s="166">
        <f t="array" ref="CG81">INDEX(Expenses!$1:$398,MATCH($C81,Expenses!$A:$A,0),MATCH(CG$4,Expenses!$4:$4,0))</f>
        <v>4000</v>
      </c>
      <c r="CH81" s="166">
        <f t="array" ref="CH81">INDEX(Expenses!$1:$398,MATCH($C81,Expenses!$A:$A,0),MATCH(CH$4,Expenses!$4:$4,0))</f>
        <v>4000</v>
      </c>
      <c r="CI81" s="166">
        <f t="array" ref="CI81">INDEX(Expenses!$1:$398,MATCH($C81,Expenses!$A:$A,0),MATCH(CI$4,Expenses!$4:$4,0))</f>
        <v>4000</v>
      </c>
      <c r="CJ81" s="166">
        <f t="array" ref="CJ81">INDEX(Expenses!$1:$398,MATCH($C81,Expenses!$A:$A,0),MATCH(CJ$4,Expenses!$4:$4,0))</f>
        <v>4000</v>
      </c>
      <c r="CK81" s="166">
        <f t="array" ref="CK81">INDEX(Expenses!$1:$398,MATCH($C81,Expenses!$A:$A,0),MATCH(CK$4,Expenses!$4:$4,0))</f>
        <v>4000</v>
      </c>
      <c r="CL81" s="166">
        <f t="array" ref="CL81">INDEX(Expenses!$1:$398,MATCH($C81,Expenses!$A:$A,0),MATCH(CL$4,Expenses!$4:$4,0))</f>
        <v>4000</v>
      </c>
      <c r="CM81" s="166">
        <f t="array" ref="CM81">INDEX(Expenses!$1:$398,MATCH($C81,Expenses!$A:$A,0),MATCH(CM$4,Expenses!$4:$4,0))</f>
        <v>4000</v>
      </c>
      <c r="CN81" s="166">
        <f t="array" ref="CN81">INDEX(Expenses!$1:$398,MATCH($C81,Expenses!$A:$A,0),MATCH(CN$4,Expenses!$4:$4,0))</f>
        <v>4000</v>
      </c>
      <c r="CO81" s="166">
        <f t="array" ref="CO81">INDEX(Expenses!$1:$398,MATCH($C81,Expenses!$A:$A,0),MATCH(CO$4,Expenses!$4:$4,0))</f>
        <v>4000</v>
      </c>
      <c r="CP81" s="166">
        <f t="array" ref="CP81">INDEX(Expenses!$1:$398,MATCH($C81,Expenses!$A:$A,0),MATCH(CP$4,Expenses!$4:$4,0))</f>
        <v>4000</v>
      </c>
      <c r="CQ81" s="166">
        <f t="array" ref="CQ81">INDEX(Expenses!$1:$398,MATCH($C81,Expenses!$A:$A,0),MATCH(CQ$4,Expenses!$4:$4,0))</f>
        <v>4000</v>
      </c>
      <c r="CR81" s="166">
        <f t="array" ref="CR81">INDEX(Expenses!$1:$398,MATCH($C81,Expenses!$A:$A,0),MATCH(CR$4,Expenses!$4:$4,0))</f>
        <v>4000</v>
      </c>
      <c r="CS81" s="166">
        <f t="array" ref="CS81">INDEX(Expenses!$1:$398,MATCH($C81,Expenses!$A:$A,0),MATCH(CS$4,Expenses!$4:$4,0))</f>
        <v>4000</v>
      </c>
      <c r="CT81" s="166">
        <f t="array" ref="CT81">INDEX(Expenses!$1:$398,MATCH($C81,Expenses!$A:$A,0),MATCH(CT$4,Expenses!$4:$4,0))</f>
        <v>4000</v>
      </c>
      <c r="CU81" s="166">
        <f t="array" ref="CU81">INDEX(Expenses!$1:$398,MATCH($C81,Expenses!$A:$A,0),MATCH(CU$4,Expenses!$4:$4,0))</f>
        <v>4000</v>
      </c>
      <c r="CV81" s="162"/>
      <c r="CW81" s="162"/>
      <c r="CX81" s="162"/>
      <c r="CY81" s="162"/>
      <c r="CZ81" s="162"/>
      <c r="DA81" s="162"/>
      <c r="DB81" s="162"/>
      <c r="DC81" s="162"/>
    </row>
    <row r="82" ht="15.75" customHeight="1">
      <c r="A82" s="146"/>
      <c r="B82" s="146"/>
      <c r="C82" s="160" t="s">
        <v>259</v>
      </c>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c r="BR82" s="162"/>
      <c r="BS82" s="162"/>
      <c r="BT82" s="162"/>
      <c r="BU82" s="162"/>
      <c r="BV82" s="162"/>
      <c r="BW82" s="162"/>
      <c r="BX82" s="162"/>
      <c r="BY82" s="162"/>
      <c r="BZ82" s="162"/>
      <c r="CA82" s="162"/>
      <c r="CB82" s="162"/>
      <c r="CC82" s="162"/>
      <c r="CD82" s="162"/>
      <c r="CE82" s="162"/>
      <c r="CF82" s="162"/>
      <c r="CG82" s="162"/>
      <c r="CH82" s="162"/>
      <c r="CI82" s="162"/>
      <c r="CJ82" s="162"/>
      <c r="CK82" s="162"/>
      <c r="CL82" s="162"/>
      <c r="CM82" s="162"/>
      <c r="CN82" s="162"/>
      <c r="CO82" s="162"/>
      <c r="CP82" s="162"/>
      <c r="CQ82" s="162"/>
      <c r="CR82" s="162"/>
      <c r="CS82" s="162"/>
      <c r="CT82" s="162"/>
      <c r="CU82" s="162"/>
      <c r="CV82" s="162"/>
      <c r="CW82" s="162"/>
      <c r="CX82" s="162"/>
      <c r="CY82" s="162"/>
      <c r="CZ82" s="162"/>
      <c r="DA82" s="162"/>
      <c r="DB82" s="162"/>
      <c r="DC82" s="162"/>
    </row>
    <row r="83" ht="15.75" customHeight="1">
      <c r="A83" s="146" t="s">
        <v>174</v>
      </c>
      <c r="B83" s="146" t="s">
        <v>72</v>
      </c>
      <c r="C83" s="160" t="s">
        <v>260</v>
      </c>
      <c r="D83" s="161">
        <f t="shared" ref="D83:AL83" si="73">RANDBETWEEN(1000,2500)</f>
        <v>1498</v>
      </c>
      <c r="E83" s="161">
        <f t="shared" si="73"/>
        <v>2389</v>
      </c>
      <c r="F83" s="161">
        <f t="shared" si="73"/>
        <v>1599</v>
      </c>
      <c r="G83" s="161">
        <f t="shared" si="73"/>
        <v>1793</v>
      </c>
      <c r="H83" s="161">
        <f t="shared" si="73"/>
        <v>1013</v>
      </c>
      <c r="I83" s="161">
        <f t="shared" si="73"/>
        <v>1679</v>
      </c>
      <c r="J83" s="161">
        <f t="shared" si="73"/>
        <v>1509</v>
      </c>
      <c r="K83" s="161">
        <f t="shared" si="73"/>
        <v>2096</v>
      </c>
      <c r="L83" s="161">
        <f t="shared" si="73"/>
        <v>1938</v>
      </c>
      <c r="M83" s="161">
        <f t="shared" si="73"/>
        <v>1072</v>
      </c>
      <c r="N83" s="161">
        <f t="shared" si="73"/>
        <v>1728</v>
      </c>
      <c r="O83" s="161">
        <f t="shared" si="73"/>
        <v>1736</v>
      </c>
      <c r="P83" s="161">
        <f t="shared" si="73"/>
        <v>1965</v>
      </c>
      <c r="Q83" s="161">
        <f t="shared" si="73"/>
        <v>1492</v>
      </c>
      <c r="R83" s="161">
        <f t="shared" si="73"/>
        <v>1878</v>
      </c>
      <c r="S83" s="161">
        <f t="shared" si="73"/>
        <v>2047</v>
      </c>
      <c r="T83" s="161">
        <f t="shared" si="73"/>
        <v>1504</v>
      </c>
      <c r="U83" s="161">
        <f t="shared" si="73"/>
        <v>1667</v>
      </c>
      <c r="V83" s="161">
        <f t="shared" si="73"/>
        <v>1004</v>
      </c>
      <c r="W83" s="161">
        <f t="shared" si="73"/>
        <v>2209</v>
      </c>
      <c r="X83" s="161">
        <f t="shared" si="73"/>
        <v>1680</v>
      </c>
      <c r="Y83" s="161">
        <f t="shared" si="73"/>
        <v>2300</v>
      </c>
      <c r="Z83" s="161">
        <f t="shared" si="73"/>
        <v>1975</v>
      </c>
      <c r="AA83" s="161">
        <f t="shared" si="73"/>
        <v>1140</v>
      </c>
      <c r="AB83" s="161">
        <f t="shared" si="73"/>
        <v>1411</v>
      </c>
      <c r="AC83" s="161">
        <f t="shared" si="73"/>
        <v>2253</v>
      </c>
      <c r="AD83" s="161">
        <f t="shared" si="73"/>
        <v>1054</v>
      </c>
      <c r="AE83" s="161">
        <f t="shared" si="73"/>
        <v>1848</v>
      </c>
      <c r="AF83" s="161">
        <f t="shared" si="73"/>
        <v>1058</v>
      </c>
      <c r="AG83" s="161">
        <f t="shared" si="73"/>
        <v>1310</v>
      </c>
      <c r="AH83" s="161">
        <f t="shared" si="73"/>
        <v>2483</v>
      </c>
      <c r="AI83" s="161">
        <f t="shared" si="73"/>
        <v>2435</v>
      </c>
      <c r="AJ83" s="161">
        <f t="shared" si="73"/>
        <v>1688</v>
      </c>
      <c r="AK83" s="161">
        <f t="shared" si="73"/>
        <v>1482</v>
      </c>
      <c r="AL83" s="161">
        <f t="shared" si="73"/>
        <v>1995</v>
      </c>
      <c r="AM83" s="166">
        <f t="array" ref="AM83">INDEX(Expenses!$1:$398,MATCH($C83,Expenses!$A:$A,0),MATCH(AM$4,Expenses!$4:$4,0))</f>
        <v>0</v>
      </c>
      <c r="AN83" s="166">
        <f t="array" ref="AN83">INDEX(Expenses!$1:$398,MATCH($C83,Expenses!$A:$A,0),MATCH(AN$4,Expenses!$4:$4,0))</f>
        <v>0</v>
      </c>
      <c r="AO83" s="166">
        <f t="array" ref="AO83">INDEX(Expenses!$1:$398,MATCH($C83,Expenses!$A:$A,0),MATCH(AO$4,Expenses!$4:$4,0))</f>
        <v>0</v>
      </c>
      <c r="AP83" s="166">
        <f t="array" ref="AP83">INDEX(Expenses!$1:$398,MATCH($C83,Expenses!$A:$A,0),MATCH(AP$4,Expenses!$4:$4,0))</f>
        <v>0</v>
      </c>
      <c r="AQ83" s="166">
        <f t="array" ref="AQ83">INDEX(Expenses!$1:$398,MATCH($C83,Expenses!$A:$A,0),MATCH(AQ$4,Expenses!$4:$4,0))</f>
        <v>0</v>
      </c>
      <c r="AR83" s="166">
        <f t="array" ref="AR83">INDEX(Expenses!$1:$398,MATCH($C83,Expenses!$A:$A,0),MATCH(AR$4,Expenses!$4:$4,0))</f>
        <v>0</v>
      </c>
      <c r="AS83" s="166">
        <f t="array" ref="AS83">INDEX(Expenses!$1:$398,MATCH($C83,Expenses!$A:$A,0),MATCH(AS$4,Expenses!$4:$4,0))</f>
        <v>0</v>
      </c>
      <c r="AT83" s="166">
        <f t="array" ref="AT83">INDEX(Expenses!$1:$398,MATCH($C83,Expenses!$A:$A,0),MATCH(AT$4,Expenses!$4:$4,0))</f>
        <v>0</v>
      </c>
      <c r="AU83" s="166">
        <f t="array" ref="AU83">INDEX(Expenses!$1:$398,MATCH($C83,Expenses!$A:$A,0),MATCH(AU$4,Expenses!$4:$4,0))</f>
        <v>0</v>
      </c>
      <c r="AV83" s="166">
        <f t="array" ref="AV83">INDEX(Expenses!$1:$398,MATCH($C83,Expenses!$A:$A,0),MATCH(AV$4,Expenses!$4:$4,0))</f>
        <v>0</v>
      </c>
      <c r="AW83" s="166">
        <f t="array" ref="AW83">INDEX(Expenses!$1:$398,MATCH($C83,Expenses!$A:$A,0),MATCH(AW$4,Expenses!$4:$4,0))</f>
        <v>0</v>
      </c>
      <c r="AX83" s="166">
        <f t="array" ref="AX83">INDEX(Expenses!$1:$398,MATCH($C83,Expenses!$A:$A,0),MATCH(AX$4,Expenses!$4:$4,0))</f>
        <v>0</v>
      </c>
      <c r="AY83" s="166">
        <f t="array" ref="AY83">INDEX(Expenses!$1:$398,MATCH($C83,Expenses!$A:$A,0),MATCH(AY$4,Expenses!$4:$4,0))</f>
        <v>0</v>
      </c>
      <c r="AZ83" s="166">
        <f t="array" ref="AZ83">INDEX(Expenses!$1:$398,MATCH($C83,Expenses!$A:$A,0),MATCH(AZ$4,Expenses!$4:$4,0))</f>
        <v>0</v>
      </c>
      <c r="BA83" s="166">
        <f t="array" ref="BA83">INDEX(Expenses!$1:$398,MATCH($C83,Expenses!$A:$A,0),MATCH(BA$4,Expenses!$4:$4,0))</f>
        <v>0</v>
      </c>
      <c r="BB83" s="166">
        <f t="array" ref="BB83">INDEX(Expenses!$1:$398,MATCH($C83,Expenses!$A:$A,0),MATCH(BB$4,Expenses!$4:$4,0))</f>
        <v>0</v>
      </c>
      <c r="BC83" s="166">
        <f t="array" ref="BC83">INDEX(Expenses!$1:$398,MATCH($C83,Expenses!$A:$A,0),MATCH(BC$4,Expenses!$4:$4,0))</f>
        <v>0</v>
      </c>
      <c r="BD83" s="166">
        <f t="array" ref="BD83">INDEX(Expenses!$1:$398,MATCH($C83,Expenses!$A:$A,0),MATCH(BD$4,Expenses!$4:$4,0))</f>
        <v>0</v>
      </c>
      <c r="BE83" s="166">
        <f t="array" ref="BE83">INDEX(Expenses!$1:$398,MATCH($C83,Expenses!$A:$A,0),MATCH(BE$4,Expenses!$4:$4,0))</f>
        <v>0</v>
      </c>
      <c r="BF83" s="166">
        <f t="array" ref="BF83">INDEX(Expenses!$1:$398,MATCH($C83,Expenses!$A:$A,0),MATCH(BF$4,Expenses!$4:$4,0))</f>
        <v>0</v>
      </c>
      <c r="BG83" s="166">
        <f t="array" ref="BG83">INDEX(Expenses!$1:$398,MATCH($C83,Expenses!$A:$A,0),MATCH(BG$4,Expenses!$4:$4,0))</f>
        <v>0</v>
      </c>
      <c r="BH83" s="166">
        <f t="array" ref="BH83">INDEX(Expenses!$1:$398,MATCH($C83,Expenses!$A:$A,0),MATCH(BH$4,Expenses!$4:$4,0))</f>
        <v>0</v>
      </c>
      <c r="BI83" s="166">
        <f t="array" ref="BI83">INDEX(Expenses!$1:$398,MATCH($C83,Expenses!$A:$A,0),MATCH(BI$4,Expenses!$4:$4,0))</f>
        <v>0</v>
      </c>
      <c r="BJ83" s="166">
        <f t="array" ref="BJ83">INDEX(Expenses!$1:$398,MATCH($C83,Expenses!$A:$A,0),MATCH(BJ$4,Expenses!$4:$4,0))</f>
        <v>0</v>
      </c>
      <c r="BK83" s="166">
        <f t="array" ref="BK83">INDEX(Expenses!$1:$398,MATCH($C83,Expenses!$A:$A,0),MATCH(BK$4,Expenses!$4:$4,0))</f>
        <v>0</v>
      </c>
      <c r="BL83" s="166">
        <f t="array" ref="BL83">INDEX(Expenses!$1:$398,MATCH($C83,Expenses!$A:$A,0),MATCH(BL$4,Expenses!$4:$4,0))</f>
        <v>0</v>
      </c>
      <c r="BM83" s="166">
        <f t="array" ref="BM83">INDEX(Expenses!$1:$398,MATCH($C83,Expenses!$A:$A,0),MATCH(BM$4,Expenses!$4:$4,0))</f>
        <v>0</v>
      </c>
      <c r="BN83" s="166">
        <f t="array" ref="BN83">INDEX(Expenses!$1:$398,MATCH($C83,Expenses!$A:$A,0),MATCH(BN$4,Expenses!$4:$4,0))</f>
        <v>0</v>
      </c>
      <c r="BO83" s="166">
        <f t="array" ref="BO83">INDEX(Expenses!$1:$398,MATCH($C83,Expenses!$A:$A,0),MATCH(BO$4,Expenses!$4:$4,0))</f>
        <v>0</v>
      </c>
      <c r="BP83" s="166">
        <f t="array" ref="BP83">INDEX(Expenses!$1:$398,MATCH($C83,Expenses!$A:$A,0),MATCH(BP$4,Expenses!$4:$4,0))</f>
        <v>0</v>
      </c>
      <c r="BQ83" s="166">
        <f t="array" ref="BQ83">INDEX(Expenses!$1:$398,MATCH($C83,Expenses!$A:$A,0),MATCH(BQ$4,Expenses!$4:$4,0))</f>
        <v>0</v>
      </c>
      <c r="BR83" s="166">
        <f t="array" ref="BR83">INDEX(Expenses!$1:$398,MATCH($C83,Expenses!$A:$A,0),MATCH(BR$4,Expenses!$4:$4,0))</f>
        <v>0</v>
      </c>
      <c r="BS83" s="166">
        <f t="array" ref="BS83">INDEX(Expenses!$1:$398,MATCH($C83,Expenses!$A:$A,0),MATCH(BS$4,Expenses!$4:$4,0))</f>
        <v>0</v>
      </c>
      <c r="BT83" s="166">
        <f t="array" ref="BT83">INDEX(Expenses!$1:$398,MATCH($C83,Expenses!$A:$A,0),MATCH(BT$4,Expenses!$4:$4,0))</f>
        <v>0</v>
      </c>
      <c r="BU83" s="166">
        <f t="array" ref="BU83">INDEX(Expenses!$1:$398,MATCH($C83,Expenses!$A:$A,0),MATCH(BU$4,Expenses!$4:$4,0))</f>
        <v>0</v>
      </c>
      <c r="BV83" s="166">
        <f t="array" ref="BV83">INDEX(Expenses!$1:$398,MATCH($C83,Expenses!$A:$A,0),MATCH(BV$4,Expenses!$4:$4,0))</f>
        <v>0</v>
      </c>
      <c r="BW83" s="166">
        <f t="array" ref="BW83">INDEX(Expenses!$1:$398,MATCH($C83,Expenses!$A:$A,0),MATCH(BW$4,Expenses!$4:$4,0))</f>
        <v>0</v>
      </c>
      <c r="BX83" s="166">
        <f t="array" ref="BX83">INDEX(Expenses!$1:$398,MATCH($C83,Expenses!$A:$A,0),MATCH(BX$4,Expenses!$4:$4,0))</f>
        <v>0</v>
      </c>
      <c r="BY83" s="166">
        <f t="array" ref="BY83">INDEX(Expenses!$1:$398,MATCH($C83,Expenses!$A:$A,0),MATCH(BY$4,Expenses!$4:$4,0))</f>
        <v>0</v>
      </c>
      <c r="BZ83" s="166">
        <f t="array" ref="BZ83">INDEX(Expenses!$1:$398,MATCH($C83,Expenses!$A:$A,0),MATCH(BZ$4,Expenses!$4:$4,0))</f>
        <v>0</v>
      </c>
      <c r="CA83" s="166">
        <f t="array" ref="CA83">INDEX(Expenses!$1:$398,MATCH($C83,Expenses!$A:$A,0),MATCH(CA$4,Expenses!$4:$4,0))</f>
        <v>0</v>
      </c>
      <c r="CB83" s="166">
        <f t="array" ref="CB83">INDEX(Expenses!$1:$398,MATCH($C83,Expenses!$A:$A,0),MATCH(CB$4,Expenses!$4:$4,0))</f>
        <v>0</v>
      </c>
      <c r="CC83" s="166">
        <f t="array" ref="CC83">INDEX(Expenses!$1:$398,MATCH($C83,Expenses!$A:$A,0),MATCH(CC$4,Expenses!$4:$4,0))</f>
        <v>0</v>
      </c>
      <c r="CD83" s="166">
        <f t="array" ref="CD83">INDEX(Expenses!$1:$398,MATCH($C83,Expenses!$A:$A,0),MATCH(CD$4,Expenses!$4:$4,0))</f>
        <v>0</v>
      </c>
      <c r="CE83" s="166">
        <f t="array" ref="CE83">INDEX(Expenses!$1:$398,MATCH($C83,Expenses!$A:$A,0),MATCH(CE$4,Expenses!$4:$4,0))</f>
        <v>0</v>
      </c>
      <c r="CF83" s="166">
        <f t="array" ref="CF83">INDEX(Expenses!$1:$398,MATCH($C83,Expenses!$A:$A,0),MATCH(CF$4,Expenses!$4:$4,0))</f>
        <v>0</v>
      </c>
      <c r="CG83" s="166">
        <f t="array" ref="CG83">INDEX(Expenses!$1:$398,MATCH($C83,Expenses!$A:$A,0),MATCH(CG$4,Expenses!$4:$4,0))</f>
        <v>0</v>
      </c>
      <c r="CH83" s="166">
        <f t="array" ref="CH83">INDEX(Expenses!$1:$398,MATCH($C83,Expenses!$A:$A,0),MATCH(CH$4,Expenses!$4:$4,0))</f>
        <v>0</v>
      </c>
      <c r="CI83" s="166">
        <f t="array" ref="CI83">INDEX(Expenses!$1:$398,MATCH($C83,Expenses!$A:$A,0),MATCH(CI$4,Expenses!$4:$4,0))</f>
        <v>0</v>
      </c>
      <c r="CJ83" s="166">
        <f t="array" ref="CJ83">INDEX(Expenses!$1:$398,MATCH($C83,Expenses!$A:$A,0),MATCH(CJ$4,Expenses!$4:$4,0))</f>
        <v>0</v>
      </c>
      <c r="CK83" s="166">
        <f t="array" ref="CK83">INDEX(Expenses!$1:$398,MATCH($C83,Expenses!$A:$A,0),MATCH(CK$4,Expenses!$4:$4,0))</f>
        <v>0</v>
      </c>
      <c r="CL83" s="166">
        <f t="array" ref="CL83">INDEX(Expenses!$1:$398,MATCH($C83,Expenses!$A:$A,0),MATCH(CL$4,Expenses!$4:$4,0))</f>
        <v>0</v>
      </c>
      <c r="CM83" s="166">
        <f t="array" ref="CM83">INDEX(Expenses!$1:$398,MATCH($C83,Expenses!$A:$A,0),MATCH(CM$4,Expenses!$4:$4,0))</f>
        <v>0</v>
      </c>
      <c r="CN83" s="166">
        <f t="array" ref="CN83">INDEX(Expenses!$1:$398,MATCH($C83,Expenses!$A:$A,0),MATCH(CN$4,Expenses!$4:$4,0))</f>
        <v>0</v>
      </c>
      <c r="CO83" s="166">
        <f t="array" ref="CO83">INDEX(Expenses!$1:$398,MATCH($C83,Expenses!$A:$A,0),MATCH(CO$4,Expenses!$4:$4,0))</f>
        <v>0</v>
      </c>
      <c r="CP83" s="166">
        <f t="array" ref="CP83">INDEX(Expenses!$1:$398,MATCH($C83,Expenses!$A:$A,0),MATCH(CP$4,Expenses!$4:$4,0))</f>
        <v>0</v>
      </c>
      <c r="CQ83" s="166">
        <f t="array" ref="CQ83">INDEX(Expenses!$1:$398,MATCH($C83,Expenses!$A:$A,0),MATCH(CQ$4,Expenses!$4:$4,0))</f>
        <v>0</v>
      </c>
      <c r="CR83" s="166">
        <f t="array" ref="CR83">INDEX(Expenses!$1:$398,MATCH($C83,Expenses!$A:$A,0),MATCH(CR$4,Expenses!$4:$4,0))</f>
        <v>0</v>
      </c>
      <c r="CS83" s="166">
        <f t="array" ref="CS83">INDEX(Expenses!$1:$398,MATCH($C83,Expenses!$A:$A,0),MATCH(CS$4,Expenses!$4:$4,0))</f>
        <v>0</v>
      </c>
      <c r="CT83" s="166">
        <f t="array" ref="CT83">INDEX(Expenses!$1:$398,MATCH($C83,Expenses!$A:$A,0),MATCH(CT$4,Expenses!$4:$4,0))</f>
        <v>0</v>
      </c>
      <c r="CU83" s="166">
        <f t="array" ref="CU83">INDEX(Expenses!$1:$398,MATCH($C83,Expenses!$A:$A,0),MATCH(CU$4,Expenses!$4:$4,0))</f>
        <v>0</v>
      </c>
      <c r="CV83" s="162"/>
      <c r="CW83" s="162"/>
      <c r="CX83" s="162"/>
      <c r="CY83" s="162"/>
      <c r="CZ83" s="162"/>
      <c r="DA83" s="162"/>
      <c r="DB83" s="162"/>
      <c r="DC83" s="162"/>
    </row>
    <row r="84" ht="15.75" customHeight="1">
      <c r="A84" s="146"/>
      <c r="B84" s="146"/>
      <c r="C84" s="160" t="s">
        <v>261</v>
      </c>
      <c r="D84" s="171">
        <f t="shared" ref="D84:CU84" si="74">SUM(D45:D83)</f>
        <v>68705</v>
      </c>
      <c r="E84" s="171">
        <f t="shared" si="74"/>
        <v>70592</v>
      </c>
      <c r="F84" s="171">
        <f t="shared" si="74"/>
        <v>69236</v>
      </c>
      <c r="G84" s="171">
        <f t="shared" si="74"/>
        <v>66543</v>
      </c>
      <c r="H84" s="171">
        <f t="shared" si="74"/>
        <v>66057</v>
      </c>
      <c r="I84" s="171">
        <f t="shared" si="74"/>
        <v>71127</v>
      </c>
      <c r="J84" s="171">
        <f t="shared" si="74"/>
        <v>65331</v>
      </c>
      <c r="K84" s="171">
        <f t="shared" si="74"/>
        <v>67380</v>
      </c>
      <c r="L84" s="171">
        <f t="shared" si="74"/>
        <v>67856</v>
      </c>
      <c r="M84" s="171">
        <f t="shared" si="74"/>
        <v>68958</v>
      </c>
      <c r="N84" s="171">
        <f t="shared" si="74"/>
        <v>65840</v>
      </c>
      <c r="O84" s="171">
        <f t="shared" si="74"/>
        <v>68135</v>
      </c>
      <c r="P84" s="171">
        <f t="shared" si="74"/>
        <v>69899</v>
      </c>
      <c r="Q84" s="171">
        <f t="shared" si="74"/>
        <v>63619</v>
      </c>
      <c r="R84" s="171">
        <f t="shared" si="74"/>
        <v>69118</v>
      </c>
      <c r="S84" s="171">
        <f t="shared" si="74"/>
        <v>69915</v>
      </c>
      <c r="T84" s="171">
        <f t="shared" si="74"/>
        <v>69711</v>
      </c>
      <c r="U84" s="171">
        <f t="shared" si="74"/>
        <v>63081</v>
      </c>
      <c r="V84" s="171">
        <f t="shared" si="74"/>
        <v>59996</v>
      </c>
      <c r="W84" s="171">
        <f t="shared" si="74"/>
        <v>70283</v>
      </c>
      <c r="X84" s="171">
        <f t="shared" si="74"/>
        <v>71937</v>
      </c>
      <c r="Y84" s="171">
        <f t="shared" si="74"/>
        <v>70030</v>
      </c>
      <c r="Z84" s="171">
        <f t="shared" si="74"/>
        <v>68117</v>
      </c>
      <c r="AA84" s="171">
        <f t="shared" si="74"/>
        <v>72793</v>
      </c>
      <c r="AB84" s="171">
        <f t="shared" si="74"/>
        <v>64804</v>
      </c>
      <c r="AC84" s="171">
        <f t="shared" si="74"/>
        <v>68898</v>
      </c>
      <c r="AD84" s="171">
        <f t="shared" si="74"/>
        <v>64988</v>
      </c>
      <c r="AE84" s="171">
        <f t="shared" si="74"/>
        <v>73243</v>
      </c>
      <c r="AF84" s="171">
        <f t="shared" si="74"/>
        <v>71352</v>
      </c>
      <c r="AG84" s="171">
        <f t="shared" si="74"/>
        <v>71700</v>
      </c>
      <c r="AH84" s="171">
        <f t="shared" si="74"/>
        <v>66728</v>
      </c>
      <c r="AI84" s="171">
        <f t="shared" si="74"/>
        <v>65039</v>
      </c>
      <c r="AJ84" s="171">
        <f t="shared" si="74"/>
        <v>70344</v>
      </c>
      <c r="AK84" s="171">
        <f t="shared" si="74"/>
        <v>65228</v>
      </c>
      <c r="AL84" s="171">
        <f t="shared" si="74"/>
        <v>70125</v>
      </c>
      <c r="AM84" s="164">
        <f t="shared" si="74"/>
        <v>318186.2638</v>
      </c>
      <c r="AN84" s="164">
        <f t="shared" si="74"/>
        <v>434660.5696</v>
      </c>
      <c r="AO84" s="164">
        <f t="shared" si="74"/>
        <v>570586.3799</v>
      </c>
      <c r="AP84" s="164">
        <f t="shared" si="74"/>
        <v>488140.6926</v>
      </c>
      <c r="AQ84" s="164">
        <f t="shared" si="74"/>
        <v>522342.6838</v>
      </c>
      <c r="AR84" s="164">
        <f t="shared" si="74"/>
        <v>657118.4793</v>
      </c>
      <c r="AS84" s="164">
        <f t="shared" si="74"/>
        <v>556046.5082</v>
      </c>
      <c r="AT84" s="164">
        <f t="shared" si="74"/>
        <v>702344.4542</v>
      </c>
      <c r="AU84" s="164">
        <f t="shared" si="74"/>
        <v>633224.6724</v>
      </c>
      <c r="AV84" s="164">
        <f t="shared" si="74"/>
        <v>792377.0806</v>
      </c>
      <c r="AW84" s="164">
        <f t="shared" si="74"/>
        <v>710286.6333</v>
      </c>
      <c r="AX84" s="164">
        <f t="shared" si="74"/>
        <v>750234.6285</v>
      </c>
      <c r="AY84" s="164">
        <f t="shared" si="74"/>
        <v>778552.4312</v>
      </c>
      <c r="AZ84" s="164">
        <f t="shared" si="74"/>
        <v>1078980.775</v>
      </c>
      <c r="BA84" s="164">
        <f t="shared" si="74"/>
        <v>831927.3151</v>
      </c>
      <c r="BB84" s="164">
        <f t="shared" si="74"/>
        <v>831297.0441</v>
      </c>
      <c r="BC84" s="164">
        <f t="shared" si="74"/>
        <v>832695.776</v>
      </c>
      <c r="BD84" s="164">
        <f t="shared" si="74"/>
        <v>987834.1531</v>
      </c>
      <c r="BE84" s="164">
        <f t="shared" si="74"/>
        <v>860738.0192</v>
      </c>
      <c r="BF84" s="164">
        <f t="shared" si="74"/>
        <v>978312.0164</v>
      </c>
      <c r="BG84" s="164">
        <f t="shared" si="74"/>
        <v>877052.3682</v>
      </c>
      <c r="BH84" s="164">
        <f t="shared" si="74"/>
        <v>1038657.949</v>
      </c>
      <c r="BI84" s="164">
        <f t="shared" si="74"/>
        <v>908245.6649</v>
      </c>
      <c r="BJ84" s="164">
        <f t="shared" si="74"/>
        <v>909714.8379</v>
      </c>
      <c r="BK84" s="164">
        <f t="shared" si="74"/>
        <v>911179.2183</v>
      </c>
      <c r="BL84" s="164">
        <f t="shared" si="74"/>
        <v>1220736.312</v>
      </c>
      <c r="BM84" s="164">
        <f t="shared" si="74"/>
        <v>977961.4303</v>
      </c>
      <c r="BN84" s="164">
        <f t="shared" si="74"/>
        <v>989993.4375</v>
      </c>
      <c r="BO84" s="164">
        <f t="shared" si="74"/>
        <v>1001996.749</v>
      </c>
      <c r="BP84" s="164">
        <f t="shared" si="74"/>
        <v>1216760.939</v>
      </c>
      <c r="BQ84" s="164">
        <f t="shared" si="74"/>
        <v>1087790.478</v>
      </c>
      <c r="BR84" s="164">
        <f t="shared" si="74"/>
        <v>1245962.624</v>
      </c>
      <c r="BS84" s="164">
        <f t="shared" si="74"/>
        <v>1157922.299</v>
      </c>
      <c r="BT84" s="164">
        <f t="shared" si="74"/>
        <v>1352677.848</v>
      </c>
      <c r="BU84" s="164">
        <f t="shared" si="74"/>
        <v>1249091.371</v>
      </c>
      <c r="BV84" s="164">
        <f t="shared" si="74"/>
        <v>1260983.305</v>
      </c>
      <c r="BW84" s="164">
        <f t="shared" si="74"/>
        <v>1272866.277</v>
      </c>
      <c r="BX84" s="164">
        <f t="shared" si="74"/>
        <v>1637912.876</v>
      </c>
      <c r="BY84" s="164">
        <f t="shared" si="74"/>
        <v>1376821.683</v>
      </c>
      <c r="BZ84" s="164">
        <f t="shared" si="74"/>
        <v>1387874.702</v>
      </c>
      <c r="CA84" s="164">
        <f t="shared" si="74"/>
        <v>1429572.207</v>
      </c>
      <c r="CB84" s="164">
        <f t="shared" si="74"/>
        <v>1662563.302</v>
      </c>
      <c r="CC84" s="164">
        <f t="shared" si="74"/>
        <v>1506876.116</v>
      </c>
      <c r="CD84" s="164">
        <f t="shared" si="74"/>
        <v>1674378.333</v>
      </c>
      <c r="CE84" s="164">
        <f t="shared" si="74"/>
        <v>1564990.311</v>
      </c>
      <c r="CF84" s="164">
        <f t="shared" si="74"/>
        <v>1791626.035</v>
      </c>
      <c r="CG84" s="164">
        <f t="shared" si="74"/>
        <v>1662844.425</v>
      </c>
      <c r="CH84" s="164">
        <f t="shared" si="74"/>
        <v>1674970.028</v>
      </c>
      <c r="CI84" s="164">
        <f t="shared" si="74"/>
        <v>1687105.786</v>
      </c>
      <c r="CJ84" s="164">
        <f t="shared" si="74"/>
        <v>2093825.005</v>
      </c>
      <c r="CK84" s="164">
        <f t="shared" si="74"/>
        <v>1811225.041</v>
      </c>
      <c r="CL84" s="164">
        <f t="shared" si="74"/>
        <v>1820125.129</v>
      </c>
      <c r="CM84" s="164">
        <f t="shared" si="74"/>
        <v>1826253.355</v>
      </c>
      <c r="CN84" s="164">
        <f t="shared" si="74"/>
        <v>2066927.162</v>
      </c>
      <c r="CO84" s="164">
        <f t="shared" si="74"/>
        <v>1897173.895</v>
      </c>
      <c r="CP84" s="164">
        <f t="shared" si="74"/>
        <v>2012288.99</v>
      </c>
      <c r="CQ84" s="164">
        <f t="shared" si="74"/>
        <v>1921727.078</v>
      </c>
      <c r="CR84" s="164">
        <f t="shared" si="74"/>
        <v>2168054.926</v>
      </c>
      <c r="CS84" s="164">
        <f t="shared" si="74"/>
        <v>1996040.175</v>
      </c>
      <c r="CT84" s="164">
        <f t="shared" si="74"/>
        <v>2007604.715</v>
      </c>
      <c r="CU84" s="164">
        <f t="shared" si="74"/>
        <v>2019178.671</v>
      </c>
      <c r="CV84" s="165"/>
      <c r="CW84" s="165"/>
      <c r="CX84" s="165"/>
      <c r="CY84" s="165"/>
      <c r="CZ84" s="165"/>
      <c r="DA84" s="165"/>
      <c r="DB84" s="165"/>
      <c r="DC84" s="165"/>
    </row>
    <row r="85" ht="15.75" customHeight="1">
      <c r="A85" s="146"/>
      <c r="B85" s="146"/>
      <c r="C85" s="160"/>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c r="BF85" s="165"/>
      <c r="BG85" s="165"/>
      <c r="BH85" s="165"/>
      <c r="BI85" s="165"/>
      <c r="BJ85" s="165"/>
      <c r="BK85" s="165"/>
      <c r="BL85" s="165"/>
      <c r="BM85" s="165"/>
      <c r="BN85" s="165"/>
      <c r="BO85" s="165"/>
      <c r="BP85" s="165"/>
      <c r="BQ85" s="165"/>
      <c r="BR85" s="165"/>
      <c r="BS85" s="165"/>
      <c r="BT85" s="165"/>
      <c r="BU85" s="165"/>
      <c r="BV85" s="165"/>
      <c r="BW85" s="165"/>
      <c r="BX85" s="165"/>
      <c r="BY85" s="165"/>
      <c r="BZ85" s="165"/>
      <c r="CA85" s="165"/>
      <c r="CB85" s="165"/>
      <c r="CC85" s="165"/>
      <c r="CD85" s="165"/>
      <c r="CE85" s="165"/>
      <c r="CF85" s="165"/>
      <c r="CG85" s="165"/>
      <c r="CH85" s="165"/>
      <c r="CI85" s="165"/>
      <c r="CJ85" s="165"/>
      <c r="CK85" s="165"/>
      <c r="CL85" s="165"/>
      <c r="CM85" s="165"/>
      <c r="CN85" s="165"/>
      <c r="CO85" s="165"/>
      <c r="CP85" s="165"/>
      <c r="CQ85" s="165"/>
      <c r="CR85" s="165"/>
      <c r="CS85" s="165"/>
      <c r="CT85" s="165"/>
      <c r="CU85" s="165"/>
      <c r="CV85" s="165"/>
      <c r="CW85" s="165"/>
      <c r="CX85" s="165"/>
      <c r="CY85" s="165"/>
      <c r="CZ85" s="165"/>
      <c r="DA85" s="165"/>
      <c r="DB85" s="165"/>
      <c r="DC85" s="165"/>
    </row>
    <row r="86" ht="15.75" customHeight="1">
      <c r="A86" s="146"/>
      <c r="B86" s="146"/>
      <c r="C86" s="160" t="s">
        <v>262</v>
      </c>
      <c r="D86" s="171">
        <f t="shared" ref="D86:CU86" si="75">(D40)-(D84)</f>
        <v>1137642</v>
      </c>
      <c r="E86" s="171">
        <f t="shared" si="75"/>
        <v>1104107</v>
      </c>
      <c r="F86" s="171">
        <f t="shared" si="75"/>
        <v>1067881</v>
      </c>
      <c r="G86" s="171">
        <f t="shared" si="75"/>
        <v>1208529</v>
      </c>
      <c r="H86" s="171">
        <f t="shared" si="75"/>
        <v>1370172</v>
      </c>
      <c r="I86" s="171">
        <f t="shared" si="75"/>
        <v>1231800</v>
      </c>
      <c r="J86" s="171">
        <f t="shared" si="75"/>
        <v>1165606</v>
      </c>
      <c r="K86" s="171">
        <f t="shared" si="75"/>
        <v>1094836</v>
      </c>
      <c r="L86" s="171">
        <f t="shared" si="75"/>
        <v>1123308</v>
      </c>
      <c r="M86" s="171">
        <f t="shared" si="75"/>
        <v>1067181</v>
      </c>
      <c r="N86" s="171">
        <f t="shared" si="75"/>
        <v>1135334</v>
      </c>
      <c r="O86" s="171">
        <f t="shared" si="75"/>
        <v>1180468</v>
      </c>
      <c r="P86" s="163">
        <f t="shared" si="75"/>
        <v>1023024</v>
      </c>
      <c r="Q86" s="163">
        <f t="shared" si="75"/>
        <v>1148212</v>
      </c>
      <c r="R86" s="163">
        <f t="shared" si="75"/>
        <v>1204055</v>
      </c>
      <c r="S86" s="163">
        <f t="shared" si="75"/>
        <v>1285374</v>
      </c>
      <c r="T86" s="163">
        <f t="shared" si="75"/>
        <v>1194395</v>
      </c>
      <c r="U86" s="163">
        <f t="shared" si="75"/>
        <v>1232723</v>
      </c>
      <c r="V86" s="163">
        <f t="shared" si="75"/>
        <v>1087539</v>
      </c>
      <c r="W86" s="163">
        <f t="shared" si="75"/>
        <v>922106</v>
      </c>
      <c r="X86" s="163">
        <f t="shared" si="75"/>
        <v>1102833</v>
      </c>
      <c r="Y86" s="163">
        <f t="shared" si="75"/>
        <v>1252066</v>
      </c>
      <c r="Z86" s="163">
        <f t="shared" si="75"/>
        <v>1118973</v>
      </c>
      <c r="AA86" s="163">
        <f t="shared" si="75"/>
        <v>1027605</v>
      </c>
      <c r="AB86" s="163">
        <f t="shared" si="75"/>
        <v>1259510</v>
      </c>
      <c r="AC86" s="163">
        <f t="shared" si="75"/>
        <v>1008417</v>
      </c>
      <c r="AD86" s="163">
        <f t="shared" si="75"/>
        <v>1131509</v>
      </c>
      <c r="AE86" s="163">
        <f t="shared" si="75"/>
        <v>1173909</v>
      </c>
      <c r="AF86" s="163">
        <f t="shared" si="75"/>
        <v>1269287</v>
      </c>
      <c r="AG86" s="163">
        <f t="shared" si="75"/>
        <v>1075626</v>
      </c>
      <c r="AH86" s="164">
        <f t="shared" si="75"/>
        <v>1232062</v>
      </c>
      <c r="AI86" s="164">
        <f t="shared" si="75"/>
        <v>1410147</v>
      </c>
      <c r="AJ86" s="164">
        <f t="shared" si="75"/>
        <v>1355853</v>
      </c>
      <c r="AK86" s="164">
        <f t="shared" si="75"/>
        <v>1173386</v>
      </c>
      <c r="AL86" s="164">
        <f t="shared" si="75"/>
        <v>1217590</v>
      </c>
      <c r="AM86" s="164">
        <f t="shared" si="75"/>
        <v>911365.4932</v>
      </c>
      <c r="AN86" s="164">
        <f t="shared" si="75"/>
        <v>1035963.206</v>
      </c>
      <c r="AO86" s="164">
        <f t="shared" si="75"/>
        <v>1134098.245</v>
      </c>
      <c r="AP86" s="164">
        <f t="shared" si="75"/>
        <v>1429762.21</v>
      </c>
      <c r="AQ86" s="164">
        <f t="shared" si="75"/>
        <v>1605774.38</v>
      </c>
      <c r="AR86" s="164">
        <f t="shared" si="75"/>
        <v>1677534.412</v>
      </c>
      <c r="AS86" s="164">
        <f t="shared" si="75"/>
        <v>1995375.103</v>
      </c>
      <c r="AT86" s="164">
        <f t="shared" si="75"/>
        <v>2022842.974</v>
      </c>
      <c r="AU86" s="164">
        <f t="shared" si="75"/>
        <v>2276943.363</v>
      </c>
      <c r="AV86" s="164">
        <f t="shared" si="75"/>
        <v>2288883.565</v>
      </c>
      <c r="AW86" s="164">
        <f t="shared" si="75"/>
        <v>2529904.568</v>
      </c>
      <c r="AX86" s="164">
        <f t="shared" si="75"/>
        <v>2656024.106</v>
      </c>
      <c r="AY86" s="164">
        <f t="shared" si="75"/>
        <v>2782215.88</v>
      </c>
      <c r="AZ86" s="164">
        <f t="shared" si="75"/>
        <v>2581871.682</v>
      </c>
      <c r="BA86" s="164">
        <f t="shared" si="75"/>
        <v>2832380.224</v>
      </c>
      <c r="BB86" s="164">
        <f t="shared" si="75"/>
        <v>2862150.759</v>
      </c>
      <c r="BC86" s="164">
        <f t="shared" si="75"/>
        <v>2915894.973</v>
      </c>
      <c r="BD86" s="164">
        <f t="shared" si="75"/>
        <v>2794840.12</v>
      </c>
      <c r="BE86" s="164">
        <f t="shared" si="75"/>
        <v>2976425.473</v>
      </c>
      <c r="BF86" s="164">
        <f t="shared" si="75"/>
        <v>2885211.189</v>
      </c>
      <c r="BG86" s="164">
        <f t="shared" si="75"/>
        <v>3038373.871</v>
      </c>
      <c r="BH86" s="164">
        <f t="shared" si="75"/>
        <v>2906231.169</v>
      </c>
      <c r="BI86" s="164">
        <f t="shared" si="75"/>
        <v>3080620.12</v>
      </c>
      <c r="BJ86" s="164">
        <f t="shared" si="75"/>
        <v>3115386.544</v>
      </c>
      <c r="BK86" s="164">
        <f t="shared" si="75"/>
        <v>3170204.291</v>
      </c>
      <c r="BL86" s="164">
        <f t="shared" si="75"/>
        <v>2942119.715</v>
      </c>
      <c r="BM86" s="164">
        <f t="shared" si="75"/>
        <v>3233700.639</v>
      </c>
      <c r="BN86" s="164">
        <f t="shared" si="75"/>
        <v>3289302.547</v>
      </c>
      <c r="BO86" s="164">
        <f t="shared" si="75"/>
        <v>3318907.366</v>
      </c>
      <c r="BP86" s="164">
        <f t="shared" si="75"/>
        <v>3163580.305</v>
      </c>
      <c r="BQ86" s="164">
        <f t="shared" si="75"/>
        <v>3361423.145</v>
      </c>
      <c r="BR86" s="164">
        <f t="shared" si="75"/>
        <v>3262474.158</v>
      </c>
      <c r="BS86" s="164">
        <f t="shared" si="75"/>
        <v>3423644.542</v>
      </c>
      <c r="BT86" s="164">
        <f t="shared" si="75"/>
        <v>3264668.001</v>
      </c>
      <c r="BU86" s="164">
        <f t="shared" si="75"/>
        <v>3423575.74</v>
      </c>
      <c r="BV86" s="164">
        <f t="shared" si="75"/>
        <v>3488450.959</v>
      </c>
      <c r="BW86" s="164">
        <f t="shared" si="75"/>
        <v>3515022.943</v>
      </c>
      <c r="BX86" s="164">
        <f t="shared" si="75"/>
        <v>3156051.894</v>
      </c>
      <c r="BY86" s="164">
        <f t="shared" si="75"/>
        <v>3266649.408</v>
      </c>
      <c r="BZ86" s="164">
        <f t="shared" si="75"/>
        <v>3230287.099</v>
      </c>
      <c r="CA86" s="164">
        <f t="shared" si="75"/>
        <v>3245699.782</v>
      </c>
      <c r="CB86" s="164">
        <f t="shared" si="75"/>
        <v>3026761.394</v>
      </c>
      <c r="CC86" s="164">
        <f t="shared" si="75"/>
        <v>3248884.703</v>
      </c>
      <c r="CD86" s="164">
        <f t="shared" si="75"/>
        <v>3122782.473</v>
      </c>
      <c r="CE86" s="164">
        <f t="shared" si="75"/>
        <v>3281466.808</v>
      </c>
      <c r="CF86" s="164">
        <f t="shared" si="75"/>
        <v>3062160.074</v>
      </c>
      <c r="CG86" s="164">
        <f t="shared" si="75"/>
        <v>3256163.897</v>
      </c>
      <c r="CH86" s="164">
        <f t="shared" si="75"/>
        <v>3268429.381</v>
      </c>
      <c r="CI86" s="164">
        <f t="shared" si="75"/>
        <v>3329467.656</v>
      </c>
      <c r="CJ86" s="164">
        <f t="shared" si="75"/>
        <v>2926630.3</v>
      </c>
      <c r="CK86" s="164">
        <f t="shared" si="75"/>
        <v>3207345.814</v>
      </c>
      <c r="CL86" s="164">
        <f t="shared" si="75"/>
        <v>3226627.421</v>
      </c>
      <c r="CM86" s="164">
        <f t="shared" si="75"/>
        <v>3242372.072</v>
      </c>
      <c r="CN86" s="164">
        <f t="shared" si="75"/>
        <v>2989107.576</v>
      </c>
      <c r="CO86" s="164">
        <f t="shared" si="75"/>
        <v>3174005.896</v>
      </c>
      <c r="CP86" s="164">
        <f t="shared" si="75"/>
        <v>3091214.769</v>
      </c>
      <c r="CQ86" s="164">
        <f t="shared" si="75"/>
        <v>3231141.494</v>
      </c>
      <c r="CR86" s="164">
        <f t="shared" si="75"/>
        <v>2950788.622</v>
      </c>
      <c r="CS86" s="164">
        <f t="shared" si="75"/>
        <v>3172185.226</v>
      </c>
      <c r="CT86" s="164">
        <f t="shared" si="75"/>
        <v>3176096.74</v>
      </c>
      <c r="CU86" s="164">
        <f t="shared" si="75"/>
        <v>3188431.295</v>
      </c>
      <c r="CV86" s="165"/>
      <c r="CW86" s="165"/>
      <c r="CX86" s="165"/>
      <c r="CY86" s="165"/>
      <c r="CZ86" s="165"/>
      <c r="DA86" s="165"/>
      <c r="DB86" s="165"/>
      <c r="DC86" s="165"/>
    </row>
    <row r="87" ht="15.75" customHeight="1">
      <c r="A87" s="146"/>
      <c r="B87" s="146"/>
      <c r="C87" s="160"/>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65"/>
      <c r="AI87" s="165"/>
      <c r="AJ87" s="165"/>
      <c r="AK87" s="165"/>
      <c r="AL87" s="172">
        <f>AL86/AK86-1</f>
        <v>0.03767217267</v>
      </c>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5"/>
      <c r="BQ87" s="165"/>
      <c r="BR87" s="165"/>
      <c r="BS87" s="165"/>
      <c r="BT87" s="165"/>
      <c r="BU87" s="165"/>
      <c r="BV87" s="165"/>
      <c r="BW87" s="165"/>
      <c r="BX87" s="165"/>
      <c r="BY87" s="165"/>
      <c r="BZ87" s="165"/>
      <c r="CA87" s="165"/>
      <c r="CB87" s="165"/>
      <c r="CC87" s="165"/>
      <c r="CD87" s="165"/>
      <c r="CE87" s="165"/>
      <c r="CF87" s="165"/>
      <c r="CG87" s="165"/>
      <c r="CH87" s="165"/>
      <c r="CI87" s="165"/>
      <c r="CJ87" s="165"/>
      <c r="CK87" s="165"/>
      <c r="CL87" s="165"/>
      <c r="CM87" s="165"/>
      <c r="CN87" s="165"/>
      <c r="CO87" s="165"/>
      <c r="CP87" s="165"/>
      <c r="CQ87" s="165"/>
      <c r="CR87" s="165"/>
      <c r="CS87" s="165"/>
      <c r="CT87" s="165"/>
      <c r="CU87" s="165"/>
      <c r="CV87" s="165"/>
      <c r="CW87" s="165"/>
      <c r="CX87" s="165"/>
      <c r="CY87" s="165"/>
      <c r="CZ87" s="165"/>
      <c r="DA87" s="165"/>
      <c r="DB87" s="165"/>
      <c r="DC87" s="165"/>
    </row>
    <row r="88" ht="15.75" customHeight="1">
      <c r="A88" s="125"/>
      <c r="B88" s="125"/>
      <c r="C88" s="167" t="s">
        <v>115</v>
      </c>
      <c r="D88" s="168">
        <f t="shared" ref="D88:CU88" si="76">D86/D22</f>
        <v>0.9257077017</v>
      </c>
      <c r="E88" s="168">
        <f t="shared" si="76"/>
        <v>0.9223866782</v>
      </c>
      <c r="F88" s="168">
        <f t="shared" si="76"/>
        <v>0.9227156786</v>
      </c>
      <c r="G88" s="168">
        <f t="shared" si="76"/>
        <v>0.9336495124</v>
      </c>
      <c r="H88" s="168">
        <f t="shared" si="76"/>
        <v>0.9389453746</v>
      </c>
      <c r="I88" s="168">
        <f t="shared" si="76"/>
        <v>0.930200947</v>
      </c>
      <c r="J88" s="168">
        <f t="shared" si="76"/>
        <v>0.9303004545</v>
      </c>
      <c r="K88" s="168">
        <f t="shared" si="76"/>
        <v>0.9253451547</v>
      </c>
      <c r="L88" s="168">
        <f t="shared" si="76"/>
        <v>0.9271262345</v>
      </c>
      <c r="M88" s="168">
        <f t="shared" si="76"/>
        <v>0.9209776414</v>
      </c>
      <c r="N88" s="168">
        <f t="shared" si="76"/>
        <v>0.927615781</v>
      </c>
      <c r="O88" s="168">
        <f t="shared" si="76"/>
        <v>0.9277207002</v>
      </c>
      <c r="P88" s="168">
        <f t="shared" si="76"/>
        <v>0.9160815553</v>
      </c>
      <c r="Q88" s="168">
        <f t="shared" si="76"/>
        <v>0.9291627992</v>
      </c>
      <c r="R88" s="168">
        <f t="shared" si="76"/>
        <v>0.9303088345</v>
      </c>
      <c r="S88" s="168">
        <f t="shared" si="76"/>
        <v>0.9336319118</v>
      </c>
      <c r="T88" s="168">
        <f t="shared" si="76"/>
        <v>0.9275327092</v>
      </c>
      <c r="U88" s="168">
        <f t="shared" si="76"/>
        <v>0.9355771486</v>
      </c>
      <c r="V88" s="168">
        <f t="shared" si="76"/>
        <v>0.9285086764</v>
      </c>
      <c r="W88" s="168">
        <f t="shared" si="76"/>
        <v>0.9068001208</v>
      </c>
      <c r="X88" s="168">
        <f t="shared" si="76"/>
        <v>0.9197341624</v>
      </c>
      <c r="Y88" s="168">
        <f t="shared" si="76"/>
        <v>0.9309698455</v>
      </c>
      <c r="Z88" s="168">
        <f t="shared" si="76"/>
        <v>0.9232389555</v>
      </c>
      <c r="AA88" s="168">
        <f t="shared" si="76"/>
        <v>0.9152115325</v>
      </c>
      <c r="AB88" s="168">
        <f t="shared" si="76"/>
        <v>0.9350406196</v>
      </c>
      <c r="AC88" s="168">
        <f t="shared" si="76"/>
        <v>0.9162046653</v>
      </c>
      <c r="AD88" s="168">
        <f t="shared" si="76"/>
        <v>0.9258643446</v>
      </c>
      <c r="AE88" s="168">
        <f t="shared" si="76"/>
        <v>0.9234695884</v>
      </c>
      <c r="AF88" s="168">
        <f t="shared" si="76"/>
        <v>0.9307335881</v>
      </c>
      <c r="AG88" s="168">
        <f t="shared" si="76"/>
        <v>0.9207873243</v>
      </c>
      <c r="AH88" s="169">
        <f t="shared" si="76"/>
        <v>0.9308655556</v>
      </c>
      <c r="AI88" s="169">
        <f t="shared" si="76"/>
        <v>0.9425776075</v>
      </c>
      <c r="AJ88" s="169">
        <f t="shared" si="76"/>
        <v>0.9340873439</v>
      </c>
      <c r="AK88" s="169">
        <f t="shared" si="76"/>
        <v>0.9289356538</v>
      </c>
      <c r="AL88" s="169">
        <f t="shared" si="76"/>
        <v>0.9301012761</v>
      </c>
      <c r="AM88" s="169">
        <f t="shared" si="76"/>
        <v>0.6437148781</v>
      </c>
      <c r="AN88" s="169">
        <f t="shared" si="76"/>
        <v>0.6212835373</v>
      </c>
      <c r="AO88" s="169">
        <f t="shared" si="76"/>
        <v>0.5918585587</v>
      </c>
      <c r="AP88" s="169">
        <f t="shared" si="76"/>
        <v>0.6668891306</v>
      </c>
      <c r="AQ88" s="169">
        <f t="shared" si="76"/>
        <v>0.6798279548</v>
      </c>
      <c r="AR88" s="169">
        <f t="shared" si="76"/>
        <v>0.6505264186</v>
      </c>
      <c r="AS88" s="169">
        <f t="shared" si="76"/>
        <v>0.7134710655</v>
      </c>
      <c r="AT88" s="169">
        <f t="shared" si="76"/>
        <v>0.6758099015</v>
      </c>
      <c r="AU88" s="169">
        <f t="shared" si="76"/>
        <v>0.7146898104</v>
      </c>
      <c r="AV88" s="169">
        <f t="shared" si="76"/>
        <v>0.6782703765</v>
      </c>
      <c r="AW88" s="169">
        <f t="shared" si="76"/>
        <v>0.7126535562</v>
      </c>
      <c r="AX88" s="169">
        <f t="shared" si="76"/>
        <v>0.7132804291</v>
      </c>
      <c r="AY88" s="169">
        <f t="shared" si="76"/>
        <v>0.7134695894</v>
      </c>
      <c r="AZ88" s="169">
        <f t="shared" si="76"/>
        <v>0.6338497563</v>
      </c>
      <c r="BA88" s="169">
        <f t="shared" si="76"/>
        <v>0.6901066753</v>
      </c>
      <c r="BB88" s="169">
        <f t="shared" si="76"/>
        <v>0.690065223</v>
      </c>
      <c r="BC88" s="169">
        <f t="shared" si="76"/>
        <v>0.6936178718</v>
      </c>
      <c r="BD88" s="169">
        <f t="shared" si="76"/>
        <v>0.6555120035</v>
      </c>
      <c r="BE88" s="169">
        <f t="shared" si="76"/>
        <v>0.6880801997</v>
      </c>
      <c r="BF88" s="169">
        <f t="shared" si="76"/>
        <v>0.6576558779</v>
      </c>
      <c r="BG88" s="169">
        <f t="shared" si="76"/>
        <v>0.6810569974</v>
      </c>
      <c r="BH88" s="169">
        <f t="shared" si="76"/>
        <v>0.6428137521</v>
      </c>
      <c r="BI88" s="169">
        <f t="shared" si="76"/>
        <v>0.6726088412</v>
      </c>
      <c r="BJ88" s="169">
        <f t="shared" si="76"/>
        <v>0.6716673144</v>
      </c>
      <c r="BK88" s="169">
        <f t="shared" si="76"/>
        <v>0.675130126</v>
      </c>
      <c r="BL88" s="169">
        <f t="shared" si="76"/>
        <v>0.6103055195</v>
      </c>
      <c r="BM88" s="169">
        <f t="shared" si="76"/>
        <v>0.6579440978</v>
      </c>
      <c r="BN88" s="169">
        <f t="shared" si="76"/>
        <v>0.6570617959</v>
      </c>
      <c r="BO88" s="169">
        <f t="shared" si="76"/>
        <v>0.6514108994</v>
      </c>
      <c r="BP88" s="169">
        <f t="shared" si="76"/>
        <v>0.6105132321</v>
      </c>
      <c r="BQ88" s="169">
        <f t="shared" si="76"/>
        <v>0.6382088023</v>
      </c>
      <c r="BR88" s="169">
        <f t="shared" si="76"/>
        <v>0.6097501715</v>
      </c>
      <c r="BS88" s="169">
        <f t="shared" si="76"/>
        <v>0.630201815</v>
      </c>
      <c r="BT88" s="169">
        <f t="shared" si="76"/>
        <v>0.5921327854</v>
      </c>
      <c r="BU88" s="169">
        <f t="shared" si="76"/>
        <v>0.6121199683</v>
      </c>
      <c r="BV88" s="169">
        <f t="shared" si="76"/>
        <v>0.6150911501</v>
      </c>
      <c r="BW88" s="169">
        <f t="shared" si="76"/>
        <v>0.6114301036</v>
      </c>
      <c r="BX88" s="169">
        <f t="shared" si="76"/>
        <v>0.5385071904</v>
      </c>
      <c r="BY88" s="169">
        <f t="shared" si="76"/>
        <v>0.5492389211</v>
      </c>
      <c r="BZ88" s="169">
        <f t="shared" si="76"/>
        <v>0.536036146</v>
      </c>
      <c r="CA88" s="169">
        <f t="shared" si="76"/>
        <v>0.5317898703</v>
      </c>
      <c r="CB88" s="169">
        <f t="shared" si="76"/>
        <v>0.4897616786</v>
      </c>
      <c r="CC88" s="169">
        <f t="shared" si="76"/>
        <v>0.519286702</v>
      </c>
      <c r="CD88" s="169">
        <f t="shared" si="76"/>
        <v>0.4931355414</v>
      </c>
      <c r="CE88" s="169">
        <f t="shared" si="76"/>
        <v>0.5120637363</v>
      </c>
      <c r="CF88" s="169">
        <f t="shared" si="76"/>
        <v>0.4722694999</v>
      </c>
      <c r="CG88" s="169">
        <f t="shared" si="76"/>
        <v>0.496413963</v>
      </c>
      <c r="CH88" s="169">
        <f t="shared" si="76"/>
        <v>0.4926264404</v>
      </c>
      <c r="CI88" s="169">
        <f t="shared" si="76"/>
        <v>0.4961981551</v>
      </c>
      <c r="CJ88" s="169">
        <f t="shared" si="76"/>
        <v>0.4295738607</v>
      </c>
      <c r="CK88" s="169">
        <f t="shared" si="76"/>
        <v>0.4674769559</v>
      </c>
      <c r="CL88" s="169">
        <f t="shared" si="76"/>
        <v>0.4671566294</v>
      </c>
      <c r="CM88" s="169">
        <f t="shared" si="76"/>
        <v>0.4661709364</v>
      </c>
      <c r="CN88" s="169">
        <f t="shared" si="76"/>
        <v>0.4267041653</v>
      </c>
      <c r="CO88" s="169">
        <f t="shared" si="76"/>
        <v>0.4498609809</v>
      </c>
      <c r="CP88" s="169">
        <f t="shared" si="76"/>
        <v>0.4349978375</v>
      </c>
      <c r="CQ88" s="169">
        <f t="shared" si="76"/>
        <v>0.4514536561</v>
      </c>
      <c r="CR88" s="169">
        <f t="shared" si="76"/>
        <v>0.4093661445</v>
      </c>
      <c r="CS88" s="169">
        <f t="shared" si="76"/>
        <v>0.436987724</v>
      </c>
      <c r="CT88" s="169">
        <f t="shared" si="76"/>
        <v>0.4344731314</v>
      </c>
      <c r="CU88" s="169">
        <f t="shared" si="76"/>
        <v>0.4331384759</v>
      </c>
      <c r="CV88" s="169"/>
      <c r="CW88" s="169"/>
      <c r="CX88" s="169"/>
      <c r="CY88" s="169"/>
      <c r="CZ88" s="169"/>
      <c r="DA88" s="169"/>
      <c r="DB88" s="169"/>
      <c r="DC88" s="169"/>
    </row>
    <row r="89" ht="15.75" customHeight="1">
      <c r="A89" s="146"/>
      <c r="B89" s="146"/>
      <c r="C89" s="160"/>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65"/>
      <c r="AI89" s="165"/>
      <c r="AJ89" s="165"/>
      <c r="AK89" s="165"/>
      <c r="AL89" s="165"/>
      <c r="AM89" s="165"/>
      <c r="AN89" s="165"/>
      <c r="AO89" s="165"/>
      <c r="AP89" s="165"/>
      <c r="AQ89" s="165"/>
      <c r="AR89" s="165"/>
      <c r="AS89" s="165"/>
      <c r="AT89" s="165"/>
      <c r="AU89" s="165"/>
      <c r="AV89" s="165"/>
      <c r="AW89" s="165"/>
      <c r="AX89" s="165"/>
      <c r="AY89" s="165"/>
      <c r="AZ89" s="165"/>
      <c r="BA89" s="165"/>
      <c r="BB89" s="165"/>
      <c r="BC89" s="165"/>
      <c r="BD89" s="165"/>
      <c r="BE89" s="165"/>
      <c r="BF89" s="165"/>
      <c r="BG89" s="165"/>
      <c r="BH89" s="165"/>
      <c r="BI89" s="165"/>
      <c r="BJ89" s="165"/>
      <c r="BK89" s="165"/>
      <c r="BL89" s="165"/>
      <c r="BM89" s="165"/>
      <c r="BN89" s="165"/>
      <c r="BO89" s="165"/>
      <c r="BP89" s="165"/>
      <c r="BQ89" s="165"/>
      <c r="BR89" s="165"/>
      <c r="BS89" s="165"/>
      <c r="BT89" s="165"/>
      <c r="BU89" s="165"/>
      <c r="BV89" s="165"/>
      <c r="BW89" s="165"/>
      <c r="BX89" s="165"/>
      <c r="BY89" s="165"/>
      <c r="BZ89" s="165"/>
      <c r="CA89" s="165"/>
      <c r="CB89" s="165"/>
      <c r="CC89" s="165"/>
      <c r="CD89" s="165"/>
      <c r="CE89" s="165"/>
      <c r="CF89" s="165"/>
      <c r="CG89" s="165"/>
      <c r="CH89" s="165"/>
      <c r="CI89" s="165"/>
      <c r="CJ89" s="165"/>
      <c r="CK89" s="165"/>
      <c r="CL89" s="165"/>
      <c r="CM89" s="165"/>
      <c r="CN89" s="165"/>
      <c r="CO89" s="165"/>
      <c r="CP89" s="165"/>
      <c r="CQ89" s="165"/>
      <c r="CR89" s="165"/>
      <c r="CS89" s="165"/>
      <c r="CT89" s="165"/>
      <c r="CU89" s="165"/>
      <c r="CV89" s="165"/>
      <c r="CW89" s="165"/>
      <c r="CX89" s="165"/>
      <c r="CY89" s="165"/>
      <c r="CZ89" s="165"/>
      <c r="DA89" s="165"/>
      <c r="DB89" s="165"/>
      <c r="DC89" s="165"/>
    </row>
    <row r="90" ht="15.75" customHeight="1">
      <c r="A90" s="146"/>
      <c r="B90" s="146"/>
      <c r="C90" s="160" t="s">
        <v>182</v>
      </c>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4"/>
      <c r="AI90" s="144"/>
      <c r="AJ90" s="144"/>
      <c r="AK90" s="144"/>
      <c r="AL90" s="144"/>
      <c r="AM90" s="144"/>
      <c r="AN90" s="144"/>
      <c r="AO90" s="144"/>
      <c r="AP90" s="144"/>
      <c r="AQ90" s="144"/>
      <c r="AR90" s="144"/>
      <c r="AS90" s="144"/>
      <c r="AT90" s="144"/>
      <c r="AU90" s="144"/>
      <c r="AV90" s="144"/>
      <c r="AW90" s="144"/>
      <c r="AX90" s="144"/>
      <c r="AY90" s="144"/>
      <c r="AZ90" s="144"/>
      <c r="BA90" s="144"/>
      <c r="BB90" s="144"/>
      <c r="BC90" s="144"/>
      <c r="BD90" s="144"/>
      <c r="BE90" s="144"/>
      <c r="BF90" s="144"/>
      <c r="BG90" s="144"/>
      <c r="BH90" s="144"/>
      <c r="BI90" s="144"/>
      <c r="BJ90" s="144"/>
      <c r="BK90" s="144"/>
      <c r="BL90" s="144"/>
      <c r="BM90" s="144"/>
      <c r="BN90" s="144"/>
      <c r="BO90" s="144"/>
      <c r="BP90" s="144"/>
      <c r="BQ90" s="144"/>
      <c r="BR90" s="144"/>
      <c r="BS90" s="144"/>
      <c r="BT90" s="144"/>
      <c r="BU90" s="144"/>
      <c r="BV90" s="144"/>
      <c r="BW90" s="144"/>
      <c r="BX90" s="144"/>
      <c r="BY90" s="144"/>
      <c r="BZ90" s="144"/>
      <c r="CA90" s="144"/>
      <c r="CB90" s="144"/>
      <c r="CC90" s="144"/>
      <c r="CD90" s="144"/>
      <c r="CE90" s="144"/>
      <c r="CF90" s="144"/>
      <c r="CG90" s="144"/>
      <c r="CH90" s="144"/>
      <c r="CI90" s="144"/>
      <c r="CJ90" s="144"/>
      <c r="CK90" s="144"/>
      <c r="CL90" s="144"/>
      <c r="CM90" s="144"/>
      <c r="CN90" s="144"/>
      <c r="CO90" s="144"/>
      <c r="CP90" s="144"/>
      <c r="CQ90" s="144"/>
      <c r="CR90" s="144"/>
      <c r="CS90" s="144"/>
      <c r="CT90" s="144"/>
      <c r="CU90" s="144"/>
      <c r="CV90" s="144"/>
      <c r="CW90" s="144"/>
      <c r="CX90" s="144"/>
      <c r="CY90" s="144"/>
      <c r="CZ90" s="144"/>
      <c r="DA90" s="144"/>
      <c r="DB90" s="144"/>
      <c r="DC90" s="144"/>
    </row>
    <row r="91" ht="15.75" customHeight="1">
      <c r="A91" s="146"/>
      <c r="B91" s="146"/>
      <c r="C91" s="160" t="s">
        <v>263</v>
      </c>
      <c r="D91" s="161">
        <f t="shared" ref="D91:AL91" si="77">RANDBETWEEN(1000,2500)</f>
        <v>1294</v>
      </c>
      <c r="E91" s="161">
        <f t="shared" si="77"/>
        <v>1247</v>
      </c>
      <c r="F91" s="161">
        <f t="shared" si="77"/>
        <v>1975</v>
      </c>
      <c r="G91" s="161">
        <f t="shared" si="77"/>
        <v>2086</v>
      </c>
      <c r="H91" s="161">
        <f t="shared" si="77"/>
        <v>1992</v>
      </c>
      <c r="I91" s="161">
        <f t="shared" si="77"/>
        <v>1831</v>
      </c>
      <c r="J91" s="161">
        <f t="shared" si="77"/>
        <v>1605</v>
      </c>
      <c r="K91" s="161">
        <f t="shared" si="77"/>
        <v>2500</v>
      </c>
      <c r="L91" s="161">
        <f t="shared" si="77"/>
        <v>2143</v>
      </c>
      <c r="M91" s="161">
        <f t="shared" si="77"/>
        <v>1834</v>
      </c>
      <c r="N91" s="161">
        <f t="shared" si="77"/>
        <v>1114</v>
      </c>
      <c r="O91" s="161">
        <f t="shared" si="77"/>
        <v>1273</v>
      </c>
      <c r="P91" s="161">
        <f t="shared" si="77"/>
        <v>1496</v>
      </c>
      <c r="Q91" s="161">
        <f t="shared" si="77"/>
        <v>1440</v>
      </c>
      <c r="R91" s="161">
        <f t="shared" si="77"/>
        <v>1145</v>
      </c>
      <c r="S91" s="161">
        <f t="shared" si="77"/>
        <v>2140</v>
      </c>
      <c r="T91" s="161">
        <f t="shared" si="77"/>
        <v>1708</v>
      </c>
      <c r="U91" s="161">
        <f t="shared" si="77"/>
        <v>1144</v>
      </c>
      <c r="V91" s="161">
        <f t="shared" si="77"/>
        <v>1578</v>
      </c>
      <c r="W91" s="161">
        <f t="shared" si="77"/>
        <v>1781</v>
      </c>
      <c r="X91" s="161">
        <f t="shared" si="77"/>
        <v>1450</v>
      </c>
      <c r="Y91" s="161">
        <f t="shared" si="77"/>
        <v>2380</v>
      </c>
      <c r="Z91" s="161">
        <f t="shared" si="77"/>
        <v>1618</v>
      </c>
      <c r="AA91" s="161">
        <f t="shared" si="77"/>
        <v>1732</v>
      </c>
      <c r="AB91" s="161">
        <f t="shared" si="77"/>
        <v>1497</v>
      </c>
      <c r="AC91" s="161">
        <f t="shared" si="77"/>
        <v>1635</v>
      </c>
      <c r="AD91" s="161">
        <f t="shared" si="77"/>
        <v>1573</v>
      </c>
      <c r="AE91" s="161">
        <f t="shared" si="77"/>
        <v>2276</v>
      </c>
      <c r="AF91" s="161">
        <f t="shared" si="77"/>
        <v>1900</v>
      </c>
      <c r="AG91" s="161">
        <f t="shared" si="77"/>
        <v>1135</v>
      </c>
      <c r="AH91" s="161">
        <f t="shared" si="77"/>
        <v>1469</v>
      </c>
      <c r="AI91" s="161">
        <f t="shared" si="77"/>
        <v>1807</v>
      </c>
      <c r="AJ91" s="161">
        <f t="shared" si="77"/>
        <v>1585</v>
      </c>
      <c r="AK91" s="161">
        <f t="shared" si="77"/>
        <v>1107</v>
      </c>
      <c r="AL91" s="161">
        <f t="shared" si="77"/>
        <v>1907</v>
      </c>
      <c r="AM91" s="173"/>
      <c r="AN91" s="173"/>
      <c r="AO91" s="173"/>
      <c r="AP91" s="173"/>
      <c r="AQ91" s="173"/>
      <c r="AR91" s="173"/>
      <c r="AS91" s="173"/>
      <c r="AT91" s="173"/>
      <c r="AU91" s="173"/>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173"/>
      <c r="CI91" s="173"/>
      <c r="CJ91" s="173"/>
      <c r="CK91" s="173"/>
      <c r="CL91" s="173"/>
      <c r="CM91" s="173"/>
      <c r="CN91" s="173"/>
      <c r="CO91" s="173"/>
      <c r="CP91" s="173"/>
      <c r="CQ91" s="173"/>
      <c r="CR91" s="173"/>
      <c r="CS91" s="173"/>
      <c r="CT91" s="173"/>
      <c r="CU91" s="173"/>
      <c r="CV91" s="173"/>
      <c r="CW91" s="173"/>
      <c r="CX91" s="173"/>
      <c r="CY91" s="173"/>
      <c r="CZ91" s="173"/>
      <c r="DA91" s="173"/>
      <c r="DB91" s="173"/>
      <c r="DC91" s="173"/>
    </row>
    <row r="92" ht="15.75" customHeight="1">
      <c r="A92" s="146"/>
      <c r="B92" s="146"/>
      <c r="C92" s="160" t="s">
        <v>264</v>
      </c>
      <c r="D92" s="161">
        <f t="shared" ref="D92:AL92" si="78">RANDBETWEEN(1000,2500)</f>
        <v>2159</v>
      </c>
      <c r="E92" s="161">
        <f t="shared" si="78"/>
        <v>1579</v>
      </c>
      <c r="F92" s="161">
        <f t="shared" si="78"/>
        <v>1344</v>
      </c>
      <c r="G92" s="161">
        <f t="shared" si="78"/>
        <v>1452</v>
      </c>
      <c r="H92" s="161">
        <f t="shared" si="78"/>
        <v>1840</v>
      </c>
      <c r="I92" s="161">
        <f t="shared" si="78"/>
        <v>1865</v>
      </c>
      <c r="J92" s="161">
        <f t="shared" si="78"/>
        <v>1998</v>
      </c>
      <c r="K92" s="161">
        <f t="shared" si="78"/>
        <v>1314</v>
      </c>
      <c r="L92" s="161">
        <f t="shared" si="78"/>
        <v>2430</v>
      </c>
      <c r="M92" s="161">
        <f t="shared" si="78"/>
        <v>1188</v>
      </c>
      <c r="N92" s="161">
        <f t="shared" si="78"/>
        <v>2142</v>
      </c>
      <c r="O92" s="161">
        <f t="shared" si="78"/>
        <v>2409</v>
      </c>
      <c r="P92" s="161">
        <f t="shared" si="78"/>
        <v>1253</v>
      </c>
      <c r="Q92" s="161">
        <f t="shared" si="78"/>
        <v>2334</v>
      </c>
      <c r="R92" s="161">
        <f t="shared" si="78"/>
        <v>1789</v>
      </c>
      <c r="S92" s="161">
        <f t="shared" si="78"/>
        <v>1976</v>
      </c>
      <c r="T92" s="161">
        <f t="shared" si="78"/>
        <v>1271</v>
      </c>
      <c r="U92" s="161">
        <f t="shared" si="78"/>
        <v>1201</v>
      </c>
      <c r="V92" s="161">
        <f t="shared" si="78"/>
        <v>1559</v>
      </c>
      <c r="W92" s="161">
        <f t="shared" si="78"/>
        <v>1380</v>
      </c>
      <c r="X92" s="161">
        <f t="shared" si="78"/>
        <v>2384</v>
      </c>
      <c r="Y92" s="161">
        <f t="shared" si="78"/>
        <v>1408</v>
      </c>
      <c r="Z92" s="161">
        <f t="shared" si="78"/>
        <v>1380</v>
      </c>
      <c r="AA92" s="161">
        <f t="shared" si="78"/>
        <v>1202</v>
      </c>
      <c r="AB92" s="161">
        <f t="shared" si="78"/>
        <v>1102</v>
      </c>
      <c r="AC92" s="161">
        <f t="shared" si="78"/>
        <v>1919</v>
      </c>
      <c r="AD92" s="161">
        <f t="shared" si="78"/>
        <v>1175</v>
      </c>
      <c r="AE92" s="161">
        <f t="shared" si="78"/>
        <v>1175</v>
      </c>
      <c r="AF92" s="161">
        <f t="shared" si="78"/>
        <v>1669</v>
      </c>
      <c r="AG92" s="161">
        <f t="shared" si="78"/>
        <v>1346</v>
      </c>
      <c r="AH92" s="161">
        <f t="shared" si="78"/>
        <v>1017</v>
      </c>
      <c r="AI92" s="161">
        <f t="shared" si="78"/>
        <v>2371</v>
      </c>
      <c r="AJ92" s="161">
        <f t="shared" si="78"/>
        <v>1060</v>
      </c>
      <c r="AK92" s="161">
        <f t="shared" si="78"/>
        <v>1949</v>
      </c>
      <c r="AL92" s="161">
        <f t="shared" si="78"/>
        <v>2450</v>
      </c>
      <c r="AM92" s="144"/>
      <c r="AN92" s="144"/>
      <c r="AO92" s="144"/>
      <c r="AP92" s="144"/>
      <c r="AQ92" s="144"/>
      <c r="AR92" s="144"/>
      <c r="AS92" s="144"/>
      <c r="AT92" s="144"/>
      <c r="AU92" s="144"/>
      <c r="AV92" s="144"/>
      <c r="AW92" s="144"/>
      <c r="AX92" s="144"/>
      <c r="AY92" s="144"/>
      <c r="AZ92" s="144"/>
      <c r="BA92" s="144"/>
      <c r="BB92" s="144"/>
      <c r="BC92" s="144"/>
      <c r="BD92" s="144"/>
      <c r="BE92" s="144"/>
      <c r="BF92" s="144"/>
      <c r="BG92" s="144"/>
      <c r="BH92" s="144"/>
      <c r="BI92" s="144"/>
      <c r="BJ92" s="144"/>
      <c r="BK92" s="144"/>
      <c r="BL92" s="144"/>
      <c r="BM92" s="144"/>
      <c r="BN92" s="144"/>
      <c r="BO92" s="144"/>
      <c r="BP92" s="144"/>
      <c r="BQ92" s="144"/>
      <c r="BR92" s="144"/>
      <c r="BS92" s="144"/>
      <c r="BT92" s="144"/>
      <c r="BU92" s="144"/>
      <c r="BV92" s="144"/>
      <c r="BW92" s="144"/>
      <c r="BX92" s="144"/>
      <c r="BY92" s="144"/>
      <c r="BZ92" s="144"/>
      <c r="CA92" s="144"/>
      <c r="CB92" s="144"/>
      <c r="CC92" s="144"/>
      <c r="CD92" s="144"/>
      <c r="CE92" s="144"/>
      <c r="CF92" s="144"/>
      <c r="CG92" s="144"/>
      <c r="CH92" s="144"/>
      <c r="CI92" s="144"/>
      <c r="CJ92" s="144"/>
      <c r="CK92" s="144"/>
      <c r="CL92" s="144"/>
      <c r="CM92" s="144"/>
      <c r="CN92" s="144"/>
      <c r="CO92" s="144"/>
      <c r="CP92" s="144"/>
      <c r="CQ92" s="144"/>
      <c r="CR92" s="144"/>
      <c r="CS92" s="144"/>
      <c r="CT92" s="144"/>
      <c r="CU92" s="144"/>
      <c r="CV92" s="144"/>
      <c r="CW92" s="144"/>
      <c r="CX92" s="144"/>
      <c r="CY92" s="144"/>
      <c r="CZ92" s="144"/>
      <c r="DA92" s="144"/>
      <c r="DB92" s="144"/>
      <c r="DC92" s="144"/>
    </row>
    <row r="93" ht="15.75" customHeight="1">
      <c r="A93" s="146"/>
      <c r="B93" s="146"/>
      <c r="C93" s="174" t="s">
        <v>265</v>
      </c>
      <c r="D93" s="161">
        <f t="shared" ref="D93:AL93" si="79">RANDBETWEEN(1000,2500)</f>
        <v>2011</v>
      </c>
      <c r="E93" s="161">
        <f t="shared" si="79"/>
        <v>1913</v>
      </c>
      <c r="F93" s="161">
        <f t="shared" si="79"/>
        <v>2194</v>
      </c>
      <c r="G93" s="161">
        <f t="shared" si="79"/>
        <v>1266</v>
      </c>
      <c r="H93" s="161">
        <f t="shared" si="79"/>
        <v>1242</v>
      </c>
      <c r="I93" s="161">
        <f t="shared" si="79"/>
        <v>1630</v>
      </c>
      <c r="J93" s="161">
        <f t="shared" si="79"/>
        <v>1144</v>
      </c>
      <c r="K93" s="161">
        <f t="shared" si="79"/>
        <v>1787</v>
      </c>
      <c r="L93" s="161">
        <f t="shared" si="79"/>
        <v>1145</v>
      </c>
      <c r="M93" s="161">
        <f t="shared" si="79"/>
        <v>1198</v>
      </c>
      <c r="N93" s="161">
        <f t="shared" si="79"/>
        <v>1802</v>
      </c>
      <c r="O93" s="161">
        <f t="shared" si="79"/>
        <v>2475</v>
      </c>
      <c r="P93" s="161">
        <f t="shared" si="79"/>
        <v>2033</v>
      </c>
      <c r="Q93" s="161">
        <f t="shared" si="79"/>
        <v>1056</v>
      </c>
      <c r="R93" s="161">
        <f t="shared" si="79"/>
        <v>1576</v>
      </c>
      <c r="S93" s="161">
        <f t="shared" si="79"/>
        <v>1670</v>
      </c>
      <c r="T93" s="161">
        <f t="shared" si="79"/>
        <v>2039</v>
      </c>
      <c r="U93" s="161">
        <f t="shared" si="79"/>
        <v>2134</v>
      </c>
      <c r="V93" s="161">
        <f t="shared" si="79"/>
        <v>2165</v>
      </c>
      <c r="W93" s="161">
        <f t="shared" si="79"/>
        <v>1057</v>
      </c>
      <c r="X93" s="161">
        <f t="shared" si="79"/>
        <v>1640</v>
      </c>
      <c r="Y93" s="161">
        <f t="shared" si="79"/>
        <v>1517</v>
      </c>
      <c r="Z93" s="161">
        <f t="shared" si="79"/>
        <v>1757</v>
      </c>
      <c r="AA93" s="161">
        <f t="shared" si="79"/>
        <v>2171</v>
      </c>
      <c r="AB93" s="161">
        <f t="shared" si="79"/>
        <v>1412</v>
      </c>
      <c r="AC93" s="161">
        <f t="shared" si="79"/>
        <v>1981</v>
      </c>
      <c r="AD93" s="161">
        <f t="shared" si="79"/>
        <v>1056</v>
      </c>
      <c r="AE93" s="161">
        <f t="shared" si="79"/>
        <v>1959</v>
      </c>
      <c r="AF93" s="161">
        <f t="shared" si="79"/>
        <v>2474</v>
      </c>
      <c r="AG93" s="161">
        <f t="shared" si="79"/>
        <v>1883</v>
      </c>
      <c r="AH93" s="161">
        <f t="shared" si="79"/>
        <v>1639</v>
      </c>
      <c r="AI93" s="161">
        <f t="shared" si="79"/>
        <v>2500</v>
      </c>
      <c r="AJ93" s="161">
        <f t="shared" si="79"/>
        <v>1995</v>
      </c>
      <c r="AK93" s="161">
        <f t="shared" si="79"/>
        <v>2385</v>
      </c>
      <c r="AL93" s="161">
        <f t="shared" si="79"/>
        <v>1285</v>
      </c>
      <c r="AM93" s="165"/>
      <c r="AN93" s="165"/>
      <c r="AO93" s="165"/>
      <c r="AP93" s="165"/>
      <c r="AQ93" s="165"/>
      <c r="AR93" s="165"/>
      <c r="AS93" s="165"/>
      <c r="AT93" s="165"/>
      <c r="AU93" s="165"/>
      <c r="AV93" s="165"/>
      <c r="AW93" s="165"/>
      <c r="AX93" s="165"/>
      <c r="AY93" s="165"/>
      <c r="AZ93" s="165"/>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5"/>
      <c r="CA93" s="165"/>
      <c r="CB93" s="165"/>
      <c r="CC93" s="165"/>
      <c r="CD93" s="165"/>
      <c r="CE93" s="165"/>
      <c r="CF93" s="165"/>
      <c r="CG93" s="165"/>
      <c r="CH93" s="165"/>
      <c r="CI93" s="165"/>
      <c r="CJ93" s="165"/>
      <c r="CK93" s="165"/>
      <c r="CL93" s="165"/>
      <c r="CM93" s="165"/>
      <c r="CN93" s="165"/>
      <c r="CO93" s="165"/>
      <c r="CP93" s="165"/>
      <c r="CQ93" s="165"/>
      <c r="CR93" s="165"/>
      <c r="CS93" s="165"/>
      <c r="CT93" s="165"/>
      <c r="CU93" s="165"/>
      <c r="CV93" s="165"/>
      <c r="CW93" s="165"/>
      <c r="CX93" s="165"/>
      <c r="CY93" s="165"/>
      <c r="CZ93" s="165"/>
      <c r="DA93" s="165"/>
      <c r="DB93" s="165"/>
      <c r="DC93" s="165"/>
    </row>
    <row r="94" ht="15.75" customHeight="1">
      <c r="A94" s="146"/>
      <c r="B94" s="146"/>
      <c r="C94" s="160" t="s">
        <v>266</v>
      </c>
      <c r="D94" s="163">
        <f t="shared" ref="D94:CU94" si="80">(D91)+(D92)</f>
        <v>3453</v>
      </c>
      <c r="E94" s="163">
        <f t="shared" si="80"/>
        <v>2826</v>
      </c>
      <c r="F94" s="163">
        <f t="shared" si="80"/>
        <v>3319</v>
      </c>
      <c r="G94" s="163">
        <f t="shared" si="80"/>
        <v>3538</v>
      </c>
      <c r="H94" s="163">
        <f t="shared" si="80"/>
        <v>3832</v>
      </c>
      <c r="I94" s="163">
        <f t="shared" si="80"/>
        <v>3696</v>
      </c>
      <c r="J94" s="163">
        <f t="shared" si="80"/>
        <v>3603</v>
      </c>
      <c r="K94" s="163">
        <f t="shared" si="80"/>
        <v>3814</v>
      </c>
      <c r="L94" s="163">
        <f t="shared" si="80"/>
        <v>4573</v>
      </c>
      <c r="M94" s="163">
        <f t="shared" si="80"/>
        <v>3022</v>
      </c>
      <c r="N94" s="163">
        <f t="shared" si="80"/>
        <v>3256</v>
      </c>
      <c r="O94" s="163">
        <f t="shared" si="80"/>
        <v>3682</v>
      </c>
      <c r="P94" s="163">
        <f t="shared" si="80"/>
        <v>2749</v>
      </c>
      <c r="Q94" s="163">
        <f t="shared" si="80"/>
        <v>3774</v>
      </c>
      <c r="R94" s="163">
        <f t="shared" si="80"/>
        <v>2934</v>
      </c>
      <c r="S94" s="163">
        <f t="shared" si="80"/>
        <v>4116</v>
      </c>
      <c r="T94" s="163">
        <f t="shared" si="80"/>
        <v>2979</v>
      </c>
      <c r="U94" s="163">
        <f t="shared" si="80"/>
        <v>2345</v>
      </c>
      <c r="V94" s="163">
        <f t="shared" si="80"/>
        <v>3137</v>
      </c>
      <c r="W94" s="163">
        <f t="shared" si="80"/>
        <v>3161</v>
      </c>
      <c r="X94" s="163">
        <f t="shared" si="80"/>
        <v>3834</v>
      </c>
      <c r="Y94" s="163">
        <f t="shared" si="80"/>
        <v>3788</v>
      </c>
      <c r="Z94" s="163">
        <f t="shared" si="80"/>
        <v>2998</v>
      </c>
      <c r="AA94" s="163">
        <f t="shared" si="80"/>
        <v>2934</v>
      </c>
      <c r="AB94" s="163">
        <f t="shared" si="80"/>
        <v>2599</v>
      </c>
      <c r="AC94" s="163">
        <f t="shared" si="80"/>
        <v>3554</v>
      </c>
      <c r="AD94" s="163">
        <f t="shared" si="80"/>
        <v>2748</v>
      </c>
      <c r="AE94" s="163">
        <f t="shared" si="80"/>
        <v>3451</v>
      </c>
      <c r="AF94" s="163">
        <f t="shared" si="80"/>
        <v>3569</v>
      </c>
      <c r="AG94" s="163">
        <f t="shared" si="80"/>
        <v>2481</v>
      </c>
      <c r="AH94" s="164">
        <f t="shared" si="80"/>
        <v>2486</v>
      </c>
      <c r="AI94" s="164">
        <f t="shared" si="80"/>
        <v>4178</v>
      </c>
      <c r="AJ94" s="164">
        <f t="shared" si="80"/>
        <v>2645</v>
      </c>
      <c r="AK94" s="164">
        <f t="shared" si="80"/>
        <v>3056</v>
      </c>
      <c r="AL94" s="164">
        <f t="shared" si="80"/>
        <v>4357</v>
      </c>
      <c r="AM94" s="164">
        <f t="shared" si="80"/>
        <v>0</v>
      </c>
      <c r="AN94" s="164">
        <f t="shared" si="80"/>
        <v>0</v>
      </c>
      <c r="AO94" s="164">
        <f t="shared" si="80"/>
        <v>0</v>
      </c>
      <c r="AP94" s="164">
        <f t="shared" si="80"/>
        <v>0</v>
      </c>
      <c r="AQ94" s="164">
        <f t="shared" si="80"/>
        <v>0</v>
      </c>
      <c r="AR94" s="164">
        <f t="shared" si="80"/>
        <v>0</v>
      </c>
      <c r="AS94" s="164">
        <f t="shared" si="80"/>
        <v>0</v>
      </c>
      <c r="AT94" s="164">
        <f t="shared" si="80"/>
        <v>0</v>
      </c>
      <c r="AU94" s="164">
        <f t="shared" si="80"/>
        <v>0</v>
      </c>
      <c r="AV94" s="164">
        <f t="shared" si="80"/>
        <v>0</v>
      </c>
      <c r="AW94" s="164">
        <f t="shared" si="80"/>
        <v>0</v>
      </c>
      <c r="AX94" s="164">
        <f t="shared" si="80"/>
        <v>0</v>
      </c>
      <c r="AY94" s="164">
        <f t="shared" si="80"/>
        <v>0</v>
      </c>
      <c r="AZ94" s="164">
        <f t="shared" si="80"/>
        <v>0</v>
      </c>
      <c r="BA94" s="164">
        <f t="shared" si="80"/>
        <v>0</v>
      </c>
      <c r="BB94" s="164">
        <f t="shared" si="80"/>
        <v>0</v>
      </c>
      <c r="BC94" s="164">
        <f t="shared" si="80"/>
        <v>0</v>
      </c>
      <c r="BD94" s="164">
        <f t="shared" si="80"/>
        <v>0</v>
      </c>
      <c r="BE94" s="164">
        <f t="shared" si="80"/>
        <v>0</v>
      </c>
      <c r="BF94" s="164">
        <f t="shared" si="80"/>
        <v>0</v>
      </c>
      <c r="BG94" s="164">
        <f t="shared" si="80"/>
        <v>0</v>
      </c>
      <c r="BH94" s="164">
        <f t="shared" si="80"/>
        <v>0</v>
      </c>
      <c r="BI94" s="164">
        <f t="shared" si="80"/>
        <v>0</v>
      </c>
      <c r="BJ94" s="164">
        <f t="shared" si="80"/>
        <v>0</v>
      </c>
      <c r="BK94" s="164">
        <f t="shared" si="80"/>
        <v>0</v>
      </c>
      <c r="BL94" s="164">
        <f t="shared" si="80"/>
        <v>0</v>
      </c>
      <c r="BM94" s="164">
        <f t="shared" si="80"/>
        <v>0</v>
      </c>
      <c r="BN94" s="164">
        <f t="shared" si="80"/>
        <v>0</v>
      </c>
      <c r="BO94" s="164">
        <f t="shared" si="80"/>
        <v>0</v>
      </c>
      <c r="BP94" s="164">
        <f t="shared" si="80"/>
        <v>0</v>
      </c>
      <c r="BQ94" s="164">
        <f t="shared" si="80"/>
        <v>0</v>
      </c>
      <c r="BR94" s="164">
        <f t="shared" si="80"/>
        <v>0</v>
      </c>
      <c r="BS94" s="164">
        <f t="shared" si="80"/>
        <v>0</v>
      </c>
      <c r="BT94" s="164">
        <f t="shared" si="80"/>
        <v>0</v>
      </c>
      <c r="BU94" s="164">
        <f t="shared" si="80"/>
        <v>0</v>
      </c>
      <c r="BV94" s="164">
        <f t="shared" si="80"/>
        <v>0</v>
      </c>
      <c r="BW94" s="164">
        <f t="shared" si="80"/>
        <v>0</v>
      </c>
      <c r="BX94" s="164">
        <f t="shared" si="80"/>
        <v>0</v>
      </c>
      <c r="BY94" s="164">
        <f t="shared" si="80"/>
        <v>0</v>
      </c>
      <c r="BZ94" s="164">
        <f t="shared" si="80"/>
        <v>0</v>
      </c>
      <c r="CA94" s="164">
        <f t="shared" si="80"/>
        <v>0</v>
      </c>
      <c r="CB94" s="164">
        <f t="shared" si="80"/>
        <v>0</v>
      </c>
      <c r="CC94" s="164">
        <f t="shared" si="80"/>
        <v>0</v>
      </c>
      <c r="CD94" s="164">
        <f t="shared" si="80"/>
        <v>0</v>
      </c>
      <c r="CE94" s="164">
        <f t="shared" si="80"/>
        <v>0</v>
      </c>
      <c r="CF94" s="164">
        <f t="shared" si="80"/>
        <v>0</v>
      </c>
      <c r="CG94" s="164">
        <f t="shared" si="80"/>
        <v>0</v>
      </c>
      <c r="CH94" s="164">
        <f t="shared" si="80"/>
        <v>0</v>
      </c>
      <c r="CI94" s="164">
        <f t="shared" si="80"/>
        <v>0</v>
      </c>
      <c r="CJ94" s="164">
        <f t="shared" si="80"/>
        <v>0</v>
      </c>
      <c r="CK94" s="164">
        <f t="shared" si="80"/>
        <v>0</v>
      </c>
      <c r="CL94" s="164">
        <f t="shared" si="80"/>
        <v>0</v>
      </c>
      <c r="CM94" s="164">
        <f t="shared" si="80"/>
        <v>0</v>
      </c>
      <c r="CN94" s="164">
        <f t="shared" si="80"/>
        <v>0</v>
      </c>
      <c r="CO94" s="164">
        <f t="shared" si="80"/>
        <v>0</v>
      </c>
      <c r="CP94" s="164">
        <f t="shared" si="80"/>
        <v>0</v>
      </c>
      <c r="CQ94" s="164">
        <f t="shared" si="80"/>
        <v>0</v>
      </c>
      <c r="CR94" s="164">
        <f t="shared" si="80"/>
        <v>0</v>
      </c>
      <c r="CS94" s="164">
        <f t="shared" si="80"/>
        <v>0</v>
      </c>
      <c r="CT94" s="164">
        <f t="shared" si="80"/>
        <v>0</v>
      </c>
      <c r="CU94" s="164">
        <f t="shared" si="80"/>
        <v>0</v>
      </c>
      <c r="CV94" s="165"/>
      <c r="CW94" s="165"/>
      <c r="CX94" s="165"/>
      <c r="CY94" s="165"/>
      <c r="CZ94" s="165"/>
      <c r="DA94" s="165"/>
      <c r="DB94" s="165"/>
      <c r="DC94" s="165"/>
    </row>
    <row r="95" ht="15.75" customHeight="1">
      <c r="A95" s="146"/>
      <c r="B95" s="146"/>
      <c r="C95" s="160" t="s">
        <v>183</v>
      </c>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146"/>
      <c r="AB95" s="146"/>
      <c r="AC95" s="146"/>
      <c r="AD95" s="146"/>
      <c r="AE95" s="146"/>
      <c r="AF95" s="146"/>
      <c r="AG95" s="146"/>
      <c r="AH95" s="144"/>
      <c r="AI95" s="144"/>
      <c r="AJ95" s="144"/>
      <c r="AK95" s="144"/>
      <c r="AL95" s="144"/>
      <c r="AM95" s="144"/>
      <c r="AN95" s="144"/>
      <c r="AO95" s="144"/>
      <c r="AP95" s="144"/>
      <c r="AQ95" s="144"/>
      <c r="AR95" s="144"/>
      <c r="AS95" s="144"/>
      <c r="AT95" s="144"/>
      <c r="AU95" s="144"/>
      <c r="AV95" s="144"/>
      <c r="AW95" s="144"/>
      <c r="AX95" s="144"/>
      <c r="AY95" s="144"/>
      <c r="AZ95" s="144"/>
      <c r="BA95" s="144"/>
      <c r="BB95" s="144"/>
      <c r="BC95" s="144"/>
      <c r="BD95" s="144"/>
      <c r="BE95" s="144"/>
      <c r="BF95" s="144"/>
      <c r="BG95" s="144"/>
      <c r="BH95" s="144"/>
      <c r="BI95" s="144"/>
      <c r="BJ95" s="144"/>
      <c r="BK95" s="144"/>
      <c r="BL95" s="144"/>
      <c r="BM95" s="144"/>
      <c r="BN95" s="144"/>
      <c r="BO95" s="144"/>
      <c r="BP95" s="144"/>
      <c r="BQ95" s="144"/>
      <c r="BR95" s="144"/>
      <c r="BS95" s="144"/>
      <c r="BT95" s="144"/>
      <c r="BU95" s="144"/>
      <c r="BV95" s="144"/>
      <c r="BW95" s="144"/>
      <c r="BX95" s="144"/>
      <c r="BY95" s="144"/>
      <c r="BZ95" s="144"/>
      <c r="CA95" s="144"/>
      <c r="CB95" s="144"/>
      <c r="CC95" s="144"/>
      <c r="CD95" s="144"/>
      <c r="CE95" s="144"/>
      <c r="CF95" s="144"/>
      <c r="CG95" s="144"/>
      <c r="CH95" s="144"/>
      <c r="CI95" s="144"/>
      <c r="CJ95" s="144"/>
      <c r="CK95" s="144"/>
      <c r="CL95" s="144"/>
      <c r="CM95" s="144"/>
      <c r="CN95" s="144"/>
      <c r="CO95" s="144"/>
      <c r="CP95" s="144"/>
      <c r="CQ95" s="144"/>
      <c r="CR95" s="144"/>
      <c r="CS95" s="144"/>
      <c r="CT95" s="144"/>
      <c r="CU95" s="144"/>
      <c r="CV95" s="144"/>
      <c r="CW95" s="144"/>
      <c r="CX95" s="144"/>
      <c r="CY95" s="144"/>
      <c r="CZ95" s="144"/>
      <c r="DA95" s="144"/>
      <c r="DB95" s="144"/>
      <c r="DC95" s="144"/>
    </row>
    <row r="96" ht="15.75" customHeight="1">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146"/>
      <c r="AB96" s="146"/>
      <c r="AC96" s="146"/>
      <c r="AD96" s="146"/>
      <c r="AE96" s="146"/>
      <c r="AF96" s="146"/>
      <c r="AG96" s="146"/>
      <c r="AH96" s="146"/>
      <c r="AI96" s="146"/>
      <c r="AJ96" s="146"/>
      <c r="AK96" s="146"/>
      <c r="AL96" s="146"/>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c r="BP96" s="146"/>
      <c r="BQ96" s="146"/>
      <c r="BR96" s="146"/>
      <c r="BS96" s="146"/>
      <c r="BT96" s="146"/>
      <c r="BU96" s="146"/>
      <c r="BV96" s="146"/>
      <c r="BW96" s="146"/>
      <c r="BX96" s="146"/>
      <c r="BY96" s="146"/>
      <c r="BZ96" s="146"/>
      <c r="CA96" s="146"/>
      <c r="CB96" s="146"/>
      <c r="CC96" s="146"/>
      <c r="CD96" s="146"/>
      <c r="CE96" s="146"/>
      <c r="CF96" s="146"/>
      <c r="CG96" s="146"/>
      <c r="CH96" s="146"/>
      <c r="CI96" s="146"/>
      <c r="CJ96" s="146"/>
      <c r="CK96" s="146"/>
      <c r="CL96" s="146"/>
      <c r="CM96" s="146"/>
      <c r="CN96" s="146"/>
      <c r="CO96" s="146"/>
      <c r="CP96" s="146"/>
      <c r="CQ96" s="146"/>
      <c r="CR96" s="146"/>
      <c r="CS96" s="146"/>
      <c r="CT96" s="146"/>
      <c r="CU96" s="146"/>
      <c r="CV96" s="146"/>
      <c r="CW96" s="146"/>
      <c r="CX96" s="146"/>
      <c r="CY96" s="146"/>
      <c r="CZ96" s="146"/>
      <c r="DA96" s="146"/>
      <c r="DB96" s="146"/>
      <c r="DC96" s="146"/>
    </row>
    <row r="97" ht="15.75" customHeight="1">
      <c r="A97" s="146"/>
      <c r="B97" s="146"/>
      <c r="C97" s="160" t="s">
        <v>267</v>
      </c>
      <c r="D97" s="161">
        <f t="shared" ref="D97:AL97" si="81">RANDBETWEEN(1000,2500)</f>
        <v>1110</v>
      </c>
      <c r="E97" s="161">
        <f t="shared" si="81"/>
        <v>1794</v>
      </c>
      <c r="F97" s="161">
        <f t="shared" si="81"/>
        <v>1051</v>
      </c>
      <c r="G97" s="161">
        <f t="shared" si="81"/>
        <v>1958</v>
      </c>
      <c r="H97" s="161">
        <f t="shared" si="81"/>
        <v>1843</v>
      </c>
      <c r="I97" s="161">
        <f t="shared" si="81"/>
        <v>2244</v>
      </c>
      <c r="J97" s="161">
        <f t="shared" si="81"/>
        <v>1529</v>
      </c>
      <c r="K97" s="161">
        <f t="shared" si="81"/>
        <v>2263</v>
      </c>
      <c r="L97" s="161">
        <f t="shared" si="81"/>
        <v>1468</v>
      </c>
      <c r="M97" s="161">
        <f t="shared" si="81"/>
        <v>1652</v>
      </c>
      <c r="N97" s="161">
        <f t="shared" si="81"/>
        <v>1354</v>
      </c>
      <c r="O97" s="161">
        <f t="shared" si="81"/>
        <v>2438</v>
      </c>
      <c r="P97" s="161">
        <f t="shared" si="81"/>
        <v>1586</v>
      </c>
      <c r="Q97" s="161">
        <f t="shared" si="81"/>
        <v>2489</v>
      </c>
      <c r="R97" s="161">
        <f t="shared" si="81"/>
        <v>1541</v>
      </c>
      <c r="S97" s="161">
        <f t="shared" si="81"/>
        <v>1832</v>
      </c>
      <c r="T97" s="161">
        <f t="shared" si="81"/>
        <v>1992</v>
      </c>
      <c r="U97" s="161">
        <f t="shared" si="81"/>
        <v>1062</v>
      </c>
      <c r="V97" s="161">
        <f t="shared" si="81"/>
        <v>1472</v>
      </c>
      <c r="W97" s="161">
        <f t="shared" si="81"/>
        <v>2220</v>
      </c>
      <c r="X97" s="161">
        <f t="shared" si="81"/>
        <v>1467</v>
      </c>
      <c r="Y97" s="161">
        <f t="shared" si="81"/>
        <v>2260</v>
      </c>
      <c r="Z97" s="161">
        <f t="shared" si="81"/>
        <v>1748</v>
      </c>
      <c r="AA97" s="161">
        <f t="shared" si="81"/>
        <v>2091</v>
      </c>
      <c r="AB97" s="161">
        <f t="shared" si="81"/>
        <v>1724</v>
      </c>
      <c r="AC97" s="161">
        <f t="shared" si="81"/>
        <v>2001</v>
      </c>
      <c r="AD97" s="161">
        <f t="shared" si="81"/>
        <v>2429</v>
      </c>
      <c r="AE97" s="161">
        <f t="shared" si="81"/>
        <v>2286</v>
      </c>
      <c r="AF97" s="161">
        <f t="shared" si="81"/>
        <v>1077</v>
      </c>
      <c r="AG97" s="161">
        <f t="shared" si="81"/>
        <v>2322</v>
      </c>
      <c r="AH97" s="161">
        <f t="shared" si="81"/>
        <v>2297</v>
      </c>
      <c r="AI97" s="161">
        <f t="shared" si="81"/>
        <v>2056</v>
      </c>
      <c r="AJ97" s="161">
        <f t="shared" si="81"/>
        <v>1629</v>
      </c>
      <c r="AK97" s="161">
        <f t="shared" si="81"/>
        <v>2118</v>
      </c>
      <c r="AL97" s="161">
        <f t="shared" si="81"/>
        <v>1359</v>
      </c>
      <c r="AM97" s="173">
        <f>AL97*(1+(AM22/AL22-1)*0.6)+2528</f>
        <v>3953.458507</v>
      </c>
      <c r="AN97" s="173">
        <f t="shared" ref="AN97:CU97" si="82">AM97*(1+(AN22/AM22-1)*0.6)</f>
        <v>4375.109896</v>
      </c>
      <c r="AO97" s="173">
        <f t="shared" si="82"/>
        <v>4766.649177</v>
      </c>
      <c r="AP97" s="173">
        <f t="shared" si="82"/>
        <v>5106.599915</v>
      </c>
      <c r="AQ97" s="173">
        <f t="shared" si="82"/>
        <v>5418.297767</v>
      </c>
      <c r="AR97" s="173">
        <f t="shared" si="82"/>
        <v>5716.557025</v>
      </c>
      <c r="AS97" s="173">
        <f t="shared" si="82"/>
        <v>6006.490346</v>
      </c>
      <c r="AT97" s="173">
        <f t="shared" si="82"/>
        <v>6259.70122</v>
      </c>
      <c r="AU97" s="173">
        <f t="shared" si="82"/>
        <v>6501.503826</v>
      </c>
      <c r="AV97" s="173">
        <f t="shared" si="82"/>
        <v>6732.515649</v>
      </c>
      <c r="AW97" s="173">
        <f t="shared" si="82"/>
        <v>6942.4634</v>
      </c>
      <c r="AX97" s="173">
        <f t="shared" si="82"/>
        <v>7146.275361</v>
      </c>
      <c r="AY97" s="173">
        <f t="shared" si="82"/>
        <v>7348.802841</v>
      </c>
      <c r="AZ97" s="173">
        <f t="shared" si="82"/>
        <v>7545.275947</v>
      </c>
      <c r="BA97" s="173">
        <f t="shared" si="82"/>
        <v>7579.67022</v>
      </c>
      <c r="BB97" s="173">
        <f t="shared" si="82"/>
        <v>7627.747242</v>
      </c>
      <c r="BC97" s="173">
        <f t="shared" si="82"/>
        <v>7689.804187</v>
      </c>
      <c r="BD97" s="173">
        <f t="shared" si="82"/>
        <v>7755.333295</v>
      </c>
      <c r="BE97" s="173">
        <f t="shared" si="82"/>
        <v>7823.104497</v>
      </c>
      <c r="BF97" s="173">
        <f t="shared" si="82"/>
        <v>7889.750151</v>
      </c>
      <c r="BG97" s="173">
        <f t="shared" si="82"/>
        <v>7969.758914</v>
      </c>
      <c r="BH97" s="173">
        <f t="shared" si="82"/>
        <v>8033.906561</v>
      </c>
      <c r="BI97" s="173">
        <f t="shared" si="82"/>
        <v>8096.808654</v>
      </c>
      <c r="BJ97" s="173">
        <f t="shared" si="82"/>
        <v>8158.521509</v>
      </c>
      <c r="BK97" s="173">
        <f t="shared" si="82"/>
        <v>8219.105657</v>
      </c>
      <c r="BL97" s="173">
        <f t="shared" si="82"/>
        <v>8350.422715</v>
      </c>
      <c r="BM97" s="173">
        <f t="shared" si="82"/>
        <v>8448.246681</v>
      </c>
      <c r="BN97" s="173">
        <f t="shared" si="82"/>
        <v>8542.328388</v>
      </c>
      <c r="BO97" s="173">
        <f t="shared" si="82"/>
        <v>8633.320929</v>
      </c>
      <c r="BP97" s="173">
        <f t="shared" si="82"/>
        <v>8721.656395</v>
      </c>
      <c r="BQ97" s="173">
        <f t="shared" si="82"/>
        <v>8807.623944</v>
      </c>
      <c r="BR97" s="173">
        <f t="shared" si="82"/>
        <v>8891.448331</v>
      </c>
      <c r="BS97" s="173">
        <f t="shared" si="82"/>
        <v>8973.314822</v>
      </c>
      <c r="BT97" s="173">
        <f t="shared" si="82"/>
        <v>9053.380794</v>
      </c>
      <c r="BU97" s="173">
        <f t="shared" si="82"/>
        <v>9131.782656</v>
      </c>
      <c r="BV97" s="173">
        <f t="shared" si="82"/>
        <v>9208.640528</v>
      </c>
      <c r="BW97" s="173">
        <f t="shared" si="82"/>
        <v>9284.061596</v>
      </c>
      <c r="BX97" s="173">
        <f t="shared" si="82"/>
        <v>9392.476577</v>
      </c>
      <c r="BY97" s="173">
        <f t="shared" si="82"/>
        <v>9475.988876</v>
      </c>
      <c r="BZ97" s="173">
        <f t="shared" si="82"/>
        <v>9551.179902</v>
      </c>
      <c r="CA97" s="173">
        <f t="shared" si="82"/>
        <v>9624.500172</v>
      </c>
      <c r="CB97" s="173">
        <f t="shared" si="82"/>
        <v>9697.088735</v>
      </c>
      <c r="CC97" s="173">
        <f t="shared" si="82"/>
        <v>9768.985199</v>
      </c>
      <c r="CD97" s="173">
        <f t="shared" si="82"/>
        <v>9840.248248</v>
      </c>
      <c r="CE97" s="173">
        <f t="shared" si="82"/>
        <v>9910.933679</v>
      </c>
      <c r="CF97" s="173">
        <f t="shared" si="82"/>
        <v>9981.093679</v>
      </c>
      <c r="CG97" s="173">
        <f t="shared" si="82"/>
        <v>10050.7777</v>
      </c>
      <c r="CH97" s="173">
        <f t="shared" si="82"/>
        <v>10120.03303</v>
      </c>
      <c r="CI97" s="173">
        <f t="shared" si="82"/>
        <v>10188.90504</v>
      </c>
      <c r="CJ97" s="173">
        <f t="shared" si="82"/>
        <v>10282.66752</v>
      </c>
      <c r="CK97" s="173">
        <f t="shared" si="82"/>
        <v>10326.228</v>
      </c>
      <c r="CL97" s="173">
        <f t="shared" si="82"/>
        <v>10367.74884</v>
      </c>
      <c r="CM97" s="173">
        <f t="shared" si="82"/>
        <v>10411.32052</v>
      </c>
      <c r="CN97" s="173">
        <f t="shared" si="82"/>
        <v>10456.02637</v>
      </c>
      <c r="CO97" s="173">
        <f t="shared" si="82"/>
        <v>10501.1822</v>
      </c>
      <c r="CP97" s="173">
        <f t="shared" si="82"/>
        <v>10546.5029</v>
      </c>
      <c r="CQ97" s="173">
        <f t="shared" si="82"/>
        <v>10591.84371</v>
      </c>
      <c r="CR97" s="173">
        <f t="shared" si="82"/>
        <v>10637.12383</v>
      </c>
      <c r="CS97" s="173">
        <f t="shared" si="82"/>
        <v>10682.29779</v>
      </c>
      <c r="CT97" s="173">
        <f t="shared" si="82"/>
        <v>10727.34217</v>
      </c>
      <c r="CU97" s="173">
        <f t="shared" si="82"/>
        <v>10772.24822</v>
      </c>
      <c r="CV97" s="173"/>
      <c r="CW97" s="173"/>
      <c r="CX97" s="173"/>
      <c r="CY97" s="173"/>
      <c r="CZ97" s="173"/>
      <c r="DA97" s="173"/>
      <c r="DB97" s="173"/>
      <c r="DC97" s="173"/>
    </row>
    <row r="98" ht="15.75" customHeight="1">
      <c r="A98" s="146"/>
      <c r="B98" s="146"/>
      <c r="C98" s="160" t="s">
        <v>268</v>
      </c>
      <c r="D98" s="146"/>
      <c r="E98" s="146"/>
      <c r="F98" s="146"/>
      <c r="G98" s="146"/>
      <c r="H98" s="146"/>
      <c r="I98" s="146"/>
      <c r="J98" s="146"/>
      <c r="K98" s="146"/>
      <c r="L98" s="146"/>
      <c r="M98" s="146"/>
      <c r="N98" s="146"/>
      <c r="O98" s="146"/>
      <c r="P98" s="146"/>
      <c r="Q98" s="146"/>
      <c r="R98" s="146"/>
      <c r="S98" s="146"/>
      <c r="T98" s="146"/>
      <c r="U98" s="146"/>
      <c r="V98" s="146"/>
      <c r="W98" s="146"/>
      <c r="X98" s="146"/>
      <c r="Y98" s="146"/>
      <c r="Z98" s="146"/>
      <c r="AA98" s="146"/>
      <c r="AB98" s="146">
        <v>0.0</v>
      </c>
      <c r="AC98" s="146"/>
      <c r="AD98" s="146"/>
      <c r="AE98" s="146"/>
      <c r="AF98" s="146"/>
      <c r="AG98" s="146"/>
      <c r="AH98" s="144"/>
      <c r="AI98" s="144"/>
      <c r="AJ98" s="144"/>
      <c r="AK98" s="144"/>
      <c r="AL98" s="144"/>
      <c r="AM98" s="144"/>
      <c r="AN98" s="144"/>
      <c r="AO98" s="144"/>
      <c r="AP98" s="144"/>
      <c r="AQ98" s="144"/>
      <c r="AR98" s="144"/>
      <c r="AS98" s="144"/>
      <c r="AT98" s="144"/>
      <c r="AU98" s="144"/>
      <c r="AV98" s="144"/>
      <c r="AW98" s="144"/>
      <c r="AX98" s="144"/>
      <c r="AY98" s="144"/>
      <c r="AZ98" s="144"/>
      <c r="BA98" s="144"/>
      <c r="BB98" s="144"/>
      <c r="BC98" s="144"/>
      <c r="BD98" s="144"/>
      <c r="BE98" s="144"/>
      <c r="BF98" s="144"/>
      <c r="BG98" s="144"/>
      <c r="BH98" s="144"/>
      <c r="BI98" s="144"/>
      <c r="BJ98" s="144"/>
      <c r="BK98" s="144"/>
      <c r="BL98" s="144"/>
      <c r="BM98" s="144"/>
      <c r="BN98" s="144"/>
      <c r="BO98" s="144"/>
      <c r="BP98" s="144"/>
      <c r="BQ98" s="144"/>
      <c r="BR98" s="144"/>
      <c r="BS98" s="144"/>
      <c r="BT98" s="144"/>
      <c r="BU98" s="144"/>
      <c r="BV98" s="144"/>
      <c r="BW98" s="144"/>
      <c r="BX98" s="144"/>
      <c r="BY98" s="144"/>
      <c r="BZ98" s="144"/>
      <c r="CA98" s="144"/>
      <c r="CB98" s="144"/>
      <c r="CC98" s="144"/>
      <c r="CD98" s="144"/>
      <c r="CE98" s="144"/>
      <c r="CF98" s="144"/>
      <c r="CG98" s="144"/>
      <c r="CH98" s="144"/>
      <c r="CI98" s="144"/>
      <c r="CJ98" s="144"/>
      <c r="CK98" s="144"/>
      <c r="CL98" s="144"/>
      <c r="CM98" s="144"/>
      <c r="CN98" s="144"/>
      <c r="CO98" s="144"/>
      <c r="CP98" s="144"/>
      <c r="CQ98" s="144"/>
      <c r="CR98" s="144"/>
      <c r="CS98" s="144"/>
      <c r="CT98" s="144"/>
      <c r="CU98" s="144"/>
      <c r="CV98" s="144"/>
      <c r="CW98" s="144"/>
      <c r="CX98" s="144"/>
      <c r="CY98" s="144"/>
      <c r="CZ98" s="144"/>
      <c r="DA98" s="144"/>
      <c r="DB98" s="144"/>
      <c r="DC98" s="144"/>
    </row>
    <row r="99" ht="15.75" customHeight="1">
      <c r="A99" s="146"/>
      <c r="B99" s="146"/>
      <c r="C99" s="160" t="s">
        <v>269</v>
      </c>
      <c r="D99" s="146">
        <v>0.0</v>
      </c>
      <c r="E99" s="146">
        <v>0.0</v>
      </c>
      <c r="F99" s="146">
        <v>0.0</v>
      </c>
      <c r="G99" s="146">
        <v>0.0</v>
      </c>
      <c r="H99" s="146"/>
      <c r="I99" s="146"/>
      <c r="J99" s="146"/>
      <c r="K99" s="146"/>
      <c r="L99" s="146"/>
      <c r="M99" s="146"/>
      <c r="N99" s="146"/>
      <c r="O99" s="146"/>
      <c r="P99" s="146"/>
      <c r="Q99" s="146">
        <v>0.0</v>
      </c>
      <c r="R99" s="146"/>
      <c r="S99" s="146"/>
      <c r="T99" s="146"/>
      <c r="U99" s="146"/>
      <c r="V99" s="146"/>
      <c r="W99" s="146"/>
      <c r="X99" s="146"/>
      <c r="Y99" s="146"/>
      <c r="Z99" s="146"/>
      <c r="AA99" s="146"/>
      <c r="AB99" s="146"/>
      <c r="AC99" s="146"/>
      <c r="AD99" s="146"/>
      <c r="AE99" s="146"/>
      <c r="AF99" s="146"/>
      <c r="AG99" s="146"/>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4"/>
      <c r="BS99" s="144"/>
      <c r="BT99" s="144"/>
      <c r="BU99" s="144"/>
      <c r="BV99" s="144"/>
      <c r="BW99" s="144"/>
      <c r="BX99" s="144"/>
      <c r="BY99" s="144"/>
      <c r="BZ99" s="144"/>
      <c r="CA99" s="144"/>
      <c r="CB99" s="144"/>
      <c r="CC99" s="144"/>
      <c r="CD99" s="144"/>
      <c r="CE99" s="144"/>
      <c r="CF99" s="144"/>
      <c r="CG99" s="144"/>
      <c r="CH99" s="144"/>
      <c r="CI99" s="144"/>
      <c r="CJ99" s="144"/>
      <c r="CK99" s="144"/>
      <c r="CL99" s="144"/>
      <c r="CM99" s="144"/>
      <c r="CN99" s="144"/>
      <c r="CO99" s="144"/>
      <c r="CP99" s="144"/>
      <c r="CQ99" s="144"/>
      <c r="CR99" s="144"/>
      <c r="CS99" s="144"/>
      <c r="CT99" s="144"/>
      <c r="CU99" s="144"/>
      <c r="CV99" s="144"/>
      <c r="CW99" s="144"/>
      <c r="CX99" s="144"/>
      <c r="CY99" s="144"/>
      <c r="CZ99" s="144"/>
      <c r="DA99" s="144"/>
      <c r="DB99" s="144"/>
      <c r="DC99" s="144"/>
    </row>
    <row r="100" ht="15.75" customHeight="1">
      <c r="A100" s="146"/>
      <c r="B100" s="146"/>
      <c r="C100" s="160" t="s">
        <v>270</v>
      </c>
      <c r="D100" s="163">
        <f t="shared" ref="D100:CU100" si="83">SUM(D96:D99)</f>
        <v>1110</v>
      </c>
      <c r="E100" s="163">
        <f t="shared" si="83"/>
        <v>1794</v>
      </c>
      <c r="F100" s="163">
        <f t="shared" si="83"/>
        <v>1051</v>
      </c>
      <c r="G100" s="163">
        <f t="shared" si="83"/>
        <v>1958</v>
      </c>
      <c r="H100" s="163">
        <f t="shared" si="83"/>
        <v>1843</v>
      </c>
      <c r="I100" s="163">
        <f t="shared" si="83"/>
        <v>2244</v>
      </c>
      <c r="J100" s="163">
        <f t="shared" si="83"/>
        <v>1529</v>
      </c>
      <c r="K100" s="163">
        <f t="shared" si="83"/>
        <v>2263</v>
      </c>
      <c r="L100" s="163">
        <f t="shared" si="83"/>
        <v>1468</v>
      </c>
      <c r="M100" s="163">
        <f t="shared" si="83"/>
        <v>1652</v>
      </c>
      <c r="N100" s="163">
        <f t="shared" si="83"/>
        <v>1354</v>
      </c>
      <c r="O100" s="163">
        <f t="shared" si="83"/>
        <v>2438</v>
      </c>
      <c r="P100" s="163">
        <f t="shared" si="83"/>
        <v>1586</v>
      </c>
      <c r="Q100" s="163">
        <f t="shared" si="83"/>
        <v>2489</v>
      </c>
      <c r="R100" s="163">
        <f t="shared" si="83"/>
        <v>1541</v>
      </c>
      <c r="S100" s="163">
        <f t="shared" si="83"/>
        <v>1832</v>
      </c>
      <c r="T100" s="163">
        <f t="shared" si="83"/>
        <v>1992</v>
      </c>
      <c r="U100" s="163">
        <f t="shared" si="83"/>
        <v>1062</v>
      </c>
      <c r="V100" s="163">
        <f t="shared" si="83"/>
        <v>1472</v>
      </c>
      <c r="W100" s="163">
        <f t="shared" si="83"/>
        <v>2220</v>
      </c>
      <c r="X100" s="163">
        <f t="shared" si="83"/>
        <v>1467</v>
      </c>
      <c r="Y100" s="163">
        <f t="shared" si="83"/>
        <v>2260</v>
      </c>
      <c r="Z100" s="163">
        <f t="shared" si="83"/>
        <v>1748</v>
      </c>
      <c r="AA100" s="163">
        <f t="shared" si="83"/>
        <v>2091</v>
      </c>
      <c r="AB100" s="163">
        <f t="shared" si="83"/>
        <v>1724</v>
      </c>
      <c r="AC100" s="163">
        <f t="shared" si="83"/>
        <v>2001</v>
      </c>
      <c r="AD100" s="163">
        <f t="shared" si="83"/>
        <v>2429</v>
      </c>
      <c r="AE100" s="163">
        <f t="shared" si="83"/>
        <v>2286</v>
      </c>
      <c r="AF100" s="163">
        <f t="shared" si="83"/>
        <v>1077</v>
      </c>
      <c r="AG100" s="163">
        <f t="shared" si="83"/>
        <v>2322</v>
      </c>
      <c r="AH100" s="164">
        <f t="shared" si="83"/>
        <v>2297</v>
      </c>
      <c r="AI100" s="164">
        <f t="shared" si="83"/>
        <v>2056</v>
      </c>
      <c r="AJ100" s="164">
        <f t="shared" si="83"/>
        <v>1629</v>
      </c>
      <c r="AK100" s="164">
        <f t="shared" si="83"/>
        <v>2118</v>
      </c>
      <c r="AL100" s="164">
        <f t="shared" si="83"/>
        <v>1359</v>
      </c>
      <c r="AM100" s="164">
        <f t="shared" si="83"/>
        <v>3953.458507</v>
      </c>
      <c r="AN100" s="164">
        <f t="shared" si="83"/>
        <v>4375.109896</v>
      </c>
      <c r="AO100" s="164">
        <f t="shared" si="83"/>
        <v>4766.649177</v>
      </c>
      <c r="AP100" s="164">
        <f t="shared" si="83"/>
        <v>5106.599915</v>
      </c>
      <c r="AQ100" s="164">
        <f t="shared" si="83"/>
        <v>5418.297767</v>
      </c>
      <c r="AR100" s="164">
        <f t="shared" si="83"/>
        <v>5716.557025</v>
      </c>
      <c r="AS100" s="164">
        <f t="shared" si="83"/>
        <v>6006.490346</v>
      </c>
      <c r="AT100" s="164">
        <f t="shared" si="83"/>
        <v>6259.70122</v>
      </c>
      <c r="AU100" s="164">
        <f t="shared" si="83"/>
        <v>6501.503826</v>
      </c>
      <c r="AV100" s="164">
        <f t="shared" si="83"/>
        <v>6732.515649</v>
      </c>
      <c r="AW100" s="164">
        <f t="shared" si="83"/>
        <v>6942.4634</v>
      </c>
      <c r="AX100" s="164">
        <f t="shared" si="83"/>
        <v>7146.275361</v>
      </c>
      <c r="AY100" s="164">
        <f t="shared" si="83"/>
        <v>7348.802841</v>
      </c>
      <c r="AZ100" s="164">
        <f t="shared" si="83"/>
        <v>7545.275947</v>
      </c>
      <c r="BA100" s="164">
        <f t="shared" si="83"/>
        <v>7579.67022</v>
      </c>
      <c r="BB100" s="164">
        <f t="shared" si="83"/>
        <v>7627.747242</v>
      </c>
      <c r="BC100" s="164">
        <f t="shared" si="83"/>
        <v>7689.804187</v>
      </c>
      <c r="BD100" s="164">
        <f t="shared" si="83"/>
        <v>7755.333295</v>
      </c>
      <c r="BE100" s="164">
        <f t="shared" si="83"/>
        <v>7823.104497</v>
      </c>
      <c r="BF100" s="164">
        <f t="shared" si="83"/>
        <v>7889.750151</v>
      </c>
      <c r="BG100" s="164">
        <f t="shared" si="83"/>
        <v>7969.758914</v>
      </c>
      <c r="BH100" s="164">
        <f t="shared" si="83"/>
        <v>8033.906561</v>
      </c>
      <c r="BI100" s="164">
        <f t="shared" si="83"/>
        <v>8096.808654</v>
      </c>
      <c r="BJ100" s="164">
        <f t="shared" si="83"/>
        <v>8158.521509</v>
      </c>
      <c r="BK100" s="164">
        <f t="shared" si="83"/>
        <v>8219.105657</v>
      </c>
      <c r="BL100" s="164">
        <f t="shared" si="83"/>
        <v>8350.422715</v>
      </c>
      <c r="BM100" s="164">
        <f t="shared" si="83"/>
        <v>8448.246681</v>
      </c>
      <c r="BN100" s="164">
        <f t="shared" si="83"/>
        <v>8542.328388</v>
      </c>
      <c r="BO100" s="164">
        <f t="shared" si="83"/>
        <v>8633.320929</v>
      </c>
      <c r="BP100" s="164">
        <f t="shared" si="83"/>
        <v>8721.656395</v>
      </c>
      <c r="BQ100" s="164">
        <f t="shared" si="83"/>
        <v>8807.623944</v>
      </c>
      <c r="BR100" s="164">
        <f t="shared" si="83"/>
        <v>8891.448331</v>
      </c>
      <c r="BS100" s="164">
        <f t="shared" si="83"/>
        <v>8973.314822</v>
      </c>
      <c r="BT100" s="164">
        <f t="shared" si="83"/>
        <v>9053.380794</v>
      </c>
      <c r="BU100" s="164">
        <f t="shared" si="83"/>
        <v>9131.782656</v>
      </c>
      <c r="BV100" s="164">
        <f t="shared" si="83"/>
        <v>9208.640528</v>
      </c>
      <c r="BW100" s="164">
        <f t="shared" si="83"/>
        <v>9284.061596</v>
      </c>
      <c r="BX100" s="164">
        <f t="shared" si="83"/>
        <v>9392.476577</v>
      </c>
      <c r="BY100" s="164">
        <f t="shared" si="83"/>
        <v>9475.988876</v>
      </c>
      <c r="BZ100" s="164">
        <f t="shared" si="83"/>
        <v>9551.179902</v>
      </c>
      <c r="CA100" s="164">
        <f t="shared" si="83"/>
        <v>9624.500172</v>
      </c>
      <c r="CB100" s="164">
        <f t="shared" si="83"/>
        <v>9697.088735</v>
      </c>
      <c r="CC100" s="164">
        <f t="shared" si="83"/>
        <v>9768.985199</v>
      </c>
      <c r="CD100" s="164">
        <f t="shared" si="83"/>
        <v>9840.248248</v>
      </c>
      <c r="CE100" s="164">
        <f t="shared" si="83"/>
        <v>9910.933679</v>
      </c>
      <c r="CF100" s="164">
        <f t="shared" si="83"/>
        <v>9981.093679</v>
      </c>
      <c r="CG100" s="164">
        <f t="shared" si="83"/>
        <v>10050.7777</v>
      </c>
      <c r="CH100" s="164">
        <f t="shared" si="83"/>
        <v>10120.03303</v>
      </c>
      <c r="CI100" s="164">
        <f t="shared" si="83"/>
        <v>10188.90504</v>
      </c>
      <c r="CJ100" s="164">
        <f t="shared" si="83"/>
        <v>10282.66752</v>
      </c>
      <c r="CK100" s="164">
        <f t="shared" si="83"/>
        <v>10326.228</v>
      </c>
      <c r="CL100" s="164">
        <f t="shared" si="83"/>
        <v>10367.74884</v>
      </c>
      <c r="CM100" s="164">
        <f t="shared" si="83"/>
        <v>10411.32052</v>
      </c>
      <c r="CN100" s="164">
        <f t="shared" si="83"/>
        <v>10456.02637</v>
      </c>
      <c r="CO100" s="164">
        <f t="shared" si="83"/>
        <v>10501.1822</v>
      </c>
      <c r="CP100" s="164">
        <f t="shared" si="83"/>
        <v>10546.5029</v>
      </c>
      <c r="CQ100" s="164">
        <f t="shared" si="83"/>
        <v>10591.84371</v>
      </c>
      <c r="CR100" s="164">
        <f t="shared" si="83"/>
        <v>10637.12383</v>
      </c>
      <c r="CS100" s="164">
        <f t="shared" si="83"/>
        <v>10682.29779</v>
      </c>
      <c r="CT100" s="164">
        <f t="shared" si="83"/>
        <v>10727.34217</v>
      </c>
      <c r="CU100" s="164">
        <f t="shared" si="83"/>
        <v>10772.24822</v>
      </c>
      <c r="CV100" s="165"/>
      <c r="CW100" s="165"/>
      <c r="CX100" s="165"/>
      <c r="CY100" s="165"/>
      <c r="CZ100" s="165"/>
      <c r="DA100" s="165"/>
      <c r="DB100" s="165"/>
      <c r="DC100" s="165"/>
    </row>
    <row r="101" ht="15.75" customHeight="1">
      <c r="A101" s="146"/>
      <c r="B101" s="146"/>
      <c r="C101" s="160" t="s">
        <v>271</v>
      </c>
      <c r="D101" s="163">
        <f t="shared" ref="D101:CU101" si="84">(D94)-(D100)</f>
        <v>2343</v>
      </c>
      <c r="E101" s="163">
        <f t="shared" si="84"/>
        <v>1032</v>
      </c>
      <c r="F101" s="163">
        <f t="shared" si="84"/>
        <v>2268</v>
      </c>
      <c r="G101" s="163">
        <f t="shared" si="84"/>
        <v>1580</v>
      </c>
      <c r="H101" s="163">
        <f t="shared" si="84"/>
        <v>1989</v>
      </c>
      <c r="I101" s="163">
        <f t="shared" si="84"/>
        <v>1452</v>
      </c>
      <c r="J101" s="163">
        <f t="shared" si="84"/>
        <v>2074</v>
      </c>
      <c r="K101" s="163">
        <f t="shared" si="84"/>
        <v>1551</v>
      </c>
      <c r="L101" s="163">
        <f t="shared" si="84"/>
        <v>3105</v>
      </c>
      <c r="M101" s="163">
        <f t="shared" si="84"/>
        <v>1370</v>
      </c>
      <c r="N101" s="163">
        <f t="shared" si="84"/>
        <v>1902</v>
      </c>
      <c r="O101" s="163">
        <f t="shared" si="84"/>
        <v>1244</v>
      </c>
      <c r="P101" s="163">
        <f t="shared" si="84"/>
        <v>1163</v>
      </c>
      <c r="Q101" s="163">
        <f t="shared" si="84"/>
        <v>1285</v>
      </c>
      <c r="R101" s="163">
        <f t="shared" si="84"/>
        <v>1393</v>
      </c>
      <c r="S101" s="163">
        <f t="shared" si="84"/>
        <v>2284</v>
      </c>
      <c r="T101" s="163">
        <f t="shared" si="84"/>
        <v>987</v>
      </c>
      <c r="U101" s="163">
        <f t="shared" si="84"/>
        <v>1283</v>
      </c>
      <c r="V101" s="163">
        <f t="shared" si="84"/>
        <v>1665</v>
      </c>
      <c r="W101" s="163">
        <f t="shared" si="84"/>
        <v>941</v>
      </c>
      <c r="X101" s="163">
        <f t="shared" si="84"/>
        <v>2367</v>
      </c>
      <c r="Y101" s="163">
        <f t="shared" si="84"/>
        <v>1528</v>
      </c>
      <c r="Z101" s="163">
        <f t="shared" si="84"/>
        <v>1250</v>
      </c>
      <c r="AA101" s="163">
        <f t="shared" si="84"/>
        <v>843</v>
      </c>
      <c r="AB101" s="163">
        <f t="shared" si="84"/>
        <v>875</v>
      </c>
      <c r="AC101" s="163">
        <f t="shared" si="84"/>
        <v>1553</v>
      </c>
      <c r="AD101" s="163">
        <f t="shared" si="84"/>
        <v>319</v>
      </c>
      <c r="AE101" s="163">
        <f t="shared" si="84"/>
        <v>1165</v>
      </c>
      <c r="AF101" s="163">
        <f t="shared" si="84"/>
        <v>2492</v>
      </c>
      <c r="AG101" s="163">
        <f t="shared" si="84"/>
        <v>159</v>
      </c>
      <c r="AH101" s="164">
        <f t="shared" si="84"/>
        <v>189</v>
      </c>
      <c r="AI101" s="164">
        <f t="shared" si="84"/>
        <v>2122</v>
      </c>
      <c r="AJ101" s="164">
        <f t="shared" si="84"/>
        <v>1016</v>
      </c>
      <c r="AK101" s="164">
        <f t="shared" si="84"/>
        <v>938</v>
      </c>
      <c r="AL101" s="164">
        <f t="shared" si="84"/>
        <v>2998</v>
      </c>
      <c r="AM101" s="164">
        <f t="shared" si="84"/>
        <v>-3953.458507</v>
      </c>
      <c r="AN101" s="164">
        <f t="shared" si="84"/>
        <v>-4375.109896</v>
      </c>
      <c r="AO101" s="164">
        <f t="shared" si="84"/>
        <v>-4766.649177</v>
      </c>
      <c r="AP101" s="164">
        <f t="shared" si="84"/>
        <v>-5106.599915</v>
      </c>
      <c r="AQ101" s="164">
        <f t="shared" si="84"/>
        <v>-5418.297767</v>
      </c>
      <c r="AR101" s="164">
        <f t="shared" si="84"/>
        <v>-5716.557025</v>
      </c>
      <c r="AS101" s="164">
        <f t="shared" si="84"/>
        <v>-6006.490346</v>
      </c>
      <c r="AT101" s="164">
        <f t="shared" si="84"/>
        <v>-6259.70122</v>
      </c>
      <c r="AU101" s="164">
        <f t="shared" si="84"/>
        <v>-6501.503826</v>
      </c>
      <c r="AV101" s="164">
        <f t="shared" si="84"/>
        <v>-6732.515649</v>
      </c>
      <c r="AW101" s="164">
        <f t="shared" si="84"/>
        <v>-6942.4634</v>
      </c>
      <c r="AX101" s="164">
        <f t="shared" si="84"/>
        <v>-7146.275361</v>
      </c>
      <c r="AY101" s="164">
        <f t="shared" si="84"/>
        <v>-7348.802841</v>
      </c>
      <c r="AZ101" s="164">
        <f t="shared" si="84"/>
        <v>-7545.275947</v>
      </c>
      <c r="BA101" s="164">
        <f t="shared" si="84"/>
        <v>-7579.67022</v>
      </c>
      <c r="BB101" s="164">
        <f t="shared" si="84"/>
        <v>-7627.747242</v>
      </c>
      <c r="BC101" s="164">
        <f t="shared" si="84"/>
        <v>-7689.804187</v>
      </c>
      <c r="BD101" s="164">
        <f t="shared" si="84"/>
        <v>-7755.333295</v>
      </c>
      <c r="BE101" s="164">
        <f t="shared" si="84"/>
        <v>-7823.104497</v>
      </c>
      <c r="BF101" s="164">
        <f t="shared" si="84"/>
        <v>-7889.750151</v>
      </c>
      <c r="BG101" s="164">
        <f t="shared" si="84"/>
        <v>-7969.758914</v>
      </c>
      <c r="BH101" s="164">
        <f t="shared" si="84"/>
        <v>-8033.906561</v>
      </c>
      <c r="BI101" s="164">
        <f t="shared" si="84"/>
        <v>-8096.808654</v>
      </c>
      <c r="BJ101" s="164">
        <f t="shared" si="84"/>
        <v>-8158.521509</v>
      </c>
      <c r="BK101" s="164">
        <f t="shared" si="84"/>
        <v>-8219.105657</v>
      </c>
      <c r="BL101" s="164">
        <f t="shared" si="84"/>
        <v>-8350.422715</v>
      </c>
      <c r="BM101" s="164">
        <f t="shared" si="84"/>
        <v>-8448.246681</v>
      </c>
      <c r="BN101" s="164">
        <f t="shared" si="84"/>
        <v>-8542.328388</v>
      </c>
      <c r="BO101" s="164">
        <f t="shared" si="84"/>
        <v>-8633.320929</v>
      </c>
      <c r="BP101" s="164">
        <f t="shared" si="84"/>
        <v>-8721.656395</v>
      </c>
      <c r="BQ101" s="164">
        <f t="shared" si="84"/>
        <v>-8807.623944</v>
      </c>
      <c r="BR101" s="164">
        <f t="shared" si="84"/>
        <v>-8891.448331</v>
      </c>
      <c r="BS101" s="164">
        <f t="shared" si="84"/>
        <v>-8973.314822</v>
      </c>
      <c r="BT101" s="164">
        <f t="shared" si="84"/>
        <v>-9053.380794</v>
      </c>
      <c r="BU101" s="164">
        <f t="shared" si="84"/>
        <v>-9131.782656</v>
      </c>
      <c r="BV101" s="164">
        <f t="shared" si="84"/>
        <v>-9208.640528</v>
      </c>
      <c r="BW101" s="164">
        <f t="shared" si="84"/>
        <v>-9284.061596</v>
      </c>
      <c r="BX101" s="164">
        <f t="shared" si="84"/>
        <v>-9392.476577</v>
      </c>
      <c r="BY101" s="164">
        <f t="shared" si="84"/>
        <v>-9475.988876</v>
      </c>
      <c r="BZ101" s="164">
        <f t="shared" si="84"/>
        <v>-9551.179902</v>
      </c>
      <c r="CA101" s="164">
        <f t="shared" si="84"/>
        <v>-9624.500172</v>
      </c>
      <c r="CB101" s="164">
        <f t="shared" si="84"/>
        <v>-9697.088735</v>
      </c>
      <c r="CC101" s="164">
        <f t="shared" si="84"/>
        <v>-9768.985199</v>
      </c>
      <c r="CD101" s="164">
        <f t="shared" si="84"/>
        <v>-9840.248248</v>
      </c>
      <c r="CE101" s="164">
        <f t="shared" si="84"/>
        <v>-9910.933679</v>
      </c>
      <c r="CF101" s="164">
        <f t="shared" si="84"/>
        <v>-9981.093679</v>
      </c>
      <c r="CG101" s="164">
        <f t="shared" si="84"/>
        <v>-10050.7777</v>
      </c>
      <c r="CH101" s="164">
        <f t="shared" si="84"/>
        <v>-10120.03303</v>
      </c>
      <c r="CI101" s="164">
        <f t="shared" si="84"/>
        <v>-10188.90504</v>
      </c>
      <c r="CJ101" s="164">
        <f t="shared" si="84"/>
        <v>-10282.66752</v>
      </c>
      <c r="CK101" s="164">
        <f t="shared" si="84"/>
        <v>-10326.228</v>
      </c>
      <c r="CL101" s="164">
        <f t="shared" si="84"/>
        <v>-10367.74884</v>
      </c>
      <c r="CM101" s="164">
        <f t="shared" si="84"/>
        <v>-10411.32052</v>
      </c>
      <c r="CN101" s="164">
        <f t="shared" si="84"/>
        <v>-10456.02637</v>
      </c>
      <c r="CO101" s="164">
        <f t="shared" si="84"/>
        <v>-10501.1822</v>
      </c>
      <c r="CP101" s="164">
        <f t="shared" si="84"/>
        <v>-10546.5029</v>
      </c>
      <c r="CQ101" s="164">
        <f t="shared" si="84"/>
        <v>-10591.84371</v>
      </c>
      <c r="CR101" s="164">
        <f t="shared" si="84"/>
        <v>-10637.12383</v>
      </c>
      <c r="CS101" s="164">
        <f t="shared" si="84"/>
        <v>-10682.29779</v>
      </c>
      <c r="CT101" s="164">
        <f t="shared" si="84"/>
        <v>-10727.34217</v>
      </c>
      <c r="CU101" s="164">
        <f t="shared" si="84"/>
        <v>-10772.24822</v>
      </c>
      <c r="CV101" s="165"/>
      <c r="CW101" s="165"/>
      <c r="CX101" s="165"/>
      <c r="CY101" s="165"/>
      <c r="CZ101" s="165"/>
      <c r="DA101" s="165"/>
      <c r="DB101" s="165"/>
      <c r="DC101" s="165"/>
    </row>
    <row r="102" ht="15.75" customHeight="1">
      <c r="A102" s="146"/>
      <c r="B102" s="146"/>
      <c r="C102" s="160" t="s">
        <v>184</v>
      </c>
      <c r="D102" s="163">
        <f t="shared" ref="D102:CU102" si="85">(D86)+(D101)</f>
        <v>1139985</v>
      </c>
      <c r="E102" s="163">
        <f t="shared" si="85"/>
        <v>1105139</v>
      </c>
      <c r="F102" s="163">
        <f t="shared" si="85"/>
        <v>1070149</v>
      </c>
      <c r="G102" s="163">
        <f t="shared" si="85"/>
        <v>1210109</v>
      </c>
      <c r="H102" s="163">
        <f t="shared" si="85"/>
        <v>1372161</v>
      </c>
      <c r="I102" s="163">
        <f t="shared" si="85"/>
        <v>1233252</v>
      </c>
      <c r="J102" s="163">
        <f t="shared" si="85"/>
        <v>1167680</v>
      </c>
      <c r="K102" s="163">
        <f t="shared" si="85"/>
        <v>1096387</v>
      </c>
      <c r="L102" s="163">
        <f t="shared" si="85"/>
        <v>1126413</v>
      </c>
      <c r="M102" s="163">
        <f t="shared" si="85"/>
        <v>1068551</v>
      </c>
      <c r="N102" s="163">
        <f t="shared" si="85"/>
        <v>1137236</v>
      </c>
      <c r="O102" s="163">
        <f t="shared" si="85"/>
        <v>1181712</v>
      </c>
      <c r="P102" s="163">
        <f t="shared" si="85"/>
        <v>1024187</v>
      </c>
      <c r="Q102" s="163">
        <f t="shared" si="85"/>
        <v>1149497</v>
      </c>
      <c r="R102" s="163">
        <f t="shared" si="85"/>
        <v>1205448</v>
      </c>
      <c r="S102" s="163">
        <f t="shared" si="85"/>
        <v>1287658</v>
      </c>
      <c r="T102" s="163">
        <f t="shared" si="85"/>
        <v>1195382</v>
      </c>
      <c r="U102" s="163">
        <f t="shared" si="85"/>
        <v>1234006</v>
      </c>
      <c r="V102" s="163">
        <f t="shared" si="85"/>
        <v>1089204</v>
      </c>
      <c r="W102" s="163">
        <f t="shared" si="85"/>
        <v>923047</v>
      </c>
      <c r="X102" s="163">
        <f t="shared" si="85"/>
        <v>1105200</v>
      </c>
      <c r="Y102" s="163">
        <f t="shared" si="85"/>
        <v>1253594</v>
      </c>
      <c r="Z102" s="163">
        <f t="shared" si="85"/>
        <v>1120223</v>
      </c>
      <c r="AA102" s="163">
        <f t="shared" si="85"/>
        <v>1028448</v>
      </c>
      <c r="AB102" s="163">
        <f t="shared" si="85"/>
        <v>1260385</v>
      </c>
      <c r="AC102" s="163">
        <f t="shared" si="85"/>
        <v>1009970</v>
      </c>
      <c r="AD102" s="163">
        <f t="shared" si="85"/>
        <v>1131828</v>
      </c>
      <c r="AE102" s="163">
        <f t="shared" si="85"/>
        <v>1175074</v>
      </c>
      <c r="AF102" s="163">
        <f t="shared" si="85"/>
        <v>1271779</v>
      </c>
      <c r="AG102" s="163">
        <f t="shared" si="85"/>
        <v>1075785</v>
      </c>
      <c r="AH102" s="164">
        <f t="shared" si="85"/>
        <v>1232251</v>
      </c>
      <c r="AI102" s="164">
        <f t="shared" si="85"/>
        <v>1412269</v>
      </c>
      <c r="AJ102" s="164">
        <f t="shared" si="85"/>
        <v>1356869</v>
      </c>
      <c r="AK102" s="164">
        <f t="shared" si="85"/>
        <v>1174324</v>
      </c>
      <c r="AL102" s="164">
        <f t="shared" si="85"/>
        <v>1220588</v>
      </c>
      <c r="AM102" s="164">
        <f t="shared" si="85"/>
        <v>907412.0347</v>
      </c>
      <c r="AN102" s="164">
        <f t="shared" si="85"/>
        <v>1031588.096</v>
      </c>
      <c r="AO102" s="164">
        <f t="shared" si="85"/>
        <v>1129331.596</v>
      </c>
      <c r="AP102" s="164">
        <f t="shared" si="85"/>
        <v>1424655.61</v>
      </c>
      <c r="AQ102" s="164">
        <f t="shared" si="85"/>
        <v>1600356.082</v>
      </c>
      <c r="AR102" s="164">
        <f t="shared" si="85"/>
        <v>1671817.855</v>
      </c>
      <c r="AS102" s="164">
        <f t="shared" si="85"/>
        <v>1989368.612</v>
      </c>
      <c r="AT102" s="164">
        <f t="shared" si="85"/>
        <v>2016583.273</v>
      </c>
      <c r="AU102" s="164">
        <f t="shared" si="85"/>
        <v>2270441.859</v>
      </c>
      <c r="AV102" s="164">
        <f t="shared" si="85"/>
        <v>2282151.049</v>
      </c>
      <c r="AW102" s="164">
        <f t="shared" si="85"/>
        <v>2522962.104</v>
      </c>
      <c r="AX102" s="164">
        <f t="shared" si="85"/>
        <v>2648877.83</v>
      </c>
      <c r="AY102" s="164">
        <f t="shared" si="85"/>
        <v>2774867.077</v>
      </c>
      <c r="AZ102" s="164">
        <f t="shared" si="85"/>
        <v>2574326.406</v>
      </c>
      <c r="BA102" s="164">
        <f t="shared" si="85"/>
        <v>2824800.554</v>
      </c>
      <c r="BB102" s="164">
        <f t="shared" si="85"/>
        <v>2854523.012</v>
      </c>
      <c r="BC102" s="164">
        <f t="shared" si="85"/>
        <v>2908205.169</v>
      </c>
      <c r="BD102" s="164">
        <f t="shared" si="85"/>
        <v>2787084.786</v>
      </c>
      <c r="BE102" s="164">
        <f t="shared" si="85"/>
        <v>2968602.369</v>
      </c>
      <c r="BF102" s="164">
        <f t="shared" si="85"/>
        <v>2877321.439</v>
      </c>
      <c r="BG102" s="164">
        <f t="shared" si="85"/>
        <v>3030404.112</v>
      </c>
      <c r="BH102" s="164">
        <f t="shared" si="85"/>
        <v>2898197.263</v>
      </c>
      <c r="BI102" s="164">
        <f t="shared" si="85"/>
        <v>3072523.311</v>
      </c>
      <c r="BJ102" s="164">
        <f t="shared" si="85"/>
        <v>3107228.022</v>
      </c>
      <c r="BK102" s="164">
        <f t="shared" si="85"/>
        <v>3161985.185</v>
      </c>
      <c r="BL102" s="164">
        <f t="shared" si="85"/>
        <v>2933769.292</v>
      </c>
      <c r="BM102" s="164">
        <f t="shared" si="85"/>
        <v>3225252.392</v>
      </c>
      <c r="BN102" s="164">
        <f t="shared" si="85"/>
        <v>3280760.219</v>
      </c>
      <c r="BO102" s="164">
        <f t="shared" si="85"/>
        <v>3310274.045</v>
      </c>
      <c r="BP102" s="164">
        <f t="shared" si="85"/>
        <v>3154858.648</v>
      </c>
      <c r="BQ102" s="164">
        <f t="shared" si="85"/>
        <v>3352615.521</v>
      </c>
      <c r="BR102" s="164">
        <f t="shared" si="85"/>
        <v>3253582.71</v>
      </c>
      <c r="BS102" s="164">
        <f t="shared" si="85"/>
        <v>3414671.227</v>
      </c>
      <c r="BT102" s="164">
        <f t="shared" si="85"/>
        <v>3255614.62</v>
      </c>
      <c r="BU102" s="164">
        <f t="shared" si="85"/>
        <v>3414443.957</v>
      </c>
      <c r="BV102" s="164">
        <f t="shared" si="85"/>
        <v>3479242.319</v>
      </c>
      <c r="BW102" s="164">
        <f t="shared" si="85"/>
        <v>3505738.881</v>
      </c>
      <c r="BX102" s="164">
        <f t="shared" si="85"/>
        <v>3146659.417</v>
      </c>
      <c r="BY102" s="164">
        <f t="shared" si="85"/>
        <v>3257173.419</v>
      </c>
      <c r="BZ102" s="164">
        <f t="shared" si="85"/>
        <v>3220735.919</v>
      </c>
      <c r="CA102" s="164">
        <f t="shared" si="85"/>
        <v>3236075.282</v>
      </c>
      <c r="CB102" s="164">
        <f t="shared" si="85"/>
        <v>3017064.305</v>
      </c>
      <c r="CC102" s="164">
        <f t="shared" si="85"/>
        <v>3239115.718</v>
      </c>
      <c r="CD102" s="164">
        <f t="shared" si="85"/>
        <v>3112942.225</v>
      </c>
      <c r="CE102" s="164">
        <f t="shared" si="85"/>
        <v>3271555.874</v>
      </c>
      <c r="CF102" s="164">
        <f t="shared" si="85"/>
        <v>3052178.981</v>
      </c>
      <c r="CG102" s="164">
        <f t="shared" si="85"/>
        <v>3246113.12</v>
      </c>
      <c r="CH102" s="164">
        <f t="shared" si="85"/>
        <v>3258309.348</v>
      </c>
      <c r="CI102" s="164">
        <f t="shared" si="85"/>
        <v>3319278.751</v>
      </c>
      <c r="CJ102" s="164">
        <f t="shared" si="85"/>
        <v>2916347.633</v>
      </c>
      <c r="CK102" s="164">
        <f t="shared" si="85"/>
        <v>3197019.586</v>
      </c>
      <c r="CL102" s="164">
        <f t="shared" si="85"/>
        <v>3216259.672</v>
      </c>
      <c r="CM102" s="164">
        <f t="shared" si="85"/>
        <v>3231960.751</v>
      </c>
      <c r="CN102" s="164">
        <f t="shared" si="85"/>
        <v>2978651.55</v>
      </c>
      <c r="CO102" s="164">
        <f t="shared" si="85"/>
        <v>3163504.714</v>
      </c>
      <c r="CP102" s="164">
        <f t="shared" si="85"/>
        <v>3080668.266</v>
      </c>
      <c r="CQ102" s="164">
        <f t="shared" si="85"/>
        <v>3220549.65</v>
      </c>
      <c r="CR102" s="164">
        <f t="shared" si="85"/>
        <v>2940151.499</v>
      </c>
      <c r="CS102" s="164">
        <f t="shared" si="85"/>
        <v>3161502.928</v>
      </c>
      <c r="CT102" s="164">
        <f t="shared" si="85"/>
        <v>3165369.398</v>
      </c>
      <c r="CU102" s="164">
        <f t="shared" si="85"/>
        <v>3177659.046</v>
      </c>
      <c r="CV102" s="165"/>
      <c r="CW102" s="165"/>
      <c r="CX102" s="165"/>
      <c r="CY102" s="165"/>
      <c r="CZ102" s="165"/>
      <c r="DA102" s="165"/>
      <c r="DB102" s="165"/>
      <c r="DC102" s="165"/>
    </row>
    <row r="103" ht="15.75" customHeight="1">
      <c r="A103" s="146"/>
      <c r="B103" s="146"/>
      <c r="C103" s="160"/>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c r="AA103" s="146"/>
      <c r="AB103" s="146"/>
      <c r="AC103" s="146"/>
      <c r="AD103" s="146"/>
      <c r="AE103" s="146"/>
      <c r="AF103" s="146"/>
      <c r="AG103" s="146"/>
      <c r="AH103" s="144"/>
      <c r="AI103" s="144"/>
      <c r="AJ103" s="144"/>
      <c r="AK103" s="144"/>
      <c r="AL103" s="144"/>
      <c r="AM103" s="144"/>
      <c r="AN103" s="144"/>
      <c r="AO103" s="144"/>
      <c r="AP103" s="144"/>
      <c r="AQ103" s="144"/>
      <c r="AR103" s="144"/>
      <c r="AS103" s="144"/>
      <c r="AT103" s="144"/>
      <c r="AU103" s="144"/>
      <c r="AV103" s="144"/>
      <c r="AW103" s="144"/>
      <c r="AX103" s="144"/>
      <c r="AY103" s="144"/>
      <c r="AZ103" s="144"/>
      <c r="BA103" s="144"/>
      <c r="BB103" s="144"/>
      <c r="BC103" s="144"/>
      <c r="BD103" s="144"/>
      <c r="BE103" s="144"/>
      <c r="BF103" s="144"/>
      <c r="BG103" s="144"/>
      <c r="BH103" s="144"/>
      <c r="BI103" s="144"/>
      <c r="BJ103" s="144"/>
      <c r="BK103" s="144"/>
      <c r="BL103" s="144"/>
      <c r="BM103" s="144"/>
      <c r="BN103" s="144"/>
      <c r="BO103" s="144"/>
      <c r="BP103" s="144"/>
      <c r="BQ103" s="144"/>
      <c r="BR103" s="144"/>
      <c r="BS103" s="144"/>
      <c r="BT103" s="144"/>
      <c r="BU103" s="144"/>
      <c r="BV103" s="144"/>
      <c r="BW103" s="144"/>
      <c r="BX103" s="144"/>
      <c r="BY103" s="144"/>
      <c r="BZ103" s="144"/>
      <c r="CA103" s="144"/>
      <c r="CB103" s="144"/>
      <c r="CC103" s="144"/>
      <c r="CD103" s="144"/>
      <c r="CE103" s="144"/>
      <c r="CF103" s="144"/>
      <c r="CG103" s="144"/>
      <c r="CH103" s="144"/>
      <c r="CI103" s="144"/>
      <c r="CJ103" s="144"/>
      <c r="CK103" s="144"/>
      <c r="CL103" s="144"/>
      <c r="CM103" s="144"/>
      <c r="CN103" s="144"/>
      <c r="CO103" s="144"/>
      <c r="CP103" s="144"/>
      <c r="CQ103" s="144"/>
      <c r="CR103" s="144"/>
      <c r="CS103" s="144"/>
      <c r="CT103" s="144"/>
      <c r="CU103" s="144"/>
      <c r="CV103" s="144"/>
      <c r="CW103" s="144"/>
      <c r="CX103" s="144"/>
      <c r="CY103" s="144"/>
      <c r="CZ103" s="144"/>
      <c r="DA103" s="144"/>
      <c r="DB103" s="144"/>
      <c r="DC103" s="144"/>
    </row>
    <row r="104" ht="15.75" customHeight="1">
      <c r="A104" s="144"/>
      <c r="B104" s="144"/>
      <c r="C104" s="144" t="s">
        <v>25</v>
      </c>
      <c r="D104" s="144">
        <v>340662.0</v>
      </c>
      <c r="E104" s="144">
        <v>526807.0</v>
      </c>
      <c r="F104" s="144">
        <v>571375.0</v>
      </c>
      <c r="G104" s="144">
        <v>550677.0</v>
      </c>
      <c r="H104" s="144">
        <v>530714.0</v>
      </c>
      <c r="I104" s="144">
        <v>601915.0</v>
      </c>
      <c r="J104" s="144">
        <v>517584.0</v>
      </c>
      <c r="K104" s="144">
        <v>504924.0</v>
      </c>
      <c r="L104" s="144">
        <v>528497.0</v>
      </c>
      <c r="M104" s="144">
        <v>534983.0</v>
      </c>
      <c r="N104" s="144">
        <v>566924.0</v>
      </c>
      <c r="O104" s="144">
        <v>621954.0</v>
      </c>
      <c r="P104" s="144">
        <v>642904.0</v>
      </c>
      <c r="Q104" s="144">
        <v>758086.0</v>
      </c>
      <c r="R104" s="144">
        <v>912439.0</v>
      </c>
      <c r="S104" s="144">
        <v>984710.0</v>
      </c>
      <c r="T104" s="144">
        <v>1100849.0</v>
      </c>
      <c r="U104" s="144">
        <v>1057784.0</v>
      </c>
      <c r="V104" s="144">
        <v>1158092.0</v>
      </c>
      <c r="W104" s="144">
        <v>1370636.0</v>
      </c>
      <c r="X104" s="144">
        <v>1504091.0</v>
      </c>
      <c r="Y104" s="144">
        <v>1654146.0</v>
      </c>
      <c r="Z104" s="144">
        <v>1696470.0</v>
      </c>
      <c r="AA104" s="144">
        <v>1610245.0</v>
      </c>
      <c r="AB104" s="144">
        <v>1553561.0</v>
      </c>
      <c r="AC104" s="144">
        <v>1663259.0</v>
      </c>
      <c r="AD104" s="144">
        <v>1725056.0</v>
      </c>
      <c r="AE104" s="144">
        <v>1770010.0</v>
      </c>
      <c r="AF104" s="144">
        <v>1914845.0</v>
      </c>
      <c r="AG104" s="144">
        <v>1953057.0</v>
      </c>
      <c r="AH104" s="144">
        <f t="shared" ref="AH104:CU104" si="86">AH22</f>
        <v>1323566</v>
      </c>
      <c r="AI104" s="144">
        <f t="shared" si="86"/>
        <v>1496054</v>
      </c>
      <c r="AJ104" s="144">
        <f t="shared" si="86"/>
        <v>1451527</v>
      </c>
      <c r="AK104" s="144">
        <f t="shared" si="86"/>
        <v>1263151</v>
      </c>
      <c r="AL104" s="144">
        <f t="shared" si="86"/>
        <v>1309094</v>
      </c>
      <c r="AM104" s="144">
        <f t="shared" si="86"/>
        <v>1415790.631</v>
      </c>
      <c r="AN104" s="144">
        <f t="shared" si="86"/>
        <v>1667456.392</v>
      </c>
      <c r="AO104" s="144">
        <f t="shared" si="86"/>
        <v>1916164.307</v>
      </c>
      <c r="AP104" s="144">
        <f t="shared" si="86"/>
        <v>2143927.895</v>
      </c>
      <c r="AQ104" s="144">
        <f t="shared" si="86"/>
        <v>2362030.523</v>
      </c>
      <c r="AR104" s="144">
        <f t="shared" si="86"/>
        <v>2578733.721</v>
      </c>
      <c r="AS104" s="144">
        <f t="shared" si="86"/>
        <v>2796714.82</v>
      </c>
      <c r="AT104" s="144">
        <f t="shared" si="86"/>
        <v>2993212.987</v>
      </c>
      <c r="AU104" s="144">
        <f t="shared" si="86"/>
        <v>3185918.325</v>
      </c>
      <c r="AV104" s="144">
        <f t="shared" si="86"/>
        <v>3374588.725</v>
      </c>
      <c r="AW104" s="144">
        <f t="shared" si="86"/>
        <v>3549978.171</v>
      </c>
      <c r="AX104" s="144">
        <f t="shared" si="86"/>
        <v>3723674.445</v>
      </c>
      <c r="AY104" s="144">
        <f t="shared" si="86"/>
        <v>3899557.769</v>
      </c>
      <c r="AZ104" s="144">
        <f t="shared" si="86"/>
        <v>4073318.095</v>
      </c>
      <c r="BA104" s="144">
        <f t="shared" si="86"/>
        <v>4104264.349</v>
      </c>
      <c r="BB104" s="144">
        <f t="shared" si="86"/>
        <v>4147652.518</v>
      </c>
      <c r="BC104" s="144">
        <f t="shared" si="86"/>
        <v>4203892.505</v>
      </c>
      <c r="BD104" s="144">
        <f t="shared" si="86"/>
        <v>4263598.691</v>
      </c>
      <c r="BE104" s="144">
        <f t="shared" si="86"/>
        <v>4325695.573</v>
      </c>
      <c r="BF104" s="144">
        <f t="shared" si="86"/>
        <v>4387113.817</v>
      </c>
      <c r="BG104" s="144">
        <f t="shared" si="86"/>
        <v>4461262.247</v>
      </c>
      <c r="BH104" s="144">
        <f t="shared" si="86"/>
        <v>4521109.201</v>
      </c>
      <c r="BI104" s="144">
        <f t="shared" si="86"/>
        <v>4580106.491</v>
      </c>
      <c r="BJ104" s="144">
        <f t="shared" si="86"/>
        <v>4638288.148</v>
      </c>
      <c r="BK104" s="144">
        <f t="shared" si="86"/>
        <v>4695693.717</v>
      </c>
      <c r="BL104" s="144">
        <f t="shared" si="86"/>
        <v>4820732.602</v>
      </c>
      <c r="BM104" s="144">
        <f t="shared" si="86"/>
        <v>4914856.216</v>
      </c>
      <c r="BN104" s="144">
        <f t="shared" si="86"/>
        <v>5006077.918</v>
      </c>
      <c r="BO104" s="144">
        <f t="shared" si="86"/>
        <v>5094952.155</v>
      </c>
      <c r="BP104" s="144">
        <f t="shared" si="86"/>
        <v>5181837.409</v>
      </c>
      <c r="BQ104" s="144">
        <f t="shared" si="86"/>
        <v>5266964.562</v>
      </c>
      <c r="BR104" s="144">
        <f t="shared" si="86"/>
        <v>5350509.62</v>
      </c>
      <c r="BS104" s="144">
        <f t="shared" si="86"/>
        <v>5432616.125</v>
      </c>
      <c r="BT104" s="144">
        <f t="shared" si="86"/>
        <v>5513405.239</v>
      </c>
      <c r="BU104" s="144">
        <f t="shared" si="86"/>
        <v>5592981.632</v>
      </c>
      <c r="BV104" s="144">
        <f t="shared" si="86"/>
        <v>5671437.41</v>
      </c>
      <c r="BW104" s="144">
        <f t="shared" si="86"/>
        <v>5748854.893</v>
      </c>
      <c r="BX104" s="144">
        <f t="shared" si="86"/>
        <v>5860742.345</v>
      </c>
      <c r="BY104" s="144">
        <f t="shared" si="86"/>
        <v>5947592.72</v>
      </c>
      <c r="BZ104" s="144">
        <f t="shared" si="86"/>
        <v>6026248.645</v>
      </c>
      <c r="CA104" s="144">
        <f t="shared" si="86"/>
        <v>6103350.145</v>
      </c>
      <c r="CB104" s="144">
        <f t="shared" si="86"/>
        <v>6180069.871</v>
      </c>
      <c r="CC104" s="144">
        <f t="shared" si="86"/>
        <v>6256437.323</v>
      </c>
      <c r="CD104" s="144">
        <f t="shared" si="86"/>
        <v>6332503.361</v>
      </c>
      <c r="CE104" s="144">
        <f t="shared" si="86"/>
        <v>6408317.12</v>
      </c>
      <c r="CF104" s="144">
        <f t="shared" si="86"/>
        <v>6483925.121</v>
      </c>
      <c r="CG104" s="144">
        <f t="shared" si="86"/>
        <v>6559372.097</v>
      </c>
      <c r="CH104" s="144">
        <f t="shared" si="86"/>
        <v>6634701.496</v>
      </c>
      <c r="CI104" s="144">
        <f t="shared" si="86"/>
        <v>6709955.734</v>
      </c>
      <c r="CJ104" s="144">
        <f t="shared" si="86"/>
        <v>6812868.679</v>
      </c>
      <c r="CK104" s="144">
        <f t="shared" si="86"/>
        <v>6860970.95</v>
      </c>
      <c r="CL104" s="144">
        <f t="shared" si="86"/>
        <v>6906949.871</v>
      </c>
      <c r="CM104" s="144">
        <f t="shared" si="86"/>
        <v>6955328.654</v>
      </c>
      <c r="CN104" s="144">
        <f t="shared" si="86"/>
        <v>7005105.221</v>
      </c>
      <c r="CO104" s="144">
        <f t="shared" si="86"/>
        <v>7055526.11</v>
      </c>
      <c r="CP104" s="144">
        <f t="shared" si="86"/>
        <v>7106276.176</v>
      </c>
      <c r="CQ104" s="144">
        <f t="shared" si="86"/>
        <v>7157194.211</v>
      </c>
      <c r="CR104" s="144">
        <f t="shared" si="86"/>
        <v>7208189.201</v>
      </c>
      <c r="CS104" s="144">
        <f t="shared" si="86"/>
        <v>7259209.016</v>
      </c>
      <c r="CT104" s="144">
        <f t="shared" si="86"/>
        <v>7310225.906</v>
      </c>
      <c r="CU104" s="144">
        <f t="shared" si="86"/>
        <v>7361228.504</v>
      </c>
      <c r="CV104" s="144"/>
      <c r="CW104" s="144"/>
      <c r="CX104" s="144"/>
      <c r="CY104" s="144"/>
      <c r="CZ104" s="144"/>
      <c r="DA104" s="144"/>
      <c r="DB104" s="144"/>
      <c r="DC104" s="144"/>
    </row>
    <row r="105" ht="15.7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44"/>
      <c r="AS105" s="144"/>
      <c r="AT105" s="144"/>
      <c r="AU105" s="144"/>
      <c r="AV105" s="144"/>
      <c r="AW105" s="144"/>
      <c r="AX105" s="144"/>
      <c r="AY105" s="144"/>
      <c r="AZ105" s="144"/>
      <c r="BA105" s="144"/>
      <c r="BB105" s="144"/>
      <c r="BC105" s="144"/>
      <c r="BD105" s="144"/>
      <c r="BE105" s="144"/>
      <c r="BF105" s="144"/>
      <c r="BG105" s="144"/>
      <c r="BH105" s="144"/>
      <c r="BI105" s="144"/>
      <c r="BJ105" s="144"/>
      <c r="BK105" s="144"/>
      <c r="BL105" s="144"/>
      <c r="BM105" s="144"/>
      <c r="BN105" s="144"/>
      <c r="BO105" s="144"/>
      <c r="BP105" s="144"/>
      <c r="BQ105" s="144"/>
      <c r="BR105" s="144"/>
      <c r="BS105" s="144"/>
      <c r="BT105" s="144"/>
      <c r="BU105" s="144"/>
      <c r="BV105" s="144"/>
      <c r="BW105" s="144"/>
      <c r="BX105" s="144"/>
      <c r="BY105" s="144"/>
      <c r="BZ105" s="144"/>
      <c r="CA105" s="144"/>
      <c r="CB105" s="144"/>
      <c r="CC105" s="144"/>
      <c r="CD105" s="144"/>
      <c r="CE105" s="144"/>
      <c r="CF105" s="144"/>
      <c r="CG105" s="144"/>
      <c r="CH105" s="144"/>
      <c r="CI105" s="144"/>
      <c r="CJ105" s="144"/>
      <c r="CK105" s="144"/>
      <c r="CL105" s="144"/>
      <c r="CM105" s="144"/>
      <c r="CN105" s="144"/>
      <c r="CO105" s="144"/>
      <c r="CP105" s="144"/>
      <c r="CQ105" s="144"/>
      <c r="CR105" s="144"/>
      <c r="CS105" s="144"/>
      <c r="CT105" s="144"/>
      <c r="CU105" s="144"/>
      <c r="CV105" s="144"/>
      <c r="CW105" s="144"/>
      <c r="CX105" s="144"/>
      <c r="CY105" s="144"/>
      <c r="CZ105" s="144"/>
      <c r="DA105" s="144"/>
      <c r="DB105" s="144"/>
      <c r="DC105" s="144"/>
    </row>
    <row r="106" ht="15.75" customHeight="1">
      <c r="A106" s="144"/>
      <c r="B106" s="144"/>
      <c r="C106" s="175" t="s">
        <v>31</v>
      </c>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f>(55000+36000)/36</f>
        <v>2527.777778</v>
      </c>
      <c r="AN106" s="144"/>
      <c r="AO106" s="144"/>
      <c r="AP106" s="144"/>
      <c r="AQ106" s="144"/>
      <c r="AR106" s="144"/>
      <c r="AS106" s="144"/>
      <c r="AT106" s="144"/>
      <c r="AU106" s="144"/>
      <c r="AV106" s="144"/>
      <c r="AW106" s="144"/>
      <c r="AX106" s="144"/>
      <c r="AY106" s="144"/>
      <c r="AZ106" s="144"/>
      <c r="BA106" s="144"/>
      <c r="BB106" s="144"/>
      <c r="BC106" s="144"/>
      <c r="BD106" s="144"/>
      <c r="BE106" s="144"/>
      <c r="BF106" s="144"/>
      <c r="BG106" s="144"/>
      <c r="BH106" s="144"/>
      <c r="BI106" s="144"/>
      <c r="BJ106" s="144"/>
      <c r="BK106" s="144"/>
      <c r="BL106" s="144"/>
      <c r="BM106" s="144"/>
      <c r="BN106" s="144"/>
      <c r="BO106" s="144"/>
      <c r="BP106" s="144"/>
      <c r="BQ106" s="144"/>
      <c r="BR106" s="144"/>
      <c r="BS106" s="144"/>
      <c r="BT106" s="144"/>
      <c r="BU106" s="144"/>
      <c r="BV106" s="144"/>
      <c r="BW106" s="144"/>
      <c r="BX106" s="144"/>
      <c r="BY106" s="144"/>
      <c r="BZ106" s="144"/>
      <c r="CA106" s="144"/>
      <c r="CB106" s="144"/>
      <c r="CC106" s="144"/>
      <c r="CD106" s="144"/>
      <c r="CE106" s="144"/>
      <c r="CF106" s="144"/>
      <c r="CG106" s="144"/>
      <c r="CH106" s="144"/>
      <c r="CI106" s="144"/>
      <c r="CJ106" s="144"/>
      <c r="CK106" s="144"/>
      <c r="CL106" s="144"/>
      <c r="CM106" s="144"/>
      <c r="CN106" s="144"/>
      <c r="CO106" s="144"/>
      <c r="CP106" s="144"/>
      <c r="CQ106" s="144"/>
      <c r="CR106" s="144"/>
      <c r="CS106" s="144"/>
      <c r="CT106" s="144"/>
      <c r="CU106" s="144"/>
      <c r="CV106" s="144"/>
      <c r="CW106" s="144"/>
      <c r="CX106" s="144"/>
      <c r="CY106" s="144"/>
      <c r="CZ106" s="144"/>
      <c r="DA106" s="144"/>
      <c r="DB106" s="144"/>
      <c r="DC106" s="144"/>
    </row>
    <row r="107" ht="15.7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c r="AX107" s="144"/>
      <c r="AY107" s="144"/>
      <c r="AZ107" s="144"/>
      <c r="BA107" s="144"/>
      <c r="BB107" s="144"/>
      <c r="BC107" s="144"/>
      <c r="BD107" s="144"/>
      <c r="BE107" s="144"/>
      <c r="BF107" s="144"/>
      <c r="BG107" s="144"/>
      <c r="BH107" s="144"/>
      <c r="BI107" s="144"/>
      <c r="BJ107" s="144"/>
      <c r="BK107" s="144"/>
      <c r="BL107" s="144"/>
      <c r="BM107" s="144"/>
      <c r="BN107" s="144"/>
      <c r="BO107" s="144"/>
      <c r="BP107" s="144"/>
      <c r="BQ107" s="144"/>
      <c r="BR107" s="144"/>
      <c r="BS107" s="144"/>
      <c r="BT107" s="144"/>
      <c r="BU107" s="144"/>
      <c r="BV107" s="144"/>
      <c r="BW107" s="144"/>
      <c r="BX107" s="144"/>
      <c r="BY107" s="144"/>
      <c r="BZ107" s="144"/>
      <c r="CA107" s="144"/>
      <c r="CB107" s="144"/>
      <c r="CC107" s="144"/>
      <c r="CD107" s="144"/>
      <c r="CE107" s="144"/>
      <c r="CF107" s="144"/>
      <c r="CG107" s="144"/>
      <c r="CH107" s="144"/>
      <c r="CI107" s="144"/>
      <c r="CJ107" s="144"/>
      <c r="CK107" s="144"/>
      <c r="CL107" s="144"/>
      <c r="CM107" s="144"/>
      <c r="CN107" s="144"/>
      <c r="CO107" s="144"/>
      <c r="CP107" s="144"/>
      <c r="CQ107" s="144"/>
      <c r="CR107" s="144"/>
      <c r="CS107" s="144"/>
      <c r="CT107" s="144"/>
      <c r="CU107" s="144"/>
      <c r="CV107" s="144"/>
      <c r="CW107" s="144"/>
      <c r="CX107" s="144"/>
      <c r="CY107" s="144"/>
      <c r="CZ107" s="144"/>
      <c r="DA107" s="144"/>
      <c r="DB107" s="144"/>
      <c r="DC107" s="144"/>
    </row>
    <row r="108" ht="15.75" customHeight="1">
      <c r="A108" s="144"/>
      <c r="B108" s="144"/>
      <c r="C108" s="145" t="s">
        <v>119</v>
      </c>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4"/>
      <c r="AU108" s="144"/>
      <c r="AV108" s="144"/>
      <c r="AW108" s="144"/>
      <c r="AX108" s="144"/>
      <c r="AY108" s="144"/>
      <c r="AZ108" s="144"/>
      <c r="BA108" s="144"/>
      <c r="BB108" s="144"/>
      <c r="BC108" s="144"/>
      <c r="BD108" s="144"/>
      <c r="BE108" s="144"/>
      <c r="BF108" s="144"/>
      <c r="BG108" s="144"/>
      <c r="BH108" s="144"/>
      <c r="BI108" s="144"/>
      <c r="BJ108" s="144"/>
      <c r="BK108" s="144"/>
      <c r="BL108" s="144"/>
      <c r="BM108" s="144"/>
      <c r="BN108" s="144"/>
      <c r="BO108" s="144"/>
      <c r="BP108" s="144"/>
      <c r="BQ108" s="144"/>
      <c r="BR108" s="144"/>
      <c r="BS108" s="144"/>
      <c r="BT108" s="144"/>
      <c r="BU108" s="144"/>
      <c r="BV108" s="144"/>
      <c r="BW108" s="144"/>
      <c r="BX108" s="144"/>
      <c r="BY108" s="144"/>
      <c r="BZ108" s="144"/>
      <c r="CA108" s="144"/>
      <c r="CB108" s="144"/>
      <c r="CC108" s="144"/>
      <c r="CD108" s="144"/>
      <c r="CE108" s="144"/>
      <c r="CF108" s="144"/>
      <c r="CG108" s="144"/>
      <c r="CH108" s="144"/>
      <c r="CI108" s="144"/>
      <c r="CJ108" s="144"/>
      <c r="CK108" s="144"/>
      <c r="CL108" s="144"/>
      <c r="CM108" s="144"/>
      <c r="CN108" s="144"/>
      <c r="CO108" s="144"/>
      <c r="CP108" s="144"/>
      <c r="CQ108" s="144"/>
      <c r="CR108" s="144"/>
      <c r="CS108" s="144"/>
      <c r="CT108" s="144"/>
      <c r="CU108" s="144"/>
      <c r="CV108" s="144"/>
      <c r="CW108" s="144"/>
      <c r="CX108" s="144"/>
      <c r="CY108" s="144"/>
      <c r="CZ108" s="144"/>
      <c r="DA108" s="144"/>
      <c r="DB108" s="144"/>
      <c r="DC108" s="144"/>
    </row>
    <row r="109" ht="15.7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4"/>
      <c r="CA109" s="144"/>
      <c r="CB109" s="144"/>
      <c r="CC109" s="144"/>
      <c r="CD109" s="144"/>
      <c r="CE109" s="144"/>
      <c r="CF109" s="144"/>
      <c r="CG109" s="144"/>
      <c r="CH109" s="144"/>
      <c r="CI109" s="144"/>
      <c r="CJ109" s="144"/>
      <c r="CK109" s="144"/>
      <c r="CL109" s="144"/>
      <c r="CM109" s="144"/>
      <c r="CN109" s="144"/>
      <c r="CO109" s="144"/>
      <c r="CP109" s="144"/>
      <c r="CQ109" s="144"/>
      <c r="CR109" s="144"/>
      <c r="CS109" s="144"/>
      <c r="CT109" s="144"/>
      <c r="CU109" s="144"/>
      <c r="CV109" s="144"/>
      <c r="CW109" s="144"/>
      <c r="CX109" s="144"/>
      <c r="CY109" s="144"/>
      <c r="CZ109" s="144"/>
      <c r="DA109" s="144"/>
      <c r="DB109" s="144"/>
      <c r="DC109" s="144"/>
    </row>
    <row r="110" ht="15.75" customHeight="1">
      <c r="A110" s="144" t="s">
        <v>119</v>
      </c>
      <c r="B110" s="144"/>
      <c r="C110" s="144" t="s">
        <v>175</v>
      </c>
      <c r="D110" s="144"/>
      <c r="E110" s="144"/>
      <c r="F110" s="144"/>
      <c r="G110" s="144"/>
      <c r="H110" s="144"/>
      <c r="I110" s="144"/>
      <c r="J110" s="144"/>
      <c r="K110" s="144"/>
      <c r="L110" s="144"/>
      <c r="M110" s="144"/>
      <c r="N110" s="144"/>
      <c r="O110" s="144"/>
      <c r="P110" s="162">
        <v>68469.0</v>
      </c>
      <c r="Q110" s="162">
        <v>38130.0</v>
      </c>
      <c r="R110" s="162">
        <v>63880.0</v>
      </c>
      <c r="S110" s="162">
        <v>73221.0</v>
      </c>
      <c r="T110" s="162">
        <v>51270.0</v>
      </c>
      <c r="U110" s="162">
        <v>58789.0</v>
      </c>
      <c r="V110" s="162">
        <v>38432.0</v>
      </c>
      <c r="W110" s="162">
        <v>48131.0</v>
      </c>
      <c r="X110" s="162">
        <v>48365.0</v>
      </c>
      <c r="Y110" s="162">
        <v>47874.0</v>
      </c>
      <c r="Z110" s="162">
        <v>48056.0</v>
      </c>
      <c r="AA110" s="162">
        <v>81439.0</v>
      </c>
      <c r="AB110" s="162">
        <v>79696.0</v>
      </c>
      <c r="AC110" s="162">
        <v>71245.0</v>
      </c>
      <c r="AD110" s="162">
        <v>102693.0</v>
      </c>
      <c r="AE110" s="162">
        <v>98742.0</v>
      </c>
      <c r="AF110" s="162">
        <v>164776.0</v>
      </c>
      <c r="AG110" s="162">
        <v>133417.0</v>
      </c>
      <c r="AH110" s="162">
        <f>SUMIFS('Opex Departments'!V:V,'Opex Departments'!$B:$B,$C110,'Opex Departments'!$A:$A,$A110)</f>
        <v>22846</v>
      </c>
      <c r="AI110" s="162">
        <f>SUMIFS('Opex Departments'!W:W,'Opex Departments'!$B:$B,$C110,'Opex Departments'!$A:$A,$A110)</f>
        <v>15787</v>
      </c>
      <c r="AJ110" s="162">
        <f>SUMIFS('Opex Departments'!X:X,'Opex Departments'!$B:$B,$C110,'Opex Departments'!$A:$A,$A110)</f>
        <v>14252</v>
      </c>
      <c r="AK110" s="162">
        <f>SUMIFS('Opex Departments'!Y:Y,'Opex Departments'!$B:$B,$C110,'Opex Departments'!$A:$A,$A110)</f>
        <v>16027</v>
      </c>
      <c r="AL110" s="162">
        <f>SUMIFS('Opex Departments'!Z:Z,'Opex Departments'!$B:$B,$C110,'Opex Departments'!$A:$A,$A110)</f>
        <v>20651</v>
      </c>
      <c r="AM110" s="162">
        <f>SUMIFS('Opex Departments'!AA:AA,'Opex Departments'!$B:$B,$C110,'Opex Departments'!$A:$A,$A110)</f>
        <v>206024.2789</v>
      </c>
      <c r="AN110" s="162">
        <f>SUMIFS('Opex Departments'!AB:AB,'Opex Departments'!$B:$B,$C110,'Opex Departments'!$A:$A,$A110)</f>
        <v>221133.3999</v>
      </c>
      <c r="AO110" s="162">
        <f>SUMIFS('Opex Departments'!AC:AC,'Opex Departments'!$B:$B,$C110,'Opex Departments'!$A:$A,$A110)</f>
        <v>274695.0927</v>
      </c>
      <c r="AP110" s="162">
        <f>SUMIFS('Opex Departments'!AD:AD,'Opex Departments'!$B:$B,$C110,'Opex Departments'!$A:$A,$A110)</f>
        <v>324697.3167</v>
      </c>
      <c r="AQ110" s="162">
        <f>SUMIFS('Opex Departments'!AE:AE,'Opex Departments'!$B:$B,$C110,'Opex Departments'!$A:$A,$A110)</f>
        <v>379150.3402</v>
      </c>
      <c r="AR110" s="162">
        <f>SUMIFS('Opex Departments'!AF:AF,'Opex Departments'!$B:$B,$C110,'Opex Departments'!$A:$A,$A110)</f>
        <v>396031.7377</v>
      </c>
      <c r="AS110" s="162">
        <f>SUMIFS('Opex Departments'!AG:AG,'Opex Departments'!$B:$B,$C110,'Opex Departments'!$A:$A,$A110)</f>
        <v>395560.2504</v>
      </c>
      <c r="AT110" s="162">
        <f>SUMIFS('Opex Departments'!AH:AH,'Opex Departments'!$B:$B,$C110,'Opex Departments'!$A:$A,$A110)</f>
        <v>395930.6579</v>
      </c>
      <c r="AU110" s="162">
        <f>SUMIFS('Opex Departments'!AI:AI,'Opex Departments'!$B:$B,$C110,'Opex Departments'!$A:$A,$A110)</f>
        <v>395840.882</v>
      </c>
      <c r="AV110" s="162">
        <f>SUMIFS('Opex Departments'!AJ:AJ,'Opex Departments'!$B:$B,$C110,'Opex Departments'!$A:$A,$A110)</f>
        <v>413587.2403</v>
      </c>
      <c r="AW110" s="162">
        <f>SUMIFS('Opex Departments'!AK:AK,'Opex Departments'!$B:$B,$C110,'Opex Departments'!$A:$A,$A110)</f>
        <v>413661.716</v>
      </c>
      <c r="AX110" s="162">
        <f>SUMIFS('Opex Departments'!AL:AL,'Opex Departments'!$B:$B,$C110,'Opex Departments'!$A:$A,$A110)</f>
        <v>413633.9421</v>
      </c>
      <c r="AY110" s="162">
        <f>SUMIFS('Opex Departments'!AM:AM,'Opex Departments'!$B:$B,$C110,'Opex Departments'!$A:$A,$A110)</f>
        <v>413627.6328</v>
      </c>
      <c r="AZ110" s="162">
        <f>SUMIFS('Opex Departments'!AN:AN,'Opex Departments'!$B:$B,$C110,'Opex Departments'!$A:$A,$A110)</f>
        <v>430186.7408</v>
      </c>
      <c r="BA110" s="162">
        <f>SUMIFS('Opex Departments'!AO:AO,'Opex Departments'!$B:$B,$C110,'Opex Departments'!$A:$A,$A110)</f>
        <v>430179.687</v>
      </c>
      <c r="BB110" s="162">
        <f>SUMIFS('Opex Departments'!AP:AP,'Opex Departments'!$B:$B,$C110,'Opex Departments'!$A:$A,$A110)</f>
        <v>430179.8127</v>
      </c>
      <c r="BC110" s="162">
        <f>SUMIFS('Opex Departments'!AQ:AQ,'Opex Departments'!$B:$B,$C110,'Opex Departments'!$A:$A,$A110)</f>
        <v>430182.0802</v>
      </c>
      <c r="BD110" s="162">
        <f>SUMIFS('Opex Departments'!AR:AR,'Opex Departments'!$B:$B,$C110,'Opex Departments'!$A:$A,$A110)</f>
        <v>447387.7477</v>
      </c>
      <c r="BE110" s="162">
        <f>SUMIFS('Opex Departments'!AS:AS,'Opex Departments'!$B:$B,$C110,'Opex Departments'!$A:$A,$A110)</f>
        <v>447388.0349</v>
      </c>
      <c r="BF110" s="162">
        <f>SUMIFS('Opex Departments'!AT:AT,'Opex Departments'!$B:$B,$C110,'Opex Departments'!$A:$A,$A110)</f>
        <v>447388.3692</v>
      </c>
      <c r="BG110" s="162">
        <f>SUMIFS('Opex Departments'!AU:AU,'Opex Departments'!$B:$B,$C110,'Opex Departments'!$A:$A,$A110)</f>
        <v>447388.0506</v>
      </c>
      <c r="BH110" s="162">
        <f>SUMIFS('Opex Departments'!AV:AV,'Opex Departments'!$B:$B,$C110,'Opex Departments'!$A:$A,$A110)</f>
        <v>465283.6776</v>
      </c>
      <c r="BI110" s="162">
        <f>SUMIFS('Opex Departments'!AW:AW,'Opex Departments'!$B:$B,$C110,'Opex Departments'!$A:$A,$A110)</f>
        <v>465283.7176</v>
      </c>
      <c r="BJ110" s="162">
        <f>SUMIFS('Opex Departments'!AX:AX,'Opex Departments'!$B:$B,$C110,'Opex Departments'!$A:$A,$A110)</f>
        <v>465283.657</v>
      </c>
      <c r="BK110" s="162">
        <f>SUMIFS('Opex Departments'!AY:AY,'Opex Departments'!$B:$B,$C110,'Opex Departments'!$A:$A,$A110)</f>
        <v>465283.6841</v>
      </c>
      <c r="BL110" s="162">
        <f>SUMIFS('Opex Departments'!AZ:AZ,'Opex Departments'!$B:$B,$C110,'Opex Departments'!$A:$A,$A110)</f>
        <v>483895.0337</v>
      </c>
      <c r="BM110" s="162">
        <f>SUMIFS('Opex Departments'!BA:BA,'Opex Departments'!$B:$B,$C110,'Opex Departments'!$A:$A,$A110)</f>
        <v>483895.0229</v>
      </c>
      <c r="BN110" s="162">
        <f>SUMIFS('Opex Departments'!BB:BB,'Opex Departments'!$B:$B,$C110,'Opex Departments'!$A:$A,$A110)</f>
        <v>483895.0293</v>
      </c>
      <c r="BO110" s="162">
        <f>SUMIFS('Opex Departments'!BC:BC,'Opex Departments'!$B:$B,$C110,'Opex Departments'!$A:$A,$A110)</f>
        <v>483895.0286</v>
      </c>
      <c r="BP110" s="162">
        <f>SUMIFS('Opex Departments'!BD:BD,'Opex Departments'!$B:$B,$C110,'Opex Departments'!$A:$A,$A110)</f>
        <v>503250.8281</v>
      </c>
      <c r="BQ110" s="162">
        <f>SUMIFS('Opex Departments'!BE:BE,'Opex Departments'!$B:$B,$C110,'Opex Departments'!$A:$A,$A110)</f>
        <v>503250.8294</v>
      </c>
      <c r="BR110" s="162">
        <f>SUMIFS('Opex Departments'!BF:BF,'Opex Departments'!$B:$B,$C110,'Opex Departments'!$A:$A,$A110)</f>
        <v>503250.8291</v>
      </c>
      <c r="BS110" s="162">
        <f>SUMIFS('Opex Departments'!BG:BG,'Opex Departments'!$B:$B,$C110,'Opex Departments'!$A:$A,$A110)</f>
        <v>503250.8289</v>
      </c>
      <c r="BT110" s="162">
        <f>SUMIFS('Opex Departments'!BH:BH,'Opex Departments'!$B:$B,$C110,'Opex Departments'!$A:$A,$A110)</f>
        <v>523380.8623</v>
      </c>
      <c r="BU110" s="162">
        <f>SUMIFS('Opex Departments'!BI:BI,'Opex Departments'!$B:$B,$C110,'Opex Departments'!$A:$A,$A110)</f>
        <v>523380.8622</v>
      </c>
      <c r="BV110" s="162">
        <f>SUMIFS('Opex Departments'!BJ:BJ,'Opex Departments'!$B:$B,$C110,'Opex Departments'!$A:$A,$A110)</f>
        <v>523380.8622</v>
      </c>
      <c r="BW110" s="162">
        <f>SUMIFS('Opex Departments'!BK:BK,'Opex Departments'!$B:$B,$C110,'Opex Departments'!$A:$A,$A110)</f>
        <v>523380.8622</v>
      </c>
      <c r="BX110" s="162">
        <f>SUMIFS('Opex Departments'!BL:BL,'Opex Departments'!$B:$B,$C110,'Opex Departments'!$A:$A,$A110)</f>
        <v>544316.0967</v>
      </c>
      <c r="BY110" s="162">
        <f>SUMIFS('Opex Departments'!BM:BM,'Opex Departments'!$B:$B,$C110,'Opex Departments'!$A:$A,$A110)</f>
        <v>544316.0967</v>
      </c>
      <c r="BZ110" s="162">
        <f>SUMIFS('Opex Departments'!BN:BN,'Opex Departments'!$B:$B,$C110,'Opex Departments'!$A:$A,$A110)</f>
        <v>544316.0967</v>
      </c>
      <c r="CA110" s="162">
        <f>SUMIFS('Opex Departments'!BO:BO,'Opex Departments'!$B:$B,$C110,'Opex Departments'!$A:$A,$A110)</f>
        <v>544316.0967</v>
      </c>
      <c r="CB110" s="162">
        <f>SUMIFS('Opex Departments'!BP:BP,'Opex Departments'!$B:$B,$C110,'Opex Departments'!$A:$A,$A110)</f>
        <v>566088.7405</v>
      </c>
      <c r="CC110" s="162">
        <f>SUMIFS('Opex Departments'!BQ:BQ,'Opex Departments'!$B:$B,$C110,'Opex Departments'!$A:$A,$A110)</f>
        <v>566088.7405</v>
      </c>
      <c r="CD110" s="162">
        <f>SUMIFS('Opex Departments'!BR:BR,'Opex Departments'!$B:$B,$C110,'Opex Departments'!$A:$A,$A110)</f>
        <v>566088.7405</v>
      </c>
      <c r="CE110" s="162">
        <f>SUMIFS('Opex Departments'!BS:BS,'Opex Departments'!$B:$B,$C110,'Opex Departments'!$A:$A,$A110)</f>
        <v>566088.7405</v>
      </c>
      <c r="CF110" s="162">
        <f>SUMIFS('Opex Departments'!BT:BT,'Opex Departments'!$B:$B,$C110,'Opex Departments'!$A:$A,$A110)</f>
        <v>588732.2902</v>
      </c>
      <c r="CG110" s="162">
        <f>SUMIFS('Opex Departments'!BU:BU,'Opex Departments'!$B:$B,$C110,'Opex Departments'!$A:$A,$A110)</f>
        <v>588732.2902</v>
      </c>
      <c r="CH110" s="162">
        <f>SUMIFS('Opex Departments'!BV:BV,'Opex Departments'!$B:$B,$C110,'Opex Departments'!$A:$A,$A110)</f>
        <v>588732.2902</v>
      </c>
      <c r="CI110" s="162">
        <f>SUMIFS('Opex Departments'!BW:BW,'Opex Departments'!$B:$B,$C110,'Opex Departments'!$A:$A,$A110)</f>
        <v>588732.2902</v>
      </c>
      <c r="CJ110" s="162">
        <f>SUMIFS('Opex Departments'!BX:BX,'Opex Departments'!$B:$B,$C110,'Opex Departments'!$A:$A,$A110)</f>
        <v>612281.5818</v>
      </c>
      <c r="CK110" s="162">
        <f>SUMIFS('Opex Departments'!BY:BY,'Opex Departments'!$B:$B,$C110,'Opex Departments'!$A:$A,$A110)</f>
        <v>612281.5818</v>
      </c>
      <c r="CL110" s="162">
        <f>SUMIFS('Opex Departments'!BZ:BZ,'Opex Departments'!$B:$B,$C110,'Opex Departments'!$A:$A,$A110)</f>
        <v>612281.5818</v>
      </c>
      <c r="CM110" s="162">
        <f>SUMIFS('Opex Departments'!CA:CA,'Opex Departments'!$B:$B,$C110,'Opex Departments'!$A:$A,$A110)</f>
        <v>612281.5818</v>
      </c>
      <c r="CN110" s="162">
        <f>SUMIFS('Opex Departments'!CB:CB,'Opex Departments'!$B:$B,$C110,'Opex Departments'!$A:$A,$A110)</f>
        <v>636772.845</v>
      </c>
      <c r="CO110" s="162">
        <f>SUMIFS('Opex Departments'!CC:CC,'Opex Departments'!$B:$B,$C110,'Opex Departments'!$A:$A,$A110)</f>
        <v>636772.845</v>
      </c>
      <c r="CP110" s="162">
        <f>SUMIFS('Opex Departments'!CD:CD,'Opex Departments'!$B:$B,$C110,'Opex Departments'!$A:$A,$A110)</f>
        <v>636772.845</v>
      </c>
      <c r="CQ110" s="162">
        <f>SUMIFS('Opex Departments'!CE:CE,'Opex Departments'!$B:$B,$C110,'Opex Departments'!$A:$A,$A110)</f>
        <v>636772.845</v>
      </c>
      <c r="CR110" s="162">
        <f>SUMIFS('Opex Departments'!CF:CF,'Opex Departments'!$B:$B,$C110,'Opex Departments'!$A:$A,$A110)</f>
        <v>662243.7588</v>
      </c>
      <c r="CS110" s="162">
        <f>SUMIFS('Opex Departments'!CG:CG,'Opex Departments'!$B:$B,$C110,'Opex Departments'!$A:$A,$A110)</f>
        <v>662243.7588</v>
      </c>
      <c r="CT110" s="162">
        <f>SUMIFS('Opex Departments'!CH:CH,'Opex Departments'!$B:$B,$C110,'Opex Departments'!$A:$A,$A110)</f>
        <v>662243.7588</v>
      </c>
      <c r="CU110" s="162">
        <f>SUMIFS('Opex Departments'!CI:CI,'Opex Departments'!$B:$B,$C110,'Opex Departments'!$A:$A,$A110)</f>
        <v>662243.7588</v>
      </c>
      <c r="CV110" s="162"/>
      <c r="CW110" s="162"/>
      <c r="CX110" s="162"/>
      <c r="CY110" s="162"/>
      <c r="CZ110" s="162"/>
      <c r="DA110" s="162"/>
      <c r="DB110" s="162"/>
      <c r="DC110" s="162"/>
    </row>
    <row r="111" ht="15.75" customHeight="1">
      <c r="A111" s="144" t="s">
        <v>119</v>
      </c>
      <c r="B111" s="144"/>
      <c r="C111" s="144" t="s">
        <v>176</v>
      </c>
      <c r="D111" s="144"/>
      <c r="E111" s="144"/>
      <c r="F111" s="144"/>
      <c r="G111" s="144"/>
      <c r="H111" s="144"/>
      <c r="I111" s="144"/>
      <c r="J111" s="144"/>
      <c r="K111" s="144"/>
      <c r="L111" s="144"/>
      <c r="M111" s="144"/>
      <c r="N111" s="144"/>
      <c r="O111" s="144"/>
      <c r="P111" s="162" t="s">
        <v>272</v>
      </c>
      <c r="Q111" s="162" t="s">
        <v>272</v>
      </c>
      <c r="R111" s="162" t="s">
        <v>272</v>
      </c>
      <c r="S111" s="162" t="s">
        <v>272</v>
      </c>
      <c r="T111" s="162" t="s">
        <v>272</v>
      </c>
      <c r="U111" s="162" t="s">
        <v>272</v>
      </c>
      <c r="V111" s="162" t="s">
        <v>272</v>
      </c>
      <c r="W111" s="162" t="s">
        <v>272</v>
      </c>
      <c r="X111" s="162" t="s">
        <v>272</v>
      </c>
      <c r="Y111" s="162" t="s">
        <v>272</v>
      </c>
      <c r="Z111" s="162" t="s">
        <v>272</v>
      </c>
      <c r="AA111" s="162" t="s">
        <v>272</v>
      </c>
      <c r="AB111" s="162" t="s">
        <v>272</v>
      </c>
      <c r="AC111" s="162" t="s">
        <v>272</v>
      </c>
      <c r="AD111" s="162" t="s">
        <v>272</v>
      </c>
      <c r="AE111" s="162" t="s">
        <v>272</v>
      </c>
      <c r="AF111" s="162" t="s">
        <v>272</v>
      </c>
      <c r="AG111" s="162" t="s">
        <v>272</v>
      </c>
      <c r="AH111" s="162">
        <f>SUMIFS('Opex Departments'!V:V,'Opex Departments'!$B:$B,$C111,'Opex Departments'!$A:$A,$A111)</f>
        <v>0</v>
      </c>
      <c r="AI111" s="162">
        <f>SUMIFS('Opex Departments'!W:W,'Opex Departments'!$B:$B,$C111,'Opex Departments'!$A:$A,$A111)</f>
        <v>0</v>
      </c>
      <c r="AJ111" s="162">
        <f>SUMIFS('Opex Departments'!X:X,'Opex Departments'!$B:$B,$C111,'Opex Departments'!$A:$A,$A111)</f>
        <v>0</v>
      </c>
      <c r="AK111" s="162">
        <f>SUMIFS('Opex Departments'!Y:Y,'Opex Departments'!$B:$B,$C111,'Opex Departments'!$A:$A,$A111)</f>
        <v>0</v>
      </c>
      <c r="AL111" s="162">
        <f>SUMIFS('Opex Departments'!Z:Z,'Opex Departments'!$B:$B,$C111,'Opex Departments'!$A:$A,$A111)</f>
        <v>0</v>
      </c>
      <c r="AM111" s="162">
        <f>SUMIFS('Opex Departments'!AA:AA,'Opex Departments'!$B:$B,$C111,'Opex Departments'!$A:$A,$A111)</f>
        <v>0</v>
      </c>
      <c r="AN111" s="162">
        <f>SUMIFS('Opex Departments'!AB:AB,'Opex Departments'!$B:$B,$C111,'Opex Departments'!$A:$A,$A111)</f>
        <v>0</v>
      </c>
      <c r="AO111" s="162">
        <f>SUMIFS('Opex Departments'!AC:AC,'Opex Departments'!$B:$B,$C111,'Opex Departments'!$A:$A,$A111)</f>
        <v>0</v>
      </c>
      <c r="AP111" s="162">
        <f>SUMIFS('Opex Departments'!AD:AD,'Opex Departments'!$B:$B,$C111,'Opex Departments'!$A:$A,$A111)</f>
        <v>0</v>
      </c>
      <c r="AQ111" s="162">
        <f>SUMIFS('Opex Departments'!AE:AE,'Opex Departments'!$B:$B,$C111,'Opex Departments'!$A:$A,$A111)</f>
        <v>0</v>
      </c>
      <c r="AR111" s="162">
        <f>SUMIFS('Opex Departments'!AF:AF,'Opex Departments'!$B:$B,$C111,'Opex Departments'!$A:$A,$A111)</f>
        <v>0</v>
      </c>
      <c r="AS111" s="162">
        <f>SUMIFS('Opex Departments'!AG:AG,'Opex Departments'!$B:$B,$C111,'Opex Departments'!$A:$A,$A111)</f>
        <v>0</v>
      </c>
      <c r="AT111" s="162">
        <f>SUMIFS('Opex Departments'!AH:AH,'Opex Departments'!$B:$B,$C111,'Opex Departments'!$A:$A,$A111)</f>
        <v>0</v>
      </c>
      <c r="AU111" s="162">
        <f>SUMIFS('Opex Departments'!AI:AI,'Opex Departments'!$B:$B,$C111,'Opex Departments'!$A:$A,$A111)</f>
        <v>0</v>
      </c>
      <c r="AV111" s="162">
        <f>SUMIFS('Opex Departments'!AJ:AJ,'Opex Departments'!$B:$B,$C111,'Opex Departments'!$A:$A,$A111)</f>
        <v>0</v>
      </c>
      <c r="AW111" s="162">
        <f>SUMIFS('Opex Departments'!AK:AK,'Opex Departments'!$B:$B,$C111,'Opex Departments'!$A:$A,$A111)</f>
        <v>0</v>
      </c>
      <c r="AX111" s="162">
        <f>SUMIFS('Opex Departments'!AL:AL,'Opex Departments'!$B:$B,$C111,'Opex Departments'!$A:$A,$A111)</f>
        <v>0</v>
      </c>
      <c r="AY111" s="162">
        <f>SUMIFS('Opex Departments'!AM:AM,'Opex Departments'!$B:$B,$C111,'Opex Departments'!$A:$A,$A111)</f>
        <v>0</v>
      </c>
      <c r="AZ111" s="162">
        <f>SUMIFS('Opex Departments'!AN:AN,'Opex Departments'!$B:$B,$C111,'Opex Departments'!$A:$A,$A111)</f>
        <v>0</v>
      </c>
      <c r="BA111" s="162">
        <f>SUMIFS('Opex Departments'!AO:AO,'Opex Departments'!$B:$B,$C111,'Opex Departments'!$A:$A,$A111)</f>
        <v>0</v>
      </c>
      <c r="BB111" s="162">
        <f>SUMIFS('Opex Departments'!AP:AP,'Opex Departments'!$B:$B,$C111,'Opex Departments'!$A:$A,$A111)</f>
        <v>0</v>
      </c>
      <c r="BC111" s="162">
        <f>SUMIFS('Opex Departments'!AQ:AQ,'Opex Departments'!$B:$B,$C111,'Opex Departments'!$A:$A,$A111)</f>
        <v>0</v>
      </c>
      <c r="BD111" s="162">
        <f>SUMIFS('Opex Departments'!AR:AR,'Opex Departments'!$B:$B,$C111,'Opex Departments'!$A:$A,$A111)</f>
        <v>0</v>
      </c>
      <c r="BE111" s="162">
        <f>SUMIFS('Opex Departments'!AS:AS,'Opex Departments'!$B:$B,$C111,'Opex Departments'!$A:$A,$A111)</f>
        <v>0</v>
      </c>
      <c r="BF111" s="162">
        <f>SUMIFS('Opex Departments'!AT:AT,'Opex Departments'!$B:$B,$C111,'Opex Departments'!$A:$A,$A111)</f>
        <v>0</v>
      </c>
      <c r="BG111" s="162">
        <f>SUMIFS('Opex Departments'!AU:AU,'Opex Departments'!$B:$B,$C111,'Opex Departments'!$A:$A,$A111)</f>
        <v>0</v>
      </c>
      <c r="BH111" s="162">
        <f>SUMIFS('Opex Departments'!AV:AV,'Opex Departments'!$B:$B,$C111,'Opex Departments'!$A:$A,$A111)</f>
        <v>0</v>
      </c>
      <c r="BI111" s="162">
        <f>SUMIFS('Opex Departments'!AW:AW,'Opex Departments'!$B:$B,$C111,'Opex Departments'!$A:$A,$A111)</f>
        <v>0</v>
      </c>
      <c r="BJ111" s="162">
        <f>SUMIFS('Opex Departments'!AX:AX,'Opex Departments'!$B:$B,$C111,'Opex Departments'!$A:$A,$A111)</f>
        <v>0</v>
      </c>
      <c r="BK111" s="162">
        <f>SUMIFS('Opex Departments'!AY:AY,'Opex Departments'!$B:$B,$C111,'Opex Departments'!$A:$A,$A111)</f>
        <v>0</v>
      </c>
      <c r="BL111" s="162">
        <f>SUMIFS('Opex Departments'!AZ:AZ,'Opex Departments'!$B:$B,$C111,'Opex Departments'!$A:$A,$A111)</f>
        <v>0</v>
      </c>
      <c r="BM111" s="162">
        <f>SUMIFS('Opex Departments'!BA:BA,'Opex Departments'!$B:$B,$C111,'Opex Departments'!$A:$A,$A111)</f>
        <v>0</v>
      </c>
      <c r="BN111" s="162">
        <f>SUMIFS('Opex Departments'!BB:BB,'Opex Departments'!$B:$B,$C111,'Opex Departments'!$A:$A,$A111)</f>
        <v>0</v>
      </c>
      <c r="BO111" s="162">
        <f>SUMIFS('Opex Departments'!BC:BC,'Opex Departments'!$B:$B,$C111,'Opex Departments'!$A:$A,$A111)</f>
        <v>0</v>
      </c>
      <c r="BP111" s="162">
        <f>SUMIFS('Opex Departments'!BD:BD,'Opex Departments'!$B:$B,$C111,'Opex Departments'!$A:$A,$A111)</f>
        <v>0</v>
      </c>
      <c r="BQ111" s="162">
        <f>SUMIFS('Opex Departments'!BE:BE,'Opex Departments'!$B:$B,$C111,'Opex Departments'!$A:$A,$A111)</f>
        <v>0</v>
      </c>
      <c r="BR111" s="162">
        <f>SUMIFS('Opex Departments'!BF:BF,'Opex Departments'!$B:$B,$C111,'Opex Departments'!$A:$A,$A111)</f>
        <v>0</v>
      </c>
      <c r="BS111" s="162">
        <f>SUMIFS('Opex Departments'!BG:BG,'Opex Departments'!$B:$B,$C111,'Opex Departments'!$A:$A,$A111)</f>
        <v>0</v>
      </c>
      <c r="BT111" s="162">
        <f>SUMIFS('Opex Departments'!BH:BH,'Opex Departments'!$B:$B,$C111,'Opex Departments'!$A:$A,$A111)</f>
        <v>0</v>
      </c>
      <c r="BU111" s="162">
        <f>SUMIFS('Opex Departments'!BI:BI,'Opex Departments'!$B:$B,$C111,'Opex Departments'!$A:$A,$A111)</f>
        <v>0</v>
      </c>
      <c r="BV111" s="162">
        <f>SUMIFS('Opex Departments'!BJ:BJ,'Opex Departments'!$B:$B,$C111,'Opex Departments'!$A:$A,$A111)</f>
        <v>0</v>
      </c>
      <c r="BW111" s="162">
        <f>SUMIFS('Opex Departments'!BK:BK,'Opex Departments'!$B:$B,$C111,'Opex Departments'!$A:$A,$A111)</f>
        <v>0</v>
      </c>
      <c r="BX111" s="162">
        <f>SUMIFS('Opex Departments'!BL:BL,'Opex Departments'!$B:$B,$C111,'Opex Departments'!$A:$A,$A111)</f>
        <v>0</v>
      </c>
      <c r="BY111" s="162">
        <f>SUMIFS('Opex Departments'!BM:BM,'Opex Departments'!$B:$B,$C111,'Opex Departments'!$A:$A,$A111)</f>
        <v>0</v>
      </c>
      <c r="BZ111" s="162">
        <f>SUMIFS('Opex Departments'!BN:BN,'Opex Departments'!$B:$B,$C111,'Opex Departments'!$A:$A,$A111)</f>
        <v>0</v>
      </c>
      <c r="CA111" s="162">
        <f>SUMIFS('Opex Departments'!BO:BO,'Opex Departments'!$B:$B,$C111,'Opex Departments'!$A:$A,$A111)</f>
        <v>0</v>
      </c>
      <c r="CB111" s="162">
        <f>SUMIFS('Opex Departments'!BP:BP,'Opex Departments'!$B:$B,$C111,'Opex Departments'!$A:$A,$A111)</f>
        <v>0</v>
      </c>
      <c r="CC111" s="162">
        <f>SUMIFS('Opex Departments'!BQ:BQ,'Opex Departments'!$B:$B,$C111,'Opex Departments'!$A:$A,$A111)</f>
        <v>0</v>
      </c>
      <c r="CD111" s="162">
        <f>SUMIFS('Opex Departments'!BR:BR,'Opex Departments'!$B:$B,$C111,'Opex Departments'!$A:$A,$A111)</f>
        <v>0</v>
      </c>
      <c r="CE111" s="162">
        <f>SUMIFS('Opex Departments'!BS:BS,'Opex Departments'!$B:$B,$C111,'Opex Departments'!$A:$A,$A111)</f>
        <v>0</v>
      </c>
      <c r="CF111" s="162">
        <f>SUMIFS('Opex Departments'!BT:BT,'Opex Departments'!$B:$B,$C111,'Opex Departments'!$A:$A,$A111)</f>
        <v>0</v>
      </c>
      <c r="CG111" s="162">
        <f>SUMIFS('Opex Departments'!BU:BU,'Opex Departments'!$B:$B,$C111,'Opex Departments'!$A:$A,$A111)</f>
        <v>0</v>
      </c>
      <c r="CH111" s="162">
        <f>SUMIFS('Opex Departments'!BV:BV,'Opex Departments'!$B:$B,$C111,'Opex Departments'!$A:$A,$A111)</f>
        <v>0</v>
      </c>
      <c r="CI111" s="162">
        <f>SUMIFS('Opex Departments'!BW:BW,'Opex Departments'!$B:$B,$C111,'Opex Departments'!$A:$A,$A111)</f>
        <v>0</v>
      </c>
      <c r="CJ111" s="162">
        <f>SUMIFS('Opex Departments'!BX:BX,'Opex Departments'!$B:$B,$C111,'Opex Departments'!$A:$A,$A111)</f>
        <v>0</v>
      </c>
      <c r="CK111" s="162">
        <f>SUMIFS('Opex Departments'!BY:BY,'Opex Departments'!$B:$B,$C111,'Opex Departments'!$A:$A,$A111)</f>
        <v>0</v>
      </c>
      <c r="CL111" s="162">
        <f>SUMIFS('Opex Departments'!BZ:BZ,'Opex Departments'!$B:$B,$C111,'Opex Departments'!$A:$A,$A111)</f>
        <v>0</v>
      </c>
      <c r="CM111" s="162">
        <f>SUMIFS('Opex Departments'!CA:CA,'Opex Departments'!$B:$B,$C111,'Opex Departments'!$A:$A,$A111)</f>
        <v>0</v>
      </c>
      <c r="CN111" s="162">
        <f>SUMIFS('Opex Departments'!CB:CB,'Opex Departments'!$B:$B,$C111,'Opex Departments'!$A:$A,$A111)</f>
        <v>0</v>
      </c>
      <c r="CO111" s="162">
        <f>SUMIFS('Opex Departments'!CC:CC,'Opex Departments'!$B:$B,$C111,'Opex Departments'!$A:$A,$A111)</f>
        <v>0</v>
      </c>
      <c r="CP111" s="162">
        <f>SUMIFS('Opex Departments'!CD:CD,'Opex Departments'!$B:$B,$C111,'Opex Departments'!$A:$A,$A111)</f>
        <v>0</v>
      </c>
      <c r="CQ111" s="162">
        <f>SUMIFS('Opex Departments'!CE:CE,'Opex Departments'!$B:$B,$C111,'Opex Departments'!$A:$A,$A111)</f>
        <v>0</v>
      </c>
      <c r="CR111" s="162">
        <f>SUMIFS('Opex Departments'!CF:CF,'Opex Departments'!$B:$B,$C111,'Opex Departments'!$A:$A,$A111)</f>
        <v>0</v>
      </c>
      <c r="CS111" s="162">
        <f>SUMIFS('Opex Departments'!CG:CG,'Opex Departments'!$B:$B,$C111,'Opex Departments'!$A:$A,$A111)</f>
        <v>0</v>
      </c>
      <c r="CT111" s="162">
        <f>SUMIFS('Opex Departments'!CH:CH,'Opex Departments'!$B:$B,$C111,'Opex Departments'!$A:$A,$A111)</f>
        <v>0</v>
      </c>
      <c r="CU111" s="162">
        <f>SUMIFS('Opex Departments'!CI:CI,'Opex Departments'!$B:$B,$C111,'Opex Departments'!$A:$A,$A111)</f>
        <v>0</v>
      </c>
      <c r="CV111" s="162"/>
      <c r="CW111" s="162"/>
      <c r="CX111" s="162"/>
      <c r="CY111" s="162"/>
      <c r="CZ111" s="162"/>
      <c r="DA111" s="162"/>
      <c r="DB111" s="162"/>
      <c r="DC111" s="162"/>
    </row>
    <row r="112" ht="15.75" customHeight="1">
      <c r="A112" s="144" t="s">
        <v>119</v>
      </c>
      <c r="B112" s="144"/>
      <c r="C112" s="146" t="s">
        <v>177</v>
      </c>
      <c r="D112" s="144"/>
      <c r="E112" s="144"/>
      <c r="F112" s="144"/>
      <c r="G112" s="144"/>
      <c r="H112" s="144"/>
      <c r="I112" s="144"/>
      <c r="J112" s="144"/>
      <c r="K112" s="144"/>
      <c r="L112" s="144"/>
      <c r="M112" s="144"/>
      <c r="N112" s="144"/>
      <c r="O112" s="144"/>
      <c r="P112" s="162">
        <v>11156.0</v>
      </c>
      <c r="Q112" s="162">
        <v>43816.0</v>
      </c>
      <c r="R112" s="162">
        <v>22998.0</v>
      </c>
      <c r="S112" s="162">
        <v>36321.0</v>
      </c>
      <c r="T112" s="162">
        <v>20982.0</v>
      </c>
      <c r="U112" s="162">
        <v>22120.0</v>
      </c>
      <c r="V112" s="162">
        <v>41103.0</v>
      </c>
      <c r="W112" s="162">
        <v>42549.0</v>
      </c>
      <c r="X112" s="162">
        <v>24362.0</v>
      </c>
      <c r="Y112" s="162">
        <v>43083.0</v>
      </c>
      <c r="Z112" s="162">
        <v>43083.0</v>
      </c>
      <c r="AA112" s="162">
        <v>43083.0</v>
      </c>
      <c r="AB112" s="162">
        <v>9634.0</v>
      </c>
      <c r="AC112" s="162">
        <v>4459.0</v>
      </c>
      <c r="AD112" s="162">
        <v>9031.0</v>
      </c>
      <c r="AE112" s="162">
        <v>14803.0</v>
      </c>
      <c r="AF112" s="162">
        <v>21500.0</v>
      </c>
      <c r="AG112" s="162">
        <v>23882.0</v>
      </c>
      <c r="AH112" s="162">
        <f>SUMIFS('Opex Departments'!V:V,'Opex Departments'!$B:$B,$C112,'Opex Departments'!$A:$A,$A112)</f>
        <v>2815</v>
      </c>
      <c r="AI112" s="162">
        <f>SUMIFS('Opex Departments'!W:W,'Opex Departments'!$B:$B,$C112,'Opex Departments'!$A:$A,$A112)</f>
        <v>2125</v>
      </c>
      <c r="AJ112" s="162">
        <f>SUMIFS('Opex Departments'!X:X,'Opex Departments'!$B:$B,$C112,'Opex Departments'!$A:$A,$A112)</f>
        <v>2261</v>
      </c>
      <c r="AK112" s="162">
        <f>SUMIFS('Opex Departments'!Y:Y,'Opex Departments'!$B:$B,$C112,'Opex Departments'!$A:$A,$A112)</f>
        <v>1297</v>
      </c>
      <c r="AL112" s="162">
        <f>SUMIFS('Opex Departments'!Z:Z,'Opex Departments'!$B:$B,$C112,'Opex Departments'!$A:$A,$A112)</f>
        <v>1497</v>
      </c>
      <c r="AM112" s="162">
        <f>SUMIFS('Opex Departments'!AA:AA,'Opex Departments'!$B:$B,$C112,'Opex Departments'!$A:$A,$A112)</f>
        <v>39336.9375</v>
      </c>
      <c r="AN112" s="162">
        <f>SUMIFS('Opex Departments'!AB:AB,'Opex Departments'!$B:$B,$C112,'Opex Departments'!$A:$A,$A112)</f>
        <v>65462.39687</v>
      </c>
      <c r="AO112" s="162">
        <f>SUMIFS('Opex Departments'!AC:AC,'Opex Departments'!$B:$B,$C112,'Opex Departments'!$A:$A,$A112)</f>
        <v>72873.98023</v>
      </c>
      <c r="AP112" s="162">
        <f>SUMIFS('Opex Departments'!AD:AD,'Opex Departments'!$B:$B,$C112,'Opex Departments'!$A:$A,$A112)</f>
        <v>75204.09349</v>
      </c>
      <c r="AQ112" s="162">
        <f>SUMIFS('Opex Departments'!AE:AE,'Opex Departments'!$B:$B,$C112,'Opex Departments'!$A:$A,$A112)</f>
        <v>77035.53214</v>
      </c>
      <c r="AR112" s="162">
        <f>SUMIFS('Opex Departments'!AF:AF,'Opex Departments'!$B:$B,$C112,'Opex Departments'!$A:$A,$A112)</f>
        <v>87013.87002</v>
      </c>
      <c r="AS112" s="162">
        <f>SUMIFS('Opex Departments'!AG:AG,'Opex Departments'!$B:$B,$C112,'Opex Departments'!$A:$A,$A112)</f>
        <v>88595.58488</v>
      </c>
      <c r="AT112" s="162">
        <f>SUMIFS('Opex Departments'!AH:AH,'Opex Departments'!$B:$B,$C112,'Opex Departments'!$A:$A,$A112)</f>
        <v>89121.39255</v>
      </c>
      <c r="AU112" s="162">
        <f>SUMIFS('Opex Departments'!AI:AI,'Opex Departments'!$B:$B,$C112,'Opex Departments'!$A:$A,$A112)</f>
        <v>89607.56763</v>
      </c>
      <c r="AV112" s="162">
        <f>SUMIFS('Opex Departments'!AJ:AJ,'Opex Departments'!$B:$B,$C112,'Opex Departments'!$A:$A,$A112)</f>
        <v>91419.98819</v>
      </c>
      <c r="AW112" s="162">
        <f>SUMIFS('Opex Departments'!AK:AK,'Opex Departments'!$B:$B,$C112,'Opex Departments'!$A:$A,$A112)</f>
        <v>90114.26979</v>
      </c>
      <c r="AX112" s="162">
        <f>SUMIFS('Opex Departments'!AL:AL,'Opex Departments'!$B:$B,$C112,'Opex Departments'!$A:$A,$A112)</f>
        <v>91197.11396</v>
      </c>
      <c r="AY112" s="162">
        <f>SUMIFS('Opex Departments'!AM:AM,'Opex Departments'!$B:$B,$C112,'Opex Departments'!$A:$A,$A112)</f>
        <v>92671.81397</v>
      </c>
      <c r="AZ112" s="162">
        <f>SUMIFS('Opex Departments'!AN:AN,'Opex Departments'!$B:$B,$C112,'Opex Departments'!$A:$A,$A112)</f>
        <v>83832.90752</v>
      </c>
      <c r="BA112" s="162">
        <f>SUMIFS('Opex Departments'!AO:AO,'Opex Departments'!$B:$B,$C112,'Opex Departments'!$A:$A,$A112)</f>
        <v>72801.51798</v>
      </c>
      <c r="BB112" s="162">
        <f>SUMIFS('Opex Departments'!AP:AP,'Opex Departments'!$B:$B,$C112,'Opex Departments'!$A:$A,$A112)</f>
        <v>71412.43937</v>
      </c>
      <c r="BC112" s="162">
        <f>SUMIFS('Opex Departments'!AQ:AQ,'Opex Departments'!$B:$B,$C112,'Opex Departments'!$A:$A,$A112)</f>
        <v>71874.95258</v>
      </c>
      <c r="BD112" s="162">
        <f>SUMIFS('Opex Departments'!AR:AR,'Opex Departments'!$B:$B,$C112,'Opex Departments'!$A:$A,$A112)</f>
        <v>72341.71707</v>
      </c>
      <c r="BE112" s="162">
        <f>SUMIFS('Opex Departments'!AS:AS,'Opex Departments'!$B:$B,$C112,'Opex Departments'!$A:$A,$A112)</f>
        <v>73068.8989</v>
      </c>
      <c r="BF112" s="162">
        <f>SUMIFS('Opex Departments'!AT:AT,'Opex Departments'!$B:$B,$C112,'Opex Departments'!$A:$A,$A112)</f>
        <v>73545.58381</v>
      </c>
      <c r="BG112" s="162">
        <f>SUMIFS('Opex Departments'!AU:AU,'Opex Departments'!$B:$B,$C112,'Opex Departments'!$A:$A,$A112)</f>
        <v>74026.66473</v>
      </c>
      <c r="BH112" s="162">
        <f>SUMIFS('Opex Departments'!AV:AV,'Opex Departments'!$B:$B,$C112,'Opex Departments'!$A:$A,$A112)</f>
        <v>74512.18892</v>
      </c>
      <c r="BI112" s="162">
        <f>SUMIFS('Opex Departments'!AW:AW,'Opex Departments'!$B:$B,$C112,'Opex Departments'!$A:$A,$A112)</f>
        <v>75002.20416</v>
      </c>
      <c r="BJ112" s="162">
        <f>SUMIFS('Opex Departments'!AX:AX,'Opex Departments'!$B:$B,$C112,'Opex Departments'!$A:$A,$A112)</f>
        <v>75496.75881</v>
      </c>
      <c r="BK112" s="162">
        <f>SUMIFS('Opex Departments'!AY:AY,'Opex Departments'!$B:$B,$C112,'Opex Departments'!$A:$A,$A112)</f>
        <v>75995.9018</v>
      </c>
      <c r="BL112" s="162">
        <f>SUMIFS('Opex Departments'!AZ:AZ,'Opex Departments'!$B:$B,$C112,'Opex Departments'!$A:$A,$A112)</f>
        <v>76764.59193</v>
      </c>
      <c r="BM112" s="162">
        <f>SUMIFS('Opex Departments'!BA:BA,'Opex Departments'!$B:$B,$C112,'Opex Departments'!$A:$A,$A112)</f>
        <v>77448.94923</v>
      </c>
      <c r="BN112" s="162">
        <f>SUMIFS('Opex Departments'!BB:BB,'Opex Departments'!$B:$B,$C112,'Opex Departments'!$A:$A,$A112)</f>
        <v>77953.04767</v>
      </c>
      <c r="BO112" s="162">
        <f>SUMIFS('Opex Departments'!BC:BC,'Opex Departments'!$B:$B,$C112,'Opex Departments'!$A:$A,$A112)</f>
        <v>78461.66771</v>
      </c>
      <c r="BP112" s="162">
        <f>SUMIFS('Opex Departments'!BD:BD,'Opex Departments'!$B:$B,$C112,'Opex Departments'!$A:$A,$A112)</f>
        <v>78974.856</v>
      </c>
      <c r="BQ112" s="162">
        <f>SUMIFS('Opex Departments'!BE:BE,'Opex Departments'!$B:$B,$C112,'Opex Departments'!$A:$A,$A112)</f>
        <v>79112.92389</v>
      </c>
      <c r="BR112" s="162">
        <f>SUMIFS('Opex Departments'!BF:BF,'Opex Departments'!$B:$B,$C112,'Opex Departments'!$A:$A,$A112)</f>
        <v>79633.49204</v>
      </c>
      <c r="BS112" s="162">
        <f>SUMIFS('Opex Departments'!BG:BG,'Opex Departments'!$B:$B,$C112,'Opex Departments'!$A:$A,$A112)</f>
        <v>80158.76203</v>
      </c>
      <c r="BT112" s="162">
        <f>SUMIFS('Opex Departments'!BH:BH,'Opex Departments'!$B:$B,$C112,'Opex Departments'!$A:$A,$A112)</f>
        <v>80688.7826</v>
      </c>
      <c r="BU112" s="162">
        <f>SUMIFS('Opex Departments'!BI:BI,'Opex Departments'!$B:$B,$C112,'Opex Departments'!$A:$A,$A112)</f>
        <v>81223.60302</v>
      </c>
      <c r="BV112" s="162">
        <f>SUMIFS('Opex Departments'!BJ:BJ,'Opex Departments'!$B:$B,$C112,'Opex Departments'!$A:$A,$A112)</f>
        <v>81763.2731</v>
      </c>
      <c r="BW112" s="162">
        <f>SUMIFS('Opex Departments'!BK:BK,'Opex Departments'!$B:$B,$C112,'Opex Departments'!$A:$A,$A112)</f>
        <v>82307.84322</v>
      </c>
      <c r="BX112" s="162">
        <f>SUMIFS('Opex Departments'!BL:BL,'Opex Departments'!$B:$B,$C112,'Opex Departments'!$A:$A,$A112)</f>
        <v>84993.22926</v>
      </c>
      <c r="BY112" s="162">
        <f>SUMIFS('Opex Departments'!BM:BM,'Opex Departments'!$B:$B,$C112,'Opex Departments'!$A:$A,$A112)</f>
        <v>85633.20029</v>
      </c>
      <c r="BZ112" s="162">
        <f>SUMIFS('Opex Departments'!BN:BN,'Opex Departments'!$B:$B,$C112,'Opex Departments'!$A:$A,$A112)</f>
        <v>85209.3806</v>
      </c>
      <c r="CA112" s="162">
        <f>SUMIFS('Opex Departments'!BO:BO,'Opex Departments'!$B:$B,$C112,'Opex Departments'!$A:$A,$A112)</f>
        <v>84858.38343</v>
      </c>
      <c r="CB112" s="162">
        <f>SUMIFS('Opex Departments'!BP:BP,'Opex Departments'!$B:$B,$C112,'Opex Departments'!$A:$A,$A112)</f>
        <v>85496.37225</v>
      </c>
      <c r="CC112" s="162">
        <f>SUMIFS('Opex Departments'!BQ:BQ,'Opex Departments'!$B:$B,$C112,'Opex Departments'!$A:$A,$A112)</f>
        <v>86143.02053</v>
      </c>
      <c r="CD112" s="162">
        <f>SUMIFS('Opex Departments'!BR:BR,'Opex Departments'!$B:$B,$C112,'Opex Departments'!$A:$A,$A112)</f>
        <v>86798.51139</v>
      </c>
      <c r="CE112" s="162">
        <f>SUMIFS('Opex Departments'!BS:BS,'Opex Departments'!$B:$B,$C112,'Opex Departments'!$A:$A,$A112)</f>
        <v>87463.03299</v>
      </c>
      <c r="CF112" s="162">
        <f>SUMIFS('Opex Departments'!BT:BT,'Opex Departments'!$B:$B,$C112,'Opex Departments'!$A:$A,$A112)</f>
        <v>88136.77864</v>
      </c>
      <c r="CG112" s="162">
        <f>SUMIFS('Opex Departments'!BU:BU,'Opex Departments'!$B:$B,$C112,'Opex Departments'!$A:$A,$A112)</f>
        <v>88819.94696</v>
      </c>
      <c r="CH112" s="162">
        <f>SUMIFS('Opex Departments'!BV:BV,'Opex Departments'!$B:$B,$C112,'Opex Departments'!$A:$A,$A112)</f>
        <v>89512.74207</v>
      </c>
      <c r="CI112" s="162">
        <f>SUMIFS('Opex Departments'!BW:BW,'Opex Departments'!$B:$B,$C112,'Opex Departments'!$A:$A,$A112)</f>
        <v>90215.37374</v>
      </c>
      <c r="CJ112" s="162">
        <f>SUMIFS('Opex Departments'!BX:BX,'Opex Departments'!$B:$B,$C112,'Opex Departments'!$A:$A,$A112)</f>
        <v>99253.04967</v>
      </c>
      <c r="CK112" s="162">
        <f>SUMIFS('Opex Departments'!BY:BY,'Opex Departments'!$B:$B,$C112,'Opex Departments'!$A:$A,$A112)</f>
        <v>99672.60472</v>
      </c>
      <c r="CL112" s="162">
        <f>SUMIFS('Opex Departments'!BZ:BZ,'Opex Departments'!$B:$B,$C112,'Opex Departments'!$A:$A,$A112)</f>
        <v>97542.5219</v>
      </c>
      <c r="CM112" s="162">
        <f>SUMIFS('Opex Departments'!CA:CA,'Opex Departments'!$B:$B,$C112,'Opex Departments'!$A:$A,$A112)</f>
        <v>92596.4892</v>
      </c>
      <c r="CN112" s="162">
        <f>SUMIFS('Opex Departments'!CB:CB,'Opex Departments'!$B:$B,$C112,'Opex Departments'!$A:$A,$A112)</f>
        <v>92984.80585</v>
      </c>
      <c r="CO112" s="162">
        <f>SUMIFS('Opex Departments'!CC:CC,'Opex Departments'!$B:$B,$C112,'Opex Departments'!$A:$A,$A112)</f>
        <v>93381.39487</v>
      </c>
      <c r="CP112" s="162">
        <f>SUMIFS('Opex Departments'!CD:CD,'Opex Departments'!$B:$B,$C112,'Opex Departments'!$A:$A,$A112)</f>
        <v>93786.20512</v>
      </c>
      <c r="CQ112" s="162">
        <f>SUMIFS('Opex Departments'!CE:CE,'Opex Departments'!$B:$B,$C112,'Opex Departments'!$A:$A,$A112)</f>
        <v>94199.18854</v>
      </c>
      <c r="CR112" s="162">
        <f>SUMIFS('Opex Departments'!CF:CF,'Opex Departments'!$B:$B,$C112,'Opex Departments'!$A:$A,$A112)</f>
        <v>94620.29999</v>
      </c>
      <c r="CS112" s="162">
        <f>SUMIFS('Opex Departments'!CG:CG,'Opex Departments'!$B:$B,$C112,'Opex Departments'!$A:$A,$A112)</f>
        <v>95049.49731</v>
      </c>
      <c r="CT112" s="162">
        <f>SUMIFS('Opex Departments'!CH:CH,'Opex Departments'!$B:$B,$C112,'Opex Departments'!$A:$A,$A112)</f>
        <v>95486.74117</v>
      </c>
      <c r="CU112" s="162">
        <f>SUMIFS('Opex Departments'!CI:CI,'Opex Departments'!$B:$B,$C112,'Opex Departments'!$A:$A,$A112)</f>
        <v>95931.99506</v>
      </c>
      <c r="CV112" s="162"/>
      <c r="CW112" s="162"/>
      <c r="CX112" s="162"/>
      <c r="CY112" s="162"/>
      <c r="CZ112" s="162"/>
      <c r="DA112" s="162"/>
      <c r="DB112" s="162"/>
      <c r="DC112" s="162"/>
    </row>
    <row r="113" ht="15.75" customHeight="1">
      <c r="A113" s="144" t="s">
        <v>119</v>
      </c>
      <c r="B113" s="144"/>
      <c r="C113" s="146" t="s">
        <v>66</v>
      </c>
      <c r="D113" s="144"/>
      <c r="E113" s="144"/>
      <c r="F113" s="144"/>
      <c r="G113" s="144"/>
      <c r="H113" s="144"/>
      <c r="I113" s="144"/>
      <c r="J113" s="144"/>
      <c r="K113" s="144"/>
      <c r="L113" s="144"/>
      <c r="M113" s="144"/>
      <c r="N113" s="144"/>
      <c r="O113" s="144"/>
      <c r="P113" s="162" t="s">
        <v>272</v>
      </c>
      <c r="Q113" s="162" t="s">
        <v>272</v>
      </c>
      <c r="R113" s="162" t="s">
        <v>272</v>
      </c>
      <c r="S113" s="162" t="s">
        <v>272</v>
      </c>
      <c r="T113" s="162" t="s">
        <v>272</v>
      </c>
      <c r="U113" s="162" t="s">
        <v>272</v>
      </c>
      <c r="V113" s="162" t="s">
        <v>272</v>
      </c>
      <c r="W113" s="162" t="s">
        <v>272</v>
      </c>
      <c r="X113" s="162" t="s">
        <v>272</v>
      </c>
      <c r="Y113" s="162" t="s">
        <v>272</v>
      </c>
      <c r="Z113" s="162" t="s">
        <v>272</v>
      </c>
      <c r="AA113" s="162" t="s">
        <v>272</v>
      </c>
      <c r="AB113" s="162" t="s">
        <v>272</v>
      </c>
      <c r="AC113" s="162" t="s">
        <v>272</v>
      </c>
      <c r="AD113" s="162">
        <v>1380.0</v>
      </c>
      <c r="AE113" s="162" t="s">
        <v>272</v>
      </c>
      <c r="AF113" s="162">
        <v>1785.0</v>
      </c>
      <c r="AG113" s="162">
        <v>1785.0</v>
      </c>
      <c r="AH113" s="162">
        <f>SUMIFS('Opex Departments'!V:V,'Opex Departments'!$B:$B,$C113,'Opex Departments'!$A:$A,$A113)</f>
        <v>2944</v>
      </c>
      <c r="AI113" s="162">
        <f>SUMIFS('Opex Departments'!W:W,'Opex Departments'!$B:$B,$C113,'Opex Departments'!$A:$A,$A113)</f>
        <v>5092</v>
      </c>
      <c r="AJ113" s="162">
        <f>SUMIFS('Opex Departments'!X:X,'Opex Departments'!$B:$B,$C113,'Opex Departments'!$A:$A,$A113)</f>
        <v>6375</v>
      </c>
      <c r="AK113" s="162">
        <f>SUMIFS('Opex Departments'!Y:Y,'Opex Departments'!$B:$B,$C113,'Opex Departments'!$A:$A,$A113)</f>
        <v>8405</v>
      </c>
      <c r="AL113" s="162">
        <f>SUMIFS('Opex Departments'!Z:Z,'Opex Departments'!$B:$B,$C113,'Opex Departments'!$A:$A,$A113)</f>
        <v>4170</v>
      </c>
      <c r="AM113" s="162">
        <f>SUMIFS('Opex Departments'!AA:AA,'Opex Departments'!$B:$B,$C113,'Opex Departments'!$A:$A,$A113)</f>
        <v>2100</v>
      </c>
      <c r="AN113" s="162">
        <f>SUMIFS('Opex Departments'!AB:AB,'Opex Departments'!$B:$B,$C113,'Opex Departments'!$A:$A,$A113)</f>
        <v>7110.5</v>
      </c>
      <c r="AO113" s="162">
        <f>SUMIFS('Opex Departments'!AC:AC,'Opex Departments'!$B:$B,$C113,'Opex Departments'!$A:$A,$A113)</f>
        <v>7146.0525</v>
      </c>
      <c r="AP113" s="162">
        <f>SUMIFS('Opex Departments'!AD:AD,'Opex Departments'!$B:$B,$C113,'Opex Departments'!$A:$A,$A113)</f>
        <v>7181.782763</v>
      </c>
      <c r="AQ113" s="162">
        <f>SUMIFS('Opex Departments'!AE:AE,'Opex Departments'!$B:$B,$C113,'Opex Departments'!$A:$A,$A113)</f>
        <v>7217.691676</v>
      </c>
      <c r="AR113" s="162">
        <f>SUMIFS('Opex Departments'!AF:AF,'Opex Departments'!$B:$B,$C113,'Opex Departments'!$A:$A,$A113)</f>
        <v>7253.780135</v>
      </c>
      <c r="AS113" s="162">
        <f>SUMIFS('Opex Departments'!AG:AG,'Opex Departments'!$B:$B,$C113,'Opex Departments'!$A:$A,$A113)</f>
        <v>7290.049035</v>
      </c>
      <c r="AT113" s="162">
        <f>SUMIFS('Opex Departments'!AH:AH,'Opex Departments'!$B:$B,$C113,'Opex Departments'!$A:$A,$A113)</f>
        <v>7326.499281</v>
      </c>
      <c r="AU113" s="162">
        <f>SUMIFS('Opex Departments'!AI:AI,'Opex Departments'!$B:$B,$C113,'Opex Departments'!$A:$A,$A113)</f>
        <v>7363.131777</v>
      </c>
      <c r="AV113" s="162">
        <f>SUMIFS('Opex Departments'!AJ:AJ,'Opex Departments'!$B:$B,$C113,'Opex Departments'!$A:$A,$A113)</f>
        <v>7399.947436</v>
      </c>
      <c r="AW113" s="162">
        <f>SUMIFS('Opex Departments'!AK:AK,'Opex Departments'!$B:$B,$C113,'Opex Departments'!$A:$A,$A113)</f>
        <v>7436.947173</v>
      </c>
      <c r="AX113" s="162">
        <f>SUMIFS('Opex Departments'!AL:AL,'Opex Departments'!$B:$B,$C113,'Opex Departments'!$A:$A,$A113)</f>
        <v>7474.131909</v>
      </c>
      <c r="AY113" s="162">
        <f>SUMIFS('Opex Departments'!AM:AM,'Opex Departments'!$B:$B,$C113,'Opex Departments'!$A:$A,$A113)</f>
        <v>7511.502568</v>
      </c>
      <c r="AZ113" s="162">
        <f>SUMIFS('Opex Departments'!AN:AN,'Opex Departments'!$B:$B,$C113,'Opex Departments'!$A:$A,$A113)</f>
        <v>7549.060081</v>
      </c>
      <c r="BA113" s="162">
        <f>SUMIFS('Opex Departments'!AO:AO,'Opex Departments'!$B:$B,$C113,'Opex Departments'!$A:$A,$A113)</f>
        <v>7586.805382</v>
      </c>
      <c r="BB113" s="162">
        <f>SUMIFS('Opex Departments'!AP:AP,'Opex Departments'!$B:$B,$C113,'Opex Departments'!$A:$A,$A113)</f>
        <v>7624.739409</v>
      </c>
      <c r="BC113" s="162">
        <f>SUMIFS('Opex Departments'!AQ:AQ,'Opex Departments'!$B:$B,$C113,'Opex Departments'!$A:$A,$A113)</f>
        <v>7662.863106</v>
      </c>
      <c r="BD113" s="162">
        <f>SUMIFS('Opex Departments'!AR:AR,'Opex Departments'!$B:$B,$C113,'Opex Departments'!$A:$A,$A113)</f>
        <v>7701.177421</v>
      </c>
      <c r="BE113" s="162">
        <f>SUMIFS('Opex Departments'!AS:AS,'Opex Departments'!$B:$B,$C113,'Opex Departments'!$A:$A,$A113)</f>
        <v>7739.683308</v>
      </c>
      <c r="BF113" s="162">
        <f>SUMIFS('Opex Departments'!AT:AT,'Opex Departments'!$B:$B,$C113,'Opex Departments'!$A:$A,$A113)</f>
        <v>7778.381725</v>
      </c>
      <c r="BG113" s="162">
        <f>SUMIFS('Opex Departments'!AU:AU,'Opex Departments'!$B:$B,$C113,'Opex Departments'!$A:$A,$A113)</f>
        <v>7817.273633</v>
      </c>
      <c r="BH113" s="162">
        <f>SUMIFS('Opex Departments'!AV:AV,'Opex Departments'!$B:$B,$C113,'Opex Departments'!$A:$A,$A113)</f>
        <v>7856.360002</v>
      </c>
      <c r="BI113" s="162">
        <f>SUMIFS('Opex Departments'!AW:AW,'Opex Departments'!$B:$B,$C113,'Opex Departments'!$A:$A,$A113)</f>
        <v>7895.641802</v>
      </c>
      <c r="BJ113" s="162">
        <f>SUMIFS('Opex Departments'!AX:AX,'Opex Departments'!$B:$B,$C113,'Opex Departments'!$A:$A,$A113)</f>
        <v>7935.120011</v>
      </c>
      <c r="BK113" s="162">
        <f>SUMIFS('Opex Departments'!AY:AY,'Opex Departments'!$B:$B,$C113,'Opex Departments'!$A:$A,$A113)</f>
        <v>7974.795611</v>
      </c>
      <c r="BL113" s="162">
        <f>SUMIFS('Opex Departments'!AZ:AZ,'Opex Departments'!$B:$B,$C113,'Opex Departments'!$A:$A,$A113)</f>
        <v>8014.669589</v>
      </c>
      <c r="BM113" s="162">
        <f>SUMIFS('Opex Departments'!BA:BA,'Opex Departments'!$B:$B,$C113,'Opex Departments'!$A:$A,$A113)</f>
        <v>8054.742937</v>
      </c>
      <c r="BN113" s="162">
        <f>SUMIFS('Opex Departments'!BB:BB,'Opex Departments'!$B:$B,$C113,'Opex Departments'!$A:$A,$A113)</f>
        <v>8095.016651</v>
      </c>
      <c r="BO113" s="162">
        <f>SUMIFS('Opex Departments'!BC:BC,'Opex Departments'!$B:$B,$C113,'Opex Departments'!$A:$A,$A113)</f>
        <v>8135.491735</v>
      </c>
      <c r="BP113" s="162">
        <f>SUMIFS('Opex Departments'!BD:BD,'Opex Departments'!$B:$B,$C113,'Opex Departments'!$A:$A,$A113)</f>
        <v>8176.169193</v>
      </c>
      <c r="BQ113" s="162">
        <f>SUMIFS('Opex Departments'!BE:BE,'Opex Departments'!$B:$B,$C113,'Opex Departments'!$A:$A,$A113)</f>
        <v>8217.050039</v>
      </c>
      <c r="BR113" s="162">
        <f>SUMIFS('Opex Departments'!BF:BF,'Opex Departments'!$B:$B,$C113,'Opex Departments'!$A:$A,$A113)</f>
        <v>8258.135289</v>
      </c>
      <c r="BS113" s="162">
        <f>SUMIFS('Opex Departments'!BG:BG,'Opex Departments'!$B:$B,$C113,'Opex Departments'!$A:$A,$A113)</f>
        <v>8299.425966</v>
      </c>
      <c r="BT113" s="162">
        <f>SUMIFS('Opex Departments'!BH:BH,'Opex Departments'!$B:$B,$C113,'Opex Departments'!$A:$A,$A113)</f>
        <v>8340.923096</v>
      </c>
      <c r="BU113" s="162">
        <f>SUMIFS('Opex Departments'!BI:BI,'Opex Departments'!$B:$B,$C113,'Opex Departments'!$A:$A,$A113)</f>
        <v>8382.627711</v>
      </c>
      <c r="BV113" s="162">
        <f>SUMIFS('Opex Departments'!BJ:BJ,'Opex Departments'!$B:$B,$C113,'Opex Departments'!$A:$A,$A113)</f>
        <v>8424.54085</v>
      </c>
      <c r="BW113" s="162">
        <f>SUMIFS('Opex Departments'!BK:BK,'Opex Departments'!$B:$B,$C113,'Opex Departments'!$A:$A,$A113)</f>
        <v>8466.663554</v>
      </c>
      <c r="BX113" s="162">
        <f>SUMIFS('Opex Departments'!BL:BL,'Opex Departments'!$B:$B,$C113,'Opex Departments'!$A:$A,$A113)</f>
        <v>8508.996872</v>
      </c>
      <c r="BY113" s="162">
        <f>SUMIFS('Opex Departments'!BM:BM,'Opex Departments'!$B:$B,$C113,'Opex Departments'!$A:$A,$A113)</f>
        <v>8551.541856</v>
      </c>
      <c r="BZ113" s="162">
        <f>SUMIFS('Opex Departments'!BN:BN,'Opex Departments'!$B:$B,$C113,'Opex Departments'!$A:$A,$A113)</f>
        <v>8594.299565</v>
      </c>
      <c r="CA113" s="162">
        <f>SUMIFS('Opex Departments'!BO:BO,'Opex Departments'!$B:$B,$C113,'Opex Departments'!$A:$A,$A113)</f>
        <v>8637.271063</v>
      </c>
      <c r="CB113" s="162">
        <f>SUMIFS('Opex Departments'!BP:BP,'Opex Departments'!$B:$B,$C113,'Opex Departments'!$A:$A,$A113)</f>
        <v>8680.457419</v>
      </c>
      <c r="CC113" s="162">
        <f>SUMIFS('Opex Departments'!BQ:BQ,'Opex Departments'!$B:$B,$C113,'Opex Departments'!$A:$A,$A113)</f>
        <v>8723.859706</v>
      </c>
      <c r="CD113" s="162">
        <f>SUMIFS('Opex Departments'!BR:BR,'Opex Departments'!$B:$B,$C113,'Opex Departments'!$A:$A,$A113)</f>
        <v>8767.479004</v>
      </c>
      <c r="CE113" s="162">
        <f>SUMIFS('Opex Departments'!BS:BS,'Opex Departments'!$B:$B,$C113,'Opex Departments'!$A:$A,$A113)</f>
        <v>8811.316399</v>
      </c>
      <c r="CF113" s="162">
        <f>SUMIFS('Opex Departments'!BT:BT,'Opex Departments'!$B:$B,$C113,'Opex Departments'!$A:$A,$A113)</f>
        <v>8855.372981</v>
      </c>
      <c r="CG113" s="162">
        <f>SUMIFS('Opex Departments'!BU:BU,'Opex Departments'!$B:$B,$C113,'Opex Departments'!$A:$A,$A113)</f>
        <v>8899.649846</v>
      </c>
      <c r="CH113" s="162">
        <f>SUMIFS('Opex Departments'!BV:BV,'Opex Departments'!$B:$B,$C113,'Opex Departments'!$A:$A,$A113)</f>
        <v>8944.148095</v>
      </c>
      <c r="CI113" s="162">
        <f>SUMIFS('Opex Departments'!BW:BW,'Opex Departments'!$B:$B,$C113,'Opex Departments'!$A:$A,$A113)</f>
        <v>8988.868836</v>
      </c>
      <c r="CJ113" s="162">
        <f>SUMIFS('Opex Departments'!BX:BX,'Opex Departments'!$B:$B,$C113,'Opex Departments'!$A:$A,$A113)</f>
        <v>9033.81318</v>
      </c>
      <c r="CK113" s="162">
        <f>SUMIFS('Opex Departments'!BY:BY,'Opex Departments'!$B:$B,$C113,'Opex Departments'!$A:$A,$A113)</f>
        <v>9078.982246</v>
      </c>
      <c r="CL113" s="162">
        <f>SUMIFS('Opex Departments'!BZ:BZ,'Opex Departments'!$B:$B,$C113,'Opex Departments'!$A:$A,$A113)</f>
        <v>9124.377157</v>
      </c>
      <c r="CM113" s="162">
        <f>SUMIFS('Opex Departments'!CA:CA,'Opex Departments'!$B:$B,$C113,'Opex Departments'!$A:$A,$A113)</f>
        <v>9169.999043</v>
      </c>
      <c r="CN113" s="162">
        <f>SUMIFS('Opex Departments'!CB:CB,'Opex Departments'!$B:$B,$C113,'Opex Departments'!$A:$A,$A113)</f>
        <v>9215.849038</v>
      </c>
      <c r="CO113" s="162">
        <f>SUMIFS('Opex Departments'!CC:CC,'Opex Departments'!$B:$B,$C113,'Opex Departments'!$A:$A,$A113)</f>
        <v>9261.928283</v>
      </c>
      <c r="CP113" s="162">
        <f>SUMIFS('Opex Departments'!CD:CD,'Opex Departments'!$B:$B,$C113,'Opex Departments'!$A:$A,$A113)</f>
        <v>9308.237925</v>
      </c>
      <c r="CQ113" s="162">
        <f>SUMIFS('Opex Departments'!CE:CE,'Opex Departments'!$B:$B,$C113,'Opex Departments'!$A:$A,$A113)</f>
        <v>9354.779114</v>
      </c>
      <c r="CR113" s="162">
        <f>SUMIFS('Opex Departments'!CF:CF,'Opex Departments'!$B:$B,$C113,'Opex Departments'!$A:$A,$A113)</f>
        <v>9401.55301</v>
      </c>
      <c r="CS113" s="162">
        <f>SUMIFS('Opex Departments'!CG:CG,'Opex Departments'!$B:$B,$C113,'Opex Departments'!$A:$A,$A113)</f>
        <v>9448.560775</v>
      </c>
      <c r="CT113" s="162">
        <f>SUMIFS('Opex Departments'!CH:CH,'Opex Departments'!$B:$B,$C113,'Opex Departments'!$A:$A,$A113)</f>
        <v>9495.803579</v>
      </c>
      <c r="CU113" s="162">
        <f>SUMIFS('Opex Departments'!CI:CI,'Opex Departments'!$B:$B,$C113,'Opex Departments'!$A:$A,$A113)</f>
        <v>9543.282597</v>
      </c>
      <c r="CV113" s="162"/>
      <c r="CW113" s="162"/>
      <c r="CX113" s="162"/>
      <c r="CY113" s="162"/>
      <c r="CZ113" s="162"/>
      <c r="DA113" s="162"/>
      <c r="DB113" s="162"/>
      <c r="DC113" s="162"/>
    </row>
    <row r="114" ht="15.75" customHeight="1">
      <c r="A114" s="144" t="s">
        <v>119</v>
      </c>
      <c r="B114" s="144"/>
      <c r="C114" s="144" t="s">
        <v>70</v>
      </c>
      <c r="D114" s="144"/>
      <c r="E114" s="144"/>
      <c r="F114" s="144"/>
      <c r="G114" s="144"/>
      <c r="H114" s="144"/>
      <c r="I114" s="144"/>
      <c r="J114" s="144"/>
      <c r="K114" s="144"/>
      <c r="L114" s="144"/>
      <c r="M114" s="144"/>
      <c r="N114" s="144"/>
      <c r="O114" s="144"/>
      <c r="P114" s="162">
        <v>4968.0</v>
      </c>
      <c r="Q114" s="162">
        <v>3300.0</v>
      </c>
      <c r="R114" s="162">
        <v>14047.0</v>
      </c>
      <c r="S114" s="162">
        <v>6103.0</v>
      </c>
      <c r="T114" s="162">
        <v>15034.0</v>
      </c>
      <c r="U114" s="162">
        <v>6390.0</v>
      </c>
      <c r="V114" s="162">
        <v>7219.0</v>
      </c>
      <c r="W114" s="162">
        <v>7052.0</v>
      </c>
      <c r="X114" s="162">
        <v>6652.0</v>
      </c>
      <c r="Y114" s="162">
        <v>17122.0</v>
      </c>
      <c r="Z114" s="162">
        <v>8198.0</v>
      </c>
      <c r="AA114" s="162">
        <v>10547.0</v>
      </c>
      <c r="AB114" s="162">
        <v>11035.0</v>
      </c>
      <c r="AC114" s="162">
        <v>8101.0</v>
      </c>
      <c r="AD114" s="162">
        <v>20209.0</v>
      </c>
      <c r="AE114" s="162">
        <v>9584.0</v>
      </c>
      <c r="AF114" s="162">
        <v>16685.0</v>
      </c>
      <c r="AG114" s="162">
        <v>17325.0</v>
      </c>
      <c r="AH114" s="162">
        <f>SUMIFS('Opex Departments'!V:V,'Opex Departments'!$B:$B,$C114,'Opex Departments'!$A:$A,$A114)</f>
        <v>4373</v>
      </c>
      <c r="AI114" s="162">
        <f>SUMIFS('Opex Departments'!W:W,'Opex Departments'!$B:$B,$C114,'Opex Departments'!$A:$A,$A114)</f>
        <v>71</v>
      </c>
      <c r="AJ114" s="162">
        <f>SUMIFS('Opex Departments'!X:X,'Opex Departments'!$B:$B,$C114,'Opex Departments'!$A:$A,$A114)</f>
        <v>1443</v>
      </c>
      <c r="AK114" s="162">
        <f>SUMIFS('Opex Departments'!Y:Y,'Opex Departments'!$B:$B,$C114,'Opex Departments'!$A:$A,$A114)</f>
        <v>4670</v>
      </c>
      <c r="AL114" s="162">
        <f>SUMIFS('Opex Departments'!Z:Z,'Opex Departments'!$B:$B,$C114,'Opex Departments'!$A:$A,$A114)</f>
        <v>2366</v>
      </c>
      <c r="AM114" s="162">
        <f>SUMIFS('Opex Departments'!AA:AA,'Opex Departments'!$B:$B,$C114,'Opex Departments'!$A:$A,$A114)</f>
        <v>623.55</v>
      </c>
      <c r="AN114" s="162">
        <f>SUMIFS('Opex Departments'!AB:AB,'Opex Departments'!$B:$B,$C114,'Opex Departments'!$A:$A,$A114)</f>
        <v>1373.55</v>
      </c>
      <c r="AO114" s="162">
        <f>SUMIFS('Opex Departments'!AC:AC,'Opex Departments'!$B:$B,$C114,'Opex Departments'!$A:$A,$A114)</f>
        <v>1373.55</v>
      </c>
      <c r="AP114" s="162">
        <f>SUMIFS('Opex Departments'!AD:AD,'Opex Departments'!$B:$B,$C114,'Opex Departments'!$A:$A,$A114)</f>
        <v>1373.55</v>
      </c>
      <c r="AQ114" s="162">
        <f>SUMIFS('Opex Departments'!AE:AE,'Opex Departments'!$B:$B,$C114,'Opex Departments'!$A:$A,$A114)</f>
        <v>1373.55</v>
      </c>
      <c r="AR114" s="162">
        <f>SUMIFS('Opex Departments'!AF:AF,'Opex Departments'!$B:$B,$C114,'Opex Departments'!$A:$A,$A114)</f>
        <v>2123.55</v>
      </c>
      <c r="AS114" s="162">
        <f>SUMIFS('Opex Departments'!AG:AG,'Opex Departments'!$B:$B,$C114,'Opex Departments'!$A:$A,$A114)</f>
        <v>2123.55</v>
      </c>
      <c r="AT114" s="162">
        <f>SUMIFS('Opex Departments'!AH:AH,'Opex Departments'!$B:$B,$C114,'Opex Departments'!$A:$A,$A114)</f>
        <v>2123.55</v>
      </c>
      <c r="AU114" s="162">
        <f>SUMIFS('Opex Departments'!AI:AI,'Opex Departments'!$B:$B,$C114,'Opex Departments'!$A:$A,$A114)</f>
        <v>2123.55</v>
      </c>
      <c r="AV114" s="162">
        <f>SUMIFS('Opex Departments'!AJ:AJ,'Opex Departments'!$B:$B,$C114,'Opex Departments'!$A:$A,$A114)</f>
        <v>2873.55</v>
      </c>
      <c r="AW114" s="162">
        <f>SUMIFS('Opex Departments'!AK:AK,'Opex Departments'!$B:$B,$C114,'Opex Departments'!$A:$A,$A114)</f>
        <v>2873.55</v>
      </c>
      <c r="AX114" s="162">
        <f>SUMIFS('Opex Departments'!AL:AL,'Opex Departments'!$B:$B,$C114,'Opex Departments'!$A:$A,$A114)</f>
        <v>2873.55</v>
      </c>
      <c r="AY114" s="162">
        <f>SUMIFS('Opex Departments'!AM:AM,'Opex Departments'!$B:$B,$C114,'Opex Departments'!$A:$A,$A114)</f>
        <v>2873.55</v>
      </c>
      <c r="AZ114" s="162">
        <f>SUMIFS('Opex Departments'!AN:AN,'Opex Departments'!$B:$B,$C114,'Opex Departments'!$A:$A,$A114)</f>
        <v>2873.55</v>
      </c>
      <c r="BA114" s="162">
        <f>SUMIFS('Opex Departments'!AO:AO,'Opex Departments'!$B:$B,$C114,'Opex Departments'!$A:$A,$A114)</f>
        <v>2873.55</v>
      </c>
      <c r="BB114" s="162">
        <f>SUMIFS('Opex Departments'!AP:AP,'Opex Departments'!$B:$B,$C114,'Opex Departments'!$A:$A,$A114)</f>
        <v>2873.55</v>
      </c>
      <c r="BC114" s="162">
        <f>SUMIFS('Opex Departments'!AQ:AQ,'Opex Departments'!$B:$B,$C114,'Opex Departments'!$A:$A,$A114)</f>
        <v>2873.55</v>
      </c>
      <c r="BD114" s="162">
        <f>SUMIFS('Opex Departments'!AR:AR,'Opex Departments'!$B:$B,$C114,'Opex Departments'!$A:$A,$A114)</f>
        <v>2873.55</v>
      </c>
      <c r="BE114" s="162">
        <f>SUMIFS('Opex Departments'!AS:AS,'Opex Departments'!$B:$B,$C114,'Opex Departments'!$A:$A,$A114)</f>
        <v>2873.55</v>
      </c>
      <c r="BF114" s="162">
        <f>SUMIFS('Opex Departments'!AT:AT,'Opex Departments'!$B:$B,$C114,'Opex Departments'!$A:$A,$A114)</f>
        <v>2873.55</v>
      </c>
      <c r="BG114" s="162">
        <f>SUMIFS('Opex Departments'!AU:AU,'Opex Departments'!$B:$B,$C114,'Opex Departments'!$A:$A,$A114)</f>
        <v>2873.55</v>
      </c>
      <c r="BH114" s="162">
        <f>SUMIFS('Opex Departments'!AV:AV,'Opex Departments'!$B:$B,$C114,'Opex Departments'!$A:$A,$A114)</f>
        <v>3473.55</v>
      </c>
      <c r="BI114" s="162">
        <f>SUMIFS('Opex Departments'!AW:AW,'Opex Departments'!$B:$B,$C114,'Opex Departments'!$A:$A,$A114)</f>
        <v>3473.55</v>
      </c>
      <c r="BJ114" s="162">
        <f>SUMIFS('Opex Departments'!AX:AX,'Opex Departments'!$B:$B,$C114,'Opex Departments'!$A:$A,$A114)</f>
        <v>3473.55</v>
      </c>
      <c r="BK114" s="162">
        <f>SUMIFS('Opex Departments'!AY:AY,'Opex Departments'!$B:$B,$C114,'Opex Departments'!$A:$A,$A114)</f>
        <v>3473.55</v>
      </c>
      <c r="BL114" s="162">
        <f>SUMIFS('Opex Departments'!AZ:AZ,'Opex Departments'!$B:$B,$C114,'Opex Departments'!$A:$A,$A114)</f>
        <v>4973.55</v>
      </c>
      <c r="BM114" s="162">
        <f>SUMIFS('Opex Departments'!BA:BA,'Opex Departments'!$B:$B,$C114,'Opex Departments'!$A:$A,$A114)</f>
        <v>4973.55</v>
      </c>
      <c r="BN114" s="162">
        <f>SUMIFS('Opex Departments'!BB:BB,'Opex Departments'!$B:$B,$C114,'Opex Departments'!$A:$A,$A114)</f>
        <v>4973.55</v>
      </c>
      <c r="BO114" s="162">
        <f>SUMIFS('Opex Departments'!BC:BC,'Opex Departments'!$B:$B,$C114,'Opex Departments'!$A:$A,$A114)</f>
        <v>4973.55</v>
      </c>
      <c r="BP114" s="162">
        <f>SUMIFS('Opex Departments'!BD:BD,'Opex Departments'!$B:$B,$C114,'Opex Departments'!$A:$A,$A114)</f>
        <v>6473.55</v>
      </c>
      <c r="BQ114" s="162">
        <f>SUMIFS('Opex Departments'!BE:BE,'Opex Departments'!$B:$B,$C114,'Opex Departments'!$A:$A,$A114)</f>
        <v>6473.55</v>
      </c>
      <c r="BR114" s="162">
        <f>SUMIFS('Opex Departments'!BF:BF,'Opex Departments'!$B:$B,$C114,'Opex Departments'!$A:$A,$A114)</f>
        <v>6473.55</v>
      </c>
      <c r="BS114" s="162">
        <f>SUMIFS('Opex Departments'!BG:BG,'Opex Departments'!$B:$B,$C114,'Opex Departments'!$A:$A,$A114)</f>
        <v>6473.55</v>
      </c>
      <c r="BT114" s="162">
        <f>SUMIFS('Opex Departments'!BH:BH,'Opex Departments'!$B:$B,$C114,'Opex Departments'!$A:$A,$A114)</f>
        <v>7973.55</v>
      </c>
      <c r="BU114" s="162">
        <f>SUMIFS('Opex Departments'!BI:BI,'Opex Departments'!$B:$B,$C114,'Opex Departments'!$A:$A,$A114)</f>
        <v>7973.55</v>
      </c>
      <c r="BV114" s="162">
        <f>SUMIFS('Opex Departments'!BJ:BJ,'Opex Departments'!$B:$B,$C114,'Opex Departments'!$A:$A,$A114)</f>
        <v>7973.55</v>
      </c>
      <c r="BW114" s="162">
        <f>SUMIFS('Opex Departments'!BK:BK,'Opex Departments'!$B:$B,$C114,'Opex Departments'!$A:$A,$A114)</f>
        <v>7973.55</v>
      </c>
      <c r="BX114" s="162">
        <f>SUMIFS('Opex Departments'!BL:BL,'Opex Departments'!$B:$B,$C114,'Opex Departments'!$A:$A,$A114)</f>
        <v>8003.55</v>
      </c>
      <c r="BY114" s="162">
        <f>SUMIFS('Opex Departments'!BM:BM,'Opex Departments'!$B:$B,$C114,'Opex Departments'!$A:$A,$A114)</f>
        <v>8003.55</v>
      </c>
      <c r="BZ114" s="162">
        <f>SUMIFS('Opex Departments'!BN:BN,'Opex Departments'!$B:$B,$C114,'Opex Departments'!$A:$A,$A114)</f>
        <v>8003.55</v>
      </c>
      <c r="CA114" s="162">
        <f>SUMIFS('Opex Departments'!BO:BO,'Opex Departments'!$B:$B,$C114,'Opex Departments'!$A:$A,$A114)</f>
        <v>8003.55</v>
      </c>
      <c r="CB114" s="162">
        <f>SUMIFS('Opex Departments'!BP:BP,'Opex Departments'!$B:$B,$C114,'Opex Departments'!$A:$A,$A114)</f>
        <v>8033.55</v>
      </c>
      <c r="CC114" s="162">
        <f>SUMIFS('Opex Departments'!BQ:BQ,'Opex Departments'!$B:$B,$C114,'Opex Departments'!$A:$A,$A114)</f>
        <v>8033.55</v>
      </c>
      <c r="CD114" s="162">
        <f>SUMIFS('Opex Departments'!BR:BR,'Opex Departments'!$B:$B,$C114,'Opex Departments'!$A:$A,$A114)</f>
        <v>8033.55</v>
      </c>
      <c r="CE114" s="162">
        <f>SUMIFS('Opex Departments'!BS:BS,'Opex Departments'!$B:$B,$C114,'Opex Departments'!$A:$A,$A114)</f>
        <v>8033.55</v>
      </c>
      <c r="CF114" s="162">
        <f>SUMIFS('Opex Departments'!BT:BT,'Opex Departments'!$B:$B,$C114,'Opex Departments'!$A:$A,$A114)</f>
        <v>8063.55</v>
      </c>
      <c r="CG114" s="162">
        <f>SUMIFS('Opex Departments'!BU:BU,'Opex Departments'!$B:$B,$C114,'Opex Departments'!$A:$A,$A114)</f>
        <v>8063.55</v>
      </c>
      <c r="CH114" s="162">
        <f>SUMIFS('Opex Departments'!BV:BV,'Opex Departments'!$B:$B,$C114,'Opex Departments'!$A:$A,$A114)</f>
        <v>8063.55</v>
      </c>
      <c r="CI114" s="162">
        <f>SUMIFS('Opex Departments'!BW:BW,'Opex Departments'!$B:$B,$C114,'Opex Departments'!$A:$A,$A114)</f>
        <v>8063.55</v>
      </c>
      <c r="CJ114" s="162">
        <f>SUMIFS('Opex Departments'!BX:BX,'Opex Departments'!$B:$B,$C114,'Opex Departments'!$A:$A,$A114)</f>
        <v>8093.55</v>
      </c>
      <c r="CK114" s="162">
        <f>SUMIFS('Opex Departments'!BY:BY,'Opex Departments'!$B:$B,$C114,'Opex Departments'!$A:$A,$A114)</f>
        <v>8093.55</v>
      </c>
      <c r="CL114" s="162">
        <f>SUMIFS('Opex Departments'!BZ:BZ,'Opex Departments'!$B:$B,$C114,'Opex Departments'!$A:$A,$A114)</f>
        <v>8093.55</v>
      </c>
      <c r="CM114" s="162">
        <f>SUMIFS('Opex Departments'!CA:CA,'Opex Departments'!$B:$B,$C114,'Opex Departments'!$A:$A,$A114)</f>
        <v>8093.55</v>
      </c>
      <c r="CN114" s="162">
        <f>SUMIFS('Opex Departments'!CB:CB,'Opex Departments'!$B:$B,$C114,'Opex Departments'!$A:$A,$A114)</f>
        <v>8123.55</v>
      </c>
      <c r="CO114" s="162">
        <f>SUMIFS('Opex Departments'!CC:CC,'Opex Departments'!$B:$B,$C114,'Opex Departments'!$A:$A,$A114)</f>
        <v>8123.55</v>
      </c>
      <c r="CP114" s="162">
        <f>SUMIFS('Opex Departments'!CD:CD,'Opex Departments'!$B:$B,$C114,'Opex Departments'!$A:$A,$A114)</f>
        <v>8123.55</v>
      </c>
      <c r="CQ114" s="162">
        <f>SUMIFS('Opex Departments'!CE:CE,'Opex Departments'!$B:$B,$C114,'Opex Departments'!$A:$A,$A114)</f>
        <v>8123.55</v>
      </c>
      <c r="CR114" s="162">
        <f>SUMIFS('Opex Departments'!CF:CF,'Opex Departments'!$B:$B,$C114,'Opex Departments'!$A:$A,$A114)</f>
        <v>8498.55</v>
      </c>
      <c r="CS114" s="162">
        <f>SUMIFS('Opex Departments'!CG:CG,'Opex Departments'!$B:$B,$C114,'Opex Departments'!$A:$A,$A114)</f>
        <v>8498.55</v>
      </c>
      <c r="CT114" s="162">
        <f>SUMIFS('Opex Departments'!CH:CH,'Opex Departments'!$B:$B,$C114,'Opex Departments'!$A:$A,$A114)</f>
        <v>8498.55</v>
      </c>
      <c r="CU114" s="162">
        <f>SUMIFS('Opex Departments'!CI:CI,'Opex Departments'!$B:$B,$C114,'Opex Departments'!$A:$A,$A114)</f>
        <v>8498.55</v>
      </c>
      <c r="CV114" s="162"/>
      <c r="CW114" s="162"/>
      <c r="CX114" s="162"/>
      <c r="CY114" s="162"/>
      <c r="CZ114" s="162"/>
      <c r="DA114" s="162"/>
      <c r="DB114" s="162"/>
      <c r="DC114" s="162"/>
    </row>
    <row r="115" ht="15.75" customHeight="1">
      <c r="A115" s="144" t="s">
        <v>119</v>
      </c>
      <c r="B115" s="144"/>
      <c r="C115" s="144" t="s">
        <v>120</v>
      </c>
      <c r="D115" s="144"/>
      <c r="E115" s="144"/>
      <c r="F115" s="144"/>
      <c r="G115" s="144"/>
      <c r="H115" s="144"/>
      <c r="I115" s="144"/>
      <c r="J115" s="144"/>
      <c r="K115" s="144"/>
      <c r="L115" s="144"/>
      <c r="M115" s="144"/>
      <c r="N115" s="144"/>
      <c r="O115" s="144"/>
      <c r="P115" s="162">
        <v>1800.0</v>
      </c>
      <c r="Q115" s="162">
        <v>3300.0</v>
      </c>
      <c r="R115" s="162">
        <v>1718.0</v>
      </c>
      <c r="S115" s="162">
        <v>8118.0</v>
      </c>
      <c r="T115" s="162">
        <v>5768.0</v>
      </c>
      <c r="U115" s="162">
        <v>1718.0</v>
      </c>
      <c r="V115" s="162">
        <v>3435.0</v>
      </c>
      <c r="W115" s="162">
        <v>1718.0</v>
      </c>
      <c r="X115" s="162" t="s">
        <v>272</v>
      </c>
      <c r="Y115" s="162" t="s">
        <v>272</v>
      </c>
      <c r="Z115" s="162" t="s">
        <v>272</v>
      </c>
      <c r="AA115" s="162" t="s">
        <v>272</v>
      </c>
      <c r="AB115" s="162" t="s">
        <v>272</v>
      </c>
      <c r="AC115" s="162">
        <v>8475.0</v>
      </c>
      <c r="AD115" s="162" t="s">
        <v>272</v>
      </c>
      <c r="AE115" s="162">
        <v>549.0</v>
      </c>
      <c r="AF115" s="162" t="s">
        <v>272</v>
      </c>
      <c r="AG115" s="162">
        <v>946.0</v>
      </c>
      <c r="AH115" s="162">
        <f>SUMIFS('Opex Departments'!V:V,'Opex Departments'!$B:$B,$C115,'Opex Departments'!$A:$A,$A115)</f>
        <v>8375</v>
      </c>
      <c r="AI115" s="162">
        <f>SUMIFS('Opex Departments'!W:W,'Opex Departments'!$B:$B,$C115,'Opex Departments'!$A:$A,$A115)</f>
        <v>9054</v>
      </c>
      <c r="AJ115" s="162">
        <f>SUMIFS('Opex Departments'!X:X,'Opex Departments'!$B:$B,$C115,'Opex Departments'!$A:$A,$A115)</f>
        <v>4942</v>
      </c>
      <c r="AK115" s="162">
        <f>SUMIFS('Opex Departments'!Y:Y,'Opex Departments'!$B:$B,$C115,'Opex Departments'!$A:$A,$A115)</f>
        <v>11510</v>
      </c>
      <c r="AL115" s="162">
        <f>SUMIFS('Opex Departments'!Z:Z,'Opex Departments'!$B:$B,$C115,'Opex Departments'!$A:$A,$A115)</f>
        <v>6968</v>
      </c>
      <c r="AM115" s="162">
        <f>SUMIFS('Opex Departments'!AA:AA,'Opex Departments'!$B:$B,$C115,'Opex Departments'!$A:$A,$A115)</f>
        <v>2253.6</v>
      </c>
      <c r="AN115" s="162">
        <f>SUMIFS('Opex Departments'!AB:AB,'Opex Departments'!$B:$B,$C115,'Opex Departments'!$A:$A,$A115)</f>
        <v>2274.1755</v>
      </c>
      <c r="AO115" s="162">
        <f>SUMIFS('Opex Departments'!AC:AC,'Opex Departments'!$B:$B,$C115,'Opex Departments'!$A:$A,$A115)</f>
        <v>53979.3083</v>
      </c>
      <c r="AP115" s="162">
        <f>SUMIFS('Opex Departments'!AD:AD,'Opex Departments'!$B:$B,$C115,'Opex Departments'!$A:$A,$A115)</f>
        <v>2541.342057</v>
      </c>
      <c r="AQ115" s="162">
        <f>SUMIFS('Opex Departments'!AE:AE,'Opex Departments'!$B:$B,$C115,'Opex Departments'!$A:$A,$A115)</f>
        <v>2554.048767</v>
      </c>
      <c r="AR115" s="162">
        <f>SUMIFS('Opex Departments'!AF:AF,'Opex Departments'!$B:$B,$C115,'Opex Departments'!$A:$A,$A115)</f>
        <v>2566.819011</v>
      </c>
      <c r="AS115" s="162">
        <f>SUMIFS('Opex Departments'!AG:AG,'Opex Departments'!$B:$B,$C115,'Opex Departments'!$A:$A,$A115)</f>
        <v>2579.653106</v>
      </c>
      <c r="AT115" s="162">
        <f>SUMIFS('Opex Departments'!AH:AH,'Opex Departments'!$B:$B,$C115,'Opex Departments'!$A:$A,$A115)</f>
        <v>56972.72527</v>
      </c>
      <c r="AU115" s="162">
        <f>SUMIFS('Opex Departments'!AI:AI,'Opex Departments'!$B:$B,$C115,'Opex Departments'!$A:$A,$A115)</f>
        <v>2670.729</v>
      </c>
      <c r="AV115" s="162">
        <f>SUMIFS('Opex Departments'!AJ:AJ,'Opex Departments'!$B:$B,$C115,'Opex Departments'!$A:$A,$A115)</f>
        <v>2684.082645</v>
      </c>
      <c r="AW115" s="162">
        <f>SUMIFS('Opex Departments'!AK:AK,'Opex Departments'!$B:$B,$C115,'Opex Departments'!$A:$A,$A115)</f>
        <v>2697.503058</v>
      </c>
      <c r="AX115" s="162">
        <f>SUMIFS('Opex Departments'!AL:AL,'Opex Departments'!$B:$B,$C115,'Opex Departments'!$A:$A,$A115)</f>
        <v>2710.990573</v>
      </c>
      <c r="AY115" s="162">
        <f>SUMIFS('Opex Departments'!AM:AM,'Opex Departments'!$B:$B,$C115,'Opex Departments'!$A:$A,$A115)</f>
        <v>2724.545526</v>
      </c>
      <c r="AZ115" s="162">
        <f>SUMIFS('Opex Departments'!AN:AN,'Opex Departments'!$B:$B,$C115,'Opex Departments'!$A:$A,$A115)</f>
        <v>58124.90669</v>
      </c>
      <c r="BA115" s="162">
        <f>SUMIFS('Opex Departments'!AO:AO,'Opex Departments'!$B:$B,$C115,'Opex Departments'!$A:$A,$A115)</f>
        <v>2728.718772</v>
      </c>
      <c r="BB115" s="162">
        <f>SUMIFS('Opex Departments'!AP:AP,'Opex Departments'!$B:$B,$C115,'Opex Departments'!$A:$A,$A115)</f>
        <v>2742.362366</v>
      </c>
      <c r="BC115" s="162">
        <f>SUMIFS('Opex Departments'!AQ:AQ,'Opex Departments'!$B:$B,$C115,'Opex Departments'!$A:$A,$A115)</f>
        <v>2756.074177</v>
      </c>
      <c r="BD115" s="162">
        <f>SUMIFS('Opex Departments'!AR:AR,'Opex Departments'!$B:$B,$C115,'Opex Departments'!$A:$A,$A115)</f>
        <v>2769.854548</v>
      </c>
      <c r="BE115" s="162">
        <f>SUMIFS('Opex Departments'!AS:AS,'Opex Departments'!$B:$B,$C115,'Opex Departments'!$A:$A,$A115)</f>
        <v>2783.703821</v>
      </c>
      <c r="BF115" s="162">
        <f>SUMIFS('Opex Departments'!AT:AT,'Opex Departments'!$B:$B,$C115,'Opex Departments'!$A:$A,$A115)</f>
        <v>54590.88271</v>
      </c>
      <c r="BG115" s="162">
        <f>SUMIFS('Opex Departments'!AU:AU,'Opex Departments'!$B:$B,$C115,'Opex Departments'!$A:$A,$A115)</f>
        <v>3141.219982</v>
      </c>
      <c r="BH115" s="162">
        <f>SUMIFS('Opex Departments'!AV:AV,'Opex Departments'!$B:$B,$C115,'Opex Departments'!$A:$A,$A115)</f>
        <v>3156.926082</v>
      </c>
      <c r="BI115" s="162">
        <f>SUMIFS('Opex Departments'!AW:AW,'Opex Departments'!$B:$B,$C115,'Opex Departments'!$A:$A,$A115)</f>
        <v>3172.710713</v>
      </c>
      <c r="BJ115" s="162">
        <f>SUMIFS('Opex Departments'!AX:AX,'Opex Departments'!$B:$B,$C115,'Opex Departments'!$A:$A,$A115)</f>
        <v>3188.574266</v>
      </c>
      <c r="BK115" s="162">
        <f>SUMIFS('Opex Departments'!AY:AY,'Opex Departments'!$B:$B,$C115,'Opex Departments'!$A:$A,$A115)</f>
        <v>3204.517137</v>
      </c>
      <c r="BL115" s="162">
        <f>SUMIFS('Opex Departments'!AZ:AZ,'Opex Departments'!$B:$B,$C115,'Opex Departments'!$A:$A,$A115)</f>
        <v>63982.9983</v>
      </c>
      <c r="BM115" s="162">
        <f>SUMIFS('Opex Departments'!BA:BA,'Opex Departments'!$B:$B,$C115,'Opex Departments'!$A:$A,$A115)</f>
        <v>3623.331448</v>
      </c>
      <c r="BN115" s="162">
        <f>SUMIFS('Opex Departments'!BB:BB,'Opex Departments'!$B:$B,$C115,'Opex Departments'!$A:$A,$A115)</f>
        <v>3641.448106</v>
      </c>
      <c r="BO115" s="162">
        <f>SUMIFS('Opex Departments'!BC:BC,'Opex Departments'!$B:$B,$C115,'Opex Departments'!$A:$A,$A115)</f>
        <v>3659.655346</v>
      </c>
      <c r="BP115" s="162">
        <f>SUMIFS('Opex Departments'!BD:BD,'Opex Departments'!$B:$B,$C115,'Opex Departments'!$A:$A,$A115)</f>
        <v>3677.953623</v>
      </c>
      <c r="BQ115" s="162">
        <f>SUMIFS('Opex Departments'!BE:BE,'Opex Departments'!$B:$B,$C115,'Opex Departments'!$A:$A,$A115)</f>
        <v>3696.343391</v>
      </c>
      <c r="BR115" s="162">
        <f>SUMIFS('Opex Departments'!BF:BF,'Opex Departments'!$B:$B,$C115,'Opex Departments'!$A:$A,$A115)</f>
        <v>68517.78868</v>
      </c>
      <c r="BS115" s="162">
        <f>SUMIFS('Opex Departments'!BG:BG,'Opex Departments'!$B:$B,$C115,'Opex Departments'!$A:$A,$A115)</f>
        <v>3862.956546</v>
      </c>
      <c r="BT115" s="162">
        <f>SUMIFS('Opex Departments'!BH:BH,'Opex Departments'!$B:$B,$C115,'Opex Departments'!$A:$A,$A115)</f>
        <v>3882.271329</v>
      </c>
      <c r="BU115" s="162">
        <f>SUMIFS('Opex Departments'!BI:BI,'Opex Departments'!$B:$B,$C115,'Opex Departments'!$A:$A,$A115)</f>
        <v>3901.682686</v>
      </c>
      <c r="BV115" s="162">
        <f>SUMIFS('Opex Departments'!BJ:BJ,'Opex Departments'!$B:$B,$C115,'Opex Departments'!$A:$A,$A115)</f>
        <v>3921.191099</v>
      </c>
      <c r="BW115" s="162">
        <f>SUMIFS('Opex Departments'!BK:BK,'Opex Departments'!$B:$B,$C115,'Opex Departments'!$A:$A,$A115)</f>
        <v>3940.797054</v>
      </c>
      <c r="BX115" s="162">
        <f>SUMIFS('Opex Departments'!BL:BL,'Opex Departments'!$B:$B,$C115,'Opex Departments'!$A:$A,$A115)</f>
        <v>66431.55832</v>
      </c>
      <c r="BY115" s="162">
        <f>SUMIFS('Opex Departments'!BM:BM,'Opex Departments'!$B:$B,$C115,'Opex Departments'!$A:$A,$A115)</f>
        <v>3771.922038</v>
      </c>
      <c r="BZ115" s="162">
        <f>SUMIFS('Opex Departments'!BN:BN,'Opex Departments'!$B:$B,$C115,'Opex Departments'!$A:$A,$A115)</f>
        <v>3790.781648</v>
      </c>
      <c r="CA115" s="162">
        <f>SUMIFS('Opex Departments'!BO:BO,'Opex Departments'!$B:$B,$C115,'Opex Departments'!$A:$A,$A115)</f>
        <v>3809.735557</v>
      </c>
      <c r="CB115" s="162">
        <f>SUMIFS('Opex Departments'!BP:BP,'Opex Departments'!$B:$B,$C115,'Opex Departments'!$A:$A,$A115)</f>
        <v>3828.784234</v>
      </c>
      <c r="CC115" s="162">
        <f>SUMIFS('Opex Departments'!BQ:BQ,'Opex Departments'!$B:$B,$C115,'Opex Departments'!$A:$A,$A115)</f>
        <v>3847.928156</v>
      </c>
      <c r="CD115" s="162">
        <f>SUMIFS('Opex Departments'!BR:BR,'Opex Departments'!$B:$B,$C115,'Opex Departments'!$A:$A,$A115)</f>
        <v>64410.55414</v>
      </c>
      <c r="CE115" s="162">
        <f>SUMIFS('Opex Departments'!BS:BS,'Opex Departments'!$B:$B,$C115,'Opex Departments'!$A:$A,$A115)</f>
        <v>3684.552162</v>
      </c>
      <c r="CF115" s="162">
        <f>SUMIFS('Opex Departments'!BT:BT,'Opex Departments'!$B:$B,$C115,'Opex Departments'!$A:$A,$A115)</f>
        <v>3702.974923</v>
      </c>
      <c r="CG115" s="162">
        <f>SUMIFS('Opex Departments'!BU:BU,'Opex Departments'!$B:$B,$C115,'Opex Departments'!$A:$A,$A115)</f>
        <v>3721.489797</v>
      </c>
      <c r="CH115" s="162">
        <f>SUMIFS('Opex Departments'!BV:BV,'Opex Departments'!$B:$B,$C115,'Opex Departments'!$A:$A,$A115)</f>
        <v>3740.097246</v>
      </c>
      <c r="CI115" s="162">
        <f>SUMIFS('Opex Departments'!BW:BW,'Opex Departments'!$B:$B,$C115,'Opex Departments'!$A:$A,$A115)</f>
        <v>3758.797733</v>
      </c>
      <c r="CJ115" s="162">
        <f>SUMIFS('Opex Departments'!BX:BX,'Opex Departments'!$B:$B,$C115,'Opex Departments'!$A:$A,$A115)</f>
        <v>62452.78931</v>
      </c>
      <c r="CK115" s="162">
        <f>SUMIFS('Opex Departments'!BY:BY,'Opex Departments'!$B:$B,$C115,'Opex Departments'!$A:$A,$A115)</f>
        <v>3600.759828</v>
      </c>
      <c r="CL115" s="162">
        <f>SUMIFS('Opex Departments'!BZ:BZ,'Opex Departments'!$B:$B,$C115,'Opex Departments'!$A:$A,$A115)</f>
        <v>3618.763627</v>
      </c>
      <c r="CM115" s="162">
        <f>SUMIFS('Opex Departments'!CA:CA,'Opex Departments'!$B:$B,$C115,'Opex Departments'!$A:$A,$A115)</f>
        <v>3636.857445</v>
      </c>
      <c r="CN115" s="162">
        <f>SUMIFS('Opex Departments'!CB:CB,'Opex Departments'!$B:$B,$C115,'Opex Departments'!$A:$A,$A115)</f>
        <v>3655.041732</v>
      </c>
      <c r="CO115" s="162">
        <f>SUMIFS('Opex Departments'!CC:CC,'Opex Departments'!$B:$B,$C115,'Opex Departments'!$A:$A,$A115)</f>
        <v>3673.316941</v>
      </c>
      <c r="CP115" s="162">
        <f>SUMIFS('Opex Departments'!CD:CD,'Opex Departments'!$B:$B,$C115,'Opex Departments'!$A:$A,$A115)</f>
        <v>54236.28848</v>
      </c>
      <c r="CQ115" s="162">
        <f>SUMIFS('Opex Departments'!CE:CE,'Opex Departments'!$B:$B,$C115,'Opex Departments'!$A:$A,$A115)</f>
        <v>3204.458892</v>
      </c>
      <c r="CR115" s="162">
        <f>SUMIFS('Opex Departments'!CF:CF,'Opex Departments'!$B:$B,$C115,'Opex Departments'!$A:$A,$A115)</f>
        <v>3220.481186</v>
      </c>
      <c r="CS115" s="162">
        <f>SUMIFS('Opex Departments'!CG:CG,'Opex Departments'!$B:$B,$C115,'Opex Departments'!$A:$A,$A115)</f>
        <v>3236.583592</v>
      </c>
      <c r="CT115" s="162">
        <f>SUMIFS('Opex Departments'!CH:CH,'Opex Departments'!$B:$B,$C115,'Opex Departments'!$A:$A,$A115)</f>
        <v>3252.76651</v>
      </c>
      <c r="CU115" s="162">
        <f>SUMIFS('Opex Departments'!CI:CI,'Opex Departments'!$B:$B,$C115,'Opex Departments'!$A:$A,$A115)</f>
        <v>3269.030343</v>
      </c>
      <c r="CV115" s="162"/>
      <c r="CW115" s="162"/>
      <c r="CX115" s="162"/>
      <c r="CY115" s="162"/>
      <c r="CZ115" s="162"/>
      <c r="DA115" s="162"/>
      <c r="DB115" s="162"/>
      <c r="DC115" s="162"/>
    </row>
    <row r="116" ht="15.75" customHeight="1">
      <c r="A116" s="144" t="s">
        <v>119</v>
      </c>
      <c r="B116" s="144"/>
      <c r="C116" s="144" t="s">
        <v>178</v>
      </c>
      <c r="D116" s="144"/>
      <c r="E116" s="144"/>
      <c r="F116" s="144"/>
      <c r="G116" s="144"/>
      <c r="H116" s="144"/>
      <c r="I116" s="144"/>
      <c r="J116" s="144"/>
      <c r="K116" s="144"/>
      <c r="L116" s="144"/>
      <c r="M116" s="144"/>
      <c r="N116" s="144"/>
      <c r="O116" s="144"/>
      <c r="P116" s="162" t="s">
        <v>272</v>
      </c>
      <c r="Q116" s="162" t="s">
        <v>272</v>
      </c>
      <c r="R116" s="162" t="s">
        <v>272</v>
      </c>
      <c r="S116" s="162" t="s">
        <v>272</v>
      </c>
      <c r="T116" s="162" t="s">
        <v>272</v>
      </c>
      <c r="U116" s="162" t="s">
        <v>272</v>
      </c>
      <c r="V116" s="162" t="s">
        <v>272</v>
      </c>
      <c r="W116" s="162" t="s">
        <v>272</v>
      </c>
      <c r="X116" s="162" t="s">
        <v>272</v>
      </c>
      <c r="Y116" s="162" t="s">
        <v>272</v>
      </c>
      <c r="Z116" s="162" t="s">
        <v>272</v>
      </c>
      <c r="AA116" s="162" t="s">
        <v>272</v>
      </c>
      <c r="AB116" s="162" t="s">
        <v>272</v>
      </c>
      <c r="AC116" s="162" t="s">
        <v>272</v>
      </c>
      <c r="AD116" s="162" t="s">
        <v>272</v>
      </c>
      <c r="AE116" s="162" t="s">
        <v>272</v>
      </c>
      <c r="AF116" s="162" t="s">
        <v>272</v>
      </c>
      <c r="AG116" s="162" t="s">
        <v>272</v>
      </c>
      <c r="AH116" s="162">
        <f>SUMIFS('Opex Departments'!V:V,'Opex Departments'!$B:$B,$C116,'Opex Departments'!$A:$A,$A116)</f>
        <v>0</v>
      </c>
      <c r="AI116" s="162">
        <f>SUMIFS('Opex Departments'!W:W,'Opex Departments'!$B:$B,$C116,'Opex Departments'!$A:$A,$A116)</f>
        <v>0</v>
      </c>
      <c r="AJ116" s="162">
        <f>SUMIFS('Opex Departments'!X:X,'Opex Departments'!$B:$B,$C116,'Opex Departments'!$A:$A,$A116)</f>
        <v>0</v>
      </c>
      <c r="AK116" s="162">
        <f>SUMIFS('Opex Departments'!Y:Y,'Opex Departments'!$B:$B,$C116,'Opex Departments'!$A:$A,$A116)</f>
        <v>0</v>
      </c>
      <c r="AL116" s="162">
        <f>SUMIFS('Opex Departments'!Z:Z,'Opex Departments'!$B:$B,$C116,'Opex Departments'!$A:$A,$A116)</f>
        <v>0</v>
      </c>
      <c r="AM116" s="162">
        <f>SUMIFS('Opex Departments'!AA:AA,'Opex Departments'!$B:$B,$C116,'Opex Departments'!$A:$A,$A116)</f>
        <v>0</v>
      </c>
      <c r="AN116" s="162">
        <f>SUMIFS('Opex Departments'!AB:AB,'Opex Departments'!$B:$B,$C116,'Opex Departments'!$A:$A,$A116)</f>
        <v>0</v>
      </c>
      <c r="AO116" s="162">
        <f>SUMIFS('Opex Departments'!AC:AC,'Opex Departments'!$B:$B,$C116,'Opex Departments'!$A:$A,$A116)</f>
        <v>0</v>
      </c>
      <c r="AP116" s="162">
        <f>SUMIFS('Opex Departments'!AD:AD,'Opex Departments'!$B:$B,$C116,'Opex Departments'!$A:$A,$A116)</f>
        <v>0</v>
      </c>
      <c r="AQ116" s="162">
        <f>SUMIFS('Opex Departments'!AE:AE,'Opex Departments'!$B:$B,$C116,'Opex Departments'!$A:$A,$A116)</f>
        <v>0</v>
      </c>
      <c r="AR116" s="162">
        <f>SUMIFS('Opex Departments'!AF:AF,'Opex Departments'!$B:$B,$C116,'Opex Departments'!$A:$A,$A116)</f>
        <v>0</v>
      </c>
      <c r="AS116" s="162">
        <f>SUMIFS('Opex Departments'!AG:AG,'Opex Departments'!$B:$B,$C116,'Opex Departments'!$A:$A,$A116)</f>
        <v>0</v>
      </c>
      <c r="AT116" s="162">
        <f>SUMIFS('Opex Departments'!AH:AH,'Opex Departments'!$B:$B,$C116,'Opex Departments'!$A:$A,$A116)</f>
        <v>0</v>
      </c>
      <c r="AU116" s="162">
        <f>SUMIFS('Opex Departments'!AI:AI,'Opex Departments'!$B:$B,$C116,'Opex Departments'!$A:$A,$A116)</f>
        <v>0</v>
      </c>
      <c r="AV116" s="162">
        <f>SUMIFS('Opex Departments'!AJ:AJ,'Opex Departments'!$B:$B,$C116,'Opex Departments'!$A:$A,$A116)</f>
        <v>0</v>
      </c>
      <c r="AW116" s="162">
        <f>SUMIFS('Opex Departments'!AK:AK,'Opex Departments'!$B:$B,$C116,'Opex Departments'!$A:$A,$A116)</f>
        <v>0</v>
      </c>
      <c r="AX116" s="162">
        <f>SUMIFS('Opex Departments'!AL:AL,'Opex Departments'!$B:$B,$C116,'Opex Departments'!$A:$A,$A116)</f>
        <v>0</v>
      </c>
      <c r="AY116" s="162">
        <f>SUMIFS('Opex Departments'!AM:AM,'Opex Departments'!$B:$B,$C116,'Opex Departments'!$A:$A,$A116)</f>
        <v>0</v>
      </c>
      <c r="AZ116" s="162">
        <f>SUMIFS('Opex Departments'!AN:AN,'Opex Departments'!$B:$B,$C116,'Opex Departments'!$A:$A,$A116)</f>
        <v>0</v>
      </c>
      <c r="BA116" s="162">
        <f>SUMIFS('Opex Departments'!AO:AO,'Opex Departments'!$B:$B,$C116,'Opex Departments'!$A:$A,$A116)</f>
        <v>0</v>
      </c>
      <c r="BB116" s="162">
        <f>SUMIFS('Opex Departments'!AP:AP,'Opex Departments'!$B:$B,$C116,'Opex Departments'!$A:$A,$A116)</f>
        <v>0</v>
      </c>
      <c r="BC116" s="162">
        <f>SUMIFS('Opex Departments'!AQ:AQ,'Opex Departments'!$B:$B,$C116,'Opex Departments'!$A:$A,$A116)</f>
        <v>0</v>
      </c>
      <c r="BD116" s="162">
        <f>SUMIFS('Opex Departments'!AR:AR,'Opex Departments'!$B:$B,$C116,'Opex Departments'!$A:$A,$A116)</f>
        <v>0</v>
      </c>
      <c r="BE116" s="162">
        <f>SUMIFS('Opex Departments'!AS:AS,'Opex Departments'!$B:$B,$C116,'Opex Departments'!$A:$A,$A116)</f>
        <v>0</v>
      </c>
      <c r="BF116" s="162">
        <f>SUMIFS('Opex Departments'!AT:AT,'Opex Departments'!$B:$B,$C116,'Opex Departments'!$A:$A,$A116)</f>
        <v>0</v>
      </c>
      <c r="BG116" s="162">
        <f>SUMIFS('Opex Departments'!AU:AU,'Opex Departments'!$B:$B,$C116,'Opex Departments'!$A:$A,$A116)</f>
        <v>0</v>
      </c>
      <c r="BH116" s="162">
        <f>SUMIFS('Opex Departments'!AV:AV,'Opex Departments'!$B:$B,$C116,'Opex Departments'!$A:$A,$A116)</f>
        <v>0</v>
      </c>
      <c r="BI116" s="162">
        <f>SUMIFS('Opex Departments'!AW:AW,'Opex Departments'!$B:$B,$C116,'Opex Departments'!$A:$A,$A116)</f>
        <v>0</v>
      </c>
      <c r="BJ116" s="162">
        <f>SUMIFS('Opex Departments'!AX:AX,'Opex Departments'!$B:$B,$C116,'Opex Departments'!$A:$A,$A116)</f>
        <v>0</v>
      </c>
      <c r="BK116" s="162">
        <f>SUMIFS('Opex Departments'!AY:AY,'Opex Departments'!$B:$B,$C116,'Opex Departments'!$A:$A,$A116)</f>
        <v>0</v>
      </c>
      <c r="BL116" s="162">
        <f>SUMIFS('Opex Departments'!AZ:AZ,'Opex Departments'!$B:$B,$C116,'Opex Departments'!$A:$A,$A116)</f>
        <v>0</v>
      </c>
      <c r="BM116" s="162">
        <f>SUMIFS('Opex Departments'!BA:BA,'Opex Departments'!$B:$B,$C116,'Opex Departments'!$A:$A,$A116)</f>
        <v>0</v>
      </c>
      <c r="BN116" s="162">
        <f>SUMIFS('Opex Departments'!BB:BB,'Opex Departments'!$B:$B,$C116,'Opex Departments'!$A:$A,$A116)</f>
        <v>0</v>
      </c>
      <c r="BO116" s="162">
        <f>SUMIFS('Opex Departments'!BC:BC,'Opex Departments'!$B:$B,$C116,'Opex Departments'!$A:$A,$A116)</f>
        <v>0</v>
      </c>
      <c r="BP116" s="162">
        <f>SUMIFS('Opex Departments'!BD:BD,'Opex Departments'!$B:$B,$C116,'Opex Departments'!$A:$A,$A116)</f>
        <v>0</v>
      </c>
      <c r="BQ116" s="162">
        <f>SUMIFS('Opex Departments'!BE:BE,'Opex Departments'!$B:$B,$C116,'Opex Departments'!$A:$A,$A116)</f>
        <v>0</v>
      </c>
      <c r="BR116" s="162">
        <f>SUMIFS('Opex Departments'!BF:BF,'Opex Departments'!$B:$B,$C116,'Opex Departments'!$A:$A,$A116)</f>
        <v>0</v>
      </c>
      <c r="BS116" s="162">
        <f>SUMIFS('Opex Departments'!BG:BG,'Opex Departments'!$B:$B,$C116,'Opex Departments'!$A:$A,$A116)</f>
        <v>0</v>
      </c>
      <c r="BT116" s="162">
        <f>SUMIFS('Opex Departments'!BH:BH,'Opex Departments'!$B:$B,$C116,'Opex Departments'!$A:$A,$A116)</f>
        <v>0</v>
      </c>
      <c r="BU116" s="162">
        <f>SUMIFS('Opex Departments'!BI:BI,'Opex Departments'!$B:$B,$C116,'Opex Departments'!$A:$A,$A116)</f>
        <v>0</v>
      </c>
      <c r="BV116" s="162">
        <f>SUMIFS('Opex Departments'!BJ:BJ,'Opex Departments'!$B:$B,$C116,'Opex Departments'!$A:$A,$A116)</f>
        <v>0</v>
      </c>
      <c r="BW116" s="162">
        <f>SUMIFS('Opex Departments'!BK:BK,'Opex Departments'!$B:$B,$C116,'Opex Departments'!$A:$A,$A116)</f>
        <v>0</v>
      </c>
      <c r="BX116" s="162">
        <f>SUMIFS('Opex Departments'!BL:BL,'Opex Departments'!$B:$B,$C116,'Opex Departments'!$A:$A,$A116)</f>
        <v>0</v>
      </c>
      <c r="BY116" s="162">
        <f>SUMIFS('Opex Departments'!BM:BM,'Opex Departments'!$B:$B,$C116,'Opex Departments'!$A:$A,$A116)</f>
        <v>0</v>
      </c>
      <c r="BZ116" s="162">
        <f>SUMIFS('Opex Departments'!BN:BN,'Opex Departments'!$B:$B,$C116,'Opex Departments'!$A:$A,$A116)</f>
        <v>0</v>
      </c>
      <c r="CA116" s="162">
        <f>SUMIFS('Opex Departments'!BO:BO,'Opex Departments'!$B:$B,$C116,'Opex Departments'!$A:$A,$A116)</f>
        <v>0</v>
      </c>
      <c r="CB116" s="162">
        <f>SUMIFS('Opex Departments'!BP:BP,'Opex Departments'!$B:$B,$C116,'Opex Departments'!$A:$A,$A116)</f>
        <v>0</v>
      </c>
      <c r="CC116" s="162">
        <f>SUMIFS('Opex Departments'!BQ:BQ,'Opex Departments'!$B:$B,$C116,'Opex Departments'!$A:$A,$A116)</f>
        <v>0</v>
      </c>
      <c r="CD116" s="162">
        <f>SUMIFS('Opex Departments'!BR:BR,'Opex Departments'!$B:$B,$C116,'Opex Departments'!$A:$A,$A116)</f>
        <v>0</v>
      </c>
      <c r="CE116" s="162">
        <f>SUMIFS('Opex Departments'!BS:BS,'Opex Departments'!$B:$B,$C116,'Opex Departments'!$A:$A,$A116)</f>
        <v>0</v>
      </c>
      <c r="CF116" s="162">
        <f>SUMIFS('Opex Departments'!BT:BT,'Opex Departments'!$B:$B,$C116,'Opex Departments'!$A:$A,$A116)</f>
        <v>0</v>
      </c>
      <c r="CG116" s="162">
        <f>SUMIFS('Opex Departments'!BU:BU,'Opex Departments'!$B:$B,$C116,'Opex Departments'!$A:$A,$A116)</f>
        <v>0</v>
      </c>
      <c r="CH116" s="162">
        <f>SUMIFS('Opex Departments'!BV:BV,'Opex Departments'!$B:$B,$C116,'Opex Departments'!$A:$A,$A116)</f>
        <v>0</v>
      </c>
      <c r="CI116" s="162">
        <f>SUMIFS('Opex Departments'!BW:BW,'Opex Departments'!$B:$B,$C116,'Opex Departments'!$A:$A,$A116)</f>
        <v>0</v>
      </c>
      <c r="CJ116" s="162">
        <f>SUMIFS('Opex Departments'!BX:BX,'Opex Departments'!$B:$B,$C116,'Opex Departments'!$A:$A,$A116)</f>
        <v>0</v>
      </c>
      <c r="CK116" s="162">
        <f>SUMIFS('Opex Departments'!BY:BY,'Opex Departments'!$B:$B,$C116,'Opex Departments'!$A:$A,$A116)</f>
        <v>0</v>
      </c>
      <c r="CL116" s="162">
        <f>SUMIFS('Opex Departments'!BZ:BZ,'Opex Departments'!$B:$B,$C116,'Opex Departments'!$A:$A,$A116)</f>
        <v>0</v>
      </c>
      <c r="CM116" s="162">
        <f>SUMIFS('Opex Departments'!CA:CA,'Opex Departments'!$B:$B,$C116,'Opex Departments'!$A:$A,$A116)</f>
        <v>0</v>
      </c>
      <c r="CN116" s="162">
        <f>SUMIFS('Opex Departments'!CB:CB,'Opex Departments'!$B:$B,$C116,'Opex Departments'!$A:$A,$A116)</f>
        <v>0</v>
      </c>
      <c r="CO116" s="162">
        <f>SUMIFS('Opex Departments'!CC:CC,'Opex Departments'!$B:$B,$C116,'Opex Departments'!$A:$A,$A116)</f>
        <v>0</v>
      </c>
      <c r="CP116" s="162">
        <f>SUMIFS('Opex Departments'!CD:CD,'Opex Departments'!$B:$B,$C116,'Opex Departments'!$A:$A,$A116)</f>
        <v>0</v>
      </c>
      <c r="CQ116" s="162">
        <f>SUMIFS('Opex Departments'!CE:CE,'Opex Departments'!$B:$B,$C116,'Opex Departments'!$A:$A,$A116)</f>
        <v>0</v>
      </c>
      <c r="CR116" s="162">
        <f>SUMIFS('Opex Departments'!CF:CF,'Opex Departments'!$B:$B,$C116,'Opex Departments'!$A:$A,$A116)</f>
        <v>0</v>
      </c>
      <c r="CS116" s="162">
        <f>SUMIFS('Opex Departments'!CG:CG,'Opex Departments'!$B:$B,$C116,'Opex Departments'!$A:$A,$A116)</f>
        <v>0</v>
      </c>
      <c r="CT116" s="162">
        <f>SUMIFS('Opex Departments'!CH:CH,'Opex Departments'!$B:$B,$C116,'Opex Departments'!$A:$A,$A116)</f>
        <v>0</v>
      </c>
      <c r="CU116" s="162">
        <f>SUMIFS('Opex Departments'!CI:CI,'Opex Departments'!$B:$B,$C116,'Opex Departments'!$A:$A,$A116)</f>
        <v>0</v>
      </c>
      <c r="CV116" s="162"/>
      <c r="CW116" s="162"/>
      <c r="CX116" s="162"/>
      <c r="CY116" s="162"/>
      <c r="CZ116" s="162"/>
      <c r="DA116" s="162"/>
      <c r="DB116" s="162"/>
      <c r="DC116" s="162"/>
    </row>
    <row r="117" ht="15.75" customHeight="1">
      <c r="A117" s="144" t="s">
        <v>119</v>
      </c>
      <c r="B117" s="144"/>
      <c r="C117" s="176" t="s">
        <v>179</v>
      </c>
      <c r="D117" s="144"/>
      <c r="E117" s="144"/>
      <c r="F117" s="144"/>
      <c r="G117" s="144"/>
      <c r="H117" s="144"/>
      <c r="I117" s="144"/>
      <c r="J117" s="144"/>
      <c r="K117" s="144"/>
      <c r="L117" s="144"/>
      <c r="M117" s="144"/>
      <c r="N117" s="144"/>
      <c r="O117" s="144"/>
      <c r="P117" s="162" t="s">
        <v>272</v>
      </c>
      <c r="Q117" s="162" t="s">
        <v>272</v>
      </c>
      <c r="R117" s="162" t="s">
        <v>272</v>
      </c>
      <c r="S117" s="162" t="s">
        <v>272</v>
      </c>
      <c r="T117" s="162" t="s">
        <v>272</v>
      </c>
      <c r="U117" s="162" t="s">
        <v>272</v>
      </c>
      <c r="V117" s="162" t="s">
        <v>272</v>
      </c>
      <c r="W117" s="162" t="s">
        <v>272</v>
      </c>
      <c r="X117" s="162" t="s">
        <v>272</v>
      </c>
      <c r="Y117" s="162">
        <v>50.0</v>
      </c>
      <c r="Z117" s="162" t="s">
        <v>272</v>
      </c>
      <c r="AA117" s="162" t="s">
        <v>272</v>
      </c>
      <c r="AB117" s="162" t="s">
        <v>272</v>
      </c>
      <c r="AC117" s="162" t="s">
        <v>272</v>
      </c>
      <c r="AD117" s="162" t="s">
        <v>272</v>
      </c>
      <c r="AE117" s="162">
        <v>11122.0</v>
      </c>
      <c r="AF117" s="162">
        <v>2252.0</v>
      </c>
      <c r="AG117" s="162">
        <v>22.0</v>
      </c>
      <c r="AH117" s="162">
        <f>SUMIFS('Opex Departments'!V:V,'Opex Departments'!$B:$B,$C117,'Opex Departments'!$A:$A,$A117)</f>
        <v>8164</v>
      </c>
      <c r="AI117" s="162">
        <f>SUMIFS('Opex Departments'!W:W,'Opex Departments'!$B:$B,$C117,'Opex Departments'!$A:$A,$A117)</f>
        <v>4205</v>
      </c>
      <c r="AJ117" s="162">
        <f>SUMIFS('Opex Departments'!X:X,'Opex Departments'!$B:$B,$C117,'Opex Departments'!$A:$A,$A117)</f>
        <v>4500</v>
      </c>
      <c r="AK117" s="162">
        <f>SUMIFS('Opex Departments'!Y:Y,'Opex Departments'!$B:$B,$C117,'Opex Departments'!$A:$A,$A117)</f>
        <v>7010</v>
      </c>
      <c r="AL117" s="162">
        <f>SUMIFS('Opex Departments'!Z:Z,'Opex Departments'!$B:$B,$C117,'Opex Departments'!$A:$A,$A117)</f>
        <v>7775</v>
      </c>
      <c r="AM117" s="162">
        <f>SUMIFS('Opex Departments'!AA:AA,'Opex Departments'!$B:$B,$C117,'Opex Departments'!$A:$A,$A117)</f>
        <v>20850.55</v>
      </c>
      <c r="AN117" s="162">
        <f>SUMIFS('Opex Departments'!AB:AB,'Opex Departments'!$B:$B,$C117,'Opex Departments'!$A:$A,$A117)</f>
        <v>11224.5</v>
      </c>
      <c r="AO117" s="162">
        <f>SUMIFS('Opex Departments'!AC:AC,'Opex Departments'!$B:$B,$C117,'Opex Departments'!$A:$A,$A117)</f>
        <v>5184.256981</v>
      </c>
      <c r="AP117" s="162">
        <f>SUMIFS('Opex Departments'!AD:AD,'Opex Departments'!$B:$B,$C117,'Opex Departments'!$A:$A,$A117)</f>
        <v>5236.099551</v>
      </c>
      <c r="AQ117" s="162">
        <f>SUMIFS('Opex Departments'!AE:AE,'Opex Departments'!$B:$B,$C117,'Opex Departments'!$A:$A,$A117)</f>
        <v>5288.460546</v>
      </c>
      <c r="AR117" s="162">
        <f>SUMIFS('Opex Departments'!AF:AF,'Opex Departments'!$B:$B,$C117,'Opex Departments'!$A:$A,$A117)</f>
        <v>42087.5</v>
      </c>
      <c r="AS117" s="162">
        <f>SUMIFS('Opex Departments'!AG:AG,'Opex Departments'!$B:$B,$C117,'Opex Departments'!$A:$A,$A117)</f>
        <v>5394.758603</v>
      </c>
      <c r="AT117" s="162">
        <f>SUMIFS('Opex Departments'!AH:AH,'Opex Departments'!$B:$B,$C117,'Opex Departments'!$A:$A,$A117)</f>
        <v>5448.706189</v>
      </c>
      <c r="AU117" s="162">
        <f>SUMIFS('Opex Departments'!AI:AI,'Opex Departments'!$B:$B,$C117,'Opex Departments'!$A:$A,$A117)</f>
        <v>5503.193251</v>
      </c>
      <c r="AV117" s="162">
        <f>SUMIFS('Opex Departments'!AJ:AJ,'Opex Departments'!$B:$B,$C117,'Opex Departments'!$A:$A,$A117)</f>
        <v>43225</v>
      </c>
      <c r="AW117" s="162">
        <f>SUMIFS('Opex Departments'!AK:AK,'Opex Departments'!$B:$B,$C117,'Opex Departments'!$A:$A,$A117)</f>
        <v>5613.807435</v>
      </c>
      <c r="AX117" s="162">
        <f>SUMIFS('Opex Departments'!AL:AL,'Opex Departments'!$B:$B,$C117,'Opex Departments'!$A:$A,$A117)</f>
        <v>5669.94551</v>
      </c>
      <c r="AY117" s="162">
        <f>SUMIFS('Opex Departments'!AM:AM,'Opex Departments'!$B:$B,$C117,'Opex Departments'!$A:$A,$A117)</f>
        <v>5726.644965</v>
      </c>
      <c r="AZ117" s="162">
        <f>SUMIFS('Opex Departments'!AN:AN,'Opex Departments'!$B:$B,$C117,'Opex Departments'!$A:$A,$A117)</f>
        <v>45727.5</v>
      </c>
      <c r="BA117" s="162">
        <f>SUMIFS('Opex Departments'!AO:AO,'Opex Departments'!$B:$B,$C117,'Opex Departments'!$A:$A,$A117)</f>
        <v>1718.16192</v>
      </c>
      <c r="BB117" s="162">
        <f>SUMIFS('Opex Departments'!AP:AP,'Opex Departments'!$B:$B,$C117,'Opex Departments'!$A:$A,$A117)</f>
        <v>1735.343539</v>
      </c>
      <c r="BC117" s="162">
        <f>SUMIFS('Opex Departments'!AQ:AQ,'Opex Departments'!$B:$B,$C117,'Opex Departments'!$A:$A,$A117)</f>
        <v>1752.696975</v>
      </c>
      <c r="BD117" s="162">
        <f>SUMIFS('Opex Departments'!AR:AR,'Opex Departments'!$B:$B,$C117,'Opex Departments'!$A:$A,$A117)</f>
        <v>46865</v>
      </c>
      <c r="BE117" s="162">
        <f>SUMIFS('Opex Departments'!AS:AS,'Opex Departments'!$B:$B,$C117,'Opex Departments'!$A:$A,$A117)</f>
        <v>1787.926184</v>
      </c>
      <c r="BF117" s="162">
        <f>SUMIFS('Opex Departments'!AT:AT,'Opex Departments'!$B:$B,$C117,'Opex Departments'!$A:$A,$A117)</f>
        <v>1805.805446</v>
      </c>
      <c r="BG117" s="162">
        <f>SUMIFS('Opex Departments'!AU:AU,'Opex Departments'!$B:$B,$C117,'Opex Departments'!$A:$A,$A117)</f>
        <v>1823.8635</v>
      </c>
      <c r="BH117" s="162">
        <f>SUMIFS('Opex Departments'!AV:AV,'Opex Departments'!$B:$B,$C117,'Opex Departments'!$A:$A,$A117)</f>
        <v>48002.5</v>
      </c>
      <c r="BI117" s="162">
        <f>SUMIFS('Opex Departments'!AW:AW,'Opex Departments'!$B:$B,$C117,'Opex Departments'!$A:$A,$A117)</f>
        <v>1860.523157</v>
      </c>
      <c r="BJ117" s="162">
        <f>SUMIFS('Opex Departments'!AX:AX,'Opex Departments'!$B:$B,$C117,'Opex Departments'!$A:$A,$A117)</f>
        <v>1879.128388</v>
      </c>
      <c r="BK117" s="162">
        <f>SUMIFS('Opex Departments'!AY:AY,'Opex Departments'!$B:$B,$C117,'Opex Departments'!$A:$A,$A117)</f>
        <v>1897.919672</v>
      </c>
      <c r="BL117" s="162">
        <f>SUMIFS('Opex Departments'!AZ:AZ,'Opex Departments'!$B:$B,$C117,'Opex Departments'!$A:$A,$A117)</f>
        <v>48912.5</v>
      </c>
      <c r="BM117" s="162">
        <f>SUMIFS('Opex Departments'!BA:BA,'Opex Departments'!$B:$B,$C117,'Opex Departments'!$A:$A,$A117)</f>
        <v>1936.067857</v>
      </c>
      <c r="BN117" s="162">
        <f>SUMIFS('Opex Departments'!BB:BB,'Opex Departments'!$B:$B,$C117,'Opex Departments'!$A:$A,$A117)</f>
        <v>1955.428536</v>
      </c>
      <c r="BO117" s="162">
        <f>SUMIFS('Opex Departments'!BC:BC,'Opex Departments'!$B:$B,$C117,'Opex Departments'!$A:$A,$A117)</f>
        <v>1974.982821</v>
      </c>
      <c r="BP117" s="162">
        <f>SUMIFS('Opex Departments'!BD:BD,'Opex Departments'!$B:$B,$C117,'Opex Departments'!$A:$A,$A117)</f>
        <v>51187.5</v>
      </c>
      <c r="BQ117" s="162">
        <f>SUMIFS('Opex Departments'!BE:BE,'Opex Departments'!$B:$B,$C117,'Opex Departments'!$A:$A,$A117)</f>
        <v>2014.679976</v>
      </c>
      <c r="BR117" s="162">
        <f>SUMIFS('Opex Departments'!BF:BF,'Opex Departments'!$B:$B,$C117,'Opex Departments'!$A:$A,$A117)</f>
        <v>2034.826776</v>
      </c>
      <c r="BS117" s="162">
        <f>SUMIFS('Opex Departments'!BG:BG,'Opex Departments'!$B:$B,$C117,'Opex Departments'!$A:$A,$A117)</f>
        <v>2055.175044</v>
      </c>
      <c r="BT117" s="162">
        <f>SUMIFS('Opex Departments'!BH:BH,'Opex Departments'!$B:$B,$C117,'Opex Departments'!$A:$A,$A117)</f>
        <v>52780</v>
      </c>
      <c r="BU117" s="162">
        <f>SUMIFS('Opex Departments'!BI:BI,'Opex Departments'!$B:$B,$C117,'Opex Departments'!$A:$A,$A117)</f>
        <v>2096.484062</v>
      </c>
      <c r="BV117" s="162">
        <f>SUMIFS('Opex Departments'!BJ:BJ,'Opex Departments'!$B:$B,$C117,'Opex Departments'!$A:$A,$A117)</f>
        <v>2117.448903</v>
      </c>
      <c r="BW117" s="162">
        <f>SUMIFS('Opex Departments'!BK:BK,'Opex Departments'!$B:$B,$C117,'Opex Departments'!$A:$A,$A117)</f>
        <v>2138.623392</v>
      </c>
      <c r="BX117" s="162">
        <f>SUMIFS('Opex Departments'!BL:BL,'Opex Departments'!$B:$B,$C117,'Opex Departments'!$A:$A,$A117)</f>
        <v>54372.5</v>
      </c>
      <c r="BY117" s="162">
        <f>SUMIFS('Opex Departments'!BM:BM,'Opex Departments'!$B:$B,$C117,'Opex Departments'!$A:$A,$A117)</f>
        <v>2181.609722</v>
      </c>
      <c r="BZ117" s="162">
        <f>SUMIFS('Opex Departments'!BN:BN,'Opex Departments'!$B:$B,$C117,'Opex Departments'!$A:$A,$A117)</f>
        <v>2203.425819</v>
      </c>
      <c r="CA117" s="162">
        <f>SUMIFS('Opex Departments'!BO:BO,'Opex Departments'!$B:$B,$C117,'Opex Departments'!$A:$A,$A117)</f>
        <v>2225.460077</v>
      </c>
      <c r="CB117" s="162">
        <f>SUMIFS('Opex Departments'!BP:BP,'Opex Departments'!$B:$B,$C117,'Opex Departments'!$A:$A,$A117)</f>
        <v>60970</v>
      </c>
      <c r="CC117" s="162">
        <f>SUMIFS('Opex Departments'!BQ:BQ,'Opex Departments'!$B:$B,$C117,'Opex Departments'!$A:$A,$A117)</f>
        <v>2270.191825</v>
      </c>
      <c r="CD117" s="162">
        <f>SUMIFS('Opex Departments'!BR:BR,'Opex Departments'!$B:$B,$C117,'Opex Departments'!$A:$A,$A117)</f>
        <v>2292.893743</v>
      </c>
      <c r="CE117" s="162">
        <f>SUMIFS('Opex Departments'!BS:BS,'Opex Departments'!$B:$B,$C117,'Opex Departments'!$A:$A,$A117)</f>
        <v>2315.82268</v>
      </c>
      <c r="CF117" s="162">
        <f>SUMIFS('Opex Departments'!BT:BT,'Opex Departments'!$B:$B,$C117,'Opex Departments'!$A:$A,$A117)</f>
        <v>62790</v>
      </c>
      <c r="CG117" s="162">
        <f>SUMIFS('Opex Departments'!BU:BU,'Opex Departments'!$B:$B,$C117,'Opex Departments'!$A:$A,$A117)</f>
        <v>2362.370716</v>
      </c>
      <c r="CH117" s="162">
        <f>SUMIFS('Opex Departments'!BV:BV,'Opex Departments'!$B:$B,$C117,'Opex Departments'!$A:$A,$A117)</f>
        <v>2385.994424</v>
      </c>
      <c r="CI117" s="162">
        <f>SUMIFS('Opex Departments'!BW:BW,'Opex Departments'!$B:$B,$C117,'Opex Departments'!$A:$A,$A117)</f>
        <v>2409.854368</v>
      </c>
      <c r="CJ117" s="162">
        <f>SUMIFS('Opex Departments'!BX:BX,'Opex Departments'!$B:$B,$C117,'Opex Departments'!$A:$A,$A117)</f>
        <v>64155</v>
      </c>
      <c r="CK117" s="162">
        <f>SUMIFS('Opex Departments'!BY:BY,'Opex Departments'!$B:$B,$C117,'Opex Departments'!$A:$A,$A117)</f>
        <v>2458.292441</v>
      </c>
      <c r="CL117" s="162">
        <f>SUMIFS('Opex Departments'!BZ:BZ,'Opex Departments'!$B:$B,$C117,'Opex Departments'!$A:$A,$A117)</f>
        <v>2482.875365</v>
      </c>
      <c r="CM117" s="162">
        <f>SUMIFS('Opex Departments'!CA:CA,'Opex Departments'!$B:$B,$C117,'Opex Departments'!$A:$A,$A117)</f>
        <v>2507.704119</v>
      </c>
      <c r="CN117" s="162">
        <f>SUMIFS('Opex Departments'!CB:CB,'Opex Departments'!$B:$B,$C117,'Opex Departments'!$A:$A,$A117)</f>
        <v>65975</v>
      </c>
      <c r="CO117" s="162">
        <f>SUMIFS('Opex Departments'!CC:CC,'Opex Departments'!$B:$B,$C117,'Opex Departments'!$A:$A,$A117)</f>
        <v>2558.108971</v>
      </c>
      <c r="CP117" s="162">
        <f>SUMIFS('Opex Departments'!CD:CD,'Opex Departments'!$B:$B,$C117,'Opex Departments'!$A:$A,$A117)</f>
        <v>2583.690061</v>
      </c>
      <c r="CQ117" s="162">
        <f>SUMIFS('Opex Departments'!CE:CE,'Opex Departments'!$B:$B,$C117,'Opex Departments'!$A:$A,$A117)</f>
        <v>2609.526962</v>
      </c>
      <c r="CR117" s="162">
        <f>SUMIFS('Opex Departments'!CF:CF,'Opex Departments'!$B:$B,$C117,'Opex Departments'!$A:$A,$A117)</f>
        <v>66885</v>
      </c>
      <c r="CS117" s="162">
        <f>SUMIFS('Opex Departments'!CG:CG,'Opex Departments'!$B:$B,$C117,'Opex Departments'!$A:$A,$A117)</f>
        <v>2661.978454</v>
      </c>
      <c r="CT117" s="162">
        <f>SUMIFS('Opex Departments'!CH:CH,'Opex Departments'!$B:$B,$C117,'Opex Departments'!$A:$A,$A117)</f>
        <v>2688.598238</v>
      </c>
      <c r="CU117" s="162">
        <f>SUMIFS('Opex Departments'!CI:CI,'Opex Departments'!$B:$B,$C117,'Opex Departments'!$A:$A,$A117)</f>
        <v>2715.484221</v>
      </c>
      <c r="CV117" s="162"/>
      <c r="CW117" s="162"/>
      <c r="CX117" s="162"/>
      <c r="CY117" s="162"/>
      <c r="CZ117" s="162"/>
      <c r="DA117" s="162"/>
      <c r="DB117" s="162"/>
      <c r="DC117" s="162"/>
    </row>
    <row r="118" ht="15.75" customHeight="1">
      <c r="A118" s="144" t="s">
        <v>119</v>
      </c>
      <c r="B118" s="144"/>
      <c r="C118" s="176" t="s">
        <v>72</v>
      </c>
      <c r="D118" s="144"/>
      <c r="E118" s="144"/>
      <c r="F118" s="144"/>
      <c r="G118" s="144"/>
      <c r="H118" s="144"/>
      <c r="I118" s="144"/>
      <c r="J118" s="144"/>
      <c r="K118" s="144"/>
      <c r="L118" s="144"/>
      <c r="M118" s="144"/>
      <c r="N118" s="144"/>
      <c r="O118" s="144"/>
      <c r="P118" s="162" t="s">
        <v>272</v>
      </c>
      <c r="Q118" s="162" t="s">
        <v>272</v>
      </c>
      <c r="R118" s="162" t="s">
        <v>272</v>
      </c>
      <c r="S118" s="162" t="s">
        <v>272</v>
      </c>
      <c r="T118" s="162" t="s">
        <v>272</v>
      </c>
      <c r="U118" s="162" t="s">
        <v>272</v>
      </c>
      <c r="V118" s="162" t="s">
        <v>272</v>
      </c>
      <c r="W118" s="162" t="s">
        <v>272</v>
      </c>
      <c r="X118" s="162" t="s">
        <v>272</v>
      </c>
      <c r="Y118" s="162" t="s">
        <v>272</v>
      </c>
      <c r="Z118" s="162" t="s">
        <v>272</v>
      </c>
      <c r="AA118" s="162" t="s">
        <v>272</v>
      </c>
      <c r="AB118" s="162" t="s">
        <v>272</v>
      </c>
      <c r="AC118" s="162" t="s">
        <v>272</v>
      </c>
      <c r="AD118" s="162" t="s">
        <v>272</v>
      </c>
      <c r="AE118" s="162" t="s">
        <v>272</v>
      </c>
      <c r="AF118" s="162" t="s">
        <v>272</v>
      </c>
      <c r="AG118" s="162" t="s">
        <v>272</v>
      </c>
      <c r="AH118" s="162">
        <f>SUMIFS('Opex Departments'!V:V,'Opex Departments'!$B:$B,$C118,'Opex Departments'!$A:$A,$A118)</f>
        <v>0</v>
      </c>
      <c r="AI118" s="162">
        <f>SUMIFS('Opex Departments'!W:W,'Opex Departments'!$B:$B,$C118,'Opex Departments'!$A:$A,$A118)</f>
        <v>0</v>
      </c>
      <c r="AJ118" s="162">
        <f>SUMIFS('Opex Departments'!X:X,'Opex Departments'!$B:$B,$C118,'Opex Departments'!$A:$A,$A118)</f>
        <v>0</v>
      </c>
      <c r="AK118" s="162">
        <f>SUMIFS('Opex Departments'!Y:Y,'Opex Departments'!$B:$B,$C118,'Opex Departments'!$A:$A,$A118)</f>
        <v>0</v>
      </c>
      <c r="AL118" s="162">
        <f>SUMIFS('Opex Departments'!Z:Z,'Opex Departments'!$B:$B,$C118,'Opex Departments'!$A:$A,$A118)</f>
        <v>0</v>
      </c>
      <c r="AM118" s="162">
        <f>SUMIFS('Opex Departments'!AA:AA,'Opex Departments'!$B:$B,$C118,'Opex Departments'!$A:$A,$A118)</f>
        <v>0</v>
      </c>
      <c r="AN118" s="162">
        <f>SUMIFS('Opex Departments'!AB:AB,'Opex Departments'!$B:$B,$C118,'Opex Departments'!$A:$A,$A118)</f>
        <v>0</v>
      </c>
      <c r="AO118" s="162">
        <f>SUMIFS('Opex Departments'!AC:AC,'Opex Departments'!$B:$B,$C118,'Opex Departments'!$A:$A,$A118)</f>
        <v>0</v>
      </c>
      <c r="AP118" s="162">
        <f>SUMIFS('Opex Departments'!AD:AD,'Opex Departments'!$B:$B,$C118,'Opex Departments'!$A:$A,$A118)</f>
        <v>0</v>
      </c>
      <c r="AQ118" s="162">
        <f>SUMIFS('Opex Departments'!AE:AE,'Opex Departments'!$B:$B,$C118,'Opex Departments'!$A:$A,$A118)</f>
        <v>0</v>
      </c>
      <c r="AR118" s="162">
        <f>SUMIFS('Opex Departments'!AF:AF,'Opex Departments'!$B:$B,$C118,'Opex Departments'!$A:$A,$A118)</f>
        <v>0</v>
      </c>
      <c r="AS118" s="162">
        <f>SUMIFS('Opex Departments'!AG:AG,'Opex Departments'!$B:$B,$C118,'Opex Departments'!$A:$A,$A118)</f>
        <v>0</v>
      </c>
      <c r="AT118" s="162">
        <f>SUMIFS('Opex Departments'!AH:AH,'Opex Departments'!$B:$B,$C118,'Opex Departments'!$A:$A,$A118)</f>
        <v>0</v>
      </c>
      <c r="AU118" s="162">
        <f>SUMIFS('Opex Departments'!AI:AI,'Opex Departments'!$B:$B,$C118,'Opex Departments'!$A:$A,$A118)</f>
        <v>0</v>
      </c>
      <c r="AV118" s="162">
        <f>SUMIFS('Opex Departments'!AJ:AJ,'Opex Departments'!$B:$B,$C118,'Opex Departments'!$A:$A,$A118)</f>
        <v>0</v>
      </c>
      <c r="AW118" s="162">
        <f>SUMIFS('Opex Departments'!AK:AK,'Opex Departments'!$B:$B,$C118,'Opex Departments'!$A:$A,$A118)</f>
        <v>0</v>
      </c>
      <c r="AX118" s="162">
        <f>SUMIFS('Opex Departments'!AL:AL,'Opex Departments'!$B:$B,$C118,'Opex Departments'!$A:$A,$A118)</f>
        <v>0</v>
      </c>
      <c r="AY118" s="162">
        <f>SUMIFS('Opex Departments'!AM:AM,'Opex Departments'!$B:$B,$C118,'Opex Departments'!$A:$A,$A118)</f>
        <v>0</v>
      </c>
      <c r="AZ118" s="162">
        <f>SUMIFS('Opex Departments'!AN:AN,'Opex Departments'!$B:$B,$C118,'Opex Departments'!$A:$A,$A118)</f>
        <v>0</v>
      </c>
      <c r="BA118" s="162">
        <f>SUMIFS('Opex Departments'!AO:AO,'Opex Departments'!$B:$B,$C118,'Opex Departments'!$A:$A,$A118)</f>
        <v>0</v>
      </c>
      <c r="BB118" s="162">
        <f>SUMIFS('Opex Departments'!AP:AP,'Opex Departments'!$B:$B,$C118,'Opex Departments'!$A:$A,$A118)</f>
        <v>0</v>
      </c>
      <c r="BC118" s="162">
        <f>SUMIFS('Opex Departments'!AQ:AQ,'Opex Departments'!$B:$B,$C118,'Opex Departments'!$A:$A,$A118)</f>
        <v>0</v>
      </c>
      <c r="BD118" s="162">
        <f>SUMIFS('Opex Departments'!AR:AR,'Opex Departments'!$B:$B,$C118,'Opex Departments'!$A:$A,$A118)</f>
        <v>0</v>
      </c>
      <c r="BE118" s="162">
        <f>SUMIFS('Opex Departments'!AS:AS,'Opex Departments'!$B:$B,$C118,'Opex Departments'!$A:$A,$A118)</f>
        <v>0</v>
      </c>
      <c r="BF118" s="162">
        <f>SUMIFS('Opex Departments'!AT:AT,'Opex Departments'!$B:$B,$C118,'Opex Departments'!$A:$A,$A118)</f>
        <v>0</v>
      </c>
      <c r="BG118" s="162">
        <f>SUMIFS('Opex Departments'!AU:AU,'Opex Departments'!$B:$B,$C118,'Opex Departments'!$A:$A,$A118)</f>
        <v>0</v>
      </c>
      <c r="BH118" s="162">
        <f>SUMIFS('Opex Departments'!AV:AV,'Opex Departments'!$B:$B,$C118,'Opex Departments'!$A:$A,$A118)</f>
        <v>0</v>
      </c>
      <c r="BI118" s="162">
        <f>SUMIFS('Opex Departments'!AW:AW,'Opex Departments'!$B:$B,$C118,'Opex Departments'!$A:$A,$A118)</f>
        <v>0</v>
      </c>
      <c r="BJ118" s="162">
        <f>SUMIFS('Opex Departments'!AX:AX,'Opex Departments'!$B:$B,$C118,'Opex Departments'!$A:$A,$A118)</f>
        <v>0</v>
      </c>
      <c r="BK118" s="162">
        <f>SUMIFS('Opex Departments'!AY:AY,'Opex Departments'!$B:$B,$C118,'Opex Departments'!$A:$A,$A118)</f>
        <v>0</v>
      </c>
      <c r="BL118" s="162">
        <f>SUMIFS('Opex Departments'!AZ:AZ,'Opex Departments'!$B:$B,$C118,'Opex Departments'!$A:$A,$A118)</f>
        <v>0</v>
      </c>
      <c r="BM118" s="162">
        <f>SUMIFS('Opex Departments'!BA:BA,'Opex Departments'!$B:$B,$C118,'Opex Departments'!$A:$A,$A118)</f>
        <v>0</v>
      </c>
      <c r="BN118" s="162">
        <f>SUMIFS('Opex Departments'!BB:BB,'Opex Departments'!$B:$B,$C118,'Opex Departments'!$A:$A,$A118)</f>
        <v>0</v>
      </c>
      <c r="BO118" s="162">
        <f>SUMIFS('Opex Departments'!BC:BC,'Opex Departments'!$B:$B,$C118,'Opex Departments'!$A:$A,$A118)</f>
        <v>0</v>
      </c>
      <c r="BP118" s="162">
        <f>SUMIFS('Opex Departments'!BD:BD,'Opex Departments'!$B:$B,$C118,'Opex Departments'!$A:$A,$A118)</f>
        <v>0</v>
      </c>
      <c r="BQ118" s="162">
        <f>SUMIFS('Opex Departments'!BE:BE,'Opex Departments'!$B:$B,$C118,'Opex Departments'!$A:$A,$A118)</f>
        <v>0</v>
      </c>
      <c r="BR118" s="162">
        <f>SUMIFS('Opex Departments'!BF:BF,'Opex Departments'!$B:$B,$C118,'Opex Departments'!$A:$A,$A118)</f>
        <v>0</v>
      </c>
      <c r="BS118" s="162">
        <f>SUMIFS('Opex Departments'!BG:BG,'Opex Departments'!$B:$B,$C118,'Opex Departments'!$A:$A,$A118)</f>
        <v>0</v>
      </c>
      <c r="BT118" s="162">
        <f>SUMIFS('Opex Departments'!BH:BH,'Opex Departments'!$B:$B,$C118,'Opex Departments'!$A:$A,$A118)</f>
        <v>0</v>
      </c>
      <c r="BU118" s="162">
        <f>SUMIFS('Opex Departments'!BI:BI,'Opex Departments'!$B:$B,$C118,'Opex Departments'!$A:$A,$A118)</f>
        <v>0</v>
      </c>
      <c r="BV118" s="162">
        <f>SUMIFS('Opex Departments'!BJ:BJ,'Opex Departments'!$B:$B,$C118,'Opex Departments'!$A:$A,$A118)</f>
        <v>0</v>
      </c>
      <c r="BW118" s="162">
        <f>SUMIFS('Opex Departments'!BK:BK,'Opex Departments'!$B:$B,$C118,'Opex Departments'!$A:$A,$A118)</f>
        <v>0</v>
      </c>
      <c r="BX118" s="162">
        <f>SUMIFS('Opex Departments'!BL:BL,'Opex Departments'!$B:$B,$C118,'Opex Departments'!$A:$A,$A118)</f>
        <v>0</v>
      </c>
      <c r="BY118" s="162">
        <f>SUMIFS('Opex Departments'!BM:BM,'Opex Departments'!$B:$B,$C118,'Opex Departments'!$A:$A,$A118)</f>
        <v>0</v>
      </c>
      <c r="BZ118" s="162">
        <f>SUMIFS('Opex Departments'!BN:BN,'Opex Departments'!$B:$B,$C118,'Opex Departments'!$A:$A,$A118)</f>
        <v>0</v>
      </c>
      <c r="CA118" s="162">
        <f>SUMIFS('Opex Departments'!BO:BO,'Opex Departments'!$B:$B,$C118,'Opex Departments'!$A:$A,$A118)</f>
        <v>0</v>
      </c>
      <c r="CB118" s="162">
        <f>SUMIFS('Opex Departments'!BP:BP,'Opex Departments'!$B:$B,$C118,'Opex Departments'!$A:$A,$A118)</f>
        <v>0</v>
      </c>
      <c r="CC118" s="162">
        <f>SUMIFS('Opex Departments'!BQ:BQ,'Opex Departments'!$B:$B,$C118,'Opex Departments'!$A:$A,$A118)</f>
        <v>0</v>
      </c>
      <c r="CD118" s="162">
        <f>SUMIFS('Opex Departments'!BR:BR,'Opex Departments'!$B:$B,$C118,'Opex Departments'!$A:$A,$A118)</f>
        <v>0</v>
      </c>
      <c r="CE118" s="162">
        <f>SUMIFS('Opex Departments'!BS:BS,'Opex Departments'!$B:$B,$C118,'Opex Departments'!$A:$A,$A118)</f>
        <v>0</v>
      </c>
      <c r="CF118" s="162">
        <f>SUMIFS('Opex Departments'!BT:BT,'Opex Departments'!$B:$B,$C118,'Opex Departments'!$A:$A,$A118)</f>
        <v>0</v>
      </c>
      <c r="CG118" s="162">
        <f>SUMIFS('Opex Departments'!BU:BU,'Opex Departments'!$B:$B,$C118,'Opex Departments'!$A:$A,$A118)</f>
        <v>0</v>
      </c>
      <c r="CH118" s="162">
        <f>SUMIFS('Opex Departments'!BV:BV,'Opex Departments'!$B:$B,$C118,'Opex Departments'!$A:$A,$A118)</f>
        <v>0</v>
      </c>
      <c r="CI118" s="162">
        <f>SUMIFS('Opex Departments'!BW:BW,'Opex Departments'!$B:$B,$C118,'Opex Departments'!$A:$A,$A118)</f>
        <v>0</v>
      </c>
      <c r="CJ118" s="162">
        <f>SUMIFS('Opex Departments'!BX:BX,'Opex Departments'!$B:$B,$C118,'Opex Departments'!$A:$A,$A118)</f>
        <v>0</v>
      </c>
      <c r="CK118" s="162">
        <f>SUMIFS('Opex Departments'!BY:BY,'Opex Departments'!$B:$B,$C118,'Opex Departments'!$A:$A,$A118)</f>
        <v>0</v>
      </c>
      <c r="CL118" s="162">
        <f>SUMIFS('Opex Departments'!BZ:BZ,'Opex Departments'!$B:$B,$C118,'Opex Departments'!$A:$A,$A118)</f>
        <v>0</v>
      </c>
      <c r="CM118" s="162">
        <f>SUMIFS('Opex Departments'!CA:CA,'Opex Departments'!$B:$B,$C118,'Opex Departments'!$A:$A,$A118)</f>
        <v>0</v>
      </c>
      <c r="CN118" s="162">
        <f>SUMIFS('Opex Departments'!CB:CB,'Opex Departments'!$B:$B,$C118,'Opex Departments'!$A:$A,$A118)</f>
        <v>0</v>
      </c>
      <c r="CO118" s="162">
        <f>SUMIFS('Opex Departments'!CC:CC,'Opex Departments'!$B:$B,$C118,'Opex Departments'!$A:$A,$A118)</f>
        <v>0</v>
      </c>
      <c r="CP118" s="162">
        <f>SUMIFS('Opex Departments'!CD:CD,'Opex Departments'!$B:$B,$C118,'Opex Departments'!$A:$A,$A118)</f>
        <v>0</v>
      </c>
      <c r="CQ118" s="162">
        <f>SUMIFS('Opex Departments'!CE:CE,'Opex Departments'!$B:$B,$C118,'Opex Departments'!$A:$A,$A118)</f>
        <v>0</v>
      </c>
      <c r="CR118" s="162">
        <f>SUMIFS('Opex Departments'!CF:CF,'Opex Departments'!$B:$B,$C118,'Opex Departments'!$A:$A,$A118)</f>
        <v>0</v>
      </c>
      <c r="CS118" s="162">
        <f>SUMIFS('Opex Departments'!CG:CG,'Opex Departments'!$B:$B,$C118,'Opex Departments'!$A:$A,$A118)</f>
        <v>0</v>
      </c>
      <c r="CT118" s="162">
        <f>SUMIFS('Opex Departments'!CH:CH,'Opex Departments'!$B:$B,$C118,'Opex Departments'!$A:$A,$A118)</f>
        <v>0</v>
      </c>
      <c r="CU118" s="162">
        <f>SUMIFS('Opex Departments'!CI:CI,'Opex Departments'!$B:$B,$C118,'Opex Departments'!$A:$A,$A118)</f>
        <v>0</v>
      </c>
      <c r="CV118" s="162"/>
      <c r="CW118" s="162"/>
      <c r="CX118" s="162"/>
      <c r="CY118" s="162"/>
      <c r="CZ118" s="162"/>
      <c r="DA118" s="162"/>
      <c r="DB118" s="162"/>
      <c r="DC118" s="162"/>
    </row>
    <row r="119" ht="15.75" customHeight="1">
      <c r="A119" s="144"/>
      <c r="B119" s="144"/>
      <c r="C119" s="145" t="s">
        <v>273</v>
      </c>
      <c r="D119" s="144"/>
      <c r="E119" s="144"/>
      <c r="F119" s="144"/>
      <c r="G119" s="144"/>
      <c r="H119" s="144"/>
      <c r="I119" s="144"/>
      <c r="J119" s="144"/>
      <c r="K119" s="144"/>
      <c r="L119" s="144"/>
      <c r="M119" s="144"/>
      <c r="N119" s="144"/>
      <c r="O119" s="144"/>
      <c r="P119" s="177">
        <v>86392.0</v>
      </c>
      <c r="Q119" s="177">
        <v>88546.0</v>
      </c>
      <c r="R119" s="177">
        <v>102642.0</v>
      </c>
      <c r="S119" s="177">
        <v>123762.0</v>
      </c>
      <c r="T119" s="177">
        <v>93054.0</v>
      </c>
      <c r="U119" s="177">
        <v>89015.0</v>
      </c>
      <c r="V119" s="177">
        <v>90188.0</v>
      </c>
      <c r="W119" s="177">
        <v>99451.0</v>
      </c>
      <c r="X119" s="177">
        <v>79380.0</v>
      </c>
      <c r="Y119" s="177">
        <v>108129.0</v>
      </c>
      <c r="Z119" s="177">
        <v>99338.0</v>
      </c>
      <c r="AA119" s="177">
        <v>135069.0</v>
      </c>
      <c r="AB119" s="177">
        <v>100365.0</v>
      </c>
      <c r="AC119" s="177">
        <v>92280.0</v>
      </c>
      <c r="AD119" s="177">
        <v>133313.0</v>
      </c>
      <c r="AE119" s="177">
        <v>134800.0</v>
      </c>
      <c r="AF119" s="177">
        <v>206998.0</v>
      </c>
      <c r="AG119" s="177">
        <v>177378.0</v>
      </c>
      <c r="AH119" s="177">
        <f t="shared" ref="AH119:CU119" si="87">SUM(AH110:AH118)</f>
        <v>49517</v>
      </c>
      <c r="AI119" s="177">
        <f t="shared" si="87"/>
        <v>36334</v>
      </c>
      <c r="AJ119" s="177">
        <f t="shared" si="87"/>
        <v>33773</v>
      </c>
      <c r="AK119" s="177">
        <f t="shared" si="87"/>
        <v>48919</v>
      </c>
      <c r="AL119" s="177">
        <f t="shared" si="87"/>
        <v>43427</v>
      </c>
      <c r="AM119" s="177">
        <f t="shared" si="87"/>
        <v>271188.9164</v>
      </c>
      <c r="AN119" s="177">
        <f t="shared" si="87"/>
        <v>308578.5223</v>
      </c>
      <c r="AO119" s="177">
        <f t="shared" si="87"/>
        <v>415252.2408</v>
      </c>
      <c r="AP119" s="177">
        <f t="shared" si="87"/>
        <v>416234.1845</v>
      </c>
      <c r="AQ119" s="177">
        <f t="shared" si="87"/>
        <v>472619.6233</v>
      </c>
      <c r="AR119" s="177">
        <f t="shared" si="87"/>
        <v>537077.2568</v>
      </c>
      <c r="AS119" s="177">
        <f t="shared" si="87"/>
        <v>501543.846</v>
      </c>
      <c r="AT119" s="177">
        <f t="shared" si="87"/>
        <v>556923.5312</v>
      </c>
      <c r="AU119" s="177">
        <f t="shared" si="87"/>
        <v>503109.0536</v>
      </c>
      <c r="AV119" s="177">
        <f t="shared" si="87"/>
        <v>561189.8086</v>
      </c>
      <c r="AW119" s="177">
        <f t="shared" si="87"/>
        <v>522397.7935</v>
      </c>
      <c r="AX119" s="177">
        <f t="shared" si="87"/>
        <v>523559.674</v>
      </c>
      <c r="AY119" s="177">
        <f t="shared" si="87"/>
        <v>525135.6898</v>
      </c>
      <c r="AZ119" s="177">
        <f t="shared" si="87"/>
        <v>628294.6651</v>
      </c>
      <c r="BA119" s="177">
        <f t="shared" si="87"/>
        <v>517888.441</v>
      </c>
      <c r="BB119" s="177">
        <f t="shared" si="87"/>
        <v>516568.2474</v>
      </c>
      <c r="BC119" s="177">
        <f t="shared" si="87"/>
        <v>517102.217</v>
      </c>
      <c r="BD119" s="177">
        <f t="shared" si="87"/>
        <v>579939.0467</v>
      </c>
      <c r="BE119" s="177">
        <f t="shared" si="87"/>
        <v>535641.7971</v>
      </c>
      <c r="BF119" s="177">
        <f t="shared" si="87"/>
        <v>587982.5729</v>
      </c>
      <c r="BG119" s="177">
        <f t="shared" si="87"/>
        <v>537070.6224</v>
      </c>
      <c r="BH119" s="177">
        <f t="shared" si="87"/>
        <v>602285.2026</v>
      </c>
      <c r="BI119" s="177">
        <f t="shared" si="87"/>
        <v>556688.3474</v>
      </c>
      <c r="BJ119" s="177">
        <f t="shared" si="87"/>
        <v>557256.7885</v>
      </c>
      <c r="BK119" s="177">
        <f t="shared" si="87"/>
        <v>557830.3683</v>
      </c>
      <c r="BL119" s="177">
        <f t="shared" si="87"/>
        <v>686543.3435</v>
      </c>
      <c r="BM119" s="177">
        <f t="shared" si="87"/>
        <v>579931.6644</v>
      </c>
      <c r="BN119" s="177">
        <f t="shared" si="87"/>
        <v>580513.5203</v>
      </c>
      <c r="BO119" s="177">
        <f t="shared" si="87"/>
        <v>581100.3763</v>
      </c>
      <c r="BP119" s="177">
        <f t="shared" si="87"/>
        <v>651740.8569</v>
      </c>
      <c r="BQ119" s="177">
        <f t="shared" si="87"/>
        <v>602765.3767</v>
      </c>
      <c r="BR119" s="177">
        <f t="shared" si="87"/>
        <v>668168.6219</v>
      </c>
      <c r="BS119" s="177">
        <f t="shared" si="87"/>
        <v>604100.6984</v>
      </c>
      <c r="BT119" s="177">
        <f t="shared" si="87"/>
        <v>677046.3893</v>
      </c>
      <c r="BU119" s="177">
        <f t="shared" si="87"/>
        <v>626958.8097</v>
      </c>
      <c r="BV119" s="177">
        <f t="shared" si="87"/>
        <v>627580.8661</v>
      </c>
      <c r="BW119" s="177">
        <f t="shared" si="87"/>
        <v>628208.3394</v>
      </c>
      <c r="BX119" s="177">
        <f t="shared" si="87"/>
        <v>766625.9311</v>
      </c>
      <c r="BY119" s="177">
        <f t="shared" si="87"/>
        <v>652457.9206</v>
      </c>
      <c r="BZ119" s="177">
        <f t="shared" si="87"/>
        <v>652117.5343</v>
      </c>
      <c r="CA119" s="177">
        <f t="shared" si="87"/>
        <v>651850.4968</v>
      </c>
      <c r="CB119" s="177">
        <f t="shared" si="87"/>
        <v>733097.9044</v>
      </c>
      <c r="CC119" s="177">
        <f t="shared" si="87"/>
        <v>675107.2908</v>
      </c>
      <c r="CD119" s="177">
        <f t="shared" si="87"/>
        <v>736391.7288</v>
      </c>
      <c r="CE119" s="177">
        <f t="shared" si="87"/>
        <v>676397.0148</v>
      </c>
      <c r="CF119" s="177">
        <f t="shared" si="87"/>
        <v>760280.9667</v>
      </c>
      <c r="CG119" s="177">
        <f t="shared" si="87"/>
        <v>700599.2975</v>
      </c>
      <c r="CH119" s="177">
        <f t="shared" si="87"/>
        <v>701378.822</v>
      </c>
      <c r="CI119" s="177">
        <f t="shared" si="87"/>
        <v>702168.7348</v>
      </c>
      <c r="CJ119" s="177">
        <f t="shared" si="87"/>
        <v>855269.7839</v>
      </c>
      <c r="CK119" s="177">
        <f t="shared" si="87"/>
        <v>735185.771</v>
      </c>
      <c r="CL119" s="177">
        <f t="shared" si="87"/>
        <v>733143.6698</v>
      </c>
      <c r="CM119" s="177">
        <f t="shared" si="87"/>
        <v>728286.1816</v>
      </c>
      <c r="CN119" s="177">
        <f t="shared" si="87"/>
        <v>816727.0917</v>
      </c>
      <c r="CO119" s="177">
        <f t="shared" si="87"/>
        <v>753771.1441</v>
      </c>
      <c r="CP119" s="177">
        <f t="shared" si="87"/>
        <v>804810.8166</v>
      </c>
      <c r="CQ119" s="177">
        <f t="shared" si="87"/>
        <v>754264.3485</v>
      </c>
      <c r="CR119" s="177">
        <f t="shared" si="87"/>
        <v>844869.643</v>
      </c>
      <c r="CS119" s="177">
        <f t="shared" si="87"/>
        <v>781138.929</v>
      </c>
      <c r="CT119" s="177">
        <f t="shared" si="87"/>
        <v>781666.2183</v>
      </c>
      <c r="CU119" s="177">
        <f t="shared" si="87"/>
        <v>782202.1011</v>
      </c>
      <c r="CV119" s="144"/>
      <c r="CW119" s="144"/>
      <c r="CX119" s="144"/>
      <c r="CY119" s="144"/>
      <c r="CZ119" s="144"/>
      <c r="DA119" s="144"/>
      <c r="DB119" s="144"/>
      <c r="DC119" s="144"/>
    </row>
    <row r="120"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c r="BC120" s="144"/>
      <c r="BD120" s="144"/>
      <c r="BE120" s="144"/>
      <c r="BF120" s="144"/>
      <c r="BG120" s="144"/>
      <c r="BH120" s="144"/>
      <c r="BI120" s="144"/>
      <c r="BJ120" s="144"/>
      <c r="BK120" s="144"/>
      <c r="BL120" s="144"/>
      <c r="BM120" s="144"/>
      <c r="BN120" s="144"/>
      <c r="BO120" s="144"/>
      <c r="BP120" s="144"/>
      <c r="BQ120" s="144"/>
      <c r="BR120" s="144"/>
      <c r="BS120" s="144"/>
      <c r="BT120" s="144"/>
      <c r="BU120" s="144"/>
      <c r="BV120" s="144"/>
      <c r="BW120" s="144"/>
      <c r="BX120" s="144"/>
      <c r="BY120" s="144"/>
      <c r="BZ120" s="144"/>
      <c r="CA120" s="144"/>
      <c r="CB120" s="144"/>
      <c r="CC120" s="144"/>
      <c r="CD120" s="144"/>
      <c r="CE120" s="144"/>
      <c r="CF120" s="144"/>
      <c r="CG120" s="144"/>
      <c r="CH120" s="144"/>
      <c r="CI120" s="144"/>
      <c r="CJ120" s="144"/>
      <c r="CK120" s="144"/>
      <c r="CL120" s="144"/>
      <c r="CM120" s="144"/>
      <c r="CN120" s="144"/>
      <c r="CO120" s="144"/>
      <c r="CP120" s="144"/>
      <c r="CQ120" s="144"/>
      <c r="CR120" s="144"/>
      <c r="CS120" s="144"/>
      <c r="CT120" s="144"/>
      <c r="CU120" s="144"/>
      <c r="CV120" s="144"/>
      <c r="CW120" s="144"/>
      <c r="CX120" s="144"/>
      <c r="CY120" s="144"/>
      <c r="CZ120" s="144"/>
      <c r="DA120" s="144"/>
      <c r="DB120" s="144"/>
      <c r="DC120" s="144"/>
    </row>
    <row r="121" ht="15.75" customHeight="1">
      <c r="A121" s="144"/>
      <c r="B121" s="144"/>
      <c r="C121" s="145" t="s">
        <v>120</v>
      </c>
      <c r="D121" s="144"/>
      <c r="E121" s="144"/>
      <c r="F121" s="144"/>
      <c r="G121" s="144"/>
      <c r="H121" s="144"/>
      <c r="I121" s="144"/>
      <c r="J121" s="144"/>
      <c r="K121" s="144"/>
      <c r="L121" s="144"/>
      <c r="M121" s="144"/>
      <c r="N121" s="144"/>
      <c r="O121" s="144"/>
      <c r="P121" s="144">
        <v>0.1065</v>
      </c>
      <c r="Q121" s="144">
        <v>0.0503</v>
      </c>
      <c r="R121" s="144">
        <v>0.07</v>
      </c>
      <c r="S121" s="144">
        <v>0.0744</v>
      </c>
      <c r="T121" s="144">
        <v>0.0466</v>
      </c>
      <c r="U121" s="144">
        <v>0.0556</v>
      </c>
      <c r="V121" s="144">
        <v>0.0332</v>
      </c>
      <c r="W121" s="144">
        <v>0.0351</v>
      </c>
      <c r="X121" s="144">
        <v>0.0322</v>
      </c>
      <c r="Y121" s="144">
        <v>0.0289</v>
      </c>
      <c r="Z121" s="144">
        <v>0.0283</v>
      </c>
      <c r="AA121" s="144">
        <v>0.0506</v>
      </c>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c r="BC121" s="144"/>
      <c r="BD121" s="144"/>
      <c r="BE121" s="144"/>
      <c r="BF121" s="144"/>
      <c r="BG121" s="144"/>
      <c r="BH121" s="144"/>
      <c r="BI121" s="144"/>
      <c r="BJ121" s="144"/>
      <c r="BK121" s="144"/>
      <c r="BL121" s="144"/>
      <c r="BM121" s="144"/>
      <c r="BN121" s="144"/>
      <c r="BO121" s="144"/>
      <c r="BP121" s="144"/>
      <c r="BQ121" s="144"/>
      <c r="BR121" s="144"/>
      <c r="BS121" s="144"/>
      <c r="BT121" s="144"/>
      <c r="BU121" s="144"/>
      <c r="BV121" s="144"/>
      <c r="BW121" s="144"/>
      <c r="BX121" s="144"/>
      <c r="BY121" s="144"/>
      <c r="BZ121" s="144"/>
      <c r="CA121" s="144"/>
      <c r="CB121" s="144"/>
      <c r="CC121" s="144"/>
      <c r="CD121" s="144"/>
      <c r="CE121" s="144"/>
      <c r="CF121" s="144"/>
      <c r="CG121" s="144"/>
      <c r="CH121" s="144"/>
      <c r="CI121" s="144"/>
      <c r="CJ121" s="144"/>
      <c r="CK121" s="144"/>
      <c r="CL121" s="144"/>
      <c r="CM121" s="144"/>
      <c r="CN121" s="144"/>
      <c r="CO121" s="144"/>
      <c r="CP121" s="144"/>
      <c r="CQ121" s="144"/>
      <c r="CR121" s="144"/>
      <c r="CS121" s="144"/>
      <c r="CT121" s="144"/>
      <c r="CU121" s="144"/>
      <c r="CV121" s="144"/>
      <c r="CW121" s="144"/>
      <c r="CX121" s="144"/>
      <c r="CY121" s="144"/>
      <c r="CZ121" s="144"/>
      <c r="DA121" s="144"/>
      <c r="DB121" s="144"/>
      <c r="DC121" s="144"/>
    </row>
    <row r="122"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row>
    <row r="123" ht="15.75" customHeight="1">
      <c r="A123" s="144" t="s">
        <v>120</v>
      </c>
      <c r="B123" s="144"/>
      <c r="C123" s="144" t="s">
        <v>175</v>
      </c>
      <c r="D123" s="144"/>
      <c r="E123" s="144"/>
      <c r="F123" s="144"/>
      <c r="G123" s="144"/>
      <c r="H123" s="144"/>
      <c r="I123" s="144"/>
      <c r="J123" s="144"/>
      <c r="K123" s="144"/>
      <c r="L123" s="144"/>
      <c r="M123" s="144"/>
      <c r="N123" s="144"/>
      <c r="O123" s="144"/>
      <c r="P123" s="162">
        <v>18784.0</v>
      </c>
      <c r="Q123" s="162">
        <v>21394.0</v>
      </c>
      <c r="R123" s="162">
        <v>24140.0</v>
      </c>
      <c r="S123" s="162">
        <v>16848.0</v>
      </c>
      <c r="T123" s="162">
        <v>29287.0</v>
      </c>
      <c r="U123" s="162">
        <v>28849.0</v>
      </c>
      <c r="V123" s="162">
        <v>31474.0</v>
      </c>
      <c r="W123" s="162">
        <v>35717.0</v>
      </c>
      <c r="X123" s="162">
        <v>37541.0</v>
      </c>
      <c r="Y123" s="162">
        <v>31670.0</v>
      </c>
      <c r="Z123" s="162">
        <v>23319.0</v>
      </c>
      <c r="AA123" s="162">
        <v>36124.0</v>
      </c>
      <c r="AB123" s="162">
        <v>38541.0</v>
      </c>
      <c r="AC123" s="162">
        <v>38265.0</v>
      </c>
      <c r="AD123" s="162">
        <v>40543.0</v>
      </c>
      <c r="AE123" s="162">
        <v>56633.0</v>
      </c>
      <c r="AF123" s="162">
        <v>59427.0</v>
      </c>
      <c r="AG123" s="162">
        <v>60985.0</v>
      </c>
      <c r="AH123" s="162">
        <f>SUMIFS('Opex Departments'!V:V,'Opex Departments'!$B:$B,$C123,'Opex Departments'!$A:$A,$A123)</f>
        <v>26879</v>
      </c>
      <c r="AI123" s="162">
        <f>SUMIFS('Opex Departments'!W:W,'Opex Departments'!$B:$B,$C123,'Opex Departments'!$A:$A,$A123)</f>
        <v>26511</v>
      </c>
      <c r="AJ123" s="162">
        <f>SUMIFS('Opex Departments'!X:X,'Opex Departments'!$B:$B,$C123,'Opex Departments'!$A:$A,$A123)</f>
        <v>29348</v>
      </c>
      <c r="AK123" s="162">
        <f>SUMIFS('Opex Departments'!Y:Y,'Opex Departments'!$B:$B,$C123,'Opex Departments'!$A:$A,$A123)</f>
        <v>22085</v>
      </c>
      <c r="AL123" s="162">
        <f>SUMIFS('Opex Departments'!Z:Z,'Opex Departments'!$B:$B,$C123,'Opex Departments'!$A:$A,$A123)</f>
        <v>28689</v>
      </c>
      <c r="AM123" s="162">
        <f>SUMIFS('Opex Departments'!AA:AA,'Opex Departments'!$B:$B,$C123,'Opex Departments'!$A:$A,$A123)</f>
        <v>120434.5777</v>
      </c>
      <c r="AN123" s="162">
        <f>SUMIFS('Opex Departments'!AB:AB,'Opex Departments'!$B:$B,$C123,'Opex Departments'!$A:$A,$A123)</f>
        <v>304229.9412</v>
      </c>
      <c r="AO123" s="162">
        <f>SUMIFS('Opex Departments'!AC:AC,'Opex Departments'!$B:$B,$C123,'Opex Departments'!$A:$A,$A123)</f>
        <v>354122.2027</v>
      </c>
      <c r="AP123" s="162">
        <f>SUMIFS('Opex Departments'!AD:AD,'Opex Departments'!$B:$B,$C123,'Opex Departments'!$A:$A,$A123)</f>
        <v>356616.0444</v>
      </c>
      <c r="AQ123" s="162">
        <f>SUMIFS('Opex Departments'!AE:AE,'Opex Departments'!$B:$B,$C123,'Opex Departments'!$A:$A,$A123)</f>
        <v>354917.563</v>
      </c>
      <c r="AR123" s="162">
        <f>SUMIFS('Opex Departments'!AF:AF,'Opex Departments'!$B:$B,$C123,'Opex Departments'!$A:$A,$A123)</f>
        <v>371691.9915</v>
      </c>
      <c r="AS123" s="162">
        <f>SUMIFS('Opex Departments'!AG:AG,'Opex Departments'!$B:$B,$C123,'Opex Departments'!$A:$A,$A123)</f>
        <v>372357.0422</v>
      </c>
      <c r="AT123" s="162">
        <f>SUMIFS('Opex Departments'!AH:AH,'Opex Departments'!$B:$B,$C123,'Opex Departments'!$A:$A,$A123)</f>
        <v>377255.7852</v>
      </c>
      <c r="AU123" s="162">
        <f>SUMIFS('Opex Departments'!AI:AI,'Opex Departments'!$B:$B,$C123,'Opex Departments'!$A:$A,$A123)</f>
        <v>377785.3897</v>
      </c>
      <c r="AV123" s="162">
        <f>SUMIFS('Opex Departments'!AJ:AJ,'Opex Departments'!$B:$B,$C123,'Opex Departments'!$A:$A,$A123)</f>
        <v>394508.7086</v>
      </c>
      <c r="AW123" s="162">
        <f>SUMIFS('Opex Departments'!AK:AK,'Opex Departments'!$B:$B,$C123,'Opex Departments'!$A:$A,$A123)</f>
        <v>394717.281</v>
      </c>
      <c r="AX123" s="162">
        <f>SUMIFS('Opex Departments'!AL:AL,'Opex Departments'!$B:$B,$C123,'Opex Departments'!$A:$A,$A123)</f>
        <v>395043.7056</v>
      </c>
      <c r="AY123" s="162">
        <f>SUMIFS('Opex Departments'!AM:AM,'Opex Departments'!$B:$B,$C123,'Opex Departments'!$A:$A,$A123)</f>
        <v>395318.6819</v>
      </c>
      <c r="AZ123" s="162">
        <f>SUMIFS('Opex Departments'!AN:AN,'Opex Departments'!$B:$B,$C123,'Opex Departments'!$A:$A,$A123)</f>
        <v>415815.9505</v>
      </c>
      <c r="BA123" s="162">
        <f>SUMIFS('Opex Departments'!AO:AO,'Opex Departments'!$B:$B,$C123,'Opex Departments'!$A:$A,$A123)</f>
        <v>415762.5159</v>
      </c>
      <c r="BB123" s="162">
        <f>SUMIFS('Opex Departments'!AP:AP,'Opex Departments'!$B:$B,$C123,'Opex Departments'!$A:$A,$A123)</f>
        <v>415892.759</v>
      </c>
      <c r="BC123" s="162">
        <f>SUMIFS('Opex Departments'!AQ:AQ,'Opex Departments'!$B:$B,$C123,'Opex Departments'!$A:$A,$A123)</f>
        <v>415955.2682</v>
      </c>
      <c r="BD123" s="162">
        <f>SUMIFS('Opex Departments'!AR:AR,'Opex Departments'!$B:$B,$C123,'Opex Departments'!$A:$A,$A123)</f>
        <v>431911.5107</v>
      </c>
      <c r="BE123" s="162">
        <f>SUMIFS('Opex Departments'!AS:AS,'Opex Departments'!$B:$B,$C123,'Opex Departments'!$A:$A,$A123)</f>
        <v>432000.5034</v>
      </c>
      <c r="BF123" s="162">
        <f>SUMIFS('Opex Departments'!AT:AT,'Opex Departments'!$B:$B,$C123,'Opex Departments'!$A:$A,$A123)</f>
        <v>437096.0259</v>
      </c>
      <c r="BG123" s="162">
        <f>SUMIFS('Opex Departments'!AU:AU,'Opex Departments'!$B:$B,$C123,'Opex Departments'!$A:$A,$A123)</f>
        <v>437217.3674</v>
      </c>
      <c r="BH123" s="162">
        <f>SUMIFS('Opex Departments'!AV:AV,'Opex Departments'!$B:$B,$C123,'Opex Departments'!$A:$A,$A123)</f>
        <v>453774.5023</v>
      </c>
      <c r="BI123" s="162">
        <f>SUMIFS('Opex Departments'!AW:AW,'Opex Departments'!$B:$B,$C123,'Opex Departments'!$A:$A,$A123)</f>
        <v>453870.0804</v>
      </c>
      <c r="BJ123" s="162">
        <f>SUMIFS('Opex Departments'!AX:AX,'Opex Departments'!$B:$B,$C123,'Opex Departments'!$A:$A,$A123)</f>
        <v>453952.9502</v>
      </c>
      <c r="BK123" s="162">
        <f>SUMIFS('Opex Departments'!AY:AY,'Opex Departments'!$B:$B,$C123,'Opex Departments'!$A:$A,$A123)</f>
        <v>454039.8485</v>
      </c>
      <c r="BL123" s="162">
        <f>SUMIFS('Opex Departments'!AZ:AZ,'Opex Departments'!$B:$B,$C123,'Opex Departments'!$A:$A,$A123)</f>
        <v>476416.4435</v>
      </c>
      <c r="BM123" s="162">
        <f>SUMIFS('Opex Departments'!BA:BA,'Opex Departments'!$B:$B,$C123,'Opex Departments'!$A:$A,$A123)</f>
        <v>481506.2592</v>
      </c>
      <c r="BN123" s="162">
        <f>SUMIFS('Opex Departments'!BB:BB,'Opex Departments'!$B:$B,$C123,'Opex Departments'!$A:$A,$A123)</f>
        <v>486661.3968</v>
      </c>
      <c r="BO123" s="162">
        <f>SUMIFS('Opex Departments'!BC:BC,'Opex Departments'!$B:$B,$C123,'Opex Departments'!$A:$A,$A123)</f>
        <v>491777.3509</v>
      </c>
      <c r="BP123" s="162">
        <f>SUMIFS('Opex Departments'!BD:BD,'Opex Departments'!$B:$B,$C123,'Opex Departments'!$A:$A,$A123)</f>
        <v>514734.903</v>
      </c>
      <c r="BQ123" s="162">
        <f>SUMIFS('Opex Departments'!BE:BE,'Opex Departments'!$B:$B,$C123,'Opex Departments'!$A:$A,$A123)</f>
        <v>519853.1136</v>
      </c>
      <c r="BR123" s="162">
        <f>SUMIFS('Opex Departments'!BF:BF,'Opex Departments'!$B:$B,$C123,'Opex Departments'!$A:$A,$A123)</f>
        <v>524972.9902</v>
      </c>
      <c r="BS123" s="162">
        <f>SUMIFS('Opex Departments'!BG:BG,'Opex Departments'!$B:$B,$C123,'Opex Departments'!$A:$A,$A123)</f>
        <v>530088.0325</v>
      </c>
      <c r="BT123" s="162">
        <f>SUMIFS('Opex Departments'!BH:BH,'Opex Departments'!$B:$B,$C123,'Opex Departments'!$A:$A,$A123)</f>
        <v>553742.2436</v>
      </c>
      <c r="BU123" s="162">
        <f>SUMIFS('Opex Departments'!BI:BI,'Opex Departments'!$B:$B,$C123,'Opex Departments'!$A:$A,$A123)</f>
        <v>558853.2702</v>
      </c>
      <c r="BV123" s="162">
        <f>SUMIFS('Opex Departments'!BJ:BJ,'Opex Departments'!$B:$B,$C123,'Opex Departments'!$A:$A,$A123)</f>
        <v>563962.5379</v>
      </c>
      <c r="BW123" s="162">
        <f>SUMIFS('Opex Departments'!BK:BK,'Opex Departments'!$B:$B,$C123,'Opex Departments'!$A:$A,$A123)</f>
        <v>569069.7585</v>
      </c>
      <c r="BX123" s="162">
        <f>SUMIFS('Opex Departments'!BL:BL,'Opex Departments'!$B:$B,$C123,'Opex Departments'!$A:$A,$A123)</f>
        <v>593531.0565</v>
      </c>
      <c r="BY123" s="162">
        <f>SUMIFS('Opex Departments'!BM:BM,'Opex Departments'!$B:$B,$C123,'Opex Departments'!$A:$A,$A123)</f>
        <v>598620.8607</v>
      </c>
      <c r="BZ123" s="162">
        <f>SUMIFS('Opex Departments'!BN:BN,'Opex Departments'!$B:$B,$C123,'Opex Departments'!$A:$A,$A123)</f>
        <v>603737.872</v>
      </c>
      <c r="CA123" s="162">
        <f>SUMIFS('Opex Departments'!BO:BO,'Opex Departments'!$B:$B,$C123,'Opex Departments'!$A:$A,$A123)</f>
        <v>608837.3314</v>
      </c>
      <c r="CB123" s="162">
        <f>SUMIFS('Opex Departments'!BP:BP,'Opex Departments'!$B:$B,$C123,'Opex Departments'!$A:$A,$A123)</f>
        <v>633997.4726</v>
      </c>
      <c r="CC123" s="162">
        <f>SUMIFS('Opex Departments'!BQ:BQ,'Opex Departments'!$B:$B,$C123,'Opex Departments'!$A:$A,$A123)</f>
        <v>639099.2374</v>
      </c>
      <c r="CD123" s="162">
        <f>SUMIFS('Opex Departments'!BR:BR,'Opex Departments'!$B:$B,$C123,'Opex Departments'!$A:$A,$A123)</f>
        <v>644202.3027</v>
      </c>
      <c r="CE123" s="162">
        <f>SUMIFS('Opex Departments'!BS:BS,'Opex Departments'!$B:$B,$C123,'Opex Departments'!$A:$A,$A123)</f>
        <v>649303.5903</v>
      </c>
      <c r="CF123" s="162">
        <f>SUMIFS('Opex Departments'!BT:BT,'Opex Departments'!$B:$B,$C123,'Opex Departments'!$A:$A,$A123)</f>
        <v>675260.2001</v>
      </c>
      <c r="CG123" s="162">
        <f>SUMIFS('Opex Departments'!BU:BU,'Opex Departments'!$B:$B,$C123,'Opex Departments'!$A:$A,$A123)</f>
        <v>680360.5141</v>
      </c>
      <c r="CH123" s="162">
        <f>SUMIFS('Opex Departments'!BV:BV,'Opex Departments'!$B:$B,$C123,'Opex Departments'!$A:$A,$A123)</f>
        <v>685460.442</v>
      </c>
      <c r="CI123" s="162">
        <f>SUMIFS('Opex Departments'!BW:BW,'Opex Departments'!$B:$B,$C123,'Opex Departments'!$A:$A,$A123)</f>
        <v>690559.8464</v>
      </c>
      <c r="CJ123" s="162">
        <f>SUMIFS('Opex Departments'!BX:BX,'Opex Departments'!$B:$B,$C123,'Opex Departments'!$A:$A,$A123)</f>
        <v>717403.3122</v>
      </c>
      <c r="CK123" s="162">
        <f>SUMIFS('Opex Departments'!BY:BY,'Opex Departments'!$B:$B,$C123,'Opex Departments'!$A:$A,$A123)</f>
        <v>722420.9876</v>
      </c>
      <c r="CL123" s="162">
        <f>SUMIFS('Opex Departments'!BZ:BZ,'Opex Departments'!$B:$B,$C123,'Opex Departments'!$A:$A,$A123)</f>
        <v>727502.4924</v>
      </c>
      <c r="CM123" s="162">
        <f>SUMIFS('Opex Departments'!CA:CA,'Opex Departments'!$B:$B,$C123,'Opex Departments'!$A:$A,$A123)</f>
        <v>732556.5124</v>
      </c>
      <c r="CN123" s="162">
        <f>SUMIFS('Opex Departments'!CB:CB,'Opex Departments'!$B:$B,$C123,'Opex Departments'!$A:$A,$A123)</f>
        <v>760184.0698</v>
      </c>
      <c r="CO123" s="162">
        <f>SUMIFS('Opex Departments'!CC:CC,'Opex Departments'!$B:$B,$C123,'Opex Departments'!$A:$A,$A123)</f>
        <v>765247.2402</v>
      </c>
      <c r="CP123" s="162">
        <f>SUMIFS('Opex Departments'!CD:CD,'Opex Departments'!$B:$B,$C123,'Opex Departments'!$A:$A,$A123)</f>
        <v>770314.3937</v>
      </c>
      <c r="CQ123" s="162">
        <f>SUMIFS('Opex Departments'!CE:CE,'Opex Departments'!$B:$B,$C123,'Opex Departments'!$A:$A,$A123)</f>
        <v>775379.6419</v>
      </c>
      <c r="CR123" s="162">
        <f>SUMIFS('Opex Departments'!CF:CF,'Opex Departments'!$B:$B,$C123,'Opex Departments'!$A:$A,$A123)</f>
        <v>803905.2997</v>
      </c>
      <c r="CS123" s="162">
        <f>SUMIFS('Opex Departments'!CG:CG,'Opex Departments'!$B:$B,$C123,'Opex Departments'!$A:$A,$A123)</f>
        <v>808970.7968</v>
      </c>
      <c r="CT123" s="162">
        <f>SUMIFS('Opex Departments'!CH:CH,'Opex Departments'!$B:$B,$C123,'Opex Departments'!$A:$A,$A123)</f>
        <v>814036.3685</v>
      </c>
      <c r="CU123" s="162">
        <f>SUMIFS('Opex Departments'!CI:CI,'Opex Departments'!$B:$B,$C123,'Opex Departments'!$A:$A,$A123)</f>
        <v>819101.6465</v>
      </c>
      <c r="CV123" s="162"/>
      <c r="CW123" s="162"/>
      <c r="CX123" s="162"/>
      <c r="CY123" s="162"/>
      <c r="CZ123" s="162"/>
      <c r="DA123" s="162"/>
      <c r="DB123" s="162"/>
      <c r="DC123" s="162"/>
    </row>
    <row r="124" ht="15.75" customHeight="1">
      <c r="A124" s="144" t="s">
        <v>120</v>
      </c>
      <c r="B124" s="144"/>
      <c r="C124" s="144" t="s">
        <v>176</v>
      </c>
      <c r="D124" s="144"/>
      <c r="E124" s="144"/>
      <c r="F124" s="144"/>
      <c r="G124" s="144"/>
      <c r="H124" s="144"/>
      <c r="I124" s="144"/>
      <c r="J124" s="144"/>
      <c r="K124" s="144"/>
      <c r="L124" s="144"/>
      <c r="M124" s="144"/>
      <c r="N124" s="144"/>
      <c r="O124" s="144"/>
      <c r="P124" s="162" t="s">
        <v>272</v>
      </c>
      <c r="Q124" s="162" t="s">
        <v>272</v>
      </c>
      <c r="R124" s="162" t="s">
        <v>272</v>
      </c>
      <c r="S124" s="162" t="s">
        <v>272</v>
      </c>
      <c r="T124" s="162" t="s">
        <v>272</v>
      </c>
      <c r="U124" s="162" t="s">
        <v>272</v>
      </c>
      <c r="V124" s="162" t="s">
        <v>272</v>
      </c>
      <c r="W124" s="162" t="s">
        <v>272</v>
      </c>
      <c r="X124" s="162" t="s">
        <v>272</v>
      </c>
      <c r="Y124" s="162">
        <v>32.0</v>
      </c>
      <c r="Z124" s="162" t="s">
        <v>272</v>
      </c>
      <c r="AA124" s="162">
        <v>8942.0</v>
      </c>
      <c r="AB124" s="162">
        <v>412.0</v>
      </c>
      <c r="AC124" s="162">
        <v>689.0</v>
      </c>
      <c r="AD124" s="162">
        <v>1480.0</v>
      </c>
      <c r="AE124" s="162" t="s">
        <v>272</v>
      </c>
      <c r="AF124" s="162" t="s">
        <v>272</v>
      </c>
      <c r="AG124" s="162" t="s">
        <v>272</v>
      </c>
      <c r="AH124" s="162">
        <f>SUMIFS('Opex Departments'!V:V,'Opex Departments'!$B:$B,$C124,'Opex Departments'!$A:$A,$A124)</f>
        <v>1517</v>
      </c>
      <c r="AI124" s="162">
        <f>SUMIFS('Opex Departments'!W:W,'Opex Departments'!$B:$B,$C124,'Opex Departments'!$A:$A,$A124)</f>
        <v>1205</v>
      </c>
      <c r="AJ124" s="162">
        <f>SUMIFS('Opex Departments'!X:X,'Opex Departments'!$B:$B,$C124,'Opex Departments'!$A:$A,$A124)</f>
        <v>3535</v>
      </c>
      <c r="AK124" s="162">
        <f>SUMIFS('Opex Departments'!Y:Y,'Opex Departments'!$B:$B,$C124,'Opex Departments'!$A:$A,$A124)</f>
        <v>2132</v>
      </c>
      <c r="AL124" s="162">
        <f>SUMIFS('Opex Departments'!Z:Z,'Opex Departments'!$B:$B,$C124,'Opex Departments'!$A:$A,$A124)</f>
        <v>1081</v>
      </c>
      <c r="AM124" s="162">
        <f>SUMIFS('Opex Departments'!AA:AA,'Opex Departments'!$B:$B,$C124,'Opex Departments'!$A:$A,$A124)</f>
        <v>19901.82449</v>
      </c>
      <c r="AN124" s="162">
        <f>SUMIFS('Opex Departments'!AB:AB,'Opex Departments'!$B:$B,$C124,'Opex Departments'!$A:$A,$A124)</f>
        <v>49738.54577</v>
      </c>
      <c r="AO124" s="162">
        <f>SUMIFS('Opex Departments'!AC:AC,'Opex Departments'!$B:$B,$C124,'Opex Departments'!$A:$A,$A124)</f>
        <v>57614.7015</v>
      </c>
      <c r="AP124" s="162">
        <f>SUMIFS('Opex Departments'!AD:AD,'Opex Departments'!$B:$B,$C124,'Opex Departments'!$A:$A,$A124)</f>
        <v>58479.89163</v>
      </c>
      <c r="AQ124" s="162">
        <f>SUMIFS('Opex Departments'!AE:AE,'Opex Departments'!$B:$B,$C124,'Opex Departments'!$A:$A,$A124)</f>
        <v>57882.2698</v>
      </c>
      <c r="AR124" s="162">
        <f>SUMIFS('Opex Departments'!AF:AF,'Opex Departments'!$B:$B,$C124,'Opex Departments'!$A:$A,$A124)</f>
        <v>60601.94059</v>
      </c>
      <c r="AS124" s="162">
        <f>SUMIFS('Opex Departments'!AG:AG,'Opex Departments'!$B:$B,$C124,'Opex Departments'!$A:$A,$A124)</f>
        <v>60731.5227</v>
      </c>
      <c r="AT124" s="162">
        <f>SUMIFS('Opex Departments'!AH:AH,'Opex Departments'!$B:$B,$C124,'Opex Departments'!$A:$A,$A124)</f>
        <v>60608.55698</v>
      </c>
      <c r="AU124" s="162">
        <f>SUMIFS('Opex Departments'!AI:AI,'Opex Departments'!$B:$B,$C124,'Opex Departments'!$A:$A,$A124)</f>
        <v>60647.34009</v>
      </c>
      <c r="AV124" s="162">
        <f>SUMIFS('Opex Departments'!AJ:AJ,'Opex Departments'!$B:$B,$C124,'Opex Departments'!$A:$A,$A124)</f>
        <v>63392.28455</v>
      </c>
      <c r="AW124" s="162">
        <f>SUMIFS('Opex Departments'!AK:AK,'Opex Departments'!$B:$B,$C124,'Opex Departments'!$A:$A,$A124)</f>
        <v>63368.58778</v>
      </c>
      <c r="AX124" s="162">
        <f>SUMIFS('Opex Departments'!AL:AL,'Opex Departments'!$B:$B,$C124,'Opex Departments'!$A:$A,$A124)</f>
        <v>63379.15274</v>
      </c>
      <c r="AY124" s="162">
        <f>SUMIFS('Opex Departments'!AM:AM,'Opex Departments'!$B:$B,$C124,'Opex Departments'!$A:$A,$A124)</f>
        <v>63380.00836</v>
      </c>
      <c r="AZ124" s="162">
        <f>SUMIFS('Opex Departments'!AN:AN,'Opex Departments'!$B:$B,$C124,'Opex Departments'!$A:$A,$A124)</f>
        <v>65910.95295</v>
      </c>
      <c r="BA124" s="162">
        <f>SUMIFS('Opex Departments'!AO:AO,'Opex Departments'!$B:$B,$C124,'Opex Departments'!$A:$A,$A124)</f>
        <v>65913.46007</v>
      </c>
      <c r="BB124" s="162">
        <f>SUMIFS('Opex Departments'!AP:AP,'Opex Departments'!$B:$B,$C124,'Opex Departments'!$A:$A,$A124)</f>
        <v>65913.18124</v>
      </c>
      <c r="BC124" s="162">
        <f>SUMIFS('Opex Departments'!AQ:AQ,'Opex Departments'!$B:$B,$C124,'Opex Departments'!$A:$A,$A124)</f>
        <v>65912.53142</v>
      </c>
      <c r="BD124" s="162">
        <f>SUMIFS('Opex Departments'!AR:AR,'Opex Departments'!$B:$B,$C124,'Opex Departments'!$A:$A,$A124)</f>
        <v>68549.57988</v>
      </c>
      <c r="BE124" s="162">
        <f>SUMIFS('Opex Departments'!AS:AS,'Opex Departments'!$B:$B,$C124,'Opex Departments'!$A:$A,$A124)</f>
        <v>68549.44219</v>
      </c>
      <c r="BF124" s="162">
        <f>SUMIFS('Opex Departments'!AT:AT,'Opex Departments'!$B:$B,$C124,'Opex Departments'!$A:$A,$A124)</f>
        <v>68549.35572</v>
      </c>
      <c r="BG124" s="162">
        <f>SUMIFS('Opex Departments'!AU:AU,'Opex Departments'!$B:$B,$C124,'Opex Departments'!$A:$A,$A124)</f>
        <v>68549.45926</v>
      </c>
      <c r="BH124" s="162">
        <f>SUMIFS('Opex Departments'!AV:AV,'Opex Departments'!$B:$B,$C124,'Opex Departments'!$A:$A,$A124)</f>
        <v>71291.39582</v>
      </c>
      <c r="BI124" s="162">
        <f>SUMIFS('Opex Departments'!AW:AW,'Opex Departments'!$B:$B,$C124,'Opex Departments'!$A:$A,$A124)</f>
        <v>71291.38791</v>
      </c>
      <c r="BJ124" s="162">
        <f>SUMIFS('Opex Departments'!AX:AX,'Opex Departments'!$B:$B,$C124,'Opex Departments'!$A:$A,$A124)</f>
        <v>71291.40672</v>
      </c>
      <c r="BK124" s="162">
        <f>SUMIFS('Opex Departments'!AY:AY,'Opex Departments'!$B:$B,$C124,'Opex Departments'!$A:$A,$A124)</f>
        <v>71291.39682</v>
      </c>
      <c r="BL124" s="162">
        <f>SUMIFS('Opex Departments'!AZ:AZ,'Opex Departments'!$B:$B,$C124,'Opex Departments'!$A:$A,$A124)</f>
        <v>74143.05304</v>
      </c>
      <c r="BM124" s="162">
        <f>SUMIFS('Opex Departments'!BA:BA,'Opex Departments'!$B:$B,$C124,'Opex Departments'!$A:$A,$A124)</f>
        <v>74143.0562</v>
      </c>
      <c r="BN124" s="162">
        <f>SUMIFS('Opex Departments'!BB:BB,'Opex Departments'!$B:$B,$C124,'Opex Departments'!$A:$A,$A124)</f>
        <v>74143.05399</v>
      </c>
      <c r="BO124" s="162">
        <f>SUMIFS('Opex Departments'!BC:BC,'Opex Departments'!$B:$B,$C124,'Opex Departments'!$A:$A,$A124)</f>
        <v>74143.05441</v>
      </c>
      <c r="BP124" s="162">
        <f>SUMIFS('Opex Departments'!BD:BD,'Opex Departments'!$B:$B,$C124,'Opex Departments'!$A:$A,$A124)</f>
        <v>77108.77706</v>
      </c>
      <c r="BQ124" s="162">
        <f>SUMIFS('Opex Departments'!BE:BE,'Opex Departments'!$B:$B,$C124,'Opex Departments'!$A:$A,$A124)</f>
        <v>77108.7766</v>
      </c>
      <c r="BR124" s="162">
        <f>SUMIFS('Opex Departments'!BF:BF,'Opex Departments'!$B:$B,$C124,'Opex Departments'!$A:$A,$A124)</f>
        <v>77108.77675</v>
      </c>
      <c r="BS124" s="162">
        <f>SUMIFS('Opex Departments'!BG:BG,'Opex Departments'!$B:$B,$C124,'Opex Departments'!$A:$A,$A124)</f>
        <v>77108.77681</v>
      </c>
      <c r="BT124" s="162">
        <f>SUMIFS('Opex Departments'!BH:BH,'Opex Departments'!$B:$B,$C124,'Opex Departments'!$A:$A,$A124)</f>
        <v>80193.12779</v>
      </c>
      <c r="BU124" s="162">
        <f>SUMIFS('Opex Departments'!BI:BI,'Opex Departments'!$B:$B,$C124,'Opex Departments'!$A:$A,$A124)</f>
        <v>80193.12783</v>
      </c>
      <c r="BV124" s="162">
        <f>SUMIFS('Opex Departments'!BJ:BJ,'Opex Departments'!$B:$B,$C124,'Opex Departments'!$A:$A,$A124)</f>
        <v>80193.12783</v>
      </c>
      <c r="BW124" s="162">
        <f>SUMIFS('Opex Departments'!BK:BK,'Opex Departments'!$B:$B,$C124,'Opex Departments'!$A:$A,$A124)</f>
        <v>80193.12782</v>
      </c>
      <c r="BX124" s="162">
        <f>SUMIFS('Opex Departments'!BL:BL,'Opex Departments'!$B:$B,$C124,'Opex Departments'!$A:$A,$A124)</f>
        <v>83400.85294</v>
      </c>
      <c r="BY124" s="162">
        <f>SUMIFS('Opex Departments'!BM:BM,'Opex Departments'!$B:$B,$C124,'Opex Departments'!$A:$A,$A124)</f>
        <v>83400.85294</v>
      </c>
      <c r="BZ124" s="162">
        <f>SUMIFS('Opex Departments'!BN:BN,'Opex Departments'!$B:$B,$C124,'Opex Departments'!$A:$A,$A124)</f>
        <v>83400.85294</v>
      </c>
      <c r="CA124" s="162">
        <f>SUMIFS('Opex Departments'!BO:BO,'Opex Departments'!$B:$B,$C124,'Opex Departments'!$A:$A,$A124)</f>
        <v>83400.85294</v>
      </c>
      <c r="CB124" s="162">
        <f>SUMIFS('Opex Departments'!BP:BP,'Opex Departments'!$B:$B,$C124,'Opex Departments'!$A:$A,$A124)</f>
        <v>86736.88705</v>
      </c>
      <c r="CC124" s="162">
        <f>SUMIFS('Opex Departments'!BQ:BQ,'Opex Departments'!$B:$B,$C124,'Opex Departments'!$A:$A,$A124)</f>
        <v>86736.88705</v>
      </c>
      <c r="CD124" s="162">
        <f>SUMIFS('Opex Departments'!BR:BR,'Opex Departments'!$B:$B,$C124,'Opex Departments'!$A:$A,$A124)</f>
        <v>86736.88705</v>
      </c>
      <c r="CE124" s="162">
        <f>SUMIFS('Opex Departments'!BS:BS,'Opex Departments'!$B:$B,$C124,'Opex Departments'!$A:$A,$A124)</f>
        <v>86736.88705</v>
      </c>
      <c r="CF124" s="162">
        <f>SUMIFS('Opex Departments'!BT:BT,'Opex Departments'!$B:$B,$C124,'Opex Departments'!$A:$A,$A124)</f>
        <v>90206.36254</v>
      </c>
      <c r="CG124" s="162">
        <f>SUMIFS('Opex Departments'!BU:BU,'Opex Departments'!$B:$B,$C124,'Opex Departments'!$A:$A,$A124)</f>
        <v>90206.36254</v>
      </c>
      <c r="CH124" s="162">
        <f>SUMIFS('Opex Departments'!BV:BV,'Opex Departments'!$B:$B,$C124,'Opex Departments'!$A:$A,$A124)</f>
        <v>90206.36254</v>
      </c>
      <c r="CI124" s="162">
        <f>SUMIFS('Opex Departments'!BW:BW,'Opex Departments'!$B:$B,$C124,'Opex Departments'!$A:$A,$A124)</f>
        <v>90206.36254</v>
      </c>
      <c r="CJ124" s="162">
        <f>SUMIFS('Opex Departments'!BX:BX,'Opex Departments'!$B:$B,$C124,'Opex Departments'!$A:$A,$A124)</f>
        <v>93814.61704</v>
      </c>
      <c r="CK124" s="162">
        <f>SUMIFS('Opex Departments'!BY:BY,'Opex Departments'!$B:$B,$C124,'Opex Departments'!$A:$A,$A124)</f>
        <v>93814.61704</v>
      </c>
      <c r="CL124" s="162">
        <f>SUMIFS('Opex Departments'!BZ:BZ,'Opex Departments'!$B:$B,$C124,'Opex Departments'!$A:$A,$A124)</f>
        <v>93814.61704</v>
      </c>
      <c r="CM124" s="162">
        <f>SUMIFS('Opex Departments'!CA:CA,'Opex Departments'!$B:$B,$C124,'Opex Departments'!$A:$A,$A124)</f>
        <v>93814.61704</v>
      </c>
      <c r="CN124" s="162">
        <f>SUMIFS('Opex Departments'!CB:CB,'Opex Departments'!$B:$B,$C124,'Opex Departments'!$A:$A,$A124)</f>
        <v>97567.20172</v>
      </c>
      <c r="CO124" s="162">
        <f>SUMIFS('Opex Departments'!CC:CC,'Opex Departments'!$B:$B,$C124,'Opex Departments'!$A:$A,$A124)</f>
        <v>97567.20172</v>
      </c>
      <c r="CP124" s="162">
        <f>SUMIFS('Opex Departments'!CD:CD,'Opex Departments'!$B:$B,$C124,'Opex Departments'!$A:$A,$A124)</f>
        <v>97567.20172</v>
      </c>
      <c r="CQ124" s="162">
        <f>SUMIFS('Opex Departments'!CE:CE,'Opex Departments'!$B:$B,$C124,'Opex Departments'!$A:$A,$A124)</f>
        <v>97567.20172</v>
      </c>
      <c r="CR124" s="162">
        <f>SUMIFS('Opex Departments'!CF:CF,'Opex Departments'!$B:$B,$C124,'Opex Departments'!$A:$A,$A124)</f>
        <v>101469.8898</v>
      </c>
      <c r="CS124" s="162">
        <f>SUMIFS('Opex Departments'!CG:CG,'Opex Departments'!$B:$B,$C124,'Opex Departments'!$A:$A,$A124)</f>
        <v>101469.8898</v>
      </c>
      <c r="CT124" s="162">
        <f>SUMIFS('Opex Departments'!CH:CH,'Opex Departments'!$B:$B,$C124,'Opex Departments'!$A:$A,$A124)</f>
        <v>101469.8898</v>
      </c>
      <c r="CU124" s="162">
        <f>SUMIFS('Opex Departments'!CI:CI,'Opex Departments'!$B:$B,$C124,'Opex Departments'!$A:$A,$A124)</f>
        <v>101469.8898</v>
      </c>
      <c r="CV124" s="162"/>
      <c r="CW124" s="162"/>
      <c r="CX124" s="162"/>
      <c r="CY124" s="162"/>
      <c r="CZ124" s="162"/>
      <c r="DA124" s="162"/>
      <c r="DB124" s="162"/>
      <c r="DC124" s="162"/>
    </row>
    <row r="125" ht="15.75" customHeight="1">
      <c r="A125" s="144" t="s">
        <v>120</v>
      </c>
      <c r="B125" s="144"/>
      <c r="C125" s="146" t="s">
        <v>177</v>
      </c>
      <c r="D125" s="144"/>
      <c r="E125" s="144"/>
      <c r="F125" s="144"/>
      <c r="G125" s="144"/>
      <c r="H125" s="144"/>
      <c r="I125" s="144"/>
      <c r="J125" s="144"/>
      <c r="K125" s="144"/>
      <c r="L125" s="144"/>
      <c r="M125" s="144"/>
      <c r="N125" s="144"/>
      <c r="O125" s="144"/>
      <c r="P125" s="162" t="s">
        <v>272</v>
      </c>
      <c r="Q125" s="162" t="s">
        <v>272</v>
      </c>
      <c r="R125" s="162" t="s">
        <v>272</v>
      </c>
      <c r="S125" s="162" t="s">
        <v>272</v>
      </c>
      <c r="T125" s="162" t="s">
        <v>272</v>
      </c>
      <c r="U125" s="162" t="s">
        <v>272</v>
      </c>
      <c r="V125" s="162" t="s">
        <v>272</v>
      </c>
      <c r="W125" s="162" t="s">
        <v>272</v>
      </c>
      <c r="X125" s="162" t="s">
        <v>272</v>
      </c>
      <c r="Y125" s="162" t="s">
        <v>272</v>
      </c>
      <c r="Z125" s="162" t="s">
        <v>272</v>
      </c>
      <c r="AA125" s="162" t="s">
        <v>272</v>
      </c>
      <c r="AB125" s="162" t="s">
        <v>272</v>
      </c>
      <c r="AC125" s="162" t="s">
        <v>272</v>
      </c>
      <c r="AD125" s="162" t="s">
        <v>272</v>
      </c>
      <c r="AE125" s="162" t="s">
        <v>272</v>
      </c>
      <c r="AF125" s="162" t="s">
        <v>272</v>
      </c>
      <c r="AG125" s="162" t="s">
        <v>272</v>
      </c>
      <c r="AH125" s="162">
        <f>SUMIFS('Opex Departments'!V:V,'Opex Departments'!$B:$B,$C125,'Opex Departments'!$A:$A,$A125)</f>
        <v>4238</v>
      </c>
      <c r="AI125" s="162">
        <f>SUMIFS('Opex Departments'!W:W,'Opex Departments'!$B:$B,$C125,'Opex Departments'!$A:$A,$A125)</f>
        <v>2932</v>
      </c>
      <c r="AJ125" s="162">
        <f>SUMIFS('Opex Departments'!X:X,'Opex Departments'!$B:$B,$C125,'Opex Departments'!$A:$A,$A125)</f>
        <v>423</v>
      </c>
      <c r="AK125" s="162">
        <f>SUMIFS('Opex Departments'!Y:Y,'Opex Departments'!$B:$B,$C125,'Opex Departments'!$A:$A,$A125)</f>
        <v>861</v>
      </c>
      <c r="AL125" s="162">
        <f>SUMIFS('Opex Departments'!Z:Z,'Opex Departments'!$B:$B,$C125,'Opex Departments'!$A:$A,$A125)</f>
        <v>2456</v>
      </c>
      <c r="AM125" s="162">
        <f>SUMIFS('Opex Departments'!AA:AA,'Opex Departments'!$B:$B,$C125,'Opex Departments'!$A:$A,$A125)</f>
        <v>0</v>
      </c>
      <c r="AN125" s="162">
        <f>SUMIFS('Opex Departments'!AB:AB,'Opex Departments'!$B:$B,$C125,'Opex Departments'!$A:$A,$A125)</f>
        <v>0</v>
      </c>
      <c r="AO125" s="162">
        <f>SUMIFS('Opex Departments'!AC:AC,'Opex Departments'!$B:$B,$C125,'Opex Departments'!$A:$A,$A125)</f>
        <v>0</v>
      </c>
      <c r="AP125" s="162">
        <f>SUMIFS('Opex Departments'!AD:AD,'Opex Departments'!$B:$B,$C125,'Opex Departments'!$A:$A,$A125)</f>
        <v>0</v>
      </c>
      <c r="AQ125" s="162">
        <f>SUMIFS('Opex Departments'!AE:AE,'Opex Departments'!$B:$B,$C125,'Opex Departments'!$A:$A,$A125)</f>
        <v>0</v>
      </c>
      <c r="AR125" s="162">
        <f>SUMIFS('Opex Departments'!AF:AF,'Opex Departments'!$B:$B,$C125,'Opex Departments'!$A:$A,$A125)</f>
        <v>0</v>
      </c>
      <c r="AS125" s="162">
        <f>SUMIFS('Opex Departments'!AG:AG,'Opex Departments'!$B:$B,$C125,'Opex Departments'!$A:$A,$A125)</f>
        <v>0</v>
      </c>
      <c r="AT125" s="162">
        <f>SUMIFS('Opex Departments'!AH:AH,'Opex Departments'!$B:$B,$C125,'Opex Departments'!$A:$A,$A125)</f>
        <v>0</v>
      </c>
      <c r="AU125" s="162">
        <f>SUMIFS('Opex Departments'!AI:AI,'Opex Departments'!$B:$B,$C125,'Opex Departments'!$A:$A,$A125)</f>
        <v>0</v>
      </c>
      <c r="AV125" s="162">
        <f>SUMIFS('Opex Departments'!AJ:AJ,'Opex Departments'!$B:$B,$C125,'Opex Departments'!$A:$A,$A125)</f>
        <v>0</v>
      </c>
      <c r="AW125" s="162">
        <f>SUMIFS('Opex Departments'!AK:AK,'Opex Departments'!$B:$B,$C125,'Opex Departments'!$A:$A,$A125)</f>
        <v>0</v>
      </c>
      <c r="AX125" s="162">
        <f>SUMIFS('Opex Departments'!AL:AL,'Opex Departments'!$B:$B,$C125,'Opex Departments'!$A:$A,$A125)</f>
        <v>0</v>
      </c>
      <c r="AY125" s="162">
        <f>SUMIFS('Opex Departments'!AM:AM,'Opex Departments'!$B:$B,$C125,'Opex Departments'!$A:$A,$A125)</f>
        <v>0</v>
      </c>
      <c r="AZ125" s="162">
        <f>SUMIFS('Opex Departments'!AN:AN,'Opex Departments'!$B:$B,$C125,'Opex Departments'!$A:$A,$A125)</f>
        <v>0</v>
      </c>
      <c r="BA125" s="162">
        <f>SUMIFS('Opex Departments'!AO:AO,'Opex Departments'!$B:$B,$C125,'Opex Departments'!$A:$A,$A125)</f>
        <v>0</v>
      </c>
      <c r="BB125" s="162">
        <f>SUMIFS('Opex Departments'!AP:AP,'Opex Departments'!$B:$B,$C125,'Opex Departments'!$A:$A,$A125)</f>
        <v>0</v>
      </c>
      <c r="BC125" s="162">
        <f>SUMIFS('Opex Departments'!AQ:AQ,'Opex Departments'!$B:$B,$C125,'Opex Departments'!$A:$A,$A125)</f>
        <v>0</v>
      </c>
      <c r="BD125" s="162">
        <f>SUMIFS('Opex Departments'!AR:AR,'Opex Departments'!$B:$B,$C125,'Opex Departments'!$A:$A,$A125)</f>
        <v>0</v>
      </c>
      <c r="BE125" s="162">
        <f>SUMIFS('Opex Departments'!AS:AS,'Opex Departments'!$B:$B,$C125,'Opex Departments'!$A:$A,$A125)</f>
        <v>0</v>
      </c>
      <c r="BF125" s="162">
        <f>SUMIFS('Opex Departments'!AT:AT,'Opex Departments'!$B:$B,$C125,'Opex Departments'!$A:$A,$A125)</f>
        <v>0</v>
      </c>
      <c r="BG125" s="162">
        <f>SUMIFS('Opex Departments'!AU:AU,'Opex Departments'!$B:$B,$C125,'Opex Departments'!$A:$A,$A125)</f>
        <v>0</v>
      </c>
      <c r="BH125" s="162">
        <f>SUMIFS('Opex Departments'!AV:AV,'Opex Departments'!$B:$B,$C125,'Opex Departments'!$A:$A,$A125)</f>
        <v>0</v>
      </c>
      <c r="BI125" s="162">
        <f>SUMIFS('Opex Departments'!AW:AW,'Opex Departments'!$B:$B,$C125,'Opex Departments'!$A:$A,$A125)</f>
        <v>0</v>
      </c>
      <c r="BJ125" s="162">
        <f>SUMIFS('Opex Departments'!AX:AX,'Opex Departments'!$B:$B,$C125,'Opex Departments'!$A:$A,$A125)</f>
        <v>0</v>
      </c>
      <c r="BK125" s="162">
        <f>SUMIFS('Opex Departments'!AY:AY,'Opex Departments'!$B:$B,$C125,'Opex Departments'!$A:$A,$A125)</f>
        <v>0</v>
      </c>
      <c r="BL125" s="162">
        <f>SUMIFS('Opex Departments'!AZ:AZ,'Opex Departments'!$B:$B,$C125,'Opex Departments'!$A:$A,$A125)</f>
        <v>0</v>
      </c>
      <c r="BM125" s="162">
        <f>SUMIFS('Opex Departments'!BA:BA,'Opex Departments'!$B:$B,$C125,'Opex Departments'!$A:$A,$A125)</f>
        <v>0</v>
      </c>
      <c r="BN125" s="162">
        <f>SUMIFS('Opex Departments'!BB:BB,'Opex Departments'!$B:$B,$C125,'Opex Departments'!$A:$A,$A125)</f>
        <v>0</v>
      </c>
      <c r="BO125" s="162">
        <f>SUMIFS('Opex Departments'!BC:BC,'Opex Departments'!$B:$B,$C125,'Opex Departments'!$A:$A,$A125)</f>
        <v>0</v>
      </c>
      <c r="BP125" s="162">
        <f>SUMIFS('Opex Departments'!BD:BD,'Opex Departments'!$B:$B,$C125,'Opex Departments'!$A:$A,$A125)</f>
        <v>0</v>
      </c>
      <c r="BQ125" s="162">
        <f>SUMIFS('Opex Departments'!BE:BE,'Opex Departments'!$B:$B,$C125,'Opex Departments'!$A:$A,$A125)</f>
        <v>0</v>
      </c>
      <c r="BR125" s="162">
        <f>SUMIFS('Opex Departments'!BF:BF,'Opex Departments'!$B:$B,$C125,'Opex Departments'!$A:$A,$A125)</f>
        <v>0</v>
      </c>
      <c r="BS125" s="162">
        <f>SUMIFS('Opex Departments'!BG:BG,'Opex Departments'!$B:$B,$C125,'Opex Departments'!$A:$A,$A125)</f>
        <v>0</v>
      </c>
      <c r="BT125" s="162">
        <f>SUMIFS('Opex Departments'!BH:BH,'Opex Departments'!$B:$B,$C125,'Opex Departments'!$A:$A,$A125)</f>
        <v>0</v>
      </c>
      <c r="BU125" s="162">
        <f>SUMIFS('Opex Departments'!BI:BI,'Opex Departments'!$B:$B,$C125,'Opex Departments'!$A:$A,$A125)</f>
        <v>0</v>
      </c>
      <c r="BV125" s="162">
        <f>SUMIFS('Opex Departments'!BJ:BJ,'Opex Departments'!$B:$B,$C125,'Opex Departments'!$A:$A,$A125)</f>
        <v>0</v>
      </c>
      <c r="BW125" s="162">
        <f>SUMIFS('Opex Departments'!BK:BK,'Opex Departments'!$B:$B,$C125,'Opex Departments'!$A:$A,$A125)</f>
        <v>0</v>
      </c>
      <c r="BX125" s="162">
        <f>SUMIFS('Opex Departments'!BL:BL,'Opex Departments'!$B:$B,$C125,'Opex Departments'!$A:$A,$A125)</f>
        <v>0</v>
      </c>
      <c r="BY125" s="162">
        <f>SUMIFS('Opex Departments'!BM:BM,'Opex Departments'!$B:$B,$C125,'Opex Departments'!$A:$A,$A125)</f>
        <v>0</v>
      </c>
      <c r="BZ125" s="162">
        <f>SUMIFS('Opex Departments'!BN:BN,'Opex Departments'!$B:$B,$C125,'Opex Departments'!$A:$A,$A125)</f>
        <v>0</v>
      </c>
      <c r="CA125" s="162">
        <f>SUMIFS('Opex Departments'!BO:BO,'Opex Departments'!$B:$B,$C125,'Opex Departments'!$A:$A,$A125)</f>
        <v>0</v>
      </c>
      <c r="CB125" s="162">
        <f>SUMIFS('Opex Departments'!BP:BP,'Opex Departments'!$B:$B,$C125,'Opex Departments'!$A:$A,$A125)</f>
        <v>0</v>
      </c>
      <c r="CC125" s="162">
        <f>SUMIFS('Opex Departments'!BQ:BQ,'Opex Departments'!$B:$B,$C125,'Opex Departments'!$A:$A,$A125)</f>
        <v>0</v>
      </c>
      <c r="CD125" s="162">
        <f>SUMIFS('Opex Departments'!BR:BR,'Opex Departments'!$B:$B,$C125,'Opex Departments'!$A:$A,$A125)</f>
        <v>0</v>
      </c>
      <c r="CE125" s="162">
        <f>SUMIFS('Opex Departments'!BS:BS,'Opex Departments'!$B:$B,$C125,'Opex Departments'!$A:$A,$A125)</f>
        <v>0</v>
      </c>
      <c r="CF125" s="162">
        <f>SUMIFS('Opex Departments'!BT:BT,'Opex Departments'!$B:$B,$C125,'Opex Departments'!$A:$A,$A125)</f>
        <v>0</v>
      </c>
      <c r="CG125" s="162">
        <f>SUMIFS('Opex Departments'!BU:BU,'Opex Departments'!$B:$B,$C125,'Opex Departments'!$A:$A,$A125)</f>
        <v>0</v>
      </c>
      <c r="CH125" s="162">
        <f>SUMIFS('Opex Departments'!BV:BV,'Opex Departments'!$B:$B,$C125,'Opex Departments'!$A:$A,$A125)</f>
        <v>0</v>
      </c>
      <c r="CI125" s="162">
        <f>SUMIFS('Opex Departments'!BW:BW,'Opex Departments'!$B:$B,$C125,'Opex Departments'!$A:$A,$A125)</f>
        <v>0</v>
      </c>
      <c r="CJ125" s="162">
        <f>SUMIFS('Opex Departments'!BX:BX,'Opex Departments'!$B:$B,$C125,'Opex Departments'!$A:$A,$A125)</f>
        <v>0</v>
      </c>
      <c r="CK125" s="162">
        <f>SUMIFS('Opex Departments'!BY:BY,'Opex Departments'!$B:$B,$C125,'Opex Departments'!$A:$A,$A125)</f>
        <v>0</v>
      </c>
      <c r="CL125" s="162">
        <f>SUMIFS('Opex Departments'!BZ:BZ,'Opex Departments'!$B:$B,$C125,'Opex Departments'!$A:$A,$A125)</f>
        <v>0</v>
      </c>
      <c r="CM125" s="162">
        <f>SUMIFS('Opex Departments'!CA:CA,'Opex Departments'!$B:$B,$C125,'Opex Departments'!$A:$A,$A125)</f>
        <v>0</v>
      </c>
      <c r="CN125" s="162">
        <f>SUMIFS('Opex Departments'!CB:CB,'Opex Departments'!$B:$B,$C125,'Opex Departments'!$A:$A,$A125)</f>
        <v>0</v>
      </c>
      <c r="CO125" s="162">
        <f>SUMIFS('Opex Departments'!CC:CC,'Opex Departments'!$B:$B,$C125,'Opex Departments'!$A:$A,$A125)</f>
        <v>0</v>
      </c>
      <c r="CP125" s="162">
        <f>SUMIFS('Opex Departments'!CD:CD,'Opex Departments'!$B:$B,$C125,'Opex Departments'!$A:$A,$A125)</f>
        <v>0</v>
      </c>
      <c r="CQ125" s="162">
        <f>SUMIFS('Opex Departments'!CE:CE,'Opex Departments'!$B:$B,$C125,'Opex Departments'!$A:$A,$A125)</f>
        <v>0</v>
      </c>
      <c r="CR125" s="162">
        <f>SUMIFS('Opex Departments'!CF:CF,'Opex Departments'!$B:$B,$C125,'Opex Departments'!$A:$A,$A125)</f>
        <v>0</v>
      </c>
      <c r="CS125" s="162">
        <f>SUMIFS('Opex Departments'!CG:CG,'Opex Departments'!$B:$B,$C125,'Opex Departments'!$A:$A,$A125)</f>
        <v>0</v>
      </c>
      <c r="CT125" s="162">
        <f>SUMIFS('Opex Departments'!CH:CH,'Opex Departments'!$B:$B,$C125,'Opex Departments'!$A:$A,$A125)</f>
        <v>0</v>
      </c>
      <c r="CU125" s="162">
        <f>SUMIFS('Opex Departments'!CI:CI,'Opex Departments'!$B:$B,$C125,'Opex Departments'!$A:$A,$A125)</f>
        <v>0</v>
      </c>
      <c r="CV125" s="162"/>
      <c r="CW125" s="162"/>
      <c r="CX125" s="162"/>
      <c r="CY125" s="162"/>
      <c r="CZ125" s="162"/>
      <c r="DA125" s="162"/>
      <c r="DB125" s="162"/>
      <c r="DC125" s="162"/>
    </row>
    <row r="126" ht="15.75" customHeight="1">
      <c r="A126" s="144" t="s">
        <v>120</v>
      </c>
      <c r="B126" s="144"/>
      <c r="C126" s="146" t="s">
        <v>66</v>
      </c>
      <c r="D126" s="144"/>
      <c r="E126" s="144"/>
      <c r="F126" s="144"/>
      <c r="G126" s="144"/>
      <c r="H126" s="144"/>
      <c r="I126" s="144"/>
      <c r="J126" s="144"/>
      <c r="K126" s="144"/>
      <c r="L126" s="144"/>
      <c r="M126" s="144"/>
      <c r="N126" s="144"/>
      <c r="O126" s="144"/>
      <c r="P126" s="162">
        <v>9446.0</v>
      </c>
      <c r="Q126" s="162">
        <v>25598.0</v>
      </c>
      <c r="R126" s="162">
        <v>10902.0</v>
      </c>
      <c r="S126" s="162">
        <v>8670.0</v>
      </c>
      <c r="T126" s="162">
        <v>7076.0</v>
      </c>
      <c r="U126" s="162">
        <v>22267.0</v>
      </c>
      <c r="V126" s="162">
        <v>22555.0</v>
      </c>
      <c r="W126" s="162">
        <v>8672.0</v>
      </c>
      <c r="X126" s="162">
        <v>2467.0</v>
      </c>
      <c r="Y126" s="162">
        <v>7871.0</v>
      </c>
      <c r="Z126" s="162">
        <v>6973.0</v>
      </c>
      <c r="AA126" s="162">
        <v>4533.0</v>
      </c>
      <c r="AB126" s="162">
        <v>5883.0</v>
      </c>
      <c r="AC126" s="162">
        <v>20130.0</v>
      </c>
      <c r="AD126" s="162">
        <v>14073.0</v>
      </c>
      <c r="AE126" s="162">
        <v>18055.0</v>
      </c>
      <c r="AF126" s="162">
        <v>18901.0</v>
      </c>
      <c r="AG126" s="162">
        <v>18901.0</v>
      </c>
      <c r="AH126" s="162">
        <f>SUMIFS('Opex Departments'!V:V,'Opex Departments'!$B:$B,$C126,'Opex Departments'!$A:$A,$A126)</f>
        <v>3727</v>
      </c>
      <c r="AI126" s="162">
        <f>SUMIFS('Opex Departments'!W:W,'Opex Departments'!$B:$B,$C126,'Opex Departments'!$A:$A,$A126)</f>
        <v>6609</v>
      </c>
      <c r="AJ126" s="162">
        <f>SUMIFS('Opex Departments'!X:X,'Opex Departments'!$B:$B,$C126,'Opex Departments'!$A:$A,$A126)</f>
        <v>7276</v>
      </c>
      <c r="AK126" s="162">
        <f>SUMIFS('Opex Departments'!Y:Y,'Opex Departments'!$B:$B,$C126,'Opex Departments'!$A:$A,$A126)</f>
        <v>5162</v>
      </c>
      <c r="AL126" s="162">
        <f>SUMIFS('Opex Departments'!Z:Z,'Opex Departments'!$B:$B,$C126,'Opex Departments'!$A:$A,$A126)</f>
        <v>2376</v>
      </c>
      <c r="AM126" s="162">
        <f>SUMIFS('Opex Departments'!AA:AA,'Opex Departments'!$B:$B,$C126,'Opex Departments'!$A:$A,$A126)</f>
        <v>2384.45</v>
      </c>
      <c r="AN126" s="162">
        <f>SUMIFS('Opex Departments'!AB:AB,'Opex Departments'!$B:$B,$C126,'Opex Departments'!$A:$A,$A126)</f>
        <v>2392.94225</v>
      </c>
      <c r="AO126" s="162">
        <f>SUMIFS('Opex Departments'!AC:AC,'Opex Departments'!$B:$B,$C126,'Opex Departments'!$A:$A,$A126)</f>
        <v>2401.476961</v>
      </c>
      <c r="AP126" s="162">
        <f>SUMIFS('Opex Departments'!AD:AD,'Opex Departments'!$B:$B,$C126,'Opex Departments'!$A:$A,$A126)</f>
        <v>2410.054346</v>
      </c>
      <c r="AQ126" s="162">
        <f>SUMIFS('Opex Departments'!AE:AE,'Opex Departments'!$B:$B,$C126,'Opex Departments'!$A:$A,$A126)</f>
        <v>2418.674618</v>
      </c>
      <c r="AR126" s="162">
        <f>SUMIFS('Opex Departments'!AF:AF,'Opex Departments'!$B:$B,$C126,'Opex Departments'!$A:$A,$A126)</f>
        <v>2427.337991</v>
      </c>
      <c r="AS126" s="162">
        <f>SUMIFS('Opex Departments'!AG:AG,'Opex Departments'!$B:$B,$C126,'Opex Departments'!$A:$A,$A126)</f>
        <v>2436.044681</v>
      </c>
      <c r="AT126" s="162">
        <f>SUMIFS('Opex Departments'!AH:AH,'Opex Departments'!$B:$B,$C126,'Opex Departments'!$A:$A,$A126)</f>
        <v>2444.794904</v>
      </c>
      <c r="AU126" s="162">
        <f>SUMIFS('Opex Departments'!AI:AI,'Opex Departments'!$B:$B,$C126,'Opex Departments'!$A:$A,$A126)</f>
        <v>2453.588879</v>
      </c>
      <c r="AV126" s="162">
        <f>SUMIFS('Opex Departments'!AJ:AJ,'Opex Departments'!$B:$B,$C126,'Opex Departments'!$A:$A,$A126)</f>
        <v>2462.426823</v>
      </c>
      <c r="AW126" s="162">
        <f>SUMIFS('Opex Departments'!AK:AK,'Opex Departments'!$B:$B,$C126,'Opex Departments'!$A:$A,$A126)</f>
        <v>2471.308957</v>
      </c>
      <c r="AX126" s="162">
        <f>SUMIFS('Opex Departments'!AL:AL,'Opex Departments'!$B:$B,$C126,'Opex Departments'!$A:$A,$A126)</f>
        <v>2480.235502</v>
      </c>
      <c r="AY126" s="162">
        <f>SUMIFS('Opex Departments'!AM:AM,'Opex Departments'!$B:$B,$C126,'Opex Departments'!$A:$A,$A126)</f>
        <v>2489.20668</v>
      </c>
      <c r="AZ126" s="162">
        <f>SUMIFS('Opex Departments'!AN:AN,'Opex Departments'!$B:$B,$C126,'Opex Departments'!$A:$A,$A126)</f>
        <v>2501.652713</v>
      </c>
      <c r="BA126" s="162">
        <f>SUMIFS('Opex Departments'!AO:AO,'Opex Departments'!$B:$B,$C126,'Opex Departments'!$A:$A,$A126)</f>
        <v>2514.160977</v>
      </c>
      <c r="BB126" s="162">
        <f>SUMIFS('Opex Departments'!AP:AP,'Opex Departments'!$B:$B,$C126,'Opex Departments'!$A:$A,$A126)</f>
        <v>2526.731781</v>
      </c>
      <c r="BC126" s="162">
        <f>SUMIFS('Opex Departments'!AQ:AQ,'Opex Departments'!$B:$B,$C126,'Opex Departments'!$A:$A,$A126)</f>
        <v>2539.36544</v>
      </c>
      <c r="BD126" s="162">
        <f>SUMIFS('Opex Departments'!AR:AR,'Opex Departments'!$B:$B,$C126,'Opex Departments'!$A:$A,$A126)</f>
        <v>2552.062268</v>
      </c>
      <c r="BE126" s="162">
        <f>SUMIFS('Opex Departments'!AS:AS,'Opex Departments'!$B:$B,$C126,'Opex Departments'!$A:$A,$A126)</f>
        <v>2564.822579</v>
      </c>
      <c r="BF126" s="162">
        <f>SUMIFS('Opex Departments'!AT:AT,'Opex Departments'!$B:$B,$C126,'Opex Departments'!$A:$A,$A126)</f>
        <v>2577.646692</v>
      </c>
      <c r="BG126" s="162">
        <f>SUMIFS('Opex Departments'!AU:AU,'Opex Departments'!$B:$B,$C126,'Opex Departments'!$A:$A,$A126)</f>
        <v>2590.534925</v>
      </c>
      <c r="BH126" s="162">
        <f>SUMIFS('Opex Departments'!AV:AV,'Opex Departments'!$B:$B,$C126,'Opex Departments'!$A:$A,$A126)</f>
        <v>2603.4876</v>
      </c>
      <c r="BI126" s="162">
        <f>SUMIFS('Opex Departments'!AW:AW,'Opex Departments'!$B:$B,$C126,'Opex Departments'!$A:$A,$A126)</f>
        <v>2616.505038</v>
      </c>
      <c r="BJ126" s="162">
        <f>SUMIFS('Opex Departments'!AX:AX,'Opex Departments'!$B:$B,$C126,'Opex Departments'!$A:$A,$A126)</f>
        <v>2629.587563</v>
      </c>
      <c r="BK126" s="162">
        <f>SUMIFS('Opex Departments'!AY:AY,'Opex Departments'!$B:$B,$C126,'Opex Departments'!$A:$A,$A126)</f>
        <v>2642.735501</v>
      </c>
      <c r="BL126" s="162">
        <f>SUMIFS('Opex Departments'!AZ:AZ,'Opex Departments'!$B:$B,$C126,'Opex Departments'!$A:$A,$A126)</f>
        <v>2655.949178</v>
      </c>
      <c r="BM126" s="162">
        <f>SUMIFS('Opex Departments'!BA:BA,'Opex Departments'!$B:$B,$C126,'Opex Departments'!$A:$A,$A126)</f>
        <v>2669.228924</v>
      </c>
      <c r="BN126" s="162">
        <f>SUMIFS('Opex Departments'!BB:BB,'Opex Departments'!$B:$B,$C126,'Opex Departments'!$A:$A,$A126)</f>
        <v>2682.575069</v>
      </c>
      <c r="BO126" s="162">
        <f>SUMIFS('Opex Departments'!BC:BC,'Opex Departments'!$B:$B,$C126,'Opex Departments'!$A:$A,$A126)</f>
        <v>2695.987944</v>
      </c>
      <c r="BP126" s="162">
        <f>SUMIFS('Opex Departments'!BD:BD,'Opex Departments'!$B:$B,$C126,'Opex Departments'!$A:$A,$A126)</f>
        <v>2709.467884</v>
      </c>
      <c r="BQ126" s="162">
        <f>SUMIFS('Opex Departments'!BE:BE,'Opex Departments'!$B:$B,$C126,'Opex Departments'!$A:$A,$A126)</f>
        <v>2723.015223</v>
      </c>
      <c r="BR126" s="162">
        <f>SUMIFS('Opex Departments'!BF:BF,'Opex Departments'!$B:$B,$C126,'Opex Departments'!$A:$A,$A126)</f>
        <v>2736.630299</v>
      </c>
      <c r="BS126" s="162">
        <f>SUMIFS('Opex Departments'!BG:BG,'Opex Departments'!$B:$B,$C126,'Opex Departments'!$A:$A,$A126)</f>
        <v>2750.313451</v>
      </c>
      <c r="BT126" s="162">
        <f>SUMIFS('Opex Departments'!BH:BH,'Opex Departments'!$B:$B,$C126,'Opex Departments'!$A:$A,$A126)</f>
        <v>2764.065018</v>
      </c>
      <c r="BU126" s="162">
        <f>SUMIFS('Opex Departments'!BI:BI,'Opex Departments'!$B:$B,$C126,'Opex Departments'!$A:$A,$A126)</f>
        <v>2777.885343</v>
      </c>
      <c r="BV126" s="162">
        <f>SUMIFS('Opex Departments'!BJ:BJ,'Opex Departments'!$B:$B,$C126,'Opex Departments'!$A:$A,$A126)</f>
        <v>2791.77477</v>
      </c>
      <c r="BW126" s="162">
        <f>SUMIFS('Opex Departments'!BK:BK,'Opex Departments'!$B:$B,$C126,'Opex Departments'!$A:$A,$A126)</f>
        <v>2805.733644</v>
      </c>
      <c r="BX126" s="162">
        <f>SUMIFS('Opex Departments'!BL:BL,'Opex Departments'!$B:$B,$C126,'Opex Departments'!$A:$A,$A126)</f>
        <v>2819.762312</v>
      </c>
      <c r="BY126" s="162">
        <f>SUMIFS('Opex Departments'!BM:BM,'Opex Departments'!$B:$B,$C126,'Opex Departments'!$A:$A,$A126)</f>
        <v>2833.861124</v>
      </c>
      <c r="BZ126" s="162">
        <f>SUMIFS('Opex Departments'!BN:BN,'Opex Departments'!$B:$B,$C126,'Opex Departments'!$A:$A,$A126)</f>
        <v>2848.030429</v>
      </c>
      <c r="CA126" s="162">
        <f>SUMIFS('Opex Departments'!BO:BO,'Opex Departments'!$B:$B,$C126,'Opex Departments'!$A:$A,$A126)</f>
        <v>2862.270581</v>
      </c>
      <c r="CB126" s="162">
        <f>SUMIFS('Opex Departments'!BP:BP,'Opex Departments'!$B:$B,$C126,'Opex Departments'!$A:$A,$A126)</f>
        <v>2876.581934</v>
      </c>
      <c r="CC126" s="162">
        <f>SUMIFS('Opex Departments'!BQ:BQ,'Opex Departments'!$B:$B,$C126,'Opex Departments'!$A:$A,$A126)</f>
        <v>2890.964844</v>
      </c>
      <c r="CD126" s="162">
        <f>SUMIFS('Opex Departments'!BR:BR,'Opex Departments'!$B:$B,$C126,'Opex Departments'!$A:$A,$A126)</f>
        <v>2905.419668</v>
      </c>
      <c r="CE126" s="162">
        <f>SUMIFS('Opex Departments'!BS:BS,'Opex Departments'!$B:$B,$C126,'Opex Departments'!$A:$A,$A126)</f>
        <v>2919.946767</v>
      </c>
      <c r="CF126" s="162">
        <f>SUMIFS('Opex Departments'!BT:BT,'Opex Departments'!$B:$B,$C126,'Opex Departments'!$A:$A,$A126)</f>
        <v>2934.5465</v>
      </c>
      <c r="CG126" s="162">
        <f>SUMIFS('Opex Departments'!BU:BU,'Opex Departments'!$B:$B,$C126,'Opex Departments'!$A:$A,$A126)</f>
        <v>2949.219233</v>
      </c>
      <c r="CH126" s="162">
        <f>SUMIFS('Opex Departments'!BV:BV,'Opex Departments'!$B:$B,$C126,'Opex Departments'!$A:$A,$A126)</f>
        <v>2963.965329</v>
      </c>
      <c r="CI126" s="162">
        <f>SUMIFS('Opex Departments'!BW:BW,'Opex Departments'!$B:$B,$C126,'Opex Departments'!$A:$A,$A126)</f>
        <v>2978.785156</v>
      </c>
      <c r="CJ126" s="162">
        <f>SUMIFS('Opex Departments'!BX:BX,'Opex Departments'!$B:$B,$C126,'Opex Departments'!$A:$A,$A126)</f>
        <v>2993.679081</v>
      </c>
      <c r="CK126" s="162">
        <f>SUMIFS('Opex Departments'!BY:BY,'Opex Departments'!$B:$B,$C126,'Opex Departments'!$A:$A,$A126)</f>
        <v>3008.647477</v>
      </c>
      <c r="CL126" s="162">
        <f>SUMIFS('Opex Departments'!BZ:BZ,'Opex Departments'!$B:$B,$C126,'Opex Departments'!$A:$A,$A126)</f>
        <v>3023.690714</v>
      </c>
      <c r="CM126" s="162">
        <f>SUMIFS('Opex Departments'!CA:CA,'Opex Departments'!$B:$B,$C126,'Opex Departments'!$A:$A,$A126)</f>
        <v>3038.809168</v>
      </c>
      <c r="CN126" s="162">
        <f>SUMIFS('Opex Departments'!CB:CB,'Opex Departments'!$B:$B,$C126,'Opex Departments'!$A:$A,$A126)</f>
        <v>3054.003214</v>
      </c>
      <c r="CO126" s="162">
        <f>SUMIFS('Opex Departments'!CC:CC,'Opex Departments'!$B:$B,$C126,'Opex Departments'!$A:$A,$A126)</f>
        <v>3069.27323</v>
      </c>
      <c r="CP126" s="162">
        <f>SUMIFS('Opex Departments'!CD:CD,'Opex Departments'!$B:$B,$C126,'Opex Departments'!$A:$A,$A126)</f>
        <v>3084.619596</v>
      </c>
      <c r="CQ126" s="162">
        <f>SUMIFS('Opex Departments'!CE:CE,'Opex Departments'!$B:$B,$C126,'Opex Departments'!$A:$A,$A126)</f>
        <v>3100.042694</v>
      </c>
      <c r="CR126" s="162">
        <f>SUMIFS('Opex Departments'!CF:CF,'Opex Departments'!$B:$B,$C126,'Opex Departments'!$A:$A,$A126)</f>
        <v>3115.542907</v>
      </c>
      <c r="CS126" s="162">
        <f>SUMIFS('Opex Departments'!CG:CG,'Opex Departments'!$B:$B,$C126,'Opex Departments'!$A:$A,$A126)</f>
        <v>3131.120622</v>
      </c>
      <c r="CT126" s="162">
        <f>SUMIFS('Opex Departments'!CH:CH,'Opex Departments'!$B:$B,$C126,'Opex Departments'!$A:$A,$A126)</f>
        <v>3146.776225</v>
      </c>
      <c r="CU126" s="162">
        <f>SUMIFS('Opex Departments'!CI:CI,'Opex Departments'!$B:$B,$C126,'Opex Departments'!$A:$A,$A126)</f>
        <v>3162.510106</v>
      </c>
      <c r="CV126" s="162"/>
      <c r="CW126" s="162"/>
      <c r="CX126" s="162"/>
      <c r="CY126" s="162"/>
      <c r="CZ126" s="162"/>
      <c r="DA126" s="162"/>
      <c r="DB126" s="162"/>
      <c r="DC126" s="162"/>
    </row>
    <row r="127" ht="15.75" customHeight="1">
      <c r="A127" s="144" t="s">
        <v>120</v>
      </c>
      <c r="B127" s="144"/>
      <c r="C127" s="144" t="s">
        <v>70</v>
      </c>
      <c r="D127" s="144"/>
      <c r="E127" s="144"/>
      <c r="F127" s="144"/>
      <c r="G127" s="144"/>
      <c r="H127" s="144"/>
      <c r="I127" s="144"/>
      <c r="J127" s="144"/>
      <c r="K127" s="144"/>
      <c r="L127" s="144"/>
      <c r="M127" s="144"/>
      <c r="N127" s="144"/>
      <c r="O127" s="144"/>
      <c r="P127" s="162">
        <v>15969.0</v>
      </c>
      <c r="Q127" s="162">
        <v>4880.0</v>
      </c>
      <c r="R127" s="162">
        <v>7200.0</v>
      </c>
      <c r="S127" s="162">
        <v>23994.0</v>
      </c>
      <c r="T127" s="162">
        <v>15685.0</v>
      </c>
      <c r="U127" s="162">
        <v>13522.0</v>
      </c>
      <c r="V127" s="162">
        <v>11491.0</v>
      </c>
      <c r="W127" s="162">
        <v>10824.0</v>
      </c>
      <c r="X127" s="162">
        <v>12494.0</v>
      </c>
      <c r="Y127" s="162">
        <v>6464.0</v>
      </c>
      <c r="Z127" s="162">
        <v>13926.0</v>
      </c>
      <c r="AA127" s="162">
        <v>12143.0</v>
      </c>
      <c r="AB127" s="162">
        <v>32775.0</v>
      </c>
      <c r="AC127" s="162">
        <v>28822.0</v>
      </c>
      <c r="AD127" s="162">
        <v>21706.0</v>
      </c>
      <c r="AE127" s="162">
        <v>16624.0</v>
      </c>
      <c r="AF127" s="162">
        <v>8771.0</v>
      </c>
      <c r="AG127" s="162">
        <v>8771.0</v>
      </c>
      <c r="AH127" s="162">
        <f>SUMIFS('Opex Departments'!V:V,'Opex Departments'!$B:$B,$C127,'Opex Departments'!$A:$A,$A127)</f>
        <v>4850</v>
      </c>
      <c r="AI127" s="162">
        <f>SUMIFS('Opex Departments'!W:W,'Opex Departments'!$B:$B,$C127,'Opex Departments'!$A:$A,$A127)</f>
        <v>2162</v>
      </c>
      <c r="AJ127" s="162">
        <f>SUMIFS('Opex Departments'!X:X,'Opex Departments'!$B:$B,$C127,'Opex Departments'!$A:$A,$A127)</f>
        <v>4205</v>
      </c>
      <c r="AK127" s="162">
        <f>SUMIFS('Opex Departments'!Y:Y,'Opex Departments'!$B:$B,$C127,'Opex Departments'!$A:$A,$A127)</f>
        <v>1275</v>
      </c>
      <c r="AL127" s="162">
        <f>SUMIFS('Opex Departments'!Z:Z,'Opex Departments'!$B:$B,$C127,'Opex Departments'!$A:$A,$A127)</f>
        <v>275</v>
      </c>
      <c r="AM127" s="162">
        <f>SUMIFS('Opex Departments'!AA:AA,'Opex Departments'!$B:$B,$C127,'Opex Departments'!$A:$A,$A127)</f>
        <v>573.666</v>
      </c>
      <c r="AN127" s="162">
        <f>SUMIFS('Opex Departments'!AB:AB,'Opex Departments'!$B:$B,$C127,'Opex Departments'!$A:$A,$A127)</f>
        <v>1263.666</v>
      </c>
      <c r="AO127" s="162">
        <f>SUMIFS('Opex Departments'!AC:AC,'Opex Departments'!$B:$B,$C127,'Opex Departments'!$A:$A,$A127)</f>
        <v>1263.666</v>
      </c>
      <c r="AP127" s="162">
        <f>SUMIFS('Opex Departments'!AD:AD,'Opex Departments'!$B:$B,$C127,'Opex Departments'!$A:$A,$A127)</f>
        <v>1263.666</v>
      </c>
      <c r="AQ127" s="162">
        <f>SUMIFS('Opex Departments'!AE:AE,'Opex Departments'!$B:$B,$C127,'Opex Departments'!$A:$A,$A127)</f>
        <v>1263.666</v>
      </c>
      <c r="AR127" s="162">
        <f>SUMIFS('Opex Departments'!AF:AF,'Opex Departments'!$B:$B,$C127,'Opex Departments'!$A:$A,$A127)</f>
        <v>1953.666</v>
      </c>
      <c r="AS127" s="162">
        <f>SUMIFS('Opex Departments'!AG:AG,'Opex Departments'!$B:$B,$C127,'Opex Departments'!$A:$A,$A127)</f>
        <v>1953.666</v>
      </c>
      <c r="AT127" s="162">
        <f>SUMIFS('Opex Departments'!AH:AH,'Opex Departments'!$B:$B,$C127,'Opex Departments'!$A:$A,$A127)</f>
        <v>1953.666</v>
      </c>
      <c r="AU127" s="162">
        <f>SUMIFS('Opex Departments'!AI:AI,'Opex Departments'!$B:$B,$C127,'Opex Departments'!$A:$A,$A127)</f>
        <v>1953.666</v>
      </c>
      <c r="AV127" s="162">
        <f>SUMIFS('Opex Departments'!AJ:AJ,'Opex Departments'!$B:$B,$C127,'Opex Departments'!$A:$A,$A127)</f>
        <v>2643.666</v>
      </c>
      <c r="AW127" s="162">
        <f>SUMIFS('Opex Departments'!AK:AK,'Opex Departments'!$B:$B,$C127,'Opex Departments'!$A:$A,$A127)</f>
        <v>2643.666</v>
      </c>
      <c r="AX127" s="162">
        <f>SUMIFS('Opex Departments'!AL:AL,'Opex Departments'!$B:$B,$C127,'Opex Departments'!$A:$A,$A127)</f>
        <v>2643.666</v>
      </c>
      <c r="AY127" s="162">
        <f>SUMIFS('Opex Departments'!AM:AM,'Opex Departments'!$B:$B,$C127,'Opex Departments'!$A:$A,$A127)</f>
        <v>2643.666</v>
      </c>
      <c r="AZ127" s="162">
        <f>SUMIFS('Opex Departments'!AN:AN,'Opex Departments'!$B:$B,$C127,'Opex Departments'!$A:$A,$A127)</f>
        <v>2643.666</v>
      </c>
      <c r="BA127" s="162">
        <f>SUMIFS('Opex Departments'!AO:AO,'Opex Departments'!$B:$B,$C127,'Opex Departments'!$A:$A,$A127)</f>
        <v>2643.666</v>
      </c>
      <c r="BB127" s="162">
        <f>SUMIFS('Opex Departments'!AP:AP,'Opex Departments'!$B:$B,$C127,'Opex Departments'!$A:$A,$A127)</f>
        <v>2643.666</v>
      </c>
      <c r="BC127" s="162">
        <f>SUMIFS('Opex Departments'!AQ:AQ,'Opex Departments'!$B:$B,$C127,'Opex Departments'!$A:$A,$A127)</f>
        <v>2643.666</v>
      </c>
      <c r="BD127" s="162">
        <f>SUMIFS('Opex Departments'!AR:AR,'Opex Departments'!$B:$B,$C127,'Opex Departments'!$A:$A,$A127)</f>
        <v>2643.666</v>
      </c>
      <c r="BE127" s="162">
        <f>SUMIFS('Opex Departments'!AS:AS,'Opex Departments'!$B:$B,$C127,'Opex Departments'!$A:$A,$A127)</f>
        <v>2643.666</v>
      </c>
      <c r="BF127" s="162">
        <f>SUMIFS('Opex Departments'!AT:AT,'Opex Departments'!$B:$B,$C127,'Opex Departments'!$A:$A,$A127)</f>
        <v>2643.666</v>
      </c>
      <c r="BG127" s="162">
        <f>SUMIFS('Opex Departments'!AU:AU,'Opex Departments'!$B:$B,$C127,'Opex Departments'!$A:$A,$A127)</f>
        <v>2643.666</v>
      </c>
      <c r="BH127" s="162">
        <f>SUMIFS('Opex Departments'!AV:AV,'Opex Departments'!$B:$B,$C127,'Opex Departments'!$A:$A,$A127)</f>
        <v>3195.666</v>
      </c>
      <c r="BI127" s="162">
        <f>SUMIFS('Opex Departments'!AW:AW,'Opex Departments'!$B:$B,$C127,'Opex Departments'!$A:$A,$A127)</f>
        <v>3195.666</v>
      </c>
      <c r="BJ127" s="162">
        <f>SUMIFS('Opex Departments'!AX:AX,'Opex Departments'!$B:$B,$C127,'Opex Departments'!$A:$A,$A127)</f>
        <v>3195.666</v>
      </c>
      <c r="BK127" s="162">
        <f>SUMIFS('Opex Departments'!AY:AY,'Opex Departments'!$B:$B,$C127,'Opex Departments'!$A:$A,$A127)</f>
        <v>3195.666</v>
      </c>
      <c r="BL127" s="162">
        <f>SUMIFS('Opex Departments'!AZ:AZ,'Opex Departments'!$B:$B,$C127,'Opex Departments'!$A:$A,$A127)</f>
        <v>4575.666</v>
      </c>
      <c r="BM127" s="162">
        <f>SUMIFS('Opex Departments'!BA:BA,'Opex Departments'!$B:$B,$C127,'Opex Departments'!$A:$A,$A127)</f>
        <v>4575.666</v>
      </c>
      <c r="BN127" s="162">
        <f>SUMIFS('Opex Departments'!BB:BB,'Opex Departments'!$B:$B,$C127,'Opex Departments'!$A:$A,$A127)</f>
        <v>4575.666</v>
      </c>
      <c r="BO127" s="162">
        <f>SUMIFS('Opex Departments'!BC:BC,'Opex Departments'!$B:$B,$C127,'Opex Departments'!$A:$A,$A127)</f>
        <v>4575.666</v>
      </c>
      <c r="BP127" s="162">
        <f>SUMIFS('Opex Departments'!BD:BD,'Opex Departments'!$B:$B,$C127,'Opex Departments'!$A:$A,$A127)</f>
        <v>5955.666</v>
      </c>
      <c r="BQ127" s="162">
        <f>SUMIFS('Opex Departments'!BE:BE,'Opex Departments'!$B:$B,$C127,'Opex Departments'!$A:$A,$A127)</f>
        <v>5955.666</v>
      </c>
      <c r="BR127" s="162">
        <f>SUMIFS('Opex Departments'!BF:BF,'Opex Departments'!$B:$B,$C127,'Opex Departments'!$A:$A,$A127)</f>
        <v>5955.666</v>
      </c>
      <c r="BS127" s="162">
        <f>SUMIFS('Opex Departments'!BG:BG,'Opex Departments'!$B:$B,$C127,'Opex Departments'!$A:$A,$A127)</f>
        <v>5955.666</v>
      </c>
      <c r="BT127" s="162">
        <f>SUMIFS('Opex Departments'!BH:BH,'Opex Departments'!$B:$B,$C127,'Opex Departments'!$A:$A,$A127)</f>
        <v>7335.666</v>
      </c>
      <c r="BU127" s="162">
        <f>SUMIFS('Opex Departments'!BI:BI,'Opex Departments'!$B:$B,$C127,'Opex Departments'!$A:$A,$A127)</f>
        <v>7335.666</v>
      </c>
      <c r="BV127" s="162">
        <f>SUMIFS('Opex Departments'!BJ:BJ,'Opex Departments'!$B:$B,$C127,'Opex Departments'!$A:$A,$A127)</f>
        <v>7335.666</v>
      </c>
      <c r="BW127" s="162">
        <f>SUMIFS('Opex Departments'!BK:BK,'Opex Departments'!$B:$B,$C127,'Opex Departments'!$A:$A,$A127)</f>
        <v>7335.666</v>
      </c>
      <c r="BX127" s="162">
        <f>SUMIFS('Opex Departments'!BL:BL,'Opex Departments'!$B:$B,$C127,'Opex Departments'!$A:$A,$A127)</f>
        <v>7363.266</v>
      </c>
      <c r="BY127" s="162">
        <f>SUMIFS('Opex Departments'!BM:BM,'Opex Departments'!$B:$B,$C127,'Opex Departments'!$A:$A,$A127)</f>
        <v>7363.266</v>
      </c>
      <c r="BZ127" s="162">
        <f>SUMIFS('Opex Departments'!BN:BN,'Opex Departments'!$B:$B,$C127,'Opex Departments'!$A:$A,$A127)</f>
        <v>7363.266</v>
      </c>
      <c r="CA127" s="162">
        <f>SUMIFS('Opex Departments'!BO:BO,'Opex Departments'!$B:$B,$C127,'Opex Departments'!$A:$A,$A127)</f>
        <v>7363.266</v>
      </c>
      <c r="CB127" s="162">
        <f>SUMIFS('Opex Departments'!BP:BP,'Opex Departments'!$B:$B,$C127,'Opex Departments'!$A:$A,$A127)</f>
        <v>7390.866</v>
      </c>
      <c r="CC127" s="162">
        <f>SUMIFS('Opex Departments'!BQ:BQ,'Opex Departments'!$B:$B,$C127,'Opex Departments'!$A:$A,$A127)</f>
        <v>7390.866</v>
      </c>
      <c r="CD127" s="162">
        <f>SUMIFS('Opex Departments'!BR:BR,'Opex Departments'!$B:$B,$C127,'Opex Departments'!$A:$A,$A127)</f>
        <v>7390.866</v>
      </c>
      <c r="CE127" s="162">
        <f>SUMIFS('Opex Departments'!BS:BS,'Opex Departments'!$B:$B,$C127,'Opex Departments'!$A:$A,$A127)</f>
        <v>7390.866</v>
      </c>
      <c r="CF127" s="162">
        <f>SUMIFS('Opex Departments'!BT:BT,'Opex Departments'!$B:$B,$C127,'Opex Departments'!$A:$A,$A127)</f>
        <v>7418.466</v>
      </c>
      <c r="CG127" s="162">
        <f>SUMIFS('Opex Departments'!BU:BU,'Opex Departments'!$B:$B,$C127,'Opex Departments'!$A:$A,$A127)</f>
        <v>7418.466</v>
      </c>
      <c r="CH127" s="162">
        <f>SUMIFS('Opex Departments'!BV:BV,'Opex Departments'!$B:$B,$C127,'Opex Departments'!$A:$A,$A127)</f>
        <v>7418.466</v>
      </c>
      <c r="CI127" s="162">
        <f>SUMIFS('Opex Departments'!BW:BW,'Opex Departments'!$B:$B,$C127,'Opex Departments'!$A:$A,$A127)</f>
        <v>7418.466</v>
      </c>
      <c r="CJ127" s="162">
        <f>SUMIFS('Opex Departments'!BX:BX,'Opex Departments'!$B:$B,$C127,'Opex Departments'!$A:$A,$A127)</f>
        <v>7446.066</v>
      </c>
      <c r="CK127" s="162">
        <f>SUMIFS('Opex Departments'!BY:BY,'Opex Departments'!$B:$B,$C127,'Opex Departments'!$A:$A,$A127)</f>
        <v>7446.066</v>
      </c>
      <c r="CL127" s="162">
        <f>SUMIFS('Opex Departments'!BZ:BZ,'Opex Departments'!$B:$B,$C127,'Opex Departments'!$A:$A,$A127)</f>
        <v>7446.066</v>
      </c>
      <c r="CM127" s="162">
        <f>SUMIFS('Opex Departments'!CA:CA,'Opex Departments'!$B:$B,$C127,'Opex Departments'!$A:$A,$A127)</f>
        <v>7446.066</v>
      </c>
      <c r="CN127" s="162">
        <f>SUMIFS('Opex Departments'!CB:CB,'Opex Departments'!$B:$B,$C127,'Opex Departments'!$A:$A,$A127)</f>
        <v>7473.666</v>
      </c>
      <c r="CO127" s="162">
        <f>SUMIFS('Opex Departments'!CC:CC,'Opex Departments'!$B:$B,$C127,'Opex Departments'!$A:$A,$A127)</f>
        <v>7473.666</v>
      </c>
      <c r="CP127" s="162">
        <f>SUMIFS('Opex Departments'!CD:CD,'Opex Departments'!$B:$B,$C127,'Opex Departments'!$A:$A,$A127)</f>
        <v>7473.666</v>
      </c>
      <c r="CQ127" s="162">
        <f>SUMIFS('Opex Departments'!CE:CE,'Opex Departments'!$B:$B,$C127,'Opex Departments'!$A:$A,$A127)</f>
        <v>7473.666</v>
      </c>
      <c r="CR127" s="162">
        <f>SUMIFS('Opex Departments'!CF:CF,'Opex Departments'!$B:$B,$C127,'Opex Departments'!$A:$A,$A127)</f>
        <v>7818.666</v>
      </c>
      <c r="CS127" s="162">
        <f>SUMIFS('Opex Departments'!CG:CG,'Opex Departments'!$B:$B,$C127,'Opex Departments'!$A:$A,$A127)</f>
        <v>7818.666</v>
      </c>
      <c r="CT127" s="162">
        <f>SUMIFS('Opex Departments'!CH:CH,'Opex Departments'!$B:$B,$C127,'Opex Departments'!$A:$A,$A127)</f>
        <v>7818.666</v>
      </c>
      <c r="CU127" s="162">
        <f>SUMIFS('Opex Departments'!CI:CI,'Opex Departments'!$B:$B,$C127,'Opex Departments'!$A:$A,$A127)</f>
        <v>7818.666</v>
      </c>
      <c r="CV127" s="162"/>
      <c r="CW127" s="162"/>
      <c r="CX127" s="162"/>
      <c r="CY127" s="162"/>
      <c r="CZ127" s="162"/>
      <c r="DA127" s="162"/>
      <c r="DB127" s="162"/>
      <c r="DC127" s="162"/>
    </row>
    <row r="128" ht="15.75" customHeight="1">
      <c r="A128" s="144" t="s">
        <v>120</v>
      </c>
      <c r="B128" s="144"/>
      <c r="C128" s="144" t="s">
        <v>120</v>
      </c>
      <c r="D128" s="144"/>
      <c r="E128" s="144"/>
      <c r="F128" s="144"/>
      <c r="G128" s="144"/>
      <c r="H128" s="144"/>
      <c r="I128" s="144"/>
      <c r="J128" s="144"/>
      <c r="K128" s="144"/>
      <c r="L128" s="144"/>
      <c r="M128" s="144"/>
      <c r="N128" s="144"/>
      <c r="O128" s="144"/>
      <c r="P128" s="162">
        <v>45492.0</v>
      </c>
      <c r="Q128" s="162">
        <v>32207.0</v>
      </c>
      <c r="R128" s="162">
        <v>42120.0</v>
      </c>
      <c r="S128" s="162">
        <v>83989.0</v>
      </c>
      <c r="T128" s="162">
        <v>92824.0</v>
      </c>
      <c r="U128" s="162">
        <v>89233.0</v>
      </c>
      <c r="V128" s="162">
        <v>123811.0</v>
      </c>
      <c r="W128" s="162">
        <v>108497.0</v>
      </c>
      <c r="X128" s="162">
        <v>63683.0</v>
      </c>
      <c r="Y128" s="162">
        <v>103060.0</v>
      </c>
      <c r="Z128" s="162">
        <v>78495.0</v>
      </c>
      <c r="AA128" s="162">
        <v>92088.0</v>
      </c>
      <c r="AB128" s="162">
        <v>95563.0</v>
      </c>
      <c r="AC128" s="162">
        <v>90581.0</v>
      </c>
      <c r="AD128" s="162">
        <v>76489.0</v>
      </c>
      <c r="AE128" s="162">
        <v>109652.0</v>
      </c>
      <c r="AF128" s="162">
        <v>108737.0</v>
      </c>
      <c r="AG128" s="162">
        <v>138523.0</v>
      </c>
      <c r="AH128" s="162">
        <f>SUMIFS('Opex Departments'!V:V,'Opex Departments'!$B:$B,$C128,'Opex Departments'!$A:$A,$A128)</f>
        <v>8795</v>
      </c>
      <c r="AI128" s="162">
        <f>SUMIFS('Opex Departments'!W:W,'Opex Departments'!$B:$B,$C128,'Opex Departments'!$A:$A,$A128)</f>
        <v>10858</v>
      </c>
      <c r="AJ128" s="162">
        <f>SUMIFS('Opex Departments'!X:X,'Opex Departments'!$B:$B,$C128,'Opex Departments'!$A:$A,$A128)</f>
        <v>11433</v>
      </c>
      <c r="AK128" s="162">
        <f>SUMIFS('Opex Departments'!Y:Y,'Opex Departments'!$B:$B,$C128,'Opex Departments'!$A:$A,$A128)</f>
        <v>7942</v>
      </c>
      <c r="AL128" s="162">
        <f>SUMIFS('Opex Departments'!Z:Z,'Opex Departments'!$B:$B,$C128,'Opex Departments'!$A:$A,$A128)</f>
        <v>10854</v>
      </c>
      <c r="AM128" s="162">
        <f>SUMIFS('Opex Departments'!AA:AA,'Opex Departments'!$B:$B,$C128,'Opex Departments'!$A:$A,$A128)</f>
        <v>157932.6965</v>
      </c>
      <c r="AN128" s="162">
        <f>SUMIFS('Opex Departments'!AB:AB,'Opex Departments'!$B:$B,$C128,'Opex Departments'!$A:$A,$A128)</f>
        <v>263766.115</v>
      </c>
      <c r="AO128" s="162">
        <f>SUMIFS('Opex Departments'!AC:AC,'Opex Departments'!$B:$B,$C128,'Opex Departments'!$A:$A,$A128)</f>
        <v>321331.2775</v>
      </c>
      <c r="AP128" s="162">
        <f>SUMIFS('Opex Departments'!AD:AD,'Opex Departments'!$B:$B,$C128,'Opex Departments'!$A:$A,$A128)</f>
        <v>269891.3311</v>
      </c>
      <c r="AQ128" s="162">
        <f>SUMIFS('Opex Departments'!AE:AE,'Opex Departments'!$B:$B,$C128,'Opex Departments'!$A:$A,$A128)</f>
        <v>269902.0478</v>
      </c>
      <c r="AR128" s="162">
        <f>SUMIFS('Opex Departments'!AF:AF,'Opex Departments'!$B:$B,$C128,'Opex Departments'!$A:$A,$A128)</f>
        <v>269912.818</v>
      </c>
      <c r="AS128" s="162">
        <f>SUMIFS('Opex Departments'!AG:AG,'Opex Departments'!$B:$B,$C128,'Opex Departments'!$A:$A,$A128)</f>
        <v>269923.6421</v>
      </c>
      <c r="AT128" s="162">
        <f>SUMIFS('Opex Departments'!AH:AH,'Opex Departments'!$B:$B,$C128,'Opex Departments'!$A:$A,$A128)</f>
        <v>324314.6942</v>
      </c>
      <c r="AU128" s="162">
        <f>SUMIFS('Opex Departments'!AI:AI,'Opex Departments'!$B:$B,$C128,'Opex Departments'!$A:$A,$A128)</f>
        <v>272355.6678</v>
      </c>
      <c r="AV128" s="162">
        <f>SUMIFS('Opex Departments'!AJ:AJ,'Opex Departments'!$B:$B,$C128,'Opex Departments'!$A:$A,$A128)</f>
        <v>270021.9811</v>
      </c>
      <c r="AW128" s="162">
        <f>SUMIFS('Opex Departments'!AK:AK,'Opex Departments'!$B:$B,$C128,'Opex Departments'!$A:$A,$A128)</f>
        <v>270033.351</v>
      </c>
      <c r="AX128" s="162">
        <f>SUMIFS('Opex Departments'!AL:AL,'Opex Departments'!$B:$B,$C128,'Opex Departments'!$A:$A,$A128)</f>
        <v>270044.7778</v>
      </c>
      <c r="AY128" s="162">
        <f>SUMIFS('Opex Departments'!AM:AM,'Opex Departments'!$B:$B,$C128,'Opex Departments'!$A:$A,$A128)</f>
        <v>259505.2617</v>
      </c>
      <c r="AZ128" s="162">
        <f>SUMIFS('Opex Departments'!AN:AN,'Opex Departments'!$B:$B,$C128,'Opex Departments'!$A:$A,$A128)</f>
        <v>317475.5114</v>
      </c>
      <c r="BA128" s="162">
        <f>SUMIFS('Opex Departments'!AO:AO,'Opex Departments'!$B:$B,$C128,'Opex Departments'!$A:$A,$A128)</f>
        <v>264674.9214</v>
      </c>
      <c r="BB128" s="162">
        <f>SUMIFS('Opex Departments'!AP:AP,'Opex Departments'!$B:$B,$C128,'Opex Departments'!$A:$A,$A128)</f>
        <v>267310.1293</v>
      </c>
      <c r="BC128" s="162">
        <f>SUMIFS('Opex Departments'!AQ:AQ,'Opex Departments'!$B:$B,$C128,'Opex Departments'!$A:$A,$A128)</f>
        <v>269971.6316</v>
      </c>
      <c r="BD128" s="162">
        <f>SUMIFS('Opex Departments'!AR:AR,'Opex Departments'!$B:$B,$C128,'Opex Departments'!$A:$A,$A128)</f>
        <v>272659.6909</v>
      </c>
      <c r="BE128" s="162">
        <f>SUMIFS('Opex Departments'!AS:AS,'Opex Departments'!$B:$B,$C128,'Opex Departments'!$A:$A,$A128)</f>
        <v>275374.5725</v>
      </c>
      <c r="BF128" s="162">
        <f>SUMIFS('Opex Departments'!AT:AT,'Opex Departments'!$B:$B,$C128,'Opex Departments'!$A:$A,$A128)</f>
        <v>329909.8047</v>
      </c>
      <c r="BG128" s="162">
        <f>SUMIFS('Opex Departments'!AU:AU,'Opex Departments'!$B:$B,$C128,'Opex Departments'!$A:$A,$A128)</f>
        <v>281215.4865</v>
      </c>
      <c r="BH128" s="162">
        <f>SUMIFS('Opex Departments'!AV:AV,'Opex Departments'!$B:$B,$C128,'Opex Departments'!$A:$A,$A128)</f>
        <v>284014.1015</v>
      </c>
      <c r="BI128" s="162">
        <f>SUMIFS('Opex Departments'!AW:AW,'Opex Departments'!$B:$B,$C128,'Opex Departments'!$A:$A,$A128)</f>
        <v>286840.6348</v>
      </c>
      <c r="BJ128" s="162">
        <f>SUMIFS('Opex Departments'!AX:AX,'Opex Departments'!$B:$B,$C128,'Opex Departments'!$A:$A,$A128)</f>
        <v>289695.3655</v>
      </c>
      <c r="BK128" s="162">
        <f>SUMIFS('Opex Departments'!AY:AY,'Opex Departments'!$B:$B,$C128,'Opex Departments'!$A:$A,$A128)</f>
        <v>292578.5751</v>
      </c>
      <c r="BL128" s="162">
        <f>SUMIFS('Opex Departments'!AZ:AZ,'Opex Departments'!$B:$B,$C128,'Opex Departments'!$A:$A,$A128)</f>
        <v>356253.0066</v>
      </c>
      <c r="BM128" s="162">
        <f>SUMIFS('Opex Departments'!BA:BA,'Opex Departments'!$B:$B,$C128,'Opex Departments'!$A:$A,$A128)</f>
        <v>298818.2607</v>
      </c>
      <c r="BN128" s="162">
        <f>SUMIFS('Opex Departments'!BB:BB,'Opex Departments'!$B:$B,$C128,'Opex Departments'!$A:$A,$A128)</f>
        <v>301790.5586</v>
      </c>
      <c r="BO128" s="162">
        <f>SUMIFS('Opex Departments'!BC:BC,'Opex Departments'!$B:$B,$C128,'Opex Departments'!$A:$A,$A128)</f>
        <v>304792.5</v>
      </c>
      <c r="BP128" s="162">
        <f>SUMIFS('Opex Departments'!BD:BD,'Opex Departments'!$B:$B,$C128,'Opex Departments'!$A:$A,$A128)</f>
        <v>307824.381</v>
      </c>
      <c r="BQ128" s="162">
        <f>SUMIFS('Opex Departments'!BE:BE,'Opex Departments'!$B:$B,$C128,'Opex Departments'!$A:$A,$A128)</f>
        <v>310886.5007</v>
      </c>
      <c r="BR128" s="162">
        <f>SUMIFS('Opex Departments'!BF:BF,'Opex Departments'!$B:$B,$C128,'Opex Departments'!$A:$A,$A128)</f>
        <v>378782.1245</v>
      </c>
      <c r="BS128" s="162">
        <f>SUMIFS('Opex Departments'!BG:BG,'Opex Departments'!$B:$B,$C128,'Opex Departments'!$A:$A,$A128)</f>
        <v>317232.224</v>
      </c>
      <c r="BT128" s="162">
        <f>SUMIFS('Opex Departments'!BH:BH,'Opex Departments'!$B:$B,$C128,'Opex Departments'!$A:$A,$A128)</f>
        <v>320387.5313</v>
      </c>
      <c r="BU128" s="162">
        <f>SUMIFS('Opex Departments'!BI:BI,'Opex Departments'!$B:$B,$C128,'Opex Departments'!$A:$A,$A128)</f>
        <v>323574.3065</v>
      </c>
      <c r="BV128" s="162">
        <f>SUMIFS('Opex Departments'!BJ:BJ,'Opex Departments'!$B:$B,$C128,'Opex Departments'!$A:$A,$A128)</f>
        <v>326792.8639</v>
      </c>
      <c r="BW128" s="162">
        <f>SUMIFS('Opex Departments'!BK:BK,'Opex Departments'!$B:$B,$C128,'Opex Departments'!$A:$A,$A128)</f>
        <v>330043.521</v>
      </c>
      <c r="BX128" s="162">
        <f>SUMIFS('Opex Departments'!BL:BL,'Opex Departments'!$B:$B,$C128,'Opex Departments'!$A:$A,$A128)</f>
        <v>395797.6556</v>
      </c>
      <c r="BY128" s="162">
        <f>SUMIFS('Opex Departments'!BM:BM,'Opex Departments'!$B:$B,$C128,'Opex Departments'!$A:$A,$A128)</f>
        <v>336434.0381</v>
      </c>
      <c r="BZ128" s="162">
        <f>SUMIFS('Opex Departments'!BN:BN,'Opex Departments'!$B:$B,$C128,'Opex Departments'!$A:$A,$A128)</f>
        <v>339781.8885</v>
      </c>
      <c r="CA128" s="162">
        <f>SUMIFS('Opex Departments'!BO:BO,'Opex Departments'!$B:$B,$C128,'Opex Departments'!$A:$A,$A128)</f>
        <v>343163.1349</v>
      </c>
      <c r="CB128" s="162">
        <f>SUMIFS('Opex Departments'!BP:BP,'Opex Departments'!$B:$B,$C128,'Opex Departments'!$A:$A,$A128)</f>
        <v>346578.1109</v>
      </c>
      <c r="CC128" s="162">
        <f>SUMIFS('Opex Departments'!BQ:BQ,'Opex Departments'!$B:$B,$C128,'Opex Departments'!$A:$A,$A128)</f>
        <v>350027.1535</v>
      </c>
      <c r="CD128" s="162">
        <f>SUMIFS('Opex Departments'!BR:BR,'Opex Departments'!$B:$B,$C128,'Opex Departments'!$A:$A,$A128)</f>
        <v>414053.9892</v>
      </c>
      <c r="CE128" s="162">
        <f>SUMIFS('Opex Departments'!BS:BS,'Opex Departments'!$B:$B,$C128,'Opex Departments'!$A:$A,$A128)</f>
        <v>356826.8509</v>
      </c>
      <c r="CF128" s="162">
        <f>SUMIFS('Opex Departments'!BT:BT,'Opex Departments'!$B:$B,$C128,'Opex Departments'!$A:$A,$A128)</f>
        <v>360379.1383</v>
      </c>
      <c r="CG128" s="162">
        <f>SUMIFS('Opex Departments'!BU:BU,'Opex Departments'!$B:$B,$C128,'Opex Departments'!$A:$A,$A128)</f>
        <v>363966.8686</v>
      </c>
      <c r="CH128" s="162">
        <f>SUMIFS('Opex Departments'!BV:BV,'Opex Departments'!$B:$B,$C128,'Opex Departments'!$A:$A,$A128)</f>
        <v>367590.3958</v>
      </c>
      <c r="CI128" s="162">
        <f>SUMIFS('Opex Departments'!BW:BW,'Opex Departments'!$B:$B,$C128,'Opex Departments'!$A:$A,$A128)</f>
        <v>371250.0777</v>
      </c>
      <c r="CJ128" s="162">
        <f>SUMIFS('Opex Departments'!BX:BX,'Opex Departments'!$B:$B,$C128,'Opex Departments'!$A:$A,$A128)</f>
        <v>433621.4729</v>
      </c>
      <c r="CK128" s="162">
        <f>SUMIFS('Opex Departments'!BY:BY,'Opex Departments'!$B:$B,$C128,'Opex Departments'!$A:$A,$A128)</f>
        <v>378483.6336</v>
      </c>
      <c r="CL128" s="162">
        <f>SUMIFS('Opex Departments'!BZ:BZ,'Opex Departments'!$B:$B,$C128,'Opex Departments'!$A:$A,$A128)</f>
        <v>382252.9818</v>
      </c>
      <c r="CM128" s="162">
        <f>SUMIFS('Opex Departments'!CA:CA,'Opex Departments'!$B:$B,$C128,'Opex Departments'!$A:$A,$A128)</f>
        <v>386059.9462</v>
      </c>
      <c r="CN128" s="162">
        <f>SUMIFS('Opex Departments'!CB:CB,'Opex Departments'!$B:$B,$C128,'Opex Departments'!$A:$A,$A128)</f>
        <v>389904.9023</v>
      </c>
      <c r="CO128" s="162">
        <f>SUMIFS('Opex Departments'!CC:CC,'Opex Departments'!$B:$B,$C128,'Opex Departments'!$A:$A,$A128)</f>
        <v>393788.2298</v>
      </c>
      <c r="CP128" s="162">
        <f>SUMIFS('Opex Departments'!CD:CD,'Opex Departments'!$B:$B,$C128,'Opex Departments'!$A:$A,$A128)</f>
        <v>448254.917</v>
      </c>
      <c r="CQ128" s="162">
        <f>SUMIFS('Opex Departments'!CE:CE,'Opex Departments'!$B:$B,$C128,'Opex Departments'!$A:$A,$A128)</f>
        <v>401165.8529</v>
      </c>
      <c r="CR128" s="162">
        <f>SUMIFS('Opex Departments'!CF:CF,'Opex Departments'!$B:$B,$C128,'Opex Departments'!$A:$A,$A128)</f>
        <v>405164.0814</v>
      </c>
      <c r="CS128" s="162">
        <f>SUMIFS('Opex Departments'!CG:CG,'Opex Departments'!$B:$B,$C128,'Opex Departments'!$A:$A,$A128)</f>
        <v>409202.225</v>
      </c>
      <c r="CT128" s="162">
        <f>SUMIFS('Opex Departments'!CH:CH,'Opex Departments'!$B:$B,$C128,'Opex Departments'!$A:$A,$A128)</f>
        <v>413280.6824</v>
      </c>
      <c r="CU128" s="162">
        <f>SUMIFS('Opex Departments'!CI:CI,'Opex Departments'!$B:$B,$C128,'Opex Departments'!$A:$A,$A128)</f>
        <v>417399.8567</v>
      </c>
      <c r="CV128" s="162"/>
      <c r="CW128" s="162"/>
      <c r="CX128" s="162"/>
      <c r="CY128" s="162"/>
      <c r="CZ128" s="162"/>
      <c r="DA128" s="162"/>
      <c r="DB128" s="162"/>
      <c r="DC128" s="162"/>
    </row>
    <row r="129" ht="15.75" customHeight="1">
      <c r="A129" s="144" t="s">
        <v>120</v>
      </c>
      <c r="B129" s="144"/>
      <c r="C129" s="144" t="s">
        <v>178</v>
      </c>
      <c r="D129" s="144"/>
      <c r="E129" s="144"/>
      <c r="F129" s="144"/>
      <c r="G129" s="144"/>
      <c r="H129" s="144"/>
      <c r="I129" s="144"/>
      <c r="J129" s="144"/>
      <c r="K129" s="144"/>
      <c r="L129" s="144"/>
      <c r="M129" s="144"/>
      <c r="N129" s="144"/>
      <c r="O129" s="144"/>
      <c r="P129" s="162" t="s">
        <v>272</v>
      </c>
      <c r="Q129" s="162" t="s">
        <v>272</v>
      </c>
      <c r="R129" s="162" t="s">
        <v>272</v>
      </c>
      <c r="S129" s="162" t="s">
        <v>272</v>
      </c>
      <c r="T129" s="162" t="s">
        <v>272</v>
      </c>
      <c r="U129" s="162" t="s">
        <v>272</v>
      </c>
      <c r="V129" s="162" t="s">
        <v>272</v>
      </c>
      <c r="W129" s="162" t="s">
        <v>272</v>
      </c>
      <c r="X129" s="162" t="s">
        <v>272</v>
      </c>
      <c r="Y129" s="162" t="s">
        <v>272</v>
      </c>
      <c r="Z129" s="162" t="s">
        <v>272</v>
      </c>
      <c r="AA129" s="162">
        <v>52.0</v>
      </c>
      <c r="AB129" s="162">
        <v>29.0</v>
      </c>
      <c r="AC129" s="162" t="s">
        <v>272</v>
      </c>
      <c r="AD129" s="162">
        <v>58.0</v>
      </c>
      <c r="AE129" s="162">
        <v>172.0</v>
      </c>
      <c r="AF129" s="162">
        <v>46.0</v>
      </c>
      <c r="AG129" s="162" t="s">
        <v>272</v>
      </c>
      <c r="AH129" s="162">
        <f>SUMIFS('Opex Departments'!V:V,'Opex Departments'!$B:$B,$C129,'Opex Departments'!$A:$A,$A129)</f>
        <v>8170</v>
      </c>
      <c r="AI129" s="162">
        <f>SUMIFS('Opex Departments'!W:W,'Opex Departments'!$B:$B,$C129,'Opex Departments'!$A:$A,$A129)</f>
        <v>4936</v>
      </c>
      <c r="AJ129" s="162">
        <f>SUMIFS('Opex Departments'!X:X,'Opex Departments'!$B:$B,$C129,'Opex Departments'!$A:$A,$A129)</f>
        <v>3853</v>
      </c>
      <c r="AK129" s="162">
        <f>SUMIFS('Opex Departments'!Y:Y,'Opex Departments'!$B:$B,$C129,'Opex Departments'!$A:$A,$A129)</f>
        <v>5141</v>
      </c>
      <c r="AL129" s="162">
        <f>SUMIFS('Opex Departments'!Z:Z,'Opex Departments'!$B:$B,$C129,'Opex Departments'!$A:$A,$A129)</f>
        <v>1332</v>
      </c>
      <c r="AM129" s="162">
        <f>SUMIFS('Opex Departments'!AA:AA,'Opex Departments'!$B:$B,$C129,'Opex Departments'!$A:$A,$A129)</f>
        <v>15118.07237</v>
      </c>
      <c r="AN129" s="162">
        <f>SUMIFS('Opex Departments'!AB:AB,'Opex Departments'!$B:$B,$C129,'Opex Departments'!$A:$A,$A129)</f>
        <v>35616.79689</v>
      </c>
      <c r="AO129" s="162">
        <f>SUMIFS('Opex Departments'!AC:AC,'Opex Departments'!$B:$B,$C129,'Opex Departments'!$A:$A,$A129)</f>
        <v>42089.90874</v>
      </c>
      <c r="AP129" s="162">
        <f>SUMIFS('Opex Departments'!AD:AD,'Opex Departments'!$B:$B,$C129,'Opex Departments'!$A:$A,$A129)</f>
        <v>42657.49792</v>
      </c>
      <c r="AQ129" s="162">
        <f>SUMIFS('Opex Departments'!AE:AE,'Opex Departments'!$B:$B,$C129,'Opex Departments'!$A:$A,$A129)</f>
        <v>42011.82797</v>
      </c>
      <c r="AR129" s="162">
        <f>SUMIFS('Opex Departments'!AF:AF,'Opex Departments'!$B:$B,$C129,'Opex Departments'!$A:$A,$A129)</f>
        <v>44154.46673</v>
      </c>
      <c r="AS129" s="162">
        <f>SUMIFS('Opex Departments'!AG:AG,'Opex Departments'!$B:$B,$C129,'Opex Departments'!$A:$A,$A129)</f>
        <v>44210.46413</v>
      </c>
      <c r="AT129" s="162">
        <f>SUMIFS('Opex Departments'!AH:AH,'Opex Departments'!$B:$B,$C129,'Opex Departments'!$A:$A,$A129)</f>
        <v>44091.8165</v>
      </c>
      <c r="AU129" s="162">
        <f>SUMIFS('Opex Departments'!AI:AI,'Opex Departments'!$B:$B,$C129,'Opex Departments'!$A:$A,$A129)</f>
        <v>44152.24912</v>
      </c>
      <c r="AV129" s="162">
        <f>SUMIFS('Opex Departments'!AJ:AJ,'Opex Departments'!$B:$B,$C129,'Opex Departments'!$A:$A,$A129)</f>
        <v>46138.32787</v>
      </c>
      <c r="AW129" s="162">
        <f>SUMIFS('Opex Departments'!AK:AK,'Opex Departments'!$B:$B,$C129,'Opex Departments'!$A:$A,$A129)</f>
        <v>46118.09563</v>
      </c>
      <c r="AX129" s="162">
        <f>SUMIFS('Opex Departments'!AL:AL,'Opex Departments'!$B:$B,$C129,'Opex Departments'!$A:$A,$A129)</f>
        <v>46131.73556</v>
      </c>
      <c r="AY129" s="162">
        <f>SUMIFS('Opex Departments'!AM:AM,'Opex Departments'!$B:$B,$C129,'Opex Departments'!$A:$A,$A129)</f>
        <v>46129.38635</v>
      </c>
      <c r="AZ129" s="162">
        <f>SUMIFS('Opex Departments'!AN:AN,'Opex Departments'!$B:$B,$C129,'Opex Departments'!$A:$A,$A129)</f>
        <v>47971.46208</v>
      </c>
      <c r="BA129" s="162">
        <f>SUMIFS('Opex Departments'!AO:AO,'Opex Departments'!$B:$B,$C129,'Opex Departments'!$A:$A,$A129)</f>
        <v>47974.30505</v>
      </c>
      <c r="BB129" s="162">
        <f>SUMIFS('Opex Departments'!AP:AP,'Opex Departments'!$B:$B,$C129,'Opex Departments'!$A:$A,$A129)</f>
        <v>47973.42845</v>
      </c>
      <c r="BC129" s="162">
        <f>SUMIFS('Opex Departments'!AQ:AQ,'Opex Departments'!$B:$B,$C129,'Opex Departments'!$A:$A,$A129)</f>
        <v>47973.06519</v>
      </c>
      <c r="BD129" s="162">
        <f>SUMIFS('Opex Departments'!AR:AR,'Opex Departments'!$B:$B,$C129,'Opex Departments'!$A:$A,$A129)</f>
        <v>49892.54355</v>
      </c>
      <c r="BE129" s="162">
        <f>SUMIFS('Opex Departments'!AS:AS,'Opex Departments'!$B:$B,$C129,'Opex Departments'!$A:$A,$A129)</f>
        <v>49892.3022</v>
      </c>
      <c r="BF129" s="162">
        <f>SUMIFS('Opex Departments'!AT:AT,'Opex Departments'!$B:$B,$C129,'Opex Departments'!$A:$A,$A129)</f>
        <v>49892.28162</v>
      </c>
      <c r="BG129" s="162">
        <f>SUMIFS('Opex Departments'!AU:AU,'Opex Departments'!$B:$B,$C129,'Opex Departments'!$A:$A,$A129)</f>
        <v>49892.37579</v>
      </c>
      <c r="BH129" s="162">
        <f>SUMIFS('Opex Departments'!AV:AV,'Opex Departments'!$B:$B,$C129,'Opex Departments'!$A:$A,$A129)</f>
        <v>51888.01266</v>
      </c>
      <c r="BI129" s="162">
        <f>SUMIFS('Opex Departments'!AW:AW,'Opex Departments'!$B:$B,$C129,'Opex Departments'!$A:$A,$A129)</f>
        <v>51888.01871</v>
      </c>
      <c r="BJ129" s="162">
        <f>SUMIFS('Opex Departments'!AX:AX,'Opex Departments'!$B:$B,$C129,'Opex Departments'!$A:$A,$A129)</f>
        <v>51888.03358</v>
      </c>
      <c r="BK129" s="162">
        <f>SUMIFS('Opex Departments'!AY:AY,'Opex Departments'!$B:$B,$C129,'Opex Departments'!$A:$A,$A129)</f>
        <v>51888.02165</v>
      </c>
      <c r="BL129" s="162">
        <f>SUMIFS('Opex Departments'!AZ:AZ,'Opex Departments'!$B:$B,$C129,'Opex Departments'!$A:$A,$A129)</f>
        <v>53963.54563</v>
      </c>
      <c r="BM129" s="162">
        <f>SUMIFS('Opex Departments'!BA:BA,'Opex Departments'!$B:$B,$C129,'Opex Departments'!$A:$A,$A129)</f>
        <v>53963.54767</v>
      </c>
      <c r="BN129" s="162">
        <f>SUMIFS('Opex Departments'!BB:BB,'Opex Departments'!$B:$B,$C129,'Opex Departments'!$A:$A,$A129)</f>
        <v>53963.54531</v>
      </c>
      <c r="BO129" s="162">
        <f>SUMIFS('Opex Departments'!BC:BC,'Opex Departments'!$B:$B,$C129,'Opex Departments'!$A:$A,$A129)</f>
        <v>53963.5462</v>
      </c>
      <c r="BP129" s="162">
        <f>SUMIFS('Opex Departments'!BD:BD,'Opex Departments'!$B:$B,$C129,'Opex Departments'!$A:$A,$A129)</f>
        <v>56122.08825</v>
      </c>
      <c r="BQ129" s="162">
        <f>SUMIFS('Opex Departments'!BE:BE,'Opex Departments'!$B:$B,$C129,'Opex Departments'!$A:$A,$A129)</f>
        <v>56122.08781</v>
      </c>
      <c r="BR129" s="162">
        <f>SUMIFS('Opex Departments'!BF:BF,'Opex Departments'!$B:$B,$C129,'Opex Departments'!$A:$A,$A129)</f>
        <v>56122.08804</v>
      </c>
      <c r="BS129" s="162">
        <f>SUMIFS('Opex Departments'!BG:BG,'Opex Departments'!$B:$B,$C129,'Opex Departments'!$A:$A,$A129)</f>
        <v>56122.08803</v>
      </c>
      <c r="BT129" s="162">
        <f>SUMIFS('Opex Departments'!BH:BH,'Opex Departments'!$B:$B,$C129,'Opex Departments'!$A:$A,$A129)</f>
        <v>58366.97148</v>
      </c>
      <c r="BU129" s="162">
        <f>SUMIFS('Opex Departments'!BI:BI,'Opex Departments'!$B:$B,$C129,'Opex Departments'!$A:$A,$A129)</f>
        <v>58366.97153</v>
      </c>
      <c r="BV129" s="162">
        <f>SUMIFS('Opex Departments'!BJ:BJ,'Opex Departments'!$B:$B,$C129,'Opex Departments'!$A:$A,$A129)</f>
        <v>58366.97152</v>
      </c>
      <c r="BW129" s="162">
        <f>SUMIFS('Opex Departments'!BK:BK,'Opex Departments'!$B:$B,$C129,'Opex Departments'!$A:$A,$A129)</f>
        <v>58366.97151</v>
      </c>
      <c r="BX129" s="162">
        <f>SUMIFS('Opex Departments'!BL:BL,'Opex Departments'!$B:$B,$C129,'Opex Departments'!$A:$A,$A129)</f>
        <v>60701.65038</v>
      </c>
      <c r="BY129" s="162">
        <f>SUMIFS('Opex Departments'!BM:BM,'Opex Departments'!$B:$B,$C129,'Opex Departments'!$A:$A,$A129)</f>
        <v>60701.65038</v>
      </c>
      <c r="BZ129" s="162">
        <f>SUMIFS('Opex Departments'!BN:BN,'Opex Departments'!$B:$B,$C129,'Opex Departments'!$A:$A,$A129)</f>
        <v>60701.65038</v>
      </c>
      <c r="CA129" s="162">
        <f>SUMIFS('Opex Departments'!BO:BO,'Opex Departments'!$B:$B,$C129,'Opex Departments'!$A:$A,$A129)</f>
        <v>60701.65038</v>
      </c>
      <c r="CB129" s="162">
        <f>SUMIFS('Opex Departments'!BP:BP,'Opex Departments'!$B:$B,$C129,'Opex Departments'!$A:$A,$A129)</f>
        <v>63129.71639</v>
      </c>
      <c r="CC129" s="162">
        <f>SUMIFS('Opex Departments'!BQ:BQ,'Opex Departments'!$B:$B,$C129,'Opex Departments'!$A:$A,$A129)</f>
        <v>63129.71639</v>
      </c>
      <c r="CD129" s="162">
        <f>SUMIFS('Opex Departments'!BR:BR,'Opex Departments'!$B:$B,$C129,'Opex Departments'!$A:$A,$A129)</f>
        <v>63129.71639</v>
      </c>
      <c r="CE129" s="162">
        <f>SUMIFS('Opex Departments'!BS:BS,'Opex Departments'!$B:$B,$C129,'Opex Departments'!$A:$A,$A129)</f>
        <v>63129.71639</v>
      </c>
      <c r="CF129" s="162">
        <f>SUMIFS('Opex Departments'!BT:BT,'Opex Departments'!$B:$B,$C129,'Opex Departments'!$A:$A,$A129)</f>
        <v>65654.90505</v>
      </c>
      <c r="CG129" s="162">
        <f>SUMIFS('Opex Departments'!BU:BU,'Opex Departments'!$B:$B,$C129,'Opex Departments'!$A:$A,$A129)</f>
        <v>65654.90505</v>
      </c>
      <c r="CH129" s="162">
        <f>SUMIFS('Opex Departments'!BV:BV,'Opex Departments'!$B:$B,$C129,'Opex Departments'!$A:$A,$A129)</f>
        <v>65654.90505</v>
      </c>
      <c r="CI129" s="162">
        <f>SUMIFS('Opex Departments'!BW:BW,'Opex Departments'!$B:$B,$C129,'Opex Departments'!$A:$A,$A129)</f>
        <v>65654.90505</v>
      </c>
      <c r="CJ129" s="162">
        <f>SUMIFS('Opex Departments'!BX:BX,'Opex Departments'!$B:$B,$C129,'Opex Departments'!$A:$A,$A129)</f>
        <v>68281.10125</v>
      </c>
      <c r="CK129" s="162">
        <f>SUMIFS('Opex Departments'!BY:BY,'Opex Departments'!$B:$B,$C129,'Opex Departments'!$A:$A,$A129)</f>
        <v>68281.10125</v>
      </c>
      <c r="CL129" s="162">
        <f>SUMIFS('Opex Departments'!BZ:BZ,'Opex Departments'!$B:$B,$C129,'Opex Departments'!$A:$A,$A129)</f>
        <v>68281.10125</v>
      </c>
      <c r="CM129" s="162">
        <f>SUMIFS('Opex Departments'!CA:CA,'Opex Departments'!$B:$B,$C129,'Opex Departments'!$A:$A,$A129)</f>
        <v>68281.10125</v>
      </c>
      <c r="CN129" s="162">
        <f>SUMIFS('Opex Departments'!CB:CB,'Opex Departments'!$B:$B,$C129,'Opex Departments'!$A:$A,$A129)</f>
        <v>71012.3453</v>
      </c>
      <c r="CO129" s="162">
        <f>SUMIFS('Opex Departments'!CC:CC,'Opex Departments'!$B:$B,$C129,'Opex Departments'!$A:$A,$A129)</f>
        <v>71012.3453</v>
      </c>
      <c r="CP129" s="162">
        <f>SUMIFS('Opex Departments'!CD:CD,'Opex Departments'!$B:$B,$C129,'Opex Departments'!$A:$A,$A129)</f>
        <v>71012.3453</v>
      </c>
      <c r="CQ129" s="162">
        <f>SUMIFS('Opex Departments'!CE:CE,'Opex Departments'!$B:$B,$C129,'Opex Departments'!$A:$A,$A129)</f>
        <v>71012.3453</v>
      </c>
      <c r="CR129" s="162">
        <f>SUMIFS('Opex Departments'!CF:CF,'Opex Departments'!$B:$B,$C129,'Opex Departments'!$A:$A,$A129)</f>
        <v>73852.83911</v>
      </c>
      <c r="CS129" s="162">
        <f>SUMIFS('Opex Departments'!CG:CG,'Opex Departments'!$B:$B,$C129,'Opex Departments'!$A:$A,$A129)</f>
        <v>73852.83911</v>
      </c>
      <c r="CT129" s="162">
        <f>SUMIFS('Opex Departments'!CH:CH,'Opex Departments'!$B:$B,$C129,'Opex Departments'!$A:$A,$A129)</f>
        <v>73852.83911</v>
      </c>
      <c r="CU129" s="162">
        <f>SUMIFS('Opex Departments'!CI:CI,'Opex Departments'!$B:$B,$C129,'Opex Departments'!$A:$A,$A129)</f>
        <v>73852.83911</v>
      </c>
      <c r="CV129" s="162"/>
      <c r="CW129" s="162"/>
      <c r="CX129" s="162"/>
      <c r="CY129" s="162"/>
      <c r="CZ129" s="162"/>
      <c r="DA129" s="162"/>
      <c r="DB129" s="162"/>
      <c r="DC129" s="162"/>
    </row>
    <row r="130" ht="15.75" customHeight="1">
      <c r="A130" s="144" t="s">
        <v>120</v>
      </c>
      <c r="B130" s="144"/>
      <c r="C130" s="176" t="s">
        <v>179</v>
      </c>
      <c r="D130" s="144"/>
      <c r="E130" s="144"/>
      <c r="F130" s="144"/>
      <c r="G130" s="144"/>
      <c r="H130" s="144"/>
      <c r="I130" s="144"/>
      <c r="J130" s="144"/>
      <c r="K130" s="144"/>
      <c r="L130" s="144"/>
      <c r="M130" s="144"/>
      <c r="N130" s="144"/>
      <c r="O130" s="144"/>
      <c r="P130" s="162" t="s">
        <v>272</v>
      </c>
      <c r="Q130" s="162" t="s">
        <v>272</v>
      </c>
      <c r="R130" s="162" t="s">
        <v>272</v>
      </c>
      <c r="S130" s="162" t="s">
        <v>272</v>
      </c>
      <c r="T130" s="162" t="s">
        <v>272</v>
      </c>
      <c r="U130" s="162" t="s">
        <v>272</v>
      </c>
      <c r="V130" s="162" t="s">
        <v>272</v>
      </c>
      <c r="W130" s="162" t="s">
        <v>272</v>
      </c>
      <c r="X130" s="162" t="s">
        <v>272</v>
      </c>
      <c r="Y130" s="162" t="s">
        <v>272</v>
      </c>
      <c r="Z130" s="162" t="s">
        <v>272</v>
      </c>
      <c r="AA130" s="162" t="s">
        <v>272</v>
      </c>
      <c r="AB130" s="162" t="s">
        <v>272</v>
      </c>
      <c r="AC130" s="162" t="s">
        <v>272</v>
      </c>
      <c r="AD130" s="162" t="s">
        <v>272</v>
      </c>
      <c r="AE130" s="162">
        <v>337.0</v>
      </c>
      <c r="AF130" s="162">
        <v>2090.0</v>
      </c>
      <c r="AG130" s="162" t="s">
        <v>272</v>
      </c>
      <c r="AH130" s="162">
        <f>SUMIFS('Opex Departments'!V:V,'Opex Departments'!$B:$B,$C130,'Opex Departments'!$A:$A,$A130)</f>
        <v>6567</v>
      </c>
      <c r="AI130" s="162">
        <f>SUMIFS('Opex Departments'!W:W,'Opex Departments'!$B:$B,$C130,'Opex Departments'!$A:$A,$A130)</f>
        <v>7780</v>
      </c>
      <c r="AJ130" s="162">
        <f>SUMIFS('Opex Departments'!X:X,'Opex Departments'!$B:$B,$C130,'Opex Departments'!$A:$A,$A130)</f>
        <v>5237</v>
      </c>
      <c r="AK130" s="162">
        <f>SUMIFS('Opex Departments'!Y:Y,'Opex Departments'!$B:$B,$C130,'Opex Departments'!$A:$A,$A130)</f>
        <v>5063</v>
      </c>
      <c r="AL130" s="162">
        <f>SUMIFS('Opex Departments'!Z:Z,'Opex Departments'!$B:$B,$C130,'Opex Departments'!$A:$A,$A130)</f>
        <v>2484</v>
      </c>
      <c r="AM130" s="162">
        <f>SUMIFS('Opex Departments'!AA:AA,'Opex Departments'!$B:$B,$C130,'Opex Departments'!$A:$A,$A130)</f>
        <v>16680.44</v>
      </c>
      <c r="AN130" s="162">
        <f>SUMIFS('Opex Departments'!AB:AB,'Opex Departments'!$B:$B,$C130,'Opex Departments'!$A:$A,$A130)</f>
        <v>8979.6</v>
      </c>
      <c r="AO130" s="162">
        <f>SUMIFS('Opex Departments'!AC:AC,'Opex Departments'!$B:$B,$C130,'Opex Departments'!$A:$A,$A130)</f>
        <v>4147.405585</v>
      </c>
      <c r="AP130" s="162">
        <f>SUMIFS('Opex Departments'!AD:AD,'Opex Departments'!$B:$B,$C130,'Opex Departments'!$A:$A,$A130)</f>
        <v>4188.87964</v>
      </c>
      <c r="AQ130" s="162">
        <f>SUMIFS('Opex Departments'!AE:AE,'Opex Departments'!$B:$B,$C130,'Opex Departments'!$A:$A,$A130)</f>
        <v>4230.768437</v>
      </c>
      <c r="AR130" s="162">
        <f>SUMIFS('Opex Departments'!AF:AF,'Opex Departments'!$B:$B,$C130,'Opex Departments'!$A:$A,$A130)</f>
        <v>33670</v>
      </c>
      <c r="AS130" s="162">
        <f>SUMIFS('Opex Departments'!AG:AG,'Opex Departments'!$B:$B,$C130,'Opex Departments'!$A:$A,$A130)</f>
        <v>4315.806882</v>
      </c>
      <c r="AT130" s="162">
        <f>SUMIFS('Opex Departments'!AH:AH,'Opex Departments'!$B:$B,$C130,'Opex Departments'!$A:$A,$A130)</f>
        <v>4358.964951</v>
      </c>
      <c r="AU130" s="162">
        <f>SUMIFS('Opex Departments'!AI:AI,'Opex Departments'!$B:$B,$C130,'Opex Departments'!$A:$A,$A130)</f>
        <v>4402.554601</v>
      </c>
      <c r="AV130" s="162">
        <f>SUMIFS('Opex Departments'!AJ:AJ,'Opex Departments'!$B:$B,$C130,'Opex Departments'!$A:$A,$A130)</f>
        <v>34580</v>
      </c>
      <c r="AW130" s="162">
        <f>SUMIFS('Opex Departments'!AK:AK,'Opex Departments'!$B:$B,$C130,'Opex Departments'!$A:$A,$A130)</f>
        <v>4491.045948</v>
      </c>
      <c r="AX130" s="162">
        <f>SUMIFS('Opex Departments'!AL:AL,'Opex Departments'!$B:$B,$C130,'Opex Departments'!$A:$A,$A130)</f>
        <v>4535.956408</v>
      </c>
      <c r="AY130" s="162">
        <f>SUMIFS('Opex Departments'!AM:AM,'Opex Departments'!$B:$B,$C130,'Opex Departments'!$A:$A,$A130)</f>
        <v>4581.315972</v>
      </c>
      <c r="AZ130" s="162">
        <f>SUMIFS('Opex Departments'!AN:AN,'Opex Departments'!$B:$B,$C130,'Opex Departments'!$A:$A,$A130)</f>
        <v>36582</v>
      </c>
      <c r="BA130" s="162">
        <f>SUMIFS('Opex Departments'!AO:AO,'Opex Departments'!$B:$B,$C130,'Opex Departments'!$A:$A,$A130)</f>
        <v>1374.529536</v>
      </c>
      <c r="BB130" s="162">
        <f>SUMIFS('Opex Departments'!AP:AP,'Opex Departments'!$B:$B,$C130,'Opex Departments'!$A:$A,$A130)</f>
        <v>1388.274831</v>
      </c>
      <c r="BC130" s="162">
        <f>SUMIFS('Opex Departments'!AQ:AQ,'Opex Departments'!$B:$B,$C130,'Opex Departments'!$A:$A,$A130)</f>
        <v>1402.15758</v>
      </c>
      <c r="BD130" s="162">
        <f>SUMIFS('Opex Departments'!AR:AR,'Opex Departments'!$B:$B,$C130,'Opex Departments'!$A:$A,$A130)</f>
        <v>37492</v>
      </c>
      <c r="BE130" s="162">
        <f>SUMIFS('Opex Departments'!AS:AS,'Opex Departments'!$B:$B,$C130,'Opex Departments'!$A:$A,$A130)</f>
        <v>1430.340947</v>
      </c>
      <c r="BF130" s="162">
        <f>SUMIFS('Opex Departments'!AT:AT,'Opex Departments'!$B:$B,$C130,'Opex Departments'!$A:$A,$A130)</f>
        <v>1444.644357</v>
      </c>
      <c r="BG130" s="162">
        <f>SUMIFS('Opex Departments'!AU:AU,'Opex Departments'!$B:$B,$C130,'Opex Departments'!$A:$A,$A130)</f>
        <v>1459.0908</v>
      </c>
      <c r="BH130" s="162">
        <f>SUMIFS('Opex Departments'!AV:AV,'Opex Departments'!$B:$B,$C130,'Opex Departments'!$A:$A,$A130)</f>
        <v>38402</v>
      </c>
      <c r="BI130" s="162">
        <f>SUMIFS('Opex Departments'!AW:AW,'Opex Departments'!$B:$B,$C130,'Opex Departments'!$A:$A,$A130)</f>
        <v>1488.418525</v>
      </c>
      <c r="BJ130" s="162">
        <f>SUMIFS('Opex Departments'!AX:AX,'Opex Departments'!$B:$B,$C130,'Opex Departments'!$A:$A,$A130)</f>
        <v>1503.302711</v>
      </c>
      <c r="BK130" s="162">
        <f>SUMIFS('Opex Departments'!AY:AY,'Opex Departments'!$B:$B,$C130,'Opex Departments'!$A:$A,$A130)</f>
        <v>1518.335738</v>
      </c>
      <c r="BL130" s="162">
        <f>SUMIFS('Opex Departments'!AZ:AZ,'Opex Departments'!$B:$B,$C130,'Opex Departments'!$A:$A,$A130)</f>
        <v>39130</v>
      </c>
      <c r="BM130" s="162">
        <f>SUMIFS('Opex Departments'!BA:BA,'Opex Departments'!$B:$B,$C130,'Opex Departments'!$A:$A,$A130)</f>
        <v>1548.854286</v>
      </c>
      <c r="BN130" s="162">
        <f>SUMIFS('Opex Departments'!BB:BB,'Opex Departments'!$B:$B,$C130,'Opex Departments'!$A:$A,$A130)</f>
        <v>1564.342829</v>
      </c>
      <c r="BO130" s="162">
        <f>SUMIFS('Opex Departments'!BC:BC,'Opex Departments'!$B:$B,$C130,'Opex Departments'!$A:$A,$A130)</f>
        <v>1579.986257</v>
      </c>
      <c r="BP130" s="162">
        <f>SUMIFS('Opex Departments'!BD:BD,'Opex Departments'!$B:$B,$C130,'Opex Departments'!$A:$A,$A130)</f>
        <v>40950</v>
      </c>
      <c r="BQ130" s="162">
        <f>SUMIFS('Opex Departments'!BE:BE,'Opex Departments'!$B:$B,$C130,'Opex Departments'!$A:$A,$A130)</f>
        <v>1611.743981</v>
      </c>
      <c r="BR130" s="162">
        <f>SUMIFS('Opex Departments'!BF:BF,'Opex Departments'!$B:$B,$C130,'Opex Departments'!$A:$A,$A130)</f>
        <v>1627.861421</v>
      </c>
      <c r="BS130" s="162">
        <f>SUMIFS('Opex Departments'!BG:BG,'Opex Departments'!$B:$B,$C130,'Opex Departments'!$A:$A,$A130)</f>
        <v>1644.140035</v>
      </c>
      <c r="BT130" s="162">
        <f>SUMIFS('Opex Departments'!BH:BH,'Opex Departments'!$B:$B,$C130,'Opex Departments'!$A:$A,$A130)</f>
        <v>42224</v>
      </c>
      <c r="BU130" s="162">
        <f>SUMIFS('Opex Departments'!BI:BI,'Opex Departments'!$B:$B,$C130,'Opex Departments'!$A:$A,$A130)</f>
        <v>1677.18725</v>
      </c>
      <c r="BV130" s="162">
        <f>SUMIFS('Opex Departments'!BJ:BJ,'Opex Departments'!$B:$B,$C130,'Opex Departments'!$A:$A,$A130)</f>
        <v>1693.959122</v>
      </c>
      <c r="BW130" s="162">
        <f>SUMIFS('Opex Departments'!BK:BK,'Opex Departments'!$B:$B,$C130,'Opex Departments'!$A:$A,$A130)</f>
        <v>1710.898713</v>
      </c>
      <c r="BX130" s="162">
        <f>SUMIFS('Opex Departments'!BL:BL,'Opex Departments'!$B:$B,$C130,'Opex Departments'!$A:$A,$A130)</f>
        <v>43498</v>
      </c>
      <c r="BY130" s="162">
        <f>SUMIFS('Opex Departments'!BM:BM,'Opex Departments'!$B:$B,$C130,'Opex Departments'!$A:$A,$A130)</f>
        <v>1745.287777</v>
      </c>
      <c r="BZ130" s="162">
        <f>SUMIFS('Opex Departments'!BN:BN,'Opex Departments'!$B:$B,$C130,'Opex Departments'!$A:$A,$A130)</f>
        <v>1762.740655</v>
      </c>
      <c r="CA130" s="162">
        <f>SUMIFS('Opex Departments'!BO:BO,'Opex Departments'!$B:$B,$C130,'Opex Departments'!$A:$A,$A130)</f>
        <v>1780.368062</v>
      </c>
      <c r="CB130" s="162">
        <f>SUMIFS('Opex Departments'!BP:BP,'Opex Departments'!$B:$B,$C130,'Opex Departments'!$A:$A,$A130)</f>
        <v>48776</v>
      </c>
      <c r="CC130" s="162">
        <f>SUMIFS('Opex Departments'!BQ:BQ,'Opex Departments'!$B:$B,$C130,'Opex Departments'!$A:$A,$A130)</f>
        <v>1816.15346</v>
      </c>
      <c r="CD130" s="162">
        <f>SUMIFS('Opex Departments'!BR:BR,'Opex Departments'!$B:$B,$C130,'Opex Departments'!$A:$A,$A130)</f>
        <v>1834.314994</v>
      </c>
      <c r="CE130" s="162">
        <f>SUMIFS('Opex Departments'!BS:BS,'Opex Departments'!$B:$B,$C130,'Opex Departments'!$A:$A,$A130)</f>
        <v>1852.658144</v>
      </c>
      <c r="CF130" s="162">
        <f>SUMIFS('Opex Departments'!BT:BT,'Opex Departments'!$B:$B,$C130,'Opex Departments'!$A:$A,$A130)</f>
        <v>50232</v>
      </c>
      <c r="CG130" s="162">
        <f>SUMIFS('Opex Departments'!BU:BU,'Opex Departments'!$B:$B,$C130,'Opex Departments'!$A:$A,$A130)</f>
        <v>1889.896573</v>
      </c>
      <c r="CH130" s="162">
        <f>SUMIFS('Opex Departments'!BV:BV,'Opex Departments'!$B:$B,$C130,'Opex Departments'!$A:$A,$A130)</f>
        <v>1908.795539</v>
      </c>
      <c r="CI130" s="162">
        <f>SUMIFS('Opex Departments'!BW:BW,'Opex Departments'!$B:$B,$C130,'Opex Departments'!$A:$A,$A130)</f>
        <v>1927.883494</v>
      </c>
      <c r="CJ130" s="162">
        <f>SUMIFS('Opex Departments'!BX:BX,'Opex Departments'!$B:$B,$C130,'Opex Departments'!$A:$A,$A130)</f>
        <v>51324</v>
      </c>
      <c r="CK130" s="162">
        <f>SUMIFS('Opex Departments'!BY:BY,'Opex Departments'!$B:$B,$C130,'Opex Departments'!$A:$A,$A130)</f>
        <v>1966.633952</v>
      </c>
      <c r="CL130" s="162">
        <f>SUMIFS('Opex Departments'!BZ:BZ,'Opex Departments'!$B:$B,$C130,'Opex Departments'!$A:$A,$A130)</f>
        <v>1986.300292</v>
      </c>
      <c r="CM130" s="162">
        <f>SUMIFS('Opex Departments'!CA:CA,'Opex Departments'!$B:$B,$C130,'Opex Departments'!$A:$A,$A130)</f>
        <v>2006.163295</v>
      </c>
      <c r="CN130" s="162">
        <f>SUMIFS('Opex Departments'!CB:CB,'Opex Departments'!$B:$B,$C130,'Opex Departments'!$A:$A,$A130)</f>
        <v>52780</v>
      </c>
      <c r="CO130" s="162">
        <f>SUMIFS('Opex Departments'!CC:CC,'Opex Departments'!$B:$B,$C130,'Opex Departments'!$A:$A,$A130)</f>
        <v>2046.487177</v>
      </c>
      <c r="CP130" s="162">
        <f>SUMIFS('Opex Departments'!CD:CD,'Opex Departments'!$B:$B,$C130,'Opex Departments'!$A:$A,$A130)</f>
        <v>2066.952049</v>
      </c>
      <c r="CQ130" s="162">
        <f>SUMIFS('Opex Departments'!CE:CE,'Opex Departments'!$B:$B,$C130,'Opex Departments'!$A:$A,$A130)</f>
        <v>2087.621569</v>
      </c>
      <c r="CR130" s="162">
        <f>SUMIFS('Opex Departments'!CF:CF,'Opex Departments'!$B:$B,$C130,'Opex Departments'!$A:$A,$A130)</f>
        <v>53508</v>
      </c>
      <c r="CS130" s="162">
        <f>SUMIFS('Opex Departments'!CG:CG,'Opex Departments'!$B:$B,$C130,'Opex Departments'!$A:$A,$A130)</f>
        <v>2129.582763</v>
      </c>
      <c r="CT130" s="162">
        <f>SUMIFS('Opex Departments'!CH:CH,'Opex Departments'!$B:$B,$C130,'Opex Departments'!$A:$A,$A130)</f>
        <v>2150.878591</v>
      </c>
      <c r="CU130" s="162">
        <f>SUMIFS('Opex Departments'!CI:CI,'Opex Departments'!$B:$B,$C130,'Opex Departments'!$A:$A,$A130)</f>
        <v>2172.387376</v>
      </c>
      <c r="CV130" s="162"/>
      <c r="CW130" s="162"/>
      <c r="CX130" s="162"/>
      <c r="CY130" s="162"/>
      <c r="CZ130" s="162"/>
      <c r="DA130" s="162"/>
      <c r="DB130" s="162"/>
      <c r="DC130" s="162"/>
    </row>
    <row r="131" ht="15.75" customHeight="1">
      <c r="A131" s="144" t="s">
        <v>120</v>
      </c>
      <c r="B131" s="144"/>
      <c r="C131" s="176" t="s">
        <v>72</v>
      </c>
      <c r="D131" s="144"/>
      <c r="E131" s="144"/>
      <c r="F131" s="144"/>
      <c r="G131" s="144"/>
      <c r="H131" s="144"/>
      <c r="I131" s="144"/>
      <c r="J131" s="144"/>
      <c r="K131" s="144"/>
      <c r="L131" s="144"/>
      <c r="M131" s="144"/>
      <c r="N131" s="144"/>
      <c r="O131" s="144"/>
      <c r="P131" s="162" t="s">
        <v>272</v>
      </c>
      <c r="Q131" s="162" t="s">
        <v>272</v>
      </c>
      <c r="R131" s="162" t="s">
        <v>272</v>
      </c>
      <c r="S131" s="162" t="s">
        <v>272</v>
      </c>
      <c r="T131" s="162" t="s">
        <v>272</v>
      </c>
      <c r="U131" s="162" t="s">
        <v>272</v>
      </c>
      <c r="V131" s="162" t="s">
        <v>272</v>
      </c>
      <c r="W131" s="162" t="s">
        <v>272</v>
      </c>
      <c r="X131" s="162" t="s">
        <v>272</v>
      </c>
      <c r="Y131" s="162" t="s">
        <v>272</v>
      </c>
      <c r="Z131" s="162" t="s">
        <v>272</v>
      </c>
      <c r="AA131" s="162" t="s">
        <v>272</v>
      </c>
      <c r="AB131" s="162" t="s">
        <v>272</v>
      </c>
      <c r="AC131" s="162" t="s">
        <v>272</v>
      </c>
      <c r="AD131" s="162" t="s">
        <v>272</v>
      </c>
      <c r="AE131" s="162" t="s">
        <v>272</v>
      </c>
      <c r="AF131" s="162" t="s">
        <v>272</v>
      </c>
      <c r="AG131" s="162" t="s">
        <v>272</v>
      </c>
      <c r="AH131" s="162">
        <f>SUMIFS('Opex Departments'!V:V,'Opex Departments'!$B:$B,$C131,'Opex Departments'!$A:$A,$A131)</f>
        <v>0</v>
      </c>
      <c r="AI131" s="162">
        <f>SUMIFS('Opex Departments'!W:W,'Opex Departments'!$B:$B,$C131,'Opex Departments'!$A:$A,$A131)</f>
        <v>0</v>
      </c>
      <c r="AJ131" s="162">
        <f>SUMIFS('Opex Departments'!X:X,'Opex Departments'!$B:$B,$C131,'Opex Departments'!$A:$A,$A131)</f>
        <v>0</v>
      </c>
      <c r="AK131" s="162">
        <f>SUMIFS('Opex Departments'!Y:Y,'Opex Departments'!$B:$B,$C131,'Opex Departments'!$A:$A,$A131)</f>
        <v>0</v>
      </c>
      <c r="AL131" s="162">
        <f>SUMIFS('Opex Departments'!Z:Z,'Opex Departments'!$B:$B,$C131,'Opex Departments'!$A:$A,$A131)</f>
        <v>0</v>
      </c>
      <c r="AM131" s="162">
        <f>SUMIFS('Opex Departments'!AA:AA,'Opex Departments'!$B:$B,$C131,'Opex Departments'!$A:$A,$A131)</f>
        <v>0</v>
      </c>
      <c r="AN131" s="162">
        <f>SUMIFS('Opex Departments'!AB:AB,'Opex Departments'!$B:$B,$C131,'Opex Departments'!$A:$A,$A131)</f>
        <v>0</v>
      </c>
      <c r="AO131" s="162">
        <f>SUMIFS('Opex Departments'!AC:AC,'Opex Departments'!$B:$B,$C131,'Opex Departments'!$A:$A,$A131)</f>
        <v>0</v>
      </c>
      <c r="AP131" s="162">
        <f>SUMIFS('Opex Departments'!AD:AD,'Opex Departments'!$B:$B,$C131,'Opex Departments'!$A:$A,$A131)</f>
        <v>0</v>
      </c>
      <c r="AQ131" s="162">
        <f>SUMIFS('Opex Departments'!AE:AE,'Opex Departments'!$B:$B,$C131,'Opex Departments'!$A:$A,$A131)</f>
        <v>0</v>
      </c>
      <c r="AR131" s="162">
        <f>SUMIFS('Opex Departments'!AF:AF,'Opex Departments'!$B:$B,$C131,'Opex Departments'!$A:$A,$A131)</f>
        <v>0</v>
      </c>
      <c r="AS131" s="162">
        <f>SUMIFS('Opex Departments'!AG:AG,'Opex Departments'!$B:$B,$C131,'Opex Departments'!$A:$A,$A131)</f>
        <v>0</v>
      </c>
      <c r="AT131" s="162">
        <f>SUMIFS('Opex Departments'!AH:AH,'Opex Departments'!$B:$B,$C131,'Opex Departments'!$A:$A,$A131)</f>
        <v>0</v>
      </c>
      <c r="AU131" s="162">
        <f>SUMIFS('Opex Departments'!AI:AI,'Opex Departments'!$B:$B,$C131,'Opex Departments'!$A:$A,$A131)</f>
        <v>0</v>
      </c>
      <c r="AV131" s="162">
        <f>SUMIFS('Opex Departments'!AJ:AJ,'Opex Departments'!$B:$B,$C131,'Opex Departments'!$A:$A,$A131)</f>
        <v>0</v>
      </c>
      <c r="AW131" s="162">
        <f>SUMIFS('Opex Departments'!AK:AK,'Opex Departments'!$B:$B,$C131,'Opex Departments'!$A:$A,$A131)</f>
        <v>0</v>
      </c>
      <c r="AX131" s="162">
        <f>SUMIFS('Opex Departments'!AL:AL,'Opex Departments'!$B:$B,$C131,'Opex Departments'!$A:$A,$A131)</f>
        <v>0</v>
      </c>
      <c r="AY131" s="162">
        <f>SUMIFS('Opex Departments'!AM:AM,'Opex Departments'!$B:$B,$C131,'Opex Departments'!$A:$A,$A131)</f>
        <v>0</v>
      </c>
      <c r="AZ131" s="162">
        <f>SUMIFS('Opex Departments'!AN:AN,'Opex Departments'!$B:$B,$C131,'Opex Departments'!$A:$A,$A131)</f>
        <v>0</v>
      </c>
      <c r="BA131" s="162">
        <f>SUMIFS('Opex Departments'!AO:AO,'Opex Departments'!$B:$B,$C131,'Opex Departments'!$A:$A,$A131)</f>
        <v>0</v>
      </c>
      <c r="BB131" s="162">
        <f>SUMIFS('Opex Departments'!AP:AP,'Opex Departments'!$B:$B,$C131,'Opex Departments'!$A:$A,$A131)</f>
        <v>0</v>
      </c>
      <c r="BC131" s="162">
        <f>SUMIFS('Opex Departments'!AQ:AQ,'Opex Departments'!$B:$B,$C131,'Opex Departments'!$A:$A,$A131)</f>
        <v>0</v>
      </c>
      <c r="BD131" s="162">
        <f>SUMIFS('Opex Departments'!AR:AR,'Opex Departments'!$B:$B,$C131,'Opex Departments'!$A:$A,$A131)</f>
        <v>0</v>
      </c>
      <c r="BE131" s="162">
        <f>SUMIFS('Opex Departments'!AS:AS,'Opex Departments'!$B:$B,$C131,'Opex Departments'!$A:$A,$A131)</f>
        <v>0</v>
      </c>
      <c r="BF131" s="162">
        <f>SUMIFS('Opex Departments'!AT:AT,'Opex Departments'!$B:$B,$C131,'Opex Departments'!$A:$A,$A131)</f>
        <v>0</v>
      </c>
      <c r="BG131" s="162">
        <f>SUMIFS('Opex Departments'!AU:AU,'Opex Departments'!$B:$B,$C131,'Opex Departments'!$A:$A,$A131)</f>
        <v>0</v>
      </c>
      <c r="BH131" s="162">
        <f>SUMIFS('Opex Departments'!AV:AV,'Opex Departments'!$B:$B,$C131,'Opex Departments'!$A:$A,$A131)</f>
        <v>0</v>
      </c>
      <c r="BI131" s="162">
        <f>SUMIFS('Opex Departments'!AW:AW,'Opex Departments'!$B:$B,$C131,'Opex Departments'!$A:$A,$A131)</f>
        <v>0</v>
      </c>
      <c r="BJ131" s="162">
        <f>SUMIFS('Opex Departments'!AX:AX,'Opex Departments'!$B:$B,$C131,'Opex Departments'!$A:$A,$A131)</f>
        <v>0</v>
      </c>
      <c r="BK131" s="162">
        <f>SUMIFS('Opex Departments'!AY:AY,'Opex Departments'!$B:$B,$C131,'Opex Departments'!$A:$A,$A131)</f>
        <v>0</v>
      </c>
      <c r="BL131" s="162">
        <f>SUMIFS('Opex Departments'!AZ:AZ,'Opex Departments'!$B:$B,$C131,'Opex Departments'!$A:$A,$A131)</f>
        <v>0</v>
      </c>
      <c r="BM131" s="162">
        <f>SUMIFS('Opex Departments'!BA:BA,'Opex Departments'!$B:$B,$C131,'Opex Departments'!$A:$A,$A131)</f>
        <v>0</v>
      </c>
      <c r="BN131" s="162">
        <f>SUMIFS('Opex Departments'!BB:BB,'Opex Departments'!$B:$B,$C131,'Opex Departments'!$A:$A,$A131)</f>
        <v>0</v>
      </c>
      <c r="BO131" s="162">
        <f>SUMIFS('Opex Departments'!BC:BC,'Opex Departments'!$B:$B,$C131,'Opex Departments'!$A:$A,$A131)</f>
        <v>0</v>
      </c>
      <c r="BP131" s="162">
        <f>SUMIFS('Opex Departments'!BD:BD,'Opex Departments'!$B:$B,$C131,'Opex Departments'!$A:$A,$A131)</f>
        <v>0</v>
      </c>
      <c r="BQ131" s="162">
        <f>SUMIFS('Opex Departments'!BE:BE,'Opex Departments'!$B:$B,$C131,'Opex Departments'!$A:$A,$A131)</f>
        <v>0</v>
      </c>
      <c r="BR131" s="162">
        <f>SUMIFS('Opex Departments'!BF:BF,'Opex Departments'!$B:$B,$C131,'Opex Departments'!$A:$A,$A131)</f>
        <v>0</v>
      </c>
      <c r="BS131" s="162">
        <f>SUMIFS('Opex Departments'!BG:BG,'Opex Departments'!$B:$B,$C131,'Opex Departments'!$A:$A,$A131)</f>
        <v>0</v>
      </c>
      <c r="BT131" s="162">
        <f>SUMIFS('Opex Departments'!BH:BH,'Opex Departments'!$B:$B,$C131,'Opex Departments'!$A:$A,$A131)</f>
        <v>0</v>
      </c>
      <c r="BU131" s="162">
        <f>SUMIFS('Opex Departments'!BI:BI,'Opex Departments'!$B:$B,$C131,'Opex Departments'!$A:$A,$A131)</f>
        <v>0</v>
      </c>
      <c r="BV131" s="162">
        <f>SUMIFS('Opex Departments'!BJ:BJ,'Opex Departments'!$B:$B,$C131,'Opex Departments'!$A:$A,$A131)</f>
        <v>0</v>
      </c>
      <c r="BW131" s="162">
        <f>SUMIFS('Opex Departments'!BK:BK,'Opex Departments'!$B:$B,$C131,'Opex Departments'!$A:$A,$A131)</f>
        <v>0</v>
      </c>
      <c r="BX131" s="162">
        <f>SUMIFS('Opex Departments'!BL:BL,'Opex Departments'!$B:$B,$C131,'Opex Departments'!$A:$A,$A131)</f>
        <v>0</v>
      </c>
      <c r="BY131" s="162">
        <f>SUMIFS('Opex Departments'!BM:BM,'Opex Departments'!$B:$B,$C131,'Opex Departments'!$A:$A,$A131)</f>
        <v>0</v>
      </c>
      <c r="BZ131" s="162">
        <f>SUMIFS('Opex Departments'!BN:BN,'Opex Departments'!$B:$B,$C131,'Opex Departments'!$A:$A,$A131)</f>
        <v>0</v>
      </c>
      <c r="CA131" s="162">
        <f>SUMIFS('Opex Departments'!BO:BO,'Opex Departments'!$B:$B,$C131,'Opex Departments'!$A:$A,$A131)</f>
        <v>0</v>
      </c>
      <c r="CB131" s="162">
        <f>SUMIFS('Opex Departments'!BP:BP,'Opex Departments'!$B:$B,$C131,'Opex Departments'!$A:$A,$A131)</f>
        <v>0</v>
      </c>
      <c r="CC131" s="162">
        <f>SUMIFS('Opex Departments'!BQ:BQ,'Opex Departments'!$B:$B,$C131,'Opex Departments'!$A:$A,$A131)</f>
        <v>0</v>
      </c>
      <c r="CD131" s="162">
        <f>SUMIFS('Opex Departments'!BR:BR,'Opex Departments'!$B:$B,$C131,'Opex Departments'!$A:$A,$A131)</f>
        <v>0</v>
      </c>
      <c r="CE131" s="162">
        <f>SUMIFS('Opex Departments'!BS:BS,'Opex Departments'!$B:$B,$C131,'Opex Departments'!$A:$A,$A131)</f>
        <v>0</v>
      </c>
      <c r="CF131" s="162">
        <f>SUMIFS('Opex Departments'!BT:BT,'Opex Departments'!$B:$B,$C131,'Opex Departments'!$A:$A,$A131)</f>
        <v>0</v>
      </c>
      <c r="CG131" s="162">
        <f>SUMIFS('Opex Departments'!BU:BU,'Opex Departments'!$B:$B,$C131,'Opex Departments'!$A:$A,$A131)</f>
        <v>0</v>
      </c>
      <c r="CH131" s="162">
        <f>SUMIFS('Opex Departments'!BV:BV,'Opex Departments'!$B:$B,$C131,'Opex Departments'!$A:$A,$A131)</f>
        <v>0</v>
      </c>
      <c r="CI131" s="162">
        <f>SUMIFS('Opex Departments'!BW:BW,'Opex Departments'!$B:$B,$C131,'Opex Departments'!$A:$A,$A131)</f>
        <v>0</v>
      </c>
      <c r="CJ131" s="162">
        <f>SUMIFS('Opex Departments'!BX:BX,'Opex Departments'!$B:$B,$C131,'Opex Departments'!$A:$A,$A131)</f>
        <v>0</v>
      </c>
      <c r="CK131" s="162">
        <f>SUMIFS('Opex Departments'!BY:BY,'Opex Departments'!$B:$B,$C131,'Opex Departments'!$A:$A,$A131)</f>
        <v>0</v>
      </c>
      <c r="CL131" s="162">
        <f>SUMIFS('Opex Departments'!BZ:BZ,'Opex Departments'!$B:$B,$C131,'Opex Departments'!$A:$A,$A131)</f>
        <v>0</v>
      </c>
      <c r="CM131" s="162">
        <f>SUMIFS('Opex Departments'!CA:CA,'Opex Departments'!$B:$B,$C131,'Opex Departments'!$A:$A,$A131)</f>
        <v>0</v>
      </c>
      <c r="CN131" s="162">
        <f>SUMIFS('Opex Departments'!CB:CB,'Opex Departments'!$B:$B,$C131,'Opex Departments'!$A:$A,$A131)</f>
        <v>0</v>
      </c>
      <c r="CO131" s="162">
        <f>SUMIFS('Opex Departments'!CC:CC,'Opex Departments'!$B:$B,$C131,'Opex Departments'!$A:$A,$A131)</f>
        <v>0</v>
      </c>
      <c r="CP131" s="162">
        <f>SUMIFS('Opex Departments'!CD:CD,'Opex Departments'!$B:$B,$C131,'Opex Departments'!$A:$A,$A131)</f>
        <v>0</v>
      </c>
      <c r="CQ131" s="162">
        <f>SUMIFS('Opex Departments'!CE:CE,'Opex Departments'!$B:$B,$C131,'Opex Departments'!$A:$A,$A131)</f>
        <v>0</v>
      </c>
      <c r="CR131" s="162">
        <f>SUMIFS('Opex Departments'!CF:CF,'Opex Departments'!$B:$B,$C131,'Opex Departments'!$A:$A,$A131)</f>
        <v>0</v>
      </c>
      <c r="CS131" s="162">
        <f>SUMIFS('Opex Departments'!CG:CG,'Opex Departments'!$B:$B,$C131,'Opex Departments'!$A:$A,$A131)</f>
        <v>0</v>
      </c>
      <c r="CT131" s="162">
        <f>SUMIFS('Opex Departments'!CH:CH,'Opex Departments'!$B:$B,$C131,'Opex Departments'!$A:$A,$A131)</f>
        <v>0</v>
      </c>
      <c r="CU131" s="162">
        <f>SUMIFS('Opex Departments'!CI:CI,'Opex Departments'!$B:$B,$C131,'Opex Departments'!$A:$A,$A131)</f>
        <v>0</v>
      </c>
      <c r="CV131" s="162"/>
      <c r="CW131" s="162"/>
      <c r="CX131" s="162"/>
      <c r="CY131" s="162"/>
      <c r="CZ131" s="162"/>
      <c r="DA131" s="162"/>
      <c r="DB131" s="162"/>
      <c r="DC131" s="162"/>
    </row>
    <row r="132" ht="15.75" customHeight="1">
      <c r="A132" s="144"/>
      <c r="B132" s="144"/>
      <c r="C132" s="145" t="s">
        <v>274</v>
      </c>
      <c r="D132" s="144"/>
      <c r="E132" s="144"/>
      <c r="F132" s="144"/>
      <c r="G132" s="144"/>
      <c r="H132" s="144"/>
      <c r="I132" s="144"/>
      <c r="J132" s="144"/>
      <c r="K132" s="144"/>
      <c r="L132" s="144"/>
      <c r="M132" s="144"/>
      <c r="N132" s="144"/>
      <c r="O132" s="144"/>
      <c r="P132" s="177">
        <v>89691.0</v>
      </c>
      <c r="Q132" s="177">
        <v>84078.0</v>
      </c>
      <c r="R132" s="177">
        <v>84362.0</v>
      </c>
      <c r="S132" s="177">
        <v>133502.0</v>
      </c>
      <c r="T132" s="177">
        <v>144871.0</v>
      </c>
      <c r="U132" s="177">
        <v>153870.0</v>
      </c>
      <c r="V132" s="177">
        <v>189331.0</v>
      </c>
      <c r="W132" s="177">
        <v>163709.0</v>
      </c>
      <c r="X132" s="177">
        <v>116184.0</v>
      </c>
      <c r="Y132" s="177">
        <v>149097.0</v>
      </c>
      <c r="Z132" s="177">
        <v>122712.0</v>
      </c>
      <c r="AA132" s="177">
        <v>153881.0</v>
      </c>
      <c r="AB132" s="177">
        <v>173205.0</v>
      </c>
      <c r="AC132" s="177">
        <v>178487.0</v>
      </c>
      <c r="AD132" s="177">
        <v>154348.0</v>
      </c>
      <c r="AE132" s="177">
        <v>201474.0</v>
      </c>
      <c r="AF132" s="177">
        <v>197972.0</v>
      </c>
      <c r="AG132" s="177">
        <v>227179.0</v>
      </c>
      <c r="AH132" s="177">
        <f t="shared" ref="AH132:CU132" si="88">SUM(AH123:AH131)</f>
        <v>64743</v>
      </c>
      <c r="AI132" s="177">
        <f t="shared" si="88"/>
        <v>62993</v>
      </c>
      <c r="AJ132" s="177">
        <f t="shared" si="88"/>
        <v>65310</v>
      </c>
      <c r="AK132" s="177">
        <f t="shared" si="88"/>
        <v>49661</v>
      </c>
      <c r="AL132" s="177">
        <f t="shared" si="88"/>
        <v>49547</v>
      </c>
      <c r="AM132" s="177">
        <f t="shared" si="88"/>
        <v>333025.7271</v>
      </c>
      <c r="AN132" s="177">
        <f t="shared" si="88"/>
        <v>665987.6071</v>
      </c>
      <c r="AO132" s="177">
        <f t="shared" si="88"/>
        <v>782970.639</v>
      </c>
      <c r="AP132" s="177">
        <f t="shared" si="88"/>
        <v>735507.365</v>
      </c>
      <c r="AQ132" s="177">
        <f t="shared" si="88"/>
        <v>732626.8176</v>
      </c>
      <c r="AR132" s="177">
        <f t="shared" si="88"/>
        <v>784412.2208</v>
      </c>
      <c r="AS132" s="177">
        <f t="shared" si="88"/>
        <v>755928.1887</v>
      </c>
      <c r="AT132" s="177">
        <f t="shared" si="88"/>
        <v>815028.2788</v>
      </c>
      <c r="AU132" s="177">
        <f t="shared" si="88"/>
        <v>763750.4562</v>
      </c>
      <c r="AV132" s="177">
        <f t="shared" si="88"/>
        <v>813747.3949</v>
      </c>
      <c r="AW132" s="177">
        <f t="shared" si="88"/>
        <v>783843.3363</v>
      </c>
      <c r="AX132" s="177">
        <f t="shared" si="88"/>
        <v>784259.2296</v>
      </c>
      <c r="AY132" s="177">
        <f t="shared" si="88"/>
        <v>774047.5269</v>
      </c>
      <c r="AZ132" s="177">
        <f t="shared" si="88"/>
        <v>888901.1956</v>
      </c>
      <c r="BA132" s="177">
        <f t="shared" si="88"/>
        <v>800857.5589</v>
      </c>
      <c r="BB132" s="177">
        <f t="shared" si="88"/>
        <v>803648.1706</v>
      </c>
      <c r="BC132" s="177">
        <f t="shared" si="88"/>
        <v>806397.6854</v>
      </c>
      <c r="BD132" s="177">
        <f t="shared" si="88"/>
        <v>865701.0533</v>
      </c>
      <c r="BE132" s="177">
        <f t="shared" si="88"/>
        <v>832455.6498</v>
      </c>
      <c r="BF132" s="177">
        <f t="shared" si="88"/>
        <v>892113.425</v>
      </c>
      <c r="BG132" s="177">
        <f t="shared" si="88"/>
        <v>843567.9807</v>
      </c>
      <c r="BH132" s="177">
        <f t="shared" si="88"/>
        <v>905169.1659</v>
      </c>
      <c r="BI132" s="177">
        <f t="shared" si="88"/>
        <v>871190.7114</v>
      </c>
      <c r="BJ132" s="177">
        <f t="shared" si="88"/>
        <v>874156.3123</v>
      </c>
      <c r="BK132" s="177">
        <f t="shared" si="88"/>
        <v>877154.5793</v>
      </c>
      <c r="BL132" s="177">
        <f t="shared" si="88"/>
        <v>1007137.664</v>
      </c>
      <c r="BM132" s="177">
        <f t="shared" si="88"/>
        <v>917224.873</v>
      </c>
      <c r="BN132" s="177">
        <f t="shared" si="88"/>
        <v>925381.1385</v>
      </c>
      <c r="BO132" s="177">
        <f t="shared" si="88"/>
        <v>933528.0917</v>
      </c>
      <c r="BP132" s="177">
        <f t="shared" si="88"/>
        <v>1005405.283</v>
      </c>
      <c r="BQ132" s="177">
        <f t="shared" si="88"/>
        <v>974260.904</v>
      </c>
      <c r="BR132" s="177">
        <f t="shared" si="88"/>
        <v>1047306.137</v>
      </c>
      <c r="BS132" s="177">
        <f t="shared" si="88"/>
        <v>990901.2409</v>
      </c>
      <c r="BT132" s="177">
        <f t="shared" si="88"/>
        <v>1065013.605</v>
      </c>
      <c r="BU132" s="177">
        <f t="shared" si="88"/>
        <v>1032778.415</v>
      </c>
      <c r="BV132" s="177">
        <f t="shared" si="88"/>
        <v>1041136.901</v>
      </c>
      <c r="BW132" s="177">
        <f t="shared" si="88"/>
        <v>1049525.677</v>
      </c>
      <c r="BX132" s="177">
        <f t="shared" si="88"/>
        <v>1187112.244</v>
      </c>
      <c r="BY132" s="177">
        <f t="shared" si="88"/>
        <v>1091099.817</v>
      </c>
      <c r="BZ132" s="177">
        <f t="shared" si="88"/>
        <v>1099596.301</v>
      </c>
      <c r="CA132" s="177">
        <f t="shared" si="88"/>
        <v>1108108.874</v>
      </c>
      <c r="CB132" s="177">
        <f t="shared" si="88"/>
        <v>1189485.635</v>
      </c>
      <c r="CC132" s="177">
        <f t="shared" si="88"/>
        <v>1151090.979</v>
      </c>
      <c r="CD132" s="177">
        <f t="shared" si="88"/>
        <v>1220253.496</v>
      </c>
      <c r="CE132" s="177">
        <f t="shared" si="88"/>
        <v>1168160.516</v>
      </c>
      <c r="CF132" s="177">
        <f t="shared" si="88"/>
        <v>1252085.618</v>
      </c>
      <c r="CG132" s="177">
        <f t="shared" si="88"/>
        <v>1212446.232</v>
      </c>
      <c r="CH132" s="177">
        <f t="shared" si="88"/>
        <v>1221203.332</v>
      </c>
      <c r="CI132" s="177">
        <f t="shared" si="88"/>
        <v>1229996.326</v>
      </c>
      <c r="CJ132" s="177">
        <f t="shared" si="88"/>
        <v>1374884.248</v>
      </c>
      <c r="CK132" s="177">
        <f t="shared" si="88"/>
        <v>1275421.687</v>
      </c>
      <c r="CL132" s="177">
        <f t="shared" si="88"/>
        <v>1284307.249</v>
      </c>
      <c r="CM132" s="177">
        <f t="shared" si="88"/>
        <v>1293203.215</v>
      </c>
      <c r="CN132" s="177">
        <f t="shared" si="88"/>
        <v>1381976.188</v>
      </c>
      <c r="CO132" s="177">
        <f t="shared" si="88"/>
        <v>1340204.443</v>
      </c>
      <c r="CP132" s="177">
        <f t="shared" si="88"/>
        <v>1399774.095</v>
      </c>
      <c r="CQ132" s="177">
        <f t="shared" si="88"/>
        <v>1357786.372</v>
      </c>
      <c r="CR132" s="177">
        <f t="shared" si="88"/>
        <v>1448834.319</v>
      </c>
      <c r="CS132" s="177">
        <f t="shared" si="88"/>
        <v>1406575.12</v>
      </c>
      <c r="CT132" s="177">
        <f t="shared" si="88"/>
        <v>1415756.101</v>
      </c>
      <c r="CU132" s="177">
        <f t="shared" si="88"/>
        <v>1424977.796</v>
      </c>
      <c r="CV132" s="144"/>
      <c r="CW132" s="144"/>
      <c r="CX132" s="144"/>
      <c r="CY132" s="144"/>
      <c r="CZ132" s="144"/>
      <c r="DA132" s="144"/>
      <c r="DB132" s="144"/>
      <c r="DC132" s="144"/>
    </row>
    <row r="133"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c r="CB133" s="144"/>
      <c r="CC133" s="144"/>
      <c r="CD133" s="144"/>
      <c r="CE133" s="144"/>
      <c r="CF133" s="144"/>
      <c r="CG133" s="144"/>
      <c r="CH133" s="144"/>
      <c r="CI133" s="144"/>
      <c r="CJ133" s="144"/>
      <c r="CK133" s="144"/>
      <c r="CL133" s="144"/>
      <c r="CM133" s="144"/>
      <c r="CN133" s="144"/>
      <c r="CO133" s="144"/>
      <c r="CP133" s="144"/>
      <c r="CQ133" s="144"/>
      <c r="CR133" s="144"/>
      <c r="CS133" s="144"/>
      <c r="CT133" s="144"/>
      <c r="CU133" s="144"/>
      <c r="CV133" s="144"/>
      <c r="CW133" s="144"/>
      <c r="CX133" s="144"/>
      <c r="CY133" s="144"/>
      <c r="CZ133" s="144"/>
      <c r="DA133" s="144"/>
      <c r="DB133" s="144"/>
      <c r="DC133" s="144"/>
    </row>
    <row r="134" ht="15.75" customHeight="1">
      <c r="A134" s="144"/>
      <c r="B134" s="144"/>
      <c r="C134" s="145" t="s">
        <v>121</v>
      </c>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c r="CB134" s="144"/>
      <c r="CC134" s="144"/>
      <c r="CD134" s="144"/>
      <c r="CE134" s="144"/>
      <c r="CF134" s="144"/>
      <c r="CG134" s="144"/>
      <c r="CH134" s="144"/>
      <c r="CI134" s="144"/>
      <c r="CJ134" s="144"/>
      <c r="CK134" s="144"/>
      <c r="CL134" s="144"/>
      <c r="CM134" s="144"/>
      <c r="CN134" s="144"/>
      <c r="CO134" s="144"/>
      <c r="CP134" s="144"/>
      <c r="CQ134" s="144"/>
      <c r="CR134" s="144"/>
      <c r="CS134" s="144"/>
      <c r="CT134" s="144"/>
      <c r="CU134" s="144"/>
      <c r="CV134" s="144"/>
      <c r="CW134" s="144"/>
      <c r="CX134" s="144"/>
      <c r="CY134" s="144"/>
      <c r="CZ134" s="144"/>
      <c r="DA134" s="144"/>
      <c r="DB134" s="144"/>
      <c r="DC134" s="144"/>
    </row>
    <row r="135"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c r="CB135" s="144"/>
      <c r="CC135" s="144"/>
      <c r="CD135" s="144"/>
      <c r="CE135" s="144"/>
      <c r="CF135" s="144"/>
      <c r="CG135" s="144"/>
      <c r="CH135" s="144"/>
      <c r="CI135" s="144"/>
      <c r="CJ135" s="144"/>
      <c r="CK135" s="144"/>
      <c r="CL135" s="144"/>
      <c r="CM135" s="144"/>
      <c r="CN135" s="144"/>
      <c r="CO135" s="144"/>
      <c r="CP135" s="144"/>
      <c r="CQ135" s="144"/>
      <c r="CR135" s="144"/>
      <c r="CS135" s="144"/>
      <c r="CT135" s="144"/>
      <c r="CU135" s="144"/>
      <c r="CV135" s="144"/>
      <c r="CW135" s="144"/>
      <c r="CX135" s="144"/>
      <c r="CY135" s="144"/>
      <c r="CZ135" s="144"/>
      <c r="DA135" s="144"/>
      <c r="DB135" s="144"/>
      <c r="DC135" s="144"/>
    </row>
    <row r="136" ht="15.75" customHeight="1">
      <c r="A136" s="144" t="s">
        <v>121</v>
      </c>
      <c r="B136" s="144"/>
      <c r="C136" s="144" t="s">
        <v>175</v>
      </c>
      <c r="D136" s="144"/>
      <c r="E136" s="144"/>
      <c r="F136" s="144"/>
      <c r="G136" s="144"/>
      <c r="H136" s="144"/>
      <c r="I136" s="144"/>
      <c r="J136" s="144"/>
      <c r="K136" s="144"/>
      <c r="L136" s="144"/>
      <c r="M136" s="144"/>
      <c r="N136" s="144"/>
      <c r="O136" s="144"/>
      <c r="P136" s="162" t="s">
        <v>272</v>
      </c>
      <c r="Q136" s="162" t="s">
        <v>272</v>
      </c>
      <c r="R136" s="162" t="s">
        <v>272</v>
      </c>
      <c r="S136" s="162" t="s">
        <v>272</v>
      </c>
      <c r="T136" s="162" t="s">
        <v>272</v>
      </c>
      <c r="U136" s="162">
        <v>26263.0</v>
      </c>
      <c r="V136" s="162">
        <v>16200.0</v>
      </c>
      <c r="W136" s="162">
        <v>11455.0</v>
      </c>
      <c r="X136" s="162">
        <v>11325.0</v>
      </c>
      <c r="Y136" s="162">
        <v>14661.0</v>
      </c>
      <c r="Z136" s="162">
        <v>27451.0</v>
      </c>
      <c r="AA136" s="162">
        <v>36063.0</v>
      </c>
      <c r="AB136" s="162">
        <v>37243.0</v>
      </c>
      <c r="AC136" s="162">
        <v>37534.0</v>
      </c>
      <c r="AD136" s="162">
        <v>66168.0</v>
      </c>
      <c r="AE136" s="162">
        <v>73000.0</v>
      </c>
      <c r="AF136" s="162">
        <v>68261.0</v>
      </c>
      <c r="AG136" s="162">
        <v>69689.0</v>
      </c>
      <c r="AH136" s="162">
        <f>SUMIFS('Opex Departments'!V:V,'Opex Departments'!$B:$B,$C136,'Opex Departments'!$A:$A,$A136)</f>
        <v>14531</v>
      </c>
      <c r="AI136" s="162">
        <f>SUMIFS('Opex Departments'!W:W,'Opex Departments'!$B:$B,$C136,'Opex Departments'!$A:$A,$A136)</f>
        <v>14722</v>
      </c>
      <c r="AJ136" s="162">
        <f>SUMIFS('Opex Departments'!X:X,'Opex Departments'!$B:$B,$C136,'Opex Departments'!$A:$A,$A136)</f>
        <v>16207</v>
      </c>
      <c r="AK136" s="162">
        <f>SUMIFS('Opex Departments'!Y:Y,'Opex Departments'!$B:$B,$C136,'Opex Departments'!$A:$A,$A136)</f>
        <v>14964</v>
      </c>
      <c r="AL136" s="162">
        <f>SUMIFS('Opex Departments'!Z:Z,'Opex Departments'!$B:$B,$C136,'Opex Departments'!$A:$A,$A136)</f>
        <v>14749</v>
      </c>
      <c r="AM136" s="162">
        <f>SUMIFS('Opex Departments'!AA:AA,'Opex Departments'!$B:$B,$C136,'Opex Departments'!$A:$A,$A136)</f>
        <v>22279.64832</v>
      </c>
      <c r="AN136" s="162">
        <f>SUMIFS('Opex Departments'!AB:AB,'Opex Departments'!$B:$B,$C136,'Opex Departments'!$A:$A,$A136)</f>
        <v>24022.30061</v>
      </c>
      <c r="AO136" s="162">
        <f>SUMIFS('Opex Departments'!AC:AC,'Opex Departments'!$B:$B,$C136,'Opex Departments'!$A:$A,$A136)</f>
        <v>20951.80349</v>
      </c>
      <c r="AP136" s="162">
        <f>SUMIFS('Opex Departments'!AD:AD,'Opex Departments'!$B:$B,$C136,'Opex Departments'!$A:$A,$A136)</f>
        <v>22744.392</v>
      </c>
      <c r="AQ136" s="162">
        <f>SUMIFS('Opex Departments'!AE:AE,'Opex Departments'!$B:$B,$C136,'Opex Departments'!$A:$A,$A136)</f>
        <v>58815.7787</v>
      </c>
      <c r="AR136" s="162">
        <f>SUMIFS('Opex Departments'!AF:AF,'Opex Departments'!$B:$B,$C136,'Opex Departments'!$A:$A,$A136)</f>
        <v>60605.55617</v>
      </c>
      <c r="AS136" s="162">
        <f>SUMIFS('Opex Departments'!AG:AG,'Opex Departments'!$B:$B,$C136,'Opex Departments'!$A:$A,$A136)</f>
        <v>61167.60332</v>
      </c>
      <c r="AT136" s="162">
        <f>SUMIFS('Opex Departments'!AH:AH,'Opex Departments'!$B:$B,$C136,'Opex Departments'!$A:$A,$A136)</f>
        <v>61072.95806</v>
      </c>
      <c r="AU136" s="162">
        <f>SUMIFS('Opex Departments'!AI:AI,'Opex Departments'!$B:$B,$C136,'Opex Departments'!$A:$A,$A136)</f>
        <v>98326.28639</v>
      </c>
      <c r="AV136" s="162">
        <f>SUMIFS('Opex Departments'!AJ:AJ,'Opex Departments'!$B:$B,$C136,'Opex Departments'!$A:$A,$A136)</f>
        <v>102911.0745</v>
      </c>
      <c r="AW136" s="162">
        <f>SUMIFS('Opex Departments'!AK:AK,'Opex Departments'!$B:$B,$C136,'Opex Departments'!$A:$A,$A136)</f>
        <v>102862.4773</v>
      </c>
      <c r="AX136" s="162">
        <f>SUMIFS('Opex Departments'!AL:AL,'Opex Departments'!$B:$B,$C136,'Opex Departments'!$A:$A,$A136)</f>
        <v>140253.8205</v>
      </c>
      <c r="AY136" s="162">
        <f>SUMIFS('Opex Departments'!AM:AM,'Opex Departments'!$B:$B,$C136,'Opex Departments'!$A:$A,$A136)</f>
        <v>140289.458</v>
      </c>
      <c r="AZ136" s="162">
        <f>SUMIFS('Opex Departments'!AN:AN,'Opex Departments'!$B:$B,$C136,'Opex Departments'!$A:$A,$A136)</f>
        <v>145885.0108</v>
      </c>
      <c r="BA136" s="162">
        <f>SUMIFS('Opex Departments'!AO:AO,'Opex Departments'!$B:$B,$C136,'Opex Departments'!$A:$A,$A136)</f>
        <v>145883.3621</v>
      </c>
      <c r="BB136" s="162">
        <f>SUMIFS('Opex Departments'!AP:AP,'Opex Departments'!$B:$B,$C136,'Opex Departments'!$A:$A,$A136)</f>
        <v>145889.6572</v>
      </c>
      <c r="BC136" s="162">
        <f>SUMIFS('Opex Departments'!AQ:AQ,'Opex Departments'!$B:$B,$C136,'Opex Departments'!$A:$A,$A136)</f>
        <v>145886.01</v>
      </c>
      <c r="BD136" s="162">
        <f>SUMIFS('Opex Departments'!AR:AR,'Opex Departments'!$B:$B,$C136,'Opex Departments'!$A:$A,$A136)</f>
        <v>151721.7968</v>
      </c>
      <c r="BE136" s="162">
        <f>SUMIFS('Opex Departments'!AS:AS,'Opex Departments'!$B:$B,$C136,'Opex Departments'!$A:$A,$A136)</f>
        <v>151722.8166</v>
      </c>
      <c r="BF136" s="162">
        <f>SUMIFS('Opex Departments'!AT:AT,'Opex Departments'!$B:$B,$C136,'Opex Departments'!$A:$A,$A136)</f>
        <v>151722.0287</v>
      </c>
      <c r="BG136" s="162">
        <f>SUMIFS('Opex Departments'!AU:AU,'Opex Departments'!$B:$B,$C136,'Opex Departments'!$A:$A,$A136)</f>
        <v>151722.2141</v>
      </c>
      <c r="BH136" s="162">
        <f>SUMIFS('Opex Departments'!AV:AV,'Opex Departments'!$B:$B,$C136,'Opex Departments'!$A:$A,$A136)</f>
        <v>157791.2473</v>
      </c>
      <c r="BI136" s="162">
        <f>SUMIFS('Opex Departments'!AW:AW,'Opex Departments'!$B:$B,$C136,'Opex Departments'!$A:$A,$A136)</f>
        <v>157791.0887</v>
      </c>
      <c r="BJ136" s="162">
        <f>SUMIFS('Opex Departments'!AX:AX,'Opex Departments'!$B:$B,$C136,'Opex Departments'!$A:$A,$A136)</f>
        <v>157791.1468</v>
      </c>
      <c r="BK136" s="162">
        <f>SUMIFS('Opex Departments'!AY:AY,'Opex Departments'!$B:$B,$C136,'Opex Departments'!$A:$A,$A136)</f>
        <v>157791.1609</v>
      </c>
      <c r="BL136" s="162">
        <f>SUMIFS('Opex Departments'!AZ:AZ,'Opex Departments'!$B:$B,$C136,'Opex Departments'!$A:$A,$A136)</f>
        <v>164102.7774</v>
      </c>
      <c r="BM136" s="162">
        <f>SUMIFS('Opex Departments'!BA:BA,'Opex Departments'!$B:$B,$C136,'Opex Departments'!$A:$A,$A136)</f>
        <v>164102.7923</v>
      </c>
      <c r="BN136" s="162">
        <f>SUMIFS('Opex Departments'!BB:BB,'Opex Departments'!$B:$B,$C136,'Opex Departments'!$A:$A,$A136)</f>
        <v>164102.7921</v>
      </c>
      <c r="BO136" s="162">
        <f>SUMIFS('Opex Departments'!BC:BC,'Opex Departments'!$B:$B,$C136,'Opex Departments'!$A:$A,$A136)</f>
        <v>164102.7873</v>
      </c>
      <c r="BP136" s="162">
        <f>SUMIFS('Opex Departments'!BD:BD,'Opex Departments'!$B:$B,$C136,'Opex Departments'!$A:$A,$A136)</f>
        <v>170666.9022</v>
      </c>
      <c r="BQ136" s="162">
        <f>SUMIFS('Opex Departments'!BE:BE,'Opex Departments'!$B:$B,$C136,'Opex Departments'!$A:$A,$A136)</f>
        <v>170666.9016</v>
      </c>
      <c r="BR136" s="162">
        <f>SUMIFS('Opex Departments'!BF:BF,'Opex Departments'!$B:$B,$C136,'Opex Departments'!$A:$A,$A136)</f>
        <v>214439.3172</v>
      </c>
      <c r="BS136" s="162">
        <f>SUMIFS('Opex Departments'!BG:BG,'Opex Departments'!$B:$B,$C136,'Opex Departments'!$A:$A,$A136)</f>
        <v>214439.318</v>
      </c>
      <c r="BT136" s="162">
        <f>SUMIFS('Opex Departments'!BH:BH,'Opex Departments'!$B:$B,$C136,'Opex Departments'!$A:$A,$A136)</f>
        <v>223016.8905</v>
      </c>
      <c r="BU136" s="162">
        <f>SUMIFS('Opex Departments'!BI:BI,'Opex Departments'!$B:$B,$C136,'Opex Departments'!$A:$A,$A136)</f>
        <v>223016.8904</v>
      </c>
      <c r="BV136" s="162">
        <f>SUMIFS('Opex Departments'!BJ:BJ,'Opex Departments'!$B:$B,$C136,'Opex Departments'!$A:$A,$A136)</f>
        <v>223016.8905</v>
      </c>
      <c r="BW136" s="162">
        <f>SUMIFS('Opex Departments'!BK:BK,'Opex Departments'!$B:$B,$C136,'Opex Departments'!$A:$A,$A136)</f>
        <v>223016.8904</v>
      </c>
      <c r="BX136" s="162">
        <f>SUMIFS('Opex Departments'!BL:BL,'Opex Departments'!$B:$B,$C136,'Opex Departments'!$A:$A,$A136)</f>
        <v>231937.566</v>
      </c>
      <c r="BY136" s="162">
        <f>SUMIFS('Opex Departments'!BM:BM,'Opex Departments'!$B:$B,$C136,'Opex Departments'!$A:$A,$A136)</f>
        <v>231937.5661</v>
      </c>
      <c r="BZ136" s="162">
        <f>SUMIFS('Opex Departments'!BN:BN,'Opex Departments'!$B:$B,$C136,'Opex Departments'!$A:$A,$A136)</f>
        <v>231937.5661</v>
      </c>
      <c r="CA136" s="162">
        <f>SUMIFS('Opex Departments'!BO:BO,'Opex Departments'!$B:$B,$C136,'Opex Departments'!$A:$A,$A136)</f>
        <v>231937.5661</v>
      </c>
      <c r="CB136" s="162">
        <f>SUMIFS('Opex Departments'!BP:BP,'Opex Departments'!$B:$B,$C136,'Opex Departments'!$A:$A,$A136)</f>
        <v>286738.3818</v>
      </c>
      <c r="CC136" s="162">
        <f>SUMIFS('Opex Departments'!BQ:BQ,'Opex Departments'!$B:$B,$C136,'Opex Departments'!$A:$A,$A136)</f>
        <v>286738.3818</v>
      </c>
      <c r="CD136" s="162">
        <f>SUMIFS('Opex Departments'!BR:BR,'Opex Departments'!$B:$B,$C136,'Opex Departments'!$A:$A,$A136)</f>
        <v>286738.3818</v>
      </c>
      <c r="CE136" s="162">
        <f>SUMIFS('Opex Departments'!BS:BS,'Opex Departments'!$B:$B,$C136,'Opex Departments'!$A:$A,$A136)</f>
        <v>286738.3818</v>
      </c>
      <c r="CF136" s="162">
        <f>SUMIFS('Opex Departments'!BT:BT,'Opex Departments'!$B:$B,$C136,'Opex Departments'!$A:$A,$A136)</f>
        <v>298207.9171</v>
      </c>
      <c r="CG136" s="162">
        <f>SUMIFS('Opex Departments'!BU:BU,'Opex Departments'!$B:$B,$C136,'Opex Departments'!$A:$A,$A136)</f>
        <v>298207.9171</v>
      </c>
      <c r="CH136" s="162">
        <f>SUMIFS('Opex Departments'!BV:BV,'Opex Departments'!$B:$B,$C136,'Opex Departments'!$A:$A,$A136)</f>
        <v>298207.9171</v>
      </c>
      <c r="CI136" s="162">
        <f>SUMIFS('Opex Departments'!BW:BW,'Opex Departments'!$B:$B,$C136,'Opex Departments'!$A:$A,$A136)</f>
        <v>298207.9171</v>
      </c>
      <c r="CJ136" s="162">
        <f>SUMIFS('Opex Departments'!BX:BX,'Opex Departments'!$B:$B,$C136,'Opex Departments'!$A:$A,$A136)</f>
        <v>310136.2338</v>
      </c>
      <c r="CK136" s="162">
        <f>SUMIFS('Opex Departments'!BY:BY,'Opex Departments'!$B:$B,$C136,'Opex Departments'!$A:$A,$A136)</f>
        <v>310136.2338</v>
      </c>
      <c r="CL136" s="162">
        <f>SUMIFS('Opex Departments'!BZ:BZ,'Opex Departments'!$B:$B,$C136,'Opex Departments'!$A:$A,$A136)</f>
        <v>310136.2338</v>
      </c>
      <c r="CM136" s="162">
        <f>SUMIFS('Opex Departments'!CA:CA,'Opex Departments'!$B:$B,$C136,'Opex Departments'!$A:$A,$A136)</f>
        <v>310136.2338</v>
      </c>
      <c r="CN136" s="162">
        <f>SUMIFS('Opex Departments'!CB:CB,'Opex Departments'!$B:$B,$C136,'Opex Departments'!$A:$A,$A136)</f>
        <v>322541.6831</v>
      </c>
      <c r="CO136" s="162">
        <f>SUMIFS('Opex Departments'!CC:CC,'Opex Departments'!$B:$B,$C136,'Opex Departments'!$A:$A,$A136)</f>
        <v>322541.6831</v>
      </c>
      <c r="CP136" s="162">
        <f>SUMIFS('Opex Departments'!CD:CD,'Opex Departments'!$B:$B,$C136,'Opex Departments'!$A:$A,$A136)</f>
        <v>322541.6831</v>
      </c>
      <c r="CQ136" s="162">
        <f>SUMIFS('Opex Departments'!CE:CE,'Opex Departments'!$B:$B,$C136,'Opex Departments'!$A:$A,$A136)</f>
        <v>322541.6831</v>
      </c>
      <c r="CR136" s="162">
        <f>SUMIFS('Opex Departments'!CF:CF,'Opex Departments'!$B:$B,$C136,'Opex Departments'!$A:$A,$A136)</f>
        <v>335443.3504</v>
      </c>
      <c r="CS136" s="162">
        <f>SUMIFS('Opex Departments'!CG:CG,'Opex Departments'!$B:$B,$C136,'Opex Departments'!$A:$A,$A136)</f>
        <v>335443.3504</v>
      </c>
      <c r="CT136" s="162">
        <f>SUMIFS('Opex Departments'!CH:CH,'Opex Departments'!$B:$B,$C136,'Opex Departments'!$A:$A,$A136)</f>
        <v>335443.3504</v>
      </c>
      <c r="CU136" s="162">
        <f>SUMIFS('Opex Departments'!CI:CI,'Opex Departments'!$B:$B,$C136,'Opex Departments'!$A:$A,$A136)</f>
        <v>335443.3504</v>
      </c>
      <c r="CV136" s="162"/>
      <c r="CW136" s="162"/>
      <c r="CX136" s="162"/>
      <c r="CY136" s="162"/>
      <c r="CZ136" s="162"/>
      <c r="DA136" s="162"/>
      <c r="DB136" s="162"/>
      <c r="DC136" s="162"/>
    </row>
    <row r="137" ht="15.75" customHeight="1">
      <c r="A137" s="144" t="s">
        <v>121</v>
      </c>
      <c r="B137" s="144"/>
      <c r="C137" s="144" t="s">
        <v>176</v>
      </c>
      <c r="D137" s="144"/>
      <c r="E137" s="144"/>
      <c r="F137" s="144"/>
      <c r="G137" s="144"/>
      <c r="H137" s="144"/>
      <c r="I137" s="144"/>
      <c r="J137" s="144"/>
      <c r="K137" s="144"/>
      <c r="L137" s="144"/>
      <c r="M137" s="144"/>
      <c r="N137" s="144"/>
      <c r="O137" s="144"/>
      <c r="P137" s="162" t="s">
        <v>272</v>
      </c>
      <c r="Q137" s="162" t="s">
        <v>272</v>
      </c>
      <c r="R137" s="162" t="s">
        <v>272</v>
      </c>
      <c r="S137" s="162" t="s">
        <v>272</v>
      </c>
      <c r="T137" s="162" t="s">
        <v>272</v>
      </c>
      <c r="U137" s="162">
        <v>1032.0</v>
      </c>
      <c r="V137" s="162">
        <v>679.0</v>
      </c>
      <c r="W137" s="162">
        <v>756.0</v>
      </c>
      <c r="X137" s="162">
        <v>798.0</v>
      </c>
      <c r="Y137" s="162">
        <v>2319.0</v>
      </c>
      <c r="Z137" s="162">
        <v>866.0</v>
      </c>
      <c r="AA137" s="162">
        <v>1764.0</v>
      </c>
      <c r="AB137" s="162" t="s">
        <v>272</v>
      </c>
      <c r="AC137" s="162" t="s">
        <v>272</v>
      </c>
      <c r="AD137" s="162" t="s">
        <v>272</v>
      </c>
      <c r="AE137" s="162" t="s">
        <v>272</v>
      </c>
      <c r="AF137" s="162" t="s">
        <v>272</v>
      </c>
      <c r="AG137" s="162" t="s">
        <v>272</v>
      </c>
      <c r="AH137" s="162">
        <f>SUMIFS('Opex Departments'!V:V,'Opex Departments'!$B:$B,$C137,'Opex Departments'!$A:$A,$A137)</f>
        <v>0</v>
      </c>
      <c r="AI137" s="162">
        <f>SUMIFS('Opex Departments'!W:W,'Opex Departments'!$B:$B,$C137,'Opex Departments'!$A:$A,$A137)</f>
        <v>0</v>
      </c>
      <c r="AJ137" s="162">
        <f>SUMIFS('Opex Departments'!X:X,'Opex Departments'!$B:$B,$C137,'Opex Departments'!$A:$A,$A137)</f>
        <v>0</v>
      </c>
      <c r="AK137" s="162">
        <f>SUMIFS('Opex Departments'!Y:Y,'Opex Departments'!$B:$B,$C137,'Opex Departments'!$A:$A,$A137)</f>
        <v>0</v>
      </c>
      <c r="AL137" s="162">
        <f>SUMIFS('Opex Departments'!Z:Z,'Opex Departments'!$B:$B,$C137,'Opex Departments'!$A:$A,$A137)</f>
        <v>0</v>
      </c>
      <c r="AM137" s="162">
        <f>SUMIFS('Opex Departments'!AA:AA,'Opex Departments'!$B:$B,$C137,'Opex Departments'!$A:$A,$A137)</f>
        <v>0</v>
      </c>
      <c r="AN137" s="162">
        <f>SUMIFS('Opex Departments'!AB:AB,'Opex Departments'!$B:$B,$C137,'Opex Departments'!$A:$A,$A137)</f>
        <v>0</v>
      </c>
      <c r="AO137" s="162">
        <f>SUMIFS('Opex Departments'!AC:AC,'Opex Departments'!$B:$B,$C137,'Opex Departments'!$A:$A,$A137)</f>
        <v>0</v>
      </c>
      <c r="AP137" s="162">
        <f>SUMIFS('Opex Departments'!AD:AD,'Opex Departments'!$B:$B,$C137,'Opex Departments'!$A:$A,$A137)</f>
        <v>0</v>
      </c>
      <c r="AQ137" s="162">
        <f>SUMIFS('Opex Departments'!AE:AE,'Opex Departments'!$B:$B,$C137,'Opex Departments'!$A:$A,$A137)</f>
        <v>0</v>
      </c>
      <c r="AR137" s="162">
        <f>SUMIFS('Opex Departments'!AF:AF,'Opex Departments'!$B:$B,$C137,'Opex Departments'!$A:$A,$A137)</f>
        <v>0</v>
      </c>
      <c r="AS137" s="162">
        <f>SUMIFS('Opex Departments'!AG:AG,'Opex Departments'!$B:$B,$C137,'Opex Departments'!$A:$A,$A137)</f>
        <v>0</v>
      </c>
      <c r="AT137" s="162">
        <f>SUMIFS('Opex Departments'!AH:AH,'Opex Departments'!$B:$B,$C137,'Opex Departments'!$A:$A,$A137)</f>
        <v>0</v>
      </c>
      <c r="AU137" s="162">
        <f>SUMIFS('Opex Departments'!AI:AI,'Opex Departments'!$B:$B,$C137,'Opex Departments'!$A:$A,$A137)</f>
        <v>0</v>
      </c>
      <c r="AV137" s="162">
        <f>SUMIFS('Opex Departments'!AJ:AJ,'Opex Departments'!$B:$B,$C137,'Opex Departments'!$A:$A,$A137)</f>
        <v>0</v>
      </c>
      <c r="AW137" s="162">
        <f>SUMIFS('Opex Departments'!AK:AK,'Opex Departments'!$B:$B,$C137,'Opex Departments'!$A:$A,$A137)</f>
        <v>0</v>
      </c>
      <c r="AX137" s="162">
        <f>SUMIFS('Opex Departments'!AL:AL,'Opex Departments'!$B:$B,$C137,'Opex Departments'!$A:$A,$A137)</f>
        <v>0</v>
      </c>
      <c r="AY137" s="162">
        <f>SUMIFS('Opex Departments'!AM:AM,'Opex Departments'!$B:$B,$C137,'Opex Departments'!$A:$A,$A137)</f>
        <v>0</v>
      </c>
      <c r="AZ137" s="162">
        <f>SUMIFS('Opex Departments'!AN:AN,'Opex Departments'!$B:$B,$C137,'Opex Departments'!$A:$A,$A137)</f>
        <v>0</v>
      </c>
      <c r="BA137" s="162">
        <f>SUMIFS('Opex Departments'!AO:AO,'Opex Departments'!$B:$B,$C137,'Opex Departments'!$A:$A,$A137)</f>
        <v>0</v>
      </c>
      <c r="BB137" s="162">
        <f>SUMIFS('Opex Departments'!AP:AP,'Opex Departments'!$B:$B,$C137,'Opex Departments'!$A:$A,$A137)</f>
        <v>0</v>
      </c>
      <c r="BC137" s="162">
        <f>SUMIFS('Opex Departments'!AQ:AQ,'Opex Departments'!$B:$B,$C137,'Opex Departments'!$A:$A,$A137)</f>
        <v>0</v>
      </c>
      <c r="BD137" s="162">
        <f>SUMIFS('Opex Departments'!AR:AR,'Opex Departments'!$B:$B,$C137,'Opex Departments'!$A:$A,$A137)</f>
        <v>0</v>
      </c>
      <c r="BE137" s="162">
        <f>SUMIFS('Opex Departments'!AS:AS,'Opex Departments'!$B:$B,$C137,'Opex Departments'!$A:$A,$A137)</f>
        <v>0</v>
      </c>
      <c r="BF137" s="162">
        <f>SUMIFS('Opex Departments'!AT:AT,'Opex Departments'!$B:$B,$C137,'Opex Departments'!$A:$A,$A137)</f>
        <v>0</v>
      </c>
      <c r="BG137" s="162">
        <f>SUMIFS('Opex Departments'!AU:AU,'Opex Departments'!$B:$B,$C137,'Opex Departments'!$A:$A,$A137)</f>
        <v>0</v>
      </c>
      <c r="BH137" s="162">
        <f>SUMIFS('Opex Departments'!AV:AV,'Opex Departments'!$B:$B,$C137,'Opex Departments'!$A:$A,$A137)</f>
        <v>0</v>
      </c>
      <c r="BI137" s="162">
        <f>SUMIFS('Opex Departments'!AW:AW,'Opex Departments'!$B:$B,$C137,'Opex Departments'!$A:$A,$A137)</f>
        <v>0</v>
      </c>
      <c r="BJ137" s="162">
        <f>SUMIFS('Opex Departments'!AX:AX,'Opex Departments'!$B:$B,$C137,'Opex Departments'!$A:$A,$A137)</f>
        <v>0</v>
      </c>
      <c r="BK137" s="162">
        <f>SUMIFS('Opex Departments'!AY:AY,'Opex Departments'!$B:$B,$C137,'Opex Departments'!$A:$A,$A137)</f>
        <v>0</v>
      </c>
      <c r="BL137" s="162">
        <f>SUMIFS('Opex Departments'!AZ:AZ,'Opex Departments'!$B:$B,$C137,'Opex Departments'!$A:$A,$A137)</f>
        <v>0</v>
      </c>
      <c r="BM137" s="162">
        <f>SUMIFS('Opex Departments'!BA:BA,'Opex Departments'!$B:$B,$C137,'Opex Departments'!$A:$A,$A137)</f>
        <v>0</v>
      </c>
      <c r="BN137" s="162">
        <f>SUMIFS('Opex Departments'!BB:BB,'Opex Departments'!$B:$B,$C137,'Opex Departments'!$A:$A,$A137)</f>
        <v>0</v>
      </c>
      <c r="BO137" s="162">
        <f>SUMIFS('Opex Departments'!BC:BC,'Opex Departments'!$B:$B,$C137,'Opex Departments'!$A:$A,$A137)</f>
        <v>0</v>
      </c>
      <c r="BP137" s="162">
        <f>SUMIFS('Opex Departments'!BD:BD,'Opex Departments'!$B:$B,$C137,'Opex Departments'!$A:$A,$A137)</f>
        <v>0</v>
      </c>
      <c r="BQ137" s="162">
        <f>SUMIFS('Opex Departments'!BE:BE,'Opex Departments'!$B:$B,$C137,'Opex Departments'!$A:$A,$A137)</f>
        <v>0</v>
      </c>
      <c r="BR137" s="162">
        <f>SUMIFS('Opex Departments'!BF:BF,'Opex Departments'!$B:$B,$C137,'Opex Departments'!$A:$A,$A137)</f>
        <v>0</v>
      </c>
      <c r="BS137" s="162">
        <f>SUMIFS('Opex Departments'!BG:BG,'Opex Departments'!$B:$B,$C137,'Opex Departments'!$A:$A,$A137)</f>
        <v>0</v>
      </c>
      <c r="BT137" s="162">
        <f>SUMIFS('Opex Departments'!BH:BH,'Opex Departments'!$B:$B,$C137,'Opex Departments'!$A:$A,$A137)</f>
        <v>0</v>
      </c>
      <c r="BU137" s="162">
        <f>SUMIFS('Opex Departments'!BI:BI,'Opex Departments'!$B:$B,$C137,'Opex Departments'!$A:$A,$A137)</f>
        <v>0</v>
      </c>
      <c r="BV137" s="162">
        <f>SUMIFS('Opex Departments'!BJ:BJ,'Opex Departments'!$B:$B,$C137,'Opex Departments'!$A:$A,$A137)</f>
        <v>0</v>
      </c>
      <c r="BW137" s="162">
        <f>SUMIFS('Opex Departments'!BK:BK,'Opex Departments'!$B:$B,$C137,'Opex Departments'!$A:$A,$A137)</f>
        <v>0</v>
      </c>
      <c r="BX137" s="162">
        <f>SUMIFS('Opex Departments'!BL:BL,'Opex Departments'!$B:$B,$C137,'Opex Departments'!$A:$A,$A137)</f>
        <v>0</v>
      </c>
      <c r="BY137" s="162">
        <f>SUMIFS('Opex Departments'!BM:BM,'Opex Departments'!$B:$B,$C137,'Opex Departments'!$A:$A,$A137)</f>
        <v>0</v>
      </c>
      <c r="BZ137" s="162">
        <f>SUMIFS('Opex Departments'!BN:BN,'Opex Departments'!$B:$B,$C137,'Opex Departments'!$A:$A,$A137)</f>
        <v>0</v>
      </c>
      <c r="CA137" s="162">
        <f>SUMIFS('Opex Departments'!BO:BO,'Opex Departments'!$B:$B,$C137,'Opex Departments'!$A:$A,$A137)</f>
        <v>0</v>
      </c>
      <c r="CB137" s="162">
        <f>SUMIFS('Opex Departments'!BP:BP,'Opex Departments'!$B:$B,$C137,'Opex Departments'!$A:$A,$A137)</f>
        <v>0</v>
      </c>
      <c r="CC137" s="162">
        <f>SUMIFS('Opex Departments'!BQ:BQ,'Opex Departments'!$B:$B,$C137,'Opex Departments'!$A:$A,$A137)</f>
        <v>0</v>
      </c>
      <c r="CD137" s="162">
        <f>SUMIFS('Opex Departments'!BR:BR,'Opex Departments'!$B:$B,$C137,'Opex Departments'!$A:$A,$A137)</f>
        <v>0</v>
      </c>
      <c r="CE137" s="162">
        <f>SUMIFS('Opex Departments'!BS:BS,'Opex Departments'!$B:$B,$C137,'Opex Departments'!$A:$A,$A137)</f>
        <v>0</v>
      </c>
      <c r="CF137" s="162">
        <f>SUMIFS('Opex Departments'!BT:BT,'Opex Departments'!$B:$B,$C137,'Opex Departments'!$A:$A,$A137)</f>
        <v>0</v>
      </c>
      <c r="CG137" s="162">
        <f>SUMIFS('Opex Departments'!BU:BU,'Opex Departments'!$B:$B,$C137,'Opex Departments'!$A:$A,$A137)</f>
        <v>0</v>
      </c>
      <c r="CH137" s="162">
        <f>SUMIFS('Opex Departments'!BV:BV,'Opex Departments'!$B:$B,$C137,'Opex Departments'!$A:$A,$A137)</f>
        <v>0</v>
      </c>
      <c r="CI137" s="162">
        <f>SUMIFS('Opex Departments'!BW:BW,'Opex Departments'!$B:$B,$C137,'Opex Departments'!$A:$A,$A137)</f>
        <v>0</v>
      </c>
      <c r="CJ137" s="162">
        <f>SUMIFS('Opex Departments'!BX:BX,'Opex Departments'!$B:$B,$C137,'Opex Departments'!$A:$A,$A137)</f>
        <v>0</v>
      </c>
      <c r="CK137" s="162">
        <f>SUMIFS('Opex Departments'!BY:BY,'Opex Departments'!$B:$B,$C137,'Opex Departments'!$A:$A,$A137)</f>
        <v>0</v>
      </c>
      <c r="CL137" s="162">
        <f>SUMIFS('Opex Departments'!BZ:BZ,'Opex Departments'!$B:$B,$C137,'Opex Departments'!$A:$A,$A137)</f>
        <v>0</v>
      </c>
      <c r="CM137" s="162">
        <f>SUMIFS('Opex Departments'!CA:CA,'Opex Departments'!$B:$B,$C137,'Opex Departments'!$A:$A,$A137)</f>
        <v>0</v>
      </c>
      <c r="CN137" s="162">
        <f>SUMIFS('Opex Departments'!CB:CB,'Opex Departments'!$B:$B,$C137,'Opex Departments'!$A:$A,$A137)</f>
        <v>0</v>
      </c>
      <c r="CO137" s="162">
        <f>SUMIFS('Opex Departments'!CC:CC,'Opex Departments'!$B:$B,$C137,'Opex Departments'!$A:$A,$A137)</f>
        <v>0</v>
      </c>
      <c r="CP137" s="162">
        <f>SUMIFS('Opex Departments'!CD:CD,'Opex Departments'!$B:$B,$C137,'Opex Departments'!$A:$A,$A137)</f>
        <v>0</v>
      </c>
      <c r="CQ137" s="162">
        <f>SUMIFS('Opex Departments'!CE:CE,'Opex Departments'!$B:$B,$C137,'Opex Departments'!$A:$A,$A137)</f>
        <v>0</v>
      </c>
      <c r="CR137" s="162">
        <f>SUMIFS('Opex Departments'!CF:CF,'Opex Departments'!$B:$B,$C137,'Opex Departments'!$A:$A,$A137)</f>
        <v>0</v>
      </c>
      <c r="CS137" s="162">
        <f>SUMIFS('Opex Departments'!CG:CG,'Opex Departments'!$B:$B,$C137,'Opex Departments'!$A:$A,$A137)</f>
        <v>0</v>
      </c>
      <c r="CT137" s="162">
        <f>SUMIFS('Opex Departments'!CH:CH,'Opex Departments'!$B:$B,$C137,'Opex Departments'!$A:$A,$A137)</f>
        <v>0</v>
      </c>
      <c r="CU137" s="162">
        <f>SUMIFS('Opex Departments'!CI:CI,'Opex Departments'!$B:$B,$C137,'Opex Departments'!$A:$A,$A137)</f>
        <v>0</v>
      </c>
      <c r="CV137" s="162"/>
      <c r="CW137" s="162"/>
      <c r="CX137" s="162"/>
      <c r="CY137" s="162"/>
      <c r="CZ137" s="162"/>
      <c r="DA137" s="162"/>
      <c r="DB137" s="162"/>
      <c r="DC137" s="162"/>
    </row>
    <row r="138" ht="15.75" customHeight="1">
      <c r="A138" s="144" t="s">
        <v>121</v>
      </c>
      <c r="B138" s="144"/>
      <c r="C138" s="146" t="s">
        <v>177</v>
      </c>
      <c r="D138" s="144"/>
      <c r="E138" s="144"/>
      <c r="F138" s="144"/>
      <c r="G138" s="144"/>
      <c r="H138" s="144"/>
      <c r="I138" s="144"/>
      <c r="J138" s="144"/>
      <c r="K138" s="144"/>
      <c r="L138" s="144"/>
      <c r="M138" s="144"/>
      <c r="N138" s="144"/>
      <c r="O138" s="144"/>
      <c r="P138" s="162" t="s">
        <v>272</v>
      </c>
      <c r="Q138" s="162" t="s">
        <v>272</v>
      </c>
      <c r="R138" s="162" t="s">
        <v>272</v>
      </c>
      <c r="S138" s="162" t="s">
        <v>272</v>
      </c>
      <c r="T138" s="162" t="s">
        <v>272</v>
      </c>
      <c r="U138" s="162" t="s">
        <v>272</v>
      </c>
      <c r="V138" s="162" t="s">
        <v>272</v>
      </c>
      <c r="W138" s="162" t="s">
        <v>272</v>
      </c>
      <c r="X138" s="162" t="s">
        <v>272</v>
      </c>
      <c r="Y138" s="162" t="s">
        <v>272</v>
      </c>
      <c r="Z138" s="162" t="s">
        <v>272</v>
      </c>
      <c r="AA138" s="162" t="s">
        <v>272</v>
      </c>
      <c r="AB138" s="162" t="s">
        <v>272</v>
      </c>
      <c r="AC138" s="162" t="s">
        <v>272</v>
      </c>
      <c r="AD138" s="162" t="s">
        <v>272</v>
      </c>
      <c r="AE138" s="162" t="s">
        <v>272</v>
      </c>
      <c r="AF138" s="162" t="s">
        <v>272</v>
      </c>
      <c r="AG138" s="162" t="s">
        <v>272</v>
      </c>
      <c r="AH138" s="162">
        <f>SUMIFS('Opex Departments'!V:V,'Opex Departments'!$B:$B,$C138,'Opex Departments'!$A:$A,$A138)</f>
        <v>1142</v>
      </c>
      <c r="AI138" s="162">
        <f>SUMIFS('Opex Departments'!W:W,'Opex Departments'!$B:$B,$C138,'Opex Departments'!$A:$A,$A138)</f>
        <v>3894</v>
      </c>
      <c r="AJ138" s="162">
        <f>SUMIFS('Opex Departments'!X:X,'Opex Departments'!$B:$B,$C138,'Opex Departments'!$A:$A,$A138)</f>
        <v>4330</v>
      </c>
      <c r="AK138" s="162">
        <f>SUMIFS('Opex Departments'!Y:Y,'Opex Departments'!$B:$B,$C138,'Opex Departments'!$A:$A,$A138)</f>
        <v>351</v>
      </c>
      <c r="AL138" s="162">
        <f>SUMIFS('Opex Departments'!Z:Z,'Opex Departments'!$B:$B,$C138,'Opex Departments'!$A:$A,$A138)</f>
        <v>4053</v>
      </c>
      <c r="AM138" s="162">
        <f>SUMIFS('Opex Departments'!AA:AA,'Opex Departments'!$B:$B,$C138,'Opex Departments'!$A:$A,$A138)</f>
        <v>0</v>
      </c>
      <c r="AN138" s="162">
        <f>SUMIFS('Opex Departments'!AB:AB,'Opex Departments'!$B:$B,$C138,'Opex Departments'!$A:$A,$A138)</f>
        <v>0</v>
      </c>
      <c r="AO138" s="162">
        <f>SUMIFS('Opex Departments'!AC:AC,'Opex Departments'!$B:$B,$C138,'Opex Departments'!$A:$A,$A138)</f>
        <v>0</v>
      </c>
      <c r="AP138" s="162">
        <f>SUMIFS('Opex Departments'!AD:AD,'Opex Departments'!$B:$B,$C138,'Opex Departments'!$A:$A,$A138)</f>
        <v>0</v>
      </c>
      <c r="AQ138" s="162">
        <f>SUMIFS('Opex Departments'!AE:AE,'Opex Departments'!$B:$B,$C138,'Opex Departments'!$A:$A,$A138)</f>
        <v>0</v>
      </c>
      <c r="AR138" s="162">
        <f>SUMIFS('Opex Departments'!AF:AF,'Opex Departments'!$B:$B,$C138,'Opex Departments'!$A:$A,$A138)</f>
        <v>0</v>
      </c>
      <c r="AS138" s="162">
        <f>SUMIFS('Opex Departments'!AG:AG,'Opex Departments'!$B:$B,$C138,'Opex Departments'!$A:$A,$A138)</f>
        <v>0</v>
      </c>
      <c r="AT138" s="162">
        <f>SUMIFS('Opex Departments'!AH:AH,'Opex Departments'!$B:$B,$C138,'Opex Departments'!$A:$A,$A138)</f>
        <v>0</v>
      </c>
      <c r="AU138" s="162">
        <f>SUMIFS('Opex Departments'!AI:AI,'Opex Departments'!$B:$B,$C138,'Opex Departments'!$A:$A,$A138)</f>
        <v>0</v>
      </c>
      <c r="AV138" s="162">
        <f>SUMIFS('Opex Departments'!AJ:AJ,'Opex Departments'!$B:$B,$C138,'Opex Departments'!$A:$A,$A138)</f>
        <v>0</v>
      </c>
      <c r="AW138" s="162">
        <f>SUMIFS('Opex Departments'!AK:AK,'Opex Departments'!$B:$B,$C138,'Opex Departments'!$A:$A,$A138)</f>
        <v>0</v>
      </c>
      <c r="AX138" s="162">
        <f>SUMIFS('Opex Departments'!AL:AL,'Opex Departments'!$B:$B,$C138,'Opex Departments'!$A:$A,$A138)</f>
        <v>0</v>
      </c>
      <c r="AY138" s="162">
        <f>SUMIFS('Opex Departments'!AM:AM,'Opex Departments'!$B:$B,$C138,'Opex Departments'!$A:$A,$A138)</f>
        <v>0</v>
      </c>
      <c r="AZ138" s="162">
        <f>SUMIFS('Opex Departments'!AN:AN,'Opex Departments'!$B:$B,$C138,'Opex Departments'!$A:$A,$A138)</f>
        <v>0</v>
      </c>
      <c r="BA138" s="162">
        <f>SUMIFS('Opex Departments'!AO:AO,'Opex Departments'!$B:$B,$C138,'Opex Departments'!$A:$A,$A138)</f>
        <v>0</v>
      </c>
      <c r="BB138" s="162">
        <f>SUMIFS('Opex Departments'!AP:AP,'Opex Departments'!$B:$B,$C138,'Opex Departments'!$A:$A,$A138)</f>
        <v>0</v>
      </c>
      <c r="BC138" s="162">
        <f>SUMIFS('Opex Departments'!AQ:AQ,'Opex Departments'!$B:$B,$C138,'Opex Departments'!$A:$A,$A138)</f>
        <v>0</v>
      </c>
      <c r="BD138" s="162">
        <f>SUMIFS('Opex Departments'!AR:AR,'Opex Departments'!$B:$B,$C138,'Opex Departments'!$A:$A,$A138)</f>
        <v>0</v>
      </c>
      <c r="BE138" s="162">
        <f>SUMIFS('Opex Departments'!AS:AS,'Opex Departments'!$B:$B,$C138,'Opex Departments'!$A:$A,$A138)</f>
        <v>0</v>
      </c>
      <c r="BF138" s="162">
        <f>SUMIFS('Opex Departments'!AT:AT,'Opex Departments'!$B:$B,$C138,'Opex Departments'!$A:$A,$A138)</f>
        <v>0</v>
      </c>
      <c r="BG138" s="162">
        <f>SUMIFS('Opex Departments'!AU:AU,'Opex Departments'!$B:$B,$C138,'Opex Departments'!$A:$A,$A138)</f>
        <v>0</v>
      </c>
      <c r="BH138" s="162">
        <f>SUMIFS('Opex Departments'!AV:AV,'Opex Departments'!$B:$B,$C138,'Opex Departments'!$A:$A,$A138)</f>
        <v>0</v>
      </c>
      <c r="BI138" s="162">
        <f>SUMIFS('Opex Departments'!AW:AW,'Opex Departments'!$B:$B,$C138,'Opex Departments'!$A:$A,$A138)</f>
        <v>0</v>
      </c>
      <c r="BJ138" s="162">
        <f>SUMIFS('Opex Departments'!AX:AX,'Opex Departments'!$B:$B,$C138,'Opex Departments'!$A:$A,$A138)</f>
        <v>0</v>
      </c>
      <c r="BK138" s="162">
        <f>SUMIFS('Opex Departments'!AY:AY,'Opex Departments'!$B:$B,$C138,'Opex Departments'!$A:$A,$A138)</f>
        <v>0</v>
      </c>
      <c r="BL138" s="162">
        <f>SUMIFS('Opex Departments'!AZ:AZ,'Opex Departments'!$B:$B,$C138,'Opex Departments'!$A:$A,$A138)</f>
        <v>0</v>
      </c>
      <c r="BM138" s="162">
        <f>SUMIFS('Opex Departments'!BA:BA,'Opex Departments'!$B:$B,$C138,'Opex Departments'!$A:$A,$A138)</f>
        <v>0</v>
      </c>
      <c r="BN138" s="162">
        <f>SUMIFS('Opex Departments'!BB:BB,'Opex Departments'!$B:$B,$C138,'Opex Departments'!$A:$A,$A138)</f>
        <v>0</v>
      </c>
      <c r="BO138" s="162">
        <f>SUMIFS('Opex Departments'!BC:BC,'Opex Departments'!$B:$B,$C138,'Opex Departments'!$A:$A,$A138)</f>
        <v>0</v>
      </c>
      <c r="BP138" s="162">
        <f>SUMIFS('Opex Departments'!BD:BD,'Opex Departments'!$B:$B,$C138,'Opex Departments'!$A:$A,$A138)</f>
        <v>0</v>
      </c>
      <c r="BQ138" s="162">
        <f>SUMIFS('Opex Departments'!BE:BE,'Opex Departments'!$B:$B,$C138,'Opex Departments'!$A:$A,$A138)</f>
        <v>0</v>
      </c>
      <c r="BR138" s="162">
        <f>SUMIFS('Opex Departments'!BF:BF,'Opex Departments'!$B:$B,$C138,'Opex Departments'!$A:$A,$A138)</f>
        <v>0</v>
      </c>
      <c r="BS138" s="162">
        <f>SUMIFS('Opex Departments'!BG:BG,'Opex Departments'!$B:$B,$C138,'Opex Departments'!$A:$A,$A138)</f>
        <v>0</v>
      </c>
      <c r="BT138" s="162">
        <f>SUMIFS('Opex Departments'!BH:BH,'Opex Departments'!$B:$B,$C138,'Opex Departments'!$A:$A,$A138)</f>
        <v>0</v>
      </c>
      <c r="BU138" s="162">
        <f>SUMIFS('Opex Departments'!BI:BI,'Opex Departments'!$B:$B,$C138,'Opex Departments'!$A:$A,$A138)</f>
        <v>0</v>
      </c>
      <c r="BV138" s="162">
        <f>SUMIFS('Opex Departments'!BJ:BJ,'Opex Departments'!$B:$B,$C138,'Opex Departments'!$A:$A,$A138)</f>
        <v>0</v>
      </c>
      <c r="BW138" s="162">
        <f>SUMIFS('Opex Departments'!BK:BK,'Opex Departments'!$B:$B,$C138,'Opex Departments'!$A:$A,$A138)</f>
        <v>0</v>
      </c>
      <c r="BX138" s="162">
        <f>SUMIFS('Opex Departments'!BL:BL,'Opex Departments'!$B:$B,$C138,'Opex Departments'!$A:$A,$A138)</f>
        <v>0</v>
      </c>
      <c r="BY138" s="162">
        <f>SUMIFS('Opex Departments'!BM:BM,'Opex Departments'!$B:$B,$C138,'Opex Departments'!$A:$A,$A138)</f>
        <v>0</v>
      </c>
      <c r="BZ138" s="162">
        <f>SUMIFS('Opex Departments'!BN:BN,'Opex Departments'!$B:$B,$C138,'Opex Departments'!$A:$A,$A138)</f>
        <v>0</v>
      </c>
      <c r="CA138" s="162">
        <f>SUMIFS('Opex Departments'!BO:BO,'Opex Departments'!$B:$B,$C138,'Opex Departments'!$A:$A,$A138)</f>
        <v>0</v>
      </c>
      <c r="CB138" s="162">
        <f>SUMIFS('Opex Departments'!BP:BP,'Opex Departments'!$B:$B,$C138,'Opex Departments'!$A:$A,$A138)</f>
        <v>0</v>
      </c>
      <c r="CC138" s="162">
        <f>SUMIFS('Opex Departments'!BQ:BQ,'Opex Departments'!$B:$B,$C138,'Opex Departments'!$A:$A,$A138)</f>
        <v>0</v>
      </c>
      <c r="CD138" s="162">
        <f>SUMIFS('Opex Departments'!BR:BR,'Opex Departments'!$B:$B,$C138,'Opex Departments'!$A:$A,$A138)</f>
        <v>0</v>
      </c>
      <c r="CE138" s="162">
        <f>SUMIFS('Opex Departments'!BS:BS,'Opex Departments'!$B:$B,$C138,'Opex Departments'!$A:$A,$A138)</f>
        <v>0</v>
      </c>
      <c r="CF138" s="162">
        <f>SUMIFS('Opex Departments'!BT:BT,'Opex Departments'!$B:$B,$C138,'Opex Departments'!$A:$A,$A138)</f>
        <v>0</v>
      </c>
      <c r="CG138" s="162">
        <f>SUMIFS('Opex Departments'!BU:BU,'Opex Departments'!$B:$B,$C138,'Opex Departments'!$A:$A,$A138)</f>
        <v>0</v>
      </c>
      <c r="CH138" s="162">
        <f>SUMIFS('Opex Departments'!BV:BV,'Opex Departments'!$B:$B,$C138,'Opex Departments'!$A:$A,$A138)</f>
        <v>0</v>
      </c>
      <c r="CI138" s="162">
        <f>SUMIFS('Opex Departments'!BW:BW,'Opex Departments'!$B:$B,$C138,'Opex Departments'!$A:$A,$A138)</f>
        <v>0</v>
      </c>
      <c r="CJ138" s="162">
        <f>SUMIFS('Opex Departments'!BX:BX,'Opex Departments'!$B:$B,$C138,'Opex Departments'!$A:$A,$A138)</f>
        <v>0</v>
      </c>
      <c r="CK138" s="162">
        <f>SUMIFS('Opex Departments'!BY:BY,'Opex Departments'!$B:$B,$C138,'Opex Departments'!$A:$A,$A138)</f>
        <v>0</v>
      </c>
      <c r="CL138" s="162">
        <f>SUMIFS('Opex Departments'!BZ:BZ,'Opex Departments'!$B:$B,$C138,'Opex Departments'!$A:$A,$A138)</f>
        <v>0</v>
      </c>
      <c r="CM138" s="162">
        <f>SUMIFS('Opex Departments'!CA:CA,'Opex Departments'!$B:$B,$C138,'Opex Departments'!$A:$A,$A138)</f>
        <v>0</v>
      </c>
      <c r="CN138" s="162">
        <f>SUMIFS('Opex Departments'!CB:CB,'Opex Departments'!$B:$B,$C138,'Opex Departments'!$A:$A,$A138)</f>
        <v>0</v>
      </c>
      <c r="CO138" s="162">
        <f>SUMIFS('Opex Departments'!CC:CC,'Opex Departments'!$B:$B,$C138,'Opex Departments'!$A:$A,$A138)</f>
        <v>0</v>
      </c>
      <c r="CP138" s="162">
        <f>SUMIFS('Opex Departments'!CD:CD,'Opex Departments'!$B:$B,$C138,'Opex Departments'!$A:$A,$A138)</f>
        <v>0</v>
      </c>
      <c r="CQ138" s="162">
        <f>SUMIFS('Opex Departments'!CE:CE,'Opex Departments'!$B:$B,$C138,'Opex Departments'!$A:$A,$A138)</f>
        <v>0</v>
      </c>
      <c r="CR138" s="162">
        <f>SUMIFS('Opex Departments'!CF:CF,'Opex Departments'!$B:$B,$C138,'Opex Departments'!$A:$A,$A138)</f>
        <v>0</v>
      </c>
      <c r="CS138" s="162">
        <f>SUMIFS('Opex Departments'!CG:CG,'Opex Departments'!$B:$B,$C138,'Opex Departments'!$A:$A,$A138)</f>
        <v>0</v>
      </c>
      <c r="CT138" s="162">
        <f>SUMIFS('Opex Departments'!CH:CH,'Opex Departments'!$B:$B,$C138,'Opex Departments'!$A:$A,$A138)</f>
        <v>0</v>
      </c>
      <c r="CU138" s="162">
        <f>SUMIFS('Opex Departments'!CI:CI,'Opex Departments'!$B:$B,$C138,'Opex Departments'!$A:$A,$A138)</f>
        <v>0</v>
      </c>
      <c r="CV138" s="162"/>
      <c r="CW138" s="162"/>
      <c r="CX138" s="162"/>
      <c r="CY138" s="162"/>
      <c r="CZ138" s="162"/>
      <c r="DA138" s="162"/>
      <c r="DB138" s="162"/>
      <c r="DC138" s="162"/>
    </row>
    <row r="139" ht="15.75" customHeight="1">
      <c r="A139" s="144" t="s">
        <v>121</v>
      </c>
      <c r="B139" s="144"/>
      <c r="C139" s="146" t="s">
        <v>66</v>
      </c>
      <c r="D139" s="144"/>
      <c r="E139" s="144"/>
      <c r="F139" s="144"/>
      <c r="G139" s="144"/>
      <c r="H139" s="144"/>
      <c r="I139" s="144"/>
      <c r="J139" s="144"/>
      <c r="K139" s="144"/>
      <c r="L139" s="144"/>
      <c r="M139" s="144"/>
      <c r="N139" s="144"/>
      <c r="O139" s="144"/>
      <c r="P139" s="162" t="s">
        <v>272</v>
      </c>
      <c r="Q139" s="162" t="s">
        <v>272</v>
      </c>
      <c r="R139" s="162" t="s">
        <v>272</v>
      </c>
      <c r="S139" s="162" t="s">
        <v>272</v>
      </c>
      <c r="T139" s="162" t="s">
        <v>272</v>
      </c>
      <c r="U139" s="162" t="s">
        <v>272</v>
      </c>
      <c r="V139" s="162" t="s">
        <v>272</v>
      </c>
      <c r="W139" s="162">
        <v>5000.0</v>
      </c>
      <c r="X139" s="162">
        <v>975.0</v>
      </c>
      <c r="Y139" s="162" t="s">
        <v>272</v>
      </c>
      <c r="Z139" s="162">
        <v>150.0</v>
      </c>
      <c r="AA139" s="162" t="s">
        <v>272</v>
      </c>
      <c r="AB139" s="162" t="s">
        <v>272</v>
      </c>
      <c r="AC139" s="162">
        <v>2587.0</v>
      </c>
      <c r="AD139" s="162" t="s">
        <v>272</v>
      </c>
      <c r="AE139" s="162" t="s">
        <v>272</v>
      </c>
      <c r="AF139" s="162" t="s">
        <v>272</v>
      </c>
      <c r="AG139" s="162" t="s">
        <v>272</v>
      </c>
      <c r="AH139" s="162">
        <f>SUMIFS('Opex Departments'!V:V,'Opex Departments'!$B:$B,$C139,'Opex Departments'!$A:$A,$A139)</f>
        <v>1744</v>
      </c>
      <c r="AI139" s="162">
        <f>SUMIFS('Opex Departments'!W:W,'Opex Departments'!$B:$B,$C139,'Opex Departments'!$A:$A,$A139)</f>
        <v>6532</v>
      </c>
      <c r="AJ139" s="162">
        <f>SUMIFS('Opex Departments'!X:X,'Opex Departments'!$B:$B,$C139,'Opex Departments'!$A:$A,$A139)</f>
        <v>4777</v>
      </c>
      <c r="AK139" s="162">
        <f>SUMIFS('Opex Departments'!Y:Y,'Opex Departments'!$B:$B,$C139,'Opex Departments'!$A:$A,$A139)</f>
        <v>8533</v>
      </c>
      <c r="AL139" s="162">
        <f>SUMIFS('Opex Departments'!Z:Z,'Opex Departments'!$B:$B,$C139,'Opex Departments'!$A:$A,$A139)</f>
        <v>4825</v>
      </c>
      <c r="AM139" s="162">
        <f>SUMIFS('Opex Departments'!AA:AA,'Opex Departments'!$B:$B,$C139,'Opex Departments'!$A:$A,$A139)</f>
        <v>10261</v>
      </c>
      <c r="AN139" s="162">
        <f>SUMIFS('Opex Departments'!AB:AB,'Opex Departments'!$B:$B,$C139,'Opex Departments'!$A:$A,$A139)</f>
        <v>10261</v>
      </c>
      <c r="AO139" s="162">
        <f>SUMIFS('Opex Departments'!AC:AC,'Opex Departments'!$B:$B,$C139,'Opex Departments'!$A:$A,$A139)</f>
        <v>10261</v>
      </c>
      <c r="AP139" s="162">
        <f>SUMIFS('Opex Departments'!AD:AD,'Opex Departments'!$B:$B,$C139,'Opex Departments'!$A:$A,$A139)</f>
        <v>10261</v>
      </c>
      <c r="AQ139" s="162">
        <f>SUMIFS('Opex Departments'!AE:AE,'Opex Departments'!$B:$B,$C139,'Opex Departments'!$A:$A,$A139)</f>
        <v>10261</v>
      </c>
      <c r="AR139" s="162">
        <f>SUMIFS('Opex Departments'!AF:AF,'Opex Departments'!$B:$B,$C139,'Opex Departments'!$A:$A,$A139)</f>
        <v>10261</v>
      </c>
      <c r="AS139" s="162">
        <f>SUMIFS('Opex Departments'!AG:AG,'Opex Departments'!$B:$B,$C139,'Opex Departments'!$A:$A,$A139)</f>
        <v>10261</v>
      </c>
      <c r="AT139" s="162">
        <f>SUMIFS('Opex Departments'!AH:AH,'Opex Departments'!$B:$B,$C139,'Opex Departments'!$A:$A,$A139)</f>
        <v>10261</v>
      </c>
      <c r="AU139" s="162">
        <f>SUMIFS('Opex Departments'!AI:AI,'Opex Departments'!$B:$B,$C139,'Opex Departments'!$A:$A,$A139)</f>
        <v>10261</v>
      </c>
      <c r="AV139" s="162">
        <f>SUMIFS('Opex Departments'!AJ:AJ,'Opex Departments'!$B:$B,$C139,'Opex Departments'!$A:$A,$A139)</f>
        <v>10261</v>
      </c>
      <c r="AW139" s="162">
        <f>SUMIFS('Opex Departments'!AK:AK,'Opex Departments'!$B:$B,$C139,'Opex Departments'!$A:$A,$A139)</f>
        <v>10261</v>
      </c>
      <c r="AX139" s="162">
        <f>SUMIFS('Opex Departments'!AL:AL,'Opex Departments'!$B:$B,$C139,'Opex Departments'!$A:$A,$A139)</f>
        <v>10261</v>
      </c>
      <c r="AY139" s="162">
        <f>SUMIFS('Opex Departments'!AM:AM,'Opex Departments'!$B:$B,$C139,'Opex Departments'!$A:$A,$A139)</f>
        <v>10261</v>
      </c>
      <c r="AZ139" s="162">
        <f>SUMIFS('Opex Departments'!AN:AN,'Opex Departments'!$B:$B,$C139,'Opex Departments'!$A:$A,$A139)</f>
        <v>10262.305</v>
      </c>
      <c r="BA139" s="162">
        <f>SUMIFS('Opex Departments'!AO:AO,'Opex Departments'!$B:$B,$C139,'Opex Departments'!$A:$A,$A139)</f>
        <v>10263.61653</v>
      </c>
      <c r="BB139" s="162">
        <f>SUMIFS('Opex Departments'!AP:AP,'Opex Departments'!$B:$B,$C139,'Opex Departments'!$A:$A,$A139)</f>
        <v>10264.93461</v>
      </c>
      <c r="BC139" s="162">
        <f>SUMIFS('Opex Departments'!AQ:AQ,'Opex Departments'!$B:$B,$C139,'Opex Departments'!$A:$A,$A139)</f>
        <v>10266.25928</v>
      </c>
      <c r="BD139" s="162">
        <f>SUMIFS('Opex Departments'!AR:AR,'Opex Departments'!$B:$B,$C139,'Opex Departments'!$A:$A,$A139)</f>
        <v>10267.59058</v>
      </c>
      <c r="BE139" s="162">
        <f>SUMIFS('Opex Departments'!AS:AS,'Opex Departments'!$B:$B,$C139,'Opex Departments'!$A:$A,$A139)</f>
        <v>10268.92853</v>
      </c>
      <c r="BF139" s="162">
        <f>SUMIFS('Opex Departments'!AT:AT,'Opex Departments'!$B:$B,$C139,'Opex Departments'!$A:$A,$A139)</f>
        <v>10270.27317</v>
      </c>
      <c r="BG139" s="162">
        <f>SUMIFS('Opex Departments'!AU:AU,'Opex Departments'!$B:$B,$C139,'Opex Departments'!$A:$A,$A139)</f>
        <v>10271.62454</v>
      </c>
      <c r="BH139" s="162">
        <f>SUMIFS('Opex Departments'!AV:AV,'Opex Departments'!$B:$B,$C139,'Opex Departments'!$A:$A,$A139)</f>
        <v>10272.98266</v>
      </c>
      <c r="BI139" s="162">
        <f>SUMIFS('Opex Departments'!AW:AW,'Opex Departments'!$B:$B,$C139,'Opex Departments'!$A:$A,$A139)</f>
        <v>10274.34757</v>
      </c>
      <c r="BJ139" s="162">
        <f>SUMIFS('Opex Departments'!AX:AX,'Opex Departments'!$B:$B,$C139,'Opex Departments'!$A:$A,$A139)</f>
        <v>10275.71931</v>
      </c>
      <c r="BK139" s="162">
        <f>SUMIFS('Opex Departments'!AY:AY,'Opex Departments'!$B:$B,$C139,'Opex Departments'!$A:$A,$A139)</f>
        <v>10277.09791</v>
      </c>
      <c r="BL139" s="162">
        <f>SUMIFS('Opex Departments'!AZ:AZ,'Opex Departments'!$B:$B,$C139,'Opex Departments'!$A:$A,$A139)</f>
        <v>10278.4834</v>
      </c>
      <c r="BM139" s="162">
        <f>SUMIFS('Opex Departments'!BA:BA,'Opex Departments'!$B:$B,$C139,'Opex Departments'!$A:$A,$A139)</f>
        <v>10279.87582</v>
      </c>
      <c r="BN139" s="162">
        <f>SUMIFS('Opex Departments'!BB:BB,'Opex Departments'!$B:$B,$C139,'Opex Departments'!$A:$A,$A139)</f>
        <v>10281.27519</v>
      </c>
      <c r="BO139" s="162">
        <f>SUMIFS('Opex Departments'!BC:BC,'Opex Departments'!$B:$B,$C139,'Opex Departments'!$A:$A,$A139)</f>
        <v>10282.68157</v>
      </c>
      <c r="BP139" s="162">
        <f>SUMIFS('Opex Departments'!BD:BD,'Opex Departments'!$B:$B,$C139,'Opex Departments'!$A:$A,$A139)</f>
        <v>10284.09498</v>
      </c>
      <c r="BQ139" s="162">
        <f>SUMIFS('Opex Departments'!BE:BE,'Opex Departments'!$B:$B,$C139,'Opex Departments'!$A:$A,$A139)</f>
        <v>10285.51545</v>
      </c>
      <c r="BR139" s="162">
        <f>SUMIFS('Opex Departments'!BF:BF,'Opex Departments'!$B:$B,$C139,'Opex Departments'!$A:$A,$A139)</f>
        <v>10286.94303</v>
      </c>
      <c r="BS139" s="162">
        <f>SUMIFS('Opex Departments'!BG:BG,'Opex Departments'!$B:$B,$C139,'Opex Departments'!$A:$A,$A139)</f>
        <v>10288.37775</v>
      </c>
      <c r="BT139" s="162">
        <f>SUMIFS('Opex Departments'!BH:BH,'Opex Departments'!$B:$B,$C139,'Opex Departments'!$A:$A,$A139)</f>
        <v>10289.81963</v>
      </c>
      <c r="BU139" s="162">
        <f>SUMIFS('Opex Departments'!BI:BI,'Opex Departments'!$B:$B,$C139,'Opex Departments'!$A:$A,$A139)</f>
        <v>10291.26873</v>
      </c>
      <c r="BV139" s="162">
        <f>SUMIFS('Opex Departments'!BJ:BJ,'Opex Departments'!$B:$B,$C139,'Opex Departments'!$A:$A,$A139)</f>
        <v>10292.72508</v>
      </c>
      <c r="BW139" s="162">
        <f>SUMIFS('Opex Departments'!BK:BK,'Opex Departments'!$B:$B,$C139,'Opex Departments'!$A:$A,$A139)</f>
        <v>10294.1887</v>
      </c>
      <c r="BX139" s="162">
        <f>SUMIFS('Opex Departments'!BL:BL,'Opex Departments'!$B:$B,$C139,'Opex Departments'!$A:$A,$A139)</f>
        <v>10295.65965</v>
      </c>
      <c r="BY139" s="162">
        <f>SUMIFS('Opex Departments'!BM:BM,'Opex Departments'!$B:$B,$C139,'Opex Departments'!$A:$A,$A139)</f>
        <v>10297.13794</v>
      </c>
      <c r="BZ139" s="162">
        <f>SUMIFS('Opex Departments'!BN:BN,'Opex Departments'!$B:$B,$C139,'Opex Departments'!$A:$A,$A139)</f>
        <v>10298.62363</v>
      </c>
      <c r="CA139" s="162">
        <f>SUMIFS('Opex Departments'!BO:BO,'Opex Departments'!$B:$B,$C139,'Opex Departments'!$A:$A,$A139)</f>
        <v>10300.11675</v>
      </c>
      <c r="CB139" s="162">
        <f>SUMIFS('Opex Departments'!BP:BP,'Opex Departments'!$B:$B,$C139,'Opex Departments'!$A:$A,$A139)</f>
        <v>10301.61733</v>
      </c>
      <c r="CC139" s="162">
        <f>SUMIFS('Opex Departments'!BQ:BQ,'Opex Departments'!$B:$B,$C139,'Opex Departments'!$A:$A,$A139)</f>
        <v>10303.12542</v>
      </c>
      <c r="CD139" s="162">
        <f>SUMIFS('Opex Departments'!BR:BR,'Opex Departments'!$B:$B,$C139,'Opex Departments'!$A:$A,$A139)</f>
        <v>10304.64105</v>
      </c>
      <c r="CE139" s="162">
        <f>SUMIFS('Opex Departments'!BS:BS,'Opex Departments'!$B:$B,$C139,'Opex Departments'!$A:$A,$A139)</f>
        <v>10306.16425</v>
      </c>
      <c r="CF139" s="162">
        <f>SUMIFS('Opex Departments'!BT:BT,'Opex Departments'!$B:$B,$C139,'Opex Departments'!$A:$A,$A139)</f>
        <v>10307.69508</v>
      </c>
      <c r="CG139" s="162">
        <f>SUMIFS('Opex Departments'!BU:BU,'Opex Departments'!$B:$B,$C139,'Opex Departments'!$A:$A,$A139)</f>
        <v>10309.23355</v>
      </c>
      <c r="CH139" s="162">
        <f>SUMIFS('Opex Departments'!BV:BV,'Opex Departments'!$B:$B,$C139,'Opex Departments'!$A:$A,$A139)</f>
        <v>10310.77972</v>
      </c>
      <c r="CI139" s="162">
        <f>SUMIFS('Opex Departments'!BW:BW,'Opex Departments'!$B:$B,$C139,'Opex Departments'!$A:$A,$A139)</f>
        <v>10312.33362</v>
      </c>
      <c r="CJ139" s="162">
        <f>SUMIFS('Opex Departments'!BX:BX,'Opex Departments'!$B:$B,$C139,'Opex Departments'!$A:$A,$A139)</f>
        <v>10313.89529</v>
      </c>
      <c r="CK139" s="162">
        <f>SUMIFS('Opex Departments'!BY:BY,'Opex Departments'!$B:$B,$C139,'Opex Departments'!$A:$A,$A139)</f>
        <v>10315.46476</v>
      </c>
      <c r="CL139" s="162">
        <f>SUMIFS('Opex Departments'!BZ:BZ,'Opex Departments'!$B:$B,$C139,'Opex Departments'!$A:$A,$A139)</f>
        <v>10317.04209</v>
      </c>
      <c r="CM139" s="162">
        <f>SUMIFS('Opex Departments'!CA:CA,'Opex Departments'!$B:$B,$C139,'Opex Departments'!$A:$A,$A139)</f>
        <v>10318.6273</v>
      </c>
      <c r="CN139" s="162">
        <f>SUMIFS('Opex Departments'!CB:CB,'Opex Departments'!$B:$B,$C139,'Opex Departments'!$A:$A,$A139)</f>
        <v>10320.22043</v>
      </c>
      <c r="CO139" s="162">
        <f>SUMIFS('Opex Departments'!CC:CC,'Opex Departments'!$B:$B,$C139,'Opex Departments'!$A:$A,$A139)</f>
        <v>10321.82153</v>
      </c>
      <c r="CP139" s="162">
        <f>SUMIFS('Opex Departments'!CD:CD,'Opex Departments'!$B:$B,$C139,'Opex Departments'!$A:$A,$A139)</f>
        <v>10323.43064</v>
      </c>
      <c r="CQ139" s="162">
        <f>SUMIFS('Opex Departments'!CE:CE,'Opex Departments'!$B:$B,$C139,'Opex Departments'!$A:$A,$A139)</f>
        <v>10325.0478</v>
      </c>
      <c r="CR139" s="162">
        <f>SUMIFS('Opex Departments'!CF:CF,'Opex Departments'!$B:$B,$C139,'Opex Departments'!$A:$A,$A139)</f>
        <v>10326.67303</v>
      </c>
      <c r="CS139" s="162">
        <f>SUMIFS('Opex Departments'!CG:CG,'Opex Departments'!$B:$B,$C139,'Opex Departments'!$A:$A,$A139)</f>
        <v>10328.3064</v>
      </c>
      <c r="CT139" s="162">
        <f>SUMIFS('Opex Departments'!CH:CH,'Opex Departments'!$B:$B,$C139,'Opex Departments'!$A:$A,$A139)</f>
        <v>10329.94793</v>
      </c>
      <c r="CU139" s="162">
        <f>SUMIFS('Opex Departments'!CI:CI,'Opex Departments'!$B:$B,$C139,'Opex Departments'!$A:$A,$A139)</f>
        <v>10331.59767</v>
      </c>
      <c r="CV139" s="162"/>
      <c r="CW139" s="162"/>
      <c r="CX139" s="162"/>
      <c r="CY139" s="162"/>
      <c r="CZ139" s="162"/>
      <c r="DA139" s="162"/>
      <c r="DB139" s="162"/>
      <c r="DC139" s="162"/>
    </row>
    <row r="140" ht="15.75" customHeight="1">
      <c r="A140" s="144" t="s">
        <v>121</v>
      </c>
      <c r="B140" s="144"/>
      <c r="C140" s="144" t="s">
        <v>70</v>
      </c>
      <c r="D140" s="144"/>
      <c r="E140" s="144"/>
      <c r="F140" s="144"/>
      <c r="G140" s="144"/>
      <c r="H140" s="144"/>
      <c r="I140" s="144"/>
      <c r="J140" s="144"/>
      <c r="K140" s="144"/>
      <c r="L140" s="144"/>
      <c r="M140" s="144"/>
      <c r="N140" s="144"/>
      <c r="O140" s="144"/>
      <c r="P140" s="162" t="s">
        <v>272</v>
      </c>
      <c r="Q140" s="162" t="s">
        <v>272</v>
      </c>
      <c r="R140" s="162" t="s">
        <v>272</v>
      </c>
      <c r="S140" s="162" t="s">
        <v>272</v>
      </c>
      <c r="T140" s="162" t="s">
        <v>272</v>
      </c>
      <c r="U140" s="162" t="s">
        <v>272</v>
      </c>
      <c r="V140" s="162" t="s">
        <v>272</v>
      </c>
      <c r="W140" s="162" t="s">
        <v>272</v>
      </c>
      <c r="X140" s="162">
        <v>162.0</v>
      </c>
      <c r="Y140" s="162">
        <v>162.0</v>
      </c>
      <c r="Z140" s="162">
        <v>162.0</v>
      </c>
      <c r="AA140" s="162" t="s">
        <v>272</v>
      </c>
      <c r="AB140" s="162">
        <v>162.0</v>
      </c>
      <c r="AC140" s="162">
        <v>162.0</v>
      </c>
      <c r="AD140" s="162">
        <v>162.0</v>
      </c>
      <c r="AE140" s="162">
        <v>246.0</v>
      </c>
      <c r="AF140" s="162">
        <v>374.0</v>
      </c>
      <c r="AG140" s="162">
        <v>263.0</v>
      </c>
      <c r="AH140" s="162">
        <f>SUMIFS('Opex Departments'!V:V,'Opex Departments'!$B:$B,$C140,'Opex Departments'!$A:$A,$A140)</f>
        <v>2956</v>
      </c>
      <c r="AI140" s="162">
        <f>SUMIFS('Opex Departments'!W:W,'Opex Departments'!$B:$B,$C140,'Opex Departments'!$A:$A,$A140)</f>
        <v>2420</v>
      </c>
      <c r="AJ140" s="162">
        <f>SUMIFS('Opex Departments'!X:X,'Opex Departments'!$B:$B,$C140,'Opex Departments'!$A:$A,$A140)</f>
        <v>4125</v>
      </c>
      <c r="AK140" s="162">
        <f>SUMIFS('Opex Departments'!Y:Y,'Opex Departments'!$B:$B,$C140,'Opex Departments'!$A:$A,$A140)</f>
        <v>2044</v>
      </c>
      <c r="AL140" s="162">
        <f>SUMIFS('Opex Departments'!Z:Z,'Opex Departments'!$B:$B,$C140,'Opex Departments'!$A:$A,$A140)</f>
        <v>4939</v>
      </c>
      <c r="AM140" s="162">
        <f>SUMIFS('Opex Departments'!AA:AA,'Opex Departments'!$B:$B,$C140,'Opex Departments'!$A:$A,$A140)</f>
        <v>24.942</v>
      </c>
      <c r="AN140" s="162">
        <f>SUMIFS('Opex Departments'!AB:AB,'Opex Departments'!$B:$B,$C140,'Opex Departments'!$A:$A,$A140)</f>
        <v>54.942</v>
      </c>
      <c r="AO140" s="162">
        <f>SUMIFS('Opex Departments'!AC:AC,'Opex Departments'!$B:$B,$C140,'Opex Departments'!$A:$A,$A140)</f>
        <v>54.942</v>
      </c>
      <c r="AP140" s="162">
        <f>SUMIFS('Opex Departments'!AD:AD,'Opex Departments'!$B:$B,$C140,'Opex Departments'!$A:$A,$A140)</f>
        <v>54.942</v>
      </c>
      <c r="AQ140" s="162">
        <f>SUMIFS('Opex Departments'!AE:AE,'Opex Departments'!$B:$B,$C140,'Opex Departments'!$A:$A,$A140)</f>
        <v>54.942</v>
      </c>
      <c r="AR140" s="162">
        <f>SUMIFS('Opex Departments'!AF:AF,'Opex Departments'!$B:$B,$C140,'Opex Departments'!$A:$A,$A140)</f>
        <v>84.942</v>
      </c>
      <c r="AS140" s="162">
        <f>SUMIFS('Opex Departments'!AG:AG,'Opex Departments'!$B:$B,$C140,'Opex Departments'!$A:$A,$A140)</f>
        <v>84.942</v>
      </c>
      <c r="AT140" s="162">
        <f>SUMIFS('Opex Departments'!AH:AH,'Opex Departments'!$B:$B,$C140,'Opex Departments'!$A:$A,$A140)</f>
        <v>84.942</v>
      </c>
      <c r="AU140" s="162">
        <f>SUMIFS('Opex Departments'!AI:AI,'Opex Departments'!$B:$B,$C140,'Opex Departments'!$A:$A,$A140)</f>
        <v>84.942</v>
      </c>
      <c r="AV140" s="162">
        <f>SUMIFS('Opex Departments'!AJ:AJ,'Opex Departments'!$B:$B,$C140,'Opex Departments'!$A:$A,$A140)</f>
        <v>114.942</v>
      </c>
      <c r="AW140" s="162">
        <f>SUMIFS('Opex Departments'!AK:AK,'Opex Departments'!$B:$B,$C140,'Opex Departments'!$A:$A,$A140)</f>
        <v>114.942</v>
      </c>
      <c r="AX140" s="162">
        <f>SUMIFS('Opex Departments'!AL:AL,'Opex Departments'!$B:$B,$C140,'Opex Departments'!$A:$A,$A140)</f>
        <v>114.942</v>
      </c>
      <c r="AY140" s="162">
        <f>SUMIFS('Opex Departments'!AM:AM,'Opex Departments'!$B:$B,$C140,'Opex Departments'!$A:$A,$A140)</f>
        <v>114.942</v>
      </c>
      <c r="AZ140" s="162">
        <f>SUMIFS('Opex Departments'!AN:AN,'Opex Departments'!$B:$B,$C140,'Opex Departments'!$A:$A,$A140)</f>
        <v>114.942</v>
      </c>
      <c r="BA140" s="162">
        <f>SUMIFS('Opex Departments'!AO:AO,'Opex Departments'!$B:$B,$C140,'Opex Departments'!$A:$A,$A140)</f>
        <v>114.942</v>
      </c>
      <c r="BB140" s="162">
        <f>SUMIFS('Opex Departments'!AP:AP,'Opex Departments'!$B:$B,$C140,'Opex Departments'!$A:$A,$A140)</f>
        <v>114.942</v>
      </c>
      <c r="BC140" s="162">
        <f>SUMIFS('Opex Departments'!AQ:AQ,'Opex Departments'!$B:$B,$C140,'Opex Departments'!$A:$A,$A140)</f>
        <v>114.942</v>
      </c>
      <c r="BD140" s="162">
        <f>SUMIFS('Opex Departments'!AR:AR,'Opex Departments'!$B:$B,$C140,'Opex Departments'!$A:$A,$A140)</f>
        <v>114.942</v>
      </c>
      <c r="BE140" s="162">
        <f>SUMIFS('Opex Departments'!AS:AS,'Opex Departments'!$B:$B,$C140,'Opex Departments'!$A:$A,$A140)</f>
        <v>114.942</v>
      </c>
      <c r="BF140" s="162">
        <f>SUMIFS('Opex Departments'!AT:AT,'Opex Departments'!$B:$B,$C140,'Opex Departments'!$A:$A,$A140)</f>
        <v>114.942</v>
      </c>
      <c r="BG140" s="162">
        <f>SUMIFS('Opex Departments'!AU:AU,'Opex Departments'!$B:$B,$C140,'Opex Departments'!$A:$A,$A140)</f>
        <v>114.942</v>
      </c>
      <c r="BH140" s="162">
        <f>SUMIFS('Opex Departments'!AV:AV,'Opex Departments'!$B:$B,$C140,'Opex Departments'!$A:$A,$A140)</f>
        <v>138.942</v>
      </c>
      <c r="BI140" s="162">
        <f>SUMIFS('Opex Departments'!AW:AW,'Opex Departments'!$B:$B,$C140,'Opex Departments'!$A:$A,$A140)</f>
        <v>138.942</v>
      </c>
      <c r="BJ140" s="162">
        <f>SUMIFS('Opex Departments'!AX:AX,'Opex Departments'!$B:$B,$C140,'Opex Departments'!$A:$A,$A140)</f>
        <v>138.942</v>
      </c>
      <c r="BK140" s="162">
        <f>SUMIFS('Opex Departments'!AY:AY,'Opex Departments'!$B:$B,$C140,'Opex Departments'!$A:$A,$A140)</f>
        <v>138.942</v>
      </c>
      <c r="BL140" s="162">
        <f>SUMIFS('Opex Departments'!AZ:AZ,'Opex Departments'!$B:$B,$C140,'Opex Departments'!$A:$A,$A140)</f>
        <v>198.942</v>
      </c>
      <c r="BM140" s="162">
        <f>SUMIFS('Opex Departments'!BA:BA,'Opex Departments'!$B:$B,$C140,'Opex Departments'!$A:$A,$A140)</f>
        <v>198.942</v>
      </c>
      <c r="BN140" s="162">
        <f>SUMIFS('Opex Departments'!BB:BB,'Opex Departments'!$B:$B,$C140,'Opex Departments'!$A:$A,$A140)</f>
        <v>198.942</v>
      </c>
      <c r="BO140" s="162">
        <f>SUMIFS('Opex Departments'!BC:BC,'Opex Departments'!$B:$B,$C140,'Opex Departments'!$A:$A,$A140)</f>
        <v>198.942</v>
      </c>
      <c r="BP140" s="162">
        <f>SUMIFS('Opex Departments'!BD:BD,'Opex Departments'!$B:$B,$C140,'Opex Departments'!$A:$A,$A140)</f>
        <v>258.942</v>
      </c>
      <c r="BQ140" s="162">
        <f>SUMIFS('Opex Departments'!BE:BE,'Opex Departments'!$B:$B,$C140,'Opex Departments'!$A:$A,$A140)</f>
        <v>258.942</v>
      </c>
      <c r="BR140" s="162">
        <f>SUMIFS('Opex Departments'!BF:BF,'Opex Departments'!$B:$B,$C140,'Opex Departments'!$A:$A,$A140)</f>
        <v>258.942</v>
      </c>
      <c r="BS140" s="162">
        <f>SUMIFS('Opex Departments'!BG:BG,'Opex Departments'!$B:$B,$C140,'Opex Departments'!$A:$A,$A140)</f>
        <v>258.942</v>
      </c>
      <c r="BT140" s="162">
        <f>SUMIFS('Opex Departments'!BH:BH,'Opex Departments'!$B:$B,$C140,'Opex Departments'!$A:$A,$A140)</f>
        <v>318.942</v>
      </c>
      <c r="BU140" s="162">
        <f>SUMIFS('Opex Departments'!BI:BI,'Opex Departments'!$B:$B,$C140,'Opex Departments'!$A:$A,$A140)</f>
        <v>318.942</v>
      </c>
      <c r="BV140" s="162">
        <f>SUMIFS('Opex Departments'!BJ:BJ,'Opex Departments'!$B:$B,$C140,'Opex Departments'!$A:$A,$A140)</f>
        <v>318.942</v>
      </c>
      <c r="BW140" s="162">
        <f>SUMIFS('Opex Departments'!BK:BK,'Opex Departments'!$B:$B,$C140,'Opex Departments'!$A:$A,$A140)</f>
        <v>318.942</v>
      </c>
      <c r="BX140" s="162">
        <f>SUMIFS('Opex Departments'!BL:BL,'Opex Departments'!$B:$B,$C140,'Opex Departments'!$A:$A,$A140)</f>
        <v>320.142</v>
      </c>
      <c r="BY140" s="162">
        <f>SUMIFS('Opex Departments'!BM:BM,'Opex Departments'!$B:$B,$C140,'Opex Departments'!$A:$A,$A140)</f>
        <v>320.142</v>
      </c>
      <c r="BZ140" s="162">
        <f>SUMIFS('Opex Departments'!BN:BN,'Opex Departments'!$B:$B,$C140,'Opex Departments'!$A:$A,$A140)</f>
        <v>320.142</v>
      </c>
      <c r="CA140" s="162">
        <f>SUMIFS('Opex Departments'!BO:BO,'Opex Departments'!$B:$B,$C140,'Opex Departments'!$A:$A,$A140)</f>
        <v>320.142</v>
      </c>
      <c r="CB140" s="162">
        <f>SUMIFS('Opex Departments'!BP:BP,'Opex Departments'!$B:$B,$C140,'Opex Departments'!$A:$A,$A140)</f>
        <v>321.342</v>
      </c>
      <c r="CC140" s="162">
        <f>SUMIFS('Opex Departments'!BQ:BQ,'Opex Departments'!$B:$B,$C140,'Opex Departments'!$A:$A,$A140)</f>
        <v>321.342</v>
      </c>
      <c r="CD140" s="162">
        <f>SUMIFS('Opex Departments'!BR:BR,'Opex Departments'!$B:$B,$C140,'Opex Departments'!$A:$A,$A140)</f>
        <v>321.342</v>
      </c>
      <c r="CE140" s="162">
        <f>SUMIFS('Opex Departments'!BS:BS,'Opex Departments'!$B:$B,$C140,'Opex Departments'!$A:$A,$A140)</f>
        <v>321.342</v>
      </c>
      <c r="CF140" s="162">
        <f>SUMIFS('Opex Departments'!BT:BT,'Opex Departments'!$B:$B,$C140,'Opex Departments'!$A:$A,$A140)</f>
        <v>322.542</v>
      </c>
      <c r="CG140" s="162">
        <f>SUMIFS('Opex Departments'!BU:BU,'Opex Departments'!$B:$B,$C140,'Opex Departments'!$A:$A,$A140)</f>
        <v>322.542</v>
      </c>
      <c r="CH140" s="162">
        <f>SUMIFS('Opex Departments'!BV:BV,'Opex Departments'!$B:$B,$C140,'Opex Departments'!$A:$A,$A140)</f>
        <v>322.542</v>
      </c>
      <c r="CI140" s="162">
        <f>SUMIFS('Opex Departments'!BW:BW,'Opex Departments'!$B:$B,$C140,'Opex Departments'!$A:$A,$A140)</f>
        <v>322.542</v>
      </c>
      <c r="CJ140" s="162">
        <f>SUMIFS('Opex Departments'!BX:BX,'Opex Departments'!$B:$B,$C140,'Opex Departments'!$A:$A,$A140)</f>
        <v>323.742</v>
      </c>
      <c r="CK140" s="162">
        <f>SUMIFS('Opex Departments'!BY:BY,'Opex Departments'!$B:$B,$C140,'Opex Departments'!$A:$A,$A140)</f>
        <v>323.742</v>
      </c>
      <c r="CL140" s="162">
        <f>SUMIFS('Opex Departments'!BZ:BZ,'Opex Departments'!$B:$B,$C140,'Opex Departments'!$A:$A,$A140)</f>
        <v>323.742</v>
      </c>
      <c r="CM140" s="162">
        <f>SUMIFS('Opex Departments'!CA:CA,'Opex Departments'!$B:$B,$C140,'Opex Departments'!$A:$A,$A140)</f>
        <v>323.742</v>
      </c>
      <c r="CN140" s="162">
        <f>SUMIFS('Opex Departments'!CB:CB,'Opex Departments'!$B:$B,$C140,'Opex Departments'!$A:$A,$A140)</f>
        <v>324.942</v>
      </c>
      <c r="CO140" s="162">
        <f>SUMIFS('Opex Departments'!CC:CC,'Opex Departments'!$B:$B,$C140,'Opex Departments'!$A:$A,$A140)</f>
        <v>324.942</v>
      </c>
      <c r="CP140" s="162">
        <f>SUMIFS('Opex Departments'!CD:CD,'Opex Departments'!$B:$B,$C140,'Opex Departments'!$A:$A,$A140)</f>
        <v>324.942</v>
      </c>
      <c r="CQ140" s="162">
        <f>SUMIFS('Opex Departments'!CE:CE,'Opex Departments'!$B:$B,$C140,'Opex Departments'!$A:$A,$A140)</f>
        <v>324.942</v>
      </c>
      <c r="CR140" s="162">
        <f>SUMIFS('Opex Departments'!CF:CF,'Opex Departments'!$B:$B,$C140,'Opex Departments'!$A:$A,$A140)</f>
        <v>339.942</v>
      </c>
      <c r="CS140" s="162">
        <f>SUMIFS('Opex Departments'!CG:CG,'Opex Departments'!$B:$B,$C140,'Opex Departments'!$A:$A,$A140)</f>
        <v>339.942</v>
      </c>
      <c r="CT140" s="162">
        <f>SUMIFS('Opex Departments'!CH:CH,'Opex Departments'!$B:$B,$C140,'Opex Departments'!$A:$A,$A140)</f>
        <v>339.942</v>
      </c>
      <c r="CU140" s="162">
        <f>SUMIFS('Opex Departments'!CI:CI,'Opex Departments'!$B:$B,$C140,'Opex Departments'!$A:$A,$A140)</f>
        <v>339.942</v>
      </c>
      <c r="CV140" s="162"/>
      <c r="CW140" s="162"/>
      <c r="CX140" s="162"/>
      <c r="CY140" s="162"/>
      <c r="CZ140" s="162"/>
      <c r="DA140" s="162"/>
      <c r="DB140" s="162"/>
      <c r="DC140" s="162"/>
    </row>
    <row r="141" ht="15.75" customHeight="1">
      <c r="A141" s="144" t="s">
        <v>121</v>
      </c>
      <c r="B141" s="144"/>
      <c r="C141" s="144" t="s">
        <v>120</v>
      </c>
      <c r="D141" s="144"/>
      <c r="E141" s="144"/>
      <c r="F141" s="144"/>
      <c r="G141" s="144"/>
      <c r="H141" s="144"/>
      <c r="I141" s="144"/>
      <c r="J141" s="144"/>
      <c r="K141" s="144"/>
      <c r="L141" s="144"/>
      <c r="M141" s="144"/>
      <c r="N141" s="144"/>
      <c r="O141" s="144"/>
      <c r="P141" s="162" t="s">
        <v>272</v>
      </c>
      <c r="Q141" s="162" t="s">
        <v>272</v>
      </c>
      <c r="R141" s="162" t="s">
        <v>272</v>
      </c>
      <c r="S141" s="162" t="s">
        <v>272</v>
      </c>
      <c r="T141" s="162" t="s">
        <v>272</v>
      </c>
      <c r="U141" s="162" t="s">
        <v>272</v>
      </c>
      <c r="V141" s="162" t="s">
        <v>272</v>
      </c>
      <c r="W141" s="162" t="s">
        <v>272</v>
      </c>
      <c r="X141" s="162" t="s">
        <v>272</v>
      </c>
      <c r="Y141" s="162" t="s">
        <v>272</v>
      </c>
      <c r="Z141" s="162" t="s">
        <v>272</v>
      </c>
      <c r="AA141" s="162" t="s">
        <v>272</v>
      </c>
      <c r="AB141" s="162" t="s">
        <v>272</v>
      </c>
      <c r="AC141" s="162" t="s">
        <v>272</v>
      </c>
      <c r="AD141" s="162" t="s">
        <v>272</v>
      </c>
      <c r="AE141" s="162" t="s">
        <v>272</v>
      </c>
      <c r="AF141" s="162" t="s">
        <v>272</v>
      </c>
      <c r="AG141" s="162" t="s">
        <v>272</v>
      </c>
      <c r="AH141" s="162">
        <f>SUMIFS('Opex Departments'!V:V,'Opex Departments'!$B:$B,$C141,'Opex Departments'!$A:$A,$A141)</f>
        <v>0</v>
      </c>
      <c r="AI141" s="162">
        <f>SUMIFS('Opex Departments'!W:W,'Opex Departments'!$B:$B,$C141,'Opex Departments'!$A:$A,$A141)</f>
        <v>0</v>
      </c>
      <c r="AJ141" s="162">
        <f>SUMIFS('Opex Departments'!X:X,'Opex Departments'!$B:$B,$C141,'Opex Departments'!$A:$A,$A141)</f>
        <v>0</v>
      </c>
      <c r="AK141" s="162">
        <f>SUMIFS('Opex Departments'!Y:Y,'Opex Departments'!$B:$B,$C141,'Opex Departments'!$A:$A,$A141)</f>
        <v>0</v>
      </c>
      <c r="AL141" s="162">
        <f>SUMIFS('Opex Departments'!Z:Z,'Opex Departments'!$B:$B,$C141,'Opex Departments'!$A:$A,$A141)</f>
        <v>0</v>
      </c>
      <c r="AM141" s="162">
        <f>SUMIFS('Opex Departments'!AA:AA,'Opex Departments'!$B:$B,$C141,'Opex Departments'!$A:$A,$A141)</f>
        <v>0</v>
      </c>
      <c r="AN141" s="162">
        <f>SUMIFS('Opex Departments'!AB:AB,'Opex Departments'!$B:$B,$C141,'Opex Departments'!$A:$A,$A141)</f>
        <v>0</v>
      </c>
      <c r="AO141" s="162">
        <f>SUMIFS('Opex Departments'!AC:AC,'Opex Departments'!$B:$B,$C141,'Opex Departments'!$A:$A,$A141)</f>
        <v>0</v>
      </c>
      <c r="AP141" s="162">
        <f>SUMIFS('Opex Departments'!AD:AD,'Opex Departments'!$B:$B,$C141,'Opex Departments'!$A:$A,$A141)</f>
        <v>0</v>
      </c>
      <c r="AQ141" s="162">
        <f>SUMIFS('Opex Departments'!AE:AE,'Opex Departments'!$B:$B,$C141,'Opex Departments'!$A:$A,$A141)</f>
        <v>0</v>
      </c>
      <c r="AR141" s="162">
        <f>SUMIFS('Opex Departments'!AF:AF,'Opex Departments'!$B:$B,$C141,'Opex Departments'!$A:$A,$A141)</f>
        <v>0</v>
      </c>
      <c r="AS141" s="162">
        <f>SUMIFS('Opex Departments'!AG:AG,'Opex Departments'!$B:$B,$C141,'Opex Departments'!$A:$A,$A141)</f>
        <v>0</v>
      </c>
      <c r="AT141" s="162">
        <f>SUMIFS('Opex Departments'!AH:AH,'Opex Departments'!$B:$B,$C141,'Opex Departments'!$A:$A,$A141)</f>
        <v>0</v>
      </c>
      <c r="AU141" s="162">
        <f>SUMIFS('Opex Departments'!AI:AI,'Opex Departments'!$B:$B,$C141,'Opex Departments'!$A:$A,$A141)</f>
        <v>0</v>
      </c>
      <c r="AV141" s="162">
        <f>SUMIFS('Opex Departments'!AJ:AJ,'Opex Departments'!$B:$B,$C141,'Opex Departments'!$A:$A,$A141)</f>
        <v>0</v>
      </c>
      <c r="AW141" s="162">
        <f>SUMIFS('Opex Departments'!AK:AK,'Opex Departments'!$B:$B,$C141,'Opex Departments'!$A:$A,$A141)</f>
        <v>0</v>
      </c>
      <c r="AX141" s="162">
        <f>SUMIFS('Opex Departments'!AL:AL,'Opex Departments'!$B:$B,$C141,'Opex Departments'!$A:$A,$A141)</f>
        <v>0</v>
      </c>
      <c r="AY141" s="162">
        <f>SUMIFS('Opex Departments'!AM:AM,'Opex Departments'!$B:$B,$C141,'Opex Departments'!$A:$A,$A141)</f>
        <v>0</v>
      </c>
      <c r="AZ141" s="162">
        <f>SUMIFS('Opex Departments'!AN:AN,'Opex Departments'!$B:$B,$C141,'Opex Departments'!$A:$A,$A141)</f>
        <v>0</v>
      </c>
      <c r="BA141" s="162">
        <f>SUMIFS('Opex Departments'!AO:AO,'Opex Departments'!$B:$B,$C141,'Opex Departments'!$A:$A,$A141)</f>
        <v>0</v>
      </c>
      <c r="BB141" s="162">
        <f>SUMIFS('Opex Departments'!AP:AP,'Opex Departments'!$B:$B,$C141,'Opex Departments'!$A:$A,$A141)</f>
        <v>0</v>
      </c>
      <c r="BC141" s="162">
        <f>SUMIFS('Opex Departments'!AQ:AQ,'Opex Departments'!$B:$B,$C141,'Opex Departments'!$A:$A,$A141)</f>
        <v>0</v>
      </c>
      <c r="BD141" s="162">
        <f>SUMIFS('Opex Departments'!AR:AR,'Opex Departments'!$B:$B,$C141,'Opex Departments'!$A:$A,$A141)</f>
        <v>0</v>
      </c>
      <c r="BE141" s="162">
        <f>SUMIFS('Opex Departments'!AS:AS,'Opex Departments'!$B:$B,$C141,'Opex Departments'!$A:$A,$A141)</f>
        <v>0</v>
      </c>
      <c r="BF141" s="162">
        <f>SUMIFS('Opex Departments'!AT:AT,'Opex Departments'!$B:$B,$C141,'Opex Departments'!$A:$A,$A141)</f>
        <v>0</v>
      </c>
      <c r="BG141" s="162">
        <f>SUMIFS('Opex Departments'!AU:AU,'Opex Departments'!$B:$B,$C141,'Opex Departments'!$A:$A,$A141)</f>
        <v>0</v>
      </c>
      <c r="BH141" s="162">
        <f>SUMIFS('Opex Departments'!AV:AV,'Opex Departments'!$B:$B,$C141,'Opex Departments'!$A:$A,$A141)</f>
        <v>0</v>
      </c>
      <c r="BI141" s="162">
        <f>SUMIFS('Opex Departments'!AW:AW,'Opex Departments'!$B:$B,$C141,'Opex Departments'!$A:$A,$A141)</f>
        <v>0</v>
      </c>
      <c r="BJ141" s="162">
        <f>SUMIFS('Opex Departments'!AX:AX,'Opex Departments'!$B:$B,$C141,'Opex Departments'!$A:$A,$A141)</f>
        <v>0</v>
      </c>
      <c r="BK141" s="162">
        <f>SUMIFS('Opex Departments'!AY:AY,'Opex Departments'!$B:$B,$C141,'Opex Departments'!$A:$A,$A141)</f>
        <v>0</v>
      </c>
      <c r="BL141" s="162">
        <f>SUMIFS('Opex Departments'!AZ:AZ,'Opex Departments'!$B:$B,$C141,'Opex Departments'!$A:$A,$A141)</f>
        <v>0</v>
      </c>
      <c r="BM141" s="162">
        <f>SUMIFS('Opex Departments'!BA:BA,'Opex Departments'!$B:$B,$C141,'Opex Departments'!$A:$A,$A141)</f>
        <v>0</v>
      </c>
      <c r="BN141" s="162">
        <f>SUMIFS('Opex Departments'!BB:BB,'Opex Departments'!$B:$B,$C141,'Opex Departments'!$A:$A,$A141)</f>
        <v>0</v>
      </c>
      <c r="BO141" s="162">
        <f>SUMIFS('Opex Departments'!BC:BC,'Opex Departments'!$B:$B,$C141,'Opex Departments'!$A:$A,$A141)</f>
        <v>0</v>
      </c>
      <c r="BP141" s="162">
        <f>SUMIFS('Opex Departments'!BD:BD,'Opex Departments'!$B:$B,$C141,'Opex Departments'!$A:$A,$A141)</f>
        <v>0</v>
      </c>
      <c r="BQ141" s="162">
        <f>SUMIFS('Opex Departments'!BE:BE,'Opex Departments'!$B:$B,$C141,'Opex Departments'!$A:$A,$A141)</f>
        <v>0</v>
      </c>
      <c r="BR141" s="162">
        <f>SUMIFS('Opex Departments'!BF:BF,'Opex Departments'!$B:$B,$C141,'Opex Departments'!$A:$A,$A141)</f>
        <v>0</v>
      </c>
      <c r="BS141" s="162">
        <f>SUMIFS('Opex Departments'!BG:BG,'Opex Departments'!$B:$B,$C141,'Opex Departments'!$A:$A,$A141)</f>
        <v>0</v>
      </c>
      <c r="BT141" s="162">
        <f>SUMIFS('Opex Departments'!BH:BH,'Opex Departments'!$B:$B,$C141,'Opex Departments'!$A:$A,$A141)</f>
        <v>0</v>
      </c>
      <c r="BU141" s="162">
        <f>SUMIFS('Opex Departments'!BI:BI,'Opex Departments'!$B:$B,$C141,'Opex Departments'!$A:$A,$A141)</f>
        <v>0</v>
      </c>
      <c r="BV141" s="162">
        <f>SUMIFS('Opex Departments'!BJ:BJ,'Opex Departments'!$B:$B,$C141,'Opex Departments'!$A:$A,$A141)</f>
        <v>0</v>
      </c>
      <c r="BW141" s="162">
        <f>SUMIFS('Opex Departments'!BK:BK,'Opex Departments'!$B:$B,$C141,'Opex Departments'!$A:$A,$A141)</f>
        <v>0</v>
      </c>
      <c r="BX141" s="162">
        <f>SUMIFS('Opex Departments'!BL:BL,'Opex Departments'!$B:$B,$C141,'Opex Departments'!$A:$A,$A141)</f>
        <v>0</v>
      </c>
      <c r="BY141" s="162">
        <f>SUMIFS('Opex Departments'!BM:BM,'Opex Departments'!$B:$B,$C141,'Opex Departments'!$A:$A,$A141)</f>
        <v>0</v>
      </c>
      <c r="BZ141" s="162">
        <f>SUMIFS('Opex Departments'!BN:BN,'Opex Departments'!$B:$B,$C141,'Opex Departments'!$A:$A,$A141)</f>
        <v>0</v>
      </c>
      <c r="CA141" s="162">
        <f>SUMIFS('Opex Departments'!BO:BO,'Opex Departments'!$B:$B,$C141,'Opex Departments'!$A:$A,$A141)</f>
        <v>0</v>
      </c>
      <c r="CB141" s="162">
        <f>SUMIFS('Opex Departments'!BP:BP,'Opex Departments'!$B:$B,$C141,'Opex Departments'!$A:$A,$A141)</f>
        <v>0</v>
      </c>
      <c r="CC141" s="162">
        <f>SUMIFS('Opex Departments'!BQ:BQ,'Opex Departments'!$B:$B,$C141,'Opex Departments'!$A:$A,$A141)</f>
        <v>0</v>
      </c>
      <c r="CD141" s="162">
        <f>SUMIFS('Opex Departments'!BR:BR,'Opex Departments'!$B:$B,$C141,'Opex Departments'!$A:$A,$A141)</f>
        <v>0</v>
      </c>
      <c r="CE141" s="162">
        <f>SUMIFS('Opex Departments'!BS:BS,'Opex Departments'!$B:$B,$C141,'Opex Departments'!$A:$A,$A141)</f>
        <v>0</v>
      </c>
      <c r="CF141" s="162">
        <f>SUMIFS('Opex Departments'!BT:BT,'Opex Departments'!$B:$B,$C141,'Opex Departments'!$A:$A,$A141)</f>
        <v>0</v>
      </c>
      <c r="CG141" s="162">
        <f>SUMIFS('Opex Departments'!BU:BU,'Opex Departments'!$B:$B,$C141,'Opex Departments'!$A:$A,$A141)</f>
        <v>0</v>
      </c>
      <c r="CH141" s="162">
        <f>SUMIFS('Opex Departments'!BV:BV,'Opex Departments'!$B:$B,$C141,'Opex Departments'!$A:$A,$A141)</f>
        <v>0</v>
      </c>
      <c r="CI141" s="162">
        <f>SUMIFS('Opex Departments'!BW:BW,'Opex Departments'!$B:$B,$C141,'Opex Departments'!$A:$A,$A141)</f>
        <v>0</v>
      </c>
      <c r="CJ141" s="162">
        <f>SUMIFS('Opex Departments'!BX:BX,'Opex Departments'!$B:$B,$C141,'Opex Departments'!$A:$A,$A141)</f>
        <v>0</v>
      </c>
      <c r="CK141" s="162">
        <f>SUMIFS('Opex Departments'!BY:BY,'Opex Departments'!$B:$B,$C141,'Opex Departments'!$A:$A,$A141)</f>
        <v>0</v>
      </c>
      <c r="CL141" s="162">
        <f>SUMIFS('Opex Departments'!BZ:BZ,'Opex Departments'!$B:$B,$C141,'Opex Departments'!$A:$A,$A141)</f>
        <v>0</v>
      </c>
      <c r="CM141" s="162">
        <f>SUMIFS('Opex Departments'!CA:CA,'Opex Departments'!$B:$B,$C141,'Opex Departments'!$A:$A,$A141)</f>
        <v>0</v>
      </c>
      <c r="CN141" s="162">
        <f>SUMIFS('Opex Departments'!CB:CB,'Opex Departments'!$B:$B,$C141,'Opex Departments'!$A:$A,$A141)</f>
        <v>0</v>
      </c>
      <c r="CO141" s="162">
        <f>SUMIFS('Opex Departments'!CC:CC,'Opex Departments'!$B:$B,$C141,'Opex Departments'!$A:$A,$A141)</f>
        <v>0</v>
      </c>
      <c r="CP141" s="162">
        <f>SUMIFS('Opex Departments'!CD:CD,'Opex Departments'!$B:$B,$C141,'Opex Departments'!$A:$A,$A141)</f>
        <v>0</v>
      </c>
      <c r="CQ141" s="162">
        <f>SUMIFS('Opex Departments'!CE:CE,'Opex Departments'!$B:$B,$C141,'Opex Departments'!$A:$A,$A141)</f>
        <v>0</v>
      </c>
      <c r="CR141" s="162">
        <f>SUMIFS('Opex Departments'!CF:CF,'Opex Departments'!$B:$B,$C141,'Opex Departments'!$A:$A,$A141)</f>
        <v>0</v>
      </c>
      <c r="CS141" s="162">
        <f>SUMIFS('Opex Departments'!CG:CG,'Opex Departments'!$B:$B,$C141,'Opex Departments'!$A:$A,$A141)</f>
        <v>0</v>
      </c>
      <c r="CT141" s="162">
        <f>SUMIFS('Opex Departments'!CH:CH,'Opex Departments'!$B:$B,$C141,'Opex Departments'!$A:$A,$A141)</f>
        <v>0</v>
      </c>
      <c r="CU141" s="162">
        <f>SUMIFS('Opex Departments'!CI:CI,'Opex Departments'!$B:$B,$C141,'Opex Departments'!$A:$A,$A141)</f>
        <v>0</v>
      </c>
      <c r="CV141" s="162"/>
      <c r="CW141" s="162"/>
      <c r="CX141" s="162"/>
      <c r="CY141" s="162"/>
      <c r="CZ141" s="162"/>
      <c r="DA141" s="162"/>
      <c r="DB141" s="162"/>
      <c r="DC141" s="162"/>
    </row>
    <row r="142" ht="15.75" customHeight="1">
      <c r="A142" s="144" t="s">
        <v>121</v>
      </c>
      <c r="B142" s="144"/>
      <c r="C142" s="144" t="s">
        <v>178</v>
      </c>
      <c r="D142" s="144"/>
      <c r="E142" s="144"/>
      <c r="F142" s="144"/>
      <c r="G142" s="144"/>
      <c r="H142" s="144"/>
      <c r="I142" s="144"/>
      <c r="J142" s="144"/>
      <c r="K142" s="144"/>
      <c r="L142" s="144"/>
      <c r="M142" s="144"/>
      <c r="N142" s="144"/>
      <c r="O142" s="144"/>
      <c r="P142" s="162" t="s">
        <v>272</v>
      </c>
      <c r="Q142" s="162" t="s">
        <v>272</v>
      </c>
      <c r="R142" s="162" t="s">
        <v>272</v>
      </c>
      <c r="S142" s="162" t="s">
        <v>272</v>
      </c>
      <c r="T142" s="162" t="s">
        <v>272</v>
      </c>
      <c r="U142" s="162" t="s">
        <v>272</v>
      </c>
      <c r="V142" s="162" t="s">
        <v>272</v>
      </c>
      <c r="W142" s="162" t="s">
        <v>272</v>
      </c>
      <c r="X142" s="162" t="s">
        <v>272</v>
      </c>
      <c r="Y142" s="162" t="s">
        <v>272</v>
      </c>
      <c r="Z142" s="162">
        <v>200.0</v>
      </c>
      <c r="AA142" s="162" t="s">
        <v>272</v>
      </c>
      <c r="AB142" s="162" t="s">
        <v>272</v>
      </c>
      <c r="AC142" s="162" t="s">
        <v>272</v>
      </c>
      <c r="AD142" s="162">
        <v>200.0</v>
      </c>
      <c r="AE142" s="162" t="s">
        <v>272</v>
      </c>
      <c r="AF142" s="162" t="s">
        <v>272</v>
      </c>
      <c r="AG142" s="162" t="s">
        <v>272</v>
      </c>
      <c r="AH142" s="162">
        <f>SUMIFS('Opex Departments'!V:V,'Opex Departments'!$B:$B,$C142,'Opex Departments'!$A:$A,$A142)</f>
        <v>2848</v>
      </c>
      <c r="AI142" s="162">
        <f>SUMIFS('Opex Departments'!W:W,'Opex Departments'!$B:$B,$C142,'Opex Departments'!$A:$A,$A142)</f>
        <v>3520</v>
      </c>
      <c r="AJ142" s="162">
        <f>SUMIFS('Opex Departments'!X:X,'Opex Departments'!$B:$B,$C142,'Opex Departments'!$A:$A,$A142)</f>
        <v>2751</v>
      </c>
      <c r="AK142" s="162">
        <f>SUMIFS('Opex Departments'!Y:Y,'Opex Departments'!$B:$B,$C142,'Opex Departments'!$A:$A,$A142)</f>
        <v>1521</v>
      </c>
      <c r="AL142" s="162">
        <f>SUMIFS('Opex Departments'!Z:Z,'Opex Departments'!$B:$B,$C142,'Opex Departments'!$A:$A,$A142)</f>
        <v>2048</v>
      </c>
      <c r="AM142" s="162">
        <f>SUMIFS('Opex Departments'!AA:AA,'Opex Departments'!$B:$B,$C142,'Opex Departments'!$A:$A,$A142)</f>
        <v>0</v>
      </c>
      <c r="AN142" s="162">
        <f>SUMIFS('Opex Departments'!AB:AB,'Opex Departments'!$B:$B,$C142,'Opex Departments'!$A:$A,$A142)</f>
        <v>0</v>
      </c>
      <c r="AO142" s="162">
        <f>SUMIFS('Opex Departments'!AC:AC,'Opex Departments'!$B:$B,$C142,'Opex Departments'!$A:$A,$A142)</f>
        <v>0</v>
      </c>
      <c r="AP142" s="162">
        <f>SUMIFS('Opex Departments'!AD:AD,'Opex Departments'!$B:$B,$C142,'Opex Departments'!$A:$A,$A142)</f>
        <v>0</v>
      </c>
      <c r="AQ142" s="162">
        <f>SUMIFS('Opex Departments'!AE:AE,'Opex Departments'!$B:$B,$C142,'Opex Departments'!$A:$A,$A142)</f>
        <v>0</v>
      </c>
      <c r="AR142" s="162">
        <f>SUMIFS('Opex Departments'!AF:AF,'Opex Departments'!$B:$B,$C142,'Opex Departments'!$A:$A,$A142)</f>
        <v>0</v>
      </c>
      <c r="AS142" s="162">
        <f>SUMIFS('Opex Departments'!AG:AG,'Opex Departments'!$B:$B,$C142,'Opex Departments'!$A:$A,$A142)</f>
        <v>0</v>
      </c>
      <c r="AT142" s="162">
        <f>SUMIFS('Opex Departments'!AH:AH,'Opex Departments'!$B:$B,$C142,'Opex Departments'!$A:$A,$A142)</f>
        <v>0</v>
      </c>
      <c r="AU142" s="162">
        <f>SUMIFS('Opex Departments'!AI:AI,'Opex Departments'!$B:$B,$C142,'Opex Departments'!$A:$A,$A142)</f>
        <v>0</v>
      </c>
      <c r="AV142" s="162">
        <f>SUMIFS('Opex Departments'!AJ:AJ,'Opex Departments'!$B:$B,$C142,'Opex Departments'!$A:$A,$A142)</f>
        <v>0</v>
      </c>
      <c r="AW142" s="162">
        <f>SUMIFS('Opex Departments'!AK:AK,'Opex Departments'!$B:$B,$C142,'Opex Departments'!$A:$A,$A142)</f>
        <v>0</v>
      </c>
      <c r="AX142" s="162">
        <f>SUMIFS('Opex Departments'!AL:AL,'Opex Departments'!$B:$B,$C142,'Opex Departments'!$A:$A,$A142)</f>
        <v>0</v>
      </c>
      <c r="AY142" s="162">
        <f>SUMIFS('Opex Departments'!AM:AM,'Opex Departments'!$B:$B,$C142,'Opex Departments'!$A:$A,$A142)</f>
        <v>0</v>
      </c>
      <c r="AZ142" s="162">
        <f>SUMIFS('Opex Departments'!AN:AN,'Opex Departments'!$B:$B,$C142,'Opex Departments'!$A:$A,$A142)</f>
        <v>0</v>
      </c>
      <c r="BA142" s="162">
        <f>SUMIFS('Opex Departments'!AO:AO,'Opex Departments'!$B:$B,$C142,'Opex Departments'!$A:$A,$A142)</f>
        <v>0</v>
      </c>
      <c r="BB142" s="162">
        <f>SUMIFS('Opex Departments'!AP:AP,'Opex Departments'!$B:$B,$C142,'Opex Departments'!$A:$A,$A142)</f>
        <v>0</v>
      </c>
      <c r="BC142" s="162">
        <f>SUMIFS('Opex Departments'!AQ:AQ,'Opex Departments'!$B:$B,$C142,'Opex Departments'!$A:$A,$A142)</f>
        <v>0</v>
      </c>
      <c r="BD142" s="162">
        <f>SUMIFS('Opex Departments'!AR:AR,'Opex Departments'!$B:$B,$C142,'Opex Departments'!$A:$A,$A142)</f>
        <v>0</v>
      </c>
      <c r="BE142" s="162">
        <f>SUMIFS('Opex Departments'!AS:AS,'Opex Departments'!$B:$B,$C142,'Opex Departments'!$A:$A,$A142)</f>
        <v>0</v>
      </c>
      <c r="BF142" s="162">
        <f>SUMIFS('Opex Departments'!AT:AT,'Opex Departments'!$B:$B,$C142,'Opex Departments'!$A:$A,$A142)</f>
        <v>0</v>
      </c>
      <c r="BG142" s="162">
        <f>SUMIFS('Opex Departments'!AU:AU,'Opex Departments'!$B:$B,$C142,'Opex Departments'!$A:$A,$A142)</f>
        <v>0</v>
      </c>
      <c r="BH142" s="162">
        <f>SUMIFS('Opex Departments'!AV:AV,'Opex Departments'!$B:$B,$C142,'Opex Departments'!$A:$A,$A142)</f>
        <v>0</v>
      </c>
      <c r="BI142" s="162">
        <f>SUMIFS('Opex Departments'!AW:AW,'Opex Departments'!$B:$B,$C142,'Opex Departments'!$A:$A,$A142)</f>
        <v>0</v>
      </c>
      <c r="BJ142" s="162">
        <f>SUMIFS('Opex Departments'!AX:AX,'Opex Departments'!$B:$B,$C142,'Opex Departments'!$A:$A,$A142)</f>
        <v>0</v>
      </c>
      <c r="BK142" s="162">
        <f>SUMIFS('Opex Departments'!AY:AY,'Opex Departments'!$B:$B,$C142,'Opex Departments'!$A:$A,$A142)</f>
        <v>0</v>
      </c>
      <c r="BL142" s="162">
        <f>SUMIFS('Opex Departments'!AZ:AZ,'Opex Departments'!$B:$B,$C142,'Opex Departments'!$A:$A,$A142)</f>
        <v>0</v>
      </c>
      <c r="BM142" s="162">
        <f>SUMIFS('Opex Departments'!BA:BA,'Opex Departments'!$B:$B,$C142,'Opex Departments'!$A:$A,$A142)</f>
        <v>0</v>
      </c>
      <c r="BN142" s="162">
        <f>SUMIFS('Opex Departments'!BB:BB,'Opex Departments'!$B:$B,$C142,'Opex Departments'!$A:$A,$A142)</f>
        <v>0</v>
      </c>
      <c r="BO142" s="162">
        <f>SUMIFS('Opex Departments'!BC:BC,'Opex Departments'!$B:$B,$C142,'Opex Departments'!$A:$A,$A142)</f>
        <v>0</v>
      </c>
      <c r="BP142" s="162">
        <f>SUMIFS('Opex Departments'!BD:BD,'Opex Departments'!$B:$B,$C142,'Opex Departments'!$A:$A,$A142)</f>
        <v>0</v>
      </c>
      <c r="BQ142" s="162">
        <f>SUMIFS('Opex Departments'!BE:BE,'Opex Departments'!$B:$B,$C142,'Opex Departments'!$A:$A,$A142)</f>
        <v>0</v>
      </c>
      <c r="BR142" s="162">
        <f>SUMIFS('Opex Departments'!BF:BF,'Opex Departments'!$B:$B,$C142,'Opex Departments'!$A:$A,$A142)</f>
        <v>0</v>
      </c>
      <c r="BS142" s="162">
        <f>SUMIFS('Opex Departments'!BG:BG,'Opex Departments'!$B:$B,$C142,'Opex Departments'!$A:$A,$A142)</f>
        <v>0</v>
      </c>
      <c r="BT142" s="162">
        <f>SUMIFS('Opex Departments'!BH:BH,'Opex Departments'!$B:$B,$C142,'Opex Departments'!$A:$A,$A142)</f>
        <v>0</v>
      </c>
      <c r="BU142" s="162">
        <f>SUMIFS('Opex Departments'!BI:BI,'Opex Departments'!$B:$B,$C142,'Opex Departments'!$A:$A,$A142)</f>
        <v>0</v>
      </c>
      <c r="BV142" s="162">
        <f>SUMIFS('Opex Departments'!BJ:BJ,'Opex Departments'!$B:$B,$C142,'Opex Departments'!$A:$A,$A142)</f>
        <v>0</v>
      </c>
      <c r="BW142" s="162">
        <f>SUMIFS('Opex Departments'!BK:BK,'Opex Departments'!$B:$B,$C142,'Opex Departments'!$A:$A,$A142)</f>
        <v>0</v>
      </c>
      <c r="BX142" s="162">
        <f>SUMIFS('Opex Departments'!BL:BL,'Opex Departments'!$B:$B,$C142,'Opex Departments'!$A:$A,$A142)</f>
        <v>0</v>
      </c>
      <c r="BY142" s="162">
        <f>SUMIFS('Opex Departments'!BM:BM,'Opex Departments'!$B:$B,$C142,'Opex Departments'!$A:$A,$A142)</f>
        <v>0</v>
      </c>
      <c r="BZ142" s="162">
        <f>SUMIFS('Opex Departments'!BN:BN,'Opex Departments'!$B:$B,$C142,'Opex Departments'!$A:$A,$A142)</f>
        <v>0</v>
      </c>
      <c r="CA142" s="162">
        <f>SUMIFS('Opex Departments'!BO:BO,'Opex Departments'!$B:$B,$C142,'Opex Departments'!$A:$A,$A142)</f>
        <v>0</v>
      </c>
      <c r="CB142" s="162">
        <f>SUMIFS('Opex Departments'!BP:BP,'Opex Departments'!$B:$B,$C142,'Opex Departments'!$A:$A,$A142)</f>
        <v>0</v>
      </c>
      <c r="CC142" s="162">
        <f>SUMIFS('Opex Departments'!BQ:BQ,'Opex Departments'!$B:$B,$C142,'Opex Departments'!$A:$A,$A142)</f>
        <v>0</v>
      </c>
      <c r="CD142" s="162">
        <f>SUMIFS('Opex Departments'!BR:BR,'Opex Departments'!$B:$B,$C142,'Opex Departments'!$A:$A,$A142)</f>
        <v>0</v>
      </c>
      <c r="CE142" s="162">
        <f>SUMIFS('Opex Departments'!BS:BS,'Opex Departments'!$B:$B,$C142,'Opex Departments'!$A:$A,$A142)</f>
        <v>0</v>
      </c>
      <c r="CF142" s="162">
        <f>SUMIFS('Opex Departments'!BT:BT,'Opex Departments'!$B:$B,$C142,'Opex Departments'!$A:$A,$A142)</f>
        <v>0</v>
      </c>
      <c r="CG142" s="162">
        <f>SUMIFS('Opex Departments'!BU:BU,'Opex Departments'!$B:$B,$C142,'Opex Departments'!$A:$A,$A142)</f>
        <v>0</v>
      </c>
      <c r="CH142" s="162">
        <f>SUMIFS('Opex Departments'!BV:BV,'Opex Departments'!$B:$B,$C142,'Opex Departments'!$A:$A,$A142)</f>
        <v>0</v>
      </c>
      <c r="CI142" s="162">
        <f>SUMIFS('Opex Departments'!BW:BW,'Opex Departments'!$B:$B,$C142,'Opex Departments'!$A:$A,$A142)</f>
        <v>0</v>
      </c>
      <c r="CJ142" s="162">
        <f>SUMIFS('Opex Departments'!BX:BX,'Opex Departments'!$B:$B,$C142,'Opex Departments'!$A:$A,$A142)</f>
        <v>0</v>
      </c>
      <c r="CK142" s="162">
        <f>SUMIFS('Opex Departments'!BY:BY,'Opex Departments'!$B:$B,$C142,'Opex Departments'!$A:$A,$A142)</f>
        <v>0</v>
      </c>
      <c r="CL142" s="162">
        <f>SUMIFS('Opex Departments'!BZ:BZ,'Opex Departments'!$B:$B,$C142,'Opex Departments'!$A:$A,$A142)</f>
        <v>0</v>
      </c>
      <c r="CM142" s="162">
        <f>SUMIFS('Opex Departments'!CA:CA,'Opex Departments'!$B:$B,$C142,'Opex Departments'!$A:$A,$A142)</f>
        <v>0</v>
      </c>
      <c r="CN142" s="162">
        <f>SUMIFS('Opex Departments'!CB:CB,'Opex Departments'!$B:$B,$C142,'Opex Departments'!$A:$A,$A142)</f>
        <v>0</v>
      </c>
      <c r="CO142" s="162">
        <f>SUMIFS('Opex Departments'!CC:CC,'Opex Departments'!$B:$B,$C142,'Opex Departments'!$A:$A,$A142)</f>
        <v>0</v>
      </c>
      <c r="CP142" s="162">
        <f>SUMIFS('Opex Departments'!CD:CD,'Opex Departments'!$B:$B,$C142,'Opex Departments'!$A:$A,$A142)</f>
        <v>0</v>
      </c>
      <c r="CQ142" s="162">
        <f>SUMIFS('Opex Departments'!CE:CE,'Opex Departments'!$B:$B,$C142,'Opex Departments'!$A:$A,$A142)</f>
        <v>0</v>
      </c>
      <c r="CR142" s="162">
        <f>SUMIFS('Opex Departments'!CF:CF,'Opex Departments'!$B:$B,$C142,'Opex Departments'!$A:$A,$A142)</f>
        <v>0</v>
      </c>
      <c r="CS142" s="162">
        <f>SUMIFS('Opex Departments'!CG:CG,'Opex Departments'!$B:$B,$C142,'Opex Departments'!$A:$A,$A142)</f>
        <v>0</v>
      </c>
      <c r="CT142" s="162">
        <f>SUMIFS('Opex Departments'!CH:CH,'Opex Departments'!$B:$B,$C142,'Opex Departments'!$A:$A,$A142)</f>
        <v>0</v>
      </c>
      <c r="CU142" s="162">
        <f>SUMIFS('Opex Departments'!CI:CI,'Opex Departments'!$B:$B,$C142,'Opex Departments'!$A:$A,$A142)</f>
        <v>0</v>
      </c>
      <c r="CV142" s="162"/>
      <c r="CW142" s="162"/>
      <c r="CX142" s="162"/>
      <c r="CY142" s="162"/>
      <c r="CZ142" s="162"/>
      <c r="DA142" s="162"/>
      <c r="DB142" s="162"/>
      <c r="DC142" s="162"/>
    </row>
    <row r="143" ht="15.75" customHeight="1">
      <c r="A143" s="144" t="s">
        <v>121</v>
      </c>
      <c r="B143" s="144"/>
      <c r="C143" s="176" t="s">
        <v>179</v>
      </c>
      <c r="D143" s="144"/>
      <c r="E143" s="144"/>
      <c r="F143" s="144"/>
      <c r="G143" s="144"/>
      <c r="H143" s="144"/>
      <c r="I143" s="144"/>
      <c r="J143" s="144"/>
      <c r="K143" s="144"/>
      <c r="L143" s="144"/>
      <c r="M143" s="144"/>
      <c r="N143" s="144"/>
      <c r="O143" s="144"/>
      <c r="P143" s="162" t="s">
        <v>272</v>
      </c>
      <c r="Q143" s="162" t="s">
        <v>272</v>
      </c>
      <c r="R143" s="162" t="s">
        <v>272</v>
      </c>
      <c r="S143" s="162" t="s">
        <v>272</v>
      </c>
      <c r="T143" s="162" t="s">
        <v>272</v>
      </c>
      <c r="U143" s="162" t="s">
        <v>272</v>
      </c>
      <c r="V143" s="162" t="s">
        <v>272</v>
      </c>
      <c r="W143" s="162" t="s">
        <v>272</v>
      </c>
      <c r="X143" s="162" t="s">
        <v>272</v>
      </c>
      <c r="Y143" s="162" t="s">
        <v>272</v>
      </c>
      <c r="Z143" s="162" t="s">
        <v>272</v>
      </c>
      <c r="AA143" s="162" t="s">
        <v>272</v>
      </c>
      <c r="AB143" s="162" t="s">
        <v>272</v>
      </c>
      <c r="AC143" s="162" t="s">
        <v>272</v>
      </c>
      <c r="AD143" s="162" t="s">
        <v>272</v>
      </c>
      <c r="AE143" s="162">
        <v>3239.0</v>
      </c>
      <c r="AF143" s="162">
        <v>1459.0</v>
      </c>
      <c r="AG143" s="162">
        <v>2335.0</v>
      </c>
      <c r="AH143" s="162">
        <f>SUMIFS('Opex Departments'!V:V,'Opex Departments'!$B:$B,$C143,'Opex Departments'!$A:$A,$A143)</f>
        <v>7200</v>
      </c>
      <c r="AI143" s="162">
        <f>SUMIFS('Opex Departments'!W:W,'Opex Departments'!$B:$B,$C143,'Opex Departments'!$A:$A,$A143)</f>
        <v>3436</v>
      </c>
      <c r="AJ143" s="162">
        <f>SUMIFS('Opex Departments'!X:X,'Opex Departments'!$B:$B,$C143,'Opex Departments'!$A:$A,$A143)</f>
        <v>6915</v>
      </c>
      <c r="AK143" s="162">
        <f>SUMIFS('Opex Departments'!Y:Y,'Opex Departments'!$B:$B,$C143,'Opex Departments'!$A:$A,$A143)</f>
        <v>9902</v>
      </c>
      <c r="AL143" s="162">
        <f>SUMIFS('Opex Departments'!Z:Z,'Opex Departments'!$B:$B,$C143,'Opex Departments'!$A:$A,$A143)</f>
        <v>7391</v>
      </c>
      <c r="AM143" s="162">
        <f>SUMIFS('Opex Departments'!AA:AA,'Opex Departments'!$B:$B,$C143,'Opex Departments'!$A:$A,$A143)</f>
        <v>5957.3</v>
      </c>
      <c r="AN143" s="162">
        <f>SUMIFS('Opex Departments'!AB:AB,'Opex Departments'!$B:$B,$C143,'Opex Departments'!$A:$A,$A143)</f>
        <v>3207</v>
      </c>
      <c r="AO143" s="162">
        <f>SUMIFS('Opex Departments'!AC:AC,'Opex Departments'!$B:$B,$C143,'Opex Departments'!$A:$A,$A143)</f>
        <v>1481.21628</v>
      </c>
      <c r="AP143" s="162">
        <f>SUMIFS('Opex Departments'!AD:AD,'Opex Departments'!$B:$B,$C143,'Opex Departments'!$A:$A,$A143)</f>
        <v>1496.028443</v>
      </c>
      <c r="AQ143" s="162">
        <f>SUMIFS('Opex Departments'!AE:AE,'Opex Departments'!$B:$B,$C143,'Opex Departments'!$A:$A,$A143)</f>
        <v>1510.988727</v>
      </c>
      <c r="AR143" s="162">
        <f>SUMIFS('Opex Departments'!AF:AF,'Opex Departments'!$B:$B,$C143,'Opex Departments'!$A:$A,$A143)</f>
        <v>12025</v>
      </c>
      <c r="AS143" s="162">
        <f>SUMIFS('Opex Departments'!AG:AG,'Opex Departments'!$B:$B,$C143,'Opex Departments'!$A:$A,$A143)</f>
        <v>1541.359601</v>
      </c>
      <c r="AT143" s="162">
        <f>SUMIFS('Opex Departments'!AH:AH,'Opex Departments'!$B:$B,$C143,'Opex Departments'!$A:$A,$A143)</f>
        <v>1556.773197</v>
      </c>
      <c r="AU143" s="162">
        <f>SUMIFS('Opex Departments'!AI:AI,'Opex Departments'!$B:$B,$C143,'Opex Departments'!$A:$A,$A143)</f>
        <v>1572.340929</v>
      </c>
      <c r="AV143" s="162">
        <f>SUMIFS('Opex Departments'!AJ:AJ,'Opex Departments'!$B:$B,$C143,'Opex Departments'!$A:$A,$A143)</f>
        <v>12350</v>
      </c>
      <c r="AW143" s="162">
        <f>SUMIFS('Opex Departments'!AK:AK,'Opex Departments'!$B:$B,$C143,'Opex Departments'!$A:$A,$A143)</f>
        <v>1603.944982</v>
      </c>
      <c r="AX143" s="162">
        <f>SUMIFS('Opex Departments'!AL:AL,'Opex Departments'!$B:$B,$C143,'Opex Departments'!$A:$A,$A143)</f>
        <v>1619.984431</v>
      </c>
      <c r="AY143" s="162">
        <f>SUMIFS('Opex Departments'!AM:AM,'Opex Departments'!$B:$B,$C143,'Opex Departments'!$A:$A,$A143)</f>
        <v>1636.184276</v>
      </c>
      <c r="AZ143" s="162">
        <f>SUMIFS('Opex Departments'!AN:AN,'Opex Departments'!$B:$B,$C143,'Opex Departments'!$A:$A,$A143)</f>
        <v>13065</v>
      </c>
      <c r="BA143" s="162">
        <f>SUMIFS('Opex Departments'!AO:AO,'Opex Departments'!$B:$B,$C143,'Opex Departments'!$A:$A,$A143)</f>
        <v>490.9034058</v>
      </c>
      <c r="BB143" s="162">
        <f>SUMIFS('Opex Departments'!AP:AP,'Opex Departments'!$B:$B,$C143,'Opex Departments'!$A:$A,$A143)</f>
        <v>495.8124398</v>
      </c>
      <c r="BC143" s="162">
        <f>SUMIFS('Opex Departments'!AQ:AQ,'Opex Departments'!$B:$B,$C143,'Opex Departments'!$A:$A,$A143)</f>
        <v>500.7705642</v>
      </c>
      <c r="BD143" s="162">
        <f>SUMIFS('Opex Departments'!AR:AR,'Opex Departments'!$B:$B,$C143,'Opex Departments'!$A:$A,$A143)</f>
        <v>13390</v>
      </c>
      <c r="BE143" s="162">
        <f>SUMIFS('Opex Departments'!AS:AS,'Opex Departments'!$B:$B,$C143,'Opex Departments'!$A:$A,$A143)</f>
        <v>510.8360526</v>
      </c>
      <c r="BF143" s="162">
        <f>SUMIFS('Opex Departments'!AT:AT,'Opex Departments'!$B:$B,$C143,'Opex Departments'!$A:$A,$A143)</f>
        <v>515.9444131</v>
      </c>
      <c r="BG143" s="162">
        <f>SUMIFS('Opex Departments'!AU:AU,'Opex Departments'!$B:$B,$C143,'Opex Departments'!$A:$A,$A143)</f>
        <v>521.1038572</v>
      </c>
      <c r="BH143" s="162">
        <f>SUMIFS('Opex Departments'!AV:AV,'Opex Departments'!$B:$B,$C143,'Opex Departments'!$A:$A,$A143)</f>
        <v>13715</v>
      </c>
      <c r="BI143" s="162">
        <f>SUMIFS('Opex Departments'!AW:AW,'Opex Departments'!$B:$B,$C143,'Opex Departments'!$A:$A,$A143)</f>
        <v>531.5780447</v>
      </c>
      <c r="BJ143" s="162">
        <f>SUMIFS('Opex Departments'!AX:AX,'Opex Departments'!$B:$B,$C143,'Opex Departments'!$A:$A,$A143)</f>
        <v>536.8938252</v>
      </c>
      <c r="BK143" s="162">
        <f>SUMIFS('Opex Departments'!AY:AY,'Opex Departments'!$B:$B,$C143,'Opex Departments'!$A:$A,$A143)</f>
        <v>542.2627634</v>
      </c>
      <c r="BL143" s="162">
        <f>SUMIFS('Opex Departments'!AZ:AZ,'Opex Departments'!$B:$B,$C143,'Opex Departments'!$A:$A,$A143)</f>
        <v>13975</v>
      </c>
      <c r="BM143" s="162">
        <f>SUMIFS('Opex Departments'!BA:BA,'Opex Departments'!$B:$B,$C143,'Opex Departments'!$A:$A,$A143)</f>
        <v>553.162245</v>
      </c>
      <c r="BN143" s="162">
        <f>SUMIFS('Opex Departments'!BB:BB,'Opex Departments'!$B:$B,$C143,'Opex Departments'!$A:$A,$A143)</f>
        <v>558.6938674</v>
      </c>
      <c r="BO143" s="162">
        <f>SUMIFS('Opex Departments'!BC:BC,'Opex Departments'!$B:$B,$C143,'Opex Departments'!$A:$A,$A143)</f>
        <v>564.2808061</v>
      </c>
      <c r="BP143" s="162">
        <f>SUMIFS('Opex Departments'!BD:BD,'Opex Departments'!$B:$B,$C143,'Opex Departments'!$A:$A,$A143)</f>
        <v>14625</v>
      </c>
      <c r="BQ143" s="162">
        <f>SUMIFS('Opex Departments'!BE:BE,'Opex Departments'!$B:$B,$C143,'Opex Departments'!$A:$A,$A143)</f>
        <v>575.6228503</v>
      </c>
      <c r="BR143" s="162">
        <f>SUMIFS('Opex Departments'!BF:BF,'Opex Departments'!$B:$B,$C143,'Opex Departments'!$A:$A,$A143)</f>
        <v>581.3790788</v>
      </c>
      <c r="BS143" s="162">
        <f>SUMIFS('Opex Departments'!BG:BG,'Opex Departments'!$B:$B,$C143,'Opex Departments'!$A:$A,$A143)</f>
        <v>587.1928696</v>
      </c>
      <c r="BT143" s="162">
        <f>SUMIFS('Opex Departments'!BH:BH,'Opex Departments'!$B:$B,$C143,'Opex Departments'!$A:$A,$A143)</f>
        <v>15080</v>
      </c>
      <c r="BU143" s="162">
        <f>SUMIFS('Opex Departments'!BI:BI,'Opex Departments'!$B:$B,$C143,'Opex Departments'!$A:$A,$A143)</f>
        <v>598.9954463</v>
      </c>
      <c r="BV143" s="162">
        <f>SUMIFS('Opex Departments'!BJ:BJ,'Opex Departments'!$B:$B,$C143,'Opex Departments'!$A:$A,$A143)</f>
        <v>604.9854008</v>
      </c>
      <c r="BW143" s="162">
        <f>SUMIFS('Opex Departments'!BK:BK,'Opex Departments'!$B:$B,$C143,'Opex Departments'!$A:$A,$A143)</f>
        <v>611.0352548</v>
      </c>
      <c r="BX143" s="162">
        <f>SUMIFS('Opex Departments'!BL:BL,'Opex Departments'!$B:$B,$C143,'Opex Departments'!$A:$A,$A143)</f>
        <v>15535</v>
      </c>
      <c r="BY143" s="162">
        <f>SUMIFS('Opex Departments'!BM:BM,'Opex Departments'!$B:$B,$C143,'Opex Departments'!$A:$A,$A143)</f>
        <v>623.3170634</v>
      </c>
      <c r="BZ143" s="162">
        <f>SUMIFS('Opex Departments'!BN:BN,'Opex Departments'!$B:$B,$C143,'Opex Departments'!$A:$A,$A143)</f>
        <v>629.550234</v>
      </c>
      <c r="CA143" s="162">
        <f>SUMIFS('Opex Departments'!BO:BO,'Opex Departments'!$B:$B,$C143,'Opex Departments'!$A:$A,$A143)</f>
        <v>635.8457364</v>
      </c>
      <c r="CB143" s="162">
        <f>SUMIFS('Opex Departments'!BP:BP,'Opex Departments'!$B:$B,$C143,'Opex Departments'!$A:$A,$A143)</f>
        <v>17420</v>
      </c>
      <c r="CC143" s="162">
        <f>SUMIFS('Opex Departments'!BQ:BQ,'Opex Departments'!$B:$B,$C143,'Opex Departments'!$A:$A,$A143)</f>
        <v>648.6262357</v>
      </c>
      <c r="CD143" s="162">
        <f>SUMIFS('Opex Departments'!BR:BR,'Opex Departments'!$B:$B,$C143,'Opex Departments'!$A:$A,$A143)</f>
        <v>655.112498</v>
      </c>
      <c r="CE143" s="162">
        <f>SUMIFS('Opex Departments'!BS:BS,'Opex Departments'!$B:$B,$C143,'Opex Departments'!$A:$A,$A143)</f>
        <v>661.663623</v>
      </c>
      <c r="CF143" s="162">
        <f>SUMIFS('Opex Departments'!BT:BT,'Opex Departments'!$B:$B,$C143,'Opex Departments'!$A:$A,$A143)</f>
        <v>17940</v>
      </c>
      <c r="CG143" s="162">
        <f>SUMIFS('Opex Departments'!BU:BU,'Opex Departments'!$B:$B,$C143,'Opex Departments'!$A:$A,$A143)</f>
        <v>674.9630618</v>
      </c>
      <c r="CH143" s="162">
        <f>SUMIFS('Opex Departments'!BV:BV,'Opex Departments'!$B:$B,$C143,'Opex Departments'!$A:$A,$A143)</f>
        <v>681.7126924</v>
      </c>
      <c r="CI143" s="162">
        <f>SUMIFS('Opex Departments'!BW:BW,'Opex Departments'!$B:$B,$C143,'Opex Departments'!$A:$A,$A143)</f>
        <v>688.5298194</v>
      </c>
      <c r="CJ143" s="162">
        <f>SUMIFS('Opex Departments'!BX:BX,'Opex Departments'!$B:$B,$C143,'Opex Departments'!$A:$A,$A143)</f>
        <v>18330</v>
      </c>
      <c r="CK143" s="162">
        <f>SUMIFS('Opex Departments'!BY:BY,'Opex Departments'!$B:$B,$C143,'Opex Departments'!$A:$A,$A143)</f>
        <v>702.3692687</v>
      </c>
      <c r="CL143" s="162">
        <f>SUMIFS('Opex Departments'!BZ:BZ,'Opex Departments'!$B:$B,$C143,'Opex Departments'!$A:$A,$A143)</f>
        <v>709.3929614</v>
      </c>
      <c r="CM143" s="162">
        <f>SUMIFS('Opex Departments'!CA:CA,'Opex Departments'!$B:$B,$C143,'Opex Departments'!$A:$A,$A143)</f>
        <v>716.486891</v>
      </c>
      <c r="CN143" s="162">
        <f>SUMIFS('Opex Departments'!CB:CB,'Opex Departments'!$B:$B,$C143,'Opex Departments'!$A:$A,$A143)</f>
        <v>18850</v>
      </c>
      <c r="CO143" s="162">
        <f>SUMIFS('Opex Departments'!CC:CC,'Opex Departments'!$B:$B,$C143,'Opex Departments'!$A:$A,$A143)</f>
        <v>730.8882775</v>
      </c>
      <c r="CP143" s="162">
        <f>SUMIFS('Opex Departments'!CD:CD,'Opex Departments'!$B:$B,$C143,'Opex Departments'!$A:$A,$A143)</f>
        <v>738.1971603</v>
      </c>
      <c r="CQ143" s="162">
        <f>SUMIFS('Opex Departments'!CE:CE,'Opex Departments'!$B:$B,$C143,'Opex Departments'!$A:$A,$A143)</f>
        <v>745.5791319</v>
      </c>
      <c r="CR143" s="162">
        <f>SUMIFS('Opex Departments'!CF:CF,'Opex Departments'!$B:$B,$C143,'Opex Departments'!$A:$A,$A143)</f>
        <v>19110</v>
      </c>
      <c r="CS143" s="162">
        <f>SUMIFS('Opex Departments'!CG:CG,'Opex Departments'!$B:$B,$C143,'Opex Departments'!$A:$A,$A143)</f>
        <v>760.5652725</v>
      </c>
      <c r="CT143" s="162">
        <f>SUMIFS('Opex Departments'!CH:CH,'Opex Departments'!$B:$B,$C143,'Opex Departments'!$A:$A,$A143)</f>
        <v>768.1709252</v>
      </c>
      <c r="CU143" s="162">
        <f>SUMIFS('Opex Departments'!CI:CI,'Opex Departments'!$B:$B,$C143,'Opex Departments'!$A:$A,$A143)</f>
        <v>775.8526344</v>
      </c>
      <c r="CV143" s="162"/>
      <c r="CW143" s="162"/>
      <c r="CX143" s="162"/>
      <c r="CY143" s="162"/>
      <c r="CZ143" s="162"/>
      <c r="DA143" s="162"/>
      <c r="DB143" s="162"/>
      <c r="DC143" s="162"/>
    </row>
    <row r="144" ht="15.75" customHeight="1">
      <c r="A144" s="144" t="s">
        <v>121</v>
      </c>
      <c r="B144" s="144"/>
      <c r="C144" s="176" t="s">
        <v>72</v>
      </c>
      <c r="D144" s="144"/>
      <c r="E144" s="144"/>
      <c r="F144" s="144"/>
      <c r="G144" s="144"/>
      <c r="H144" s="144"/>
      <c r="I144" s="144"/>
      <c r="J144" s="144"/>
      <c r="K144" s="144"/>
      <c r="L144" s="144"/>
      <c r="M144" s="144"/>
      <c r="N144" s="144"/>
      <c r="O144" s="144"/>
      <c r="P144" s="162" t="s">
        <v>272</v>
      </c>
      <c r="Q144" s="162" t="s">
        <v>272</v>
      </c>
      <c r="R144" s="162" t="s">
        <v>272</v>
      </c>
      <c r="S144" s="162" t="s">
        <v>272</v>
      </c>
      <c r="T144" s="162" t="s">
        <v>272</v>
      </c>
      <c r="U144" s="162" t="s">
        <v>272</v>
      </c>
      <c r="V144" s="162" t="s">
        <v>272</v>
      </c>
      <c r="W144" s="162" t="s">
        <v>272</v>
      </c>
      <c r="X144" s="162" t="s">
        <v>272</v>
      </c>
      <c r="Y144" s="162" t="s">
        <v>272</v>
      </c>
      <c r="Z144" s="162" t="s">
        <v>272</v>
      </c>
      <c r="AA144" s="162" t="s">
        <v>272</v>
      </c>
      <c r="AB144" s="162" t="s">
        <v>272</v>
      </c>
      <c r="AC144" s="162" t="s">
        <v>272</v>
      </c>
      <c r="AD144" s="162" t="s">
        <v>272</v>
      </c>
      <c r="AE144" s="162" t="s">
        <v>272</v>
      </c>
      <c r="AF144" s="162" t="s">
        <v>272</v>
      </c>
      <c r="AG144" s="162" t="s">
        <v>272</v>
      </c>
      <c r="AH144" s="162">
        <f>SUMIFS('Opex Departments'!V:V,'Opex Departments'!$B:$B,$C144,'Opex Departments'!$A:$A,$A144)</f>
        <v>0</v>
      </c>
      <c r="AI144" s="162">
        <f>SUMIFS('Opex Departments'!W:W,'Opex Departments'!$B:$B,$C144,'Opex Departments'!$A:$A,$A144)</f>
        <v>0</v>
      </c>
      <c r="AJ144" s="162">
        <f>SUMIFS('Opex Departments'!X:X,'Opex Departments'!$B:$B,$C144,'Opex Departments'!$A:$A,$A144)</f>
        <v>0</v>
      </c>
      <c r="AK144" s="162">
        <f>SUMIFS('Opex Departments'!Y:Y,'Opex Departments'!$B:$B,$C144,'Opex Departments'!$A:$A,$A144)</f>
        <v>0</v>
      </c>
      <c r="AL144" s="162">
        <f>SUMIFS('Opex Departments'!Z:Z,'Opex Departments'!$B:$B,$C144,'Opex Departments'!$A:$A,$A144)</f>
        <v>0</v>
      </c>
      <c r="AM144" s="162">
        <f>SUMIFS('Opex Departments'!AA:AA,'Opex Departments'!$B:$B,$C144,'Opex Departments'!$A:$A,$A144)</f>
        <v>0</v>
      </c>
      <c r="AN144" s="162">
        <f>SUMIFS('Opex Departments'!AB:AB,'Opex Departments'!$B:$B,$C144,'Opex Departments'!$A:$A,$A144)</f>
        <v>0</v>
      </c>
      <c r="AO144" s="162">
        <f>SUMIFS('Opex Departments'!AC:AC,'Opex Departments'!$B:$B,$C144,'Opex Departments'!$A:$A,$A144)</f>
        <v>0</v>
      </c>
      <c r="AP144" s="162">
        <f>SUMIFS('Opex Departments'!AD:AD,'Opex Departments'!$B:$B,$C144,'Opex Departments'!$A:$A,$A144)</f>
        <v>0</v>
      </c>
      <c r="AQ144" s="162">
        <f>SUMIFS('Opex Departments'!AE:AE,'Opex Departments'!$B:$B,$C144,'Opex Departments'!$A:$A,$A144)</f>
        <v>0</v>
      </c>
      <c r="AR144" s="162">
        <f>SUMIFS('Opex Departments'!AF:AF,'Opex Departments'!$B:$B,$C144,'Opex Departments'!$A:$A,$A144)</f>
        <v>0</v>
      </c>
      <c r="AS144" s="162">
        <f>SUMIFS('Opex Departments'!AG:AG,'Opex Departments'!$B:$B,$C144,'Opex Departments'!$A:$A,$A144)</f>
        <v>0</v>
      </c>
      <c r="AT144" s="162">
        <f>SUMIFS('Opex Departments'!AH:AH,'Opex Departments'!$B:$B,$C144,'Opex Departments'!$A:$A,$A144)</f>
        <v>0</v>
      </c>
      <c r="AU144" s="162">
        <f>SUMIFS('Opex Departments'!AI:AI,'Opex Departments'!$B:$B,$C144,'Opex Departments'!$A:$A,$A144)</f>
        <v>0</v>
      </c>
      <c r="AV144" s="162">
        <f>SUMIFS('Opex Departments'!AJ:AJ,'Opex Departments'!$B:$B,$C144,'Opex Departments'!$A:$A,$A144)</f>
        <v>0</v>
      </c>
      <c r="AW144" s="162">
        <f>SUMIFS('Opex Departments'!AK:AK,'Opex Departments'!$B:$B,$C144,'Opex Departments'!$A:$A,$A144)</f>
        <v>0</v>
      </c>
      <c r="AX144" s="162">
        <f>SUMIFS('Opex Departments'!AL:AL,'Opex Departments'!$B:$B,$C144,'Opex Departments'!$A:$A,$A144)</f>
        <v>0</v>
      </c>
      <c r="AY144" s="162">
        <f>SUMIFS('Opex Departments'!AM:AM,'Opex Departments'!$B:$B,$C144,'Opex Departments'!$A:$A,$A144)</f>
        <v>0</v>
      </c>
      <c r="AZ144" s="162">
        <f>SUMIFS('Opex Departments'!AN:AN,'Opex Departments'!$B:$B,$C144,'Opex Departments'!$A:$A,$A144)</f>
        <v>0</v>
      </c>
      <c r="BA144" s="162">
        <f>SUMIFS('Opex Departments'!AO:AO,'Opex Departments'!$B:$B,$C144,'Opex Departments'!$A:$A,$A144)</f>
        <v>0</v>
      </c>
      <c r="BB144" s="162">
        <f>SUMIFS('Opex Departments'!AP:AP,'Opex Departments'!$B:$B,$C144,'Opex Departments'!$A:$A,$A144)</f>
        <v>0</v>
      </c>
      <c r="BC144" s="162">
        <f>SUMIFS('Opex Departments'!AQ:AQ,'Opex Departments'!$B:$B,$C144,'Opex Departments'!$A:$A,$A144)</f>
        <v>0</v>
      </c>
      <c r="BD144" s="162">
        <f>SUMIFS('Opex Departments'!AR:AR,'Opex Departments'!$B:$B,$C144,'Opex Departments'!$A:$A,$A144)</f>
        <v>0</v>
      </c>
      <c r="BE144" s="162">
        <f>SUMIFS('Opex Departments'!AS:AS,'Opex Departments'!$B:$B,$C144,'Opex Departments'!$A:$A,$A144)</f>
        <v>0</v>
      </c>
      <c r="BF144" s="162">
        <f>SUMIFS('Opex Departments'!AT:AT,'Opex Departments'!$B:$B,$C144,'Opex Departments'!$A:$A,$A144)</f>
        <v>0</v>
      </c>
      <c r="BG144" s="162">
        <f>SUMIFS('Opex Departments'!AU:AU,'Opex Departments'!$B:$B,$C144,'Opex Departments'!$A:$A,$A144)</f>
        <v>0</v>
      </c>
      <c r="BH144" s="162">
        <f>SUMIFS('Opex Departments'!AV:AV,'Opex Departments'!$B:$B,$C144,'Opex Departments'!$A:$A,$A144)</f>
        <v>0</v>
      </c>
      <c r="BI144" s="162">
        <f>SUMIFS('Opex Departments'!AW:AW,'Opex Departments'!$B:$B,$C144,'Opex Departments'!$A:$A,$A144)</f>
        <v>0</v>
      </c>
      <c r="BJ144" s="162">
        <f>SUMIFS('Opex Departments'!AX:AX,'Opex Departments'!$B:$B,$C144,'Opex Departments'!$A:$A,$A144)</f>
        <v>0</v>
      </c>
      <c r="BK144" s="162">
        <f>SUMIFS('Opex Departments'!AY:AY,'Opex Departments'!$B:$B,$C144,'Opex Departments'!$A:$A,$A144)</f>
        <v>0</v>
      </c>
      <c r="BL144" s="162">
        <f>SUMIFS('Opex Departments'!AZ:AZ,'Opex Departments'!$B:$B,$C144,'Opex Departments'!$A:$A,$A144)</f>
        <v>0</v>
      </c>
      <c r="BM144" s="162">
        <f>SUMIFS('Opex Departments'!BA:BA,'Opex Departments'!$B:$B,$C144,'Opex Departments'!$A:$A,$A144)</f>
        <v>0</v>
      </c>
      <c r="BN144" s="162">
        <f>SUMIFS('Opex Departments'!BB:BB,'Opex Departments'!$B:$B,$C144,'Opex Departments'!$A:$A,$A144)</f>
        <v>0</v>
      </c>
      <c r="BO144" s="162">
        <f>SUMIFS('Opex Departments'!BC:BC,'Opex Departments'!$B:$B,$C144,'Opex Departments'!$A:$A,$A144)</f>
        <v>0</v>
      </c>
      <c r="BP144" s="162">
        <f>SUMIFS('Opex Departments'!BD:BD,'Opex Departments'!$B:$B,$C144,'Opex Departments'!$A:$A,$A144)</f>
        <v>0</v>
      </c>
      <c r="BQ144" s="162">
        <f>SUMIFS('Opex Departments'!BE:BE,'Opex Departments'!$B:$B,$C144,'Opex Departments'!$A:$A,$A144)</f>
        <v>0</v>
      </c>
      <c r="BR144" s="162">
        <f>SUMIFS('Opex Departments'!BF:BF,'Opex Departments'!$B:$B,$C144,'Opex Departments'!$A:$A,$A144)</f>
        <v>0</v>
      </c>
      <c r="BS144" s="162">
        <f>SUMIFS('Opex Departments'!BG:BG,'Opex Departments'!$B:$B,$C144,'Opex Departments'!$A:$A,$A144)</f>
        <v>0</v>
      </c>
      <c r="BT144" s="162">
        <f>SUMIFS('Opex Departments'!BH:BH,'Opex Departments'!$B:$B,$C144,'Opex Departments'!$A:$A,$A144)</f>
        <v>0</v>
      </c>
      <c r="BU144" s="162">
        <f>SUMIFS('Opex Departments'!BI:BI,'Opex Departments'!$B:$B,$C144,'Opex Departments'!$A:$A,$A144)</f>
        <v>0</v>
      </c>
      <c r="BV144" s="162">
        <f>SUMIFS('Opex Departments'!BJ:BJ,'Opex Departments'!$B:$B,$C144,'Opex Departments'!$A:$A,$A144)</f>
        <v>0</v>
      </c>
      <c r="BW144" s="162">
        <f>SUMIFS('Opex Departments'!BK:BK,'Opex Departments'!$B:$B,$C144,'Opex Departments'!$A:$A,$A144)</f>
        <v>0</v>
      </c>
      <c r="BX144" s="162">
        <f>SUMIFS('Opex Departments'!BL:BL,'Opex Departments'!$B:$B,$C144,'Opex Departments'!$A:$A,$A144)</f>
        <v>0</v>
      </c>
      <c r="BY144" s="162">
        <f>SUMIFS('Opex Departments'!BM:BM,'Opex Departments'!$B:$B,$C144,'Opex Departments'!$A:$A,$A144)</f>
        <v>0</v>
      </c>
      <c r="BZ144" s="162">
        <f>SUMIFS('Opex Departments'!BN:BN,'Opex Departments'!$B:$B,$C144,'Opex Departments'!$A:$A,$A144)</f>
        <v>0</v>
      </c>
      <c r="CA144" s="162">
        <f>SUMIFS('Opex Departments'!BO:BO,'Opex Departments'!$B:$B,$C144,'Opex Departments'!$A:$A,$A144)</f>
        <v>0</v>
      </c>
      <c r="CB144" s="162">
        <f>SUMIFS('Opex Departments'!BP:BP,'Opex Departments'!$B:$B,$C144,'Opex Departments'!$A:$A,$A144)</f>
        <v>0</v>
      </c>
      <c r="CC144" s="162">
        <f>SUMIFS('Opex Departments'!BQ:BQ,'Opex Departments'!$B:$B,$C144,'Opex Departments'!$A:$A,$A144)</f>
        <v>0</v>
      </c>
      <c r="CD144" s="162">
        <f>SUMIFS('Opex Departments'!BR:BR,'Opex Departments'!$B:$B,$C144,'Opex Departments'!$A:$A,$A144)</f>
        <v>0</v>
      </c>
      <c r="CE144" s="162">
        <f>SUMIFS('Opex Departments'!BS:BS,'Opex Departments'!$B:$B,$C144,'Opex Departments'!$A:$A,$A144)</f>
        <v>0</v>
      </c>
      <c r="CF144" s="162">
        <f>SUMIFS('Opex Departments'!BT:BT,'Opex Departments'!$B:$B,$C144,'Opex Departments'!$A:$A,$A144)</f>
        <v>0</v>
      </c>
      <c r="CG144" s="162">
        <f>SUMIFS('Opex Departments'!BU:BU,'Opex Departments'!$B:$B,$C144,'Opex Departments'!$A:$A,$A144)</f>
        <v>0</v>
      </c>
      <c r="CH144" s="162">
        <f>SUMIFS('Opex Departments'!BV:BV,'Opex Departments'!$B:$B,$C144,'Opex Departments'!$A:$A,$A144)</f>
        <v>0</v>
      </c>
      <c r="CI144" s="162">
        <f>SUMIFS('Opex Departments'!BW:BW,'Opex Departments'!$B:$B,$C144,'Opex Departments'!$A:$A,$A144)</f>
        <v>0</v>
      </c>
      <c r="CJ144" s="162">
        <f>SUMIFS('Opex Departments'!BX:BX,'Opex Departments'!$B:$B,$C144,'Opex Departments'!$A:$A,$A144)</f>
        <v>0</v>
      </c>
      <c r="CK144" s="162">
        <f>SUMIFS('Opex Departments'!BY:BY,'Opex Departments'!$B:$B,$C144,'Opex Departments'!$A:$A,$A144)</f>
        <v>0</v>
      </c>
      <c r="CL144" s="162">
        <f>SUMIFS('Opex Departments'!BZ:BZ,'Opex Departments'!$B:$B,$C144,'Opex Departments'!$A:$A,$A144)</f>
        <v>0</v>
      </c>
      <c r="CM144" s="162">
        <f>SUMIFS('Opex Departments'!CA:CA,'Opex Departments'!$B:$B,$C144,'Opex Departments'!$A:$A,$A144)</f>
        <v>0</v>
      </c>
      <c r="CN144" s="162">
        <f>SUMIFS('Opex Departments'!CB:CB,'Opex Departments'!$B:$B,$C144,'Opex Departments'!$A:$A,$A144)</f>
        <v>0</v>
      </c>
      <c r="CO144" s="162">
        <f>SUMIFS('Opex Departments'!CC:CC,'Opex Departments'!$B:$B,$C144,'Opex Departments'!$A:$A,$A144)</f>
        <v>0</v>
      </c>
      <c r="CP144" s="162">
        <f>SUMIFS('Opex Departments'!CD:CD,'Opex Departments'!$B:$B,$C144,'Opex Departments'!$A:$A,$A144)</f>
        <v>0</v>
      </c>
      <c r="CQ144" s="162">
        <f>SUMIFS('Opex Departments'!CE:CE,'Opex Departments'!$B:$B,$C144,'Opex Departments'!$A:$A,$A144)</f>
        <v>0</v>
      </c>
      <c r="CR144" s="162">
        <f>SUMIFS('Opex Departments'!CF:CF,'Opex Departments'!$B:$B,$C144,'Opex Departments'!$A:$A,$A144)</f>
        <v>0</v>
      </c>
      <c r="CS144" s="162">
        <f>SUMIFS('Opex Departments'!CG:CG,'Opex Departments'!$B:$B,$C144,'Opex Departments'!$A:$A,$A144)</f>
        <v>0</v>
      </c>
      <c r="CT144" s="162">
        <f>SUMIFS('Opex Departments'!CH:CH,'Opex Departments'!$B:$B,$C144,'Opex Departments'!$A:$A,$A144)</f>
        <v>0</v>
      </c>
      <c r="CU144" s="162">
        <f>SUMIFS('Opex Departments'!CI:CI,'Opex Departments'!$B:$B,$C144,'Opex Departments'!$A:$A,$A144)</f>
        <v>0</v>
      </c>
      <c r="CV144" s="162"/>
      <c r="CW144" s="162"/>
      <c r="CX144" s="162"/>
      <c r="CY144" s="162"/>
      <c r="CZ144" s="162"/>
      <c r="DA144" s="162"/>
      <c r="DB144" s="162"/>
      <c r="DC144" s="162"/>
    </row>
    <row r="145" ht="15.75" customHeight="1">
      <c r="A145" s="144"/>
      <c r="B145" s="144"/>
      <c r="C145" s="145" t="s">
        <v>275</v>
      </c>
      <c r="D145" s="144"/>
      <c r="E145" s="144"/>
      <c r="F145" s="144"/>
      <c r="G145" s="144"/>
      <c r="H145" s="144"/>
      <c r="I145" s="144"/>
      <c r="J145" s="144"/>
      <c r="K145" s="144"/>
      <c r="L145" s="144"/>
      <c r="M145" s="144"/>
      <c r="N145" s="144"/>
      <c r="O145" s="144"/>
      <c r="P145" s="177" t="s">
        <v>272</v>
      </c>
      <c r="Q145" s="177" t="s">
        <v>272</v>
      </c>
      <c r="R145" s="177" t="s">
        <v>272</v>
      </c>
      <c r="S145" s="177" t="s">
        <v>272</v>
      </c>
      <c r="T145" s="177" t="s">
        <v>272</v>
      </c>
      <c r="U145" s="177">
        <v>27296.0</v>
      </c>
      <c r="V145" s="177">
        <v>16879.0</v>
      </c>
      <c r="W145" s="177">
        <v>17211.0</v>
      </c>
      <c r="X145" s="177">
        <v>13259.0</v>
      </c>
      <c r="Y145" s="177">
        <v>17142.0</v>
      </c>
      <c r="Z145" s="177">
        <v>28829.0</v>
      </c>
      <c r="AA145" s="177">
        <v>37827.0</v>
      </c>
      <c r="AB145" s="177">
        <v>37405.0</v>
      </c>
      <c r="AC145" s="177">
        <v>40282.0</v>
      </c>
      <c r="AD145" s="177">
        <v>66530.0</v>
      </c>
      <c r="AE145" s="177">
        <v>76484.0</v>
      </c>
      <c r="AF145" s="177">
        <v>70095.0</v>
      </c>
      <c r="AG145" s="177">
        <v>72286.0</v>
      </c>
      <c r="AH145" s="177">
        <f t="shared" ref="AH145:CU145" si="89">SUM(AH136:AH144)</f>
        <v>30421</v>
      </c>
      <c r="AI145" s="177">
        <f t="shared" si="89"/>
        <v>34524</v>
      </c>
      <c r="AJ145" s="177">
        <f t="shared" si="89"/>
        <v>39105</v>
      </c>
      <c r="AK145" s="177">
        <f t="shared" si="89"/>
        <v>37315</v>
      </c>
      <c r="AL145" s="177">
        <f t="shared" si="89"/>
        <v>38005</v>
      </c>
      <c r="AM145" s="177">
        <f t="shared" si="89"/>
        <v>38522.89032</v>
      </c>
      <c r="AN145" s="177">
        <f t="shared" si="89"/>
        <v>37545.24261</v>
      </c>
      <c r="AO145" s="177">
        <f t="shared" si="89"/>
        <v>32748.96177</v>
      </c>
      <c r="AP145" s="177">
        <f t="shared" si="89"/>
        <v>34556.36245</v>
      </c>
      <c r="AQ145" s="177">
        <f t="shared" si="89"/>
        <v>70642.70942</v>
      </c>
      <c r="AR145" s="177">
        <f t="shared" si="89"/>
        <v>82976.49817</v>
      </c>
      <c r="AS145" s="177">
        <f t="shared" si="89"/>
        <v>73054.90492</v>
      </c>
      <c r="AT145" s="177">
        <f t="shared" si="89"/>
        <v>72975.67326</v>
      </c>
      <c r="AU145" s="177">
        <f t="shared" si="89"/>
        <v>110244.5693</v>
      </c>
      <c r="AV145" s="177">
        <f t="shared" si="89"/>
        <v>125637.0165</v>
      </c>
      <c r="AW145" s="177">
        <f t="shared" si="89"/>
        <v>114842.3643</v>
      </c>
      <c r="AX145" s="177">
        <f t="shared" si="89"/>
        <v>152249.7469</v>
      </c>
      <c r="AY145" s="177">
        <f t="shared" si="89"/>
        <v>152301.5843</v>
      </c>
      <c r="AZ145" s="177">
        <f t="shared" si="89"/>
        <v>169327.2578</v>
      </c>
      <c r="BA145" s="177">
        <f t="shared" si="89"/>
        <v>156752.824</v>
      </c>
      <c r="BB145" s="177">
        <f t="shared" si="89"/>
        <v>156765.3462</v>
      </c>
      <c r="BC145" s="177">
        <f t="shared" si="89"/>
        <v>156767.9819</v>
      </c>
      <c r="BD145" s="177">
        <f t="shared" si="89"/>
        <v>175494.3294</v>
      </c>
      <c r="BE145" s="177">
        <f t="shared" si="89"/>
        <v>162617.5232</v>
      </c>
      <c r="BF145" s="177">
        <f t="shared" si="89"/>
        <v>162623.1883</v>
      </c>
      <c r="BG145" s="177">
        <f t="shared" si="89"/>
        <v>162629.8845</v>
      </c>
      <c r="BH145" s="177">
        <f t="shared" si="89"/>
        <v>181918.1719</v>
      </c>
      <c r="BI145" s="177">
        <f t="shared" si="89"/>
        <v>168735.9563</v>
      </c>
      <c r="BJ145" s="177">
        <f t="shared" si="89"/>
        <v>168742.7019</v>
      </c>
      <c r="BK145" s="177">
        <f t="shared" si="89"/>
        <v>168749.4636</v>
      </c>
      <c r="BL145" s="177">
        <f t="shared" si="89"/>
        <v>188555.2028</v>
      </c>
      <c r="BM145" s="177">
        <f t="shared" si="89"/>
        <v>175134.7723</v>
      </c>
      <c r="BN145" s="177">
        <f t="shared" si="89"/>
        <v>175141.7032</v>
      </c>
      <c r="BO145" s="177">
        <f t="shared" si="89"/>
        <v>175148.6916</v>
      </c>
      <c r="BP145" s="177">
        <f t="shared" si="89"/>
        <v>195834.9392</v>
      </c>
      <c r="BQ145" s="177">
        <f t="shared" si="89"/>
        <v>181786.9819</v>
      </c>
      <c r="BR145" s="177">
        <f t="shared" si="89"/>
        <v>225566.5813</v>
      </c>
      <c r="BS145" s="177">
        <f t="shared" si="89"/>
        <v>225573.8306</v>
      </c>
      <c r="BT145" s="177">
        <f t="shared" si="89"/>
        <v>248705.6521</v>
      </c>
      <c r="BU145" s="177">
        <f t="shared" si="89"/>
        <v>234226.0965</v>
      </c>
      <c r="BV145" s="177">
        <f t="shared" si="89"/>
        <v>234233.543</v>
      </c>
      <c r="BW145" s="177">
        <f t="shared" si="89"/>
        <v>234241.0564</v>
      </c>
      <c r="BX145" s="177">
        <f t="shared" si="89"/>
        <v>258088.3677</v>
      </c>
      <c r="BY145" s="177">
        <f t="shared" si="89"/>
        <v>243178.1631</v>
      </c>
      <c r="BZ145" s="177">
        <f t="shared" si="89"/>
        <v>243185.8819</v>
      </c>
      <c r="CA145" s="177">
        <f t="shared" si="89"/>
        <v>243193.6705</v>
      </c>
      <c r="CB145" s="177">
        <f t="shared" si="89"/>
        <v>314781.3411</v>
      </c>
      <c r="CC145" s="177">
        <f t="shared" si="89"/>
        <v>298011.4755</v>
      </c>
      <c r="CD145" s="177">
        <f t="shared" si="89"/>
        <v>298019.4774</v>
      </c>
      <c r="CE145" s="177">
        <f t="shared" si="89"/>
        <v>298027.5517</v>
      </c>
      <c r="CF145" s="177">
        <f t="shared" si="89"/>
        <v>326778.1542</v>
      </c>
      <c r="CG145" s="177">
        <f t="shared" si="89"/>
        <v>309514.6557</v>
      </c>
      <c r="CH145" s="177">
        <f t="shared" si="89"/>
        <v>309522.9515</v>
      </c>
      <c r="CI145" s="177">
        <f t="shared" si="89"/>
        <v>309531.3225</v>
      </c>
      <c r="CJ145" s="177">
        <f t="shared" si="89"/>
        <v>339103.871</v>
      </c>
      <c r="CK145" s="177">
        <f t="shared" si="89"/>
        <v>321477.8098</v>
      </c>
      <c r="CL145" s="177">
        <f t="shared" si="89"/>
        <v>321486.4108</v>
      </c>
      <c r="CM145" s="177">
        <f t="shared" si="89"/>
        <v>321495.09</v>
      </c>
      <c r="CN145" s="177">
        <f t="shared" si="89"/>
        <v>352036.8455</v>
      </c>
      <c r="CO145" s="177">
        <f t="shared" si="89"/>
        <v>333919.3349</v>
      </c>
      <c r="CP145" s="177">
        <f t="shared" si="89"/>
        <v>333928.2529</v>
      </c>
      <c r="CQ145" s="177">
        <f t="shared" si="89"/>
        <v>333937.252</v>
      </c>
      <c r="CR145" s="177">
        <f t="shared" si="89"/>
        <v>365219.9655</v>
      </c>
      <c r="CS145" s="177">
        <f t="shared" si="89"/>
        <v>346872.1641</v>
      </c>
      <c r="CT145" s="177">
        <f t="shared" si="89"/>
        <v>346881.4113</v>
      </c>
      <c r="CU145" s="177">
        <f t="shared" si="89"/>
        <v>346890.7427</v>
      </c>
      <c r="CV145" s="144"/>
      <c r="CW145" s="144"/>
      <c r="CX145" s="144"/>
      <c r="CY145" s="144"/>
      <c r="CZ145" s="144"/>
      <c r="DA145" s="144"/>
      <c r="DB145" s="144"/>
      <c r="DC145" s="144"/>
    </row>
    <row r="146"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c r="BC146" s="144"/>
      <c r="BD146" s="144"/>
      <c r="BE146" s="144"/>
      <c r="BF146" s="144"/>
      <c r="BG146" s="144"/>
      <c r="BH146" s="144"/>
      <c r="BI146" s="144"/>
      <c r="BJ146" s="144"/>
      <c r="BK146" s="144"/>
      <c r="BL146" s="144"/>
      <c r="BM146" s="144"/>
      <c r="BN146" s="144"/>
      <c r="BO146" s="144"/>
      <c r="BP146" s="144"/>
      <c r="BQ146" s="144"/>
      <c r="BR146" s="144"/>
      <c r="BS146" s="144"/>
      <c r="BT146" s="144"/>
      <c r="BU146" s="144"/>
      <c r="BV146" s="144"/>
      <c r="BW146" s="144"/>
      <c r="BX146" s="144"/>
      <c r="BY146" s="144"/>
      <c r="BZ146" s="144"/>
      <c r="CA146" s="144"/>
      <c r="CB146" s="144"/>
      <c r="CC146" s="144"/>
      <c r="CD146" s="144"/>
      <c r="CE146" s="144"/>
      <c r="CF146" s="144"/>
      <c r="CG146" s="144"/>
      <c r="CH146" s="144"/>
      <c r="CI146" s="144"/>
      <c r="CJ146" s="144"/>
      <c r="CK146" s="144"/>
      <c r="CL146" s="144"/>
      <c r="CM146" s="144"/>
      <c r="CN146" s="144"/>
      <c r="CO146" s="144"/>
      <c r="CP146" s="144"/>
      <c r="CQ146" s="144"/>
      <c r="CR146" s="144"/>
      <c r="CS146" s="144"/>
      <c r="CT146" s="144"/>
      <c r="CU146" s="144"/>
      <c r="CV146" s="144"/>
      <c r="CW146" s="144"/>
      <c r="CX146" s="144"/>
      <c r="CY146" s="144"/>
      <c r="CZ146" s="144"/>
      <c r="DA146" s="144"/>
      <c r="DB146" s="144"/>
      <c r="DC146" s="144"/>
    </row>
    <row r="147" ht="15.75" customHeight="1">
      <c r="A147" s="144"/>
      <c r="B147" s="144"/>
      <c r="C147" s="145" t="s">
        <v>122</v>
      </c>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4"/>
      <c r="BF147" s="144"/>
      <c r="BG147" s="144"/>
      <c r="BH147" s="144"/>
      <c r="BI147" s="144"/>
      <c r="BJ147" s="144"/>
      <c r="BK147" s="144"/>
      <c r="BL147" s="144"/>
      <c r="BM147" s="144"/>
      <c r="BN147" s="144"/>
      <c r="BO147" s="144"/>
      <c r="BP147" s="144"/>
      <c r="BQ147" s="144"/>
      <c r="BR147" s="144"/>
      <c r="BS147" s="144"/>
      <c r="BT147" s="144"/>
      <c r="BU147" s="144"/>
      <c r="BV147" s="144"/>
      <c r="BW147" s="144"/>
      <c r="BX147" s="144"/>
      <c r="BY147" s="144"/>
      <c r="BZ147" s="144"/>
      <c r="CA147" s="144"/>
      <c r="CB147" s="144"/>
      <c r="CC147" s="144"/>
      <c r="CD147" s="144"/>
      <c r="CE147" s="144"/>
      <c r="CF147" s="144"/>
      <c r="CG147" s="144"/>
      <c r="CH147" s="144"/>
      <c r="CI147" s="144"/>
      <c r="CJ147" s="144"/>
      <c r="CK147" s="144"/>
      <c r="CL147" s="144"/>
      <c r="CM147" s="144"/>
      <c r="CN147" s="144"/>
      <c r="CO147" s="144"/>
      <c r="CP147" s="144"/>
      <c r="CQ147" s="144"/>
      <c r="CR147" s="144"/>
      <c r="CS147" s="144"/>
      <c r="CT147" s="144"/>
      <c r="CU147" s="144"/>
      <c r="CV147" s="144"/>
      <c r="CW147" s="144"/>
      <c r="CX147" s="144"/>
      <c r="CY147" s="144"/>
      <c r="CZ147" s="144"/>
      <c r="DA147" s="144"/>
      <c r="DB147" s="144"/>
      <c r="DC147" s="144"/>
    </row>
    <row r="148"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c r="CS148" s="144"/>
      <c r="CT148" s="144"/>
      <c r="CU148" s="144"/>
      <c r="CV148" s="144"/>
      <c r="CW148" s="144"/>
      <c r="CX148" s="144"/>
      <c r="CY148" s="144"/>
      <c r="CZ148" s="144"/>
      <c r="DA148" s="144"/>
      <c r="DB148" s="144"/>
      <c r="DC148" s="144"/>
    </row>
    <row r="149" ht="15.75" customHeight="1">
      <c r="A149" s="144" t="s">
        <v>122</v>
      </c>
      <c r="B149" s="144"/>
      <c r="C149" s="144" t="s">
        <v>175</v>
      </c>
      <c r="D149" s="144"/>
      <c r="E149" s="144"/>
      <c r="F149" s="144"/>
      <c r="G149" s="144"/>
      <c r="H149" s="144"/>
      <c r="I149" s="144"/>
      <c r="J149" s="144"/>
      <c r="K149" s="144"/>
      <c r="L149" s="144"/>
      <c r="M149" s="144"/>
      <c r="N149" s="144"/>
      <c r="O149" s="144"/>
      <c r="P149" s="162" t="s">
        <v>272</v>
      </c>
      <c r="Q149" s="162" t="s">
        <v>272</v>
      </c>
      <c r="R149" s="162" t="s">
        <v>272</v>
      </c>
      <c r="S149" s="162" t="s">
        <v>272</v>
      </c>
      <c r="T149" s="162" t="s">
        <v>272</v>
      </c>
      <c r="U149" s="162">
        <v>55836.0</v>
      </c>
      <c r="V149" s="162">
        <v>67366.0</v>
      </c>
      <c r="W149" s="162">
        <v>68282.0</v>
      </c>
      <c r="X149" s="162">
        <v>68816.0</v>
      </c>
      <c r="Y149" s="162">
        <v>91377.0</v>
      </c>
      <c r="Z149" s="162">
        <v>95161.0</v>
      </c>
      <c r="AA149" s="162">
        <v>76432.0</v>
      </c>
      <c r="AB149" s="162">
        <v>105379.0</v>
      </c>
      <c r="AC149" s="162">
        <v>119073.0</v>
      </c>
      <c r="AD149" s="162">
        <v>117868.0</v>
      </c>
      <c r="AE149" s="162">
        <v>116788.0</v>
      </c>
      <c r="AF149" s="162">
        <v>110869.0</v>
      </c>
      <c r="AG149" s="162">
        <v>111432.0</v>
      </c>
      <c r="AH149" s="162">
        <f>SUMIFS('Opex Departments'!V:V,'Opex Departments'!$B:$B,$C149,'Opex Departments'!$A:$A,$A149)</f>
        <v>30311</v>
      </c>
      <c r="AI149" s="162">
        <f>SUMIFS('Opex Departments'!W:W,'Opex Departments'!$B:$B,$C149,'Opex Departments'!$A:$A,$A149)</f>
        <v>24136</v>
      </c>
      <c r="AJ149" s="162">
        <f>SUMIFS('Opex Departments'!X:X,'Opex Departments'!$B:$B,$C149,'Opex Departments'!$A:$A,$A149)</f>
        <v>27285</v>
      </c>
      <c r="AK149" s="162">
        <f>SUMIFS('Opex Departments'!Y:Y,'Opex Departments'!$B:$B,$C149,'Opex Departments'!$A:$A,$A149)</f>
        <v>27720</v>
      </c>
      <c r="AL149" s="162">
        <f>SUMIFS('Opex Departments'!Z:Z,'Opex Departments'!$B:$B,$C149,'Opex Departments'!$A:$A,$A149)</f>
        <v>29868</v>
      </c>
      <c r="AM149" s="162">
        <f>SUMIFS('Opex Departments'!AA:AA,'Opex Departments'!$B:$B,$C149,'Opex Departments'!$A:$A,$A149)</f>
        <v>116559.6566</v>
      </c>
      <c r="AN149" s="162">
        <f>SUMIFS('Opex Departments'!AB:AB,'Opex Departments'!$B:$B,$C149,'Opex Departments'!$A:$A,$A149)</f>
        <v>120404.973</v>
      </c>
      <c r="AO149" s="162">
        <f>SUMIFS('Opex Departments'!AC:AC,'Opex Departments'!$B:$B,$C149,'Opex Departments'!$A:$A,$A149)</f>
        <v>123494.6778</v>
      </c>
      <c r="AP149" s="162">
        <f>SUMIFS('Opex Departments'!AD:AD,'Opex Departments'!$B:$B,$C149,'Opex Departments'!$A:$A,$A149)</f>
        <v>122885.1058</v>
      </c>
      <c r="AQ149" s="162">
        <f>SUMIFS('Opex Departments'!AE:AE,'Opex Departments'!$B:$B,$C149,'Opex Departments'!$A:$A,$A149)</f>
        <v>123239.9608</v>
      </c>
      <c r="AR149" s="162">
        <f>SUMIFS('Opex Departments'!AF:AF,'Opex Departments'!$B:$B,$C149,'Opex Departments'!$A:$A,$A149)</f>
        <v>129351.1303</v>
      </c>
      <c r="AS149" s="162">
        <f>SUMIFS('Opex Departments'!AG:AG,'Opex Departments'!$B:$B,$C149,'Opex Departments'!$A:$A,$A149)</f>
        <v>129531.0083</v>
      </c>
      <c r="AT149" s="162">
        <f>SUMIFS('Opex Departments'!AH:AH,'Opex Departments'!$B:$B,$C149,'Opex Departments'!$A:$A,$A149)</f>
        <v>183690.6248</v>
      </c>
      <c r="AU149" s="162">
        <f>SUMIFS('Opex Departments'!AI:AI,'Opex Departments'!$B:$B,$C149,'Opex Departments'!$A:$A,$A149)</f>
        <v>237956.6958</v>
      </c>
      <c r="AV149" s="162">
        <f>SUMIFS('Opex Departments'!AJ:AJ,'Opex Departments'!$B:$B,$C149,'Opex Departments'!$A:$A,$A149)</f>
        <v>302291.9315</v>
      </c>
      <c r="AW149" s="162">
        <f>SUMIFS('Opex Departments'!AK:AK,'Opex Departments'!$B:$B,$C149,'Opex Departments'!$A:$A,$A149)</f>
        <v>356411.3091</v>
      </c>
      <c r="AX149" s="162">
        <f>SUMIFS('Opex Departments'!AL:AL,'Opex Departments'!$B:$B,$C149,'Opex Departments'!$A:$A,$A149)</f>
        <v>410533.6945</v>
      </c>
      <c r="AY149" s="162">
        <f>SUMIFS('Opex Departments'!AM:AM,'Opex Departments'!$B:$B,$C149,'Opex Departments'!$A:$A,$A149)</f>
        <v>464614.0466</v>
      </c>
      <c r="AZ149" s="162">
        <f>SUMIFS('Opex Departments'!AN:AN,'Opex Departments'!$B:$B,$C149,'Opex Departments'!$A:$A,$A149)</f>
        <v>539020.9103</v>
      </c>
      <c r="BA149" s="162">
        <f>SUMIFS('Opex Departments'!AO:AO,'Opex Departments'!$B:$B,$C149,'Opex Departments'!$A:$A,$A149)</f>
        <v>538951.1768</v>
      </c>
      <c r="BB149" s="162">
        <f>SUMIFS('Opex Departments'!AP:AP,'Opex Departments'!$B:$B,$C149,'Opex Departments'!$A:$A,$A149)</f>
        <v>539098.6084</v>
      </c>
      <c r="BC149" s="162">
        <f>SUMIFS('Opex Departments'!AQ:AQ,'Opex Departments'!$B:$B,$C149,'Opex Departments'!$A:$A,$A149)</f>
        <v>539173.4937</v>
      </c>
      <c r="BD149" s="162">
        <f>SUMIFS('Opex Departments'!AR:AR,'Opex Departments'!$B:$B,$C149,'Opex Departments'!$A:$A,$A149)</f>
        <v>560416.8321</v>
      </c>
      <c r="BE149" s="162">
        <f>SUMIFS('Opex Departments'!AS:AS,'Opex Departments'!$B:$B,$C149,'Opex Departments'!$A:$A,$A149)</f>
        <v>560518.449</v>
      </c>
      <c r="BF149" s="162">
        <f>SUMIFS('Opex Departments'!AT:AT,'Opex Departments'!$B:$B,$C149,'Opex Departments'!$A:$A,$A149)</f>
        <v>560627.9453</v>
      </c>
      <c r="BG149" s="162">
        <f>SUMIFS('Opex Departments'!AU:AU,'Opex Departments'!$B:$B,$C149,'Opex Departments'!$A:$A,$A149)</f>
        <v>560765.8394</v>
      </c>
      <c r="BH149" s="162">
        <f>SUMIFS('Opex Departments'!AV:AV,'Opex Departments'!$B:$B,$C149,'Opex Departments'!$A:$A,$A149)</f>
        <v>582818.5673</v>
      </c>
      <c r="BI149" s="162">
        <f>SUMIFS('Opex Departments'!AW:AW,'Opex Departments'!$B:$B,$C149,'Opex Departments'!$A:$A,$A149)</f>
        <v>582927.6189</v>
      </c>
      <c r="BJ149" s="162">
        <f>SUMIFS('Opex Departments'!AX:AX,'Opex Departments'!$B:$B,$C149,'Opex Departments'!$A:$A,$A149)</f>
        <v>583022.0098</v>
      </c>
      <c r="BK149" s="162">
        <f>SUMIFS('Opex Departments'!AY:AY,'Opex Departments'!$B:$B,$C149,'Opex Departments'!$A:$A,$A149)</f>
        <v>583121.1144</v>
      </c>
      <c r="BL149" s="162">
        <f>SUMIFS('Opex Departments'!AZ:AZ,'Opex Departments'!$B:$B,$C149,'Opex Departments'!$A:$A,$A149)</f>
        <v>606235.0502</v>
      </c>
      <c r="BM149" s="162">
        <f>SUMIFS('Opex Departments'!BA:BA,'Opex Departments'!$B:$B,$C149,'Opex Departments'!$A:$A,$A149)</f>
        <v>606337.4326</v>
      </c>
      <c r="BN149" s="162">
        <f>SUMIFS('Opex Departments'!BB:BB,'Opex Departments'!$B:$B,$C149,'Opex Departments'!$A:$A,$A149)</f>
        <v>606514.3134</v>
      </c>
      <c r="BO149" s="162">
        <f>SUMIFS('Opex Departments'!BC:BC,'Opex Departments'!$B:$B,$C149,'Opex Departments'!$A:$A,$A149)</f>
        <v>606646.5131</v>
      </c>
      <c r="BP149" s="162">
        <f>SUMIFS('Opex Departments'!BD:BD,'Opex Departments'!$B:$B,$C149,'Opex Departments'!$A:$A,$A149)</f>
        <v>691051.7504</v>
      </c>
      <c r="BQ149" s="162">
        <f>SUMIFS('Opex Departments'!BE:BE,'Opex Departments'!$B:$B,$C149,'Opex Departments'!$A:$A,$A149)</f>
        <v>691186.5245</v>
      </c>
      <c r="BR149" s="162">
        <f>SUMIFS('Opex Departments'!BF:BF,'Opex Departments'!$B:$B,$C149,'Opex Departments'!$A:$A,$A149)</f>
        <v>691323.1957</v>
      </c>
      <c r="BS149" s="162">
        <f>SUMIFS('Opex Departments'!BG:BG,'Opex Departments'!$B:$B,$C149,'Opex Departments'!$A:$A,$A149)</f>
        <v>754371.0788</v>
      </c>
      <c r="BT149" s="162">
        <f>SUMIFS('Opex Departments'!BH:BH,'Opex Departments'!$B:$B,$C149,'Opex Departments'!$A:$A,$A149)</f>
        <v>784147.6731</v>
      </c>
      <c r="BU149" s="162">
        <f>SUMIFS('Opex Departments'!BI:BI,'Opex Departments'!$B:$B,$C149,'Opex Departments'!$A:$A,$A149)</f>
        <v>847190.9781</v>
      </c>
      <c r="BV149" s="162">
        <f>SUMIFS('Opex Departments'!BJ:BJ,'Opex Departments'!$B:$B,$C149,'Opex Departments'!$A:$A,$A149)</f>
        <v>847315.5544</v>
      </c>
      <c r="BW149" s="162">
        <f>SUMIFS('Opex Departments'!BK:BK,'Opex Departments'!$B:$B,$C149,'Opex Departments'!$A:$A,$A149)</f>
        <v>847437.7969</v>
      </c>
      <c r="BX149" s="162">
        <f>SUMIFS('Opex Departments'!BL:BL,'Opex Departments'!$B:$B,$C149,'Opex Departments'!$A:$A,$A149)</f>
        <v>946424.9692</v>
      </c>
      <c r="BY149" s="162">
        <f>SUMIFS('Opex Departments'!BM:BM,'Opex Departments'!$B:$B,$C149,'Opex Departments'!$A:$A,$A149)</f>
        <v>946527.3552</v>
      </c>
      <c r="BZ149" s="162">
        <f>SUMIFS('Opex Departments'!BN:BN,'Opex Departments'!$B:$B,$C149,'Opex Departments'!$A:$A,$A149)</f>
        <v>946660.76</v>
      </c>
      <c r="CA149" s="162">
        <f>SUMIFS('Opex Departments'!BO:BO,'Opex Departments'!$B:$B,$C149,'Opex Departments'!$A:$A,$A149)</f>
        <v>1012207.546</v>
      </c>
      <c r="CB149" s="162">
        <f>SUMIFS('Opex Departments'!BP:BP,'Opex Departments'!$B:$B,$C149,'Opex Departments'!$A:$A,$A149)</f>
        <v>1052247.387</v>
      </c>
      <c r="CC149" s="162">
        <f>SUMIFS('Opex Departments'!BQ:BQ,'Opex Departments'!$B:$B,$C149,'Opex Departments'!$A:$A,$A149)</f>
        <v>1052363.409</v>
      </c>
      <c r="CD149" s="162">
        <f>SUMIFS('Opex Departments'!BR:BR,'Opex Departments'!$B:$B,$C149,'Opex Departments'!$A:$A,$A149)</f>
        <v>1120531.642</v>
      </c>
      <c r="CE149" s="162">
        <f>SUMIFS('Opex Departments'!BS:BS,'Opex Departments'!$B:$B,$C149,'Opex Departments'!$A:$A,$A149)</f>
        <v>1120647.12</v>
      </c>
      <c r="CF149" s="162">
        <f>SUMIFS('Opex Departments'!BT:BT,'Opex Departments'!$B:$B,$C149,'Opex Departments'!$A:$A,$A149)</f>
        <v>1164999.254</v>
      </c>
      <c r="CG149" s="162">
        <f>SUMIFS('Opex Departments'!BU:BU,'Opex Departments'!$B:$B,$C149,'Opex Departments'!$A:$A,$A149)</f>
        <v>1233164.35</v>
      </c>
      <c r="CH149" s="162">
        <f>SUMIFS('Opex Departments'!BV:BV,'Opex Departments'!$B:$B,$C149,'Opex Departments'!$A:$A,$A149)</f>
        <v>1233278.278</v>
      </c>
      <c r="CI149" s="162">
        <f>SUMIFS('Opex Departments'!BW:BW,'Opex Departments'!$B:$B,$C149,'Opex Departments'!$A:$A,$A149)</f>
        <v>1233391.61</v>
      </c>
      <c r="CJ149" s="162">
        <f>SUMIFS('Opex Departments'!BX:BX,'Opex Departments'!$B:$B,$C149,'Opex Departments'!$A:$A,$A149)</f>
        <v>1353068.015</v>
      </c>
      <c r="CK149" s="162">
        <f>SUMIFS('Opex Departments'!BY:BY,'Opex Departments'!$B:$B,$C149,'Opex Departments'!$A:$A,$A149)</f>
        <v>1353088.166</v>
      </c>
      <c r="CL149" s="162">
        <f>SUMIFS('Opex Departments'!BZ:BZ,'Opex Departments'!$B:$B,$C149,'Opex Departments'!$A:$A,$A149)</f>
        <v>1353181.09</v>
      </c>
      <c r="CM149" s="162">
        <f>SUMIFS('Opex Departments'!CA:CA,'Opex Departments'!$B:$B,$C149,'Opex Departments'!$A:$A,$A149)</f>
        <v>1353242.679</v>
      </c>
      <c r="CN149" s="162">
        <f>SUMIFS('Opex Departments'!CB:CB,'Opex Departments'!$B:$B,$C149,'Opex Departments'!$A:$A,$A149)</f>
        <v>1406831.176</v>
      </c>
      <c r="CO149" s="162">
        <f>SUMIFS('Opex Departments'!CC:CC,'Opex Departments'!$B:$B,$C149,'Opex Departments'!$A:$A,$A149)</f>
        <v>1406903.196</v>
      </c>
      <c r="CP149" s="162">
        <f>SUMIFS('Opex Departments'!CD:CD,'Opex Departments'!$B:$B,$C149,'Opex Departments'!$A:$A,$A149)</f>
        <v>1406979.758</v>
      </c>
      <c r="CQ149" s="162">
        <f>SUMIFS('Opex Departments'!CE:CE,'Opex Departments'!$B:$B,$C149,'Opex Departments'!$A:$A,$A149)</f>
        <v>1407054.148</v>
      </c>
      <c r="CR149" s="162">
        <f>SUMIFS('Opex Departments'!CF:CF,'Opex Departments'!$B:$B,$C149,'Opex Departments'!$A:$A,$A149)</f>
        <v>1462778.202</v>
      </c>
      <c r="CS149" s="162">
        <f>SUMIFS('Opex Departments'!CG:CG,'Opex Departments'!$B:$B,$C149,'Opex Departments'!$A:$A,$A149)</f>
        <v>1462852.875</v>
      </c>
      <c r="CT149" s="162">
        <f>SUMIFS('Opex Departments'!CH:CH,'Opex Departments'!$B:$B,$C149,'Opex Departments'!$A:$A,$A149)</f>
        <v>1462927.634</v>
      </c>
      <c r="CU149" s="162">
        <f>SUMIFS('Opex Departments'!CI:CI,'Opex Departments'!$B:$B,$C149,'Opex Departments'!$A:$A,$A149)</f>
        <v>1463002.057</v>
      </c>
      <c r="CV149" s="162"/>
      <c r="CW149" s="162"/>
      <c r="CX149" s="162"/>
      <c r="CY149" s="162"/>
      <c r="CZ149" s="162"/>
      <c r="DA149" s="162"/>
      <c r="DB149" s="162"/>
      <c r="DC149" s="162"/>
    </row>
    <row r="150" ht="15.75" customHeight="1">
      <c r="A150" s="144" t="s">
        <v>122</v>
      </c>
      <c r="B150" s="144"/>
      <c r="C150" s="144" t="s">
        <v>176</v>
      </c>
      <c r="D150" s="144"/>
      <c r="E150" s="144"/>
      <c r="F150" s="144"/>
      <c r="G150" s="144"/>
      <c r="H150" s="144"/>
      <c r="I150" s="144"/>
      <c r="J150" s="144"/>
      <c r="K150" s="144"/>
      <c r="L150" s="144"/>
      <c r="M150" s="144"/>
      <c r="N150" s="144"/>
      <c r="O150" s="144"/>
      <c r="P150" s="162" t="s">
        <v>272</v>
      </c>
      <c r="Q150" s="162" t="s">
        <v>272</v>
      </c>
      <c r="R150" s="162" t="s">
        <v>272</v>
      </c>
      <c r="S150" s="162" t="s">
        <v>272</v>
      </c>
      <c r="T150" s="162" t="s">
        <v>272</v>
      </c>
      <c r="U150" s="162">
        <v>12200.0</v>
      </c>
      <c r="V150" s="162">
        <v>70800.0</v>
      </c>
      <c r="W150" s="162">
        <v>33450.0</v>
      </c>
      <c r="X150" s="162" t="s">
        <v>272</v>
      </c>
      <c r="Y150" s="162">
        <v>4100.0</v>
      </c>
      <c r="Z150" s="162" t="s">
        <v>272</v>
      </c>
      <c r="AA150" s="162" t="s">
        <v>272</v>
      </c>
      <c r="AB150" s="162" t="s">
        <v>272</v>
      </c>
      <c r="AC150" s="162" t="s">
        <v>272</v>
      </c>
      <c r="AD150" s="162">
        <v>11151.0</v>
      </c>
      <c r="AE150" s="162">
        <v>4357.0</v>
      </c>
      <c r="AF150" s="162">
        <v>4015.0</v>
      </c>
      <c r="AG150" s="162">
        <v>6296.0</v>
      </c>
      <c r="AH150" s="162">
        <f>SUMIFS('Opex Departments'!V:V,'Opex Departments'!$B:$B,$C150,'Opex Departments'!$A:$A,$A150)</f>
        <v>3103</v>
      </c>
      <c r="AI150" s="162">
        <f>SUMIFS('Opex Departments'!W:W,'Opex Departments'!$B:$B,$C150,'Opex Departments'!$A:$A,$A150)</f>
        <v>206</v>
      </c>
      <c r="AJ150" s="162">
        <f>SUMIFS('Opex Departments'!X:X,'Opex Departments'!$B:$B,$C150,'Opex Departments'!$A:$A,$A150)</f>
        <v>3141</v>
      </c>
      <c r="AK150" s="162">
        <f>SUMIFS('Opex Departments'!Y:Y,'Opex Departments'!$B:$B,$C150,'Opex Departments'!$A:$A,$A150)</f>
        <v>1641</v>
      </c>
      <c r="AL150" s="162">
        <f>SUMIFS('Opex Departments'!Z:Z,'Opex Departments'!$B:$B,$C150,'Opex Departments'!$A:$A,$A150)</f>
        <v>2451</v>
      </c>
      <c r="AM150" s="162">
        <f>SUMIFS('Opex Departments'!AA:AA,'Opex Departments'!$B:$B,$C150,'Opex Departments'!$A:$A,$A150)</f>
        <v>20000</v>
      </c>
      <c r="AN150" s="162">
        <f>SUMIFS('Opex Departments'!AB:AB,'Opex Departments'!$B:$B,$C150,'Opex Departments'!$A:$A,$A150)</f>
        <v>19620.87044</v>
      </c>
      <c r="AO150" s="162">
        <f>SUMIFS('Opex Departments'!AC:AC,'Opex Departments'!$B:$B,$C150,'Opex Departments'!$A:$A,$A150)</f>
        <v>20473.12236</v>
      </c>
      <c r="AP150" s="162">
        <f>SUMIFS('Opex Departments'!AD:AD,'Opex Departments'!$B:$B,$C150,'Opex Departments'!$A:$A,$A150)</f>
        <v>20323.04935</v>
      </c>
      <c r="AQ150" s="162">
        <f>SUMIFS('Opex Departments'!AE:AE,'Opex Departments'!$B:$B,$C150,'Opex Departments'!$A:$A,$A150)</f>
        <v>20139.01405</v>
      </c>
      <c r="AR150" s="162">
        <f>SUMIFS('Opex Departments'!AF:AF,'Opex Departments'!$B:$B,$C150,'Opex Departments'!$A:$A,$A150)</f>
        <v>21225.75637</v>
      </c>
      <c r="AS150" s="162">
        <f>SUMIFS('Opex Departments'!AG:AG,'Opex Departments'!$B:$B,$C150,'Opex Departments'!$A:$A,$A150)</f>
        <v>21170.36836</v>
      </c>
      <c r="AT150" s="162">
        <f>SUMIFS('Opex Departments'!AH:AH,'Opex Departments'!$B:$B,$C150,'Opex Departments'!$A:$A,$A150)</f>
        <v>30548.92902</v>
      </c>
      <c r="AU150" s="162">
        <f>SUMIFS('Opex Departments'!AI:AI,'Opex Departments'!$B:$B,$C150,'Opex Departments'!$A:$A,$A150)</f>
        <v>40003.47769</v>
      </c>
      <c r="AV150" s="162">
        <f>SUMIFS('Opex Departments'!AJ:AJ,'Opex Departments'!$B:$B,$C150,'Opex Departments'!$A:$A,$A150)</f>
        <v>51189.68146</v>
      </c>
      <c r="AW150" s="162">
        <f>SUMIFS('Opex Departments'!AK:AK,'Opex Departments'!$B:$B,$C150,'Opex Departments'!$A:$A,$A150)</f>
        <v>60595.69015</v>
      </c>
      <c r="AX150" s="162">
        <f>SUMIFS('Opex Departments'!AL:AL,'Opex Departments'!$B:$B,$C150,'Opex Departments'!$A:$A,$A150)</f>
        <v>70014.66734</v>
      </c>
      <c r="AY150" s="162">
        <f>SUMIFS('Opex Departments'!AM:AM,'Opex Departments'!$B:$B,$C150,'Opex Departments'!$A:$A,$A150)</f>
        <v>79416.91992</v>
      </c>
      <c r="AZ150" s="162">
        <f>SUMIFS('Opex Departments'!AN:AN,'Opex Departments'!$B:$B,$C150,'Opex Departments'!$A:$A,$A150)</f>
        <v>92379.21437</v>
      </c>
      <c r="BA150" s="162">
        <f>SUMIFS('Opex Departments'!AO:AO,'Opex Departments'!$B:$B,$C150,'Opex Departments'!$A:$A,$A150)</f>
        <v>92381.07289</v>
      </c>
      <c r="BB150" s="162">
        <f>SUMIFS('Opex Departments'!AP:AP,'Opex Departments'!$B:$B,$C150,'Opex Departments'!$A:$A,$A150)</f>
        <v>92379.61594</v>
      </c>
      <c r="BC150" s="162">
        <f>SUMIFS('Opex Departments'!AQ:AQ,'Opex Departments'!$B:$B,$C150,'Opex Departments'!$A:$A,$A150)</f>
        <v>92379.96773</v>
      </c>
      <c r="BD150" s="162">
        <f>SUMIFS('Opex Departments'!AR:AR,'Opex Departments'!$B:$B,$C150,'Opex Departments'!$A:$A,$A150)</f>
        <v>96075.42761</v>
      </c>
      <c r="BE150" s="162">
        <f>SUMIFS('Opex Departments'!AS:AS,'Opex Departments'!$B:$B,$C150,'Opex Departments'!$A:$A,$A150)</f>
        <v>96075.13544</v>
      </c>
      <c r="BF150" s="162">
        <f>SUMIFS('Opex Departments'!AT:AT,'Opex Departments'!$B:$B,$C150,'Opex Departments'!$A:$A,$A150)</f>
        <v>96075.24416</v>
      </c>
      <c r="BG150" s="162">
        <f>SUMIFS('Opex Departments'!AU:AU,'Opex Departments'!$B:$B,$C150,'Opex Departments'!$A:$A,$A150)</f>
        <v>96075.26907</v>
      </c>
      <c r="BH150" s="162">
        <f>SUMIFS('Opex Departments'!AV:AV,'Opex Departments'!$B:$B,$C150,'Opex Departments'!$A:$A,$A150)</f>
        <v>99918.22487</v>
      </c>
      <c r="BI150" s="162">
        <f>SUMIFS('Opex Departments'!AW:AW,'Opex Departments'!$B:$B,$C150,'Opex Departments'!$A:$A,$A150)</f>
        <v>99918.25251</v>
      </c>
      <c r="BJ150" s="162">
        <f>SUMIFS('Opex Departments'!AX:AX,'Opex Departments'!$B:$B,$C150,'Opex Departments'!$A:$A,$A150)</f>
        <v>99918.25205</v>
      </c>
      <c r="BK150" s="162">
        <f>SUMIFS('Opex Departments'!AY:AY,'Opex Departments'!$B:$B,$C150,'Opex Departments'!$A:$A,$A150)</f>
        <v>99918.24314</v>
      </c>
      <c r="BL150" s="162">
        <f>SUMIFS('Opex Departments'!AZ:AZ,'Opex Departments'!$B:$B,$C150,'Opex Departments'!$A:$A,$A150)</f>
        <v>103914.9792</v>
      </c>
      <c r="BM150" s="162">
        <f>SUMIFS('Opex Departments'!BA:BA,'Opex Departments'!$B:$B,$C150,'Opex Departments'!$A:$A,$A150)</f>
        <v>103914.9781</v>
      </c>
      <c r="BN150" s="162">
        <f>SUMIFS('Opex Departments'!BB:BB,'Opex Departments'!$B:$B,$C150,'Opex Departments'!$A:$A,$A150)</f>
        <v>103914.9768</v>
      </c>
      <c r="BO150" s="162">
        <f>SUMIFS('Opex Departments'!BC:BC,'Opex Departments'!$B:$B,$C150,'Opex Departments'!$A:$A,$A150)</f>
        <v>103914.978</v>
      </c>
      <c r="BP150" s="162">
        <f>SUMIFS('Opex Departments'!BD:BD,'Opex Departments'!$B:$B,$C150,'Opex Departments'!$A:$A,$A150)</f>
        <v>118654.9962</v>
      </c>
      <c r="BQ150" s="162">
        <f>SUMIFS('Opex Departments'!BE:BE,'Opex Departments'!$B:$B,$C150,'Opex Departments'!$A:$A,$A150)</f>
        <v>118654.996</v>
      </c>
      <c r="BR150" s="162">
        <f>SUMIFS('Opex Departments'!BF:BF,'Opex Departments'!$B:$B,$C150,'Opex Departments'!$A:$A,$A150)</f>
        <v>118654.9963</v>
      </c>
      <c r="BS150" s="162">
        <f>SUMIFS('Opex Departments'!BG:BG,'Opex Departments'!$B:$B,$C150,'Opex Departments'!$A:$A,$A150)</f>
        <v>129661.7524</v>
      </c>
      <c r="BT150" s="162">
        <f>SUMIFS('Opex Departments'!BH:BH,'Opex Departments'!$B:$B,$C150,'Opex Departments'!$A:$A,$A150)</f>
        <v>134848.2225</v>
      </c>
      <c r="BU150" s="162">
        <f>SUMIFS('Opex Departments'!BI:BI,'Opex Departments'!$B:$B,$C150,'Opex Departments'!$A:$A,$A150)</f>
        <v>145854.9787</v>
      </c>
      <c r="BV150" s="162">
        <f>SUMIFS('Opex Departments'!BJ:BJ,'Opex Departments'!$B:$B,$C150,'Opex Departments'!$A:$A,$A150)</f>
        <v>145854.9787</v>
      </c>
      <c r="BW150" s="162">
        <f>SUMIFS('Opex Departments'!BK:BK,'Opex Departments'!$B:$B,$C150,'Opex Departments'!$A:$A,$A150)</f>
        <v>145854.9787</v>
      </c>
      <c r="BX150" s="162">
        <f>SUMIFS('Opex Departments'!BL:BL,'Opex Departments'!$B:$B,$C150,'Opex Departments'!$A:$A,$A150)</f>
        <v>163136.2043</v>
      </c>
      <c r="BY150" s="162">
        <f>SUMIFS('Opex Departments'!BM:BM,'Opex Departments'!$B:$B,$C150,'Opex Departments'!$A:$A,$A150)</f>
        <v>163136.2043</v>
      </c>
      <c r="BZ150" s="162">
        <f>SUMIFS('Opex Departments'!BN:BN,'Opex Departments'!$B:$B,$C150,'Opex Departments'!$A:$A,$A150)</f>
        <v>163136.2043</v>
      </c>
      <c r="CA150" s="162">
        <f>SUMIFS('Opex Departments'!BO:BO,'Opex Departments'!$B:$B,$C150,'Opex Departments'!$A:$A,$A150)</f>
        <v>174583.2308</v>
      </c>
      <c r="CB150" s="162">
        <f>SUMIFS('Opex Departments'!BP:BP,'Opex Departments'!$B:$B,$C150,'Opex Departments'!$A:$A,$A150)</f>
        <v>181566.56</v>
      </c>
      <c r="CC150" s="162">
        <f>SUMIFS('Opex Departments'!BQ:BQ,'Opex Departments'!$B:$B,$C150,'Opex Departments'!$A:$A,$A150)</f>
        <v>181566.56</v>
      </c>
      <c r="CD150" s="162">
        <f>SUMIFS('Opex Departments'!BR:BR,'Opex Departments'!$B:$B,$C150,'Opex Departments'!$A:$A,$A150)</f>
        <v>193471.4676</v>
      </c>
      <c r="CE150" s="162">
        <f>SUMIFS('Opex Departments'!BS:BS,'Opex Departments'!$B:$B,$C150,'Opex Departments'!$A:$A,$A150)</f>
        <v>193471.4676</v>
      </c>
      <c r="CF150" s="162">
        <f>SUMIFS('Opex Departments'!BT:BT,'Opex Departments'!$B:$B,$C150,'Opex Departments'!$A:$A,$A150)</f>
        <v>201210.3263</v>
      </c>
      <c r="CG150" s="162">
        <f>SUMIFS('Opex Departments'!BU:BU,'Opex Departments'!$B:$B,$C150,'Opex Departments'!$A:$A,$A150)</f>
        <v>213115.2338</v>
      </c>
      <c r="CH150" s="162">
        <f>SUMIFS('Opex Departments'!BV:BV,'Opex Departments'!$B:$B,$C150,'Opex Departments'!$A:$A,$A150)</f>
        <v>213115.2338</v>
      </c>
      <c r="CI150" s="162">
        <f>SUMIFS('Opex Departments'!BW:BW,'Opex Departments'!$B:$B,$C150,'Opex Departments'!$A:$A,$A150)</f>
        <v>213115.2338</v>
      </c>
      <c r="CJ150" s="162">
        <f>SUMIFS('Opex Departments'!BX:BX,'Opex Departments'!$B:$B,$C150,'Opex Departments'!$A:$A,$A150)</f>
        <v>234020.947</v>
      </c>
      <c r="CK150" s="162">
        <f>SUMIFS('Opex Departments'!BY:BY,'Opex Departments'!$B:$B,$C150,'Opex Departments'!$A:$A,$A150)</f>
        <v>234020.947</v>
      </c>
      <c r="CL150" s="162">
        <f>SUMIFS('Opex Departments'!BZ:BZ,'Opex Departments'!$B:$B,$C150,'Opex Departments'!$A:$A,$A150)</f>
        <v>234020.947</v>
      </c>
      <c r="CM150" s="162">
        <f>SUMIFS('Opex Departments'!CA:CA,'Opex Departments'!$B:$B,$C150,'Opex Departments'!$A:$A,$A150)</f>
        <v>234020.947</v>
      </c>
      <c r="CN150" s="162">
        <f>SUMIFS('Opex Departments'!CB:CB,'Opex Departments'!$B:$B,$C150,'Opex Departments'!$A:$A,$A150)</f>
        <v>243381.7849</v>
      </c>
      <c r="CO150" s="162">
        <f>SUMIFS('Opex Departments'!CC:CC,'Opex Departments'!$B:$B,$C150,'Opex Departments'!$A:$A,$A150)</f>
        <v>243381.7849</v>
      </c>
      <c r="CP150" s="162">
        <f>SUMIFS('Opex Departments'!CD:CD,'Opex Departments'!$B:$B,$C150,'Opex Departments'!$A:$A,$A150)</f>
        <v>243381.7849</v>
      </c>
      <c r="CQ150" s="162">
        <f>SUMIFS('Opex Departments'!CE:CE,'Opex Departments'!$B:$B,$C150,'Opex Departments'!$A:$A,$A150)</f>
        <v>243381.7849</v>
      </c>
      <c r="CR150" s="162">
        <f>SUMIFS('Opex Departments'!CF:CF,'Opex Departments'!$B:$B,$C150,'Opex Departments'!$A:$A,$A150)</f>
        <v>253117.0563</v>
      </c>
      <c r="CS150" s="162">
        <f>SUMIFS('Opex Departments'!CG:CG,'Opex Departments'!$B:$B,$C150,'Opex Departments'!$A:$A,$A150)</f>
        <v>253117.0563</v>
      </c>
      <c r="CT150" s="162">
        <f>SUMIFS('Opex Departments'!CH:CH,'Opex Departments'!$B:$B,$C150,'Opex Departments'!$A:$A,$A150)</f>
        <v>253117.0563</v>
      </c>
      <c r="CU150" s="162">
        <f>SUMIFS('Opex Departments'!CI:CI,'Opex Departments'!$B:$B,$C150,'Opex Departments'!$A:$A,$A150)</f>
        <v>253117.0563</v>
      </c>
      <c r="CV150" s="162"/>
      <c r="CW150" s="162"/>
      <c r="CX150" s="162"/>
      <c r="CY150" s="162"/>
      <c r="CZ150" s="162"/>
      <c r="DA150" s="162"/>
      <c r="DB150" s="162"/>
      <c r="DC150" s="162"/>
    </row>
    <row r="151" ht="15.75" customHeight="1">
      <c r="A151" s="144" t="s">
        <v>122</v>
      </c>
      <c r="B151" s="144"/>
      <c r="C151" s="146" t="s">
        <v>177</v>
      </c>
      <c r="D151" s="144"/>
      <c r="E151" s="144"/>
      <c r="F151" s="144"/>
      <c r="G151" s="144"/>
      <c r="H151" s="144"/>
      <c r="I151" s="144"/>
      <c r="J151" s="144"/>
      <c r="K151" s="144"/>
      <c r="L151" s="144"/>
      <c r="M151" s="144"/>
      <c r="N151" s="144"/>
      <c r="O151" s="144"/>
      <c r="P151" s="162" t="s">
        <v>272</v>
      </c>
      <c r="Q151" s="162" t="s">
        <v>272</v>
      </c>
      <c r="R151" s="162" t="s">
        <v>272</v>
      </c>
      <c r="S151" s="162" t="s">
        <v>272</v>
      </c>
      <c r="T151" s="162" t="s">
        <v>272</v>
      </c>
      <c r="U151" s="162" t="s">
        <v>272</v>
      </c>
      <c r="V151" s="162" t="s">
        <v>272</v>
      </c>
      <c r="W151" s="162" t="s">
        <v>272</v>
      </c>
      <c r="X151" s="162" t="s">
        <v>272</v>
      </c>
      <c r="Y151" s="162" t="s">
        <v>272</v>
      </c>
      <c r="Z151" s="162" t="s">
        <v>272</v>
      </c>
      <c r="AA151" s="162" t="s">
        <v>272</v>
      </c>
      <c r="AB151" s="162" t="s">
        <v>272</v>
      </c>
      <c r="AC151" s="162" t="s">
        <v>272</v>
      </c>
      <c r="AD151" s="162" t="s">
        <v>272</v>
      </c>
      <c r="AE151" s="162" t="s">
        <v>272</v>
      </c>
      <c r="AF151" s="162" t="s">
        <v>272</v>
      </c>
      <c r="AG151" s="162" t="s">
        <v>272</v>
      </c>
      <c r="AH151" s="162">
        <f>SUMIFS('Opex Departments'!V:V,'Opex Departments'!$B:$B,$C151,'Opex Departments'!$A:$A,$A151)</f>
        <v>0</v>
      </c>
      <c r="AI151" s="162">
        <f>SUMIFS('Opex Departments'!W:W,'Opex Departments'!$B:$B,$C151,'Opex Departments'!$A:$A,$A151)</f>
        <v>0</v>
      </c>
      <c r="AJ151" s="162">
        <f>SUMIFS('Opex Departments'!X:X,'Opex Departments'!$B:$B,$C151,'Opex Departments'!$A:$A,$A151)</f>
        <v>0</v>
      </c>
      <c r="AK151" s="162">
        <f>SUMIFS('Opex Departments'!Y:Y,'Opex Departments'!$B:$B,$C151,'Opex Departments'!$A:$A,$A151)</f>
        <v>0</v>
      </c>
      <c r="AL151" s="162">
        <f>SUMIFS('Opex Departments'!Z:Z,'Opex Departments'!$B:$B,$C151,'Opex Departments'!$A:$A,$A151)</f>
        <v>0</v>
      </c>
      <c r="AM151" s="162">
        <f>SUMIFS('Opex Departments'!AA:AA,'Opex Departments'!$B:$B,$C151,'Opex Departments'!$A:$A,$A151)</f>
        <v>0</v>
      </c>
      <c r="AN151" s="162">
        <f>SUMIFS('Opex Departments'!AB:AB,'Opex Departments'!$B:$B,$C151,'Opex Departments'!$A:$A,$A151)</f>
        <v>0</v>
      </c>
      <c r="AO151" s="162">
        <f>SUMIFS('Opex Departments'!AC:AC,'Opex Departments'!$B:$B,$C151,'Opex Departments'!$A:$A,$A151)</f>
        <v>0</v>
      </c>
      <c r="AP151" s="162">
        <f>SUMIFS('Opex Departments'!AD:AD,'Opex Departments'!$B:$B,$C151,'Opex Departments'!$A:$A,$A151)</f>
        <v>0</v>
      </c>
      <c r="AQ151" s="162">
        <f>SUMIFS('Opex Departments'!AE:AE,'Opex Departments'!$B:$B,$C151,'Opex Departments'!$A:$A,$A151)</f>
        <v>0</v>
      </c>
      <c r="AR151" s="162">
        <f>SUMIFS('Opex Departments'!AF:AF,'Opex Departments'!$B:$B,$C151,'Opex Departments'!$A:$A,$A151)</f>
        <v>0</v>
      </c>
      <c r="AS151" s="162">
        <f>SUMIFS('Opex Departments'!AG:AG,'Opex Departments'!$B:$B,$C151,'Opex Departments'!$A:$A,$A151)</f>
        <v>0</v>
      </c>
      <c r="AT151" s="162">
        <f>SUMIFS('Opex Departments'!AH:AH,'Opex Departments'!$B:$B,$C151,'Opex Departments'!$A:$A,$A151)</f>
        <v>0</v>
      </c>
      <c r="AU151" s="162">
        <f>SUMIFS('Opex Departments'!AI:AI,'Opex Departments'!$B:$B,$C151,'Opex Departments'!$A:$A,$A151)</f>
        <v>0</v>
      </c>
      <c r="AV151" s="162">
        <f>SUMIFS('Opex Departments'!AJ:AJ,'Opex Departments'!$B:$B,$C151,'Opex Departments'!$A:$A,$A151)</f>
        <v>0</v>
      </c>
      <c r="AW151" s="162">
        <f>SUMIFS('Opex Departments'!AK:AK,'Opex Departments'!$B:$B,$C151,'Opex Departments'!$A:$A,$A151)</f>
        <v>0</v>
      </c>
      <c r="AX151" s="162">
        <f>SUMIFS('Opex Departments'!AL:AL,'Opex Departments'!$B:$B,$C151,'Opex Departments'!$A:$A,$A151)</f>
        <v>0</v>
      </c>
      <c r="AY151" s="162">
        <f>SUMIFS('Opex Departments'!AM:AM,'Opex Departments'!$B:$B,$C151,'Opex Departments'!$A:$A,$A151)</f>
        <v>0</v>
      </c>
      <c r="AZ151" s="162">
        <f>SUMIFS('Opex Departments'!AN:AN,'Opex Departments'!$B:$B,$C151,'Opex Departments'!$A:$A,$A151)</f>
        <v>0</v>
      </c>
      <c r="BA151" s="162">
        <f>SUMIFS('Opex Departments'!AO:AO,'Opex Departments'!$B:$B,$C151,'Opex Departments'!$A:$A,$A151)</f>
        <v>0</v>
      </c>
      <c r="BB151" s="162">
        <f>SUMIFS('Opex Departments'!AP:AP,'Opex Departments'!$B:$B,$C151,'Opex Departments'!$A:$A,$A151)</f>
        <v>0</v>
      </c>
      <c r="BC151" s="162">
        <f>SUMIFS('Opex Departments'!AQ:AQ,'Opex Departments'!$B:$B,$C151,'Opex Departments'!$A:$A,$A151)</f>
        <v>0</v>
      </c>
      <c r="BD151" s="162">
        <f>SUMIFS('Opex Departments'!AR:AR,'Opex Departments'!$B:$B,$C151,'Opex Departments'!$A:$A,$A151)</f>
        <v>0</v>
      </c>
      <c r="BE151" s="162">
        <f>SUMIFS('Opex Departments'!AS:AS,'Opex Departments'!$B:$B,$C151,'Opex Departments'!$A:$A,$A151)</f>
        <v>0</v>
      </c>
      <c r="BF151" s="162">
        <f>SUMIFS('Opex Departments'!AT:AT,'Opex Departments'!$B:$B,$C151,'Opex Departments'!$A:$A,$A151)</f>
        <v>0</v>
      </c>
      <c r="BG151" s="162">
        <f>SUMIFS('Opex Departments'!AU:AU,'Opex Departments'!$B:$B,$C151,'Opex Departments'!$A:$A,$A151)</f>
        <v>0</v>
      </c>
      <c r="BH151" s="162">
        <f>SUMIFS('Opex Departments'!AV:AV,'Opex Departments'!$B:$B,$C151,'Opex Departments'!$A:$A,$A151)</f>
        <v>0</v>
      </c>
      <c r="BI151" s="162">
        <f>SUMIFS('Opex Departments'!AW:AW,'Opex Departments'!$B:$B,$C151,'Opex Departments'!$A:$A,$A151)</f>
        <v>0</v>
      </c>
      <c r="BJ151" s="162">
        <f>SUMIFS('Opex Departments'!AX:AX,'Opex Departments'!$B:$B,$C151,'Opex Departments'!$A:$A,$A151)</f>
        <v>0</v>
      </c>
      <c r="BK151" s="162">
        <f>SUMIFS('Opex Departments'!AY:AY,'Opex Departments'!$B:$B,$C151,'Opex Departments'!$A:$A,$A151)</f>
        <v>0</v>
      </c>
      <c r="BL151" s="162">
        <f>SUMIFS('Opex Departments'!AZ:AZ,'Opex Departments'!$B:$B,$C151,'Opex Departments'!$A:$A,$A151)</f>
        <v>0</v>
      </c>
      <c r="BM151" s="162">
        <f>SUMIFS('Opex Departments'!BA:BA,'Opex Departments'!$B:$B,$C151,'Opex Departments'!$A:$A,$A151)</f>
        <v>0</v>
      </c>
      <c r="BN151" s="162">
        <f>SUMIFS('Opex Departments'!BB:BB,'Opex Departments'!$B:$B,$C151,'Opex Departments'!$A:$A,$A151)</f>
        <v>0</v>
      </c>
      <c r="BO151" s="162">
        <f>SUMIFS('Opex Departments'!BC:BC,'Opex Departments'!$B:$B,$C151,'Opex Departments'!$A:$A,$A151)</f>
        <v>0</v>
      </c>
      <c r="BP151" s="162">
        <f>SUMIFS('Opex Departments'!BD:BD,'Opex Departments'!$B:$B,$C151,'Opex Departments'!$A:$A,$A151)</f>
        <v>0</v>
      </c>
      <c r="BQ151" s="162">
        <f>SUMIFS('Opex Departments'!BE:BE,'Opex Departments'!$B:$B,$C151,'Opex Departments'!$A:$A,$A151)</f>
        <v>0</v>
      </c>
      <c r="BR151" s="162">
        <f>SUMIFS('Opex Departments'!BF:BF,'Opex Departments'!$B:$B,$C151,'Opex Departments'!$A:$A,$A151)</f>
        <v>0</v>
      </c>
      <c r="BS151" s="162">
        <f>SUMIFS('Opex Departments'!BG:BG,'Opex Departments'!$B:$B,$C151,'Opex Departments'!$A:$A,$A151)</f>
        <v>0</v>
      </c>
      <c r="BT151" s="162">
        <f>SUMIFS('Opex Departments'!BH:BH,'Opex Departments'!$B:$B,$C151,'Opex Departments'!$A:$A,$A151)</f>
        <v>0</v>
      </c>
      <c r="BU151" s="162">
        <f>SUMIFS('Opex Departments'!BI:BI,'Opex Departments'!$B:$B,$C151,'Opex Departments'!$A:$A,$A151)</f>
        <v>0</v>
      </c>
      <c r="BV151" s="162">
        <f>SUMIFS('Opex Departments'!BJ:BJ,'Opex Departments'!$B:$B,$C151,'Opex Departments'!$A:$A,$A151)</f>
        <v>0</v>
      </c>
      <c r="BW151" s="162">
        <f>SUMIFS('Opex Departments'!BK:BK,'Opex Departments'!$B:$B,$C151,'Opex Departments'!$A:$A,$A151)</f>
        <v>0</v>
      </c>
      <c r="BX151" s="162">
        <f>SUMIFS('Opex Departments'!BL:BL,'Opex Departments'!$B:$B,$C151,'Opex Departments'!$A:$A,$A151)</f>
        <v>0</v>
      </c>
      <c r="BY151" s="162">
        <f>SUMIFS('Opex Departments'!BM:BM,'Opex Departments'!$B:$B,$C151,'Opex Departments'!$A:$A,$A151)</f>
        <v>0</v>
      </c>
      <c r="BZ151" s="162">
        <f>SUMIFS('Opex Departments'!BN:BN,'Opex Departments'!$B:$B,$C151,'Opex Departments'!$A:$A,$A151)</f>
        <v>0</v>
      </c>
      <c r="CA151" s="162">
        <f>SUMIFS('Opex Departments'!BO:BO,'Opex Departments'!$B:$B,$C151,'Opex Departments'!$A:$A,$A151)</f>
        <v>0</v>
      </c>
      <c r="CB151" s="162">
        <f>SUMIFS('Opex Departments'!BP:BP,'Opex Departments'!$B:$B,$C151,'Opex Departments'!$A:$A,$A151)</f>
        <v>0</v>
      </c>
      <c r="CC151" s="162">
        <f>SUMIFS('Opex Departments'!BQ:BQ,'Opex Departments'!$B:$B,$C151,'Opex Departments'!$A:$A,$A151)</f>
        <v>0</v>
      </c>
      <c r="CD151" s="162">
        <f>SUMIFS('Opex Departments'!BR:BR,'Opex Departments'!$B:$B,$C151,'Opex Departments'!$A:$A,$A151)</f>
        <v>0</v>
      </c>
      <c r="CE151" s="162">
        <f>SUMIFS('Opex Departments'!BS:BS,'Opex Departments'!$B:$B,$C151,'Opex Departments'!$A:$A,$A151)</f>
        <v>0</v>
      </c>
      <c r="CF151" s="162">
        <f>SUMIFS('Opex Departments'!BT:BT,'Opex Departments'!$B:$B,$C151,'Opex Departments'!$A:$A,$A151)</f>
        <v>0</v>
      </c>
      <c r="CG151" s="162">
        <f>SUMIFS('Opex Departments'!BU:BU,'Opex Departments'!$B:$B,$C151,'Opex Departments'!$A:$A,$A151)</f>
        <v>0</v>
      </c>
      <c r="CH151" s="162">
        <f>SUMIFS('Opex Departments'!BV:BV,'Opex Departments'!$B:$B,$C151,'Opex Departments'!$A:$A,$A151)</f>
        <v>0</v>
      </c>
      <c r="CI151" s="162">
        <f>SUMIFS('Opex Departments'!BW:BW,'Opex Departments'!$B:$B,$C151,'Opex Departments'!$A:$A,$A151)</f>
        <v>0</v>
      </c>
      <c r="CJ151" s="162">
        <f>SUMIFS('Opex Departments'!BX:BX,'Opex Departments'!$B:$B,$C151,'Opex Departments'!$A:$A,$A151)</f>
        <v>0</v>
      </c>
      <c r="CK151" s="162">
        <f>SUMIFS('Opex Departments'!BY:BY,'Opex Departments'!$B:$B,$C151,'Opex Departments'!$A:$A,$A151)</f>
        <v>0</v>
      </c>
      <c r="CL151" s="162">
        <f>SUMIFS('Opex Departments'!BZ:BZ,'Opex Departments'!$B:$B,$C151,'Opex Departments'!$A:$A,$A151)</f>
        <v>0</v>
      </c>
      <c r="CM151" s="162">
        <f>SUMIFS('Opex Departments'!CA:CA,'Opex Departments'!$B:$B,$C151,'Opex Departments'!$A:$A,$A151)</f>
        <v>0</v>
      </c>
      <c r="CN151" s="162">
        <f>SUMIFS('Opex Departments'!CB:CB,'Opex Departments'!$B:$B,$C151,'Opex Departments'!$A:$A,$A151)</f>
        <v>0</v>
      </c>
      <c r="CO151" s="162">
        <f>SUMIFS('Opex Departments'!CC:CC,'Opex Departments'!$B:$B,$C151,'Opex Departments'!$A:$A,$A151)</f>
        <v>0</v>
      </c>
      <c r="CP151" s="162">
        <f>SUMIFS('Opex Departments'!CD:CD,'Opex Departments'!$B:$B,$C151,'Opex Departments'!$A:$A,$A151)</f>
        <v>0</v>
      </c>
      <c r="CQ151" s="162">
        <f>SUMIFS('Opex Departments'!CE:CE,'Opex Departments'!$B:$B,$C151,'Opex Departments'!$A:$A,$A151)</f>
        <v>0</v>
      </c>
      <c r="CR151" s="162">
        <f>SUMIFS('Opex Departments'!CF:CF,'Opex Departments'!$B:$B,$C151,'Opex Departments'!$A:$A,$A151)</f>
        <v>0</v>
      </c>
      <c r="CS151" s="162">
        <f>SUMIFS('Opex Departments'!CG:CG,'Opex Departments'!$B:$B,$C151,'Opex Departments'!$A:$A,$A151)</f>
        <v>0</v>
      </c>
      <c r="CT151" s="162">
        <f>SUMIFS('Opex Departments'!CH:CH,'Opex Departments'!$B:$B,$C151,'Opex Departments'!$A:$A,$A151)</f>
        <v>0</v>
      </c>
      <c r="CU151" s="162">
        <f>SUMIFS('Opex Departments'!CI:CI,'Opex Departments'!$B:$B,$C151,'Opex Departments'!$A:$A,$A151)</f>
        <v>0</v>
      </c>
      <c r="CV151" s="162"/>
      <c r="CW151" s="162"/>
      <c r="CX151" s="162"/>
      <c r="CY151" s="162"/>
      <c r="CZ151" s="162"/>
      <c r="DA151" s="162"/>
      <c r="DB151" s="162"/>
      <c r="DC151" s="162"/>
    </row>
    <row r="152" ht="15.75" customHeight="1">
      <c r="A152" s="144" t="s">
        <v>122</v>
      </c>
      <c r="B152" s="144"/>
      <c r="C152" s="146" t="s">
        <v>66</v>
      </c>
      <c r="D152" s="144"/>
      <c r="E152" s="144"/>
      <c r="F152" s="144"/>
      <c r="G152" s="144"/>
      <c r="H152" s="144"/>
      <c r="I152" s="144"/>
      <c r="J152" s="144"/>
      <c r="K152" s="144"/>
      <c r="L152" s="144"/>
      <c r="M152" s="144"/>
      <c r="N152" s="144"/>
      <c r="O152" s="144"/>
      <c r="P152" s="162" t="s">
        <v>272</v>
      </c>
      <c r="Q152" s="162" t="s">
        <v>272</v>
      </c>
      <c r="R152" s="162" t="s">
        <v>272</v>
      </c>
      <c r="S152" s="162" t="s">
        <v>272</v>
      </c>
      <c r="T152" s="162" t="s">
        <v>272</v>
      </c>
      <c r="U152" s="162" t="s">
        <v>272</v>
      </c>
      <c r="V152" s="162" t="s">
        <v>272</v>
      </c>
      <c r="W152" s="162" t="s">
        <v>272</v>
      </c>
      <c r="X152" s="162" t="s">
        <v>272</v>
      </c>
      <c r="Y152" s="162" t="s">
        <v>272</v>
      </c>
      <c r="Z152" s="162" t="s">
        <v>272</v>
      </c>
      <c r="AA152" s="162" t="s">
        <v>272</v>
      </c>
      <c r="AB152" s="162" t="s">
        <v>272</v>
      </c>
      <c r="AC152" s="162">
        <v>10000.0</v>
      </c>
      <c r="AD152" s="162">
        <v>10000.0</v>
      </c>
      <c r="AE152" s="162">
        <v>10650.0</v>
      </c>
      <c r="AF152" s="162">
        <v>10200.0</v>
      </c>
      <c r="AG152" s="162">
        <v>10200.0</v>
      </c>
      <c r="AH152" s="162">
        <f>SUMIFS('Opex Departments'!V:V,'Opex Departments'!$B:$B,$C152,'Opex Departments'!$A:$A,$A152)</f>
        <v>5236</v>
      </c>
      <c r="AI152" s="162">
        <f>SUMIFS('Opex Departments'!W:W,'Opex Departments'!$B:$B,$C152,'Opex Departments'!$A:$A,$A152)</f>
        <v>674</v>
      </c>
      <c r="AJ152" s="162">
        <f>SUMIFS('Opex Departments'!X:X,'Opex Departments'!$B:$B,$C152,'Opex Departments'!$A:$A,$A152)</f>
        <v>8812</v>
      </c>
      <c r="AK152" s="162">
        <f>SUMIFS('Opex Departments'!Y:Y,'Opex Departments'!$B:$B,$C152,'Opex Departments'!$A:$A,$A152)</f>
        <v>5778</v>
      </c>
      <c r="AL152" s="162">
        <f>SUMIFS('Opex Departments'!Z:Z,'Opex Departments'!$B:$B,$C152,'Opex Departments'!$A:$A,$A152)</f>
        <v>4353</v>
      </c>
      <c r="AM152" s="162">
        <f>SUMIFS('Opex Departments'!AA:AA,'Opex Departments'!$B:$B,$C152,'Opex Departments'!$A:$A,$A152)</f>
        <v>1435.14</v>
      </c>
      <c r="AN152" s="162">
        <f>SUMIFS('Opex Departments'!AB:AB,'Opex Departments'!$B:$B,$C152,'Opex Departments'!$A:$A,$A152)</f>
        <v>1442.3157</v>
      </c>
      <c r="AO152" s="162">
        <f>SUMIFS('Opex Departments'!AC:AC,'Opex Departments'!$B:$B,$C152,'Opex Departments'!$A:$A,$A152)</f>
        <v>1449.527279</v>
      </c>
      <c r="AP152" s="162">
        <f>SUMIFS('Opex Departments'!AD:AD,'Opex Departments'!$B:$B,$C152,'Opex Departments'!$A:$A,$A152)</f>
        <v>1456.774915</v>
      </c>
      <c r="AQ152" s="162">
        <f>SUMIFS('Opex Departments'!AE:AE,'Opex Departments'!$B:$B,$C152,'Opex Departments'!$A:$A,$A152)</f>
        <v>1464.058789</v>
      </c>
      <c r="AR152" s="162">
        <f>SUMIFS('Opex Departments'!AF:AF,'Opex Departments'!$B:$B,$C152,'Opex Departments'!$A:$A,$A152)</f>
        <v>1471.379083</v>
      </c>
      <c r="AS152" s="162">
        <f>SUMIFS('Opex Departments'!AG:AG,'Opex Departments'!$B:$B,$C152,'Opex Departments'!$A:$A,$A152)</f>
        <v>1478.735979</v>
      </c>
      <c r="AT152" s="162">
        <f>SUMIFS('Opex Departments'!AH:AH,'Opex Departments'!$B:$B,$C152,'Opex Departments'!$A:$A,$A152)</f>
        <v>1486.129659</v>
      </c>
      <c r="AU152" s="162">
        <f>SUMIFS('Opex Departments'!AI:AI,'Opex Departments'!$B:$B,$C152,'Opex Departments'!$A:$A,$A152)</f>
        <v>1493.560307</v>
      </c>
      <c r="AV152" s="162">
        <f>SUMIFS('Opex Departments'!AJ:AJ,'Opex Departments'!$B:$B,$C152,'Opex Departments'!$A:$A,$A152)</f>
        <v>1501.028109</v>
      </c>
      <c r="AW152" s="162">
        <f>SUMIFS('Opex Departments'!AK:AK,'Opex Departments'!$B:$B,$C152,'Opex Departments'!$A:$A,$A152)</f>
        <v>1508.533249</v>
      </c>
      <c r="AX152" s="162">
        <f>SUMIFS('Opex Departments'!AL:AL,'Opex Departments'!$B:$B,$C152,'Opex Departments'!$A:$A,$A152)</f>
        <v>1516.075915</v>
      </c>
      <c r="AY152" s="162">
        <f>SUMIFS('Opex Departments'!AM:AM,'Opex Departments'!$B:$B,$C152,'Opex Departments'!$A:$A,$A152)</f>
        <v>1523.656295</v>
      </c>
      <c r="AZ152" s="162">
        <f>SUMIFS('Opex Departments'!AN:AN,'Opex Departments'!$B:$B,$C152,'Opex Departments'!$A:$A,$A152)</f>
        <v>1531.274576</v>
      </c>
      <c r="BA152" s="162">
        <f>SUMIFS('Opex Departments'!AO:AO,'Opex Departments'!$B:$B,$C152,'Opex Departments'!$A:$A,$A152)</f>
        <v>1538.930949</v>
      </c>
      <c r="BB152" s="162">
        <f>SUMIFS('Opex Departments'!AP:AP,'Opex Departments'!$B:$B,$C152,'Opex Departments'!$A:$A,$A152)</f>
        <v>1546.625604</v>
      </c>
      <c r="BC152" s="162">
        <f>SUMIFS('Opex Departments'!AQ:AQ,'Opex Departments'!$B:$B,$C152,'Opex Departments'!$A:$A,$A152)</f>
        <v>1554.358732</v>
      </c>
      <c r="BD152" s="162">
        <f>SUMIFS('Opex Departments'!AR:AR,'Opex Departments'!$B:$B,$C152,'Opex Departments'!$A:$A,$A152)</f>
        <v>1562.130526</v>
      </c>
      <c r="BE152" s="162">
        <f>SUMIFS('Opex Departments'!AS:AS,'Opex Departments'!$B:$B,$C152,'Opex Departments'!$A:$A,$A152)</f>
        <v>1569.941178</v>
      </c>
      <c r="BF152" s="162">
        <f>SUMIFS('Opex Departments'!AT:AT,'Opex Departments'!$B:$B,$C152,'Opex Departments'!$A:$A,$A152)</f>
        <v>1577.790884</v>
      </c>
      <c r="BG152" s="162">
        <f>SUMIFS('Opex Departments'!AU:AU,'Opex Departments'!$B:$B,$C152,'Opex Departments'!$A:$A,$A152)</f>
        <v>1585.679839</v>
      </c>
      <c r="BH152" s="162">
        <f>SUMIFS('Opex Departments'!AV:AV,'Opex Departments'!$B:$B,$C152,'Opex Departments'!$A:$A,$A152)</f>
        <v>1593.608238</v>
      </c>
      <c r="BI152" s="162">
        <f>SUMIFS('Opex Departments'!AW:AW,'Opex Departments'!$B:$B,$C152,'Opex Departments'!$A:$A,$A152)</f>
        <v>1601.576279</v>
      </c>
      <c r="BJ152" s="162">
        <f>SUMIFS('Opex Departments'!AX:AX,'Opex Departments'!$B:$B,$C152,'Opex Departments'!$A:$A,$A152)</f>
        <v>1609.58416</v>
      </c>
      <c r="BK152" s="162">
        <f>SUMIFS('Opex Departments'!AY:AY,'Opex Departments'!$B:$B,$C152,'Opex Departments'!$A:$A,$A152)</f>
        <v>1617.632081</v>
      </c>
      <c r="BL152" s="162">
        <f>SUMIFS('Opex Departments'!AZ:AZ,'Opex Departments'!$B:$B,$C152,'Opex Departments'!$A:$A,$A152)</f>
        <v>1625.720242</v>
      </c>
      <c r="BM152" s="162">
        <f>SUMIFS('Opex Departments'!BA:BA,'Opex Departments'!$B:$B,$C152,'Opex Departments'!$A:$A,$A152)</f>
        <v>1633.848843</v>
      </c>
      <c r="BN152" s="162">
        <f>SUMIFS('Opex Departments'!BB:BB,'Opex Departments'!$B:$B,$C152,'Opex Departments'!$A:$A,$A152)</f>
        <v>1642.018087</v>
      </c>
      <c r="BO152" s="162">
        <f>SUMIFS('Opex Departments'!BC:BC,'Opex Departments'!$B:$B,$C152,'Opex Departments'!$A:$A,$A152)</f>
        <v>1650.228177</v>
      </c>
      <c r="BP152" s="162">
        <f>SUMIFS('Opex Departments'!BD:BD,'Opex Departments'!$B:$B,$C152,'Opex Departments'!$A:$A,$A152)</f>
        <v>1658.479318</v>
      </c>
      <c r="BQ152" s="162">
        <f>SUMIFS('Opex Departments'!BE:BE,'Opex Departments'!$B:$B,$C152,'Opex Departments'!$A:$A,$A152)</f>
        <v>1666.771715</v>
      </c>
      <c r="BR152" s="162">
        <f>SUMIFS('Opex Departments'!BF:BF,'Opex Departments'!$B:$B,$C152,'Opex Departments'!$A:$A,$A152)</f>
        <v>1675.105574</v>
      </c>
      <c r="BS152" s="162">
        <f>SUMIFS('Opex Departments'!BG:BG,'Opex Departments'!$B:$B,$C152,'Opex Departments'!$A:$A,$A152)</f>
        <v>1683.481101</v>
      </c>
      <c r="BT152" s="162">
        <f>SUMIFS('Opex Departments'!BH:BH,'Opex Departments'!$B:$B,$C152,'Opex Departments'!$A:$A,$A152)</f>
        <v>1691.898507</v>
      </c>
      <c r="BU152" s="162">
        <f>SUMIFS('Opex Departments'!BI:BI,'Opex Departments'!$B:$B,$C152,'Opex Departments'!$A:$A,$A152)</f>
        <v>1700.357999</v>
      </c>
      <c r="BV152" s="162">
        <f>SUMIFS('Opex Departments'!BJ:BJ,'Opex Departments'!$B:$B,$C152,'Opex Departments'!$A:$A,$A152)</f>
        <v>1708.859789</v>
      </c>
      <c r="BW152" s="162">
        <f>SUMIFS('Opex Departments'!BK:BK,'Opex Departments'!$B:$B,$C152,'Opex Departments'!$A:$A,$A152)</f>
        <v>1717.404088</v>
      </c>
      <c r="BX152" s="162">
        <f>SUMIFS('Opex Departments'!BL:BL,'Opex Departments'!$B:$B,$C152,'Opex Departments'!$A:$A,$A152)</f>
        <v>1725.991109</v>
      </c>
      <c r="BY152" s="162">
        <f>SUMIFS('Opex Departments'!BM:BM,'Opex Departments'!$B:$B,$C152,'Opex Departments'!$A:$A,$A152)</f>
        <v>1734.621064</v>
      </c>
      <c r="BZ152" s="162">
        <f>SUMIFS('Opex Departments'!BN:BN,'Opex Departments'!$B:$B,$C152,'Opex Departments'!$A:$A,$A152)</f>
        <v>1743.29417</v>
      </c>
      <c r="CA152" s="162">
        <f>SUMIFS('Opex Departments'!BO:BO,'Opex Departments'!$B:$B,$C152,'Opex Departments'!$A:$A,$A152)</f>
        <v>1752.010641</v>
      </c>
      <c r="CB152" s="162">
        <f>SUMIFS('Opex Departments'!BP:BP,'Opex Departments'!$B:$B,$C152,'Opex Departments'!$A:$A,$A152)</f>
        <v>1760.770694</v>
      </c>
      <c r="CC152" s="162">
        <f>SUMIFS('Opex Departments'!BQ:BQ,'Opex Departments'!$B:$B,$C152,'Opex Departments'!$A:$A,$A152)</f>
        <v>1769.574547</v>
      </c>
      <c r="CD152" s="162">
        <f>SUMIFS('Opex Departments'!BR:BR,'Opex Departments'!$B:$B,$C152,'Opex Departments'!$A:$A,$A152)</f>
        <v>1778.42242</v>
      </c>
      <c r="CE152" s="162">
        <f>SUMIFS('Opex Departments'!BS:BS,'Opex Departments'!$B:$B,$C152,'Opex Departments'!$A:$A,$A152)</f>
        <v>1787.314532</v>
      </c>
      <c r="CF152" s="162">
        <f>SUMIFS('Opex Departments'!BT:BT,'Opex Departments'!$B:$B,$C152,'Opex Departments'!$A:$A,$A152)</f>
        <v>1796.251105</v>
      </c>
      <c r="CG152" s="162">
        <f>SUMIFS('Opex Departments'!BU:BU,'Opex Departments'!$B:$B,$C152,'Opex Departments'!$A:$A,$A152)</f>
        <v>1805.23236</v>
      </c>
      <c r="CH152" s="162">
        <f>SUMIFS('Opex Departments'!BV:BV,'Opex Departments'!$B:$B,$C152,'Opex Departments'!$A:$A,$A152)</f>
        <v>1814.258522</v>
      </c>
      <c r="CI152" s="162">
        <f>SUMIFS('Opex Departments'!BW:BW,'Opex Departments'!$B:$B,$C152,'Opex Departments'!$A:$A,$A152)</f>
        <v>1823.329815</v>
      </c>
      <c r="CJ152" s="162">
        <f>SUMIFS('Opex Departments'!BX:BX,'Opex Departments'!$B:$B,$C152,'Opex Departments'!$A:$A,$A152)</f>
        <v>1832.446464</v>
      </c>
      <c r="CK152" s="162">
        <f>SUMIFS('Opex Departments'!BY:BY,'Opex Departments'!$B:$B,$C152,'Opex Departments'!$A:$A,$A152)</f>
        <v>1841.608696</v>
      </c>
      <c r="CL152" s="162">
        <f>SUMIFS('Opex Departments'!BZ:BZ,'Opex Departments'!$B:$B,$C152,'Opex Departments'!$A:$A,$A152)</f>
        <v>1850.81674</v>
      </c>
      <c r="CM152" s="162">
        <f>SUMIFS('Opex Departments'!CA:CA,'Opex Departments'!$B:$B,$C152,'Opex Departments'!$A:$A,$A152)</f>
        <v>1860.070823</v>
      </c>
      <c r="CN152" s="162">
        <f>SUMIFS('Opex Departments'!CB:CB,'Opex Departments'!$B:$B,$C152,'Opex Departments'!$A:$A,$A152)</f>
        <v>1869.371177</v>
      </c>
      <c r="CO152" s="162">
        <f>SUMIFS('Opex Departments'!CC:CC,'Opex Departments'!$B:$B,$C152,'Opex Departments'!$A:$A,$A152)</f>
        <v>1878.718033</v>
      </c>
      <c r="CP152" s="162">
        <f>SUMIFS('Opex Departments'!CD:CD,'Opex Departments'!$B:$B,$C152,'Opex Departments'!$A:$A,$A152)</f>
        <v>1888.111623</v>
      </c>
      <c r="CQ152" s="162">
        <f>SUMIFS('Opex Departments'!CE:CE,'Opex Departments'!$B:$B,$C152,'Opex Departments'!$A:$A,$A152)</f>
        <v>1897.552182</v>
      </c>
      <c r="CR152" s="162">
        <f>SUMIFS('Opex Departments'!CF:CF,'Opex Departments'!$B:$B,$C152,'Opex Departments'!$A:$A,$A152)</f>
        <v>1907.039942</v>
      </c>
      <c r="CS152" s="162">
        <f>SUMIFS('Opex Departments'!CG:CG,'Opex Departments'!$B:$B,$C152,'Opex Departments'!$A:$A,$A152)</f>
        <v>1916.575142</v>
      </c>
      <c r="CT152" s="162">
        <f>SUMIFS('Opex Departments'!CH:CH,'Opex Departments'!$B:$B,$C152,'Opex Departments'!$A:$A,$A152)</f>
        <v>1926.158018</v>
      </c>
      <c r="CU152" s="162">
        <f>SUMIFS('Opex Departments'!CI:CI,'Opex Departments'!$B:$B,$C152,'Opex Departments'!$A:$A,$A152)</f>
        <v>1935.788808</v>
      </c>
      <c r="CV152" s="162"/>
      <c r="CW152" s="162"/>
      <c r="CX152" s="162"/>
      <c r="CY152" s="162"/>
      <c r="CZ152" s="162"/>
      <c r="DA152" s="162"/>
      <c r="DB152" s="162"/>
      <c r="DC152" s="162"/>
    </row>
    <row r="153" ht="15.75" customHeight="1">
      <c r="A153" s="144" t="s">
        <v>122</v>
      </c>
      <c r="B153" s="144"/>
      <c r="C153" s="144" t="s">
        <v>70</v>
      </c>
      <c r="D153" s="144"/>
      <c r="E153" s="144"/>
      <c r="F153" s="144"/>
      <c r="G153" s="144"/>
      <c r="H153" s="144"/>
      <c r="I153" s="144"/>
      <c r="J153" s="144"/>
      <c r="K153" s="144"/>
      <c r="L153" s="144"/>
      <c r="M153" s="144"/>
      <c r="N153" s="144"/>
      <c r="O153" s="144"/>
      <c r="P153" s="162" t="s">
        <v>272</v>
      </c>
      <c r="Q153" s="162" t="s">
        <v>272</v>
      </c>
      <c r="R153" s="162" t="s">
        <v>272</v>
      </c>
      <c r="S153" s="162" t="s">
        <v>272</v>
      </c>
      <c r="T153" s="162" t="s">
        <v>272</v>
      </c>
      <c r="U153" s="162">
        <v>3520.0</v>
      </c>
      <c r="V153" s="162">
        <v>3520.0</v>
      </c>
      <c r="W153" s="162">
        <v>3739.0</v>
      </c>
      <c r="X153" s="162">
        <v>3520.0</v>
      </c>
      <c r="Y153" s="162">
        <v>3520.0</v>
      </c>
      <c r="Z153" s="162">
        <v>3520.0</v>
      </c>
      <c r="AA153" s="162">
        <v>7540.0</v>
      </c>
      <c r="AB153" s="162">
        <v>10371.0</v>
      </c>
      <c r="AC153" s="162">
        <v>4345.0</v>
      </c>
      <c r="AD153" s="162">
        <v>4341.0</v>
      </c>
      <c r="AE153" s="162">
        <v>9116.0</v>
      </c>
      <c r="AF153" s="162">
        <v>9116.0</v>
      </c>
      <c r="AG153" s="162">
        <v>9116.0</v>
      </c>
      <c r="AH153" s="162">
        <f>SUMIFS('Opex Departments'!V:V,'Opex Departments'!$B:$B,$C153,'Opex Departments'!$A:$A,$A153)</f>
        <v>4599</v>
      </c>
      <c r="AI153" s="162">
        <f>SUMIFS('Opex Departments'!W:W,'Opex Departments'!$B:$B,$C153,'Opex Departments'!$A:$A,$A153)</f>
        <v>2279</v>
      </c>
      <c r="AJ153" s="162">
        <f>SUMIFS('Opex Departments'!X:X,'Opex Departments'!$B:$B,$C153,'Opex Departments'!$A:$A,$A153)</f>
        <v>4898</v>
      </c>
      <c r="AK153" s="162">
        <f>SUMIFS('Opex Departments'!Y:Y,'Opex Departments'!$B:$B,$C153,'Opex Departments'!$A:$A,$A153)</f>
        <v>1879</v>
      </c>
      <c r="AL153" s="162">
        <f>SUMIFS('Opex Departments'!Z:Z,'Opex Departments'!$B:$B,$C153,'Opex Departments'!$A:$A,$A153)</f>
        <v>3220</v>
      </c>
      <c r="AM153" s="162">
        <f>SUMIFS('Opex Departments'!AA:AA,'Opex Departments'!$B:$B,$C153,'Opex Departments'!$A:$A,$A153)</f>
        <v>74.826</v>
      </c>
      <c r="AN153" s="162">
        <f>SUMIFS('Opex Departments'!AB:AB,'Opex Departments'!$B:$B,$C153,'Opex Departments'!$A:$A,$A153)</f>
        <v>164.826</v>
      </c>
      <c r="AO153" s="162">
        <f>SUMIFS('Opex Departments'!AC:AC,'Opex Departments'!$B:$B,$C153,'Opex Departments'!$A:$A,$A153)</f>
        <v>164.826</v>
      </c>
      <c r="AP153" s="162">
        <f>SUMIFS('Opex Departments'!AD:AD,'Opex Departments'!$B:$B,$C153,'Opex Departments'!$A:$A,$A153)</f>
        <v>164.826</v>
      </c>
      <c r="AQ153" s="162">
        <f>SUMIFS('Opex Departments'!AE:AE,'Opex Departments'!$B:$B,$C153,'Opex Departments'!$A:$A,$A153)</f>
        <v>164.826</v>
      </c>
      <c r="AR153" s="162">
        <f>SUMIFS('Opex Departments'!AF:AF,'Opex Departments'!$B:$B,$C153,'Opex Departments'!$A:$A,$A153)</f>
        <v>254.826</v>
      </c>
      <c r="AS153" s="162">
        <f>SUMIFS('Opex Departments'!AG:AG,'Opex Departments'!$B:$B,$C153,'Opex Departments'!$A:$A,$A153)</f>
        <v>254.826</v>
      </c>
      <c r="AT153" s="162">
        <f>SUMIFS('Opex Departments'!AH:AH,'Opex Departments'!$B:$B,$C153,'Opex Departments'!$A:$A,$A153)</f>
        <v>254.826</v>
      </c>
      <c r="AU153" s="162">
        <f>SUMIFS('Opex Departments'!AI:AI,'Opex Departments'!$B:$B,$C153,'Opex Departments'!$A:$A,$A153)</f>
        <v>254.826</v>
      </c>
      <c r="AV153" s="162">
        <f>SUMIFS('Opex Departments'!AJ:AJ,'Opex Departments'!$B:$B,$C153,'Opex Departments'!$A:$A,$A153)</f>
        <v>344.826</v>
      </c>
      <c r="AW153" s="162">
        <f>SUMIFS('Opex Departments'!AK:AK,'Opex Departments'!$B:$B,$C153,'Opex Departments'!$A:$A,$A153)</f>
        <v>344.826</v>
      </c>
      <c r="AX153" s="162">
        <f>SUMIFS('Opex Departments'!AL:AL,'Opex Departments'!$B:$B,$C153,'Opex Departments'!$A:$A,$A153)</f>
        <v>344.826</v>
      </c>
      <c r="AY153" s="162">
        <f>SUMIFS('Opex Departments'!AM:AM,'Opex Departments'!$B:$B,$C153,'Opex Departments'!$A:$A,$A153)</f>
        <v>344.826</v>
      </c>
      <c r="AZ153" s="162">
        <f>SUMIFS('Opex Departments'!AN:AN,'Opex Departments'!$B:$B,$C153,'Opex Departments'!$A:$A,$A153)</f>
        <v>344.826</v>
      </c>
      <c r="BA153" s="162">
        <f>SUMIFS('Opex Departments'!AO:AO,'Opex Departments'!$B:$B,$C153,'Opex Departments'!$A:$A,$A153)</f>
        <v>344.826</v>
      </c>
      <c r="BB153" s="162">
        <f>SUMIFS('Opex Departments'!AP:AP,'Opex Departments'!$B:$B,$C153,'Opex Departments'!$A:$A,$A153)</f>
        <v>344.826</v>
      </c>
      <c r="BC153" s="162">
        <f>SUMIFS('Opex Departments'!AQ:AQ,'Opex Departments'!$B:$B,$C153,'Opex Departments'!$A:$A,$A153)</f>
        <v>344.826</v>
      </c>
      <c r="BD153" s="162">
        <f>SUMIFS('Opex Departments'!AR:AR,'Opex Departments'!$B:$B,$C153,'Opex Departments'!$A:$A,$A153)</f>
        <v>344.826</v>
      </c>
      <c r="BE153" s="162">
        <f>SUMIFS('Opex Departments'!AS:AS,'Opex Departments'!$B:$B,$C153,'Opex Departments'!$A:$A,$A153)</f>
        <v>344.826</v>
      </c>
      <c r="BF153" s="162">
        <f>SUMIFS('Opex Departments'!AT:AT,'Opex Departments'!$B:$B,$C153,'Opex Departments'!$A:$A,$A153)</f>
        <v>344.826</v>
      </c>
      <c r="BG153" s="162">
        <f>SUMIFS('Opex Departments'!AU:AU,'Opex Departments'!$B:$B,$C153,'Opex Departments'!$A:$A,$A153)</f>
        <v>344.826</v>
      </c>
      <c r="BH153" s="162">
        <f>SUMIFS('Opex Departments'!AV:AV,'Opex Departments'!$B:$B,$C153,'Opex Departments'!$A:$A,$A153)</f>
        <v>416.826</v>
      </c>
      <c r="BI153" s="162">
        <f>SUMIFS('Opex Departments'!AW:AW,'Opex Departments'!$B:$B,$C153,'Opex Departments'!$A:$A,$A153)</f>
        <v>416.826</v>
      </c>
      <c r="BJ153" s="162">
        <f>SUMIFS('Opex Departments'!AX:AX,'Opex Departments'!$B:$B,$C153,'Opex Departments'!$A:$A,$A153)</f>
        <v>416.826</v>
      </c>
      <c r="BK153" s="162">
        <f>SUMIFS('Opex Departments'!AY:AY,'Opex Departments'!$B:$B,$C153,'Opex Departments'!$A:$A,$A153)</f>
        <v>416.826</v>
      </c>
      <c r="BL153" s="162">
        <f>SUMIFS('Opex Departments'!AZ:AZ,'Opex Departments'!$B:$B,$C153,'Opex Departments'!$A:$A,$A153)</f>
        <v>596.826</v>
      </c>
      <c r="BM153" s="162">
        <f>SUMIFS('Opex Departments'!BA:BA,'Opex Departments'!$B:$B,$C153,'Opex Departments'!$A:$A,$A153)</f>
        <v>596.826</v>
      </c>
      <c r="BN153" s="162">
        <f>SUMIFS('Opex Departments'!BB:BB,'Opex Departments'!$B:$B,$C153,'Opex Departments'!$A:$A,$A153)</f>
        <v>596.826</v>
      </c>
      <c r="BO153" s="162">
        <f>SUMIFS('Opex Departments'!BC:BC,'Opex Departments'!$B:$B,$C153,'Opex Departments'!$A:$A,$A153)</f>
        <v>596.826</v>
      </c>
      <c r="BP153" s="162">
        <f>SUMIFS('Opex Departments'!BD:BD,'Opex Departments'!$B:$B,$C153,'Opex Departments'!$A:$A,$A153)</f>
        <v>776.826</v>
      </c>
      <c r="BQ153" s="162">
        <f>SUMIFS('Opex Departments'!BE:BE,'Opex Departments'!$B:$B,$C153,'Opex Departments'!$A:$A,$A153)</f>
        <v>776.826</v>
      </c>
      <c r="BR153" s="162">
        <f>SUMIFS('Opex Departments'!BF:BF,'Opex Departments'!$B:$B,$C153,'Opex Departments'!$A:$A,$A153)</f>
        <v>776.826</v>
      </c>
      <c r="BS153" s="162">
        <f>SUMIFS('Opex Departments'!BG:BG,'Opex Departments'!$B:$B,$C153,'Opex Departments'!$A:$A,$A153)</f>
        <v>776.826</v>
      </c>
      <c r="BT153" s="162">
        <f>SUMIFS('Opex Departments'!BH:BH,'Opex Departments'!$B:$B,$C153,'Opex Departments'!$A:$A,$A153)</f>
        <v>956.826</v>
      </c>
      <c r="BU153" s="162">
        <f>SUMIFS('Opex Departments'!BI:BI,'Opex Departments'!$B:$B,$C153,'Opex Departments'!$A:$A,$A153)</f>
        <v>956.826</v>
      </c>
      <c r="BV153" s="162">
        <f>SUMIFS('Opex Departments'!BJ:BJ,'Opex Departments'!$B:$B,$C153,'Opex Departments'!$A:$A,$A153)</f>
        <v>956.826</v>
      </c>
      <c r="BW153" s="162">
        <f>SUMIFS('Opex Departments'!BK:BK,'Opex Departments'!$B:$B,$C153,'Opex Departments'!$A:$A,$A153)</f>
        <v>956.826</v>
      </c>
      <c r="BX153" s="162">
        <f>SUMIFS('Opex Departments'!BL:BL,'Opex Departments'!$B:$B,$C153,'Opex Departments'!$A:$A,$A153)</f>
        <v>960.426</v>
      </c>
      <c r="BY153" s="162">
        <f>SUMIFS('Opex Departments'!BM:BM,'Opex Departments'!$B:$B,$C153,'Opex Departments'!$A:$A,$A153)</f>
        <v>960.426</v>
      </c>
      <c r="BZ153" s="162">
        <f>SUMIFS('Opex Departments'!BN:BN,'Opex Departments'!$B:$B,$C153,'Opex Departments'!$A:$A,$A153)</f>
        <v>960.426</v>
      </c>
      <c r="CA153" s="162">
        <f>SUMIFS('Opex Departments'!BO:BO,'Opex Departments'!$B:$B,$C153,'Opex Departments'!$A:$A,$A153)</f>
        <v>960.426</v>
      </c>
      <c r="CB153" s="162">
        <f>SUMIFS('Opex Departments'!BP:BP,'Opex Departments'!$B:$B,$C153,'Opex Departments'!$A:$A,$A153)</f>
        <v>964.026</v>
      </c>
      <c r="CC153" s="162">
        <f>SUMIFS('Opex Departments'!BQ:BQ,'Opex Departments'!$B:$B,$C153,'Opex Departments'!$A:$A,$A153)</f>
        <v>964.026</v>
      </c>
      <c r="CD153" s="162">
        <f>SUMIFS('Opex Departments'!BR:BR,'Opex Departments'!$B:$B,$C153,'Opex Departments'!$A:$A,$A153)</f>
        <v>964.026</v>
      </c>
      <c r="CE153" s="162">
        <f>SUMIFS('Opex Departments'!BS:BS,'Opex Departments'!$B:$B,$C153,'Opex Departments'!$A:$A,$A153)</f>
        <v>964.026</v>
      </c>
      <c r="CF153" s="162">
        <f>SUMIFS('Opex Departments'!BT:BT,'Opex Departments'!$B:$B,$C153,'Opex Departments'!$A:$A,$A153)</f>
        <v>967.626</v>
      </c>
      <c r="CG153" s="162">
        <f>SUMIFS('Opex Departments'!BU:BU,'Opex Departments'!$B:$B,$C153,'Opex Departments'!$A:$A,$A153)</f>
        <v>967.626</v>
      </c>
      <c r="CH153" s="162">
        <f>SUMIFS('Opex Departments'!BV:BV,'Opex Departments'!$B:$B,$C153,'Opex Departments'!$A:$A,$A153)</f>
        <v>967.626</v>
      </c>
      <c r="CI153" s="162">
        <f>SUMIFS('Opex Departments'!BW:BW,'Opex Departments'!$B:$B,$C153,'Opex Departments'!$A:$A,$A153)</f>
        <v>967.626</v>
      </c>
      <c r="CJ153" s="162">
        <f>SUMIFS('Opex Departments'!BX:BX,'Opex Departments'!$B:$B,$C153,'Opex Departments'!$A:$A,$A153)</f>
        <v>971.226</v>
      </c>
      <c r="CK153" s="162">
        <f>SUMIFS('Opex Departments'!BY:BY,'Opex Departments'!$B:$B,$C153,'Opex Departments'!$A:$A,$A153)</f>
        <v>971.226</v>
      </c>
      <c r="CL153" s="162">
        <f>SUMIFS('Opex Departments'!BZ:BZ,'Opex Departments'!$B:$B,$C153,'Opex Departments'!$A:$A,$A153)</f>
        <v>971.226</v>
      </c>
      <c r="CM153" s="162">
        <f>SUMIFS('Opex Departments'!CA:CA,'Opex Departments'!$B:$B,$C153,'Opex Departments'!$A:$A,$A153)</f>
        <v>971.226</v>
      </c>
      <c r="CN153" s="162">
        <f>SUMIFS('Opex Departments'!CB:CB,'Opex Departments'!$B:$B,$C153,'Opex Departments'!$A:$A,$A153)</f>
        <v>974.826</v>
      </c>
      <c r="CO153" s="162">
        <f>SUMIFS('Opex Departments'!CC:CC,'Opex Departments'!$B:$B,$C153,'Opex Departments'!$A:$A,$A153)</f>
        <v>974.826</v>
      </c>
      <c r="CP153" s="162">
        <f>SUMIFS('Opex Departments'!CD:CD,'Opex Departments'!$B:$B,$C153,'Opex Departments'!$A:$A,$A153)</f>
        <v>974.826</v>
      </c>
      <c r="CQ153" s="162">
        <f>SUMIFS('Opex Departments'!CE:CE,'Opex Departments'!$B:$B,$C153,'Opex Departments'!$A:$A,$A153)</f>
        <v>974.826</v>
      </c>
      <c r="CR153" s="162">
        <f>SUMIFS('Opex Departments'!CF:CF,'Opex Departments'!$B:$B,$C153,'Opex Departments'!$A:$A,$A153)</f>
        <v>1019.826</v>
      </c>
      <c r="CS153" s="162">
        <f>SUMIFS('Opex Departments'!CG:CG,'Opex Departments'!$B:$B,$C153,'Opex Departments'!$A:$A,$A153)</f>
        <v>1019.826</v>
      </c>
      <c r="CT153" s="162">
        <f>SUMIFS('Opex Departments'!CH:CH,'Opex Departments'!$B:$B,$C153,'Opex Departments'!$A:$A,$A153)</f>
        <v>1019.826</v>
      </c>
      <c r="CU153" s="162">
        <f>SUMIFS('Opex Departments'!CI:CI,'Opex Departments'!$B:$B,$C153,'Opex Departments'!$A:$A,$A153)</f>
        <v>1019.826</v>
      </c>
      <c r="CV153" s="162"/>
      <c r="CW153" s="162"/>
      <c r="CX153" s="162"/>
      <c r="CY153" s="162"/>
      <c r="CZ153" s="162"/>
      <c r="DA153" s="162"/>
      <c r="DB153" s="162"/>
      <c r="DC153" s="162"/>
    </row>
    <row r="154" ht="15.75" customHeight="1">
      <c r="A154" s="144" t="s">
        <v>122</v>
      </c>
      <c r="B154" s="144"/>
      <c r="C154" s="144" t="s">
        <v>120</v>
      </c>
      <c r="D154" s="144"/>
      <c r="E154" s="144"/>
      <c r="F154" s="144"/>
      <c r="G154" s="144"/>
      <c r="H154" s="144"/>
      <c r="I154" s="144"/>
      <c r="J154" s="144"/>
      <c r="K154" s="144"/>
      <c r="L154" s="144"/>
      <c r="M154" s="144"/>
      <c r="N154" s="144"/>
      <c r="O154" s="144"/>
      <c r="P154" s="162" t="s">
        <v>272</v>
      </c>
      <c r="Q154" s="162" t="s">
        <v>272</v>
      </c>
      <c r="R154" s="162" t="s">
        <v>272</v>
      </c>
      <c r="S154" s="162" t="s">
        <v>272</v>
      </c>
      <c r="T154" s="162" t="s">
        <v>272</v>
      </c>
      <c r="U154" s="162" t="s">
        <v>272</v>
      </c>
      <c r="V154" s="162" t="s">
        <v>272</v>
      </c>
      <c r="W154" s="162" t="s">
        <v>272</v>
      </c>
      <c r="X154" s="162" t="s">
        <v>272</v>
      </c>
      <c r="Y154" s="162" t="s">
        <v>272</v>
      </c>
      <c r="Z154" s="162" t="s">
        <v>272</v>
      </c>
      <c r="AA154" s="162" t="s">
        <v>272</v>
      </c>
      <c r="AB154" s="162" t="s">
        <v>272</v>
      </c>
      <c r="AC154" s="162" t="s">
        <v>272</v>
      </c>
      <c r="AD154" s="162" t="s">
        <v>272</v>
      </c>
      <c r="AE154" s="162" t="s">
        <v>272</v>
      </c>
      <c r="AF154" s="162" t="s">
        <v>272</v>
      </c>
      <c r="AG154" s="162" t="s">
        <v>272</v>
      </c>
      <c r="AH154" s="162">
        <f>SUMIFS('Opex Departments'!V:V,'Opex Departments'!$B:$B,$C154,'Opex Departments'!$A:$A,$A154)</f>
        <v>0</v>
      </c>
      <c r="AI154" s="162">
        <f>SUMIFS('Opex Departments'!W:W,'Opex Departments'!$B:$B,$C154,'Opex Departments'!$A:$A,$A154)</f>
        <v>0</v>
      </c>
      <c r="AJ154" s="162">
        <f>SUMIFS('Opex Departments'!X:X,'Opex Departments'!$B:$B,$C154,'Opex Departments'!$A:$A,$A154)</f>
        <v>0</v>
      </c>
      <c r="AK154" s="162">
        <f>SUMIFS('Opex Departments'!Y:Y,'Opex Departments'!$B:$B,$C154,'Opex Departments'!$A:$A,$A154)</f>
        <v>0</v>
      </c>
      <c r="AL154" s="162">
        <f>SUMIFS('Opex Departments'!Z:Z,'Opex Departments'!$B:$B,$C154,'Opex Departments'!$A:$A,$A154)</f>
        <v>0</v>
      </c>
      <c r="AM154" s="162">
        <f>SUMIFS('Opex Departments'!AA:AA,'Opex Departments'!$B:$B,$C154,'Opex Departments'!$A:$A,$A154)</f>
        <v>0</v>
      </c>
      <c r="AN154" s="162">
        <f>SUMIFS('Opex Departments'!AB:AB,'Opex Departments'!$B:$B,$C154,'Opex Departments'!$A:$A,$A154)</f>
        <v>0</v>
      </c>
      <c r="AO154" s="162">
        <f>SUMIFS('Opex Departments'!AC:AC,'Opex Departments'!$B:$B,$C154,'Opex Departments'!$A:$A,$A154)</f>
        <v>0</v>
      </c>
      <c r="AP154" s="162">
        <f>SUMIFS('Opex Departments'!AD:AD,'Opex Departments'!$B:$B,$C154,'Opex Departments'!$A:$A,$A154)</f>
        <v>0</v>
      </c>
      <c r="AQ154" s="162">
        <f>SUMIFS('Opex Departments'!AE:AE,'Opex Departments'!$B:$B,$C154,'Opex Departments'!$A:$A,$A154)</f>
        <v>0</v>
      </c>
      <c r="AR154" s="162">
        <f>SUMIFS('Opex Departments'!AF:AF,'Opex Departments'!$B:$B,$C154,'Opex Departments'!$A:$A,$A154)</f>
        <v>0</v>
      </c>
      <c r="AS154" s="162">
        <f>SUMIFS('Opex Departments'!AG:AG,'Opex Departments'!$B:$B,$C154,'Opex Departments'!$A:$A,$A154)</f>
        <v>0</v>
      </c>
      <c r="AT154" s="162">
        <f>SUMIFS('Opex Departments'!AH:AH,'Opex Departments'!$B:$B,$C154,'Opex Departments'!$A:$A,$A154)</f>
        <v>0</v>
      </c>
      <c r="AU154" s="162">
        <f>SUMIFS('Opex Departments'!AI:AI,'Opex Departments'!$B:$B,$C154,'Opex Departments'!$A:$A,$A154)</f>
        <v>0</v>
      </c>
      <c r="AV154" s="162">
        <f>SUMIFS('Opex Departments'!AJ:AJ,'Opex Departments'!$B:$B,$C154,'Opex Departments'!$A:$A,$A154)</f>
        <v>0</v>
      </c>
      <c r="AW154" s="162">
        <f>SUMIFS('Opex Departments'!AK:AK,'Opex Departments'!$B:$B,$C154,'Opex Departments'!$A:$A,$A154)</f>
        <v>0</v>
      </c>
      <c r="AX154" s="162">
        <f>SUMIFS('Opex Departments'!AL:AL,'Opex Departments'!$B:$B,$C154,'Opex Departments'!$A:$A,$A154)</f>
        <v>0</v>
      </c>
      <c r="AY154" s="162">
        <f>SUMIFS('Opex Departments'!AM:AM,'Opex Departments'!$B:$B,$C154,'Opex Departments'!$A:$A,$A154)</f>
        <v>0</v>
      </c>
      <c r="AZ154" s="162">
        <f>SUMIFS('Opex Departments'!AN:AN,'Opex Departments'!$B:$B,$C154,'Opex Departments'!$A:$A,$A154)</f>
        <v>0</v>
      </c>
      <c r="BA154" s="162">
        <f>SUMIFS('Opex Departments'!AO:AO,'Opex Departments'!$B:$B,$C154,'Opex Departments'!$A:$A,$A154)</f>
        <v>0</v>
      </c>
      <c r="BB154" s="162">
        <f>SUMIFS('Opex Departments'!AP:AP,'Opex Departments'!$B:$B,$C154,'Opex Departments'!$A:$A,$A154)</f>
        <v>0</v>
      </c>
      <c r="BC154" s="162">
        <f>SUMIFS('Opex Departments'!AQ:AQ,'Opex Departments'!$B:$B,$C154,'Opex Departments'!$A:$A,$A154)</f>
        <v>0</v>
      </c>
      <c r="BD154" s="162">
        <f>SUMIFS('Opex Departments'!AR:AR,'Opex Departments'!$B:$B,$C154,'Opex Departments'!$A:$A,$A154)</f>
        <v>0</v>
      </c>
      <c r="BE154" s="162">
        <f>SUMIFS('Opex Departments'!AS:AS,'Opex Departments'!$B:$B,$C154,'Opex Departments'!$A:$A,$A154)</f>
        <v>0</v>
      </c>
      <c r="BF154" s="162">
        <f>SUMIFS('Opex Departments'!AT:AT,'Opex Departments'!$B:$B,$C154,'Opex Departments'!$A:$A,$A154)</f>
        <v>0</v>
      </c>
      <c r="BG154" s="162">
        <f>SUMIFS('Opex Departments'!AU:AU,'Opex Departments'!$B:$B,$C154,'Opex Departments'!$A:$A,$A154)</f>
        <v>0</v>
      </c>
      <c r="BH154" s="162">
        <f>SUMIFS('Opex Departments'!AV:AV,'Opex Departments'!$B:$B,$C154,'Opex Departments'!$A:$A,$A154)</f>
        <v>0</v>
      </c>
      <c r="BI154" s="162">
        <f>SUMIFS('Opex Departments'!AW:AW,'Opex Departments'!$B:$B,$C154,'Opex Departments'!$A:$A,$A154)</f>
        <v>0</v>
      </c>
      <c r="BJ154" s="162">
        <f>SUMIFS('Opex Departments'!AX:AX,'Opex Departments'!$B:$B,$C154,'Opex Departments'!$A:$A,$A154)</f>
        <v>0</v>
      </c>
      <c r="BK154" s="162">
        <f>SUMIFS('Opex Departments'!AY:AY,'Opex Departments'!$B:$B,$C154,'Opex Departments'!$A:$A,$A154)</f>
        <v>0</v>
      </c>
      <c r="BL154" s="162">
        <f>SUMIFS('Opex Departments'!AZ:AZ,'Opex Departments'!$B:$B,$C154,'Opex Departments'!$A:$A,$A154)</f>
        <v>0</v>
      </c>
      <c r="BM154" s="162">
        <f>SUMIFS('Opex Departments'!BA:BA,'Opex Departments'!$B:$B,$C154,'Opex Departments'!$A:$A,$A154)</f>
        <v>0</v>
      </c>
      <c r="BN154" s="162">
        <f>SUMIFS('Opex Departments'!BB:BB,'Opex Departments'!$B:$B,$C154,'Opex Departments'!$A:$A,$A154)</f>
        <v>0</v>
      </c>
      <c r="BO154" s="162">
        <f>SUMIFS('Opex Departments'!BC:BC,'Opex Departments'!$B:$B,$C154,'Opex Departments'!$A:$A,$A154)</f>
        <v>0</v>
      </c>
      <c r="BP154" s="162">
        <f>SUMIFS('Opex Departments'!BD:BD,'Opex Departments'!$B:$B,$C154,'Opex Departments'!$A:$A,$A154)</f>
        <v>0</v>
      </c>
      <c r="BQ154" s="162">
        <f>SUMIFS('Opex Departments'!BE:BE,'Opex Departments'!$B:$B,$C154,'Opex Departments'!$A:$A,$A154)</f>
        <v>0</v>
      </c>
      <c r="BR154" s="162">
        <f>SUMIFS('Opex Departments'!BF:BF,'Opex Departments'!$B:$B,$C154,'Opex Departments'!$A:$A,$A154)</f>
        <v>0</v>
      </c>
      <c r="BS154" s="162">
        <f>SUMIFS('Opex Departments'!BG:BG,'Opex Departments'!$B:$B,$C154,'Opex Departments'!$A:$A,$A154)</f>
        <v>0</v>
      </c>
      <c r="BT154" s="162">
        <f>SUMIFS('Opex Departments'!BH:BH,'Opex Departments'!$B:$B,$C154,'Opex Departments'!$A:$A,$A154)</f>
        <v>0</v>
      </c>
      <c r="BU154" s="162">
        <f>SUMIFS('Opex Departments'!BI:BI,'Opex Departments'!$B:$B,$C154,'Opex Departments'!$A:$A,$A154)</f>
        <v>0</v>
      </c>
      <c r="BV154" s="162">
        <f>SUMIFS('Opex Departments'!BJ:BJ,'Opex Departments'!$B:$B,$C154,'Opex Departments'!$A:$A,$A154)</f>
        <v>0</v>
      </c>
      <c r="BW154" s="162">
        <f>SUMIFS('Opex Departments'!BK:BK,'Opex Departments'!$B:$B,$C154,'Opex Departments'!$A:$A,$A154)</f>
        <v>0</v>
      </c>
      <c r="BX154" s="162">
        <f>SUMIFS('Opex Departments'!BL:BL,'Opex Departments'!$B:$B,$C154,'Opex Departments'!$A:$A,$A154)</f>
        <v>0</v>
      </c>
      <c r="BY154" s="162">
        <f>SUMIFS('Opex Departments'!BM:BM,'Opex Departments'!$B:$B,$C154,'Opex Departments'!$A:$A,$A154)</f>
        <v>0</v>
      </c>
      <c r="BZ154" s="162">
        <f>SUMIFS('Opex Departments'!BN:BN,'Opex Departments'!$B:$B,$C154,'Opex Departments'!$A:$A,$A154)</f>
        <v>0</v>
      </c>
      <c r="CA154" s="162">
        <f>SUMIFS('Opex Departments'!BO:BO,'Opex Departments'!$B:$B,$C154,'Opex Departments'!$A:$A,$A154)</f>
        <v>0</v>
      </c>
      <c r="CB154" s="162">
        <f>SUMIFS('Opex Departments'!BP:BP,'Opex Departments'!$B:$B,$C154,'Opex Departments'!$A:$A,$A154)</f>
        <v>0</v>
      </c>
      <c r="CC154" s="162">
        <f>SUMIFS('Opex Departments'!BQ:BQ,'Opex Departments'!$B:$B,$C154,'Opex Departments'!$A:$A,$A154)</f>
        <v>0</v>
      </c>
      <c r="CD154" s="162">
        <f>SUMIFS('Opex Departments'!BR:BR,'Opex Departments'!$B:$B,$C154,'Opex Departments'!$A:$A,$A154)</f>
        <v>0</v>
      </c>
      <c r="CE154" s="162">
        <f>SUMIFS('Opex Departments'!BS:BS,'Opex Departments'!$B:$B,$C154,'Opex Departments'!$A:$A,$A154)</f>
        <v>0</v>
      </c>
      <c r="CF154" s="162">
        <f>SUMIFS('Opex Departments'!BT:BT,'Opex Departments'!$B:$B,$C154,'Opex Departments'!$A:$A,$A154)</f>
        <v>0</v>
      </c>
      <c r="CG154" s="162">
        <f>SUMIFS('Opex Departments'!BU:BU,'Opex Departments'!$B:$B,$C154,'Opex Departments'!$A:$A,$A154)</f>
        <v>0</v>
      </c>
      <c r="CH154" s="162">
        <f>SUMIFS('Opex Departments'!BV:BV,'Opex Departments'!$B:$B,$C154,'Opex Departments'!$A:$A,$A154)</f>
        <v>0</v>
      </c>
      <c r="CI154" s="162">
        <f>SUMIFS('Opex Departments'!BW:BW,'Opex Departments'!$B:$B,$C154,'Opex Departments'!$A:$A,$A154)</f>
        <v>0</v>
      </c>
      <c r="CJ154" s="162">
        <f>SUMIFS('Opex Departments'!BX:BX,'Opex Departments'!$B:$B,$C154,'Opex Departments'!$A:$A,$A154)</f>
        <v>0</v>
      </c>
      <c r="CK154" s="162">
        <f>SUMIFS('Opex Departments'!BY:BY,'Opex Departments'!$B:$B,$C154,'Opex Departments'!$A:$A,$A154)</f>
        <v>0</v>
      </c>
      <c r="CL154" s="162">
        <f>SUMIFS('Opex Departments'!BZ:BZ,'Opex Departments'!$B:$B,$C154,'Opex Departments'!$A:$A,$A154)</f>
        <v>0</v>
      </c>
      <c r="CM154" s="162">
        <f>SUMIFS('Opex Departments'!CA:CA,'Opex Departments'!$B:$B,$C154,'Opex Departments'!$A:$A,$A154)</f>
        <v>0</v>
      </c>
      <c r="CN154" s="162">
        <f>SUMIFS('Opex Departments'!CB:CB,'Opex Departments'!$B:$B,$C154,'Opex Departments'!$A:$A,$A154)</f>
        <v>0</v>
      </c>
      <c r="CO154" s="162">
        <f>SUMIFS('Opex Departments'!CC:CC,'Opex Departments'!$B:$B,$C154,'Opex Departments'!$A:$A,$A154)</f>
        <v>0</v>
      </c>
      <c r="CP154" s="162">
        <f>SUMIFS('Opex Departments'!CD:CD,'Opex Departments'!$B:$B,$C154,'Opex Departments'!$A:$A,$A154)</f>
        <v>0</v>
      </c>
      <c r="CQ154" s="162">
        <f>SUMIFS('Opex Departments'!CE:CE,'Opex Departments'!$B:$B,$C154,'Opex Departments'!$A:$A,$A154)</f>
        <v>0</v>
      </c>
      <c r="CR154" s="162">
        <f>SUMIFS('Opex Departments'!CF:CF,'Opex Departments'!$B:$B,$C154,'Opex Departments'!$A:$A,$A154)</f>
        <v>0</v>
      </c>
      <c r="CS154" s="162">
        <f>SUMIFS('Opex Departments'!CG:CG,'Opex Departments'!$B:$B,$C154,'Opex Departments'!$A:$A,$A154)</f>
        <v>0</v>
      </c>
      <c r="CT154" s="162">
        <f>SUMIFS('Opex Departments'!CH:CH,'Opex Departments'!$B:$B,$C154,'Opex Departments'!$A:$A,$A154)</f>
        <v>0</v>
      </c>
      <c r="CU154" s="162">
        <f>SUMIFS('Opex Departments'!CI:CI,'Opex Departments'!$B:$B,$C154,'Opex Departments'!$A:$A,$A154)</f>
        <v>0</v>
      </c>
      <c r="CV154" s="162"/>
      <c r="CW154" s="162"/>
      <c r="CX154" s="162"/>
      <c r="CY154" s="162"/>
      <c r="CZ154" s="162"/>
      <c r="DA154" s="162"/>
      <c r="DB154" s="162"/>
      <c r="DC154" s="162"/>
    </row>
    <row r="155" ht="15.75" customHeight="1">
      <c r="A155" s="144" t="s">
        <v>122</v>
      </c>
      <c r="B155" s="144"/>
      <c r="C155" s="144" t="s">
        <v>178</v>
      </c>
      <c r="D155" s="144"/>
      <c r="E155" s="144"/>
      <c r="F155" s="144"/>
      <c r="G155" s="144"/>
      <c r="H155" s="144"/>
      <c r="I155" s="144"/>
      <c r="J155" s="144"/>
      <c r="K155" s="144"/>
      <c r="L155" s="144"/>
      <c r="M155" s="144"/>
      <c r="N155" s="144"/>
      <c r="O155" s="144"/>
      <c r="P155" s="162" t="s">
        <v>272</v>
      </c>
      <c r="Q155" s="162" t="s">
        <v>272</v>
      </c>
      <c r="R155" s="162" t="s">
        <v>272</v>
      </c>
      <c r="S155" s="162" t="s">
        <v>272</v>
      </c>
      <c r="T155" s="162" t="s">
        <v>272</v>
      </c>
      <c r="U155" s="162" t="s">
        <v>272</v>
      </c>
      <c r="V155" s="162" t="s">
        <v>272</v>
      </c>
      <c r="W155" s="162" t="s">
        <v>272</v>
      </c>
      <c r="X155" s="162" t="s">
        <v>272</v>
      </c>
      <c r="Y155" s="162" t="s">
        <v>272</v>
      </c>
      <c r="Z155" s="162" t="s">
        <v>272</v>
      </c>
      <c r="AA155" s="162">
        <v>200.0</v>
      </c>
      <c r="AB155" s="162" t="s">
        <v>272</v>
      </c>
      <c r="AC155" s="162" t="s">
        <v>272</v>
      </c>
      <c r="AD155" s="162" t="s">
        <v>272</v>
      </c>
      <c r="AE155" s="162" t="s">
        <v>272</v>
      </c>
      <c r="AF155" s="162" t="s">
        <v>272</v>
      </c>
      <c r="AG155" s="162" t="s">
        <v>272</v>
      </c>
      <c r="AH155" s="162">
        <f>SUMIFS('Opex Departments'!V:V,'Opex Departments'!$B:$B,$C155,'Opex Departments'!$A:$A,$A155)</f>
        <v>2282</v>
      </c>
      <c r="AI155" s="162">
        <f>SUMIFS('Opex Departments'!W:W,'Opex Departments'!$B:$B,$C155,'Opex Departments'!$A:$A,$A155)</f>
        <v>5671</v>
      </c>
      <c r="AJ155" s="162">
        <f>SUMIFS('Opex Departments'!X:X,'Opex Departments'!$B:$B,$C155,'Opex Departments'!$A:$A,$A155)</f>
        <v>2006</v>
      </c>
      <c r="AK155" s="162">
        <f>SUMIFS('Opex Departments'!Y:Y,'Opex Departments'!$B:$B,$C155,'Opex Departments'!$A:$A,$A155)</f>
        <v>6730</v>
      </c>
      <c r="AL155" s="162">
        <f>SUMIFS('Opex Departments'!Z:Z,'Opex Departments'!$B:$B,$C155,'Opex Departments'!$A:$A,$A155)</f>
        <v>5251</v>
      </c>
      <c r="AM155" s="162">
        <f>SUMIFS('Opex Departments'!AA:AA,'Opex Departments'!$B:$B,$C155,'Opex Departments'!$A:$A,$A155)</f>
        <v>1608.88</v>
      </c>
      <c r="AN155" s="162">
        <f>SUMIFS('Opex Departments'!AB:AB,'Opex Departments'!$B:$B,$C155,'Opex Departments'!$A:$A,$A155)</f>
        <v>1358.88</v>
      </c>
      <c r="AO155" s="162">
        <f>SUMIFS('Opex Departments'!AC:AC,'Opex Departments'!$B:$B,$C155,'Opex Departments'!$A:$A,$A155)</f>
        <v>1358.88</v>
      </c>
      <c r="AP155" s="162">
        <f>SUMIFS('Opex Departments'!AD:AD,'Opex Departments'!$B:$B,$C155,'Opex Departments'!$A:$A,$A155)</f>
        <v>1358.88</v>
      </c>
      <c r="AQ155" s="162">
        <f>SUMIFS('Opex Departments'!AE:AE,'Opex Departments'!$B:$B,$C155,'Opex Departments'!$A:$A,$A155)</f>
        <v>1358.88</v>
      </c>
      <c r="AR155" s="162">
        <f>SUMIFS('Opex Departments'!AF:AF,'Opex Departments'!$B:$B,$C155,'Opex Departments'!$A:$A,$A155)</f>
        <v>1358.88</v>
      </c>
      <c r="AS155" s="162">
        <f>SUMIFS('Opex Departments'!AG:AG,'Opex Departments'!$B:$B,$C155,'Opex Departments'!$A:$A,$A155)</f>
        <v>1358.88</v>
      </c>
      <c r="AT155" s="162">
        <f>SUMIFS('Opex Departments'!AH:AH,'Opex Departments'!$B:$B,$C155,'Opex Departments'!$A:$A,$A155)</f>
        <v>1358.88</v>
      </c>
      <c r="AU155" s="162">
        <f>SUMIFS('Opex Departments'!AI:AI,'Opex Departments'!$B:$B,$C155,'Opex Departments'!$A:$A,$A155)</f>
        <v>1358.88</v>
      </c>
      <c r="AV155" s="162">
        <f>SUMIFS('Opex Departments'!AJ:AJ,'Opex Departments'!$B:$B,$C155,'Opex Departments'!$A:$A,$A155)</f>
        <v>1358.88</v>
      </c>
      <c r="AW155" s="162">
        <f>SUMIFS('Opex Departments'!AK:AK,'Opex Departments'!$B:$B,$C155,'Opex Departments'!$A:$A,$A155)</f>
        <v>1358.88</v>
      </c>
      <c r="AX155" s="162">
        <f>SUMIFS('Opex Departments'!AL:AL,'Opex Departments'!$B:$B,$C155,'Opex Departments'!$A:$A,$A155)</f>
        <v>1358.88</v>
      </c>
      <c r="AY155" s="162">
        <f>SUMIFS('Opex Departments'!AM:AM,'Opex Departments'!$B:$B,$C155,'Opex Departments'!$A:$A,$A155)</f>
        <v>1358.88</v>
      </c>
      <c r="AZ155" s="162">
        <f>SUMIFS('Opex Departments'!AN:AN,'Opex Departments'!$B:$B,$C155,'Opex Departments'!$A:$A,$A155)</f>
        <v>2783.88</v>
      </c>
      <c r="BA155" s="162">
        <f>SUMIFS('Opex Departments'!AO:AO,'Opex Departments'!$B:$B,$C155,'Opex Departments'!$A:$A,$A155)</f>
        <v>2783.88</v>
      </c>
      <c r="BB155" s="162">
        <f>SUMIFS('Opex Departments'!AP:AP,'Opex Departments'!$B:$B,$C155,'Opex Departments'!$A:$A,$A155)</f>
        <v>2783.88</v>
      </c>
      <c r="BC155" s="162">
        <f>SUMIFS('Opex Departments'!AQ:AQ,'Opex Departments'!$B:$B,$C155,'Opex Departments'!$A:$A,$A155)</f>
        <v>2783.88</v>
      </c>
      <c r="BD155" s="162">
        <f>SUMIFS('Opex Departments'!AR:AR,'Opex Departments'!$B:$B,$C155,'Opex Departments'!$A:$A,$A155)</f>
        <v>2783.88</v>
      </c>
      <c r="BE155" s="162">
        <f>SUMIFS('Opex Departments'!AS:AS,'Opex Departments'!$B:$B,$C155,'Opex Departments'!$A:$A,$A155)</f>
        <v>2783.88</v>
      </c>
      <c r="BF155" s="162">
        <f>SUMIFS('Opex Departments'!AT:AT,'Opex Departments'!$B:$B,$C155,'Opex Departments'!$A:$A,$A155)</f>
        <v>4208.88</v>
      </c>
      <c r="BG155" s="162">
        <f>SUMIFS('Opex Departments'!AU:AU,'Opex Departments'!$B:$B,$C155,'Opex Departments'!$A:$A,$A155)</f>
        <v>4208.88</v>
      </c>
      <c r="BH155" s="162">
        <f>SUMIFS('Opex Departments'!AV:AV,'Opex Departments'!$B:$B,$C155,'Opex Departments'!$A:$A,$A155)</f>
        <v>4208.88</v>
      </c>
      <c r="BI155" s="162">
        <f>SUMIFS('Opex Departments'!AW:AW,'Opex Departments'!$B:$B,$C155,'Opex Departments'!$A:$A,$A155)</f>
        <v>4208.88</v>
      </c>
      <c r="BJ155" s="162">
        <f>SUMIFS('Opex Departments'!AX:AX,'Opex Departments'!$B:$B,$C155,'Opex Departments'!$A:$A,$A155)</f>
        <v>4208.88</v>
      </c>
      <c r="BK155" s="162">
        <f>SUMIFS('Opex Departments'!AY:AY,'Opex Departments'!$B:$B,$C155,'Opex Departments'!$A:$A,$A155)</f>
        <v>4208.88</v>
      </c>
      <c r="BL155" s="162">
        <f>SUMIFS('Opex Departments'!AZ:AZ,'Opex Departments'!$B:$B,$C155,'Opex Departments'!$A:$A,$A155)</f>
        <v>5633.88</v>
      </c>
      <c r="BM155" s="162">
        <f>SUMIFS('Opex Departments'!BA:BA,'Opex Departments'!$B:$B,$C155,'Opex Departments'!$A:$A,$A155)</f>
        <v>5633.88</v>
      </c>
      <c r="BN155" s="162">
        <f>SUMIFS('Opex Departments'!BB:BB,'Opex Departments'!$B:$B,$C155,'Opex Departments'!$A:$A,$A155)</f>
        <v>5633.88</v>
      </c>
      <c r="BO155" s="162">
        <f>SUMIFS('Opex Departments'!BC:BC,'Opex Departments'!$B:$B,$C155,'Opex Departments'!$A:$A,$A155)</f>
        <v>5633.88</v>
      </c>
      <c r="BP155" s="162">
        <f>SUMIFS('Opex Departments'!BD:BD,'Opex Departments'!$B:$B,$C155,'Opex Departments'!$A:$A,$A155)</f>
        <v>5633.88</v>
      </c>
      <c r="BQ155" s="162">
        <f>SUMIFS('Opex Departments'!BE:BE,'Opex Departments'!$B:$B,$C155,'Opex Departments'!$A:$A,$A155)</f>
        <v>5633.88</v>
      </c>
      <c r="BR155" s="162">
        <f>SUMIFS('Opex Departments'!BF:BF,'Opex Departments'!$B:$B,$C155,'Opex Departments'!$A:$A,$A155)</f>
        <v>7058.88</v>
      </c>
      <c r="BS155" s="162">
        <f>SUMIFS('Opex Departments'!BG:BG,'Opex Departments'!$B:$B,$C155,'Opex Departments'!$A:$A,$A155)</f>
        <v>7058.88</v>
      </c>
      <c r="BT155" s="162">
        <f>SUMIFS('Opex Departments'!BH:BH,'Opex Departments'!$B:$B,$C155,'Opex Departments'!$A:$A,$A155)</f>
        <v>7058.88</v>
      </c>
      <c r="BU155" s="162">
        <f>SUMIFS('Opex Departments'!BI:BI,'Opex Departments'!$B:$B,$C155,'Opex Departments'!$A:$A,$A155)</f>
        <v>7058.88</v>
      </c>
      <c r="BV155" s="162">
        <f>SUMIFS('Opex Departments'!BJ:BJ,'Opex Departments'!$B:$B,$C155,'Opex Departments'!$A:$A,$A155)</f>
        <v>7058.88</v>
      </c>
      <c r="BW155" s="162">
        <f>SUMIFS('Opex Departments'!BK:BK,'Opex Departments'!$B:$B,$C155,'Opex Departments'!$A:$A,$A155)</f>
        <v>7058.88</v>
      </c>
      <c r="BX155" s="162">
        <f>SUMIFS('Opex Departments'!BL:BL,'Opex Departments'!$B:$B,$C155,'Opex Departments'!$A:$A,$A155)</f>
        <v>8483.88</v>
      </c>
      <c r="BY155" s="162">
        <f>SUMIFS('Opex Departments'!BM:BM,'Opex Departments'!$B:$B,$C155,'Opex Departments'!$A:$A,$A155)</f>
        <v>8483.88</v>
      </c>
      <c r="BZ155" s="162">
        <f>SUMIFS('Opex Departments'!BN:BN,'Opex Departments'!$B:$B,$C155,'Opex Departments'!$A:$A,$A155)</f>
        <v>8483.88</v>
      </c>
      <c r="CA155" s="162">
        <f>SUMIFS('Opex Departments'!BO:BO,'Opex Departments'!$B:$B,$C155,'Opex Departments'!$A:$A,$A155)</f>
        <v>8483.88</v>
      </c>
      <c r="CB155" s="162">
        <f>SUMIFS('Opex Departments'!BP:BP,'Opex Departments'!$B:$B,$C155,'Opex Departments'!$A:$A,$A155)</f>
        <v>8483.88</v>
      </c>
      <c r="CC155" s="162">
        <f>SUMIFS('Opex Departments'!BQ:BQ,'Opex Departments'!$B:$B,$C155,'Opex Departments'!$A:$A,$A155)</f>
        <v>8483.88</v>
      </c>
      <c r="CD155" s="162">
        <f>SUMIFS('Opex Departments'!BR:BR,'Opex Departments'!$B:$B,$C155,'Opex Departments'!$A:$A,$A155)</f>
        <v>9908.88</v>
      </c>
      <c r="CE155" s="162">
        <f>SUMIFS('Opex Departments'!BS:BS,'Opex Departments'!$B:$B,$C155,'Opex Departments'!$A:$A,$A155)</f>
        <v>9908.88</v>
      </c>
      <c r="CF155" s="162">
        <f>SUMIFS('Opex Departments'!BT:BT,'Opex Departments'!$B:$B,$C155,'Opex Departments'!$A:$A,$A155)</f>
        <v>9908.88</v>
      </c>
      <c r="CG155" s="162">
        <f>SUMIFS('Opex Departments'!BU:BU,'Opex Departments'!$B:$B,$C155,'Opex Departments'!$A:$A,$A155)</f>
        <v>9908.88</v>
      </c>
      <c r="CH155" s="162">
        <f>SUMIFS('Opex Departments'!BV:BV,'Opex Departments'!$B:$B,$C155,'Opex Departments'!$A:$A,$A155)</f>
        <v>9908.88</v>
      </c>
      <c r="CI155" s="162">
        <f>SUMIFS('Opex Departments'!BW:BW,'Opex Departments'!$B:$B,$C155,'Opex Departments'!$A:$A,$A155)</f>
        <v>9908.88</v>
      </c>
      <c r="CJ155" s="162">
        <f>SUMIFS('Opex Departments'!BX:BX,'Opex Departments'!$B:$B,$C155,'Opex Departments'!$A:$A,$A155)</f>
        <v>11333.88</v>
      </c>
      <c r="CK155" s="162">
        <f>SUMIFS('Opex Departments'!BY:BY,'Opex Departments'!$B:$B,$C155,'Opex Departments'!$A:$A,$A155)</f>
        <v>11333.88</v>
      </c>
      <c r="CL155" s="162">
        <f>SUMIFS('Opex Departments'!BZ:BZ,'Opex Departments'!$B:$B,$C155,'Opex Departments'!$A:$A,$A155)</f>
        <v>11333.88</v>
      </c>
      <c r="CM155" s="162">
        <f>SUMIFS('Opex Departments'!CA:CA,'Opex Departments'!$B:$B,$C155,'Opex Departments'!$A:$A,$A155)</f>
        <v>11333.88</v>
      </c>
      <c r="CN155" s="162">
        <f>SUMIFS('Opex Departments'!CB:CB,'Opex Departments'!$B:$B,$C155,'Opex Departments'!$A:$A,$A155)</f>
        <v>11333.88</v>
      </c>
      <c r="CO155" s="162">
        <f>SUMIFS('Opex Departments'!CC:CC,'Opex Departments'!$B:$B,$C155,'Opex Departments'!$A:$A,$A155)</f>
        <v>11333.88</v>
      </c>
      <c r="CP155" s="162">
        <f>SUMIFS('Opex Departments'!CD:CD,'Opex Departments'!$B:$B,$C155,'Opex Departments'!$A:$A,$A155)</f>
        <v>12758.88</v>
      </c>
      <c r="CQ155" s="162">
        <f>SUMIFS('Opex Departments'!CE:CE,'Opex Departments'!$B:$B,$C155,'Opex Departments'!$A:$A,$A155)</f>
        <v>12758.88</v>
      </c>
      <c r="CR155" s="162">
        <f>SUMIFS('Opex Departments'!CF:CF,'Opex Departments'!$B:$B,$C155,'Opex Departments'!$A:$A,$A155)</f>
        <v>12758.88</v>
      </c>
      <c r="CS155" s="162">
        <f>SUMIFS('Opex Departments'!CG:CG,'Opex Departments'!$B:$B,$C155,'Opex Departments'!$A:$A,$A155)</f>
        <v>12758.88</v>
      </c>
      <c r="CT155" s="162">
        <f>SUMIFS('Opex Departments'!CH:CH,'Opex Departments'!$B:$B,$C155,'Opex Departments'!$A:$A,$A155)</f>
        <v>12758.88</v>
      </c>
      <c r="CU155" s="162">
        <f>SUMIFS('Opex Departments'!CI:CI,'Opex Departments'!$B:$B,$C155,'Opex Departments'!$A:$A,$A155)</f>
        <v>12758.88</v>
      </c>
      <c r="CV155" s="162"/>
      <c r="CW155" s="162"/>
      <c r="CX155" s="162"/>
      <c r="CY155" s="162"/>
      <c r="CZ155" s="162"/>
      <c r="DA155" s="162"/>
      <c r="DB155" s="162"/>
      <c r="DC155" s="162"/>
    </row>
    <row r="156" ht="15.75" customHeight="1">
      <c r="A156" s="144" t="s">
        <v>122</v>
      </c>
      <c r="B156" s="144"/>
      <c r="C156" s="176" t="s">
        <v>179</v>
      </c>
      <c r="D156" s="144"/>
      <c r="E156" s="144"/>
      <c r="F156" s="144"/>
      <c r="G156" s="144"/>
      <c r="H156" s="144"/>
      <c r="I156" s="144"/>
      <c r="J156" s="144"/>
      <c r="K156" s="144"/>
      <c r="L156" s="144"/>
      <c r="M156" s="144"/>
      <c r="N156" s="144"/>
      <c r="O156" s="144"/>
      <c r="P156" s="162" t="s">
        <v>272</v>
      </c>
      <c r="Q156" s="162" t="s">
        <v>272</v>
      </c>
      <c r="R156" s="162" t="s">
        <v>272</v>
      </c>
      <c r="S156" s="162" t="s">
        <v>272</v>
      </c>
      <c r="T156" s="162" t="s">
        <v>272</v>
      </c>
      <c r="U156" s="162" t="s">
        <v>272</v>
      </c>
      <c r="V156" s="162" t="s">
        <v>272</v>
      </c>
      <c r="W156" s="162" t="s">
        <v>272</v>
      </c>
      <c r="X156" s="162" t="s">
        <v>272</v>
      </c>
      <c r="Y156" s="162" t="s">
        <v>272</v>
      </c>
      <c r="Z156" s="162" t="s">
        <v>272</v>
      </c>
      <c r="AA156" s="162" t="s">
        <v>272</v>
      </c>
      <c r="AB156" s="162" t="s">
        <v>272</v>
      </c>
      <c r="AC156" s="162" t="s">
        <v>272</v>
      </c>
      <c r="AD156" s="162">
        <f>SUMIFS('Opex Departments'!R:R,'Opex Departments'!$B:$B,$C156,'Opex Departments'!$A:$A,$A156)</f>
        <v>5739</v>
      </c>
      <c r="AE156" s="162">
        <f>SUMIFS('Opex Departments'!S:S,'Opex Departments'!$B:$B,$C156,'Opex Departments'!$A:$A,$A156)</f>
        <v>10410</v>
      </c>
      <c r="AF156" s="162">
        <f>SUMIFS('Opex Departments'!T:T,'Opex Departments'!$B:$B,$C156,'Opex Departments'!$A:$A,$A156)</f>
        <v>2448</v>
      </c>
      <c r="AG156" s="162">
        <f>SUMIFS('Opex Departments'!U:U,'Opex Departments'!$B:$B,$C156,'Opex Departments'!$A:$A,$A156)</f>
        <v>7487</v>
      </c>
      <c r="AH156" s="162">
        <f>SUMIFS('Opex Departments'!V:V,'Opex Departments'!$B:$B,$C156,'Opex Departments'!$A:$A,$A156)</f>
        <v>7203</v>
      </c>
      <c r="AI156" s="162">
        <f>SUMIFS('Opex Departments'!W:W,'Opex Departments'!$B:$B,$C156,'Opex Departments'!$A:$A,$A156)</f>
        <v>9589</v>
      </c>
      <c r="AJ156" s="162">
        <f>SUMIFS('Opex Departments'!X:X,'Opex Departments'!$B:$B,$C156,'Opex Departments'!$A:$A,$A156)</f>
        <v>7359</v>
      </c>
      <c r="AK156" s="162">
        <f>SUMIFS('Opex Departments'!Y:Y,'Opex Departments'!$B:$B,$C156,'Opex Departments'!$A:$A,$A156)</f>
        <v>5940</v>
      </c>
      <c r="AL156" s="162">
        <f>SUMIFS('Opex Departments'!Z:Z,'Opex Departments'!$B:$B,$C156,'Opex Departments'!$A:$A,$A156)</f>
        <v>7382</v>
      </c>
      <c r="AM156" s="162">
        <f>SUMIFS('Opex Departments'!AA:AA,'Opex Departments'!$B:$B,$C156,'Opex Departments'!$A:$A,$A156)</f>
        <v>5957.3</v>
      </c>
      <c r="AN156" s="162">
        <f>SUMIFS('Opex Departments'!AB:AB,'Opex Departments'!$B:$B,$C156,'Opex Departments'!$A:$A,$A156)</f>
        <v>3207</v>
      </c>
      <c r="AO156" s="162">
        <f>SUMIFS('Opex Departments'!AC:AC,'Opex Departments'!$B:$B,$C156,'Opex Departments'!$A:$A,$A156)</f>
        <v>1481.21628</v>
      </c>
      <c r="AP156" s="162">
        <f>SUMIFS('Opex Departments'!AD:AD,'Opex Departments'!$B:$B,$C156,'Opex Departments'!$A:$A,$A156)</f>
        <v>1496.028443</v>
      </c>
      <c r="AQ156" s="162">
        <f>SUMIFS('Opex Departments'!AE:AE,'Opex Departments'!$B:$B,$C156,'Opex Departments'!$A:$A,$A156)</f>
        <v>1510.988727</v>
      </c>
      <c r="AR156" s="162">
        <f>SUMIFS('Opex Departments'!AF:AF,'Opex Departments'!$B:$B,$C156,'Opex Departments'!$A:$A,$A156)</f>
        <v>12025</v>
      </c>
      <c r="AS156" s="162">
        <f>SUMIFS('Opex Departments'!AG:AG,'Opex Departments'!$B:$B,$C156,'Opex Departments'!$A:$A,$A156)</f>
        <v>1541.359601</v>
      </c>
      <c r="AT156" s="162">
        <f>SUMIFS('Opex Departments'!AH:AH,'Opex Departments'!$B:$B,$C156,'Opex Departments'!$A:$A,$A156)</f>
        <v>1556.773197</v>
      </c>
      <c r="AU156" s="162">
        <f>SUMIFS('Opex Departments'!AI:AI,'Opex Departments'!$B:$B,$C156,'Opex Departments'!$A:$A,$A156)</f>
        <v>1572.340929</v>
      </c>
      <c r="AV156" s="162">
        <f>SUMIFS('Opex Departments'!AJ:AJ,'Opex Departments'!$B:$B,$C156,'Opex Departments'!$A:$A,$A156)</f>
        <v>12350</v>
      </c>
      <c r="AW156" s="162">
        <f>SUMIFS('Opex Departments'!AK:AK,'Opex Departments'!$B:$B,$C156,'Opex Departments'!$A:$A,$A156)</f>
        <v>1603.944982</v>
      </c>
      <c r="AX156" s="162">
        <f>SUMIFS('Opex Departments'!AL:AL,'Opex Departments'!$B:$B,$C156,'Opex Departments'!$A:$A,$A156)</f>
        <v>1619.984431</v>
      </c>
      <c r="AY156" s="162">
        <f>SUMIFS('Opex Departments'!AM:AM,'Opex Departments'!$B:$B,$C156,'Opex Departments'!$A:$A,$A156)</f>
        <v>1636.184276</v>
      </c>
      <c r="AZ156" s="162">
        <f>SUMIFS('Opex Departments'!AN:AN,'Opex Departments'!$B:$B,$C156,'Opex Departments'!$A:$A,$A156)</f>
        <v>13065</v>
      </c>
      <c r="BA156" s="162">
        <f>SUMIFS('Opex Departments'!AO:AO,'Opex Departments'!$B:$B,$C156,'Opex Departments'!$A:$A,$A156)</f>
        <v>490.9034058</v>
      </c>
      <c r="BB156" s="162">
        <f>SUMIFS('Opex Departments'!AP:AP,'Opex Departments'!$B:$B,$C156,'Opex Departments'!$A:$A,$A156)</f>
        <v>495.8124398</v>
      </c>
      <c r="BC156" s="162">
        <f>SUMIFS('Opex Departments'!AQ:AQ,'Opex Departments'!$B:$B,$C156,'Opex Departments'!$A:$A,$A156)</f>
        <v>500.7705642</v>
      </c>
      <c r="BD156" s="162">
        <f>SUMIFS('Opex Departments'!AR:AR,'Opex Departments'!$B:$B,$C156,'Opex Departments'!$A:$A,$A156)</f>
        <v>13390</v>
      </c>
      <c r="BE156" s="162">
        <f>SUMIFS('Opex Departments'!AS:AS,'Opex Departments'!$B:$B,$C156,'Opex Departments'!$A:$A,$A156)</f>
        <v>510.8360526</v>
      </c>
      <c r="BF156" s="162">
        <f>SUMIFS('Opex Departments'!AT:AT,'Opex Departments'!$B:$B,$C156,'Opex Departments'!$A:$A,$A156)</f>
        <v>515.9444131</v>
      </c>
      <c r="BG156" s="162">
        <f>SUMIFS('Opex Departments'!AU:AU,'Opex Departments'!$B:$B,$C156,'Opex Departments'!$A:$A,$A156)</f>
        <v>521.1038572</v>
      </c>
      <c r="BH156" s="162">
        <f>SUMIFS('Opex Departments'!AV:AV,'Opex Departments'!$B:$B,$C156,'Opex Departments'!$A:$A,$A156)</f>
        <v>13715</v>
      </c>
      <c r="BI156" s="162">
        <f>SUMIFS('Opex Departments'!AW:AW,'Opex Departments'!$B:$B,$C156,'Opex Departments'!$A:$A,$A156)</f>
        <v>531.5780447</v>
      </c>
      <c r="BJ156" s="162">
        <f>SUMIFS('Opex Departments'!AX:AX,'Opex Departments'!$B:$B,$C156,'Opex Departments'!$A:$A,$A156)</f>
        <v>536.8938252</v>
      </c>
      <c r="BK156" s="162">
        <f>SUMIFS('Opex Departments'!AY:AY,'Opex Departments'!$B:$B,$C156,'Opex Departments'!$A:$A,$A156)</f>
        <v>542.2627634</v>
      </c>
      <c r="BL156" s="162">
        <f>SUMIFS('Opex Departments'!AZ:AZ,'Opex Departments'!$B:$B,$C156,'Opex Departments'!$A:$A,$A156)</f>
        <v>13975</v>
      </c>
      <c r="BM156" s="162">
        <f>SUMIFS('Opex Departments'!BA:BA,'Opex Departments'!$B:$B,$C156,'Opex Departments'!$A:$A,$A156)</f>
        <v>553.162245</v>
      </c>
      <c r="BN156" s="162">
        <f>SUMIFS('Opex Departments'!BB:BB,'Opex Departments'!$B:$B,$C156,'Opex Departments'!$A:$A,$A156)</f>
        <v>558.6938674</v>
      </c>
      <c r="BO156" s="162">
        <f>SUMIFS('Opex Departments'!BC:BC,'Opex Departments'!$B:$B,$C156,'Opex Departments'!$A:$A,$A156)</f>
        <v>564.2808061</v>
      </c>
      <c r="BP156" s="162">
        <f>SUMIFS('Opex Departments'!BD:BD,'Opex Departments'!$B:$B,$C156,'Opex Departments'!$A:$A,$A156)</f>
        <v>14625</v>
      </c>
      <c r="BQ156" s="162">
        <f>SUMIFS('Opex Departments'!BE:BE,'Opex Departments'!$B:$B,$C156,'Opex Departments'!$A:$A,$A156)</f>
        <v>575.6228503</v>
      </c>
      <c r="BR156" s="162">
        <f>SUMIFS('Opex Departments'!BF:BF,'Opex Departments'!$B:$B,$C156,'Opex Departments'!$A:$A,$A156)</f>
        <v>581.3790788</v>
      </c>
      <c r="BS156" s="162">
        <f>SUMIFS('Opex Departments'!BG:BG,'Opex Departments'!$B:$B,$C156,'Opex Departments'!$A:$A,$A156)</f>
        <v>587.1928696</v>
      </c>
      <c r="BT156" s="162">
        <f>SUMIFS('Opex Departments'!BH:BH,'Opex Departments'!$B:$B,$C156,'Opex Departments'!$A:$A,$A156)</f>
        <v>15080</v>
      </c>
      <c r="BU156" s="162">
        <f>SUMIFS('Opex Departments'!BI:BI,'Opex Departments'!$B:$B,$C156,'Opex Departments'!$A:$A,$A156)</f>
        <v>598.9954463</v>
      </c>
      <c r="BV156" s="162">
        <f>SUMIFS('Opex Departments'!BJ:BJ,'Opex Departments'!$B:$B,$C156,'Opex Departments'!$A:$A,$A156)</f>
        <v>604.9854008</v>
      </c>
      <c r="BW156" s="162">
        <f>SUMIFS('Opex Departments'!BK:BK,'Opex Departments'!$B:$B,$C156,'Opex Departments'!$A:$A,$A156)</f>
        <v>611.0352548</v>
      </c>
      <c r="BX156" s="162">
        <f>SUMIFS('Opex Departments'!BL:BL,'Opex Departments'!$B:$B,$C156,'Opex Departments'!$A:$A,$A156)</f>
        <v>15535</v>
      </c>
      <c r="BY156" s="162">
        <f>SUMIFS('Opex Departments'!BM:BM,'Opex Departments'!$B:$B,$C156,'Opex Departments'!$A:$A,$A156)</f>
        <v>623.3170634</v>
      </c>
      <c r="BZ156" s="162">
        <f>SUMIFS('Opex Departments'!BN:BN,'Opex Departments'!$B:$B,$C156,'Opex Departments'!$A:$A,$A156)</f>
        <v>629.550234</v>
      </c>
      <c r="CA156" s="162">
        <f>SUMIFS('Opex Departments'!BO:BO,'Opex Departments'!$B:$B,$C156,'Opex Departments'!$A:$A,$A156)</f>
        <v>635.8457364</v>
      </c>
      <c r="CB156" s="162">
        <f>SUMIFS('Opex Departments'!BP:BP,'Opex Departments'!$B:$B,$C156,'Opex Departments'!$A:$A,$A156)</f>
        <v>17420</v>
      </c>
      <c r="CC156" s="162">
        <f>SUMIFS('Opex Departments'!BQ:BQ,'Opex Departments'!$B:$B,$C156,'Opex Departments'!$A:$A,$A156)</f>
        <v>648.6262357</v>
      </c>
      <c r="CD156" s="162">
        <f>SUMIFS('Opex Departments'!BR:BR,'Opex Departments'!$B:$B,$C156,'Opex Departments'!$A:$A,$A156)</f>
        <v>655.112498</v>
      </c>
      <c r="CE156" s="162">
        <f>SUMIFS('Opex Departments'!BS:BS,'Opex Departments'!$B:$B,$C156,'Opex Departments'!$A:$A,$A156)</f>
        <v>661.663623</v>
      </c>
      <c r="CF156" s="162">
        <f>SUMIFS('Opex Departments'!BT:BT,'Opex Departments'!$B:$B,$C156,'Opex Departments'!$A:$A,$A156)</f>
        <v>17940</v>
      </c>
      <c r="CG156" s="162">
        <f>SUMIFS('Opex Departments'!BU:BU,'Opex Departments'!$B:$B,$C156,'Opex Departments'!$A:$A,$A156)</f>
        <v>674.9630618</v>
      </c>
      <c r="CH156" s="162">
        <f>SUMIFS('Opex Departments'!BV:BV,'Opex Departments'!$B:$B,$C156,'Opex Departments'!$A:$A,$A156)</f>
        <v>681.7126924</v>
      </c>
      <c r="CI156" s="162">
        <f>SUMIFS('Opex Departments'!BW:BW,'Opex Departments'!$B:$B,$C156,'Opex Departments'!$A:$A,$A156)</f>
        <v>688.5298194</v>
      </c>
      <c r="CJ156" s="162">
        <f>SUMIFS('Opex Departments'!BX:BX,'Opex Departments'!$B:$B,$C156,'Opex Departments'!$A:$A,$A156)</f>
        <v>18330</v>
      </c>
      <c r="CK156" s="162">
        <f>SUMIFS('Opex Departments'!BY:BY,'Opex Departments'!$B:$B,$C156,'Opex Departments'!$A:$A,$A156)</f>
        <v>702.3692687</v>
      </c>
      <c r="CL156" s="162">
        <f>SUMIFS('Opex Departments'!BZ:BZ,'Opex Departments'!$B:$B,$C156,'Opex Departments'!$A:$A,$A156)</f>
        <v>709.3929614</v>
      </c>
      <c r="CM156" s="162">
        <f>SUMIFS('Opex Departments'!CA:CA,'Opex Departments'!$B:$B,$C156,'Opex Departments'!$A:$A,$A156)</f>
        <v>716.486891</v>
      </c>
      <c r="CN156" s="162">
        <f>SUMIFS('Opex Departments'!CB:CB,'Opex Departments'!$B:$B,$C156,'Opex Departments'!$A:$A,$A156)</f>
        <v>18850</v>
      </c>
      <c r="CO156" s="162">
        <f>SUMIFS('Opex Departments'!CC:CC,'Opex Departments'!$B:$B,$C156,'Opex Departments'!$A:$A,$A156)</f>
        <v>730.8882775</v>
      </c>
      <c r="CP156" s="162">
        <f>SUMIFS('Opex Departments'!CD:CD,'Opex Departments'!$B:$B,$C156,'Opex Departments'!$A:$A,$A156)</f>
        <v>738.1971603</v>
      </c>
      <c r="CQ156" s="162">
        <f>SUMIFS('Opex Departments'!CE:CE,'Opex Departments'!$B:$B,$C156,'Opex Departments'!$A:$A,$A156)</f>
        <v>745.5791319</v>
      </c>
      <c r="CR156" s="162">
        <f>SUMIFS('Opex Departments'!CF:CF,'Opex Departments'!$B:$B,$C156,'Opex Departments'!$A:$A,$A156)</f>
        <v>19110</v>
      </c>
      <c r="CS156" s="162">
        <f>SUMIFS('Opex Departments'!CG:CG,'Opex Departments'!$B:$B,$C156,'Opex Departments'!$A:$A,$A156)</f>
        <v>760.5652725</v>
      </c>
      <c r="CT156" s="162">
        <f>SUMIFS('Opex Departments'!CH:CH,'Opex Departments'!$B:$B,$C156,'Opex Departments'!$A:$A,$A156)</f>
        <v>768.1709252</v>
      </c>
      <c r="CU156" s="162">
        <f>SUMIFS('Opex Departments'!CI:CI,'Opex Departments'!$B:$B,$C156,'Opex Departments'!$A:$A,$A156)</f>
        <v>775.8526344</v>
      </c>
      <c r="CV156" s="162"/>
      <c r="CW156" s="162"/>
      <c r="CX156" s="162"/>
      <c r="CY156" s="162"/>
      <c r="CZ156" s="162"/>
      <c r="DA156" s="162"/>
      <c r="DB156" s="162"/>
      <c r="DC156" s="162"/>
    </row>
    <row r="157" ht="15.75" customHeight="1">
      <c r="A157" s="144" t="s">
        <v>122</v>
      </c>
      <c r="B157" s="144"/>
      <c r="C157" s="176" t="s">
        <v>72</v>
      </c>
      <c r="D157" s="144"/>
      <c r="E157" s="144"/>
      <c r="F157" s="144"/>
      <c r="G157" s="144"/>
      <c r="H157" s="144"/>
      <c r="I157" s="144"/>
      <c r="J157" s="144"/>
      <c r="K157" s="144"/>
      <c r="L157" s="144"/>
      <c r="M157" s="144"/>
      <c r="N157" s="144"/>
      <c r="O157" s="144"/>
      <c r="P157" s="162" t="s">
        <v>272</v>
      </c>
      <c r="Q157" s="162" t="s">
        <v>272</v>
      </c>
      <c r="R157" s="162" t="s">
        <v>272</v>
      </c>
      <c r="S157" s="162" t="s">
        <v>272</v>
      </c>
      <c r="T157" s="162" t="s">
        <v>272</v>
      </c>
      <c r="U157" s="162" t="s">
        <v>272</v>
      </c>
      <c r="V157" s="162" t="s">
        <v>272</v>
      </c>
      <c r="W157" s="162" t="s">
        <v>272</v>
      </c>
      <c r="X157" s="162" t="s">
        <v>272</v>
      </c>
      <c r="Y157" s="162" t="s">
        <v>272</v>
      </c>
      <c r="Z157" s="162" t="s">
        <v>272</v>
      </c>
      <c r="AA157" s="162" t="s">
        <v>272</v>
      </c>
      <c r="AB157" s="162" t="s">
        <v>272</v>
      </c>
      <c r="AC157" s="162" t="s">
        <v>272</v>
      </c>
      <c r="AD157" s="162" t="s">
        <v>272</v>
      </c>
      <c r="AE157" s="162" t="s">
        <v>272</v>
      </c>
      <c r="AF157" s="162" t="s">
        <v>272</v>
      </c>
      <c r="AG157" s="162" t="s">
        <v>272</v>
      </c>
      <c r="AH157" s="162">
        <f>SUMIFS('Opex Departments'!V:V,'Opex Departments'!$B:$B,$C157,'Opex Departments'!$A:$A,$A157)</f>
        <v>0</v>
      </c>
      <c r="AI157" s="162">
        <f>SUMIFS('Opex Departments'!W:W,'Opex Departments'!$B:$B,$C157,'Opex Departments'!$A:$A,$A157)</f>
        <v>0</v>
      </c>
      <c r="AJ157" s="162">
        <f>SUMIFS('Opex Departments'!X:X,'Opex Departments'!$B:$B,$C157,'Opex Departments'!$A:$A,$A157)</f>
        <v>0</v>
      </c>
      <c r="AK157" s="162">
        <f>SUMIFS('Opex Departments'!Y:Y,'Opex Departments'!$B:$B,$C157,'Opex Departments'!$A:$A,$A157)</f>
        <v>0</v>
      </c>
      <c r="AL157" s="162">
        <f>SUMIFS('Opex Departments'!Z:Z,'Opex Departments'!$B:$B,$C157,'Opex Departments'!$A:$A,$A157)</f>
        <v>0</v>
      </c>
      <c r="AM157" s="162">
        <f>SUMIFS('Opex Departments'!AA:AA,'Opex Departments'!$B:$B,$C157,'Opex Departments'!$A:$A,$A157)</f>
        <v>0</v>
      </c>
      <c r="AN157" s="162">
        <f>SUMIFS('Opex Departments'!AB:AB,'Opex Departments'!$B:$B,$C157,'Opex Departments'!$A:$A,$A157)</f>
        <v>0</v>
      </c>
      <c r="AO157" s="162">
        <f>SUMIFS('Opex Departments'!AC:AC,'Opex Departments'!$B:$B,$C157,'Opex Departments'!$A:$A,$A157)</f>
        <v>0</v>
      </c>
      <c r="AP157" s="162">
        <f>SUMIFS('Opex Departments'!AD:AD,'Opex Departments'!$B:$B,$C157,'Opex Departments'!$A:$A,$A157)</f>
        <v>0</v>
      </c>
      <c r="AQ157" s="162">
        <f>SUMIFS('Opex Departments'!AE:AE,'Opex Departments'!$B:$B,$C157,'Opex Departments'!$A:$A,$A157)</f>
        <v>0</v>
      </c>
      <c r="AR157" s="162">
        <f>SUMIFS('Opex Departments'!AF:AF,'Opex Departments'!$B:$B,$C157,'Opex Departments'!$A:$A,$A157)</f>
        <v>0</v>
      </c>
      <c r="AS157" s="162">
        <f>SUMIFS('Opex Departments'!AG:AG,'Opex Departments'!$B:$B,$C157,'Opex Departments'!$A:$A,$A157)</f>
        <v>0</v>
      </c>
      <c r="AT157" s="162">
        <f>SUMIFS('Opex Departments'!AH:AH,'Opex Departments'!$B:$B,$C157,'Opex Departments'!$A:$A,$A157)</f>
        <v>0</v>
      </c>
      <c r="AU157" s="162">
        <f>SUMIFS('Opex Departments'!AI:AI,'Opex Departments'!$B:$B,$C157,'Opex Departments'!$A:$A,$A157)</f>
        <v>0</v>
      </c>
      <c r="AV157" s="162">
        <f>SUMIFS('Opex Departments'!AJ:AJ,'Opex Departments'!$B:$B,$C157,'Opex Departments'!$A:$A,$A157)</f>
        <v>0</v>
      </c>
      <c r="AW157" s="162">
        <f>SUMIFS('Opex Departments'!AK:AK,'Opex Departments'!$B:$B,$C157,'Opex Departments'!$A:$A,$A157)</f>
        <v>0</v>
      </c>
      <c r="AX157" s="162">
        <f>SUMIFS('Opex Departments'!AL:AL,'Opex Departments'!$B:$B,$C157,'Opex Departments'!$A:$A,$A157)</f>
        <v>0</v>
      </c>
      <c r="AY157" s="162">
        <f>SUMIFS('Opex Departments'!AM:AM,'Opex Departments'!$B:$B,$C157,'Opex Departments'!$A:$A,$A157)</f>
        <v>0</v>
      </c>
      <c r="AZ157" s="162">
        <f>SUMIFS('Opex Departments'!AN:AN,'Opex Departments'!$B:$B,$C157,'Opex Departments'!$A:$A,$A157)</f>
        <v>0</v>
      </c>
      <c r="BA157" s="162">
        <f>SUMIFS('Opex Departments'!AO:AO,'Opex Departments'!$B:$B,$C157,'Opex Departments'!$A:$A,$A157)</f>
        <v>0</v>
      </c>
      <c r="BB157" s="162">
        <f>SUMIFS('Opex Departments'!AP:AP,'Opex Departments'!$B:$B,$C157,'Opex Departments'!$A:$A,$A157)</f>
        <v>0</v>
      </c>
      <c r="BC157" s="162">
        <f>SUMIFS('Opex Departments'!AQ:AQ,'Opex Departments'!$B:$B,$C157,'Opex Departments'!$A:$A,$A157)</f>
        <v>0</v>
      </c>
      <c r="BD157" s="162">
        <f>SUMIFS('Opex Departments'!AR:AR,'Opex Departments'!$B:$B,$C157,'Opex Departments'!$A:$A,$A157)</f>
        <v>0</v>
      </c>
      <c r="BE157" s="162">
        <f>SUMIFS('Opex Departments'!AS:AS,'Opex Departments'!$B:$B,$C157,'Opex Departments'!$A:$A,$A157)</f>
        <v>0</v>
      </c>
      <c r="BF157" s="162">
        <f>SUMIFS('Opex Departments'!AT:AT,'Opex Departments'!$B:$B,$C157,'Opex Departments'!$A:$A,$A157)</f>
        <v>0</v>
      </c>
      <c r="BG157" s="162">
        <f>SUMIFS('Opex Departments'!AU:AU,'Opex Departments'!$B:$B,$C157,'Opex Departments'!$A:$A,$A157)</f>
        <v>0</v>
      </c>
      <c r="BH157" s="162">
        <f>SUMIFS('Opex Departments'!AV:AV,'Opex Departments'!$B:$B,$C157,'Opex Departments'!$A:$A,$A157)</f>
        <v>0</v>
      </c>
      <c r="BI157" s="162">
        <f>SUMIFS('Opex Departments'!AW:AW,'Opex Departments'!$B:$B,$C157,'Opex Departments'!$A:$A,$A157)</f>
        <v>0</v>
      </c>
      <c r="BJ157" s="162">
        <f>SUMIFS('Opex Departments'!AX:AX,'Opex Departments'!$B:$B,$C157,'Opex Departments'!$A:$A,$A157)</f>
        <v>0</v>
      </c>
      <c r="BK157" s="162">
        <f>SUMIFS('Opex Departments'!AY:AY,'Opex Departments'!$B:$B,$C157,'Opex Departments'!$A:$A,$A157)</f>
        <v>0</v>
      </c>
      <c r="BL157" s="162">
        <f>SUMIFS('Opex Departments'!AZ:AZ,'Opex Departments'!$B:$B,$C157,'Opex Departments'!$A:$A,$A157)</f>
        <v>0</v>
      </c>
      <c r="BM157" s="162">
        <f>SUMIFS('Opex Departments'!BA:BA,'Opex Departments'!$B:$B,$C157,'Opex Departments'!$A:$A,$A157)</f>
        <v>0</v>
      </c>
      <c r="BN157" s="162">
        <f>SUMIFS('Opex Departments'!BB:BB,'Opex Departments'!$B:$B,$C157,'Opex Departments'!$A:$A,$A157)</f>
        <v>0</v>
      </c>
      <c r="BO157" s="162">
        <f>SUMIFS('Opex Departments'!BC:BC,'Opex Departments'!$B:$B,$C157,'Opex Departments'!$A:$A,$A157)</f>
        <v>0</v>
      </c>
      <c r="BP157" s="162">
        <f>SUMIFS('Opex Departments'!BD:BD,'Opex Departments'!$B:$B,$C157,'Opex Departments'!$A:$A,$A157)</f>
        <v>0</v>
      </c>
      <c r="BQ157" s="162">
        <f>SUMIFS('Opex Departments'!BE:BE,'Opex Departments'!$B:$B,$C157,'Opex Departments'!$A:$A,$A157)</f>
        <v>0</v>
      </c>
      <c r="BR157" s="162">
        <f>SUMIFS('Opex Departments'!BF:BF,'Opex Departments'!$B:$B,$C157,'Opex Departments'!$A:$A,$A157)</f>
        <v>0</v>
      </c>
      <c r="BS157" s="162">
        <f>SUMIFS('Opex Departments'!BG:BG,'Opex Departments'!$B:$B,$C157,'Opex Departments'!$A:$A,$A157)</f>
        <v>0</v>
      </c>
      <c r="BT157" s="162">
        <f>SUMIFS('Opex Departments'!BH:BH,'Opex Departments'!$B:$B,$C157,'Opex Departments'!$A:$A,$A157)</f>
        <v>0</v>
      </c>
      <c r="BU157" s="162">
        <f>SUMIFS('Opex Departments'!BI:BI,'Opex Departments'!$B:$B,$C157,'Opex Departments'!$A:$A,$A157)</f>
        <v>0</v>
      </c>
      <c r="BV157" s="162">
        <f>SUMIFS('Opex Departments'!BJ:BJ,'Opex Departments'!$B:$B,$C157,'Opex Departments'!$A:$A,$A157)</f>
        <v>0</v>
      </c>
      <c r="BW157" s="162">
        <f>SUMIFS('Opex Departments'!BK:BK,'Opex Departments'!$B:$B,$C157,'Opex Departments'!$A:$A,$A157)</f>
        <v>0</v>
      </c>
      <c r="BX157" s="162">
        <f>SUMIFS('Opex Departments'!BL:BL,'Opex Departments'!$B:$B,$C157,'Opex Departments'!$A:$A,$A157)</f>
        <v>0</v>
      </c>
      <c r="BY157" s="162">
        <f>SUMIFS('Opex Departments'!BM:BM,'Opex Departments'!$B:$B,$C157,'Opex Departments'!$A:$A,$A157)</f>
        <v>0</v>
      </c>
      <c r="BZ157" s="162">
        <f>SUMIFS('Opex Departments'!BN:BN,'Opex Departments'!$B:$B,$C157,'Opex Departments'!$A:$A,$A157)</f>
        <v>0</v>
      </c>
      <c r="CA157" s="162">
        <f>SUMIFS('Opex Departments'!BO:BO,'Opex Departments'!$B:$B,$C157,'Opex Departments'!$A:$A,$A157)</f>
        <v>0</v>
      </c>
      <c r="CB157" s="162">
        <f>SUMIFS('Opex Departments'!BP:BP,'Opex Departments'!$B:$B,$C157,'Opex Departments'!$A:$A,$A157)</f>
        <v>0</v>
      </c>
      <c r="CC157" s="162">
        <f>SUMIFS('Opex Departments'!BQ:BQ,'Opex Departments'!$B:$B,$C157,'Opex Departments'!$A:$A,$A157)</f>
        <v>0</v>
      </c>
      <c r="CD157" s="162">
        <f>SUMIFS('Opex Departments'!BR:BR,'Opex Departments'!$B:$B,$C157,'Opex Departments'!$A:$A,$A157)</f>
        <v>0</v>
      </c>
      <c r="CE157" s="162">
        <f>SUMIFS('Opex Departments'!BS:BS,'Opex Departments'!$B:$B,$C157,'Opex Departments'!$A:$A,$A157)</f>
        <v>0</v>
      </c>
      <c r="CF157" s="162">
        <f>SUMIFS('Opex Departments'!BT:BT,'Opex Departments'!$B:$B,$C157,'Opex Departments'!$A:$A,$A157)</f>
        <v>0</v>
      </c>
      <c r="CG157" s="162">
        <f>SUMIFS('Opex Departments'!BU:BU,'Opex Departments'!$B:$B,$C157,'Opex Departments'!$A:$A,$A157)</f>
        <v>0</v>
      </c>
      <c r="CH157" s="162">
        <f>SUMIFS('Opex Departments'!BV:BV,'Opex Departments'!$B:$B,$C157,'Opex Departments'!$A:$A,$A157)</f>
        <v>0</v>
      </c>
      <c r="CI157" s="162">
        <f>SUMIFS('Opex Departments'!BW:BW,'Opex Departments'!$B:$B,$C157,'Opex Departments'!$A:$A,$A157)</f>
        <v>0</v>
      </c>
      <c r="CJ157" s="162">
        <f>SUMIFS('Opex Departments'!BX:BX,'Opex Departments'!$B:$B,$C157,'Opex Departments'!$A:$A,$A157)</f>
        <v>0</v>
      </c>
      <c r="CK157" s="162">
        <f>SUMIFS('Opex Departments'!BY:BY,'Opex Departments'!$B:$B,$C157,'Opex Departments'!$A:$A,$A157)</f>
        <v>0</v>
      </c>
      <c r="CL157" s="162">
        <f>SUMIFS('Opex Departments'!BZ:BZ,'Opex Departments'!$B:$B,$C157,'Opex Departments'!$A:$A,$A157)</f>
        <v>0</v>
      </c>
      <c r="CM157" s="162">
        <f>SUMIFS('Opex Departments'!CA:CA,'Opex Departments'!$B:$B,$C157,'Opex Departments'!$A:$A,$A157)</f>
        <v>0</v>
      </c>
      <c r="CN157" s="162">
        <f>SUMIFS('Opex Departments'!CB:CB,'Opex Departments'!$B:$B,$C157,'Opex Departments'!$A:$A,$A157)</f>
        <v>0</v>
      </c>
      <c r="CO157" s="162">
        <f>SUMIFS('Opex Departments'!CC:CC,'Opex Departments'!$B:$B,$C157,'Opex Departments'!$A:$A,$A157)</f>
        <v>0</v>
      </c>
      <c r="CP157" s="162">
        <f>SUMIFS('Opex Departments'!CD:CD,'Opex Departments'!$B:$B,$C157,'Opex Departments'!$A:$A,$A157)</f>
        <v>0</v>
      </c>
      <c r="CQ157" s="162">
        <f>SUMIFS('Opex Departments'!CE:CE,'Opex Departments'!$B:$B,$C157,'Opex Departments'!$A:$A,$A157)</f>
        <v>0</v>
      </c>
      <c r="CR157" s="162">
        <f>SUMIFS('Opex Departments'!CF:CF,'Opex Departments'!$B:$B,$C157,'Opex Departments'!$A:$A,$A157)</f>
        <v>0</v>
      </c>
      <c r="CS157" s="162">
        <f>SUMIFS('Opex Departments'!CG:CG,'Opex Departments'!$B:$B,$C157,'Opex Departments'!$A:$A,$A157)</f>
        <v>0</v>
      </c>
      <c r="CT157" s="162">
        <f>SUMIFS('Opex Departments'!CH:CH,'Opex Departments'!$B:$B,$C157,'Opex Departments'!$A:$A,$A157)</f>
        <v>0</v>
      </c>
      <c r="CU157" s="162">
        <f>SUMIFS('Opex Departments'!CI:CI,'Opex Departments'!$B:$B,$C157,'Opex Departments'!$A:$A,$A157)</f>
        <v>0</v>
      </c>
      <c r="CV157" s="162"/>
      <c r="CW157" s="162"/>
      <c r="CX157" s="162"/>
      <c r="CY157" s="162"/>
      <c r="CZ157" s="162"/>
      <c r="DA157" s="162"/>
      <c r="DB157" s="162"/>
      <c r="DC157" s="162"/>
    </row>
    <row r="158" ht="15.75" customHeight="1">
      <c r="A158" s="144"/>
      <c r="B158" s="144"/>
      <c r="C158" s="145" t="s">
        <v>276</v>
      </c>
      <c r="D158" s="144"/>
      <c r="E158" s="144"/>
      <c r="F158" s="144"/>
      <c r="G158" s="144"/>
      <c r="H158" s="144"/>
      <c r="I158" s="144"/>
      <c r="J158" s="144"/>
      <c r="K158" s="144"/>
      <c r="L158" s="144"/>
      <c r="M158" s="144"/>
      <c r="N158" s="144"/>
      <c r="O158" s="144"/>
      <c r="P158" s="177" t="s">
        <v>272</v>
      </c>
      <c r="Q158" s="177" t="s">
        <v>272</v>
      </c>
      <c r="R158" s="177" t="s">
        <v>272</v>
      </c>
      <c r="S158" s="177" t="s">
        <v>272</v>
      </c>
      <c r="T158" s="177" t="s">
        <v>272</v>
      </c>
      <c r="U158" s="177">
        <v>71556.0</v>
      </c>
      <c r="V158" s="177">
        <v>141686.0</v>
      </c>
      <c r="W158" s="177">
        <v>105471.0</v>
      </c>
      <c r="X158" s="177">
        <v>72336.0</v>
      </c>
      <c r="Y158" s="177">
        <v>98997.0</v>
      </c>
      <c r="Z158" s="177">
        <v>98681.0</v>
      </c>
      <c r="AA158" s="177">
        <v>84172.0</v>
      </c>
      <c r="AB158" s="177">
        <v>115750.0</v>
      </c>
      <c r="AC158" s="177">
        <v>133418.0</v>
      </c>
      <c r="AD158" s="177">
        <v>143360.0</v>
      </c>
      <c r="AE158" s="177">
        <v>144774.0</v>
      </c>
      <c r="AF158" s="177">
        <v>134200.0</v>
      </c>
      <c r="AG158" s="177">
        <v>137044.0</v>
      </c>
      <c r="AH158" s="177">
        <f t="shared" ref="AH158:CU158" si="90">SUM(AH149:AH157)</f>
        <v>52734</v>
      </c>
      <c r="AI158" s="177">
        <f t="shared" si="90"/>
        <v>42555</v>
      </c>
      <c r="AJ158" s="177">
        <f t="shared" si="90"/>
        <v>53501</v>
      </c>
      <c r="AK158" s="177">
        <f t="shared" si="90"/>
        <v>49688</v>
      </c>
      <c r="AL158" s="177">
        <f t="shared" si="90"/>
        <v>52525</v>
      </c>
      <c r="AM158" s="177">
        <f t="shared" si="90"/>
        <v>145635.8026</v>
      </c>
      <c r="AN158" s="177">
        <f t="shared" si="90"/>
        <v>146198.8651</v>
      </c>
      <c r="AO158" s="177">
        <f t="shared" si="90"/>
        <v>148422.2498</v>
      </c>
      <c r="AP158" s="177">
        <f t="shared" si="90"/>
        <v>147684.6645</v>
      </c>
      <c r="AQ158" s="177">
        <f t="shared" si="90"/>
        <v>147877.7284</v>
      </c>
      <c r="AR158" s="177">
        <f t="shared" si="90"/>
        <v>165686.9718</v>
      </c>
      <c r="AS158" s="177">
        <f t="shared" si="90"/>
        <v>155335.1782</v>
      </c>
      <c r="AT158" s="177">
        <f t="shared" si="90"/>
        <v>218896.1627</v>
      </c>
      <c r="AU158" s="177">
        <f t="shared" si="90"/>
        <v>282639.7808</v>
      </c>
      <c r="AV158" s="177">
        <f t="shared" si="90"/>
        <v>369036.347</v>
      </c>
      <c r="AW158" s="177">
        <f t="shared" si="90"/>
        <v>421823.1835</v>
      </c>
      <c r="AX158" s="177">
        <f t="shared" si="90"/>
        <v>485388.1282</v>
      </c>
      <c r="AY158" s="177">
        <f t="shared" si="90"/>
        <v>548894.5131</v>
      </c>
      <c r="AZ158" s="177">
        <f t="shared" si="90"/>
        <v>649125.1052</v>
      </c>
      <c r="BA158" s="177">
        <f t="shared" si="90"/>
        <v>636490.79</v>
      </c>
      <c r="BB158" s="177">
        <f t="shared" si="90"/>
        <v>636649.3684</v>
      </c>
      <c r="BC158" s="177">
        <f t="shared" si="90"/>
        <v>636737.2967</v>
      </c>
      <c r="BD158" s="177">
        <f t="shared" si="90"/>
        <v>674573.0962</v>
      </c>
      <c r="BE158" s="177">
        <f t="shared" si="90"/>
        <v>661803.0677</v>
      </c>
      <c r="BF158" s="177">
        <f t="shared" si="90"/>
        <v>663350.6308</v>
      </c>
      <c r="BG158" s="177">
        <f t="shared" si="90"/>
        <v>663501.5981</v>
      </c>
      <c r="BH158" s="177">
        <f t="shared" si="90"/>
        <v>702671.1064</v>
      </c>
      <c r="BI158" s="177">
        <f t="shared" si="90"/>
        <v>689604.7317</v>
      </c>
      <c r="BJ158" s="177">
        <f t="shared" si="90"/>
        <v>689712.4458</v>
      </c>
      <c r="BK158" s="177">
        <f t="shared" si="90"/>
        <v>689824.9584</v>
      </c>
      <c r="BL158" s="177">
        <f t="shared" si="90"/>
        <v>731981.4557</v>
      </c>
      <c r="BM158" s="177">
        <f t="shared" si="90"/>
        <v>718670.1278</v>
      </c>
      <c r="BN158" s="177">
        <f t="shared" si="90"/>
        <v>718860.7082</v>
      </c>
      <c r="BO158" s="177">
        <f t="shared" si="90"/>
        <v>719006.7061</v>
      </c>
      <c r="BP158" s="177">
        <f t="shared" si="90"/>
        <v>832400.9319</v>
      </c>
      <c r="BQ158" s="177">
        <f t="shared" si="90"/>
        <v>818494.6211</v>
      </c>
      <c r="BR158" s="177">
        <f t="shared" si="90"/>
        <v>820070.3826</v>
      </c>
      <c r="BS158" s="177">
        <f t="shared" si="90"/>
        <v>894139.2112</v>
      </c>
      <c r="BT158" s="177">
        <f t="shared" si="90"/>
        <v>943783.5</v>
      </c>
      <c r="BU158" s="177">
        <f t="shared" si="90"/>
        <v>1003361.016</v>
      </c>
      <c r="BV158" s="177">
        <f t="shared" si="90"/>
        <v>1003500.084</v>
      </c>
      <c r="BW158" s="177">
        <f t="shared" si="90"/>
        <v>1003636.921</v>
      </c>
      <c r="BX158" s="177">
        <f t="shared" si="90"/>
        <v>1136266.471</v>
      </c>
      <c r="BY158" s="177">
        <f t="shared" si="90"/>
        <v>1121465.804</v>
      </c>
      <c r="BZ158" s="177">
        <f t="shared" si="90"/>
        <v>1121614.115</v>
      </c>
      <c r="CA158" s="177">
        <f t="shared" si="90"/>
        <v>1198622.94</v>
      </c>
      <c r="CB158" s="177">
        <f t="shared" si="90"/>
        <v>1262442.623</v>
      </c>
      <c r="CC158" s="177">
        <f t="shared" si="90"/>
        <v>1245796.076</v>
      </c>
      <c r="CD158" s="177">
        <f t="shared" si="90"/>
        <v>1327309.551</v>
      </c>
      <c r="CE158" s="177">
        <f t="shared" si="90"/>
        <v>1327440.472</v>
      </c>
      <c r="CF158" s="177">
        <f t="shared" si="90"/>
        <v>1396822.337</v>
      </c>
      <c r="CG158" s="177">
        <f t="shared" si="90"/>
        <v>1459636.286</v>
      </c>
      <c r="CH158" s="177">
        <f t="shared" si="90"/>
        <v>1459765.989</v>
      </c>
      <c r="CI158" s="177">
        <f t="shared" si="90"/>
        <v>1459895.209</v>
      </c>
      <c r="CJ158" s="177">
        <f t="shared" si="90"/>
        <v>1619556.514</v>
      </c>
      <c r="CK158" s="177">
        <f t="shared" si="90"/>
        <v>1601958.197</v>
      </c>
      <c r="CL158" s="177">
        <f t="shared" si="90"/>
        <v>1602067.353</v>
      </c>
      <c r="CM158" s="177">
        <f t="shared" si="90"/>
        <v>1602145.289</v>
      </c>
      <c r="CN158" s="177">
        <f t="shared" si="90"/>
        <v>1683241.038</v>
      </c>
      <c r="CO158" s="177">
        <f t="shared" si="90"/>
        <v>1665203.294</v>
      </c>
      <c r="CP158" s="177">
        <f t="shared" si="90"/>
        <v>1666721.558</v>
      </c>
      <c r="CQ158" s="177">
        <f t="shared" si="90"/>
        <v>1666812.77</v>
      </c>
      <c r="CR158" s="177">
        <f t="shared" si="90"/>
        <v>1750691.004</v>
      </c>
      <c r="CS158" s="177">
        <f t="shared" si="90"/>
        <v>1732425.778</v>
      </c>
      <c r="CT158" s="177">
        <f t="shared" si="90"/>
        <v>1732517.725</v>
      </c>
      <c r="CU158" s="177">
        <f t="shared" si="90"/>
        <v>1732609.461</v>
      </c>
      <c r="CV158" s="144"/>
      <c r="CW158" s="144"/>
      <c r="CX158" s="144"/>
      <c r="CY158" s="144"/>
      <c r="CZ158" s="144"/>
      <c r="DA158" s="144"/>
      <c r="DB158" s="144"/>
      <c r="DC158" s="144"/>
    </row>
    <row r="159"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c r="BC159" s="144"/>
      <c r="BD159" s="144"/>
      <c r="BE159" s="144"/>
      <c r="BF159" s="144"/>
      <c r="BG159" s="144"/>
      <c r="BH159" s="144"/>
      <c r="BI159" s="144"/>
      <c r="BJ159" s="144"/>
      <c r="BK159" s="144"/>
      <c r="BL159" s="144"/>
      <c r="BM159" s="144"/>
      <c r="BN159" s="144"/>
      <c r="BO159" s="144"/>
      <c r="BP159" s="144"/>
      <c r="BQ159" s="144"/>
      <c r="BR159" s="144"/>
      <c r="BS159" s="144"/>
      <c r="BT159" s="144"/>
      <c r="BU159" s="144"/>
      <c r="BV159" s="144"/>
      <c r="BW159" s="144"/>
      <c r="BX159" s="144"/>
      <c r="BY159" s="144"/>
      <c r="BZ159" s="144"/>
      <c r="CA159" s="144"/>
      <c r="CB159" s="144"/>
      <c r="CC159" s="144"/>
      <c r="CD159" s="144"/>
      <c r="CE159" s="144"/>
      <c r="CF159" s="144"/>
      <c r="CG159" s="144"/>
      <c r="CH159" s="144"/>
      <c r="CI159" s="144"/>
      <c r="CJ159" s="144"/>
      <c r="CK159" s="144"/>
      <c r="CL159" s="144"/>
      <c r="CM159" s="144"/>
      <c r="CN159" s="144"/>
      <c r="CO159" s="144"/>
      <c r="CP159" s="144"/>
      <c r="CQ159" s="144"/>
      <c r="CR159" s="144"/>
      <c r="CS159" s="144"/>
      <c r="CT159" s="144"/>
      <c r="CU159" s="144"/>
      <c r="CV159" s="144"/>
      <c r="CW159" s="144"/>
      <c r="CX159" s="144"/>
      <c r="CY159" s="144"/>
      <c r="CZ159" s="144"/>
      <c r="DA159" s="144"/>
      <c r="DB159" s="144"/>
      <c r="DC159" s="144"/>
    </row>
    <row r="160" ht="15.75" customHeight="1">
      <c r="A160" s="144"/>
      <c r="B160" s="144"/>
      <c r="C160" s="145" t="s">
        <v>277</v>
      </c>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c r="BC160" s="144"/>
      <c r="BD160" s="144"/>
      <c r="BE160" s="144"/>
      <c r="BF160" s="144"/>
      <c r="BG160" s="144"/>
      <c r="BH160" s="144"/>
      <c r="BI160" s="144"/>
      <c r="BJ160" s="144"/>
      <c r="BK160" s="144"/>
      <c r="BL160" s="144"/>
      <c r="BM160" s="144"/>
      <c r="BN160" s="144"/>
      <c r="BO160" s="144"/>
      <c r="BP160" s="144"/>
      <c r="BQ160" s="144"/>
      <c r="BR160" s="144"/>
      <c r="BS160" s="144"/>
      <c r="BT160" s="144"/>
      <c r="BU160" s="144"/>
      <c r="BV160" s="144"/>
      <c r="BW160" s="144"/>
      <c r="BX160" s="144"/>
      <c r="BY160" s="144"/>
      <c r="BZ160" s="144"/>
      <c r="CA160" s="144"/>
      <c r="CB160" s="144"/>
      <c r="CC160" s="144"/>
      <c r="CD160" s="144"/>
      <c r="CE160" s="144"/>
      <c r="CF160" s="144"/>
      <c r="CG160" s="144"/>
      <c r="CH160" s="144"/>
      <c r="CI160" s="144"/>
      <c r="CJ160" s="144"/>
      <c r="CK160" s="144"/>
      <c r="CL160" s="144"/>
      <c r="CM160" s="144"/>
      <c r="CN160" s="144"/>
      <c r="CO160" s="144"/>
      <c r="CP160" s="144"/>
      <c r="CQ160" s="144"/>
      <c r="CR160" s="144"/>
      <c r="CS160" s="144"/>
      <c r="CT160" s="144"/>
      <c r="CU160" s="144"/>
      <c r="CV160" s="144"/>
      <c r="CW160" s="144"/>
      <c r="CX160" s="144"/>
      <c r="CY160" s="144"/>
      <c r="CZ160" s="144"/>
      <c r="DA160" s="144"/>
      <c r="DB160" s="144"/>
      <c r="DC160" s="144"/>
    </row>
    <row r="161"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c r="BC161" s="144"/>
      <c r="BD161" s="144"/>
      <c r="BE161" s="144"/>
      <c r="BF161" s="144"/>
      <c r="BG161" s="144"/>
      <c r="BH161" s="144"/>
      <c r="BI161" s="144"/>
      <c r="BJ161" s="144"/>
      <c r="BK161" s="144"/>
      <c r="BL161" s="144"/>
      <c r="BM161" s="144"/>
      <c r="BN161" s="144"/>
      <c r="BO161" s="144"/>
      <c r="BP161" s="144"/>
      <c r="BQ161" s="144"/>
      <c r="BR161" s="144"/>
      <c r="BS161" s="144"/>
      <c r="BT161" s="144"/>
      <c r="BU161" s="144"/>
      <c r="BV161" s="144"/>
      <c r="BW161" s="144"/>
      <c r="BX161" s="144"/>
      <c r="BY161" s="144"/>
      <c r="BZ161" s="144"/>
      <c r="CA161" s="144"/>
      <c r="CB161" s="144"/>
      <c r="CC161" s="144"/>
      <c r="CD161" s="144"/>
      <c r="CE161" s="144"/>
      <c r="CF161" s="144"/>
      <c r="CG161" s="144"/>
      <c r="CH161" s="144"/>
      <c r="CI161" s="144"/>
      <c r="CJ161" s="144"/>
      <c r="CK161" s="144"/>
      <c r="CL161" s="144"/>
      <c r="CM161" s="144"/>
      <c r="CN161" s="144"/>
      <c r="CO161" s="144"/>
      <c r="CP161" s="144"/>
      <c r="CQ161" s="144"/>
      <c r="CR161" s="144"/>
      <c r="CS161" s="144"/>
      <c r="CT161" s="144"/>
      <c r="CU161" s="144"/>
      <c r="CV161" s="144"/>
      <c r="CW161" s="144"/>
      <c r="CX161" s="144"/>
      <c r="CY161" s="144"/>
      <c r="CZ161" s="144"/>
      <c r="DA161" s="144"/>
      <c r="DB161" s="144"/>
      <c r="DC161" s="144"/>
    </row>
    <row r="162" ht="15.75" customHeight="1">
      <c r="A162" s="144" t="s">
        <v>278</v>
      </c>
      <c r="B162" s="144"/>
      <c r="C162" s="144" t="s">
        <v>175</v>
      </c>
      <c r="D162" s="144"/>
      <c r="E162" s="144"/>
      <c r="F162" s="144"/>
      <c r="G162" s="144"/>
      <c r="H162" s="144"/>
      <c r="I162" s="144"/>
      <c r="J162" s="144"/>
      <c r="K162" s="144"/>
      <c r="L162" s="144"/>
      <c r="M162" s="144"/>
      <c r="N162" s="144"/>
      <c r="O162" s="144"/>
      <c r="P162" s="162">
        <v>57572.0</v>
      </c>
      <c r="Q162" s="162">
        <v>119159.0</v>
      </c>
      <c r="R162" s="162">
        <v>81046.0</v>
      </c>
      <c r="S162" s="162">
        <v>94718.0</v>
      </c>
      <c r="T162" s="162">
        <v>142823.0</v>
      </c>
      <c r="U162" s="162">
        <v>113216.0</v>
      </c>
      <c r="V162" s="162">
        <v>135734.0</v>
      </c>
      <c r="W162" s="162">
        <v>118148.0</v>
      </c>
      <c r="X162" s="162">
        <v>141962.0</v>
      </c>
      <c r="Y162" s="162">
        <v>202638.0</v>
      </c>
      <c r="Z162" s="162">
        <v>114500.0</v>
      </c>
      <c r="AA162" s="162">
        <v>85027.0</v>
      </c>
      <c r="AB162" s="162">
        <v>47212.0</v>
      </c>
      <c r="AC162" s="162">
        <v>48180.0</v>
      </c>
      <c r="AD162" s="162">
        <v>43955.0</v>
      </c>
      <c r="AE162" s="162">
        <v>73958.0</v>
      </c>
      <c r="AF162" s="162">
        <v>59279.0</v>
      </c>
      <c r="AG162" s="162">
        <v>123485.0</v>
      </c>
      <c r="AH162" s="162">
        <f>SUMIFS('Opex Departments'!V:V,'Opex Departments'!$B:$B,$C162,'Opex Departments'!$A:$A,$A162)</f>
        <v>-80996</v>
      </c>
      <c r="AI162" s="162">
        <f>SUMIFS('Opex Departments'!W:W,'Opex Departments'!$B:$B,$C162,'Opex Departments'!$A:$A,$A162)</f>
        <v>-69366</v>
      </c>
      <c r="AJ162" s="162">
        <f>SUMIFS('Opex Departments'!X:X,'Opex Departments'!$B:$B,$C162,'Opex Departments'!$A:$A,$A162)</f>
        <v>-67026</v>
      </c>
      <c r="AK162" s="162">
        <f>SUMIFS('Opex Departments'!Y:Y,'Opex Departments'!$B:$B,$C162,'Opex Departments'!$A:$A,$A162)</f>
        <v>-55244</v>
      </c>
      <c r="AL162" s="162">
        <f>SUMIFS('Opex Departments'!Z:Z,'Opex Departments'!$B:$B,$C162,'Opex Departments'!$A:$A,$A162)</f>
        <v>-68257</v>
      </c>
      <c r="AM162" s="162">
        <f>SUMIFS('Opex Departments'!AA:AA,'Opex Departments'!$B:$B,$C162,'Opex Departments'!$A:$A,$A162)</f>
        <v>-331383.0056</v>
      </c>
      <c r="AN162" s="162">
        <f>SUMIFS('Opex Departments'!AB:AB,'Opex Departments'!$B:$B,$C162,'Opex Departments'!$A:$A,$A162)</f>
        <v>-472873.897</v>
      </c>
      <c r="AO162" s="162">
        <f>SUMIFS('Opex Departments'!AC:AC,'Opex Departments'!$B:$B,$C162,'Opex Departments'!$A:$A,$A162)</f>
        <v>-542915.2866</v>
      </c>
      <c r="AP162" s="162">
        <f>SUMIFS('Opex Departments'!AD:AD,'Opex Departments'!$B:$B,$C162,'Opex Departments'!$A:$A,$A162)</f>
        <v>-578415.4352</v>
      </c>
      <c r="AQ162" s="162">
        <f>SUMIFS('Opex Departments'!AE:AE,'Opex Departments'!$B:$B,$C162,'Opex Departments'!$A:$A,$A162)</f>
        <v>-641748.0543</v>
      </c>
      <c r="AR162" s="162">
        <f>SUMIFS('Opex Departments'!AF:AF,'Opex Departments'!$B:$B,$C162,'Opex Departments'!$A:$A,$A162)</f>
        <v>-670317.1847</v>
      </c>
      <c r="AS162" s="162">
        <f>SUMIFS('Opex Departments'!AG:AG,'Opex Departments'!$B:$B,$C162,'Opex Departments'!$A:$A,$A162)</f>
        <v>-669645.0347</v>
      </c>
      <c r="AT162" s="162">
        <f>SUMIFS('Opex Departments'!AH:AH,'Opex Departments'!$B:$B,$C162,'Opex Departments'!$A:$A,$A162)</f>
        <v>-708509.7079</v>
      </c>
      <c r="AU162" s="162">
        <f>SUMIFS('Opex Departments'!AI:AI,'Opex Departments'!$B:$B,$C162,'Opex Departments'!$A:$A,$A162)</f>
        <v>-778382.5647</v>
      </c>
      <c r="AV162" s="162">
        <f>SUMIFS('Opex Departments'!AJ:AJ,'Opex Departments'!$B:$B,$C162,'Opex Departments'!$A:$A,$A162)</f>
        <v>-853149.7763</v>
      </c>
      <c r="AW162" s="162">
        <f>SUMIFS('Opex Departments'!AK:AK,'Opex Departments'!$B:$B,$C162,'Opex Departments'!$A:$A,$A162)</f>
        <v>-892264.4928</v>
      </c>
      <c r="AX162" s="162">
        <f>SUMIFS('Opex Departments'!AL:AL,'Opex Departments'!$B:$B,$C162,'Opex Departments'!$A:$A,$A162)</f>
        <v>-962181.6341</v>
      </c>
      <c r="AY162" s="162">
        <f>SUMIFS('Opex Departments'!AM:AM,'Opex Departments'!$B:$B,$C162,'Opex Departments'!$A:$A,$A162)</f>
        <v>-1001347.37</v>
      </c>
      <c r="AZ162" s="162">
        <f>SUMIFS('Opex Departments'!AN:AN,'Opex Departments'!$B:$B,$C162,'Opex Departments'!$A:$A,$A162)</f>
        <v>-1062430.056</v>
      </c>
      <c r="BA162" s="162">
        <f>SUMIFS('Opex Departments'!AO:AO,'Opex Departments'!$B:$B,$C162,'Opex Departments'!$A:$A,$A162)</f>
        <v>-1062152.291</v>
      </c>
      <c r="BB162" s="162">
        <f>SUMIFS('Opex Departments'!AP:AP,'Opex Departments'!$B:$B,$C162,'Opex Departments'!$A:$A,$A162)</f>
        <v>-1061757.002</v>
      </c>
      <c r="BC162" s="162">
        <f>SUMIFS('Opex Departments'!AQ:AQ,'Opex Departments'!$B:$B,$C162,'Opex Departments'!$A:$A,$A162)</f>
        <v>-1061242.749</v>
      </c>
      <c r="BD162" s="162">
        <f>SUMIFS('Opex Departments'!AR:AR,'Opex Departments'!$B:$B,$C162,'Opex Departments'!$A:$A,$A162)</f>
        <v>-1104682.07</v>
      </c>
      <c r="BE162" s="162">
        <f>SUMIFS('Opex Departments'!AS:AS,'Opex Departments'!$B:$B,$C162,'Opex Departments'!$A:$A,$A162)</f>
        <v>-1104115.888</v>
      </c>
      <c r="BF162" s="162">
        <f>SUMIFS('Opex Departments'!AT:AT,'Opex Departments'!$B:$B,$C162,'Opex Departments'!$A:$A,$A162)</f>
        <v>-1103555.776</v>
      </c>
      <c r="BG162" s="162">
        <f>SUMIFS('Opex Departments'!AU:AU,'Opex Departments'!$B:$B,$C162,'Opex Departments'!$A:$A,$A162)</f>
        <v>-1102880.075</v>
      </c>
      <c r="BH162" s="162">
        <f>SUMIFS('Opex Departments'!AV:AV,'Opex Departments'!$B:$B,$C162,'Opex Departments'!$A:$A,$A162)</f>
        <v>-1148076.364</v>
      </c>
      <c r="BI162" s="162">
        <f>SUMIFS('Opex Departments'!AW:AW,'Opex Departments'!$B:$B,$C162,'Opex Departments'!$A:$A,$A162)</f>
        <v>-1147538.534</v>
      </c>
      <c r="BJ162" s="162">
        <f>SUMIFS('Opex Departments'!AX:AX,'Opex Departments'!$B:$B,$C162,'Opex Departments'!$A:$A,$A162)</f>
        <v>-1147008.213</v>
      </c>
      <c r="BK162" s="162">
        <f>SUMIFS('Opex Departments'!AY:AY,'Opex Departments'!$B:$B,$C162,'Opex Departments'!$A:$A,$A162)</f>
        <v>-1146484.909</v>
      </c>
      <c r="BL162" s="162">
        <f>SUMIFS('Opex Departments'!AZ:AZ,'Opex Departments'!$B:$B,$C162,'Opex Departments'!$A:$A,$A162)</f>
        <v>-1188095.93</v>
      </c>
      <c r="BM162" s="162">
        <f>SUMIFS('Opex Departments'!BA:BA,'Opex Departments'!$B:$B,$C162,'Opex Departments'!$A:$A,$A162)</f>
        <v>-1187143.818</v>
      </c>
      <c r="BN162" s="162">
        <f>SUMIFS('Opex Departments'!BB:BB,'Opex Departments'!$B:$B,$C162,'Opex Departments'!$A:$A,$A162)</f>
        <v>-1186221.05</v>
      </c>
      <c r="BO162" s="162">
        <f>SUMIFS('Opex Departments'!BC:BC,'Opex Departments'!$B:$B,$C162,'Opex Departments'!$A:$A,$A162)</f>
        <v>-1185322.032</v>
      </c>
      <c r="BP162" s="162">
        <f>SUMIFS('Opex Departments'!BD:BD,'Opex Departments'!$B:$B,$C162,'Opex Departments'!$A:$A,$A162)</f>
        <v>-1278780.42</v>
      </c>
      <c r="BQ162" s="162">
        <f>SUMIFS('Opex Departments'!BE:BE,'Opex Departments'!$B:$B,$C162,'Opex Departments'!$A:$A,$A162)</f>
        <v>-1277919.306</v>
      </c>
      <c r="BR162" s="162">
        <f>SUMIFS('Opex Departments'!BF:BF,'Opex Departments'!$B:$B,$C162,'Opex Departments'!$A:$A,$A162)</f>
        <v>-1313029.617</v>
      </c>
      <c r="BS162" s="162">
        <f>SUMIFS('Opex Departments'!BG:BG,'Opex Departments'!$B:$B,$C162,'Opex Departments'!$A:$A,$A162)</f>
        <v>-1358856.433</v>
      </c>
      <c r="BT162" s="162">
        <f>SUMIFS('Opex Departments'!BH:BH,'Opex Departments'!$B:$B,$C162,'Opex Departments'!$A:$A,$A162)</f>
        <v>-1414591.63</v>
      </c>
      <c r="BU162" s="162">
        <f>SUMIFS('Opex Departments'!BI:BI,'Opex Departments'!$B:$B,$C162,'Opex Departments'!$A:$A,$A162)</f>
        <v>-1460444.039</v>
      </c>
      <c r="BV162" s="162">
        <f>SUMIFS('Opex Departments'!BJ:BJ,'Opex Departments'!$B:$B,$C162,'Opex Departments'!$A:$A,$A162)</f>
        <v>-1459650.41</v>
      </c>
      <c r="BW162" s="162">
        <f>SUMIFS('Opex Departments'!BK:BK,'Opex Departments'!$B:$B,$C162,'Opex Departments'!$A:$A,$A162)</f>
        <v>-1458867.284</v>
      </c>
      <c r="BX162" s="162">
        <f>SUMIFS('Opex Departments'!BL:BL,'Opex Departments'!$B:$B,$C162,'Opex Departments'!$A:$A,$A162)</f>
        <v>-1558148.85</v>
      </c>
      <c r="BY162" s="162">
        <f>SUMIFS('Opex Departments'!BM:BM,'Opex Departments'!$B:$B,$C162,'Opex Departments'!$A:$A,$A162)</f>
        <v>-1557140.029</v>
      </c>
      <c r="BZ162" s="162">
        <f>SUMIFS('Opex Departments'!BN:BN,'Opex Departments'!$B:$B,$C162,'Opex Departments'!$A:$A,$A162)</f>
        <v>-1556226.391</v>
      </c>
      <c r="CA162" s="162">
        <f>SUMIFS('Opex Departments'!BO:BO,'Opex Departments'!$B:$B,$C162,'Opex Departments'!$A:$A,$A162)</f>
        <v>-1603854.479</v>
      </c>
      <c r="CB162" s="162">
        <f>SUMIFS('Opex Departments'!BP:BP,'Opex Departments'!$B:$B,$C162,'Opex Departments'!$A:$A,$A162)</f>
        <v>-1707346.917</v>
      </c>
      <c r="CC162" s="162">
        <f>SUMIFS('Opex Departments'!BQ:BQ,'Opex Departments'!$B:$B,$C162,'Opex Departments'!$A:$A,$A162)</f>
        <v>-1706459.862</v>
      </c>
      <c r="CD162" s="162">
        <f>SUMIFS('Opex Departments'!BR:BR,'Opex Departments'!$B:$B,$C162,'Opex Departments'!$A:$A,$A162)</f>
        <v>-1756040.923</v>
      </c>
      <c r="CE162" s="162">
        <f>SUMIFS('Opex Departments'!BS:BS,'Opex Departments'!$B:$B,$C162,'Opex Departments'!$A:$A,$A162)</f>
        <v>-1755160.299</v>
      </c>
      <c r="CF162" s="162">
        <f>SUMIFS('Opex Departments'!BT:BT,'Opex Departments'!$B:$B,$C162,'Opex Departments'!$A:$A,$A162)</f>
        <v>-1827465.941</v>
      </c>
      <c r="CG162" s="162">
        <f>SUMIFS('Opex Departments'!BU:BU,'Opex Departments'!$B:$B,$C162,'Opex Departments'!$A:$A,$A162)</f>
        <v>-1877054.193</v>
      </c>
      <c r="CH162" s="162">
        <f>SUMIFS('Opex Departments'!BV:BV,'Opex Departments'!$B:$B,$C162,'Opex Departments'!$A:$A,$A162)</f>
        <v>-1876179.195</v>
      </c>
      <c r="CI162" s="162">
        <f>SUMIFS('Opex Departments'!BW:BW,'Opex Departments'!$B:$B,$C162,'Opex Departments'!$A:$A,$A162)</f>
        <v>-1875305.071</v>
      </c>
      <c r="CJ162" s="162">
        <f>SUMIFS('Opex Departments'!BX:BX,'Opex Departments'!$B:$B,$C162,'Opex Departments'!$A:$A,$A162)</f>
        <v>-1994503.385</v>
      </c>
      <c r="CK162" s="162">
        <f>SUMIFS('Opex Departments'!BY:BY,'Opex Departments'!$B:$B,$C162,'Opex Departments'!$A:$A,$A162)</f>
        <v>-1993872.494</v>
      </c>
      <c r="CL162" s="162">
        <f>SUMIFS('Opex Departments'!BZ:BZ,'Opex Departments'!$B:$B,$C162,'Opex Departments'!$A:$A,$A162)</f>
        <v>-1993269.452</v>
      </c>
      <c r="CM162" s="162">
        <f>SUMIFS('Opex Departments'!CA:CA,'Opex Departments'!$B:$B,$C162,'Opex Departments'!$A:$A,$A162)</f>
        <v>-1992634.934</v>
      </c>
      <c r="CN162" s="162">
        <f>SUMIFS('Opex Departments'!CB:CB,'Opex Departments'!$B:$B,$C162,'Opex Departments'!$A:$A,$A162)</f>
        <v>-2075336.419</v>
      </c>
      <c r="CO162" s="162">
        <f>SUMIFS('Opex Departments'!CC:CC,'Opex Departments'!$B:$B,$C162,'Opex Departments'!$A:$A,$A162)</f>
        <v>-2074675.118</v>
      </c>
      <c r="CP162" s="162">
        <f>SUMIFS('Opex Departments'!CD:CD,'Opex Departments'!$B:$B,$C162,'Opex Departments'!$A:$A,$A162)</f>
        <v>-2074009.499</v>
      </c>
      <c r="CQ162" s="162">
        <f>SUMIFS('Opex Departments'!CE:CE,'Opex Departments'!$B:$B,$C162,'Opex Departments'!$A:$A,$A162)</f>
        <v>-2073341.678</v>
      </c>
      <c r="CR162" s="162">
        <f>SUMIFS('Opex Departments'!CF:CF,'Opex Departments'!$B:$B,$C162,'Opex Departments'!$A:$A,$A162)</f>
        <v>-2159361.356</v>
      </c>
      <c r="CS162" s="162">
        <f>SUMIFS('Opex Departments'!CG:CG,'Opex Departments'!$B:$B,$C162,'Opex Departments'!$A:$A,$A162)</f>
        <v>-2158692.199</v>
      </c>
      <c r="CT162" s="162">
        <f>SUMIFS('Opex Departments'!CH:CH,'Opex Departments'!$B:$B,$C162,'Opex Departments'!$A:$A,$A162)</f>
        <v>-2158023.081</v>
      </c>
      <c r="CU162" s="162">
        <f>SUMIFS('Opex Departments'!CI:CI,'Opex Departments'!$B:$B,$C162,'Opex Departments'!$A:$A,$A162)</f>
        <v>-2157354.15</v>
      </c>
      <c r="CV162" s="162"/>
      <c r="CW162" s="162"/>
      <c r="CX162" s="162"/>
      <c r="CY162" s="162"/>
      <c r="CZ162" s="162"/>
      <c r="DA162" s="162"/>
      <c r="DB162" s="162"/>
      <c r="DC162" s="162"/>
    </row>
    <row r="163" ht="15.75" customHeight="1">
      <c r="A163" s="144" t="s">
        <v>278</v>
      </c>
      <c r="B163" s="144"/>
      <c r="C163" s="144" t="s">
        <v>176</v>
      </c>
      <c r="D163" s="144"/>
      <c r="E163" s="144"/>
      <c r="F163" s="144"/>
      <c r="G163" s="144"/>
      <c r="H163" s="144"/>
      <c r="I163" s="144"/>
      <c r="J163" s="144"/>
      <c r="K163" s="144"/>
      <c r="L163" s="144"/>
      <c r="M163" s="144"/>
      <c r="N163" s="144"/>
      <c r="O163" s="144"/>
      <c r="P163" s="162">
        <v>2873.0</v>
      </c>
      <c r="Q163" s="162">
        <v>11928.0</v>
      </c>
      <c r="R163" s="162">
        <v>6762.0</v>
      </c>
      <c r="S163" s="162">
        <v>5274.0</v>
      </c>
      <c r="T163" s="162">
        <v>8517.0</v>
      </c>
      <c r="U163" s="162">
        <v>4382.0</v>
      </c>
      <c r="V163" s="162">
        <v>1762.0</v>
      </c>
      <c r="W163" s="162">
        <v>9454.0</v>
      </c>
      <c r="X163" s="162">
        <v>6752.0</v>
      </c>
      <c r="Y163" s="162">
        <v>12729.0</v>
      </c>
      <c r="Z163" s="162">
        <v>11348.0</v>
      </c>
      <c r="AA163" s="162">
        <v>5115.0</v>
      </c>
      <c r="AB163" s="162">
        <v>4069.0</v>
      </c>
      <c r="AC163" s="162">
        <v>4258.0</v>
      </c>
      <c r="AD163" s="162">
        <v>4919.0</v>
      </c>
      <c r="AE163" s="162">
        <v>3255.0</v>
      </c>
      <c r="AF163" s="162">
        <v>3614.0</v>
      </c>
      <c r="AG163" s="162">
        <v>5283.0</v>
      </c>
      <c r="AH163" s="162">
        <f>SUMIFS('Opex Departments'!V:V,'Opex Departments'!$B:$B,$C163,'Opex Departments'!$A:$A,$A163)</f>
        <v>-7517</v>
      </c>
      <c r="AI163" s="162">
        <f>SUMIFS('Opex Departments'!W:W,'Opex Departments'!$B:$B,$C163,'Opex Departments'!$A:$A,$A163)</f>
        <v>-771</v>
      </c>
      <c r="AJ163" s="162">
        <f>SUMIFS('Opex Departments'!X:X,'Opex Departments'!$B:$B,$C163,'Opex Departments'!$A:$A,$A163)</f>
        <v>-10435</v>
      </c>
      <c r="AK163" s="162">
        <f>SUMIFS('Opex Departments'!Y:Y,'Opex Departments'!$B:$B,$C163,'Opex Departments'!$A:$A,$A163)</f>
        <v>-7693</v>
      </c>
      <c r="AL163" s="162">
        <f>SUMIFS('Opex Departments'!Z:Z,'Opex Departments'!$B:$B,$C163,'Opex Departments'!$A:$A,$A163)</f>
        <v>-9694</v>
      </c>
      <c r="AM163" s="162">
        <f>SUMIFS('Opex Departments'!AA:AA,'Opex Departments'!$B:$B,$C163,'Opex Departments'!$A:$A,$A163)</f>
        <v>-71131.79703</v>
      </c>
      <c r="AN163" s="162">
        <f>SUMIFS('Opex Departments'!AB:AB,'Opex Departments'!$B:$B,$C163,'Opex Departments'!$A:$A,$A163)</f>
        <v>-99615.14524</v>
      </c>
      <c r="AO163" s="162">
        <f>SUMIFS('Opex Departments'!AC:AC,'Opex Departments'!$B:$B,$C163,'Opex Departments'!$A:$A,$A163)</f>
        <v>-119013.5868</v>
      </c>
      <c r="AP163" s="162">
        <f>SUMIFS('Opex Departments'!AD:AD,'Opex Departments'!$B:$B,$C163,'Opex Departments'!$A:$A,$A163)</f>
        <v>-129059.6711</v>
      </c>
      <c r="AQ163" s="162">
        <f>SUMIFS('Opex Departments'!AE:AE,'Opex Departments'!$B:$B,$C163,'Opex Departments'!$A:$A,$A163)</f>
        <v>-135990.5508</v>
      </c>
      <c r="AR163" s="162">
        <f>SUMIFS('Opex Departments'!AF:AF,'Opex Departments'!$B:$B,$C163,'Opex Departments'!$A:$A,$A163)</f>
        <v>-144220.762</v>
      </c>
      <c r="AS163" s="162">
        <f>SUMIFS('Opex Departments'!AG:AG,'Opex Departments'!$B:$B,$C163,'Opex Departments'!$A:$A,$A163)</f>
        <v>-145005.467</v>
      </c>
      <c r="AT163" s="162">
        <f>SUMIFS('Opex Departments'!AH:AH,'Opex Departments'!$B:$B,$C163,'Opex Departments'!$A:$A,$A163)</f>
        <v>-154687.9425</v>
      </c>
      <c r="AU163" s="162">
        <f>SUMIFS('Opex Departments'!AI:AI,'Opex Departments'!$B:$B,$C163,'Opex Departments'!$A:$A,$A163)</f>
        <v>-164397.4873</v>
      </c>
      <c r="AV163" s="162">
        <f>SUMIFS('Opex Departments'!AJ:AJ,'Opex Departments'!$B:$B,$C163,'Opex Departments'!$A:$A,$A163)</f>
        <v>-180705.7135</v>
      </c>
      <c r="AW163" s="162">
        <f>SUMIFS('Opex Departments'!AK:AK,'Opex Departments'!$B:$B,$C163,'Opex Departments'!$A:$A,$A163)</f>
        <v>-190371.4451</v>
      </c>
      <c r="AX163" s="162">
        <f>SUMIFS('Opex Departments'!AL:AL,'Opex Departments'!$B:$B,$C163,'Opex Departments'!$A:$A,$A163)</f>
        <v>-199904.3011</v>
      </c>
      <c r="AY163" s="162">
        <f>SUMIFS('Opex Departments'!AM:AM,'Opex Departments'!$B:$B,$C163,'Opex Departments'!$A:$A,$A163)</f>
        <v>-209568.6045</v>
      </c>
      <c r="AZ163" s="162">
        <f>SUMIFS('Opex Departments'!AN:AN,'Opex Departments'!$B:$B,$C163,'Opex Departments'!$A:$A,$A163)</f>
        <v>-226362.2436</v>
      </c>
      <c r="BA163" s="162">
        <f>SUMIFS('Opex Departments'!AO:AO,'Opex Departments'!$B:$B,$C163,'Opex Departments'!$A:$A,$A163)</f>
        <v>-226230.4094</v>
      </c>
      <c r="BB163" s="162">
        <f>SUMIFS('Opex Departments'!AP:AP,'Opex Departments'!$B:$B,$C163,'Opex Departments'!$A:$A,$A163)</f>
        <v>-226512.5476</v>
      </c>
      <c r="BC163" s="162">
        <f>SUMIFS('Opex Departments'!AQ:AQ,'Opex Departments'!$B:$B,$C163,'Opex Departments'!$A:$A,$A163)</f>
        <v>-226649.8552</v>
      </c>
      <c r="BD163" s="162">
        <f>SUMIFS('Opex Departments'!AR:AR,'Opex Departments'!$B:$B,$C163,'Opex Departments'!$A:$A,$A163)</f>
        <v>-235108.7927</v>
      </c>
      <c r="BE163" s="162">
        <f>SUMIFS('Opex Departments'!AS:AS,'Opex Departments'!$B:$B,$C163,'Opex Departments'!$A:$A,$A163)</f>
        <v>-235300.4104</v>
      </c>
      <c r="BF163" s="162">
        <f>SUMIFS('Opex Departments'!AT:AT,'Opex Departments'!$B:$B,$C163,'Opex Departments'!$A:$A,$A163)</f>
        <v>-235505.2443</v>
      </c>
      <c r="BG163" s="162">
        <f>SUMIFS('Opex Departments'!AU:AU,'Opex Departments'!$B:$B,$C163,'Opex Departments'!$A:$A,$A163)</f>
        <v>-235764.2671</v>
      </c>
      <c r="BH163" s="162">
        <f>SUMIFS('Opex Departments'!AV:AV,'Opex Departments'!$B:$B,$C163,'Opex Departments'!$A:$A,$A163)</f>
        <v>-244485.584</v>
      </c>
      <c r="BI163" s="162">
        <f>SUMIFS('Opex Departments'!AW:AW,'Opex Departments'!$B:$B,$C163,'Opex Departments'!$A:$A,$A163)</f>
        <v>-244690.1473</v>
      </c>
      <c r="BJ163" s="162">
        <f>SUMIFS('Opex Departments'!AX:AX,'Opex Departments'!$B:$B,$C163,'Opex Departments'!$A:$A,$A163)</f>
        <v>-244867.3832</v>
      </c>
      <c r="BK163" s="162">
        <f>SUMIFS('Opex Departments'!AY:AY,'Opex Departments'!$B:$B,$C163,'Opex Departments'!$A:$A,$A163)</f>
        <v>-245053.4248</v>
      </c>
      <c r="BL163" s="162">
        <f>SUMIFS('Opex Departments'!AZ:AZ,'Opex Departments'!$B:$B,$C163,'Opex Departments'!$A:$A,$A163)</f>
        <v>-253555.7987</v>
      </c>
      <c r="BM163" s="162">
        <f>SUMIFS('Opex Departments'!BA:BA,'Opex Departments'!$B:$B,$C163,'Opex Departments'!$A:$A,$A163)</f>
        <v>-253747.9956</v>
      </c>
      <c r="BN163" s="162">
        <f>SUMIFS('Opex Departments'!BB:BB,'Opex Departments'!$B:$B,$C163,'Opex Departments'!$A:$A,$A163)</f>
        <v>-254080.0207</v>
      </c>
      <c r="BO163" s="162">
        <f>SUMIFS('Opex Departments'!BC:BC,'Opex Departments'!$B:$B,$C163,'Opex Departments'!$A:$A,$A163)</f>
        <v>-254328.1704</v>
      </c>
      <c r="BP163" s="162">
        <f>SUMIFS('Opex Departments'!BD:BD,'Opex Departments'!$B:$B,$C163,'Opex Departments'!$A:$A,$A163)</f>
        <v>-273963.5409</v>
      </c>
      <c r="BQ163" s="162">
        <f>SUMIFS('Opex Departments'!BE:BE,'Opex Departments'!$B:$B,$C163,'Opex Departments'!$A:$A,$A163)</f>
        <v>-274216.5267</v>
      </c>
      <c r="BR163" s="162">
        <f>SUMIFS('Opex Departments'!BF:BF,'Opex Departments'!$B:$B,$C163,'Opex Departments'!$A:$A,$A163)</f>
        <v>-274247.9927</v>
      </c>
      <c r="BS163" s="162">
        <f>SUMIFS('Opex Departments'!BG:BG,'Opex Departments'!$B:$B,$C163,'Opex Departments'!$A:$A,$A163)</f>
        <v>-285032.7831</v>
      </c>
      <c r="BT163" s="162">
        <f>SUMIFS('Opex Departments'!BH:BH,'Opex Departments'!$B:$B,$C163,'Opex Departments'!$A:$A,$A163)</f>
        <v>-295686.5355</v>
      </c>
      <c r="BU163" s="162">
        <f>SUMIFS('Opex Departments'!BI:BI,'Opex Departments'!$B:$B,$C163,'Opex Departments'!$A:$A,$A163)</f>
        <v>-306462.7315</v>
      </c>
      <c r="BV163" s="162">
        <f>SUMIFS('Opex Departments'!BJ:BJ,'Opex Departments'!$B:$B,$C163,'Opex Departments'!$A:$A,$A163)</f>
        <v>-306696.5757</v>
      </c>
      <c r="BW163" s="162">
        <f>SUMIFS('Opex Departments'!BK:BK,'Opex Departments'!$B:$B,$C163,'Opex Departments'!$A:$A,$A163)</f>
        <v>-306926.0387</v>
      </c>
      <c r="BX163" s="162">
        <f>SUMIFS('Opex Departments'!BL:BL,'Opex Departments'!$B:$B,$C163,'Opex Departments'!$A:$A,$A163)</f>
        <v>-329517.9875</v>
      </c>
      <c r="BY163" s="162">
        <f>SUMIFS('Opex Departments'!BM:BM,'Opex Departments'!$B:$B,$C163,'Opex Departments'!$A:$A,$A163)</f>
        <v>-328514.2541</v>
      </c>
      <c r="BZ163" s="162">
        <f>SUMIFS('Opex Departments'!BN:BN,'Opex Departments'!$B:$B,$C163,'Opex Departments'!$A:$A,$A163)</f>
        <v>-328764.6701</v>
      </c>
      <c r="CA163" s="162">
        <f>SUMIFS('Opex Departments'!BO:BO,'Opex Departments'!$B:$B,$C163,'Opex Departments'!$A:$A,$A163)</f>
        <v>-339898.1772</v>
      </c>
      <c r="CB163" s="162">
        <f>SUMIFS('Opex Departments'!BP:BP,'Opex Departments'!$B:$B,$C163,'Opex Departments'!$A:$A,$A163)</f>
        <v>-352399.2268</v>
      </c>
      <c r="CC163" s="162">
        <f>SUMIFS('Opex Departments'!BQ:BQ,'Opex Departments'!$B:$B,$C163,'Opex Departments'!$A:$A,$A163)</f>
        <v>-352617.0139</v>
      </c>
      <c r="CD163" s="162">
        <f>SUMIFS('Opex Departments'!BR:BR,'Opex Departments'!$B:$B,$C163,'Opex Departments'!$A:$A,$A163)</f>
        <v>-364195.0642</v>
      </c>
      <c r="CE163" s="162">
        <f>SUMIFS('Opex Departments'!BS:BS,'Opex Departments'!$B:$B,$C163,'Opex Departments'!$A:$A,$A163)</f>
        <v>-364411.8299</v>
      </c>
      <c r="CF163" s="162">
        <f>SUMIFS('Opex Departments'!BT:BT,'Opex Departments'!$B:$B,$C163,'Opex Departments'!$A:$A,$A163)</f>
        <v>-378099.0183</v>
      </c>
      <c r="CG163" s="162">
        <f>SUMIFS('Opex Departments'!BU:BU,'Opex Departments'!$B:$B,$C163,'Opex Departments'!$A:$A,$A163)</f>
        <v>-389671.1803</v>
      </c>
      <c r="CH163" s="162">
        <f>SUMIFS('Opex Departments'!BV:BV,'Opex Departments'!$B:$B,$C163,'Opex Departments'!$A:$A,$A163)</f>
        <v>-389885.0363</v>
      </c>
      <c r="CI163" s="162">
        <f>SUMIFS('Opex Departments'!BW:BW,'Opex Departments'!$B:$B,$C163,'Opex Departments'!$A:$A,$A163)</f>
        <v>-390097.772</v>
      </c>
      <c r="CJ163" s="162">
        <f>SUMIFS('Opex Departments'!BX:BX,'Opex Departments'!$B:$B,$C163,'Opex Departments'!$A:$A,$A163)</f>
        <v>-415162.5236</v>
      </c>
      <c r="CK163" s="162">
        <f>SUMIFS('Opex Departments'!BY:BY,'Opex Departments'!$B:$B,$C163,'Opex Departments'!$A:$A,$A163)</f>
        <v>-415200.3508</v>
      </c>
      <c r="CL163" s="162">
        <f>SUMIFS('Opex Departments'!BZ:BZ,'Opex Departments'!$B:$B,$C163,'Opex Departments'!$A:$A,$A163)</f>
        <v>-415374.7794</v>
      </c>
      <c r="CM163" s="162">
        <f>SUMIFS('Opex Departments'!CA:CA,'Opex Departments'!$B:$B,$C163,'Opex Departments'!$A:$A,$A163)</f>
        <v>-415490.3878</v>
      </c>
      <c r="CN163" s="162">
        <f>SUMIFS('Opex Departments'!CB:CB,'Opex Departments'!$B:$B,$C163,'Opex Departments'!$A:$A,$A163)</f>
        <v>-431094.0901</v>
      </c>
      <c r="CO163" s="162">
        <f>SUMIFS('Opex Departments'!CC:CC,'Opex Departments'!$B:$B,$C163,'Opex Departments'!$A:$A,$A163)</f>
        <v>-431229.2812</v>
      </c>
      <c r="CP163" s="162">
        <f>SUMIFS('Opex Departments'!CD:CD,'Opex Departments'!$B:$B,$C163,'Opex Departments'!$A:$A,$A163)</f>
        <v>-431372.9967</v>
      </c>
      <c r="CQ163" s="162">
        <f>SUMIFS('Opex Departments'!CE:CE,'Opex Departments'!$B:$B,$C163,'Opex Departments'!$A:$A,$A163)</f>
        <v>-431512.6345</v>
      </c>
      <c r="CR163" s="162">
        <f>SUMIFS('Opex Departments'!CF:CF,'Opex Departments'!$B:$B,$C163,'Opex Departments'!$A:$A,$A163)</f>
        <v>-447725.5002</v>
      </c>
      <c r="CS163" s="162">
        <f>SUMIFS('Opex Departments'!CG:CG,'Opex Departments'!$B:$B,$C163,'Opex Departments'!$A:$A,$A163)</f>
        <v>-447865.6706</v>
      </c>
      <c r="CT163" s="162">
        <f>SUMIFS('Opex Departments'!CH:CH,'Opex Departments'!$B:$B,$C163,'Opex Departments'!$A:$A,$A163)</f>
        <v>-448006.0007</v>
      </c>
      <c r="CU163" s="162">
        <f>SUMIFS('Opex Departments'!CI:CI,'Opex Departments'!$B:$B,$C163,'Opex Departments'!$A:$A,$A163)</f>
        <v>-448145.7024</v>
      </c>
      <c r="CV163" s="162"/>
      <c r="CW163" s="162"/>
      <c r="CX163" s="162"/>
      <c r="CY163" s="162"/>
      <c r="CZ163" s="162"/>
      <c r="DA163" s="162"/>
      <c r="DB163" s="162"/>
      <c r="DC163" s="162"/>
    </row>
    <row r="164" ht="15.75" customHeight="1">
      <c r="A164" s="144" t="s">
        <v>278</v>
      </c>
      <c r="B164" s="144"/>
      <c r="C164" s="146" t="s">
        <v>177</v>
      </c>
      <c r="D164" s="144"/>
      <c r="E164" s="144"/>
      <c r="F164" s="144"/>
      <c r="G164" s="144"/>
      <c r="H164" s="144"/>
      <c r="I164" s="144"/>
      <c r="J164" s="144"/>
      <c r="K164" s="144"/>
      <c r="L164" s="144"/>
      <c r="M164" s="144"/>
      <c r="N164" s="144"/>
      <c r="O164" s="144"/>
      <c r="P164" s="162" t="s">
        <v>272</v>
      </c>
      <c r="Q164" s="162" t="s">
        <v>272</v>
      </c>
      <c r="R164" s="162" t="s">
        <v>272</v>
      </c>
      <c r="S164" s="162" t="s">
        <v>272</v>
      </c>
      <c r="T164" s="162" t="s">
        <v>272</v>
      </c>
      <c r="U164" s="162" t="s">
        <v>272</v>
      </c>
      <c r="V164" s="162" t="s">
        <v>272</v>
      </c>
      <c r="W164" s="162" t="s">
        <v>272</v>
      </c>
      <c r="X164" s="162" t="s">
        <v>272</v>
      </c>
      <c r="Y164" s="162" t="s">
        <v>272</v>
      </c>
      <c r="Z164" s="162" t="s">
        <v>272</v>
      </c>
      <c r="AA164" s="162" t="s">
        <v>272</v>
      </c>
      <c r="AB164" s="162" t="s">
        <v>272</v>
      </c>
      <c r="AC164" s="162" t="s">
        <v>272</v>
      </c>
      <c r="AD164" s="162" t="s">
        <v>272</v>
      </c>
      <c r="AE164" s="162" t="s">
        <v>272</v>
      </c>
      <c r="AF164" s="162" t="s">
        <v>272</v>
      </c>
      <c r="AG164" s="162" t="s">
        <v>272</v>
      </c>
      <c r="AH164" s="162">
        <f>SUMIFS('Opex Departments'!V:V,'Opex Departments'!$B:$B,$C164,'Opex Departments'!$A:$A,$A164)</f>
        <v>0</v>
      </c>
      <c r="AI164" s="162">
        <f>SUMIFS('Opex Departments'!W:W,'Opex Departments'!$B:$B,$C164,'Opex Departments'!$A:$A,$A164)</f>
        <v>0</v>
      </c>
      <c r="AJ164" s="162">
        <f>SUMIFS('Opex Departments'!X:X,'Opex Departments'!$B:$B,$C164,'Opex Departments'!$A:$A,$A164)</f>
        <v>0</v>
      </c>
      <c r="AK164" s="162">
        <f>SUMIFS('Opex Departments'!Y:Y,'Opex Departments'!$B:$B,$C164,'Opex Departments'!$A:$A,$A164)</f>
        <v>0</v>
      </c>
      <c r="AL164" s="162">
        <f>SUMIFS('Opex Departments'!Z:Z,'Opex Departments'!$B:$B,$C164,'Opex Departments'!$A:$A,$A164)</f>
        <v>0</v>
      </c>
      <c r="AM164" s="162">
        <f>SUMIFS('Opex Departments'!AA:AA,'Opex Departments'!$B:$B,$C164,'Opex Departments'!$A:$A,$A164)</f>
        <v>0</v>
      </c>
      <c r="AN164" s="162">
        <f>SUMIFS('Opex Departments'!AB:AB,'Opex Departments'!$B:$B,$C164,'Opex Departments'!$A:$A,$A164)</f>
        <v>0</v>
      </c>
      <c r="AO164" s="162">
        <f>SUMIFS('Opex Departments'!AC:AC,'Opex Departments'!$B:$B,$C164,'Opex Departments'!$A:$A,$A164)</f>
        <v>0</v>
      </c>
      <c r="AP164" s="162">
        <f>SUMIFS('Opex Departments'!AD:AD,'Opex Departments'!$B:$B,$C164,'Opex Departments'!$A:$A,$A164)</f>
        <v>0</v>
      </c>
      <c r="AQ164" s="162">
        <f>SUMIFS('Opex Departments'!AE:AE,'Opex Departments'!$B:$B,$C164,'Opex Departments'!$A:$A,$A164)</f>
        <v>0</v>
      </c>
      <c r="AR164" s="162">
        <f>SUMIFS('Opex Departments'!AF:AF,'Opex Departments'!$B:$B,$C164,'Opex Departments'!$A:$A,$A164)</f>
        <v>0</v>
      </c>
      <c r="AS164" s="162">
        <f>SUMIFS('Opex Departments'!AG:AG,'Opex Departments'!$B:$B,$C164,'Opex Departments'!$A:$A,$A164)</f>
        <v>0</v>
      </c>
      <c r="AT164" s="162">
        <f>SUMIFS('Opex Departments'!AH:AH,'Opex Departments'!$B:$B,$C164,'Opex Departments'!$A:$A,$A164)</f>
        <v>0</v>
      </c>
      <c r="AU164" s="162">
        <f>SUMIFS('Opex Departments'!AI:AI,'Opex Departments'!$B:$B,$C164,'Opex Departments'!$A:$A,$A164)</f>
        <v>0</v>
      </c>
      <c r="AV164" s="162">
        <f>SUMIFS('Opex Departments'!AJ:AJ,'Opex Departments'!$B:$B,$C164,'Opex Departments'!$A:$A,$A164)</f>
        <v>0</v>
      </c>
      <c r="AW164" s="162">
        <f>SUMIFS('Opex Departments'!AK:AK,'Opex Departments'!$B:$B,$C164,'Opex Departments'!$A:$A,$A164)</f>
        <v>0</v>
      </c>
      <c r="AX164" s="162">
        <f>SUMIFS('Opex Departments'!AL:AL,'Opex Departments'!$B:$B,$C164,'Opex Departments'!$A:$A,$A164)</f>
        <v>0</v>
      </c>
      <c r="AY164" s="162">
        <f>SUMIFS('Opex Departments'!AM:AM,'Opex Departments'!$B:$B,$C164,'Opex Departments'!$A:$A,$A164)</f>
        <v>0</v>
      </c>
      <c r="AZ164" s="162">
        <f>SUMIFS('Opex Departments'!AN:AN,'Opex Departments'!$B:$B,$C164,'Opex Departments'!$A:$A,$A164)</f>
        <v>0</v>
      </c>
      <c r="BA164" s="162">
        <f>SUMIFS('Opex Departments'!AO:AO,'Opex Departments'!$B:$B,$C164,'Opex Departments'!$A:$A,$A164)</f>
        <v>0</v>
      </c>
      <c r="BB164" s="162">
        <f>SUMIFS('Opex Departments'!AP:AP,'Opex Departments'!$B:$B,$C164,'Opex Departments'!$A:$A,$A164)</f>
        <v>0</v>
      </c>
      <c r="BC164" s="162">
        <f>SUMIFS('Opex Departments'!AQ:AQ,'Opex Departments'!$B:$B,$C164,'Opex Departments'!$A:$A,$A164)</f>
        <v>0</v>
      </c>
      <c r="BD164" s="162">
        <f>SUMIFS('Opex Departments'!AR:AR,'Opex Departments'!$B:$B,$C164,'Opex Departments'!$A:$A,$A164)</f>
        <v>0</v>
      </c>
      <c r="BE164" s="162">
        <f>SUMIFS('Opex Departments'!AS:AS,'Opex Departments'!$B:$B,$C164,'Opex Departments'!$A:$A,$A164)</f>
        <v>0</v>
      </c>
      <c r="BF164" s="162">
        <f>SUMIFS('Opex Departments'!AT:AT,'Opex Departments'!$B:$B,$C164,'Opex Departments'!$A:$A,$A164)</f>
        <v>0</v>
      </c>
      <c r="BG164" s="162">
        <f>SUMIFS('Opex Departments'!AU:AU,'Opex Departments'!$B:$B,$C164,'Opex Departments'!$A:$A,$A164)</f>
        <v>0</v>
      </c>
      <c r="BH164" s="162">
        <f>SUMIFS('Opex Departments'!AV:AV,'Opex Departments'!$B:$B,$C164,'Opex Departments'!$A:$A,$A164)</f>
        <v>0</v>
      </c>
      <c r="BI164" s="162">
        <f>SUMIFS('Opex Departments'!AW:AW,'Opex Departments'!$B:$B,$C164,'Opex Departments'!$A:$A,$A164)</f>
        <v>0</v>
      </c>
      <c r="BJ164" s="162">
        <f>SUMIFS('Opex Departments'!AX:AX,'Opex Departments'!$B:$B,$C164,'Opex Departments'!$A:$A,$A164)</f>
        <v>0</v>
      </c>
      <c r="BK164" s="162">
        <f>SUMIFS('Opex Departments'!AY:AY,'Opex Departments'!$B:$B,$C164,'Opex Departments'!$A:$A,$A164)</f>
        <v>0</v>
      </c>
      <c r="BL164" s="162">
        <f>SUMIFS('Opex Departments'!AZ:AZ,'Opex Departments'!$B:$B,$C164,'Opex Departments'!$A:$A,$A164)</f>
        <v>0</v>
      </c>
      <c r="BM164" s="162">
        <f>SUMIFS('Opex Departments'!BA:BA,'Opex Departments'!$B:$B,$C164,'Opex Departments'!$A:$A,$A164)</f>
        <v>0</v>
      </c>
      <c r="BN164" s="162">
        <f>SUMIFS('Opex Departments'!BB:BB,'Opex Departments'!$B:$B,$C164,'Opex Departments'!$A:$A,$A164)</f>
        <v>0</v>
      </c>
      <c r="BO164" s="162">
        <f>SUMIFS('Opex Departments'!BC:BC,'Opex Departments'!$B:$B,$C164,'Opex Departments'!$A:$A,$A164)</f>
        <v>0</v>
      </c>
      <c r="BP164" s="162">
        <f>SUMIFS('Opex Departments'!BD:BD,'Opex Departments'!$B:$B,$C164,'Opex Departments'!$A:$A,$A164)</f>
        <v>0</v>
      </c>
      <c r="BQ164" s="162">
        <f>SUMIFS('Opex Departments'!BE:BE,'Opex Departments'!$B:$B,$C164,'Opex Departments'!$A:$A,$A164)</f>
        <v>0</v>
      </c>
      <c r="BR164" s="162">
        <f>SUMIFS('Opex Departments'!BF:BF,'Opex Departments'!$B:$B,$C164,'Opex Departments'!$A:$A,$A164)</f>
        <v>0</v>
      </c>
      <c r="BS164" s="162">
        <f>SUMIFS('Opex Departments'!BG:BG,'Opex Departments'!$B:$B,$C164,'Opex Departments'!$A:$A,$A164)</f>
        <v>0</v>
      </c>
      <c r="BT164" s="162">
        <f>SUMIFS('Opex Departments'!BH:BH,'Opex Departments'!$B:$B,$C164,'Opex Departments'!$A:$A,$A164)</f>
        <v>0</v>
      </c>
      <c r="BU164" s="162">
        <f>SUMIFS('Opex Departments'!BI:BI,'Opex Departments'!$B:$B,$C164,'Opex Departments'!$A:$A,$A164)</f>
        <v>0</v>
      </c>
      <c r="BV164" s="162">
        <f>SUMIFS('Opex Departments'!BJ:BJ,'Opex Departments'!$B:$B,$C164,'Opex Departments'!$A:$A,$A164)</f>
        <v>0</v>
      </c>
      <c r="BW164" s="162">
        <f>SUMIFS('Opex Departments'!BK:BK,'Opex Departments'!$B:$B,$C164,'Opex Departments'!$A:$A,$A164)</f>
        <v>0</v>
      </c>
      <c r="BX164" s="162">
        <f>SUMIFS('Opex Departments'!BL:BL,'Opex Departments'!$B:$B,$C164,'Opex Departments'!$A:$A,$A164)</f>
        <v>0</v>
      </c>
      <c r="BY164" s="162">
        <f>SUMIFS('Opex Departments'!BM:BM,'Opex Departments'!$B:$B,$C164,'Opex Departments'!$A:$A,$A164)</f>
        <v>0</v>
      </c>
      <c r="BZ164" s="162">
        <f>SUMIFS('Opex Departments'!BN:BN,'Opex Departments'!$B:$B,$C164,'Opex Departments'!$A:$A,$A164)</f>
        <v>0</v>
      </c>
      <c r="CA164" s="162">
        <f>SUMIFS('Opex Departments'!BO:BO,'Opex Departments'!$B:$B,$C164,'Opex Departments'!$A:$A,$A164)</f>
        <v>0</v>
      </c>
      <c r="CB164" s="162">
        <f>SUMIFS('Opex Departments'!BP:BP,'Opex Departments'!$B:$B,$C164,'Opex Departments'!$A:$A,$A164)</f>
        <v>0</v>
      </c>
      <c r="CC164" s="162">
        <f>SUMIFS('Opex Departments'!BQ:BQ,'Opex Departments'!$B:$B,$C164,'Opex Departments'!$A:$A,$A164)</f>
        <v>0</v>
      </c>
      <c r="CD164" s="162">
        <f>SUMIFS('Opex Departments'!BR:BR,'Opex Departments'!$B:$B,$C164,'Opex Departments'!$A:$A,$A164)</f>
        <v>0</v>
      </c>
      <c r="CE164" s="162">
        <f>SUMIFS('Opex Departments'!BS:BS,'Opex Departments'!$B:$B,$C164,'Opex Departments'!$A:$A,$A164)</f>
        <v>0</v>
      </c>
      <c r="CF164" s="162">
        <f>SUMIFS('Opex Departments'!BT:BT,'Opex Departments'!$B:$B,$C164,'Opex Departments'!$A:$A,$A164)</f>
        <v>0</v>
      </c>
      <c r="CG164" s="162">
        <f>SUMIFS('Opex Departments'!BU:BU,'Opex Departments'!$B:$B,$C164,'Opex Departments'!$A:$A,$A164)</f>
        <v>0</v>
      </c>
      <c r="CH164" s="162">
        <f>SUMIFS('Opex Departments'!BV:BV,'Opex Departments'!$B:$B,$C164,'Opex Departments'!$A:$A,$A164)</f>
        <v>0</v>
      </c>
      <c r="CI164" s="162">
        <f>SUMIFS('Opex Departments'!BW:BW,'Opex Departments'!$B:$B,$C164,'Opex Departments'!$A:$A,$A164)</f>
        <v>0</v>
      </c>
      <c r="CJ164" s="162">
        <f>SUMIFS('Opex Departments'!BX:BX,'Opex Departments'!$B:$B,$C164,'Opex Departments'!$A:$A,$A164)</f>
        <v>0</v>
      </c>
      <c r="CK164" s="162">
        <f>SUMIFS('Opex Departments'!BY:BY,'Opex Departments'!$B:$B,$C164,'Opex Departments'!$A:$A,$A164)</f>
        <v>0</v>
      </c>
      <c r="CL164" s="162">
        <f>SUMIFS('Opex Departments'!BZ:BZ,'Opex Departments'!$B:$B,$C164,'Opex Departments'!$A:$A,$A164)</f>
        <v>0</v>
      </c>
      <c r="CM164" s="162">
        <f>SUMIFS('Opex Departments'!CA:CA,'Opex Departments'!$B:$B,$C164,'Opex Departments'!$A:$A,$A164)</f>
        <v>0</v>
      </c>
      <c r="CN164" s="162">
        <f>SUMIFS('Opex Departments'!CB:CB,'Opex Departments'!$B:$B,$C164,'Opex Departments'!$A:$A,$A164)</f>
        <v>0</v>
      </c>
      <c r="CO164" s="162">
        <f>SUMIFS('Opex Departments'!CC:CC,'Opex Departments'!$B:$B,$C164,'Opex Departments'!$A:$A,$A164)</f>
        <v>0</v>
      </c>
      <c r="CP164" s="162">
        <f>SUMIFS('Opex Departments'!CD:CD,'Opex Departments'!$B:$B,$C164,'Opex Departments'!$A:$A,$A164)</f>
        <v>0</v>
      </c>
      <c r="CQ164" s="162">
        <f>SUMIFS('Opex Departments'!CE:CE,'Opex Departments'!$B:$B,$C164,'Opex Departments'!$A:$A,$A164)</f>
        <v>0</v>
      </c>
      <c r="CR164" s="162">
        <f>SUMIFS('Opex Departments'!CF:CF,'Opex Departments'!$B:$B,$C164,'Opex Departments'!$A:$A,$A164)</f>
        <v>0</v>
      </c>
      <c r="CS164" s="162">
        <f>SUMIFS('Opex Departments'!CG:CG,'Opex Departments'!$B:$B,$C164,'Opex Departments'!$A:$A,$A164)</f>
        <v>0</v>
      </c>
      <c r="CT164" s="162">
        <f>SUMIFS('Opex Departments'!CH:CH,'Opex Departments'!$B:$B,$C164,'Opex Departments'!$A:$A,$A164)</f>
        <v>0</v>
      </c>
      <c r="CU164" s="162">
        <f>SUMIFS('Opex Departments'!CI:CI,'Opex Departments'!$B:$B,$C164,'Opex Departments'!$A:$A,$A164)</f>
        <v>0</v>
      </c>
      <c r="CV164" s="162"/>
      <c r="CW164" s="162"/>
      <c r="CX164" s="162"/>
      <c r="CY164" s="162"/>
      <c r="CZ164" s="162"/>
      <c r="DA164" s="162"/>
      <c r="DB164" s="162"/>
      <c r="DC164" s="162"/>
    </row>
    <row r="165" ht="15.75" customHeight="1">
      <c r="A165" s="144" t="s">
        <v>278</v>
      </c>
      <c r="B165" s="144"/>
      <c r="C165" s="146" t="s">
        <v>66</v>
      </c>
      <c r="D165" s="144"/>
      <c r="E165" s="144"/>
      <c r="F165" s="144"/>
      <c r="G165" s="144"/>
      <c r="H165" s="144"/>
      <c r="I165" s="144"/>
      <c r="J165" s="144"/>
      <c r="K165" s="144"/>
      <c r="L165" s="144"/>
      <c r="M165" s="144"/>
      <c r="N165" s="144"/>
      <c r="O165" s="144"/>
      <c r="P165" s="162">
        <v>8500.0</v>
      </c>
      <c r="Q165" s="162">
        <v>-3575.0</v>
      </c>
      <c r="R165" s="162">
        <v>13742.0</v>
      </c>
      <c r="S165" s="162">
        <v>24966.0</v>
      </c>
      <c r="T165" s="162">
        <v>32688.0</v>
      </c>
      <c r="U165" s="162">
        <v>3573.0</v>
      </c>
      <c r="V165" s="162">
        <v>6673.0</v>
      </c>
      <c r="W165" s="162">
        <v>5438.0</v>
      </c>
      <c r="X165" s="162">
        <v>1700.0</v>
      </c>
      <c r="Y165" s="162">
        <v>2926.0</v>
      </c>
      <c r="Z165" s="162">
        <v>5200.0</v>
      </c>
      <c r="AA165" s="162">
        <v>14547.0</v>
      </c>
      <c r="AB165" s="162">
        <v>21532.0</v>
      </c>
      <c r="AC165" s="162">
        <v>3774.0</v>
      </c>
      <c r="AD165" s="162">
        <v>11236.0</v>
      </c>
      <c r="AE165" s="162">
        <v>13782.0</v>
      </c>
      <c r="AF165" s="162">
        <v>11169.0</v>
      </c>
      <c r="AG165" s="162">
        <v>4287.0</v>
      </c>
      <c r="AH165" s="162">
        <f>SUMIFS('Opex Departments'!V:V,'Opex Departments'!$B:$B,$C165,'Opex Departments'!$A:$A,$A165)</f>
        <v>-10177</v>
      </c>
      <c r="AI165" s="162">
        <f>SUMIFS('Opex Departments'!W:W,'Opex Departments'!$B:$B,$C165,'Opex Departments'!$A:$A,$A165)</f>
        <v>-15503</v>
      </c>
      <c r="AJ165" s="162">
        <f>SUMIFS('Opex Departments'!X:X,'Opex Departments'!$B:$B,$C165,'Opex Departments'!$A:$A,$A165)</f>
        <v>-23634</v>
      </c>
      <c r="AK165" s="162">
        <f>SUMIFS('Opex Departments'!Y:Y,'Opex Departments'!$B:$B,$C165,'Opex Departments'!$A:$A,$A165)</f>
        <v>-23791</v>
      </c>
      <c r="AL165" s="162">
        <f>SUMIFS('Opex Departments'!Z:Z,'Opex Departments'!$B:$B,$C165,'Opex Departments'!$A:$A,$A165)</f>
        <v>-12067</v>
      </c>
      <c r="AM165" s="162">
        <f>SUMIFS('Opex Departments'!AA:AA,'Opex Departments'!$B:$B,$C165,'Opex Departments'!$A:$A,$A165)</f>
        <v>-696.86</v>
      </c>
      <c r="AN165" s="162">
        <f>SUMIFS('Opex Departments'!AB:AB,'Opex Departments'!$B:$B,$C165,'Opex Departments'!$A:$A,$A165)</f>
        <v>-689.6843</v>
      </c>
      <c r="AO165" s="162">
        <f>SUMIFS('Opex Departments'!AC:AC,'Opex Departments'!$B:$B,$C165,'Opex Departments'!$A:$A,$A165)</f>
        <v>-682.4727215</v>
      </c>
      <c r="AP165" s="162">
        <f>SUMIFS('Opex Departments'!AD:AD,'Opex Departments'!$B:$B,$C165,'Opex Departments'!$A:$A,$A165)</f>
        <v>-675.2250851</v>
      </c>
      <c r="AQ165" s="162">
        <f>SUMIFS('Opex Departments'!AE:AE,'Opex Departments'!$B:$B,$C165,'Opex Departments'!$A:$A,$A165)</f>
        <v>-667.9412105</v>
      </c>
      <c r="AR165" s="162">
        <f>SUMIFS('Opex Departments'!AF:AF,'Opex Departments'!$B:$B,$C165,'Opex Departments'!$A:$A,$A165)</f>
        <v>-660.6209166</v>
      </c>
      <c r="AS165" s="162">
        <f>SUMIFS('Opex Departments'!AG:AG,'Opex Departments'!$B:$B,$C165,'Opex Departments'!$A:$A,$A165)</f>
        <v>-653.2640212</v>
      </c>
      <c r="AT165" s="162">
        <f>SUMIFS('Opex Departments'!AH:AH,'Opex Departments'!$B:$B,$C165,'Opex Departments'!$A:$A,$A165)</f>
        <v>-645.8703413</v>
      </c>
      <c r="AU165" s="162">
        <f>SUMIFS('Opex Departments'!AI:AI,'Opex Departments'!$B:$B,$C165,'Opex Departments'!$A:$A,$A165)</f>
        <v>-638.439693</v>
      </c>
      <c r="AV165" s="162">
        <f>SUMIFS('Opex Departments'!AJ:AJ,'Opex Departments'!$B:$B,$C165,'Opex Departments'!$A:$A,$A165)</f>
        <v>-630.9718914</v>
      </c>
      <c r="AW165" s="162">
        <f>SUMIFS('Opex Departments'!AK:AK,'Opex Departments'!$B:$B,$C165,'Opex Departments'!$A:$A,$A165)</f>
        <v>-623.4667509</v>
      </c>
      <c r="AX165" s="162">
        <f>SUMIFS('Opex Departments'!AL:AL,'Opex Departments'!$B:$B,$C165,'Opex Departments'!$A:$A,$A165)</f>
        <v>-615.9240847</v>
      </c>
      <c r="AY165" s="162">
        <f>SUMIFS('Opex Departments'!AM:AM,'Opex Departments'!$B:$B,$C165,'Opex Departments'!$A:$A,$A165)</f>
        <v>-608.3437051</v>
      </c>
      <c r="AZ165" s="162">
        <f>SUMIFS('Opex Departments'!AN:AN,'Opex Departments'!$B:$B,$C165,'Opex Departments'!$A:$A,$A165)</f>
        <v>-611.3854236</v>
      </c>
      <c r="BA165" s="162">
        <f>SUMIFS('Opex Departments'!AO:AO,'Opex Departments'!$B:$B,$C165,'Opex Departments'!$A:$A,$A165)</f>
        <v>-614.4423507</v>
      </c>
      <c r="BB165" s="162">
        <f>SUMIFS('Opex Departments'!AP:AP,'Opex Departments'!$B:$B,$C165,'Opex Departments'!$A:$A,$A165)</f>
        <v>-617.5145625</v>
      </c>
      <c r="BC165" s="162">
        <f>SUMIFS('Opex Departments'!AQ:AQ,'Opex Departments'!$B:$B,$C165,'Opex Departments'!$A:$A,$A165)</f>
        <v>-620.6021353</v>
      </c>
      <c r="BD165" s="162">
        <f>SUMIFS('Opex Departments'!AR:AR,'Opex Departments'!$B:$B,$C165,'Opex Departments'!$A:$A,$A165)</f>
        <v>-623.705146</v>
      </c>
      <c r="BE165" s="162">
        <f>SUMIFS('Opex Departments'!AS:AS,'Opex Departments'!$B:$B,$C165,'Opex Departments'!$A:$A,$A165)</f>
        <v>-626.8236717</v>
      </c>
      <c r="BF165" s="162">
        <f>SUMIFS('Opex Departments'!AT:AT,'Opex Departments'!$B:$B,$C165,'Opex Departments'!$A:$A,$A165)</f>
        <v>-629.9577901</v>
      </c>
      <c r="BG165" s="162">
        <f>SUMIFS('Opex Departments'!AU:AU,'Opex Departments'!$B:$B,$C165,'Opex Departments'!$A:$A,$A165)</f>
        <v>-633.107579</v>
      </c>
      <c r="BH165" s="162">
        <f>SUMIFS('Opex Departments'!AV:AV,'Opex Departments'!$B:$B,$C165,'Opex Departments'!$A:$A,$A165)</f>
        <v>-636.2731169</v>
      </c>
      <c r="BI165" s="162">
        <f>SUMIFS('Opex Departments'!AW:AW,'Opex Departments'!$B:$B,$C165,'Opex Departments'!$A:$A,$A165)</f>
        <v>-639.4544825</v>
      </c>
      <c r="BJ165" s="162">
        <f>SUMIFS('Opex Departments'!AX:AX,'Opex Departments'!$B:$B,$C165,'Opex Departments'!$A:$A,$A165)</f>
        <v>-642.6517549</v>
      </c>
      <c r="BK165" s="162">
        <f>SUMIFS('Opex Departments'!AY:AY,'Opex Departments'!$B:$B,$C165,'Opex Departments'!$A:$A,$A165)</f>
        <v>-645.8650137</v>
      </c>
      <c r="BL165" s="162">
        <f>SUMIFS('Opex Departments'!AZ:AZ,'Opex Departments'!$B:$B,$C165,'Opex Departments'!$A:$A,$A165)</f>
        <v>-649.0943387</v>
      </c>
      <c r="BM165" s="162">
        <f>SUMIFS('Opex Departments'!BA:BA,'Opex Departments'!$B:$B,$C165,'Opex Departments'!$A:$A,$A165)</f>
        <v>-652.3398104</v>
      </c>
      <c r="BN165" s="162">
        <f>SUMIFS('Opex Departments'!BB:BB,'Opex Departments'!$B:$B,$C165,'Opex Departments'!$A:$A,$A165)</f>
        <v>-655.6015095</v>
      </c>
      <c r="BO165" s="162">
        <f>SUMIFS('Opex Departments'!BC:BC,'Opex Departments'!$B:$B,$C165,'Opex Departments'!$A:$A,$A165)</f>
        <v>-658.879517</v>
      </c>
      <c r="BP165" s="162">
        <f>SUMIFS('Opex Departments'!BD:BD,'Opex Departments'!$B:$B,$C165,'Opex Departments'!$A:$A,$A165)</f>
        <v>-662.1739146</v>
      </c>
      <c r="BQ165" s="162">
        <f>SUMIFS('Opex Departments'!BE:BE,'Opex Departments'!$B:$B,$C165,'Opex Departments'!$A:$A,$A165)</f>
        <v>-665.4847842</v>
      </c>
      <c r="BR165" s="162">
        <f>SUMIFS('Opex Departments'!BF:BF,'Opex Departments'!$B:$B,$C165,'Opex Departments'!$A:$A,$A165)</f>
        <v>-668.8122081</v>
      </c>
      <c r="BS165" s="162">
        <f>SUMIFS('Opex Departments'!BG:BG,'Opex Departments'!$B:$B,$C165,'Opex Departments'!$A:$A,$A165)</f>
        <v>-672.1562692</v>
      </c>
      <c r="BT165" s="162">
        <f>SUMIFS('Opex Departments'!BH:BH,'Opex Departments'!$B:$B,$C165,'Opex Departments'!$A:$A,$A165)</f>
        <v>-675.5170505</v>
      </c>
      <c r="BU165" s="162">
        <f>SUMIFS('Opex Departments'!BI:BI,'Opex Departments'!$B:$B,$C165,'Opex Departments'!$A:$A,$A165)</f>
        <v>-678.8946358</v>
      </c>
      <c r="BV165" s="162">
        <f>SUMIFS('Opex Departments'!BJ:BJ,'Opex Departments'!$B:$B,$C165,'Opex Departments'!$A:$A,$A165)</f>
        <v>-682.2891089</v>
      </c>
      <c r="BW165" s="162">
        <f>SUMIFS('Opex Departments'!BK:BK,'Opex Departments'!$B:$B,$C165,'Opex Departments'!$A:$A,$A165)</f>
        <v>-685.7005545</v>
      </c>
      <c r="BX165" s="162">
        <f>SUMIFS('Opex Departments'!BL:BL,'Opex Departments'!$B:$B,$C165,'Opex Departments'!$A:$A,$A165)</f>
        <v>-689.1290572</v>
      </c>
      <c r="BY165" s="162">
        <f>SUMIFS('Opex Departments'!BM:BM,'Opex Departments'!$B:$B,$C165,'Opex Departments'!$A:$A,$A165)</f>
        <v>-692.5747025</v>
      </c>
      <c r="BZ165" s="162">
        <f>SUMIFS('Opex Departments'!BN:BN,'Opex Departments'!$B:$B,$C165,'Opex Departments'!$A:$A,$A165)</f>
        <v>-696.037576</v>
      </c>
      <c r="CA165" s="162">
        <f>SUMIFS('Opex Departments'!BO:BO,'Opex Departments'!$B:$B,$C165,'Opex Departments'!$A:$A,$A165)</f>
        <v>-699.5177639</v>
      </c>
      <c r="CB165" s="162">
        <f>SUMIFS('Opex Departments'!BP:BP,'Opex Departments'!$B:$B,$C165,'Opex Departments'!$A:$A,$A165)</f>
        <v>-703.0153527</v>
      </c>
      <c r="CC165" s="162">
        <f>SUMIFS('Opex Departments'!BQ:BQ,'Opex Departments'!$B:$B,$C165,'Opex Departments'!$A:$A,$A165)</f>
        <v>-706.5304295</v>
      </c>
      <c r="CD165" s="162">
        <f>SUMIFS('Opex Departments'!BR:BR,'Opex Departments'!$B:$B,$C165,'Opex Departments'!$A:$A,$A165)</f>
        <v>-710.0630817</v>
      </c>
      <c r="CE165" s="162">
        <f>SUMIFS('Opex Departments'!BS:BS,'Opex Departments'!$B:$B,$C165,'Opex Departments'!$A:$A,$A165)</f>
        <v>-713.6133971</v>
      </c>
      <c r="CF165" s="162">
        <f>SUMIFS('Opex Departments'!BT:BT,'Opex Departments'!$B:$B,$C165,'Opex Departments'!$A:$A,$A165)</f>
        <v>-717.1814641</v>
      </c>
      <c r="CG165" s="162">
        <f>SUMIFS('Opex Departments'!BU:BU,'Opex Departments'!$B:$B,$C165,'Opex Departments'!$A:$A,$A165)</f>
        <v>-720.7673714</v>
      </c>
      <c r="CH165" s="162">
        <f>SUMIFS('Opex Departments'!BV:BV,'Opex Departments'!$B:$B,$C165,'Opex Departments'!$A:$A,$A165)</f>
        <v>-724.3712082</v>
      </c>
      <c r="CI165" s="162">
        <f>SUMIFS('Opex Departments'!BW:BW,'Opex Departments'!$B:$B,$C165,'Opex Departments'!$A:$A,$A165)</f>
        <v>-727.9930643</v>
      </c>
      <c r="CJ165" s="162">
        <f>SUMIFS('Opex Departments'!BX:BX,'Opex Departments'!$B:$B,$C165,'Opex Departments'!$A:$A,$A165)</f>
        <v>-731.6330296</v>
      </c>
      <c r="CK165" s="162">
        <f>SUMIFS('Opex Departments'!BY:BY,'Opex Departments'!$B:$B,$C165,'Opex Departments'!$A:$A,$A165)</f>
        <v>-735.2911947</v>
      </c>
      <c r="CL165" s="162">
        <f>SUMIFS('Opex Departments'!BZ:BZ,'Opex Departments'!$B:$B,$C165,'Opex Departments'!$A:$A,$A165)</f>
        <v>-738.9676507</v>
      </c>
      <c r="CM165" s="162">
        <f>SUMIFS('Opex Departments'!CA:CA,'Opex Departments'!$B:$B,$C165,'Opex Departments'!$A:$A,$A165)</f>
        <v>-742.662489</v>
      </c>
      <c r="CN165" s="162">
        <f>SUMIFS('Opex Departments'!CB:CB,'Opex Departments'!$B:$B,$C165,'Opex Departments'!$A:$A,$A165)</f>
        <v>-746.3758014</v>
      </c>
      <c r="CO165" s="162">
        <f>SUMIFS('Opex Departments'!CC:CC,'Opex Departments'!$B:$B,$C165,'Opex Departments'!$A:$A,$A165)</f>
        <v>-750.1076804</v>
      </c>
      <c r="CP165" s="162">
        <f>SUMIFS('Opex Departments'!CD:CD,'Opex Departments'!$B:$B,$C165,'Opex Departments'!$A:$A,$A165)</f>
        <v>-753.8582188</v>
      </c>
      <c r="CQ165" s="162">
        <f>SUMIFS('Opex Departments'!CE:CE,'Opex Departments'!$B:$B,$C165,'Opex Departments'!$A:$A,$A165)</f>
        <v>-757.6275099</v>
      </c>
      <c r="CR165" s="162">
        <f>SUMIFS('Opex Departments'!CF:CF,'Opex Departments'!$B:$B,$C165,'Opex Departments'!$A:$A,$A165)</f>
        <v>-761.4156475</v>
      </c>
      <c r="CS165" s="162">
        <f>SUMIFS('Opex Departments'!CG:CG,'Opex Departments'!$B:$B,$C165,'Opex Departments'!$A:$A,$A165)</f>
        <v>-765.2227257</v>
      </c>
      <c r="CT165" s="162">
        <f>SUMIFS('Opex Departments'!CH:CH,'Opex Departments'!$B:$B,$C165,'Opex Departments'!$A:$A,$A165)</f>
        <v>-769.0488393</v>
      </c>
      <c r="CU165" s="162">
        <f>SUMIFS('Opex Departments'!CI:CI,'Opex Departments'!$B:$B,$C165,'Opex Departments'!$A:$A,$A165)</f>
        <v>-772.8940835</v>
      </c>
      <c r="CV165" s="162"/>
      <c r="CW165" s="162"/>
      <c r="CX165" s="162"/>
      <c r="CY165" s="162"/>
      <c r="CZ165" s="162"/>
      <c r="DA165" s="162"/>
      <c r="DB165" s="162"/>
      <c r="DC165" s="162"/>
    </row>
    <row r="166" ht="15.75" customHeight="1">
      <c r="A166" s="144" t="s">
        <v>278</v>
      </c>
      <c r="B166" s="144"/>
      <c r="C166" s="144" t="s">
        <v>70</v>
      </c>
      <c r="D166" s="144"/>
      <c r="E166" s="144"/>
      <c r="F166" s="144"/>
      <c r="G166" s="144"/>
      <c r="H166" s="144"/>
      <c r="I166" s="144"/>
      <c r="J166" s="144"/>
      <c r="K166" s="144"/>
      <c r="L166" s="144"/>
      <c r="M166" s="144"/>
      <c r="N166" s="144"/>
      <c r="O166" s="144"/>
      <c r="P166" s="162">
        <v>4553.0</v>
      </c>
      <c r="Q166" s="162">
        <v>5756.0</v>
      </c>
      <c r="R166" s="162">
        <v>14911.0</v>
      </c>
      <c r="S166" s="162">
        <v>15703.0</v>
      </c>
      <c r="T166" s="162">
        <v>11863.0</v>
      </c>
      <c r="U166" s="162">
        <v>15667.0</v>
      </c>
      <c r="V166" s="162">
        <v>13660.0</v>
      </c>
      <c r="W166" s="162">
        <v>18000.0</v>
      </c>
      <c r="X166" s="162">
        <v>16660.0</v>
      </c>
      <c r="Y166" s="162">
        <v>28620.0</v>
      </c>
      <c r="Z166" s="162">
        <v>20276.0</v>
      </c>
      <c r="AA166" s="162">
        <v>26861.0</v>
      </c>
      <c r="AB166" s="162">
        <v>24678.0</v>
      </c>
      <c r="AC166" s="162">
        <v>20091.0</v>
      </c>
      <c r="AD166" s="162">
        <v>22340.0</v>
      </c>
      <c r="AE166" s="162">
        <v>21476.0</v>
      </c>
      <c r="AF166" s="162">
        <v>18853.0</v>
      </c>
      <c r="AG166" s="162">
        <v>12273.0</v>
      </c>
      <c r="AH166" s="162">
        <f>SUMIFS('Opex Departments'!V:V,'Opex Departments'!$B:$B,$C166,'Opex Departments'!$A:$A,$A166)</f>
        <v>-14764</v>
      </c>
      <c r="AI166" s="162">
        <f>SUMIFS('Opex Departments'!W:W,'Opex Departments'!$B:$B,$C166,'Opex Departments'!$A:$A,$A166)</f>
        <v>-5618</v>
      </c>
      <c r="AJ166" s="162">
        <f>SUMIFS('Opex Departments'!X:X,'Opex Departments'!$B:$B,$C166,'Opex Departments'!$A:$A,$A166)</f>
        <v>-12623</v>
      </c>
      <c r="AK166" s="162">
        <f>SUMIFS('Opex Departments'!Y:Y,'Opex Departments'!$B:$B,$C166,'Opex Departments'!$A:$A,$A166)</f>
        <v>-8815</v>
      </c>
      <c r="AL166" s="162">
        <f>SUMIFS('Opex Departments'!Z:Z,'Opex Departments'!$B:$B,$C166,'Opex Departments'!$A:$A,$A166)</f>
        <v>-8887</v>
      </c>
      <c r="AM166" s="162">
        <f>SUMIFS('Opex Departments'!AA:AA,'Opex Departments'!$B:$B,$C166,'Opex Departments'!$A:$A,$A166)</f>
        <v>1197.216</v>
      </c>
      <c r="AN166" s="162">
        <f>SUMIFS('Opex Departments'!AB:AB,'Opex Departments'!$B:$B,$C166,'Opex Departments'!$A:$A,$A166)</f>
        <v>2637.216</v>
      </c>
      <c r="AO166" s="162">
        <f>SUMIFS('Opex Departments'!AC:AC,'Opex Departments'!$B:$B,$C166,'Opex Departments'!$A:$A,$A166)</f>
        <v>2637.216</v>
      </c>
      <c r="AP166" s="162">
        <f>SUMIFS('Opex Departments'!AD:AD,'Opex Departments'!$B:$B,$C166,'Opex Departments'!$A:$A,$A166)</f>
        <v>2637.216</v>
      </c>
      <c r="AQ166" s="162">
        <f>SUMIFS('Opex Departments'!AE:AE,'Opex Departments'!$B:$B,$C166,'Opex Departments'!$A:$A,$A166)</f>
        <v>2637.216</v>
      </c>
      <c r="AR166" s="162">
        <f>SUMIFS('Opex Departments'!AF:AF,'Opex Departments'!$B:$B,$C166,'Opex Departments'!$A:$A,$A166)</f>
        <v>4077.216</v>
      </c>
      <c r="AS166" s="162">
        <f>SUMIFS('Opex Departments'!AG:AG,'Opex Departments'!$B:$B,$C166,'Opex Departments'!$A:$A,$A166)</f>
        <v>4077.216</v>
      </c>
      <c r="AT166" s="162">
        <f>SUMIFS('Opex Departments'!AH:AH,'Opex Departments'!$B:$B,$C166,'Opex Departments'!$A:$A,$A166)</f>
        <v>4077.216</v>
      </c>
      <c r="AU166" s="162">
        <f>SUMIFS('Opex Departments'!AI:AI,'Opex Departments'!$B:$B,$C166,'Opex Departments'!$A:$A,$A166)</f>
        <v>4077.216</v>
      </c>
      <c r="AV166" s="162">
        <f>SUMIFS('Opex Departments'!AJ:AJ,'Opex Departments'!$B:$B,$C166,'Opex Departments'!$A:$A,$A166)</f>
        <v>5517.216</v>
      </c>
      <c r="AW166" s="162">
        <f>SUMIFS('Opex Departments'!AK:AK,'Opex Departments'!$B:$B,$C166,'Opex Departments'!$A:$A,$A166)</f>
        <v>5517.216</v>
      </c>
      <c r="AX166" s="162">
        <f>SUMIFS('Opex Departments'!AL:AL,'Opex Departments'!$B:$B,$C166,'Opex Departments'!$A:$A,$A166)</f>
        <v>5517.216</v>
      </c>
      <c r="AY166" s="162">
        <f>SUMIFS('Opex Departments'!AM:AM,'Opex Departments'!$B:$B,$C166,'Opex Departments'!$A:$A,$A166)</f>
        <v>5517.216</v>
      </c>
      <c r="AZ166" s="162">
        <f>SUMIFS('Opex Departments'!AN:AN,'Opex Departments'!$B:$B,$C166,'Opex Departments'!$A:$A,$A166)</f>
        <v>5517.216</v>
      </c>
      <c r="BA166" s="162">
        <f>SUMIFS('Opex Departments'!AO:AO,'Opex Departments'!$B:$B,$C166,'Opex Departments'!$A:$A,$A166)</f>
        <v>5517.216</v>
      </c>
      <c r="BB166" s="162">
        <f>SUMIFS('Opex Departments'!AP:AP,'Opex Departments'!$B:$B,$C166,'Opex Departments'!$A:$A,$A166)</f>
        <v>5517.216</v>
      </c>
      <c r="BC166" s="162">
        <f>SUMIFS('Opex Departments'!AQ:AQ,'Opex Departments'!$B:$B,$C166,'Opex Departments'!$A:$A,$A166)</f>
        <v>5517.216</v>
      </c>
      <c r="BD166" s="162">
        <f>SUMIFS('Opex Departments'!AR:AR,'Opex Departments'!$B:$B,$C166,'Opex Departments'!$A:$A,$A166)</f>
        <v>5517.216</v>
      </c>
      <c r="BE166" s="162">
        <f>SUMIFS('Opex Departments'!AS:AS,'Opex Departments'!$B:$B,$C166,'Opex Departments'!$A:$A,$A166)</f>
        <v>5517.216</v>
      </c>
      <c r="BF166" s="162">
        <f>SUMIFS('Opex Departments'!AT:AT,'Opex Departments'!$B:$B,$C166,'Opex Departments'!$A:$A,$A166)</f>
        <v>5517.216</v>
      </c>
      <c r="BG166" s="162">
        <f>SUMIFS('Opex Departments'!AU:AU,'Opex Departments'!$B:$B,$C166,'Opex Departments'!$A:$A,$A166)</f>
        <v>5517.216</v>
      </c>
      <c r="BH166" s="162">
        <f>SUMIFS('Opex Departments'!AV:AV,'Opex Departments'!$B:$B,$C166,'Opex Departments'!$A:$A,$A166)</f>
        <v>6669.216</v>
      </c>
      <c r="BI166" s="162">
        <f>SUMIFS('Opex Departments'!AW:AW,'Opex Departments'!$B:$B,$C166,'Opex Departments'!$A:$A,$A166)</f>
        <v>6669.216</v>
      </c>
      <c r="BJ166" s="162">
        <f>SUMIFS('Opex Departments'!AX:AX,'Opex Departments'!$B:$B,$C166,'Opex Departments'!$A:$A,$A166)</f>
        <v>6669.216</v>
      </c>
      <c r="BK166" s="162">
        <f>SUMIFS('Opex Departments'!AY:AY,'Opex Departments'!$B:$B,$C166,'Opex Departments'!$A:$A,$A166)</f>
        <v>6669.216</v>
      </c>
      <c r="BL166" s="162">
        <f>SUMIFS('Opex Departments'!AZ:AZ,'Opex Departments'!$B:$B,$C166,'Opex Departments'!$A:$A,$A166)</f>
        <v>9549.216</v>
      </c>
      <c r="BM166" s="162">
        <f>SUMIFS('Opex Departments'!BA:BA,'Opex Departments'!$B:$B,$C166,'Opex Departments'!$A:$A,$A166)</f>
        <v>9549.216</v>
      </c>
      <c r="BN166" s="162">
        <f>SUMIFS('Opex Departments'!BB:BB,'Opex Departments'!$B:$B,$C166,'Opex Departments'!$A:$A,$A166)</f>
        <v>9549.216</v>
      </c>
      <c r="BO166" s="162">
        <f>SUMIFS('Opex Departments'!BC:BC,'Opex Departments'!$B:$B,$C166,'Opex Departments'!$A:$A,$A166)</f>
        <v>9549.216</v>
      </c>
      <c r="BP166" s="162">
        <f>SUMIFS('Opex Departments'!BD:BD,'Opex Departments'!$B:$B,$C166,'Opex Departments'!$A:$A,$A166)</f>
        <v>12429.216</v>
      </c>
      <c r="BQ166" s="162">
        <f>SUMIFS('Opex Departments'!BE:BE,'Opex Departments'!$B:$B,$C166,'Opex Departments'!$A:$A,$A166)</f>
        <v>12429.216</v>
      </c>
      <c r="BR166" s="162">
        <f>SUMIFS('Opex Departments'!BF:BF,'Opex Departments'!$B:$B,$C166,'Opex Departments'!$A:$A,$A166)</f>
        <v>12429.216</v>
      </c>
      <c r="BS166" s="162">
        <f>SUMIFS('Opex Departments'!BG:BG,'Opex Departments'!$B:$B,$C166,'Opex Departments'!$A:$A,$A166)</f>
        <v>12429.216</v>
      </c>
      <c r="BT166" s="162">
        <f>SUMIFS('Opex Departments'!BH:BH,'Opex Departments'!$B:$B,$C166,'Opex Departments'!$A:$A,$A166)</f>
        <v>15309.216</v>
      </c>
      <c r="BU166" s="162">
        <f>SUMIFS('Opex Departments'!BI:BI,'Opex Departments'!$B:$B,$C166,'Opex Departments'!$A:$A,$A166)</f>
        <v>15309.216</v>
      </c>
      <c r="BV166" s="162">
        <f>SUMIFS('Opex Departments'!BJ:BJ,'Opex Departments'!$B:$B,$C166,'Opex Departments'!$A:$A,$A166)</f>
        <v>15309.216</v>
      </c>
      <c r="BW166" s="162">
        <f>SUMIFS('Opex Departments'!BK:BK,'Opex Departments'!$B:$B,$C166,'Opex Departments'!$A:$A,$A166)</f>
        <v>15309.216</v>
      </c>
      <c r="BX166" s="162">
        <f>SUMIFS('Opex Departments'!BL:BL,'Opex Departments'!$B:$B,$C166,'Opex Departments'!$A:$A,$A166)</f>
        <v>15366.816</v>
      </c>
      <c r="BY166" s="162">
        <f>SUMIFS('Opex Departments'!BM:BM,'Opex Departments'!$B:$B,$C166,'Opex Departments'!$A:$A,$A166)</f>
        <v>15366.816</v>
      </c>
      <c r="BZ166" s="162">
        <f>SUMIFS('Opex Departments'!BN:BN,'Opex Departments'!$B:$B,$C166,'Opex Departments'!$A:$A,$A166)</f>
        <v>15366.816</v>
      </c>
      <c r="CA166" s="162">
        <f>SUMIFS('Opex Departments'!BO:BO,'Opex Departments'!$B:$B,$C166,'Opex Departments'!$A:$A,$A166)</f>
        <v>15366.816</v>
      </c>
      <c r="CB166" s="162">
        <f>SUMIFS('Opex Departments'!BP:BP,'Opex Departments'!$B:$B,$C166,'Opex Departments'!$A:$A,$A166)</f>
        <v>15424.416</v>
      </c>
      <c r="CC166" s="162">
        <f>SUMIFS('Opex Departments'!BQ:BQ,'Opex Departments'!$B:$B,$C166,'Opex Departments'!$A:$A,$A166)</f>
        <v>15424.416</v>
      </c>
      <c r="CD166" s="162">
        <f>SUMIFS('Opex Departments'!BR:BR,'Opex Departments'!$B:$B,$C166,'Opex Departments'!$A:$A,$A166)</f>
        <v>15424.416</v>
      </c>
      <c r="CE166" s="162">
        <f>SUMIFS('Opex Departments'!BS:BS,'Opex Departments'!$B:$B,$C166,'Opex Departments'!$A:$A,$A166)</f>
        <v>15424.416</v>
      </c>
      <c r="CF166" s="162">
        <f>SUMIFS('Opex Departments'!BT:BT,'Opex Departments'!$B:$B,$C166,'Opex Departments'!$A:$A,$A166)</f>
        <v>15482.016</v>
      </c>
      <c r="CG166" s="162">
        <f>SUMIFS('Opex Departments'!BU:BU,'Opex Departments'!$B:$B,$C166,'Opex Departments'!$A:$A,$A166)</f>
        <v>15482.016</v>
      </c>
      <c r="CH166" s="162">
        <f>SUMIFS('Opex Departments'!BV:BV,'Opex Departments'!$B:$B,$C166,'Opex Departments'!$A:$A,$A166)</f>
        <v>15482.016</v>
      </c>
      <c r="CI166" s="162">
        <f>SUMIFS('Opex Departments'!BW:BW,'Opex Departments'!$B:$B,$C166,'Opex Departments'!$A:$A,$A166)</f>
        <v>15482.016</v>
      </c>
      <c r="CJ166" s="162">
        <f>SUMIFS('Opex Departments'!BX:BX,'Opex Departments'!$B:$B,$C166,'Opex Departments'!$A:$A,$A166)</f>
        <v>15539.616</v>
      </c>
      <c r="CK166" s="162">
        <f>SUMIFS('Opex Departments'!BY:BY,'Opex Departments'!$B:$B,$C166,'Opex Departments'!$A:$A,$A166)</f>
        <v>15539.616</v>
      </c>
      <c r="CL166" s="162">
        <f>SUMIFS('Opex Departments'!BZ:BZ,'Opex Departments'!$B:$B,$C166,'Opex Departments'!$A:$A,$A166)</f>
        <v>15539.616</v>
      </c>
      <c r="CM166" s="162">
        <f>SUMIFS('Opex Departments'!CA:CA,'Opex Departments'!$B:$B,$C166,'Opex Departments'!$A:$A,$A166)</f>
        <v>15539.616</v>
      </c>
      <c r="CN166" s="162">
        <f>SUMIFS('Opex Departments'!CB:CB,'Opex Departments'!$B:$B,$C166,'Opex Departments'!$A:$A,$A166)</f>
        <v>15597.216</v>
      </c>
      <c r="CO166" s="162">
        <f>SUMIFS('Opex Departments'!CC:CC,'Opex Departments'!$B:$B,$C166,'Opex Departments'!$A:$A,$A166)</f>
        <v>15597.216</v>
      </c>
      <c r="CP166" s="162">
        <f>SUMIFS('Opex Departments'!CD:CD,'Opex Departments'!$B:$B,$C166,'Opex Departments'!$A:$A,$A166)</f>
        <v>15597.216</v>
      </c>
      <c r="CQ166" s="162">
        <f>SUMIFS('Opex Departments'!CE:CE,'Opex Departments'!$B:$B,$C166,'Opex Departments'!$A:$A,$A166)</f>
        <v>15597.216</v>
      </c>
      <c r="CR166" s="162">
        <f>SUMIFS('Opex Departments'!CF:CF,'Opex Departments'!$B:$B,$C166,'Opex Departments'!$A:$A,$A166)</f>
        <v>16317.216</v>
      </c>
      <c r="CS166" s="162">
        <f>SUMIFS('Opex Departments'!CG:CG,'Opex Departments'!$B:$B,$C166,'Opex Departments'!$A:$A,$A166)</f>
        <v>16317.216</v>
      </c>
      <c r="CT166" s="162">
        <f>SUMIFS('Opex Departments'!CH:CH,'Opex Departments'!$B:$B,$C166,'Opex Departments'!$A:$A,$A166)</f>
        <v>16317.216</v>
      </c>
      <c r="CU166" s="162">
        <f>SUMIFS('Opex Departments'!CI:CI,'Opex Departments'!$B:$B,$C166,'Opex Departments'!$A:$A,$A166)</f>
        <v>16317.216</v>
      </c>
      <c r="CV166" s="162"/>
      <c r="CW166" s="162"/>
      <c r="CX166" s="162"/>
      <c r="CY166" s="162"/>
      <c r="CZ166" s="162"/>
      <c r="DA166" s="162"/>
      <c r="DB166" s="162"/>
      <c r="DC166" s="162"/>
    </row>
    <row r="167" ht="15.75" customHeight="1">
      <c r="A167" s="144" t="s">
        <v>278</v>
      </c>
      <c r="B167" s="144"/>
      <c r="C167" s="144" t="s">
        <v>120</v>
      </c>
      <c r="D167" s="144"/>
      <c r="E167" s="144"/>
      <c r="F167" s="144"/>
      <c r="G167" s="144"/>
      <c r="H167" s="144"/>
      <c r="I167" s="144"/>
      <c r="J167" s="144"/>
      <c r="K167" s="144"/>
      <c r="L167" s="144"/>
      <c r="M167" s="144"/>
      <c r="N167" s="144"/>
      <c r="O167" s="144"/>
      <c r="P167" s="162">
        <v>755.0</v>
      </c>
      <c r="Q167" s="162">
        <v>1984.0</v>
      </c>
      <c r="R167" s="162">
        <v>211.0</v>
      </c>
      <c r="S167" s="162">
        <v>498.0</v>
      </c>
      <c r="T167" s="162">
        <v>6399.0</v>
      </c>
      <c r="U167" s="162">
        <v>1409.0</v>
      </c>
      <c r="V167" s="162">
        <v>6119.0</v>
      </c>
      <c r="W167" s="162">
        <v>6679.0</v>
      </c>
      <c r="X167" s="162">
        <v>6090.0</v>
      </c>
      <c r="Y167" s="162">
        <v>17268.0</v>
      </c>
      <c r="Z167" s="162">
        <v>1818.0</v>
      </c>
      <c r="AA167" s="162">
        <v>42050.0</v>
      </c>
      <c r="AB167" s="162">
        <v>373.0</v>
      </c>
      <c r="AC167" s="162">
        <v>2095.0</v>
      </c>
      <c r="AD167" s="162">
        <v>29504.0</v>
      </c>
      <c r="AE167" s="162">
        <v>99.0</v>
      </c>
      <c r="AF167" s="162">
        <v>482.0</v>
      </c>
      <c r="AG167" s="162">
        <v>8503.0</v>
      </c>
      <c r="AH167" s="162">
        <f>SUMIFS('Opex Departments'!V:V,'Opex Departments'!$B:$B,$C167,'Opex Departments'!$A:$A,$A167)</f>
        <v>-10070</v>
      </c>
      <c r="AI167" s="162">
        <f>SUMIFS('Opex Departments'!W:W,'Opex Departments'!$B:$B,$C167,'Opex Departments'!$A:$A,$A167)</f>
        <v>-11431</v>
      </c>
      <c r="AJ167" s="162">
        <f>SUMIFS('Opex Departments'!X:X,'Opex Departments'!$B:$B,$C167,'Opex Departments'!$A:$A,$A167)</f>
        <v>-6576</v>
      </c>
      <c r="AK167" s="162">
        <f>SUMIFS('Opex Departments'!Y:Y,'Opex Departments'!$B:$B,$C167,'Opex Departments'!$A:$A,$A167)</f>
        <v>-9983</v>
      </c>
      <c r="AL167" s="162">
        <f>SUMIFS('Opex Departments'!Z:Z,'Opex Departments'!$B:$B,$C167,'Opex Departments'!$A:$A,$A167)</f>
        <v>-9529</v>
      </c>
      <c r="AM167" s="162">
        <f>SUMIFS('Opex Departments'!AA:AA,'Opex Departments'!$B:$B,$C167,'Opex Departments'!$A:$A,$A167)</f>
        <v>-151876.1465</v>
      </c>
      <c r="AN167" s="162">
        <f>SUMIFS('Opex Departments'!AB:AB,'Opex Departments'!$B:$B,$C167,'Opex Departments'!$A:$A,$A167)</f>
        <v>-257481.1975</v>
      </c>
      <c r="AO167" s="162">
        <f>SUMIFS('Opex Departments'!AC:AC,'Opex Departments'!$B:$B,$C167,'Opex Departments'!$A:$A,$A167)</f>
        <v>-263343.1975</v>
      </c>
      <c r="AP167" s="162">
        <f>SUMIFS('Opex Departments'!AD:AD,'Opex Departments'!$B:$B,$C167,'Opex Departments'!$A:$A,$A167)</f>
        <v>-263343.1975</v>
      </c>
      <c r="AQ167" s="162">
        <f>SUMIFS('Opex Departments'!AE:AE,'Opex Departments'!$B:$B,$C167,'Opex Departments'!$A:$A,$A167)</f>
        <v>-263343.1975</v>
      </c>
      <c r="AR167" s="162">
        <f>SUMIFS('Opex Departments'!AF:AF,'Opex Departments'!$B:$B,$C167,'Opex Departments'!$A:$A,$A167)</f>
        <v>-263343.1975</v>
      </c>
      <c r="AS167" s="162">
        <f>SUMIFS('Opex Departments'!AG:AG,'Opex Departments'!$B:$B,$C167,'Opex Departments'!$A:$A,$A167)</f>
        <v>-263343.1975</v>
      </c>
      <c r="AT167" s="162">
        <f>SUMIFS('Opex Departments'!AH:AH,'Opex Departments'!$B:$B,$C167,'Opex Departments'!$A:$A,$A167)</f>
        <v>-263331.343</v>
      </c>
      <c r="AU167" s="162">
        <f>SUMIFS('Opex Departments'!AI:AI,'Opex Departments'!$B:$B,$C167,'Opex Departments'!$A:$A,$A167)</f>
        <v>-265664.4292</v>
      </c>
      <c r="AV167" s="162">
        <f>SUMIFS('Opex Departments'!AJ:AJ,'Opex Departments'!$B:$B,$C167,'Opex Departments'!$A:$A,$A167)</f>
        <v>-263307.4559</v>
      </c>
      <c r="AW167" s="162">
        <f>SUMIFS('Opex Departments'!AK:AK,'Opex Departments'!$B:$B,$C167,'Opex Departments'!$A:$A,$A167)</f>
        <v>-263295.4227</v>
      </c>
      <c r="AX167" s="162">
        <f>SUMIFS('Opex Departments'!AL:AL,'Opex Departments'!$B:$B,$C167,'Opex Departments'!$A:$A,$A167)</f>
        <v>-263283.3293</v>
      </c>
      <c r="AY167" s="162">
        <f>SUMIFS('Opex Departments'!AM:AM,'Opex Departments'!$B:$B,$C167,'Opex Departments'!$A:$A,$A167)</f>
        <v>-252720.1755</v>
      </c>
      <c r="AZ167" s="162">
        <f>SUMIFS('Opex Departments'!AN:AN,'Opex Departments'!$B:$B,$C167,'Opex Departments'!$A:$A,$A167)</f>
        <v>-255259.5918</v>
      </c>
      <c r="BA167" s="162">
        <f>SUMIFS('Opex Departments'!AO:AO,'Opex Departments'!$B:$B,$C167,'Opex Departments'!$A:$A,$A167)</f>
        <v>-257824.4634</v>
      </c>
      <c r="BB167" s="162">
        <f>SUMIFS('Opex Departments'!AP:AP,'Opex Departments'!$B:$B,$C167,'Opex Departments'!$A:$A,$A167)</f>
        <v>-260415.0451</v>
      </c>
      <c r="BC167" s="162">
        <f>SUMIFS('Opex Departments'!AQ:AQ,'Opex Departments'!$B:$B,$C167,'Opex Departments'!$A:$A,$A167)</f>
        <v>-263031.5944</v>
      </c>
      <c r="BD167" s="162">
        <f>SUMIFS('Opex Departments'!AR:AR,'Opex Departments'!$B:$B,$C167,'Opex Departments'!$A:$A,$A167)</f>
        <v>-265674.3711</v>
      </c>
      <c r="BE167" s="162">
        <f>SUMIFS('Opex Departments'!AS:AS,'Opex Departments'!$B:$B,$C167,'Opex Departments'!$A:$A,$A167)</f>
        <v>-268343.6378</v>
      </c>
      <c r="BF167" s="162">
        <f>SUMIFS('Opex Departments'!AT:AT,'Opex Departments'!$B:$B,$C167,'Opex Departments'!$A:$A,$A167)</f>
        <v>-271039.6598</v>
      </c>
      <c r="BG167" s="162">
        <f>SUMIFS('Opex Departments'!AU:AU,'Opex Departments'!$B:$B,$C167,'Opex Departments'!$A:$A,$A167)</f>
        <v>-273762.705</v>
      </c>
      <c r="BH167" s="162">
        <f>SUMIFS('Opex Departments'!AV:AV,'Opex Departments'!$B:$B,$C167,'Opex Departments'!$A:$A,$A167)</f>
        <v>-276513.0439</v>
      </c>
      <c r="BI167" s="162">
        <f>SUMIFS('Opex Departments'!AW:AW,'Opex Departments'!$B:$B,$C167,'Opex Departments'!$A:$A,$A167)</f>
        <v>-279290.9497</v>
      </c>
      <c r="BJ167" s="162">
        <f>SUMIFS('Opex Departments'!AX:AX,'Opex Departments'!$B:$B,$C167,'Opex Departments'!$A:$A,$A167)</f>
        <v>-282096.6985</v>
      </c>
      <c r="BK167" s="162">
        <f>SUMIFS('Opex Departments'!AY:AY,'Opex Departments'!$B:$B,$C167,'Opex Departments'!$A:$A,$A167)</f>
        <v>-284930.5689</v>
      </c>
      <c r="BL167" s="162">
        <f>SUMIFS('Opex Departments'!AZ:AZ,'Opex Departments'!$B:$B,$C167,'Opex Departments'!$A:$A,$A167)</f>
        <v>-287792.8425</v>
      </c>
      <c r="BM167" s="162">
        <f>SUMIFS('Opex Departments'!BA:BA,'Opex Departments'!$B:$B,$C167,'Opex Departments'!$A:$A,$A167)</f>
        <v>-290683.8038</v>
      </c>
      <c r="BN167" s="162">
        <f>SUMIFS('Opex Departments'!BB:BB,'Opex Departments'!$B:$B,$C167,'Opex Departments'!$A:$A,$A167)</f>
        <v>-293603.7398</v>
      </c>
      <c r="BO167" s="162">
        <f>SUMIFS('Opex Departments'!BC:BC,'Opex Departments'!$B:$B,$C167,'Opex Departments'!$A:$A,$A167)</f>
        <v>-296552.9407</v>
      </c>
      <c r="BP167" s="162">
        <f>SUMIFS('Opex Departments'!BD:BD,'Opex Departments'!$B:$B,$C167,'Opex Departments'!$A:$A,$A167)</f>
        <v>-299531.6994</v>
      </c>
      <c r="BQ167" s="162">
        <f>SUMIFS('Opex Departments'!BE:BE,'Opex Departments'!$B:$B,$C167,'Opex Departments'!$A:$A,$A167)</f>
        <v>-302540.3118</v>
      </c>
      <c r="BR167" s="162">
        <f>SUMIFS('Opex Departments'!BF:BF,'Opex Departments'!$B:$B,$C167,'Opex Departments'!$A:$A,$A167)</f>
        <v>-305579.0769</v>
      </c>
      <c r="BS167" s="162">
        <f>SUMIFS('Opex Departments'!BG:BG,'Opex Departments'!$B:$B,$C167,'Opex Departments'!$A:$A,$A167)</f>
        <v>-308648.2964</v>
      </c>
      <c r="BT167" s="162">
        <f>SUMIFS('Opex Departments'!BH:BH,'Opex Departments'!$B:$B,$C167,'Opex Departments'!$A:$A,$A167)</f>
        <v>-311748.2752</v>
      </c>
      <c r="BU167" s="162">
        <f>SUMIFS('Opex Departments'!BI:BI,'Opex Departments'!$B:$B,$C167,'Opex Departments'!$A:$A,$A167)</f>
        <v>-314879.3213</v>
      </c>
      <c r="BV167" s="162">
        <f>SUMIFS('Opex Departments'!BJ:BJ,'Opex Departments'!$B:$B,$C167,'Opex Departments'!$A:$A,$A167)</f>
        <v>-318041.7457</v>
      </c>
      <c r="BW167" s="162">
        <f>SUMIFS('Opex Departments'!BK:BK,'Opex Departments'!$B:$B,$C167,'Opex Departments'!$A:$A,$A167)</f>
        <v>-321235.8625</v>
      </c>
      <c r="BX167" s="162">
        <f>SUMIFS('Opex Departments'!BL:BL,'Opex Departments'!$B:$B,$C167,'Opex Departments'!$A:$A,$A167)</f>
        <v>-324461.9889</v>
      </c>
      <c r="BY167" s="162">
        <f>SUMIFS('Opex Departments'!BM:BM,'Opex Departments'!$B:$B,$C167,'Opex Departments'!$A:$A,$A167)</f>
        <v>-327720.4454</v>
      </c>
      <c r="BZ167" s="162">
        <f>SUMIFS('Opex Departments'!BN:BN,'Opex Departments'!$B:$B,$C167,'Opex Departments'!$A:$A,$A167)</f>
        <v>-331011.5557</v>
      </c>
      <c r="CA167" s="162">
        <f>SUMIFS('Opex Departments'!BO:BO,'Opex Departments'!$B:$B,$C167,'Opex Departments'!$A:$A,$A167)</f>
        <v>-334335.6467</v>
      </c>
      <c r="CB167" s="162">
        <f>SUMIFS('Opex Departments'!BP:BP,'Opex Departments'!$B:$B,$C167,'Opex Departments'!$A:$A,$A167)</f>
        <v>-337693.0483</v>
      </c>
      <c r="CC167" s="162">
        <f>SUMIFS('Opex Departments'!BQ:BQ,'Opex Departments'!$B:$B,$C167,'Opex Departments'!$A:$A,$A167)</f>
        <v>-341084.0944</v>
      </c>
      <c r="CD167" s="162">
        <f>SUMIFS('Opex Departments'!BR:BR,'Opex Departments'!$B:$B,$C167,'Opex Departments'!$A:$A,$A167)</f>
        <v>-344509.1214</v>
      </c>
      <c r="CE167" s="162">
        <f>SUMIFS('Opex Departments'!BS:BS,'Opex Departments'!$B:$B,$C167,'Opex Departments'!$A:$A,$A167)</f>
        <v>-347968.4695</v>
      </c>
      <c r="CF167" s="162">
        <f>SUMIFS('Opex Departments'!BT:BT,'Opex Departments'!$B:$B,$C167,'Opex Departments'!$A:$A,$A167)</f>
        <v>-351462.4825</v>
      </c>
      <c r="CG167" s="162">
        <f>SUMIFS('Opex Departments'!BU:BU,'Opex Departments'!$B:$B,$C167,'Opex Departments'!$A:$A,$A167)</f>
        <v>-354991.5072</v>
      </c>
      <c r="CH167" s="162">
        <f>SUMIFS('Opex Departments'!BV:BV,'Opex Departments'!$B:$B,$C167,'Opex Departments'!$A:$A,$A167)</f>
        <v>-358555.8942</v>
      </c>
      <c r="CI167" s="162">
        <f>SUMIFS('Opex Departments'!BW:BW,'Opex Departments'!$B:$B,$C167,'Opex Departments'!$A:$A,$A167)</f>
        <v>-362155.9974</v>
      </c>
      <c r="CJ167" s="162">
        <f>SUMIFS('Opex Departments'!BX:BX,'Opex Departments'!$B:$B,$C167,'Opex Departments'!$A:$A,$A167)</f>
        <v>-365792.1743</v>
      </c>
      <c r="CK167" s="162">
        <f>SUMIFS('Opex Departments'!BY:BY,'Opex Departments'!$B:$B,$C167,'Opex Departments'!$A:$A,$A167)</f>
        <v>-369464.7862</v>
      </c>
      <c r="CL167" s="162">
        <f>SUMIFS('Opex Departments'!BZ:BZ,'Opex Departments'!$B:$B,$C167,'Opex Departments'!$A:$A,$A167)</f>
        <v>-373174.1975</v>
      </c>
      <c r="CM167" s="162">
        <f>SUMIFS('Opex Departments'!CA:CA,'Opex Departments'!$B:$B,$C167,'Opex Departments'!$A:$A,$A167)</f>
        <v>-376920.7769</v>
      </c>
      <c r="CN167" s="162">
        <f>SUMIFS('Opex Departments'!CB:CB,'Opex Departments'!$B:$B,$C167,'Opex Departments'!$A:$A,$A167)</f>
        <v>-380704.8961</v>
      </c>
      <c r="CO167" s="162">
        <f>SUMIFS('Opex Departments'!CC:CC,'Opex Departments'!$B:$B,$C167,'Opex Departments'!$A:$A,$A167)</f>
        <v>-384526.9312</v>
      </c>
      <c r="CP167" s="162">
        <f>SUMIFS('Opex Departments'!CD:CD,'Opex Departments'!$B:$B,$C167,'Opex Departments'!$A:$A,$A167)</f>
        <v>-388387.2616</v>
      </c>
      <c r="CQ167" s="162">
        <f>SUMIFS('Opex Departments'!CE:CE,'Opex Departments'!$B:$B,$C167,'Opex Departments'!$A:$A,$A167)</f>
        <v>-392286.2704</v>
      </c>
      <c r="CR167" s="162">
        <f>SUMIFS('Opex Departments'!CF:CF,'Opex Departments'!$B:$B,$C167,'Opex Departments'!$A:$A,$A167)</f>
        <v>-396224.3452</v>
      </c>
      <c r="CS167" s="162">
        <f>SUMIFS('Opex Departments'!CG:CG,'Opex Departments'!$B:$B,$C167,'Opex Departments'!$A:$A,$A167)</f>
        <v>-400201.8767</v>
      </c>
      <c r="CT167" s="162">
        <f>SUMIFS('Opex Departments'!CH:CH,'Opex Departments'!$B:$B,$C167,'Opex Departments'!$A:$A,$A167)</f>
        <v>-404219.2599</v>
      </c>
      <c r="CU167" s="162">
        <f>SUMIFS('Opex Departments'!CI:CI,'Opex Departments'!$B:$B,$C167,'Opex Departments'!$A:$A,$A167)</f>
        <v>-408276.8939</v>
      </c>
      <c r="CV167" s="162"/>
      <c r="CW167" s="162"/>
      <c r="CX167" s="162"/>
      <c r="CY167" s="162"/>
      <c r="CZ167" s="162"/>
      <c r="DA167" s="162"/>
      <c r="DB167" s="162"/>
      <c r="DC167" s="162"/>
    </row>
    <row r="168" ht="15.75" customHeight="1">
      <c r="A168" s="144" t="s">
        <v>278</v>
      </c>
      <c r="B168" s="144"/>
      <c r="C168" s="144" t="s">
        <v>178</v>
      </c>
      <c r="D168" s="144"/>
      <c r="E168" s="144"/>
      <c r="F168" s="144"/>
      <c r="G168" s="144"/>
      <c r="H168" s="144"/>
      <c r="I168" s="144"/>
      <c r="J168" s="144"/>
      <c r="K168" s="144"/>
      <c r="L168" s="144"/>
      <c r="M168" s="144"/>
      <c r="N168" s="144"/>
      <c r="O168" s="144"/>
      <c r="P168" s="162">
        <v>55056.0</v>
      </c>
      <c r="Q168" s="162">
        <v>48037.0</v>
      </c>
      <c r="R168" s="162">
        <v>57594.0</v>
      </c>
      <c r="S168" s="162">
        <v>59744.0</v>
      </c>
      <c r="T168" s="162">
        <v>52631.0</v>
      </c>
      <c r="U168" s="162">
        <v>52102.0</v>
      </c>
      <c r="V168" s="162">
        <v>58793.0</v>
      </c>
      <c r="W168" s="162">
        <v>45383.0</v>
      </c>
      <c r="X168" s="162">
        <v>44336.0</v>
      </c>
      <c r="Y168" s="162">
        <v>46052.0</v>
      </c>
      <c r="Z168" s="162">
        <v>43266.0</v>
      </c>
      <c r="AA168" s="162">
        <v>51423.0</v>
      </c>
      <c r="AB168" s="162">
        <v>52839.0</v>
      </c>
      <c r="AC168" s="162">
        <v>53266.0</v>
      </c>
      <c r="AD168" s="162">
        <v>51424.0</v>
      </c>
      <c r="AE168" s="162">
        <v>48506.0</v>
      </c>
      <c r="AF168" s="162">
        <v>56336.0</v>
      </c>
      <c r="AG168" s="162">
        <v>48398.0</v>
      </c>
      <c r="AH168" s="162">
        <f>SUMIFS('Opex Departments'!V:V,'Opex Departments'!$B:$B,$C168,'Opex Departments'!$A:$A,$A168)</f>
        <v>-6755</v>
      </c>
      <c r="AI168" s="162">
        <f>SUMIFS('Opex Departments'!W:W,'Opex Departments'!$B:$B,$C168,'Opex Departments'!$A:$A,$A168)</f>
        <v>-8272</v>
      </c>
      <c r="AJ168" s="162">
        <f>SUMIFS('Opex Departments'!X:X,'Opex Departments'!$B:$B,$C168,'Opex Departments'!$A:$A,$A168)</f>
        <v>-271</v>
      </c>
      <c r="AK168" s="162">
        <f>SUMIFS('Opex Departments'!Y:Y,'Opex Departments'!$B:$B,$C168,'Opex Departments'!$A:$A,$A168)</f>
        <v>-6715</v>
      </c>
      <c r="AL168" s="162">
        <f>SUMIFS('Opex Departments'!Z:Z,'Opex Departments'!$B:$B,$C168,'Opex Departments'!$A:$A,$A168)</f>
        <v>-2449</v>
      </c>
      <c r="AM168" s="162">
        <f>SUMIFS('Opex Departments'!AA:AA,'Opex Departments'!$B:$B,$C168,'Opex Departments'!$A:$A,$A168)</f>
        <v>-11339.31376</v>
      </c>
      <c r="AN168" s="162">
        <f>SUMIFS('Opex Departments'!AB:AB,'Opex Departments'!$B:$B,$C168,'Opex Departments'!$A:$A,$A168)</f>
        <v>-31510.4795</v>
      </c>
      <c r="AO168" s="162">
        <f>SUMIFS('Opex Departments'!AC:AC,'Opex Departments'!$B:$B,$C168,'Opex Departments'!$A:$A,$A168)</f>
        <v>-37524.01821</v>
      </c>
      <c r="AP168" s="162">
        <f>SUMIFS('Opex Departments'!AD:AD,'Opex Departments'!$B:$B,$C168,'Opex Departments'!$A:$A,$A168)</f>
        <v>-37670.73606</v>
      </c>
      <c r="AQ168" s="162">
        <f>SUMIFS('Opex Departments'!AE:AE,'Opex Departments'!$B:$B,$C168,'Opex Departments'!$A:$A,$A168)</f>
        <v>-36622.04674</v>
      </c>
      <c r="AR168" s="162">
        <f>SUMIFS('Opex Departments'!AF:AF,'Opex Departments'!$B:$B,$C168,'Opex Departments'!$A:$A,$A168)</f>
        <v>-38364.25204</v>
      </c>
      <c r="AS168" s="162">
        <f>SUMIFS('Opex Departments'!AG:AG,'Opex Departments'!$B:$B,$C168,'Opex Departments'!$A:$A,$A168)</f>
        <v>-38017.45462</v>
      </c>
      <c r="AT168" s="162">
        <f>SUMIFS('Opex Departments'!AH:AH,'Opex Departments'!$B:$B,$C168,'Opex Departments'!$A:$A,$A168)</f>
        <v>-37535.70926</v>
      </c>
      <c r="AU168" s="162">
        <f>SUMIFS('Opex Departments'!AI:AI,'Opex Departments'!$B:$B,$C168,'Opex Departments'!$A:$A,$A168)</f>
        <v>-37240.0527</v>
      </c>
      <c r="AV168" s="162">
        <f>SUMIFS('Opex Departments'!AJ:AJ,'Opex Departments'!$B:$B,$C168,'Opex Departments'!$A:$A,$A168)</f>
        <v>-38877.49819</v>
      </c>
      <c r="AW168" s="162">
        <f>SUMIFS('Opex Departments'!AK:AK,'Opex Departments'!$B:$B,$C168,'Opex Departments'!$A:$A,$A168)</f>
        <v>-38533.17382</v>
      </c>
      <c r="AX168" s="162">
        <f>SUMIFS('Opex Departments'!AL:AL,'Opex Departments'!$B:$B,$C168,'Opex Departments'!$A:$A,$A168)</f>
        <v>-38225.85033</v>
      </c>
      <c r="AY168" s="162">
        <f>SUMIFS('Opex Departments'!AM:AM,'Opex Departments'!$B:$B,$C168,'Opex Departments'!$A:$A,$A168)</f>
        <v>-37898.49637</v>
      </c>
      <c r="AZ168" s="162">
        <f>SUMIFS('Opex Departments'!AN:AN,'Opex Departments'!$B:$B,$C168,'Opex Departments'!$A:$A,$A168)</f>
        <v>-38344.49033</v>
      </c>
      <c r="BA168" s="162">
        <f>SUMIFS('Opex Departments'!AO:AO,'Opex Departments'!$B:$B,$C168,'Opex Departments'!$A:$A,$A168)</f>
        <v>-38290.14948</v>
      </c>
      <c r="BB168" s="162">
        <f>SUMIFS('Opex Departments'!AP:AP,'Opex Departments'!$B:$B,$C168,'Opex Departments'!$A:$A,$A168)</f>
        <v>-38209.09836</v>
      </c>
      <c r="BC168" s="162">
        <f>SUMIFS('Opex Departments'!AQ:AQ,'Opex Departments'!$B:$B,$C168,'Opex Departments'!$A:$A,$A168)</f>
        <v>-38104.81245</v>
      </c>
      <c r="BD168" s="162">
        <f>SUMIFS('Opex Departments'!AR:AR,'Opex Departments'!$B:$B,$C168,'Opex Departments'!$A:$A,$A168)</f>
        <v>-39913.96315</v>
      </c>
      <c r="BE168" s="162">
        <f>SUMIFS('Opex Departments'!AS:AS,'Opex Departments'!$B:$B,$C168,'Opex Departments'!$A:$A,$A168)</f>
        <v>-39798.97652</v>
      </c>
      <c r="BF168" s="162">
        <f>SUMIFS('Opex Departments'!AT:AT,'Opex Departments'!$B:$B,$C168,'Opex Departments'!$A:$A,$A168)</f>
        <v>-38610.46468</v>
      </c>
      <c r="BG168" s="162">
        <f>SUMIFS('Opex Departments'!AU:AU,'Opex Departments'!$B:$B,$C168,'Opex Departments'!$A:$A,$A168)</f>
        <v>-38473.5442</v>
      </c>
      <c r="BH168" s="162">
        <f>SUMIFS('Opex Departments'!AV:AV,'Opex Departments'!$B:$B,$C168,'Opex Departments'!$A:$A,$A168)</f>
        <v>-40358.59331</v>
      </c>
      <c r="BI168" s="162">
        <f>SUMIFS('Opex Departments'!AW:AW,'Opex Departments'!$B:$B,$C168,'Opex Departments'!$A:$A,$A168)</f>
        <v>-40249.58163</v>
      </c>
      <c r="BJ168" s="162">
        <f>SUMIFS('Opex Departments'!AX:AX,'Opex Departments'!$B:$B,$C168,'Opex Departments'!$A:$A,$A168)</f>
        <v>-40142.08595</v>
      </c>
      <c r="BK168" s="162">
        <f>SUMIFS('Opex Departments'!AY:AY,'Opex Departments'!$B:$B,$C168,'Opex Departments'!$A:$A,$A168)</f>
        <v>-40035.99755</v>
      </c>
      <c r="BL168" s="162">
        <f>SUMIFS('Opex Departments'!AZ:AZ,'Opex Departments'!$B:$B,$C168,'Opex Departments'!$A:$A,$A168)</f>
        <v>-40805.46932</v>
      </c>
      <c r="BM168" s="162">
        <f>SUMIFS('Opex Departments'!BA:BA,'Opex Departments'!$B:$B,$C168,'Opex Departments'!$A:$A,$A168)</f>
        <v>-40631.5457</v>
      </c>
      <c r="BN168" s="162">
        <f>SUMIFS('Opex Departments'!BB:BB,'Opex Departments'!$B:$B,$C168,'Opex Departments'!$A:$A,$A168)</f>
        <v>-40462.97997</v>
      </c>
      <c r="BO168" s="162">
        <f>SUMIFS('Opex Departments'!BC:BC,'Opex Departments'!$B:$B,$C168,'Opex Departments'!$A:$A,$A168)</f>
        <v>-40298.75524</v>
      </c>
      <c r="BP168" s="162">
        <f>SUMIFS('Opex Departments'!BD:BD,'Opex Departments'!$B:$B,$C168,'Opex Departments'!$A:$A,$A168)</f>
        <v>-42296.74699</v>
      </c>
      <c r="BQ168" s="162">
        <f>SUMIFS('Opex Departments'!BE:BE,'Opex Departments'!$B:$B,$C168,'Opex Departments'!$A:$A,$A168)</f>
        <v>-42139.44496</v>
      </c>
      <c r="BR168" s="162">
        <f>SUMIFS('Opex Departments'!BF:BF,'Opex Departments'!$B:$B,$C168,'Opex Departments'!$A:$A,$A168)</f>
        <v>-40910.06704</v>
      </c>
      <c r="BS168" s="162">
        <f>SUMIFS('Opex Departments'!BG:BG,'Opex Departments'!$B:$B,$C168,'Opex Departments'!$A:$A,$A168)</f>
        <v>-40758.34712</v>
      </c>
      <c r="BT168" s="162">
        <f>SUMIFS('Opex Departments'!BH:BH,'Opex Departments'!$B:$B,$C168,'Opex Departments'!$A:$A,$A168)</f>
        <v>-42853.94498</v>
      </c>
      <c r="BU168" s="162">
        <f>SUMIFS('Opex Departments'!BI:BI,'Opex Departments'!$B:$B,$C168,'Opex Departments'!$A:$A,$A168)</f>
        <v>-42706.90036</v>
      </c>
      <c r="BV168" s="162">
        <f>SUMIFS('Opex Departments'!BJ:BJ,'Opex Departments'!$B:$B,$C168,'Opex Departments'!$A:$A,$A168)</f>
        <v>-42561.9264</v>
      </c>
      <c r="BW168" s="162">
        <f>SUMIFS('Opex Departments'!BK:BK,'Opex Departments'!$B:$B,$C168,'Opex Departments'!$A:$A,$A168)</f>
        <v>-42418.87105</v>
      </c>
      <c r="BX168" s="162">
        <f>SUMIFS('Opex Departments'!BL:BL,'Opex Departments'!$B:$B,$C168,'Opex Departments'!$A:$A,$A168)</f>
        <v>-43471.79949</v>
      </c>
      <c r="BY168" s="162">
        <f>SUMIFS('Opex Departments'!BM:BM,'Opex Departments'!$B:$B,$C168,'Opex Departments'!$A:$A,$A168)</f>
        <v>-43311.31364</v>
      </c>
      <c r="BZ168" s="162">
        <f>SUMIFS('Opex Departments'!BN:BN,'Opex Departments'!$B:$B,$C168,'Opex Departments'!$A:$A,$A168)</f>
        <v>-43165.96985</v>
      </c>
      <c r="CA168" s="162">
        <f>SUMIFS('Opex Departments'!BO:BO,'Opex Departments'!$B:$B,$C168,'Opex Departments'!$A:$A,$A168)</f>
        <v>-43023.49839</v>
      </c>
      <c r="CB168" s="162">
        <f>SUMIFS('Opex Departments'!BP:BP,'Opex Departments'!$B:$B,$C168,'Opex Departments'!$A:$A,$A168)</f>
        <v>-45309.79841</v>
      </c>
      <c r="CC168" s="162">
        <f>SUMIFS('Opex Departments'!BQ:BQ,'Opex Departments'!$B:$B,$C168,'Opex Departments'!$A:$A,$A168)</f>
        <v>-45168.68336</v>
      </c>
      <c r="CD168" s="162">
        <f>SUMIFS('Opex Departments'!BR:BR,'Opex Departments'!$B:$B,$C168,'Opex Departments'!$A:$A,$A168)</f>
        <v>-43953.12527</v>
      </c>
      <c r="CE168" s="162">
        <f>SUMIFS('Opex Departments'!BS:BS,'Opex Departments'!$B:$B,$C168,'Opex Departments'!$A:$A,$A168)</f>
        <v>-43813.03336</v>
      </c>
      <c r="CF168" s="162">
        <f>SUMIFS('Opex Departments'!BT:BT,'Opex Departments'!$B:$B,$C168,'Opex Departments'!$A:$A,$A168)</f>
        <v>-46198.51031</v>
      </c>
      <c r="CG168" s="162">
        <f>SUMIFS('Opex Departments'!BU:BU,'Opex Departments'!$B:$B,$C168,'Opex Departments'!$A:$A,$A168)</f>
        <v>-46059.09616</v>
      </c>
      <c r="CH168" s="162">
        <f>SUMIFS('Opex Departments'!BV:BV,'Opex Departments'!$B:$B,$C168,'Opex Departments'!$A:$A,$A168)</f>
        <v>-45919.89926</v>
      </c>
      <c r="CI168" s="162">
        <f>SUMIFS('Opex Departments'!BW:BW,'Opex Departments'!$B:$B,$C168,'Opex Departments'!$A:$A,$A168)</f>
        <v>-45780.84126</v>
      </c>
      <c r="CJ168" s="162">
        <f>SUMIFS('Opex Departments'!BX:BX,'Opex Departments'!$B:$B,$C168,'Opex Departments'!$A:$A,$A168)</f>
        <v>-47141.87051</v>
      </c>
      <c r="CK168" s="162">
        <f>SUMIFS('Opex Departments'!BY:BY,'Opex Departments'!$B:$B,$C168,'Opex Departments'!$A:$A,$A168)</f>
        <v>-47052.98507</v>
      </c>
      <c r="CL168" s="162">
        <f>SUMIFS('Opex Departments'!BZ:BZ,'Opex Departments'!$B:$B,$C168,'Opex Departments'!$A:$A,$A168)</f>
        <v>-46968.02325</v>
      </c>
      <c r="CM168" s="162">
        <f>SUMIFS('Opex Departments'!CA:CA,'Opex Departments'!$B:$B,$C168,'Opex Departments'!$A:$A,$A168)</f>
        <v>-46878.62686</v>
      </c>
      <c r="CN168" s="162">
        <f>SUMIFS('Opex Departments'!CB:CB,'Opex Departments'!$B:$B,$C168,'Opex Departments'!$A:$A,$A168)</f>
        <v>-49517.89164</v>
      </c>
      <c r="CO168" s="162">
        <f>SUMIFS('Opex Departments'!CC:CC,'Opex Departments'!$B:$B,$C168,'Opex Departments'!$A:$A,$A168)</f>
        <v>-49424.72176</v>
      </c>
      <c r="CP168" s="162">
        <f>SUMIFS('Opex Departments'!CD:CD,'Opex Departments'!$B:$B,$C168,'Opex Departments'!$A:$A,$A168)</f>
        <v>-48255.94361</v>
      </c>
      <c r="CQ168" s="162">
        <f>SUMIFS('Opex Departments'!CE:CE,'Opex Departments'!$B:$B,$C168,'Opex Departments'!$A:$A,$A168)</f>
        <v>-48161.85508</v>
      </c>
      <c r="CR168" s="162">
        <f>SUMIFS('Opex Departments'!CF:CF,'Opex Departments'!$B:$B,$C168,'Opex Departments'!$A:$A,$A168)</f>
        <v>-50908.11817</v>
      </c>
      <c r="CS168" s="162">
        <f>SUMIFS('Opex Departments'!CG:CG,'Opex Departments'!$B:$B,$C168,'Opex Departments'!$A:$A,$A168)</f>
        <v>-50813.84157</v>
      </c>
      <c r="CT168" s="162">
        <f>SUMIFS('Opex Departments'!CH:CH,'Opex Departments'!$B:$B,$C168,'Opex Departments'!$A:$A,$A168)</f>
        <v>-50719.57037</v>
      </c>
      <c r="CU168" s="162">
        <f>SUMIFS('Opex Departments'!CI:CI,'Opex Departments'!$B:$B,$C168,'Opex Departments'!$A:$A,$A168)</f>
        <v>-50625.32558</v>
      </c>
      <c r="CV168" s="162"/>
      <c r="CW168" s="162"/>
      <c r="CX168" s="162"/>
      <c r="CY168" s="162"/>
      <c r="CZ168" s="162"/>
      <c r="DA168" s="162"/>
      <c r="DB168" s="162"/>
      <c r="DC168" s="162"/>
    </row>
    <row r="169" ht="15.75" customHeight="1">
      <c r="A169" s="144" t="s">
        <v>278</v>
      </c>
      <c r="B169" s="144"/>
      <c r="C169" s="176" t="s">
        <v>179</v>
      </c>
      <c r="D169" s="144"/>
      <c r="E169" s="144"/>
      <c r="F169" s="144"/>
      <c r="G169" s="144"/>
      <c r="H169" s="144"/>
      <c r="I169" s="144"/>
      <c r="J169" s="144"/>
      <c r="K169" s="144"/>
      <c r="L169" s="144"/>
      <c r="M169" s="144"/>
      <c r="N169" s="144"/>
      <c r="O169" s="144"/>
      <c r="P169" s="162">
        <v>235.0</v>
      </c>
      <c r="Q169" s="162">
        <v>1041.0</v>
      </c>
      <c r="R169" s="162">
        <v>1300.0</v>
      </c>
      <c r="S169" s="162">
        <v>717.0</v>
      </c>
      <c r="T169" s="162">
        <v>1417.0</v>
      </c>
      <c r="U169" s="162">
        <v>12915.0</v>
      </c>
      <c r="V169" s="162">
        <v>1712.0</v>
      </c>
      <c r="W169" s="162">
        <v>6291.0</v>
      </c>
      <c r="X169" s="162">
        <v>1913.0</v>
      </c>
      <c r="Y169" s="162">
        <v>5078.0</v>
      </c>
      <c r="Z169" s="162">
        <v>9315.0</v>
      </c>
      <c r="AA169" s="162">
        <v>5375.0</v>
      </c>
      <c r="AB169" s="162">
        <v>4217.0</v>
      </c>
      <c r="AC169" s="162">
        <v>2765.0</v>
      </c>
      <c r="AD169" s="162">
        <v>3877.0</v>
      </c>
      <c r="AE169" s="162">
        <v>51078.0</v>
      </c>
      <c r="AF169" s="162">
        <v>52119.0</v>
      </c>
      <c r="AG169" s="162">
        <v>19016.0</v>
      </c>
      <c r="AH169" s="162">
        <f>SUMIFS('Opex Departments'!V:V,'Opex Departments'!$B:$B,$C169,'Opex Departments'!$A:$A,$A169)</f>
        <v>-28054</v>
      </c>
      <c r="AI169" s="162">
        <f>SUMIFS('Opex Departments'!W:W,'Opex Departments'!$B:$B,$C169,'Opex Departments'!$A:$A,$A169)</f>
        <v>-25253</v>
      </c>
      <c r="AJ169" s="162">
        <f>SUMIFS('Opex Departments'!X:X,'Opex Departments'!$B:$B,$C169,'Opex Departments'!$A:$A,$A169)</f>
        <v>-20978</v>
      </c>
      <c r="AK169" s="162">
        <f>SUMIFS('Opex Departments'!Y:Y,'Opex Departments'!$B:$B,$C169,'Opex Departments'!$A:$A,$A169)</f>
        <v>-27721</v>
      </c>
      <c r="AL169" s="162">
        <f>SUMIFS('Opex Departments'!Z:Z,'Opex Departments'!$B:$B,$C169,'Opex Departments'!$A:$A,$A169)</f>
        <v>-20858</v>
      </c>
      <c r="AM169" s="162">
        <f>SUMIFS('Opex Departments'!AA:AA,'Opex Departments'!$B:$B,$C169,'Opex Departments'!$A:$A,$A169)</f>
        <v>5957.3</v>
      </c>
      <c r="AN169" s="162">
        <f>SUMIFS('Opex Departments'!AB:AB,'Opex Departments'!$B:$B,$C169,'Opex Departments'!$A:$A,$A169)</f>
        <v>3207</v>
      </c>
      <c r="AO169" s="162">
        <f>SUMIFS('Opex Departments'!AC:AC,'Opex Departments'!$B:$B,$C169,'Opex Departments'!$A:$A,$A169)</f>
        <v>1481.21628</v>
      </c>
      <c r="AP169" s="162">
        <f>SUMIFS('Opex Departments'!AD:AD,'Opex Departments'!$B:$B,$C169,'Opex Departments'!$A:$A,$A169)</f>
        <v>1496.028443</v>
      </c>
      <c r="AQ169" s="162">
        <f>SUMIFS('Opex Departments'!AE:AE,'Opex Departments'!$B:$B,$C169,'Opex Departments'!$A:$A,$A169)</f>
        <v>1510.988727</v>
      </c>
      <c r="AR169" s="162">
        <f>SUMIFS('Opex Departments'!AF:AF,'Opex Departments'!$B:$B,$C169,'Opex Departments'!$A:$A,$A169)</f>
        <v>12025</v>
      </c>
      <c r="AS169" s="162">
        <f>SUMIFS('Opex Departments'!AG:AG,'Opex Departments'!$B:$B,$C169,'Opex Departments'!$A:$A,$A169)</f>
        <v>1541.359601</v>
      </c>
      <c r="AT169" s="162">
        <f>SUMIFS('Opex Departments'!AH:AH,'Opex Departments'!$B:$B,$C169,'Opex Departments'!$A:$A,$A169)</f>
        <v>1556.773197</v>
      </c>
      <c r="AU169" s="162">
        <f>SUMIFS('Opex Departments'!AI:AI,'Opex Departments'!$B:$B,$C169,'Opex Departments'!$A:$A,$A169)</f>
        <v>1572.340929</v>
      </c>
      <c r="AV169" s="162">
        <f>SUMIFS('Opex Departments'!AJ:AJ,'Opex Departments'!$B:$B,$C169,'Opex Departments'!$A:$A,$A169)</f>
        <v>12350</v>
      </c>
      <c r="AW169" s="162">
        <f>SUMIFS('Opex Departments'!AK:AK,'Opex Departments'!$B:$B,$C169,'Opex Departments'!$A:$A,$A169)</f>
        <v>1603.944982</v>
      </c>
      <c r="AX169" s="162">
        <f>SUMIFS('Opex Departments'!AL:AL,'Opex Departments'!$B:$B,$C169,'Opex Departments'!$A:$A,$A169)</f>
        <v>1619.984431</v>
      </c>
      <c r="AY169" s="162">
        <f>SUMIFS('Opex Departments'!AM:AM,'Opex Departments'!$B:$B,$C169,'Opex Departments'!$A:$A,$A169)</f>
        <v>1636.184276</v>
      </c>
      <c r="AZ169" s="162">
        <f>SUMIFS('Opex Departments'!AN:AN,'Opex Departments'!$B:$B,$C169,'Opex Departments'!$A:$A,$A169)</f>
        <v>13065</v>
      </c>
      <c r="BA169" s="162">
        <f>SUMIFS('Opex Departments'!AO:AO,'Opex Departments'!$B:$B,$C169,'Opex Departments'!$A:$A,$A169)</f>
        <v>490.9034058</v>
      </c>
      <c r="BB169" s="162">
        <f>SUMIFS('Opex Departments'!AP:AP,'Opex Departments'!$B:$B,$C169,'Opex Departments'!$A:$A,$A169)</f>
        <v>495.8124398</v>
      </c>
      <c r="BC169" s="162">
        <f>SUMIFS('Opex Departments'!AQ:AQ,'Opex Departments'!$B:$B,$C169,'Opex Departments'!$A:$A,$A169)</f>
        <v>500.7705642</v>
      </c>
      <c r="BD169" s="162">
        <f>SUMIFS('Opex Departments'!AR:AR,'Opex Departments'!$B:$B,$C169,'Opex Departments'!$A:$A,$A169)</f>
        <v>13390</v>
      </c>
      <c r="BE169" s="162">
        <f>SUMIFS('Opex Departments'!AS:AS,'Opex Departments'!$B:$B,$C169,'Opex Departments'!$A:$A,$A169)</f>
        <v>510.8360526</v>
      </c>
      <c r="BF169" s="162">
        <f>SUMIFS('Opex Departments'!AT:AT,'Opex Departments'!$B:$B,$C169,'Opex Departments'!$A:$A,$A169)</f>
        <v>515.9444131</v>
      </c>
      <c r="BG169" s="162">
        <f>SUMIFS('Opex Departments'!AU:AU,'Opex Departments'!$B:$B,$C169,'Opex Departments'!$A:$A,$A169)</f>
        <v>521.1038572</v>
      </c>
      <c r="BH169" s="162">
        <f>SUMIFS('Opex Departments'!AV:AV,'Opex Departments'!$B:$B,$C169,'Opex Departments'!$A:$A,$A169)</f>
        <v>13715</v>
      </c>
      <c r="BI169" s="162">
        <f>SUMIFS('Opex Departments'!AW:AW,'Opex Departments'!$B:$B,$C169,'Opex Departments'!$A:$A,$A169)</f>
        <v>531.5780447</v>
      </c>
      <c r="BJ169" s="162">
        <f>SUMIFS('Opex Departments'!AX:AX,'Opex Departments'!$B:$B,$C169,'Opex Departments'!$A:$A,$A169)</f>
        <v>536.8938252</v>
      </c>
      <c r="BK169" s="162">
        <f>SUMIFS('Opex Departments'!AY:AY,'Opex Departments'!$B:$B,$C169,'Opex Departments'!$A:$A,$A169)</f>
        <v>542.2627634</v>
      </c>
      <c r="BL169" s="162">
        <f>SUMIFS('Opex Departments'!AZ:AZ,'Opex Departments'!$B:$B,$C169,'Opex Departments'!$A:$A,$A169)</f>
        <v>13975</v>
      </c>
      <c r="BM169" s="162">
        <f>SUMIFS('Opex Departments'!BA:BA,'Opex Departments'!$B:$B,$C169,'Opex Departments'!$A:$A,$A169)</f>
        <v>553.162245</v>
      </c>
      <c r="BN169" s="162">
        <f>SUMIFS('Opex Departments'!BB:BB,'Opex Departments'!$B:$B,$C169,'Opex Departments'!$A:$A,$A169)</f>
        <v>558.6938674</v>
      </c>
      <c r="BO169" s="162">
        <f>SUMIFS('Opex Departments'!BC:BC,'Opex Departments'!$B:$B,$C169,'Opex Departments'!$A:$A,$A169)</f>
        <v>564.2808061</v>
      </c>
      <c r="BP169" s="162">
        <f>SUMIFS('Opex Departments'!BD:BD,'Opex Departments'!$B:$B,$C169,'Opex Departments'!$A:$A,$A169)</f>
        <v>14625</v>
      </c>
      <c r="BQ169" s="162">
        <f>SUMIFS('Opex Departments'!BE:BE,'Opex Departments'!$B:$B,$C169,'Opex Departments'!$A:$A,$A169)</f>
        <v>575.6228503</v>
      </c>
      <c r="BR169" s="162">
        <f>SUMIFS('Opex Departments'!BF:BF,'Opex Departments'!$B:$B,$C169,'Opex Departments'!$A:$A,$A169)</f>
        <v>581.3790788</v>
      </c>
      <c r="BS169" s="162">
        <f>SUMIFS('Opex Departments'!BG:BG,'Opex Departments'!$B:$B,$C169,'Opex Departments'!$A:$A,$A169)</f>
        <v>587.1928696</v>
      </c>
      <c r="BT169" s="162">
        <f>SUMIFS('Opex Departments'!BH:BH,'Opex Departments'!$B:$B,$C169,'Opex Departments'!$A:$A,$A169)</f>
        <v>15080</v>
      </c>
      <c r="BU169" s="162">
        <f>SUMIFS('Opex Departments'!BI:BI,'Opex Departments'!$B:$B,$C169,'Opex Departments'!$A:$A,$A169)</f>
        <v>598.9954463</v>
      </c>
      <c r="BV169" s="162">
        <f>SUMIFS('Opex Departments'!BJ:BJ,'Opex Departments'!$B:$B,$C169,'Opex Departments'!$A:$A,$A169)</f>
        <v>604.9854008</v>
      </c>
      <c r="BW169" s="162">
        <f>SUMIFS('Opex Departments'!BK:BK,'Opex Departments'!$B:$B,$C169,'Opex Departments'!$A:$A,$A169)</f>
        <v>611.0352548</v>
      </c>
      <c r="BX169" s="162">
        <f>SUMIFS('Opex Departments'!BL:BL,'Opex Departments'!$B:$B,$C169,'Opex Departments'!$A:$A,$A169)</f>
        <v>15535</v>
      </c>
      <c r="BY169" s="162">
        <f>SUMIFS('Opex Departments'!BM:BM,'Opex Departments'!$B:$B,$C169,'Opex Departments'!$A:$A,$A169)</f>
        <v>623.3170634</v>
      </c>
      <c r="BZ169" s="162">
        <f>SUMIFS('Opex Departments'!BN:BN,'Opex Departments'!$B:$B,$C169,'Opex Departments'!$A:$A,$A169)</f>
        <v>629.550234</v>
      </c>
      <c r="CA169" s="162">
        <f>SUMIFS('Opex Departments'!BO:BO,'Opex Departments'!$B:$B,$C169,'Opex Departments'!$A:$A,$A169)</f>
        <v>635.8457364</v>
      </c>
      <c r="CB169" s="162">
        <f>SUMIFS('Opex Departments'!BP:BP,'Opex Departments'!$B:$B,$C169,'Opex Departments'!$A:$A,$A169)</f>
        <v>17420</v>
      </c>
      <c r="CC169" s="162">
        <f>SUMIFS('Opex Departments'!BQ:BQ,'Opex Departments'!$B:$B,$C169,'Opex Departments'!$A:$A,$A169)</f>
        <v>648.6262357</v>
      </c>
      <c r="CD169" s="162">
        <f>SUMIFS('Opex Departments'!BR:BR,'Opex Departments'!$B:$B,$C169,'Opex Departments'!$A:$A,$A169)</f>
        <v>655.112498</v>
      </c>
      <c r="CE169" s="162">
        <f>SUMIFS('Opex Departments'!BS:BS,'Opex Departments'!$B:$B,$C169,'Opex Departments'!$A:$A,$A169)</f>
        <v>661.663623</v>
      </c>
      <c r="CF169" s="162">
        <f>SUMIFS('Opex Departments'!BT:BT,'Opex Departments'!$B:$B,$C169,'Opex Departments'!$A:$A,$A169)</f>
        <v>17940</v>
      </c>
      <c r="CG169" s="162">
        <f>SUMIFS('Opex Departments'!BU:BU,'Opex Departments'!$B:$B,$C169,'Opex Departments'!$A:$A,$A169)</f>
        <v>674.9630618</v>
      </c>
      <c r="CH169" s="162">
        <f>SUMIFS('Opex Departments'!BV:BV,'Opex Departments'!$B:$B,$C169,'Opex Departments'!$A:$A,$A169)</f>
        <v>681.7126924</v>
      </c>
      <c r="CI169" s="162">
        <f>SUMIFS('Opex Departments'!BW:BW,'Opex Departments'!$B:$B,$C169,'Opex Departments'!$A:$A,$A169)</f>
        <v>688.5298194</v>
      </c>
      <c r="CJ169" s="162">
        <f>SUMIFS('Opex Departments'!BX:BX,'Opex Departments'!$B:$B,$C169,'Opex Departments'!$A:$A,$A169)</f>
        <v>18330</v>
      </c>
      <c r="CK169" s="162">
        <f>SUMIFS('Opex Departments'!BY:BY,'Opex Departments'!$B:$B,$C169,'Opex Departments'!$A:$A,$A169)</f>
        <v>702.3692687</v>
      </c>
      <c r="CL169" s="162">
        <f>SUMIFS('Opex Departments'!BZ:BZ,'Opex Departments'!$B:$B,$C169,'Opex Departments'!$A:$A,$A169)</f>
        <v>709.3929614</v>
      </c>
      <c r="CM169" s="162">
        <f>SUMIFS('Opex Departments'!CA:CA,'Opex Departments'!$B:$B,$C169,'Opex Departments'!$A:$A,$A169)</f>
        <v>716.486891</v>
      </c>
      <c r="CN169" s="162">
        <f>SUMIFS('Opex Departments'!CB:CB,'Opex Departments'!$B:$B,$C169,'Opex Departments'!$A:$A,$A169)</f>
        <v>18850</v>
      </c>
      <c r="CO169" s="162">
        <f>SUMIFS('Opex Departments'!CC:CC,'Opex Departments'!$B:$B,$C169,'Opex Departments'!$A:$A,$A169)</f>
        <v>730.8882775</v>
      </c>
      <c r="CP169" s="162">
        <f>SUMIFS('Opex Departments'!CD:CD,'Opex Departments'!$B:$B,$C169,'Opex Departments'!$A:$A,$A169)</f>
        <v>738.1971603</v>
      </c>
      <c r="CQ169" s="162">
        <f>SUMIFS('Opex Departments'!CE:CE,'Opex Departments'!$B:$B,$C169,'Opex Departments'!$A:$A,$A169)</f>
        <v>745.5791319</v>
      </c>
      <c r="CR169" s="162">
        <f>SUMIFS('Opex Departments'!CF:CF,'Opex Departments'!$B:$B,$C169,'Opex Departments'!$A:$A,$A169)</f>
        <v>19110</v>
      </c>
      <c r="CS169" s="162">
        <f>SUMIFS('Opex Departments'!CG:CG,'Opex Departments'!$B:$B,$C169,'Opex Departments'!$A:$A,$A169)</f>
        <v>760.5652725</v>
      </c>
      <c r="CT169" s="162">
        <f>SUMIFS('Opex Departments'!CH:CH,'Opex Departments'!$B:$B,$C169,'Opex Departments'!$A:$A,$A169)</f>
        <v>768.1709252</v>
      </c>
      <c r="CU169" s="162">
        <f>SUMIFS('Opex Departments'!CI:CI,'Opex Departments'!$B:$B,$C169,'Opex Departments'!$A:$A,$A169)</f>
        <v>775.8526344</v>
      </c>
      <c r="CV169" s="162"/>
      <c r="CW169" s="162"/>
      <c r="CX169" s="162"/>
      <c r="CY169" s="162"/>
      <c r="CZ169" s="162"/>
      <c r="DA169" s="162"/>
      <c r="DB169" s="162"/>
      <c r="DC169" s="162"/>
    </row>
    <row r="170" ht="15.75" customHeight="1">
      <c r="A170" s="144" t="s">
        <v>278</v>
      </c>
      <c r="B170" s="144"/>
      <c r="C170" s="176" t="s">
        <v>72</v>
      </c>
      <c r="D170" s="144"/>
      <c r="E170" s="144"/>
      <c r="F170" s="144"/>
      <c r="G170" s="144"/>
      <c r="H170" s="144"/>
      <c r="I170" s="144"/>
      <c r="J170" s="144"/>
      <c r="K170" s="144"/>
      <c r="L170" s="144"/>
      <c r="M170" s="144"/>
      <c r="N170" s="144"/>
      <c r="O170" s="144"/>
      <c r="P170" s="162">
        <v>20454.0</v>
      </c>
      <c r="Q170" s="162">
        <v>7966.0</v>
      </c>
      <c r="R170" s="162">
        <v>11639.0</v>
      </c>
      <c r="S170" s="162">
        <v>9117.0</v>
      </c>
      <c r="T170" s="162">
        <v>10387.0</v>
      </c>
      <c r="U170" s="162">
        <v>24992.0</v>
      </c>
      <c r="V170" s="162">
        <v>12059.0</v>
      </c>
      <c r="W170" s="162">
        <v>10025.0</v>
      </c>
      <c r="X170" s="162">
        <v>11355.0</v>
      </c>
      <c r="Y170" s="162">
        <v>9675.0</v>
      </c>
      <c r="Z170" s="162">
        <v>18980.0</v>
      </c>
      <c r="AA170" s="162">
        <v>21624.0</v>
      </c>
      <c r="AB170" s="162">
        <v>13649.0</v>
      </c>
      <c r="AC170" s="162">
        <v>17399.0</v>
      </c>
      <c r="AD170" s="162">
        <v>13942.0</v>
      </c>
      <c r="AE170" s="162">
        <v>11487.0</v>
      </c>
      <c r="AF170" s="162">
        <v>10339.0</v>
      </c>
      <c r="AG170" s="162">
        <v>14997.0</v>
      </c>
      <c r="AH170" s="162">
        <f>SUMIFS('Opex Departments'!V:V,'Opex Departments'!$B:$B,$C170,'Opex Departments'!$A:$A,$A170)</f>
        <v>12691</v>
      </c>
      <c r="AI170" s="162">
        <f>SUMIFS('Opex Departments'!W:W,'Opex Departments'!$B:$B,$C170,'Opex Departments'!$A:$A,$A170)</f>
        <v>11253</v>
      </c>
      <c r="AJ170" s="162">
        <f>SUMIFS('Opex Departments'!X:X,'Opex Departments'!$B:$B,$C170,'Opex Departments'!$A:$A,$A170)</f>
        <v>10690</v>
      </c>
      <c r="AK170" s="162">
        <f>SUMIFS('Opex Departments'!Y:Y,'Opex Departments'!$B:$B,$C170,'Opex Departments'!$A:$A,$A170)</f>
        <v>8961</v>
      </c>
      <c r="AL170" s="162">
        <f>SUMIFS('Opex Departments'!Z:Z,'Opex Departments'!$B:$B,$C170,'Opex Departments'!$A:$A,$A170)</f>
        <v>11204</v>
      </c>
      <c r="AM170" s="162">
        <f>SUMIFS('Opex Departments'!AA:AA,'Opex Departments'!$B:$B,$C170,'Opex Departments'!$A:$A,$A170)</f>
        <v>13268.42423</v>
      </c>
      <c r="AN170" s="162">
        <f>SUMIFS('Opex Departments'!AB:AB,'Opex Departments'!$B:$B,$C170,'Opex Departments'!$A:$A,$A170)</f>
        <v>13960.50508</v>
      </c>
      <c r="AO170" s="162">
        <f>SUMIFS('Opex Departments'!AC:AC,'Opex Departments'!$B:$B,$C170,'Opex Departments'!$A:$A,$A170)</f>
        <v>14644.45184</v>
      </c>
      <c r="AP170" s="162">
        <f>SUMIFS('Opex Departments'!AD:AD,'Opex Departments'!$B:$B,$C170,'Opex Departments'!$A:$A,$A170)</f>
        <v>15270.80171</v>
      </c>
      <c r="AQ170" s="162">
        <f>SUMIFS('Opex Departments'!AE:AE,'Opex Departments'!$B:$B,$C170,'Opex Departments'!$A:$A,$A170)</f>
        <v>15870.58394</v>
      </c>
      <c r="AR170" s="162">
        <f>SUMIFS('Opex Departments'!AF:AF,'Opex Departments'!$B:$B,$C170,'Opex Departments'!$A:$A,$A170)</f>
        <v>16466.51773</v>
      </c>
      <c r="AS170" s="162">
        <f>SUMIFS('Opex Departments'!AG:AG,'Opex Departments'!$B:$B,$C170,'Opex Departments'!$A:$A,$A170)</f>
        <v>17265.96576</v>
      </c>
      <c r="AT170" s="162">
        <f>SUMIFS('Opex Departments'!AH:AH,'Opex Departments'!$B:$B,$C170,'Opex Departments'!$A:$A,$A170)</f>
        <v>17806.33571</v>
      </c>
      <c r="AU170" s="162">
        <f>SUMIFS('Opex Departments'!AI:AI,'Opex Departments'!$B:$B,$C170,'Opex Departments'!$A:$A,$A170)</f>
        <v>18336.27539</v>
      </c>
      <c r="AV170" s="162">
        <f>SUMIFS('Opex Departments'!AJ:AJ,'Opex Departments'!$B:$B,$C170,'Opex Departments'!$A:$A,$A170)</f>
        <v>18855.11899</v>
      </c>
      <c r="AW170" s="162">
        <f>SUMIFS('Opex Departments'!AK:AK,'Opex Departments'!$B:$B,$C170,'Opex Departments'!$A:$A,$A170)</f>
        <v>19337.43997</v>
      </c>
      <c r="AX170" s="162">
        <f>SUMIFS('Opex Departments'!AL:AL,'Opex Departments'!$B:$B,$C170,'Opex Departments'!$A:$A,$A170)</f>
        <v>19815.10472</v>
      </c>
      <c r="AY170" s="162">
        <f>SUMIFS('Opex Departments'!AM:AM,'Opex Departments'!$B:$B,$C170,'Opex Departments'!$A:$A,$A170)</f>
        <v>20298.78386</v>
      </c>
      <c r="AZ170" s="162">
        <f>SUMIFS('Opex Departments'!AN:AN,'Opex Departments'!$B:$B,$C170,'Opex Departments'!$A:$A,$A170)</f>
        <v>20776.62476</v>
      </c>
      <c r="BA170" s="162">
        <f>SUMIFS('Opex Departments'!AO:AO,'Opex Departments'!$B:$B,$C170,'Opex Departments'!$A:$A,$A170)</f>
        <v>20861.72696</v>
      </c>
      <c r="BB170" s="162">
        <f>SUMIFS('Opex Departments'!AP:AP,'Opex Departments'!$B:$B,$C170,'Opex Departments'!$A:$A,$A170)</f>
        <v>20981.04442</v>
      </c>
      <c r="BC170" s="162">
        <f>SUMIFS('Opex Departments'!AQ:AQ,'Opex Departments'!$B:$B,$C170,'Opex Departments'!$A:$A,$A170)</f>
        <v>21135.70439</v>
      </c>
      <c r="BD170" s="162">
        <f>SUMIFS('Opex Departments'!AR:AR,'Opex Departments'!$B:$B,$C170,'Opex Departments'!$A:$A,$A170)</f>
        <v>21299.8964</v>
      </c>
      <c r="BE170" s="162">
        <f>SUMIFS('Opex Departments'!AS:AS,'Opex Departments'!$B:$B,$C170,'Opex Departments'!$A:$A,$A170)</f>
        <v>21470.66282</v>
      </c>
      <c r="BF170" s="162">
        <f>SUMIFS('Opex Departments'!AT:AT,'Opex Departments'!$B:$B,$C170,'Opex Departments'!$A:$A,$A170)</f>
        <v>21639.563</v>
      </c>
      <c r="BG170" s="162">
        <f>SUMIFS('Opex Departments'!AU:AU,'Opex Departments'!$B:$B,$C170,'Opex Departments'!$A:$A,$A170)</f>
        <v>21843.47118</v>
      </c>
      <c r="BH170" s="162">
        <f>SUMIFS('Opex Departments'!AV:AV,'Opex Departments'!$B:$B,$C170,'Opex Departments'!$A:$A,$A170)</f>
        <v>22008.0503</v>
      </c>
      <c r="BI170" s="162">
        <f>SUMIFS('Opex Departments'!AW:AW,'Opex Departments'!$B:$B,$C170,'Opex Departments'!$A:$A,$A170)</f>
        <v>22170.29285</v>
      </c>
      <c r="BJ170" s="162">
        <f>SUMIFS('Opex Departments'!AX:AX,'Opex Departments'!$B:$B,$C170,'Opex Departments'!$A:$A,$A170)</f>
        <v>22330.29241</v>
      </c>
      <c r="BK170" s="162">
        <f>SUMIFS('Opex Departments'!AY:AY,'Opex Departments'!$B:$B,$C170,'Opex Departments'!$A:$A,$A170)</f>
        <v>22488.15772</v>
      </c>
      <c r="BL170" s="162">
        <f>SUMIFS('Opex Departments'!AZ:AZ,'Opex Departments'!$B:$B,$C170,'Opex Departments'!$A:$A,$A170)</f>
        <v>22832.01466</v>
      </c>
      <c r="BM170" s="162">
        <f>SUMIFS('Opex Departments'!BA:BA,'Opex Departments'!$B:$B,$C170,'Opex Departments'!$A:$A,$A170)</f>
        <v>23090.85459</v>
      </c>
      <c r="BN170" s="162">
        <f>SUMIFS('Opex Departments'!BB:BB,'Opex Departments'!$B:$B,$C170,'Opex Departments'!$A:$A,$A170)</f>
        <v>23341.71427</v>
      </c>
      <c r="BO170" s="162">
        <f>SUMIFS('Opex Departments'!BC:BC,'Opex Departments'!$B:$B,$C170,'Opex Departments'!$A:$A,$A170)</f>
        <v>23586.11843</v>
      </c>
      <c r="BP170" s="162">
        <f>SUMIFS('Opex Departments'!BD:BD,'Opex Departments'!$B:$B,$C170,'Opex Departments'!$A:$A,$A170)</f>
        <v>23825.05287</v>
      </c>
      <c r="BQ170" s="162">
        <f>SUMIFS('Opex Departments'!BE:BE,'Opex Departments'!$B:$B,$C170,'Opex Departments'!$A:$A,$A170)</f>
        <v>24059.15254</v>
      </c>
      <c r="BR170" s="162">
        <f>SUMIFS('Opex Departments'!BF:BF,'Opex Departments'!$B:$B,$C170,'Opex Departments'!$A:$A,$A170)</f>
        <v>24288.90146</v>
      </c>
      <c r="BS170" s="162">
        <f>SUMIFS('Opex Departments'!BG:BG,'Opex Departments'!$B:$B,$C170,'Opex Departments'!$A:$A,$A170)</f>
        <v>24514.69434</v>
      </c>
      <c r="BT170" s="162">
        <f>SUMIFS('Opex Departments'!BH:BH,'Opex Departments'!$B:$B,$C170,'Opex Departments'!$A:$A,$A170)</f>
        <v>24736.86441</v>
      </c>
      <c r="BU170" s="162">
        <f>SUMIFS('Opex Departments'!BI:BI,'Opex Departments'!$B:$B,$C170,'Opex Departments'!$A:$A,$A170)</f>
        <v>24955.69949</v>
      </c>
      <c r="BV170" s="162">
        <f>SUMIFS('Opex Departments'!BJ:BJ,'Opex Departments'!$B:$B,$C170,'Opex Departments'!$A:$A,$A170)</f>
        <v>25171.45288</v>
      </c>
      <c r="BW170" s="162">
        <f>SUMIFS('Opex Departments'!BK:BK,'Opex Departments'!$B:$B,$C170,'Opex Departments'!$A:$A,$A170)</f>
        <v>25384.35096</v>
      </c>
      <c r="BX170" s="162">
        <f>SUMIFS('Opex Departments'!BL:BL,'Opex Departments'!$B:$B,$C170,'Opex Departments'!$A:$A,$A170)</f>
        <v>25692.04145</v>
      </c>
      <c r="BY170" s="162">
        <f>SUMIFS('Opex Departments'!BM:BM,'Opex Departments'!$B:$B,$C170,'Opex Departments'!$A:$A,$A170)</f>
        <v>25930.87998</v>
      </c>
      <c r="BZ170" s="162">
        <f>SUMIFS('Opex Departments'!BN:BN,'Opex Departments'!$B:$B,$C170,'Opex Departments'!$A:$A,$A170)</f>
        <v>26147.18377</v>
      </c>
      <c r="CA170" s="162">
        <f>SUMIFS('Opex Departments'!BO:BO,'Opex Departments'!$B:$B,$C170,'Opex Departments'!$A:$A,$A170)</f>
        <v>26359.2129</v>
      </c>
      <c r="CB170" s="162">
        <f>SUMIFS('Opex Departments'!BP:BP,'Opex Departments'!$B:$B,$C170,'Opex Departments'!$A:$A,$A170)</f>
        <v>26570.19214</v>
      </c>
      <c r="CC170" s="162">
        <f>SUMIFS('Opex Departments'!BQ:BQ,'Opex Departments'!$B:$B,$C170,'Opex Departments'!$A:$A,$A170)</f>
        <v>26780.20264</v>
      </c>
      <c r="CD170" s="162">
        <f>SUMIFS('Opex Departments'!BR:BR,'Opex Departments'!$B:$B,$C170,'Opex Departments'!$A:$A,$A170)</f>
        <v>26989.38424</v>
      </c>
      <c r="CE170" s="162">
        <f>SUMIFS('Opex Departments'!BS:BS,'Opex Departments'!$B:$B,$C170,'Opex Departments'!$A:$A,$A170)</f>
        <v>27197.87208</v>
      </c>
      <c r="CF170" s="162">
        <f>SUMIFS('Opex Departments'!BT:BT,'Opex Departments'!$B:$B,$C170,'Opex Departments'!$A:$A,$A170)</f>
        <v>27405.79408</v>
      </c>
      <c r="CG170" s="162">
        <f>SUMIFS('Opex Departments'!BU:BU,'Opex Departments'!$B:$B,$C170,'Opex Departments'!$A:$A,$A170)</f>
        <v>27613.27327</v>
      </c>
      <c r="CH170" s="162">
        <f>SUMIFS('Opex Departments'!BV:BV,'Opex Departments'!$B:$B,$C170,'Opex Departments'!$A:$A,$A170)</f>
        <v>27820.42911</v>
      </c>
      <c r="CI170" s="162">
        <f>SUMIFS('Opex Departments'!BW:BW,'Opex Departments'!$B:$B,$C170,'Opex Departments'!$A:$A,$A170)</f>
        <v>28027.37827</v>
      </c>
      <c r="CJ170" s="162">
        <f>SUMIFS('Opex Departments'!BX:BX,'Opex Departments'!$B:$B,$C170,'Opex Departments'!$A:$A,$A170)</f>
        <v>28310.38887</v>
      </c>
      <c r="CK170" s="162">
        <f>SUMIFS('Opex Departments'!BY:BY,'Opex Departments'!$B:$B,$C170,'Opex Departments'!$A:$A,$A170)</f>
        <v>28442.67011</v>
      </c>
      <c r="CL170" s="162">
        <f>SUMIFS('Opex Departments'!BZ:BZ,'Opex Departments'!$B:$B,$C170,'Opex Departments'!$A:$A,$A170)</f>
        <v>28569.11214</v>
      </c>
      <c r="CM170" s="162">
        <f>SUMIFS('Opex Departments'!CA:CA,'Opex Departments'!$B:$B,$C170,'Opex Departments'!$A:$A,$A170)</f>
        <v>28702.1538</v>
      </c>
      <c r="CN170" s="162">
        <f>SUMIFS('Opex Departments'!CB:CB,'Opex Departments'!$B:$B,$C170,'Opex Departments'!$A:$A,$A170)</f>
        <v>28839.03936</v>
      </c>
      <c r="CO170" s="162">
        <f>SUMIFS('Opex Departments'!CC:CC,'Opex Departments'!$B:$B,$C170,'Opex Departments'!$A:$A,$A170)</f>
        <v>28977.6968</v>
      </c>
      <c r="CP170" s="162">
        <f>SUMIFS('Opex Departments'!CD:CD,'Opex Departments'!$B:$B,$C170,'Opex Departments'!$A:$A,$A170)</f>
        <v>29117.25948</v>
      </c>
      <c r="CQ170" s="162">
        <f>SUMIFS('Opex Departments'!CE:CE,'Opex Departments'!$B:$B,$C170,'Opex Departments'!$A:$A,$A170)</f>
        <v>29257.28408</v>
      </c>
      <c r="CR170" s="162">
        <f>SUMIFS('Opex Departments'!CF:CF,'Opex Departments'!$B:$B,$C170,'Opex Departments'!$A:$A,$A170)</f>
        <v>29397.5203</v>
      </c>
      <c r="CS170" s="162">
        <f>SUMIFS('Opex Departments'!CG:CG,'Opex Departments'!$B:$B,$C170,'Opex Departments'!$A:$A,$A170)</f>
        <v>29537.82479</v>
      </c>
      <c r="CT170" s="162">
        <f>SUMIFS('Opex Departments'!CH:CH,'Opex Departments'!$B:$B,$C170,'Opex Departments'!$A:$A,$A170)</f>
        <v>29678.12124</v>
      </c>
      <c r="CU170" s="162">
        <f>SUMIFS('Opex Departments'!CI:CI,'Opex Departments'!$B:$B,$C170,'Opex Departments'!$A:$A,$A170)</f>
        <v>29818.37839</v>
      </c>
      <c r="CV170" s="162"/>
      <c r="CW170" s="162"/>
      <c r="CX170" s="162"/>
      <c r="CY170" s="162"/>
      <c r="CZ170" s="162"/>
      <c r="DA170" s="162"/>
      <c r="DB170" s="162"/>
      <c r="DC170" s="162"/>
    </row>
    <row r="171" ht="15.75" customHeight="1">
      <c r="A171" s="144"/>
      <c r="B171" s="144"/>
      <c r="C171" s="145" t="s">
        <v>279</v>
      </c>
      <c r="D171" s="144"/>
      <c r="E171" s="144"/>
      <c r="F171" s="144"/>
      <c r="G171" s="144"/>
      <c r="H171" s="144"/>
      <c r="I171" s="144"/>
      <c r="J171" s="144"/>
      <c r="K171" s="144"/>
      <c r="L171" s="144"/>
      <c r="M171" s="144"/>
      <c r="N171" s="144"/>
      <c r="O171" s="144"/>
      <c r="P171" s="177">
        <v>149999.0</v>
      </c>
      <c r="Q171" s="177">
        <v>192298.0</v>
      </c>
      <c r="R171" s="177">
        <v>187205.0</v>
      </c>
      <c r="S171" s="177">
        <v>210736.0</v>
      </c>
      <c r="T171" s="177">
        <v>266725.0</v>
      </c>
      <c r="U171" s="177">
        <v>228257.0</v>
      </c>
      <c r="V171" s="177">
        <v>236511.0</v>
      </c>
      <c r="W171" s="177">
        <v>219418.0</v>
      </c>
      <c r="X171" s="177">
        <v>230769.0</v>
      </c>
      <c r="Y171" s="177">
        <v>324986.0</v>
      </c>
      <c r="Z171" s="177">
        <v>224702.0</v>
      </c>
      <c r="AA171" s="177">
        <v>252023.0</v>
      </c>
      <c r="AB171" s="177">
        <v>168570.0</v>
      </c>
      <c r="AC171" s="177">
        <v>151827.0</v>
      </c>
      <c r="AD171" s="177">
        <v>181198.0</v>
      </c>
      <c r="AE171" s="177">
        <v>223641.0</v>
      </c>
      <c r="AF171" s="177">
        <v>212190.0</v>
      </c>
      <c r="AG171" s="177">
        <v>236243.0</v>
      </c>
      <c r="AH171" s="177">
        <f t="shared" ref="AH171:CU171" si="91">SUM(AH162:AH170)</f>
        <v>-145642</v>
      </c>
      <c r="AI171" s="177">
        <f t="shared" si="91"/>
        <v>-124961</v>
      </c>
      <c r="AJ171" s="177">
        <f t="shared" si="91"/>
        <v>-130853</v>
      </c>
      <c r="AK171" s="177">
        <f t="shared" si="91"/>
        <v>-131001</v>
      </c>
      <c r="AL171" s="177">
        <f t="shared" si="91"/>
        <v>-120537</v>
      </c>
      <c r="AM171" s="177">
        <f t="shared" si="91"/>
        <v>-546004.1827</v>
      </c>
      <c r="AN171" s="177">
        <f t="shared" si="91"/>
        <v>-842365.6825</v>
      </c>
      <c r="AO171" s="177">
        <f t="shared" si="91"/>
        <v>-944715.6777</v>
      </c>
      <c r="AP171" s="177">
        <f t="shared" si="91"/>
        <v>-989760.2188</v>
      </c>
      <c r="AQ171" s="177">
        <f t="shared" si="91"/>
        <v>-1058353.002</v>
      </c>
      <c r="AR171" s="177">
        <f t="shared" si="91"/>
        <v>-1084337.283</v>
      </c>
      <c r="AS171" s="177">
        <f t="shared" si="91"/>
        <v>-1093779.877</v>
      </c>
      <c r="AT171" s="177">
        <f t="shared" si="91"/>
        <v>-1141270.248</v>
      </c>
      <c r="AU171" s="177">
        <f t="shared" si="91"/>
        <v>-1222337.141</v>
      </c>
      <c r="AV171" s="177">
        <f t="shared" si="91"/>
        <v>-1299949.081</v>
      </c>
      <c r="AW171" s="177">
        <f t="shared" si="91"/>
        <v>-1358629.4</v>
      </c>
      <c r="AX171" s="177">
        <f t="shared" si="91"/>
        <v>-1437258.734</v>
      </c>
      <c r="AY171" s="177">
        <f t="shared" si="91"/>
        <v>-1474690.806</v>
      </c>
      <c r="AZ171" s="177">
        <f t="shared" si="91"/>
        <v>-1543648.927</v>
      </c>
      <c r="BA171" s="177">
        <f t="shared" si="91"/>
        <v>-1558241.909</v>
      </c>
      <c r="BB171" s="177">
        <f t="shared" si="91"/>
        <v>-1560517.135</v>
      </c>
      <c r="BC171" s="177">
        <f t="shared" si="91"/>
        <v>-1562495.923</v>
      </c>
      <c r="BD171" s="177">
        <f t="shared" si="91"/>
        <v>-1605795.79</v>
      </c>
      <c r="BE171" s="177">
        <f t="shared" si="91"/>
        <v>-1620687.021</v>
      </c>
      <c r="BF171" s="177">
        <f t="shared" si="91"/>
        <v>-1621668.379</v>
      </c>
      <c r="BG171" s="177">
        <f t="shared" si="91"/>
        <v>-1623631.907</v>
      </c>
      <c r="BH171" s="177">
        <f t="shared" si="91"/>
        <v>-1667677.592</v>
      </c>
      <c r="BI171" s="177">
        <f t="shared" si="91"/>
        <v>-1683037.581</v>
      </c>
      <c r="BJ171" s="177">
        <f t="shared" si="91"/>
        <v>-1685220.63</v>
      </c>
      <c r="BK171" s="177">
        <f t="shared" si="91"/>
        <v>-1687451.129</v>
      </c>
      <c r="BL171" s="177">
        <f t="shared" si="91"/>
        <v>-1724542.904</v>
      </c>
      <c r="BM171" s="177">
        <f t="shared" si="91"/>
        <v>-1739666.27</v>
      </c>
      <c r="BN171" s="177">
        <f t="shared" si="91"/>
        <v>-1741573.768</v>
      </c>
      <c r="BO171" s="177">
        <f t="shared" si="91"/>
        <v>-1743461.163</v>
      </c>
      <c r="BP171" s="177">
        <f t="shared" si="91"/>
        <v>-1844355.313</v>
      </c>
      <c r="BQ171" s="177">
        <f t="shared" si="91"/>
        <v>-1860417.082</v>
      </c>
      <c r="BR171" s="177">
        <f t="shared" si="91"/>
        <v>-1897136.069</v>
      </c>
      <c r="BS171" s="177">
        <f t="shared" si="91"/>
        <v>-1956436.913</v>
      </c>
      <c r="BT171" s="177">
        <f t="shared" si="91"/>
        <v>-2010429.822</v>
      </c>
      <c r="BU171" s="177">
        <f t="shared" si="91"/>
        <v>-2084307.976</v>
      </c>
      <c r="BV171" s="177">
        <f t="shared" si="91"/>
        <v>-2086547.293</v>
      </c>
      <c r="BW171" s="177">
        <f t="shared" si="91"/>
        <v>-2088829.155</v>
      </c>
      <c r="BX171" s="177">
        <f t="shared" si="91"/>
        <v>-2199695.897</v>
      </c>
      <c r="BY171" s="177">
        <f t="shared" si="91"/>
        <v>-2215457.603</v>
      </c>
      <c r="BZ171" s="177">
        <f t="shared" si="91"/>
        <v>-2217721.074</v>
      </c>
      <c r="CA171" s="177">
        <f t="shared" si="91"/>
        <v>-2279449.444</v>
      </c>
      <c r="CB171" s="177">
        <f t="shared" si="91"/>
        <v>-2384037.398</v>
      </c>
      <c r="CC171" s="177">
        <f t="shared" si="91"/>
        <v>-2403182.939</v>
      </c>
      <c r="CD171" s="177">
        <f t="shared" si="91"/>
        <v>-2466339.384</v>
      </c>
      <c r="CE171" s="177">
        <f t="shared" si="91"/>
        <v>-2468783.294</v>
      </c>
      <c r="CF171" s="177">
        <f t="shared" si="91"/>
        <v>-2543115.323</v>
      </c>
      <c r="CG171" s="177">
        <f t="shared" si="91"/>
        <v>-2624726.492</v>
      </c>
      <c r="CH171" s="177">
        <f t="shared" si="91"/>
        <v>-2627280.238</v>
      </c>
      <c r="CI171" s="177">
        <f t="shared" si="91"/>
        <v>-2629869.75</v>
      </c>
      <c r="CJ171" s="177">
        <f t="shared" si="91"/>
        <v>-2761151.582</v>
      </c>
      <c r="CK171" s="177">
        <f t="shared" si="91"/>
        <v>-2781641.252</v>
      </c>
      <c r="CL171" s="177">
        <f t="shared" si="91"/>
        <v>-2784707.299</v>
      </c>
      <c r="CM171" s="177">
        <f t="shared" si="91"/>
        <v>-2787709.132</v>
      </c>
      <c r="CN171" s="177">
        <f t="shared" si="91"/>
        <v>-2874113.418</v>
      </c>
      <c r="CO171" s="177">
        <f t="shared" si="91"/>
        <v>-2895300.359</v>
      </c>
      <c r="CP171" s="177">
        <f t="shared" si="91"/>
        <v>-2897326.887</v>
      </c>
      <c r="CQ171" s="177">
        <f t="shared" si="91"/>
        <v>-2900459.986</v>
      </c>
      <c r="CR171" s="177">
        <f t="shared" si="91"/>
        <v>-2990155.999</v>
      </c>
      <c r="CS171" s="177">
        <f t="shared" si="91"/>
        <v>-3011723.205</v>
      </c>
      <c r="CT171" s="177">
        <f t="shared" si="91"/>
        <v>-3014973.453</v>
      </c>
      <c r="CU171" s="177">
        <f t="shared" si="91"/>
        <v>-3018263.519</v>
      </c>
      <c r="CV171" s="144"/>
      <c r="CW171" s="144"/>
      <c r="CX171" s="144"/>
      <c r="CY171" s="144"/>
      <c r="CZ171" s="144"/>
      <c r="DA171" s="144"/>
      <c r="DB171" s="144"/>
      <c r="DC171" s="144"/>
    </row>
    <row r="172" ht="15.7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4"/>
      <c r="BQ172" s="144"/>
      <c r="BR172" s="144"/>
      <c r="BS172" s="144"/>
      <c r="BT172" s="144"/>
      <c r="BU172" s="144"/>
      <c r="BV172" s="144"/>
      <c r="BW172" s="144"/>
      <c r="BX172" s="144"/>
      <c r="BY172" s="144"/>
      <c r="BZ172" s="144"/>
      <c r="CA172" s="144"/>
      <c r="CB172" s="144"/>
      <c r="CC172" s="144"/>
      <c r="CD172" s="144"/>
      <c r="CE172" s="144"/>
      <c r="CF172" s="144"/>
      <c r="CG172" s="144"/>
      <c r="CH172" s="144"/>
      <c r="CI172" s="144"/>
      <c r="CJ172" s="144"/>
      <c r="CK172" s="144"/>
      <c r="CL172" s="144"/>
      <c r="CM172" s="144"/>
      <c r="CN172" s="144"/>
      <c r="CO172" s="144"/>
      <c r="CP172" s="144"/>
      <c r="CQ172" s="144"/>
      <c r="CR172" s="144"/>
      <c r="CS172" s="144"/>
      <c r="CT172" s="144"/>
      <c r="CU172" s="144"/>
      <c r="CV172" s="144"/>
      <c r="CW172" s="144"/>
      <c r="CX172" s="144"/>
      <c r="CY172" s="144"/>
      <c r="CZ172" s="144"/>
      <c r="DA172" s="144"/>
      <c r="DB172" s="144"/>
      <c r="DC172" s="144"/>
    </row>
    <row r="173" ht="15.7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44"/>
      <c r="BN173" s="144"/>
      <c r="BO173" s="144"/>
      <c r="BP173" s="144"/>
      <c r="BQ173" s="144"/>
      <c r="BR173" s="144"/>
      <c r="BS173" s="144"/>
      <c r="BT173" s="144"/>
      <c r="BU173" s="144"/>
      <c r="BV173" s="144"/>
      <c r="BW173" s="144"/>
      <c r="BX173" s="144"/>
      <c r="BY173" s="144"/>
      <c r="BZ173" s="144"/>
      <c r="CA173" s="144"/>
      <c r="CB173" s="144"/>
      <c r="CC173" s="144"/>
      <c r="CD173" s="144"/>
      <c r="CE173" s="144"/>
      <c r="CF173" s="144"/>
      <c r="CG173" s="144"/>
      <c r="CH173" s="144"/>
      <c r="CI173" s="144"/>
      <c r="CJ173" s="144"/>
      <c r="CK173" s="144"/>
      <c r="CL173" s="144"/>
      <c r="CM173" s="144"/>
      <c r="CN173" s="144"/>
      <c r="CO173" s="144"/>
      <c r="CP173" s="144"/>
      <c r="CQ173" s="144"/>
      <c r="CR173" s="144"/>
      <c r="CS173" s="144"/>
      <c r="CT173" s="144"/>
      <c r="CU173" s="144"/>
      <c r="CV173" s="144"/>
      <c r="CW173" s="144"/>
      <c r="CX173" s="144"/>
      <c r="CY173" s="144"/>
      <c r="CZ173" s="144"/>
      <c r="DA173" s="144"/>
      <c r="DB173" s="144"/>
      <c r="DC173" s="144"/>
    </row>
    <row r="174" ht="15.75" customHeight="1">
      <c r="A174" s="145" t="s">
        <v>280</v>
      </c>
      <c r="B174" s="145" t="s">
        <v>281</v>
      </c>
      <c r="C174" s="175" t="s">
        <v>282</v>
      </c>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44"/>
      <c r="BN174" s="144"/>
      <c r="BO174" s="144"/>
      <c r="BP174" s="144"/>
      <c r="BQ174" s="144"/>
      <c r="BR174" s="144"/>
      <c r="BS174" s="144"/>
      <c r="BT174" s="144"/>
      <c r="BU174" s="144"/>
      <c r="BV174" s="144"/>
      <c r="BW174" s="144"/>
      <c r="BX174" s="144"/>
      <c r="BY174" s="144"/>
      <c r="BZ174" s="144"/>
      <c r="CA174" s="144"/>
      <c r="CB174" s="144"/>
      <c r="CC174" s="144"/>
      <c r="CD174" s="144"/>
      <c r="CE174" s="144"/>
      <c r="CF174" s="144"/>
      <c r="CG174" s="144"/>
      <c r="CH174" s="144"/>
      <c r="CI174" s="144"/>
      <c r="CJ174" s="144"/>
      <c r="CK174" s="144"/>
      <c r="CL174" s="144"/>
      <c r="CM174" s="144"/>
      <c r="CN174" s="144"/>
      <c r="CO174" s="144"/>
      <c r="CP174" s="144"/>
      <c r="CQ174" s="144"/>
      <c r="CR174" s="144"/>
      <c r="CS174" s="144"/>
      <c r="CT174" s="144"/>
      <c r="CU174" s="144"/>
      <c r="CV174" s="144"/>
      <c r="CW174" s="144"/>
      <c r="CX174" s="144"/>
      <c r="CY174" s="144"/>
      <c r="CZ174" s="144"/>
      <c r="DA174" s="144"/>
      <c r="DB174" s="144"/>
      <c r="DC174" s="144"/>
    </row>
    <row r="175" ht="15.7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44"/>
      <c r="BN175" s="144"/>
      <c r="BO175" s="144"/>
      <c r="BP175" s="144"/>
      <c r="BQ175" s="144"/>
      <c r="BR175" s="144"/>
      <c r="BS175" s="144"/>
      <c r="BT175" s="144"/>
      <c r="BU175" s="144"/>
      <c r="BV175" s="144"/>
      <c r="BW175" s="144"/>
      <c r="BX175" s="144"/>
      <c r="BY175" s="144"/>
      <c r="BZ175" s="144"/>
      <c r="CA175" s="144"/>
      <c r="CB175" s="144"/>
      <c r="CC175" s="144"/>
      <c r="CD175" s="144"/>
      <c r="CE175" s="144"/>
      <c r="CF175" s="144"/>
      <c r="CG175" s="144"/>
      <c r="CH175" s="144"/>
      <c r="CI175" s="144"/>
      <c r="CJ175" s="144"/>
      <c r="CK175" s="144"/>
      <c r="CL175" s="144"/>
      <c r="CM175" s="144"/>
      <c r="CN175" s="144"/>
      <c r="CO175" s="144"/>
      <c r="CP175" s="144"/>
      <c r="CQ175" s="144"/>
      <c r="CR175" s="144"/>
      <c r="CS175" s="144"/>
      <c r="CT175" s="144"/>
      <c r="CU175" s="144"/>
      <c r="CV175" s="144"/>
      <c r="CW175" s="144"/>
      <c r="CX175" s="144"/>
      <c r="CY175" s="144"/>
      <c r="CZ175" s="144"/>
      <c r="DA175" s="144"/>
      <c r="DB175" s="144"/>
      <c r="DC175" s="144"/>
    </row>
    <row r="176" ht="15.75" customHeight="1">
      <c r="A176" s="144"/>
      <c r="B176" s="144"/>
      <c r="C176" s="144" t="s">
        <v>25</v>
      </c>
      <c r="D176" s="144"/>
      <c r="E176" s="144"/>
      <c r="F176" s="144"/>
      <c r="G176" s="144"/>
      <c r="H176" s="144"/>
      <c r="I176" s="144"/>
      <c r="J176" s="144"/>
      <c r="K176" s="144"/>
      <c r="L176" s="144"/>
      <c r="M176" s="144"/>
      <c r="N176" s="144"/>
      <c r="O176" s="144"/>
      <c r="P176" s="144">
        <v>642904.0</v>
      </c>
      <c r="Q176" s="144">
        <v>758086.0</v>
      </c>
      <c r="R176" s="144">
        <v>912439.0</v>
      </c>
      <c r="S176" s="144">
        <v>984710.0</v>
      </c>
      <c r="T176" s="144">
        <v>1100849.0</v>
      </c>
      <c r="U176" s="144">
        <v>1057784.0</v>
      </c>
      <c r="V176" s="144">
        <v>1158092.0</v>
      </c>
      <c r="W176" s="144">
        <v>1370636.0</v>
      </c>
      <c r="X176" s="144">
        <v>1504091.0</v>
      </c>
      <c r="Y176" s="144">
        <v>1654146.0</v>
      </c>
      <c r="Z176" s="144">
        <v>1696470.0</v>
      </c>
      <c r="AA176" s="144">
        <v>1610245.0</v>
      </c>
      <c r="AB176" s="144">
        <v>1553561.0</v>
      </c>
      <c r="AC176" s="144">
        <v>1663259.0</v>
      </c>
      <c r="AD176" s="144">
        <v>1725056.0</v>
      </c>
      <c r="AE176" s="144">
        <v>1770010.0</v>
      </c>
      <c r="AF176" s="144">
        <v>1914845.0</v>
      </c>
      <c r="AG176" s="144">
        <v>1953057.0</v>
      </c>
      <c r="AH176" s="144">
        <f t="shared" ref="AH176:CU176" si="92">AH22</f>
        <v>1323566</v>
      </c>
      <c r="AI176" s="144">
        <f t="shared" si="92"/>
        <v>1496054</v>
      </c>
      <c r="AJ176" s="144">
        <f t="shared" si="92"/>
        <v>1451527</v>
      </c>
      <c r="AK176" s="144">
        <f t="shared" si="92"/>
        <v>1263151</v>
      </c>
      <c r="AL176" s="144">
        <f t="shared" si="92"/>
        <v>1309094</v>
      </c>
      <c r="AM176" s="144">
        <f t="shared" si="92"/>
        <v>1415790.631</v>
      </c>
      <c r="AN176" s="144">
        <f t="shared" si="92"/>
        <v>1667456.392</v>
      </c>
      <c r="AO176" s="144">
        <f t="shared" si="92"/>
        <v>1916164.307</v>
      </c>
      <c r="AP176" s="144">
        <f t="shared" si="92"/>
        <v>2143927.895</v>
      </c>
      <c r="AQ176" s="144">
        <f t="shared" si="92"/>
        <v>2362030.523</v>
      </c>
      <c r="AR176" s="144">
        <f t="shared" si="92"/>
        <v>2578733.721</v>
      </c>
      <c r="AS176" s="144">
        <f t="shared" si="92"/>
        <v>2796714.82</v>
      </c>
      <c r="AT176" s="144">
        <f t="shared" si="92"/>
        <v>2993212.987</v>
      </c>
      <c r="AU176" s="144">
        <f t="shared" si="92"/>
        <v>3185918.325</v>
      </c>
      <c r="AV176" s="144">
        <f t="shared" si="92"/>
        <v>3374588.725</v>
      </c>
      <c r="AW176" s="144">
        <f t="shared" si="92"/>
        <v>3549978.171</v>
      </c>
      <c r="AX176" s="144">
        <f t="shared" si="92"/>
        <v>3723674.445</v>
      </c>
      <c r="AY176" s="144">
        <f t="shared" si="92"/>
        <v>3899557.769</v>
      </c>
      <c r="AZ176" s="144">
        <f t="shared" si="92"/>
        <v>4073318.095</v>
      </c>
      <c r="BA176" s="144">
        <f t="shared" si="92"/>
        <v>4104264.349</v>
      </c>
      <c r="BB176" s="144">
        <f t="shared" si="92"/>
        <v>4147652.518</v>
      </c>
      <c r="BC176" s="144">
        <f t="shared" si="92"/>
        <v>4203892.505</v>
      </c>
      <c r="BD176" s="144">
        <f t="shared" si="92"/>
        <v>4263598.691</v>
      </c>
      <c r="BE176" s="144">
        <f t="shared" si="92"/>
        <v>4325695.573</v>
      </c>
      <c r="BF176" s="144">
        <f t="shared" si="92"/>
        <v>4387113.817</v>
      </c>
      <c r="BG176" s="144">
        <f t="shared" si="92"/>
        <v>4461262.247</v>
      </c>
      <c r="BH176" s="144">
        <f t="shared" si="92"/>
        <v>4521109.201</v>
      </c>
      <c r="BI176" s="144">
        <f t="shared" si="92"/>
        <v>4580106.491</v>
      </c>
      <c r="BJ176" s="144">
        <f t="shared" si="92"/>
        <v>4638288.148</v>
      </c>
      <c r="BK176" s="144">
        <f t="shared" si="92"/>
        <v>4695693.717</v>
      </c>
      <c r="BL176" s="144">
        <f t="shared" si="92"/>
        <v>4820732.602</v>
      </c>
      <c r="BM176" s="144">
        <f t="shared" si="92"/>
        <v>4914856.216</v>
      </c>
      <c r="BN176" s="144">
        <f t="shared" si="92"/>
        <v>5006077.918</v>
      </c>
      <c r="BO176" s="144">
        <f t="shared" si="92"/>
        <v>5094952.155</v>
      </c>
      <c r="BP176" s="144">
        <f t="shared" si="92"/>
        <v>5181837.409</v>
      </c>
      <c r="BQ176" s="144">
        <f t="shared" si="92"/>
        <v>5266964.562</v>
      </c>
      <c r="BR176" s="144">
        <f t="shared" si="92"/>
        <v>5350509.62</v>
      </c>
      <c r="BS176" s="144">
        <f t="shared" si="92"/>
        <v>5432616.125</v>
      </c>
      <c r="BT176" s="144">
        <f t="shared" si="92"/>
        <v>5513405.239</v>
      </c>
      <c r="BU176" s="144">
        <f t="shared" si="92"/>
        <v>5592981.632</v>
      </c>
      <c r="BV176" s="144">
        <f t="shared" si="92"/>
        <v>5671437.41</v>
      </c>
      <c r="BW176" s="144">
        <f t="shared" si="92"/>
        <v>5748854.893</v>
      </c>
      <c r="BX176" s="144">
        <f t="shared" si="92"/>
        <v>5860742.345</v>
      </c>
      <c r="BY176" s="144">
        <f t="shared" si="92"/>
        <v>5947592.72</v>
      </c>
      <c r="BZ176" s="144">
        <f t="shared" si="92"/>
        <v>6026248.645</v>
      </c>
      <c r="CA176" s="144">
        <f t="shared" si="92"/>
        <v>6103350.145</v>
      </c>
      <c r="CB176" s="144">
        <f t="shared" si="92"/>
        <v>6180069.871</v>
      </c>
      <c r="CC176" s="144">
        <f t="shared" si="92"/>
        <v>6256437.323</v>
      </c>
      <c r="CD176" s="144">
        <f t="shared" si="92"/>
        <v>6332503.361</v>
      </c>
      <c r="CE176" s="144">
        <f t="shared" si="92"/>
        <v>6408317.12</v>
      </c>
      <c r="CF176" s="144">
        <f t="shared" si="92"/>
        <v>6483925.121</v>
      </c>
      <c r="CG176" s="144">
        <f t="shared" si="92"/>
        <v>6559372.097</v>
      </c>
      <c r="CH176" s="144">
        <f t="shared" si="92"/>
        <v>6634701.496</v>
      </c>
      <c r="CI176" s="144">
        <f t="shared" si="92"/>
        <v>6709955.734</v>
      </c>
      <c r="CJ176" s="144">
        <f t="shared" si="92"/>
        <v>6812868.679</v>
      </c>
      <c r="CK176" s="144">
        <f t="shared" si="92"/>
        <v>6860970.95</v>
      </c>
      <c r="CL176" s="144">
        <f t="shared" si="92"/>
        <v>6906949.871</v>
      </c>
      <c r="CM176" s="144">
        <f t="shared" si="92"/>
        <v>6955328.654</v>
      </c>
      <c r="CN176" s="144">
        <f t="shared" si="92"/>
        <v>7005105.221</v>
      </c>
      <c r="CO176" s="144">
        <f t="shared" si="92"/>
        <v>7055526.11</v>
      </c>
      <c r="CP176" s="144">
        <f t="shared" si="92"/>
        <v>7106276.176</v>
      </c>
      <c r="CQ176" s="144">
        <f t="shared" si="92"/>
        <v>7157194.211</v>
      </c>
      <c r="CR176" s="144">
        <f t="shared" si="92"/>
        <v>7208189.201</v>
      </c>
      <c r="CS176" s="144">
        <f t="shared" si="92"/>
        <v>7259209.016</v>
      </c>
      <c r="CT176" s="144">
        <f t="shared" si="92"/>
        <v>7310225.906</v>
      </c>
      <c r="CU176" s="144">
        <f t="shared" si="92"/>
        <v>7361228.504</v>
      </c>
      <c r="CV176" s="144"/>
      <c r="CW176" s="144"/>
      <c r="CX176" s="144"/>
      <c r="CY176" s="144"/>
      <c r="CZ176" s="144"/>
      <c r="DA176" s="144"/>
      <c r="DB176" s="144"/>
      <c r="DC176" s="144"/>
    </row>
    <row r="177" ht="15.75" customHeight="1">
      <c r="A177" s="178"/>
      <c r="B177" s="178"/>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44"/>
      <c r="BN177" s="144"/>
      <c r="BO177" s="144"/>
      <c r="BP177" s="144"/>
      <c r="BQ177" s="144"/>
      <c r="BR177" s="144"/>
      <c r="BS177" s="144"/>
      <c r="BT177" s="144"/>
      <c r="BU177" s="144"/>
      <c r="BV177" s="144"/>
      <c r="BW177" s="144"/>
      <c r="BX177" s="144"/>
      <c r="BY177" s="144"/>
      <c r="BZ177" s="144"/>
      <c r="CA177" s="144"/>
      <c r="CB177" s="144"/>
      <c r="CC177" s="144"/>
      <c r="CD177" s="144"/>
      <c r="CE177" s="144"/>
      <c r="CF177" s="144"/>
      <c r="CG177" s="144"/>
      <c r="CH177" s="144"/>
      <c r="CI177" s="144"/>
      <c r="CJ177" s="144"/>
      <c r="CK177" s="144"/>
      <c r="CL177" s="144"/>
      <c r="CM177" s="144"/>
      <c r="CN177" s="144"/>
      <c r="CO177" s="144"/>
      <c r="CP177" s="144"/>
      <c r="CQ177" s="144"/>
      <c r="CR177" s="144"/>
      <c r="CS177" s="144"/>
      <c r="CT177" s="144"/>
      <c r="CU177" s="144"/>
      <c r="CV177" s="144"/>
      <c r="CW177" s="144"/>
      <c r="CX177" s="144"/>
      <c r="CY177" s="144"/>
      <c r="CZ177" s="144"/>
      <c r="DA177" s="144"/>
      <c r="DB177" s="144"/>
      <c r="DC177" s="144"/>
    </row>
    <row r="178" ht="15.75" customHeight="1">
      <c r="A178" s="179">
        <v>0.4</v>
      </c>
      <c r="B178" s="179">
        <v>0.37</v>
      </c>
      <c r="C178" s="180" t="s">
        <v>118</v>
      </c>
      <c r="D178" s="180"/>
      <c r="E178" s="180"/>
      <c r="F178" s="180"/>
      <c r="G178" s="180"/>
      <c r="H178" s="180"/>
      <c r="I178" s="180"/>
      <c r="J178" s="180"/>
      <c r="K178" s="180"/>
      <c r="L178" s="180"/>
      <c r="M178" s="180"/>
      <c r="N178" s="180"/>
      <c r="O178" s="180"/>
      <c r="P178" s="180">
        <v>0.387</v>
      </c>
      <c r="Q178" s="180">
        <v>0.436</v>
      </c>
      <c r="R178" s="180">
        <v>0.448</v>
      </c>
      <c r="S178" s="180">
        <v>0.436</v>
      </c>
      <c r="T178" s="180">
        <v>0.493</v>
      </c>
      <c r="U178" s="180">
        <v>0.536</v>
      </c>
      <c r="V178" s="180">
        <v>0.623</v>
      </c>
      <c r="W178" s="180">
        <v>0.586</v>
      </c>
      <c r="X178" s="180">
        <v>0.539</v>
      </c>
      <c r="Y178" s="180">
        <v>0.508</v>
      </c>
      <c r="Z178" s="180">
        <v>0.495</v>
      </c>
      <c r="AA178" s="180">
        <v>0.589</v>
      </c>
      <c r="AB178" s="180">
        <v>0.606</v>
      </c>
      <c r="AC178" s="180">
        <v>0.624</v>
      </c>
      <c r="AD178" s="180">
        <v>0.54</v>
      </c>
      <c r="AE178" s="180">
        <v>0.502</v>
      </c>
      <c r="AF178" s="180">
        <v>0.445</v>
      </c>
      <c r="AG178" s="180">
        <v>0.404</v>
      </c>
      <c r="AH178" s="180">
        <f t="shared" ref="AH178:CU178" si="93">AH39/AH$176</f>
        <v>0.01871912696</v>
      </c>
      <c r="AI178" s="180">
        <f t="shared" si="93"/>
        <v>0.01394869437</v>
      </c>
      <c r="AJ178" s="180">
        <f t="shared" si="93"/>
        <v>0.01745058824</v>
      </c>
      <c r="AK178" s="180">
        <f t="shared" si="93"/>
        <v>0.01942523103</v>
      </c>
      <c r="AL178" s="180">
        <f t="shared" si="93"/>
        <v>0.016331142</v>
      </c>
      <c r="AM178" s="180">
        <f t="shared" si="93"/>
        <v>0.1315440784</v>
      </c>
      <c r="AN178" s="180">
        <f t="shared" si="93"/>
        <v>0.1180436369</v>
      </c>
      <c r="AO178" s="180">
        <f t="shared" si="93"/>
        <v>0.1103661525</v>
      </c>
      <c r="AP178" s="180">
        <f t="shared" si="93"/>
        <v>0.1054256502</v>
      </c>
      <c r="AQ178" s="180">
        <f t="shared" si="93"/>
        <v>0.09903066757</v>
      </c>
      <c r="AR178" s="180">
        <f t="shared" si="93"/>
        <v>0.09465142814</v>
      </c>
      <c r="AS178" s="180">
        <f t="shared" si="93"/>
        <v>0.08770762311</v>
      </c>
      <c r="AT178" s="180">
        <f t="shared" si="93"/>
        <v>0.08954443274</v>
      </c>
      <c r="AU178" s="180">
        <f t="shared" si="93"/>
        <v>0.08655284311</v>
      </c>
      <c r="AV178" s="180">
        <f t="shared" si="93"/>
        <v>0.08692261589</v>
      </c>
      <c r="AW178" s="180">
        <f t="shared" si="93"/>
        <v>0.08726447171</v>
      </c>
      <c r="AX178" s="180">
        <f t="shared" si="93"/>
        <v>0.08524260519</v>
      </c>
      <c r="AY178" s="180">
        <f t="shared" si="93"/>
        <v>0.0868789431</v>
      </c>
      <c r="AZ178" s="180">
        <f t="shared" si="93"/>
        <v>0.1012603554</v>
      </c>
      <c r="BA178" s="180">
        <f t="shared" si="93"/>
        <v>0.1071950469</v>
      </c>
      <c r="BB178" s="180">
        <f t="shared" si="93"/>
        <v>0.1095088637</v>
      </c>
      <c r="BC178" s="180">
        <f t="shared" si="93"/>
        <v>0.1083048046</v>
      </c>
      <c r="BD178" s="180">
        <f t="shared" si="93"/>
        <v>0.1127977685</v>
      </c>
      <c r="BE178" s="180">
        <f t="shared" si="93"/>
        <v>0.112937231</v>
      </c>
      <c r="BF178" s="180">
        <f t="shared" si="93"/>
        <v>0.1193473964</v>
      </c>
      <c r="BG178" s="180">
        <f t="shared" si="93"/>
        <v>0.1223501282</v>
      </c>
      <c r="BH178" s="180">
        <f t="shared" si="93"/>
        <v>0.1274510429</v>
      </c>
      <c r="BI178" s="180">
        <f t="shared" si="93"/>
        <v>0.1290888558</v>
      </c>
      <c r="BJ178" s="180">
        <f t="shared" si="93"/>
        <v>0.1322010938</v>
      </c>
      <c r="BK178" s="180">
        <f t="shared" si="93"/>
        <v>0.1308241647</v>
      </c>
      <c r="BL178" s="180">
        <f t="shared" si="93"/>
        <v>0.136468174</v>
      </c>
      <c r="BM178" s="180">
        <f t="shared" si="93"/>
        <v>0.1430752225</v>
      </c>
      <c r="BN178" s="180">
        <f t="shared" si="93"/>
        <v>0.1451799084</v>
      </c>
      <c r="BO178" s="180">
        <f t="shared" si="93"/>
        <v>0.1519244964</v>
      </c>
      <c r="BP178" s="180">
        <f t="shared" si="93"/>
        <v>0.1546741246</v>
      </c>
      <c r="BQ178" s="180">
        <f t="shared" si="93"/>
        <v>0.1552603838</v>
      </c>
      <c r="BR178" s="180">
        <f t="shared" si="93"/>
        <v>0.1573818005</v>
      </c>
      <c r="BS178" s="180">
        <f t="shared" si="93"/>
        <v>0.1566555164</v>
      </c>
      <c r="BT178" s="180">
        <f t="shared" si="93"/>
        <v>0.1625237673</v>
      </c>
      <c r="BU178" s="180">
        <f t="shared" si="93"/>
        <v>0.1645481037</v>
      </c>
      <c r="BV178" s="180">
        <f t="shared" si="93"/>
        <v>0.1625695709</v>
      </c>
      <c r="BW178" s="180">
        <f t="shared" si="93"/>
        <v>0.1671577542</v>
      </c>
      <c r="BX178" s="180">
        <f t="shared" si="93"/>
        <v>0.1820208964</v>
      </c>
      <c r="BY178" s="180">
        <f t="shared" si="93"/>
        <v>0.2192688186</v>
      </c>
      <c r="BZ178" s="180">
        <f t="shared" si="93"/>
        <v>0.2336589356</v>
      </c>
      <c r="CA178" s="180">
        <f t="shared" si="93"/>
        <v>0.2339826689</v>
      </c>
      <c r="CB178" s="180">
        <f t="shared" si="93"/>
        <v>0.2412181749</v>
      </c>
      <c r="CC178" s="180">
        <f t="shared" si="93"/>
        <v>0.2398611903</v>
      </c>
      <c r="CD178" s="180">
        <f t="shared" si="93"/>
        <v>0.2424542818</v>
      </c>
      <c r="CE178" s="180">
        <f t="shared" si="93"/>
        <v>0.2437238937</v>
      </c>
      <c r="CF178" s="180">
        <f t="shared" si="93"/>
        <v>0.2514123746</v>
      </c>
      <c r="CG178" s="180">
        <f t="shared" si="93"/>
        <v>0.2500793902</v>
      </c>
      <c r="CH178" s="180">
        <f t="shared" si="93"/>
        <v>0.2549175857</v>
      </c>
      <c r="CI178" s="180">
        <f t="shared" si="93"/>
        <v>0.2523686235</v>
      </c>
      <c r="CJ178" s="180">
        <f t="shared" si="93"/>
        <v>0.2630923122</v>
      </c>
      <c r="CK178" s="180">
        <f t="shared" si="93"/>
        <v>0.2685334348</v>
      </c>
      <c r="CL178" s="180">
        <f t="shared" si="93"/>
        <v>0.2693225455</v>
      </c>
      <c r="CM178" s="180">
        <f t="shared" si="93"/>
        <v>0.2712601117</v>
      </c>
      <c r="CN178" s="180">
        <f t="shared" si="93"/>
        <v>0.2782357183</v>
      </c>
      <c r="CO178" s="180">
        <f t="shared" si="93"/>
        <v>0.2812471087</v>
      </c>
      <c r="CP178" s="180">
        <f t="shared" si="93"/>
        <v>0.2818314919</v>
      </c>
      <c r="CQ178" s="180">
        <f t="shared" si="93"/>
        <v>0.2800434891</v>
      </c>
      <c r="CR178" s="180">
        <f t="shared" si="93"/>
        <v>0.2898572159</v>
      </c>
      <c r="CS178" s="180">
        <f t="shared" si="93"/>
        <v>0.288045655</v>
      </c>
      <c r="CT178" s="180">
        <f t="shared" si="93"/>
        <v>0.2908972278</v>
      </c>
      <c r="CU178" s="180">
        <f t="shared" si="93"/>
        <v>0.292562381</v>
      </c>
      <c r="CV178" s="144"/>
      <c r="CW178" s="144"/>
      <c r="CX178" s="144"/>
      <c r="CY178" s="144"/>
      <c r="CZ178" s="144"/>
      <c r="DA178" s="144"/>
      <c r="DB178" s="144"/>
      <c r="DC178" s="144"/>
    </row>
    <row r="179" ht="15.75" customHeight="1">
      <c r="A179" s="179">
        <v>0.09</v>
      </c>
      <c r="B179" s="179">
        <v>0.09</v>
      </c>
      <c r="C179" s="180" t="s">
        <v>119</v>
      </c>
      <c r="D179" s="180"/>
      <c r="E179" s="180"/>
      <c r="F179" s="180"/>
      <c r="G179" s="180"/>
      <c r="H179" s="180"/>
      <c r="I179" s="180"/>
      <c r="J179" s="180"/>
      <c r="K179" s="180"/>
      <c r="L179" s="180"/>
      <c r="M179" s="180"/>
      <c r="N179" s="180"/>
      <c r="O179" s="180"/>
      <c r="P179" s="180">
        <v>0.134</v>
      </c>
      <c r="Q179" s="180">
        <v>0.117</v>
      </c>
      <c r="R179" s="180">
        <v>0.112</v>
      </c>
      <c r="S179" s="180">
        <v>0.126</v>
      </c>
      <c r="T179" s="180">
        <v>0.085</v>
      </c>
      <c r="U179" s="180">
        <v>0.084</v>
      </c>
      <c r="V179" s="180">
        <v>0.078</v>
      </c>
      <c r="W179" s="180">
        <v>0.073</v>
      </c>
      <c r="X179" s="180">
        <v>0.053</v>
      </c>
      <c r="Y179" s="180">
        <v>0.065</v>
      </c>
      <c r="Z179" s="180">
        <v>0.059</v>
      </c>
      <c r="AA179" s="180">
        <v>0.084</v>
      </c>
      <c r="AB179" s="180">
        <v>0.065</v>
      </c>
      <c r="AC179" s="180">
        <v>0.055</v>
      </c>
      <c r="AD179" s="180">
        <v>0.077</v>
      </c>
      <c r="AE179" s="180">
        <v>0.076</v>
      </c>
      <c r="AF179" s="180">
        <v>0.108</v>
      </c>
      <c r="AG179" s="180">
        <v>0.091</v>
      </c>
      <c r="AH179" s="180">
        <f t="shared" ref="AH179:CU179" si="94">AH119/AH$176</f>
        <v>0.03741181022</v>
      </c>
      <c r="AI179" s="180">
        <f t="shared" si="94"/>
        <v>0.0242865565</v>
      </c>
      <c r="AJ179" s="180">
        <f t="shared" si="94"/>
        <v>0.02326722135</v>
      </c>
      <c r="AK179" s="180">
        <f t="shared" si="94"/>
        <v>0.03872775306</v>
      </c>
      <c r="AL179" s="180">
        <f t="shared" si="94"/>
        <v>0.03317332445</v>
      </c>
      <c r="AM179" s="180">
        <f t="shared" si="94"/>
        <v>0.1915459183</v>
      </c>
      <c r="AN179" s="180">
        <f t="shared" si="94"/>
        <v>0.1850594257</v>
      </c>
      <c r="AO179" s="180">
        <f t="shared" si="94"/>
        <v>0.2167101429</v>
      </c>
      <c r="AP179" s="180">
        <f t="shared" si="94"/>
        <v>0.194145608</v>
      </c>
      <c r="AQ179" s="180">
        <f t="shared" si="94"/>
        <v>0.2000903962</v>
      </c>
      <c r="AR179" s="180">
        <f t="shared" si="94"/>
        <v>0.2082717004</v>
      </c>
      <c r="AS179" s="180">
        <f t="shared" si="94"/>
        <v>0.1793332099</v>
      </c>
      <c r="AT179" s="180">
        <f t="shared" si="94"/>
        <v>0.1860621124</v>
      </c>
      <c r="AU179" s="180">
        <f t="shared" si="94"/>
        <v>0.1579164945</v>
      </c>
      <c r="AV179" s="180">
        <f t="shared" si="94"/>
        <v>0.1662987268</v>
      </c>
      <c r="AW179" s="180">
        <f t="shared" si="94"/>
        <v>0.1471552129</v>
      </c>
      <c r="AX179" s="180">
        <f t="shared" si="94"/>
        <v>0.1406029667</v>
      </c>
      <c r="AY179" s="180">
        <f t="shared" si="94"/>
        <v>0.1346654469</v>
      </c>
      <c r="AZ179" s="180">
        <f t="shared" si="94"/>
        <v>0.1542464032</v>
      </c>
      <c r="BA179" s="180">
        <f t="shared" si="94"/>
        <v>0.1261830128</v>
      </c>
      <c r="BB179" s="180">
        <f t="shared" si="94"/>
        <v>0.1245447262</v>
      </c>
      <c r="BC179" s="180">
        <f t="shared" si="94"/>
        <v>0.1230055755</v>
      </c>
      <c r="BD179" s="180">
        <f t="shared" si="94"/>
        <v>0.1360210209</v>
      </c>
      <c r="BE179" s="180">
        <f t="shared" si="94"/>
        <v>0.1238278996</v>
      </c>
      <c r="BF179" s="180">
        <f t="shared" si="94"/>
        <v>0.1340249188</v>
      </c>
      <c r="BG179" s="180">
        <f t="shared" si="94"/>
        <v>0.1203853512</v>
      </c>
      <c r="BH179" s="180">
        <f t="shared" si="94"/>
        <v>0.1332162476</v>
      </c>
      <c r="BI179" s="180">
        <f t="shared" si="94"/>
        <v>0.121544848</v>
      </c>
      <c r="BJ179" s="180">
        <f t="shared" si="94"/>
        <v>0.1201427705</v>
      </c>
      <c r="BK179" s="180">
        <f t="shared" si="94"/>
        <v>0.1187961571</v>
      </c>
      <c r="BL179" s="180">
        <f t="shared" si="94"/>
        <v>0.1424147324</v>
      </c>
      <c r="BM179" s="180">
        <f t="shared" si="94"/>
        <v>0.1179956521</v>
      </c>
      <c r="BN179" s="180">
        <f t="shared" si="94"/>
        <v>0.1159617429</v>
      </c>
      <c r="BO179" s="180">
        <f t="shared" si="94"/>
        <v>0.114054138</v>
      </c>
      <c r="BP179" s="180">
        <f t="shared" si="94"/>
        <v>0.1257740846</v>
      </c>
      <c r="BQ179" s="180">
        <f t="shared" si="94"/>
        <v>0.114442649</v>
      </c>
      <c r="BR179" s="180">
        <f t="shared" si="94"/>
        <v>0.1248794357</v>
      </c>
      <c r="BS179" s="180">
        <f t="shared" si="94"/>
        <v>0.111198856</v>
      </c>
      <c r="BT179" s="180">
        <f t="shared" si="94"/>
        <v>0.122800041</v>
      </c>
      <c r="BU179" s="180">
        <f t="shared" si="94"/>
        <v>0.1120974197</v>
      </c>
      <c r="BV179" s="180">
        <f t="shared" si="94"/>
        <v>0.1106564034</v>
      </c>
      <c r="BW179" s="180">
        <f t="shared" si="94"/>
        <v>0.1092753863</v>
      </c>
      <c r="BX179" s="180">
        <f t="shared" si="94"/>
        <v>0.1308069671</v>
      </c>
      <c r="BY179" s="180">
        <f t="shared" si="94"/>
        <v>0.1097011768</v>
      </c>
      <c r="BZ179" s="180">
        <f t="shared" si="94"/>
        <v>0.1082128489</v>
      </c>
      <c r="CA179" s="180">
        <f t="shared" si="94"/>
        <v>0.106802081</v>
      </c>
      <c r="CB179" s="180">
        <f t="shared" si="94"/>
        <v>0.1186229152</v>
      </c>
      <c r="CC179" s="180">
        <f t="shared" si="94"/>
        <v>0.1079060264</v>
      </c>
      <c r="CD179" s="180">
        <f t="shared" si="94"/>
        <v>0.1162876175</v>
      </c>
      <c r="CE179" s="180">
        <f t="shared" si="94"/>
        <v>0.1055498662</v>
      </c>
      <c r="CF179" s="180">
        <f t="shared" si="94"/>
        <v>0.1172562842</v>
      </c>
      <c r="CG179" s="180">
        <f t="shared" si="94"/>
        <v>0.1068088968</v>
      </c>
      <c r="CH179" s="180">
        <f t="shared" si="94"/>
        <v>0.1057136968</v>
      </c>
      <c r="CI179" s="180">
        <f t="shared" si="94"/>
        <v>0.1046458073</v>
      </c>
      <c r="CJ179" s="180">
        <f t="shared" si="94"/>
        <v>0.1255373946</v>
      </c>
      <c r="CK179" s="180">
        <f t="shared" si="94"/>
        <v>0.107154771</v>
      </c>
      <c r="CL179" s="180">
        <f t="shared" si="94"/>
        <v>0.1061457928</v>
      </c>
      <c r="CM179" s="180">
        <f t="shared" si="94"/>
        <v>0.1047090968</v>
      </c>
      <c r="CN179" s="180">
        <f t="shared" si="94"/>
        <v>0.1165902675</v>
      </c>
      <c r="CO179" s="180">
        <f t="shared" si="94"/>
        <v>0.1068341513</v>
      </c>
      <c r="CP179" s="180">
        <f t="shared" si="94"/>
        <v>0.1132535236</v>
      </c>
      <c r="CQ179" s="180">
        <f t="shared" si="94"/>
        <v>0.1053854802</v>
      </c>
      <c r="CR179" s="180">
        <f t="shared" si="94"/>
        <v>0.117209693</v>
      </c>
      <c r="CS179" s="180">
        <f t="shared" si="94"/>
        <v>0.1076066176</v>
      </c>
      <c r="CT179" s="180">
        <f t="shared" si="94"/>
        <v>0.1069277788</v>
      </c>
      <c r="CU179" s="180">
        <f t="shared" si="94"/>
        <v>0.1062597229</v>
      </c>
      <c r="CV179" s="144"/>
      <c r="CW179" s="144"/>
      <c r="CX179" s="144"/>
      <c r="CY179" s="144"/>
      <c r="CZ179" s="144"/>
      <c r="DA179" s="144"/>
      <c r="DB179" s="144"/>
      <c r="DC179" s="144"/>
    </row>
    <row r="180" ht="15.75" customHeight="1">
      <c r="A180" s="179">
        <v>0.08</v>
      </c>
      <c r="B180" s="179">
        <v>0.1</v>
      </c>
      <c r="C180" s="180" t="s">
        <v>120</v>
      </c>
      <c r="D180" s="180"/>
      <c r="E180" s="180"/>
      <c r="F180" s="180"/>
      <c r="G180" s="180"/>
      <c r="H180" s="180"/>
      <c r="I180" s="180"/>
      <c r="J180" s="180"/>
      <c r="K180" s="180"/>
      <c r="L180" s="180"/>
      <c r="M180" s="180"/>
      <c r="N180" s="180"/>
      <c r="O180" s="180"/>
      <c r="P180" s="180">
        <v>0.14</v>
      </c>
      <c r="Q180" s="180">
        <v>0.111</v>
      </c>
      <c r="R180" s="180">
        <v>0.092</v>
      </c>
      <c r="S180" s="180">
        <v>0.136</v>
      </c>
      <c r="T180" s="180">
        <v>0.132</v>
      </c>
      <c r="U180" s="180">
        <v>0.145</v>
      </c>
      <c r="V180" s="180">
        <v>0.163</v>
      </c>
      <c r="W180" s="180">
        <v>0.119</v>
      </c>
      <c r="X180" s="180">
        <v>0.077</v>
      </c>
      <c r="Y180" s="180">
        <v>0.09</v>
      </c>
      <c r="Z180" s="180">
        <v>0.072</v>
      </c>
      <c r="AA180" s="180">
        <v>0.096</v>
      </c>
      <c r="AB180" s="180">
        <v>0.111</v>
      </c>
      <c r="AC180" s="180">
        <v>0.107</v>
      </c>
      <c r="AD180" s="180">
        <v>0.089</v>
      </c>
      <c r="AE180" s="180">
        <v>0.114</v>
      </c>
      <c r="AF180" s="180">
        <v>0.103</v>
      </c>
      <c r="AG180" s="180">
        <v>0.116</v>
      </c>
      <c r="AH180" s="180">
        <f t="shared" ref="AH180:CU180" si="95">AH132/AH$176</f>
        <v>0.04891558109</v>
      </c>
      <c r="AI180" s="180">
        <f t="shared" si="95"/>
        <v>0.04210610045</v>
      </c>
      <c r="AJ180" s="180">
        <f t="shared" si="95"/>
        <v>0.04499399598</v>
      </c>
      <c r="AK180" s="180">
        <f t="shared" si="95"/>
        <v>0.03931517293</v>
      </c>
      <c r="AL180" s="180">
        <f t="shared" si="95"/>
        <v>0.03784831341</v>
      </c>
      <c r="AM180" s="180">
        <f t="shared" si="95"/>
        <v>0.2352224403</v>
      </c>
      <c r="AN180" s="180">
        <f t="shared" si="95"/>
        <v>0.3994033129</v>
      </c>
      <c r="AO180" s="180">
        <f t="shared" si="95"/>
        <v>0.4086135183</v>
      </c>
      <c r="AP180" s="180">
        <f t="shared" si="95"/>
        <v>0.343065346</v>
      </c>
      <c r="AQ180" s="180">
        <f t="shared" si="95"/>
        <v>0.3101682262</v>
      </c>
      <c r="AR180" s="180">
        <f t="shared" si="95"/>
        <v>0.3041850403</v>
      </c>
      <c r="AS180" s="180">
        <f t="shared" si="95"/>
        <v>0.2702914803</v>
      </c>
      <c r="AT180" s="180">
        <f t="shared" si="95"/>
        <v>0.2722921096</v>
      </c>
      <c r="AU180" s="180">
        <f t="shared" si="95"/>
        <v>0.2397269416</v>
      </c>
      <c r="AV180" s="180">
        <f t="shared" si="95"/>
        <v>0.2411397243</v>
      </c>
      <c r="AW180" s="180">
        <f t="shared" si="95"/>
        <v>0.2208022975</v>
      </c>
      <c r="AX180" s="180">
        <f t="shared" si="95"/>
        <v>0.2106143384</v>
      </c>
      <c r="AY180" s="180">
        <f t="shared" si="95"/>
        <v>0.1984962328</v>
      </c>
      <c r="AZ180" s="180">
        <f t="shared" si="95"/>
        <v>0.2182253325</v>
      </c>
      <c r="BA180" s="180">
        <f t="shared" si="95"/>
        <v>0.195128162</v>
      </c>
      <c r="BB180" s="180">
        <f t="shared" si="95"/>
        <v>0.1937597634</v>
      </c>
      <c r="BC180" s="180">
        <f t="shared" si="95"/>
        <v>0.1918216711</v>
      </c>
      <c r="BD180" s="180">
        <f t="shared" si="95"/>
        <v>0.203044685</v>
      </c>
      <c r="BE180" s="180">
        <f t="shared" si="95"/>
        <v>0.1924443447</v>
      </c>
      <c r="BF180" s="180">
        <f t="shared" si="95"/>
        <v>0.2033485937</v>
      </c>
      <c r="BG180" s="180">
        <f t="shared" si="95"/>
        <v>0.1890872883</v>
      </c>
      <c r="BH180" s="180">
        <f t="shared" si="95"/>
        <v>0.2002095339</v>
      </c>
      <c r="BI180" s="180">
        <f t="shared" si="95"/>
        <v>0.1902118899</v>
      </c>
      <c r="BJ180" s="180">
        <f t="shared" si="95"/>
        <v>0.1884652881</v>
      </c>
      <c r="BK180" s="180">
        <f t="shared" si="95"/>
        <v>0.1867997855</v>
      </c>
      <c r="BL180" s="180">
        <f t="shared" si="95"/>
        <v>0.2089179689</v>
      </c>
      <c r="BM180" s="180">
        <f t="shared" si="95"/>
        <v>0.1866229311</v>
      </c>
      <c r="BN180" s="180">
        <f t="shared" si="95"/>
        <v>0.1848515252</v>
      </c>
      <c r="BO180" s="180">
        <f t="shared" si="95"/>
        <v>0.1832260762</v>
      </c>
      <c r="BP180" s="180">
        <f t="shared" si="95"/>
        <v>0.194024861</v>
      </c>
      <c r="BQ180" s="180">
        <f t="shared" si="95"/>
        <v>0.1849757849</v>
      </c>
      <c r="BR180" s="180">
        <f t="shared" si="95"/>
        <v>0.1957395111</v>
      </c>
      <c r="BS180" s="180">
        <f t="shared" si="95"/>
        <v>0.1823985384</v>
      </c>
      <c r="BT180" s="180">
        <f t="shared" si="95"/>
        <v>0.1931680258</v>
      </c>
      <c r="BU180" s="180">
        <f t="shared" si="95"/>
        <v>0.1846561427</v>
      </c>
      <c r="BV180" s="180">
        <f t="shared" si="95"/>
        <v>0.1835754899</v>
      </c>
      <c r="BW180" s="180">
        <f t="shared" si="95"/>
        <v>0.1825625619</v>
      </c>
      <c r="BX180" s="180">
        <f t="shared" si="95"/>
        <v>0.2025532217</v>
      </c>
      <c r="BY180" s="180">
        <f t="shared" si="95"/>
        <v>0.1834523426</v>
      </c>
      <c r="BZ180" s="180">
        <f t="shared" si="95"/>
        <v>0.1824677948</v>
      </c>
      <c r="CA180" s="180">
        <f t="shared" si="95"/>
        <v>0.1815574804</v>
      </c>
      <c r="CB180" s="180">
        <f t="shared" si="95"/>
        <v>0.1924712276</v>
      </c>
      <c r="CC180" s="180">
        <f t="shared" si="95"/>
        <v>0.1839850572</v>
      </c>
      <c r="CD180" s="180">
        <f t="shared" si="95"/>
        <v>0.1926968572</v>
      </c>
      <c r="CE180" s="180">
        <f t="shared" si="95"/>
        <v>0.182288188</v>
      </c>
      <c r="CF180" s="180">
        <f t="shared" si="95"/>
        <v>0.1931061194</v>
      </c>
      <c r="CG180" s="180">
        <f t="shared" si="95"/>
        <v>0.1848418132</v>
      </c>
      <c r="CH180" s="180">
        <f t="shared" si="95"/>
        <v>0.1840630408</v>
      </c>
      <c r="CI180" s="180">
        <f t="shared" si="95"/>
        <v>0.1833091566</v>
      </c>
      <c r="CJ180" s="180">
        <f t="shared" si="95"/>
        <v>0.2018069499</v>
      </c>
      <c r="CK180" s="180">
        <f t="shared" si="95"/>
        <v>0.1858952175</v>
      </c>
      <c r="CL180" s="180">
        <f t="shared" si="95"/>
        <v>0.1859441973</v>
      </c>
      <c r="CM180" s="180">
        <f t="shared" si="95"/>
        <v>0.1859298503</v>
      </c>
      <c r="CN180" s="180">
        <f t="shared" si="95"/>
        <v>0.1972812891</v>
      </c>
      <c r="CO180" s="180">
        <f t="shared" si="95"/>
        <v>0.1899510288</v>
      </c>
      <c r="CP180" s="180">
        <f t="shared" si="95"/>
        <v>0.1969771595</v>
      </c>
      <c r="CQ180" s="180">
        <f t="shared" si="95"/>
        <v>0.1897093096</v>
      </c>
      <c r="CR180" s="180">
        <f t="shared" si="95"/>
        <v>0.2009983754</v>
      </c>
      <c r="CS180" s="180">
        <f t="shared" si="95"/>
        <v>0.1937642403</v>
      </c>
      <c r="CT180" s="180">
        <f t="shared" si="95"/>
        <v>0.1936679001</v>
      </c>
      <c r="CU180" s="180">
        <f t="shared" si="95"/>
        <v>0.1935788021</v>
      </c>
      <c r="CV180" s="144"/>
      <c r="CW180" s="144"/>
      <c r="CX180" s="144"/>
      <c r="CY180" s="144"/>
      <c r="CZ180" s="144"/>
      <c r="DA180" s="144"/>
      <c r="DB180" s="144"/>
      <c r="DC180" s="144"/>
    </row>
    <row r="181" ht="15.75" customHeight="1">
      <c r="A181" s="179">
        <v>0.03</v>
      </c>
      <c r="B181" s="179">
        <v>0.03</v>
      </c>
      <c r="C181" s="180" t="s">
        <v>121</v>
      </c>
      <c r="D181" s="180"/>
      <c r="E181" s="180"/>
      <c r="F181" s="180"/>
      <c r="G181" s="180"/>
      <c r="H181" s="180"/>
      <c r="I181" s="180"/>
      <c r="J181" s="180"/>
      <c r="K181" s="180"/>
      <c r="L181" s="180"/>
      <c r="M181" s="180"/>
      <c r="N181" s="180"/>
      <c r="O181" s="180"/>
      <c r="P181" s="180">
        <v>0.0</v>
      </c>
      <c r="Q181" s="180">
        <v>0.0</v>
      </c>
      <c r="R181" s="180">
        <v>0.0</v>
      </c>
      <c r="S181" s="180">
        <v>0.0</v>
      </c>
      <c r="T181" s="180">
        <v>0.0</v>
      </c>
      <c r="U181" s="180">
        <v>0.026</v>
      </c>
      <c r="V181" s="180">
        <v>0.015</v>
      </c>
      <c r="W181" s="180">
        <v>0.013</v>
      </c>
      <c r="X181" s="180">
        <v>0.009</v>
      </c>
      <c r="Y181" s="180">
        <v>0.01</v>
      </c>
      <c r="Z181" s="180">
        <v>0.017</v>
      </c>
      <c r="AA181" s="180">
        <v>0.023</v>
      </c>
      <c r="AB181" s="180">
        <v>0.024</v>
      </c>
      <c r="AC181" s="180">
        <v>0.024</v>
      </c>
      <c r="AD181" s="180">
        <v>0.039</v>
      </c>
      <c r="AE181" s="180">
        <v>0.043</v>
      </c>
      <c r="AF181" s="180">
        <v>0.037</v>
      </c>
      <c r="AG181" s="180">
        <v>0.037</v>
      </c>
      <c r="AH181" s="180">
        <f t="shared" ref="AH181:CU181" si="96">AH145/AH$176</f>
        <v>0.02298412017</v>
      </c>
      <c r="AI181" s="180">
        <f t="shared" si="96"/>
        <v>0.02307670712</v>
      </c>
      <c r="AJ181" s="180">
        <f t="shared" si="96"/>
        <v>0.02694059428</v>
      </c>
      <c r="AK181" s="180">
        <f t="shared" si="96"/>
        <v>0.02954120291</v>
      </c>
      <c r="AL181" s="180">
        <f t="shared" si="96"/>
        <v>0.02903152868</v>
      </c>
      <c r="AM181" s="180">
        <f t="shared" si="96"/>
        <v>0.0272094542</v>
      </c>
      <c r="AN181" s="180">
        <f t="shared" si="96"/>
        <v>0.02251647647</v>
      </c>
      <c r="AO181" s="180">
        <f t="shared" si="96"/>
        <v>0.01709089438</v>
      </c>
      <c r="AP181" s="180">
        <f t="shared" si="96"/>
        <v>0.01611824844</v>
      </c>
      <c r="AQ181" s="180">
        <f t="shared" si="96"/>
        <v>0.0299076192</v>
      </c>
      <c r="AR181" s="180">
        <f t="shared" si="96"/>
        <v>0.03217722617</v>
      </c>
      <c r="AS181" s="180">
        <f t="shared" si="96"/>
        <v>0.02612168548</v>
      </c>
      <c r="AT181" s="180">
        <f t="shared" si="96"/>
        <v>0.02438038107</v>
      </c>
      <c r="AU181" s="180">
        <f t="shared" si="96"/>
        <v>0.03460370232</v>
      </c>
      <c r="AV181" s="180">
        <f t="shared" si="96"/>
        <v>0.03723031952</v>
      </c>
      <c r="AW181" s="180">
        <f t="shared" si="96"/>
        <v>0.0323501607</v>
      </c>
      <c r="AX181" s="180">
        <f t="shared" si="96"/>
        <v>0.04088696506</v>
      </c>
      <c r="AY181" s="180">
        <f t="shared" si="96"/>
        <v>0.03905611695</v>
      </c>
      <c r="AZ181" s="180">
        <f t="shared" si="96"/>
        <v>0.04156985873</v>
      </c>
      <c r="BA181" s="180">
        <f t="shared" si="96"/>
        <v>0.03819267248</v>
      </c>
      <c r="BB181" s="180">
        <f t="shared" si="96"/>
        <v>0.03779616194</v>
      </c>
      <c r="BC181" s="180">
        <f t="shared" si="96"/>
        <v>0.03729114902</v>
      </c>
      <c r="BD181" s="180">
        <f t="shared" si="96"/>
        <v>0.04116108061</v>
      </c>
      <c r="BE181" s="180">
        <f t="shared" si="96"/>
        <v>0.03759338134</v>
      </c>
      <c r="BF181" s="180">
        <f t="shared" si="96"/>
        <v>0.03706837686</v>
      </c>
      <c r="BG181" s="180">
        <f t="shared" si="96"/>
        <v>0.03645378269</v>
      </c>
      <c r="BH181" s="180">
        <f t="shared" si="96"/>
        <v>0.04023750894</v>
      </c>
      <c r="BI181" s="180">
        <f t="shared" si="96"/>
        <v>0.03684105525</v>
      </c>
      <c r="BJ181" s="180">
        <f t="shared" si="96"/>
        <v>0.03638038356</v>
      </c>
      <c r="BK181" s="180">
        <f t="shared" si="96"/>
        <v>0.03593706782</v>
      </c>
      <c r="BL181" s="180">
        <f t="shared" si="96"/>
        <v>0.03911339175</v>
      </c>
      <c r="BM181" s="180">
        <f t="shared" si="96"/>
        <v>0.03563375298</v>
      </c>
      <c r="BN181" s="180">
        <f t="shared" si="96"/>
        <v>0.03498581246</v>
      </c>
      <c r="BO181" s="180">
        <f t="shared" si="96"/>
        <v>0.03437690607</v>
      </c>
      <c r="BP181" s="180">
        <f t="shared" si="96"/>
        <v>0.03779256733</v>
      </c>
      <c r="BQ181" s="180">
        <f t="shared" si="96"/>
        <v>0.03451456332</v>
      </c>
      <c r="BR181" s="180">
        <f t="shared" si="96"/>
        <v>0.04215796201</v>
      </c>
      <c r="BS181" s="180">
        <f t="shared" si="96"/>
        <v>0.04152213693</v>
      </c>
      <c r="BT181" s="180">
        <f t="shared" si="96"/>
        <v>0.04510926394</v>
      </c>
      <c r="BU181" s="180">
        <f t="shared" si="96"/>
        <v>0.04187857424</v>
      </c>
      <c r="BV181" s="180">
        <f t="shared" si="96"/>
        <v>0.04130056034</v>
      </c>
      <c r="BW181" s="180">
        <f t="shared" si="96"/>
        <v>0.04074568949</v>
      </c>
      <c r="BX181" s="180">
        <f t="shared" si="96"/>
        <v>0.04403680498</v>
      </c>
      <c r="BY181" s="180">
        <f t="shared" si="96"/>
        <v>0.0408868217</v>
      </c>
      <c r="BZ181" s="180">
        <f t="shared" si="96"/>
        <v>0.04035443877</v>
      </c>
      <c r="CA181" s="180">
        <f t="shared" si="96"/>
        <v>0.0398459313</v>
      </c>
      <c r="CB181" s="180">
        <f t="shared" si="96"/>
        <v>0.05093491623</v>
      </c>
      <c r="CC181" s="180">
        <f t="shared" si="96"/>
        <v>0.04763277567</v>
      </c>
      <c r="CD181" s="180">
        <f t="shared" si="96"/>
        <v>0.04706187433</v>
      </c>
      <c r="CE181" s="180">
        <f t="shared" si="96"/>
        <v>0.0465063676</v>
      </c>
      <c r="CF181" s="180">
        <f t="shared" si="96"/>
        <v>0.05039819987</v>
      </c>
      <c r="CG181" s="180">
        <f t="shared" si="96"/>
        <v>0.04718662871</v>
      </c>
      <c r="CH181" s="180">
        <f t="shared" si="96"/>
        <v>0.04665212921</v>
      </c>
      <c r="CI181" s="180">
        <f t="shared" si="96"/>
        <v>0.04613015865</v>
      </c>
      <c r="CJ181" s="180">
        <f t="shared" si="96"/>
        <v>0.04977402135</v>
      </c>
      <c r="CK181" s="180">
        <f t="shared" si="96"/>
        <v>0.04685602258</v>
      </c>
      <c r="CL181" s="180">
        <f t="shared" si="96"/>
        <v>0.04654535169</v>
      </c>
      <c r="CM181" s="180">
        <f t="shared" si="96"/>
        <v>0.04622284667</v>
      </c>
      <c r="CN181" s="180">
        <f t="shared" si="96"/>
        <v>0.05025432658</v>
      </c>
      <c r="CO181" s="180">
        <f t="shared" si="96"/>
        <v>0.04732734735</v>
      </c>
      <c r="CP181" s="180">
        <f t="shared" si="96"/>
        <v>0.04699061008</v>
      </c>
      <c r="CQ181" s="180">
        <f t="shared" si="96"/>
        <v>0.04665756471</v>
      </c>
      <c r="CR181" s="180">
        <f t="shared" si="96"/>
        <v>0.05066736669</v>
      </c>
      <c r="CS181" s="180">
        <f t="shared" si="96"/>
        <v>0.04778374109</v>
      </c>
      <c r="CT181" s="180">
        <f t="shared" si="96"/>
        <v>0.04745153101</v>
      </c>
      <c r="CU181" s="180">
        <f t="shared" si="96"/>
        <v>0.04712402863</v>
      </c>
      <c r="CV181" s="144"/>
      <c r="CW181" s="144"/>
      <c r="CX181" s="144"/>
      <c r="CY181" s="144"/>
      <c r="CZ181" s="144"/>
      <c r="DA181" s="144"/>
      <c r="DB181" s="144"/>
      <c r="DC181" s="144"/>
    </row>
    <row r="182" ht="15.75" customHeight="1">
      <c r="A182" s="179">
        <v>0.06</v>
      </c>
      <c r="B182" s="179">
        <v>0.06</v>
      </c>
      <c r="C182" s="180" t="s">
        <v>122</v>
      </c>
      <c r="D182" s="180"/>
      <c r="E182" s="180"/>
      <c r="F182" s="180"/>
      <c r="G182" s="180"/>
      <c r="H182" s="180"/>
      <c r="I182" s="180"/>
      <c r="J182" s="180"/>
      <c r="K182" s="180"/>
      <c r="L182" s="180"/>
      <c r="M182" s="180"/>
      <c r="N182" s="180"/>
      <c r="O182" s="180"/>
      <c r="P182" s="180">
        <v>0.0</v>
      </c>
      <c r="Q182" s="180">
        <v>0.0</v>
      </c>
      <c r="R182" s="180">
        <v>0.0</v>
      </c>
      <c r="S182" s="180">
        <v>0.0</v>
      </c>
      <c r="T182" s="180">
        <v>0.0</v>
      </c>
      <c r="U182" s="180">
        <v>0.068</v>
      </c>
      <c r="V182" s="180">
        <v>0.122</v>
      </c>
      <c r="W182" s="180">
        <v>0.077</v>
      </c>
      <c r="X182" s="180">
        <v>0.048</v>
      </c>
      <c r="Y182" s="180">
        <v>0.06</v>
      </c>
      <c r="Z182" s="180">
        <v>0.058</v>
      </c>
      <c r="AA182" s="180">
        <v>0.052</v>
      </c>
      <c r="AB182" s="180">
        <v>0.075</v>
      </c>
      <c r="AC182" s="180">
        <v>0.08</v>
      </c>
      <c r="AD182" s="180">
        <v>0.083</v>
      </c>
      <c r="AE182" s="180">
        <v>0.082</v>
      </c>
      <c r="AF182" s="180">
        <v>0.07</v>
      </c>
      <c r="AG182" s="180">
        <v>0.07</v>
      </c>
      <c r="AH182" s="180">
        <f t="shared" ref="AH182:CU182" si="97">AH158/AH$176</f>
        <v>0.03984236525</v>
      </c>
      <c r="AI182" s="180">
        <f t="shared" si="97"/>
        <v>0.02844482886</v>
      </c>
      <c r="AJ182" s="180">
        <f t="shared" si="97"/>
        <v>0.03685842564</v>
      </c>
      <c r="AK182" s="180">
        <f t="shared" si="97"/>
        <v>0.03933654805</v>
      </c>
      <c r="AL182" s="180">
        <f t="shared" si="97"/>
        <v>0.04012316915</v>
      </c>
      <c r="AM182" s="180">
        <f t="shared" si="97"/>
        <v>0.1028653527</v>
      </c>
      <c r="AN182" s="180">
        <f t="shared" si="97"/>
        <v>0.08767777425</v>
      </c>
      <c r="AO182" s="180">
        <f t="shared" si="97"/>
        <v>0.07745799733</v>
      </c>
      <c r="AP182" s="180">
        <f t="shared" si="97"/>
        <v>0.06888508931</v>
      </c>
      <c r="AQ182" s="180">
        <f t="shared" si="97"/>
        <v>0.06260618858</v>
      </c>
      <c r="AR182" s="180">
        <f t="shared" si="97"/>
        <v>0.06425129141</v>
      </c>
      <c r="AS182" s="180">
        <f t="shared" si="97"/>
        <v>0.05554201562</v>
      </c>
      <c r="AT182" s="180">
        <f t="shared" si="97"/>
        <v>0.07313083419</v>
      </c>
      <c r="AU182" s="180">
        <f t="shared" si="97"/>
        <v>0.08871532537</v>
      </c>
      <c r="AV182" s="180">
        <f t="shared" si="97"/>
        <v>0.109357429</v>
      </c>
      <c r="AW182" s="180">
        <f t="shared" si="97"/>
        <v>0.1188241626</v>
      </c>
      <c r="AX182" s="180">
        <f t="shared" si="97"/>
        <v>0.130351924</v>
      </c>
      <c r="AY182" s="180">
        <f t="shared" si="97"/>
        <v>0.1407581438</v>
      </c>
      <c r="AZ182" s="180">
        <f t="shared" si="97"/>
        <v>0.1593602783</v>
      </c>
      <c r="BA182" s="180">
        <f t="shared" si="97"/>
        <v>0.1550803593</v>
      </c>
      <c r="BB182" s="180">
        <f t="shared" si="97"/>
        <v>0.1534963128</v>
      </c>
      <c r="BC182" s="180">
        <f t="shared" si="97"/>
        <v>0.1514637436</v>
      </c>
      <c r="BD182" s="180">
        <f t="shared" si="97"/>
        <v>0.1582168363</v>
      </c>
      <c r="BE182" s="180">
        <f t="shared" si="97"/>
        <v>0.152993445</v>
      </c>
      <c r="BF182" s="180">
        <f t="shared" si="97"/>
        <v>0.1512043358</v>
      </c>
      <c r="BG182" s="180">
        <f t="shared" si="97"/>
        <v>0.148725083</v>
      </c>
      <c r="BH182" s="180">
        <f t="shared" si="97"/>
        <v>0.1554200695</v>
      </c>
      <c r="BI182" s="180">
        <f t="shared" si="97"/>
        <v>0.1505652179</v>
      </c>
      <c r="BJ182" s="180">
        <f t="shared" si="97"/>
        <v>0.148699784</v>
      </c>
      <c r="BK182" s="180">
        <f t="shared" si="97"/>
        <v>0.1469058674</v>
      </c>
      <c r="BL182" s="180">
        <f t="shared" si="97"/>
        <v>0.151840294</v>
      </c>
      <c r="BM182" s="180">
        <f t="shared" si="97"/>
        <v>0.1462240391</v>
      </c>
      <c r="BN182" s="180">
        <f t="shared" si="97"/>
        <v>0.1435975868</v>
      </c>
      <c r="BO182" s="180">
        <f t="shared" si="97"/>
        <v>0.1411213853</v>
      </c>
      <c r="BP182" s="180">
        <f t="shared" si="97"/>
        <v>0.1606381803</v>
      </c>
      <c r="BQ182" s="180">
        <f t="shared" si="97"/>
        <v>0.1554015812</v>
      </c>
      <c r="BR182" s="180">
        <f t="shared" si="97"/>
        <v>0.1532695838</v>
      </c>
      <c r="BS182" s="180">
        <f t="shared" si="97"/>
        <v>0.1645872248</v>
      </c>
      <c r="BT182" s="180">
        <f t="shared" si="97"/>
        <v>0.1711797808</v>
      </c>
      <c r="BU182" s="180">
        <f t="shared" si="97"/>
        <v>0.179396444</v>
      </c>
      <c r="BV182" s="180">
        <f t="shared" si="97"/>
        <v>0.1769392857</v>
      </c>
      <c r="BW182" s="180">
        <f t="shared" si="97"/>
        <v>0.174580319</v>
      </c>
      <c r="BX182" s="180">
        <f t="shared" si="97"/>
        <v>0.1938775677</v>
      </c>
      <c r="BY182" s="180">
        <f t="shared" si="97"/>
        <v>0.1885579354</v>
      </c>
      <c r="BZ182" s="180">
        <f t="shared" si="97"/>
        <v>0.1861214465</v>
      </c>
      <c r="CA182" s="180">
        <f t="shared" si="97"/>
        <v>0.1963877069</v>
      </c>
      <c r="CB182" s="180">
        <f t="shared" si="97"/>
        <v>0.2042764321</v>
      </c>
      <c r="CC182" s="180">
        <f t="shared" si="97"/>
        <v>0.1991222818</v>
      </c>
      <c r="CD182" s="180">
        <f t="shared" si="97"/>
        <v>0.2096026603</v>
      </c>
      <c r="CE182" s="180">
        <f t="shared" si="97"/>
        <v>0.2071433806</v>
      </c>
      <c r="CF182" s="180">
        <f t="shared" si="97"/>
        <v>0.2154285115</v>
      </c>
      <c r="CG182" s="180">
        <f t="shared" si="97"/>
        <v>0.2225268309</v>
      </c>
      <c r="CH182" s="180">
        <f t="shared" si="97"/>
        <v>0.2200198442</v>
      </c>
      <c r="CI182" s="180">
        <f t="shared" si="97"/>
        <v>0.2175715112</v>
      </c>
      <c r="CJ182" s="180">
        <f t="shared" si="97"/>
        <v>0.2377202014</v>
      </c>
      <c r="CK182" s="180">
        <f t="shared" si="97"/>
        <v>0.2334885556</v>
      </c>
      <c r="CL182" s="180">
        <f t="shared" si="97"/>
        <v>0.2319500478</v>
      </c>
      <c r="CM182" s="180">
        <f t="shared" si="97"/>
        <v>0.2303478914</v>
      </c>
      <c r="CN182" s="180">
        <f t="shared" si="97"/>
        <v>0.2402877594</v>
      </c>
      <c r="CO182" s="180">
        <f t="shared" si="97"/>
        <v>0.2360140502</v>
      </c>
      <c r="CP182" s="180">
        <f t="shared" si="97"/>
        <v>0.2345421873</v>
      </c>
      <c r="CQ182" s="180">
        <f t="shared" si="97"/>
        <v>0.2328863408</v>
      </c>
      <c r="CR182" s="180">
        <f t="shared" si="97"/>
        <v>0.2428752847</v>
      </c>
      <c r="CS182" s="180">
        <f t="shared" si="97"/>
        <v>0.2386521416</v>
      </c>
      <c r="CT182" s="180">
        <f t="shared" si="97"/>
        <v>0.2369992046</v>
      </c>
      <c r="CU182" s="180">
        <f t="shared" si="97"/>
        <v>0.2353696072</v>
      </c>
      <c r="CV182" s="144"/>
      <c r="CW182" s="144"/>
      <c r="CX182" s="144"/>
      <c r="CY182" s="144"/>
      <c r="CZ182" s="144"/>
      <c r="DA182" s="144"/>
      <c r="DB182" s="144"/>
      <c r="DC182" s="144"/>
    </row>
    <row r="183" ht="15.75" customHeight="1">
      <c r="A183" s="179">
        <v>0.09</v>
      </c>
      <c r="B183" s="179">
        <v>0.05</v>
      </c>
      <c r="C183" s="180" t="s">
        <v>277</v>
      </c>
      <c r="D183" s="180"/>
      <c r="E183" s="180"/>
      <c r="F183" s="180"/>
      <c r="G183" s="180"/>
      <c r="H183" s="180"/>
      <c r="I183" s="180"/>
      <c r="J183" s="180"/>
      <c r="K183" s="180"/>
      <c r="L183" s="180"/>
      <c r="M183" s="180"/>
      <c r="N183" s="180"/>
      <c r="O183" s="180"/>
      <c r="P183" s="180">
        <v>0.233</v>
      </c>
      <c r="Q183" s="180">
        <v>0.254</v>
      </c>
      <c r="R183" s="180">
        <v>0.205</v>
      </c>
      <c r="S183" s="180">
        <v>0.214</v>
      </c>
      <c r="T183" s="180">
        <v>0.242</v>
      </c>
      <c r="U183" s="180">
        <v>0.216</v>
      </c>
      <c r="V183" s="180">
        <v>0.204</v>
      </c>
      <c r="W183" s="180">
        <v>0.16</v>
      </c>
      <c r="X183" s="180">
        <v>0.153</v>
      </c>
      <c r="Y183" s="180">
        <v>0.196</v>
      </c>
      <c r="Z183" s="180">
        <v>0.132</v>
      </c>
      <c r="AA183" s="180">
        <v>0.157</v>
      </c>
      <c r="AB183" s="180">
        <v>0.109</v>
      </c>
      <c r="AC183" s="180">
        <v>0.091</v>
      </c>
      <c r="AD183" s="180">
        <v>0.105</v>
      </c>
      <c r="AE183" s="180">
        <v>0.126</v>
      </c>
      <c r="AF183" s="180">
        <v>0.111</v>
      </c>
      <c r="AG183" s="180">
        <v>0.121</v>
      </c>
      <c r="AH183" s="180">
        <f t="shared" ref="AH183:CU183" si="98">AH171/AH$176</f>
        <v>-0.1100375803</v>
      </c>
      <c r="AI183" s="180">
        <f t="shared" si="98"/>
        <v>-0.0835270652</v>
      </c>
      <c r="AJ183" s="180">
        <f t="shared" si="98"/>
        <v>-0.09014851257</v>
      </c>
      <c r="AK183" s="180">
        <f t="shared" si="98"/>
        <v>-0.1037096911</v>
      </c>
      <c r="AL183" s="180">
        <f t="shared" si="98"/>
        <v>-0.0920766576</v>
      </c>
      <c r="AM183" s="180">
        <f t="shared" si="98"/>
        <v>-0.3856531967</v>
      </c>
      <c r="AN183" s="180">
        <f t="shared" si="98"/>
        <v>-0.5051800374</v>
      </c>
      <c r="AO183" s="180">
        <f t="shared" si="98"/>
        <v>-0.4930243583</v>
      </c>
      <c r="AP183" s="180">
        <f t="shared" si="98"/>
        <v>-0.4616574192</v>
      </c>
      <c r="AQ183" s="180">
        <f t="shared" si="98"/>
        <v>-0.4480691471</v>
      </c>
      <c r="AR183" s="180">
        <f t="shared" si="98"/>
        <v>-0.4204921488</v>
      </c>
      <c r="AS183" s="180">
        <f t="shared" si="98"/>
        <v>-0.391094533</v>
      </c>
      <c r="AT183" s="180">
        <f t="shared" si="98"/>
        <v>-0.3812860137</v>
      </c>
      <c r="AU183" s="180">
        <f t="shared" si="98"/>
        <v>-0.3836686998</v>
      </c>
      <c r="AV183" s="180">
        <f t="shared" si="98"/>
        <v>-0.3852170403</v>
      </c>
      <c r="AW183" s="180">
        <f t="shared" si="98"/>
        <v>-0.3827148604</v>
      </c>
      <c r="AX183" s="180">
        <f t="shared" si="98"/>
        <v>-0.3859786227</v>
      </c>
      <c r="AY183" s="180">
        <f t="shared" si="98"/>
        <v>-0.3781687293</v>
      </c>
      <c r="AZ183" s="180">
        <f t="shared" si="98"/>
        <v>-0.378965966</v>
      </c>
      <c r="BA183" s="180">
        <f t="shared" si="98"/>
        <v>-0.3796641193</v>
      </c>
      <c r="BB183" s="180">
        <f t="shared" si="98"/>
        <v>-0.3762410493</v>
      </c>
      <c r="BC183" s="180">
        <f t="shared" si="98"/>
        <v>-0.371678372</v>
      </c>
      <c r="BD183" s="180">
        <f t="shared" si="98"/>
        <v>-0.3766292061</v>
      </c>
      <c r="BE183" s="180">
        <f t="shared" si="98"/>
        <v>-0.3746650669</v>
      </c>
      <c r="BF183" s="180">
        <f t="shared" si="98"/>
        <v>-0.3696435621</v>
      </c>
      <c r="BG183" s="180">
        <f t="shared" si="98"/>
        <v>-0.3639400281</v>
      </c>
      <c r="BH183" s="180">
        <f t="shared" si="98"/>
        <v>-0.3688647006</v>
      </c>
      <c r="BI183" s="180">
        <f t="shared" si="98"/>
        <v>-0.3674669102</v>
      </c>
      <c r="BJ183" s="180">
        <f t="shared" si="98"/>
        <v>-0.3633281453</v>
      </c>
      <c r="BK183" s="180">
        <f t="shared" si="98"/>
        <v>-0.359361413</v>
      </c>
      <c r="BL183" s="180">
        <f t="shared" si="98"/>
        <v>-0.3577346114</v>
      </c>
      <c r="BM183" s="180">
        <f t="shared" si="98"/>
        <v>-0.3539607659</v>
      </c>
      <c r="BN183" s="180">
        <f t="shared" si="98"/>
        <v>-0.347891862</v>
      </c>
      <c r="BO183" s="180">
        <f t="shared" si="98"/>
        <v>-0.3421938244</v>
      </c>
      <c r="BP183" s="180">
        <f t="shared" si="98"/>
        <v>-0.3559268976</v>
      </c>
      <c r="BQ183" s="180">
        <f t="shared" si="98"/>
        <v>-0.3532237707</v>
      </c>
      <c r="BR183" s="180">
        <f t="shared" si="98"/>
        <v>-0.3545710977</v>
      </c>
      <c r="BS183" s="180">
        <f t="shared" si="98"/>
        <v>-0.3601279509</v>
      </c>
      <c r="BT183" s="180">
        <f t="shared" si="98"/>
        <v>-0.3646439424</v>
      </c>
      <c r="BU183" s="180">
        <f t="shared" si="98"/>
        <v>-0.3726649063</v>
      </c>
      <c r="BV183" s="180">
        <f t="shared" si="98"/>
        <v>-0.3679044909</v>
      </c>
      <c r="BW183" s="180">
        <f t="shared" si="98"/>
        <v>-0.3633469958</v>
      </c>
      <c r="BX183" s="180">
        <f t="shared" si="98"/>
        <v>-0.3753271801</v>
      </c>
      <c r="BY183" s="180">
        <f t="shared" si="98"/>
        <v>-0.3724965222</v>
      </c>
      <c r="BZ183" s="180">
        <f t="shared" si="98"/>
        <v>-0.3680102175</v>
      </c>
      <c r="CA183" s="180">
        <f t="shared" si="98"/>
        <v>-0.3734751227</v>
      </c>
      <c r="CB183" s="180">
        <f t="shared" si="98"/>
        <v>-0.3857622078</v>
      </c>
      <c r="CC183" s="180">
        <f t="shared" si="98"/>
        <v>-0.3841136441</v>
      </c>
      <c r="CD183" s="180">
        <f t="shared" si="98"/>
        <v>-0.3894730478</v>
      </c>
      <c r="CE183" s="180">
        <f t="shared" si="98"/>
        <v>-0.3852467423</v>
      </c>
      <c r="CF183" s="180">
        <f t="shared" si="98"/>
        <v>-0.3922184905</v>
      </c>
      <c r="CG183" s="180">
        <f t="shared" si="98"/>
        <v>-0.4001490467</v>
      </c>
      <c r="CH183" s="180">
        <f t="shared" si="98"/>
        <v>-0.3959907224</v>
      </c>
      <c r="CI183" s="180">
        <f t="shared" si="98"/>
        <v>-0.3919354843</v>
      </c>
      <c r="CJ183" s="180">
        <f t="shared" si="98"/>
        <v>-0.405284721</v>
      </c>
      <c r="CK183" s="180">
        <f t="shared" si="98"/>
        <v>-0.4054296793</v>
      </c>
      <c r="CL183" s="180">
        <f t="shared" si="98"/>
        <v>-0.4031746792</v>
      </c>
      <c r="CM183" s="180">
        <f t="shared" si="98"/>
        <v>-0.4008019276</v>
      </c>
      <c r="CN183" s="180">
        <f t="shared" si="98"/>
        <v>-0.4102884006</v>
      </c>
      <c r="CO183" s="180">
        <f t="shared" si="98"/>
        <v>-0.4103592437</v>
      </c>
      <c r="CP183" s="180">
        <f t="shared" si="98"/>
        <v>-0.4077138033</v>
      </c>
      <c r="CQ183" s="180">
        <f t="shared" si="98"/>
        <v>-0.4052509825</v>
      </c>
      <c r="CR183" s="180">
        <f t="shared" si="98"/>
        <v>-0.4148276238</v>
      </c>
      <c r="CS183" s="180">
        <f t="shared" si="98"/>
        <v>-0.4148831089</v>
      </c>
      <c r="CT183" s="180">
        <f t="shared" si="98"/>
        <v>-0.4124323231</v>
      </c>
      <c r="CU183" s="180">
        <f t="shared" si="98"/>
        <v>-0.4100217128</v>
      </c>
      <c r="CV183" s="144"/>
      <c r="CW183" s="144"/>
      <c r="CX183" s="144"/>
      <c r="CY183" s="144"/>
      <c r="CZ183" s="144"/>
      <c r="DA183" s="144"/>
      <c r="DB183" s="144"/>
      <c r="DC183" s="144"/>
    </row>
    <row r="184" ht="15.75" customHeight="1">
      <c r="A184" s="181">
        <f t="shared" ref="A184:B184" si="99">SUM(A178:A183)</f>
        <v>0.75</v>
      </c>
      <c r="B184" s="181">
        <f t="shared" si="99"/>
        <v>0.7</v>
      </c>
      <c r="C184" s="182" t="s">
        <v>283</v>
      </c>
      <c r="D184" s="182"/>
      <c r="E184" s="182"/>
      <c r="F184" s="182"/>
      <c r="G184" s="182"/>
      <c r="H184" s="182"/>
      <c r="I184" s="182"/>
      <c r="J184" s="182"/>
      <c r="K184" s="182"/>
      <c r="L184" s="182"/>
      <c r="M184" s="182"/>
      <c r="N184" s="182"/>
      <c r="O184" s="182"/>
      <c r="P184" s="183">
        <v>0.895</v>
      </c>
      <c r="Q184" s="183">
        <v>0.917</v>
      </c>
      <c r="R184" s="183">
        <v>0.858</v>
      </c>
      <c r="S184" s="183">
        <v>0.911</v>
      </c>
      <c r="T184" s="183">
        <v>0.951</v>
      </c>
      <c r="U184" s="183">
        <v>1.074</v>
      </c>
      <c r="V184" s="183">
        <v>1.205</v>
      </c>
      <c r="W184" s="183">
        <v>1.028</v>
      </c>
      <c r="X184" s="183">
        <v>0.88</v>
      </c>
      <c r="Y184" s="183">
        <v>0.931</v>
      </c>
      <c r="Z184" s="183">
        <v>0.833</v>
      </c>
      <c r="AA184" s="183">
        <v>1.001</v>
      </c>
      <c r="AB184" s="183">
        <v>0.989</v>
      </c>
      <c r="AC184" s="183">
        <v>0.982</v>
      </c>
      <c r="AD184" s="183">
        <v>0.934</v>
      </c>
      <c r="AE184" s="183">
        <v>0.943</v>
      </c>
      <c r="AF184" s="183">
        <v>0.874</v>
      </c>
      <c r="AG184" s="183">
        <v>0.839</v>
      </c>
      <c r="AH184" s="183">
        <f t="shared" ref="AH184:CU184" si="100">SUM(AH178:AH183)</f>
        <v>0.05783542339</v>
      </c>
      <c r="AI184" s="183">
        <f t="shared" si="100"/>
        <v>0.0483358221</v>
      </c>
      <c r="AJ184" s="183">
        <f t="shared" si="100"/>
        <v>0.05936231293</v>
      </c>
      <c r="AK184" s="183">
        <f t="shared" si="100"/>
        <v>0.06263621689</v>
      </c>
      <c r="AL184" s="183">
        <f t="shared" si="100"/>
        <v>0.06443082009</v>
      </c>
      <c r="AM184" s="183">
        <f t="shared" si="100"/>
        <v>0.3027340471</v>
      </c>
      <c r="AN184" s="183">
        <f t="shared" si="100"/>
        <v>0.3075205888</v>
      </c>
      <c r="AO184" s="183">
        <f t="shared" si="100"/>
        <v>0.3372143471</v>
      </c>
      <c r="AP184" s="183">
        <f t="shared" si="100"/>
        <v>0.2659825227</v>
      </c>
      <c r="AQ184" s="183">
        <f t="shared" si="100"/>
        <v>0.2537339507</v>
      </c>
      <c r="AR184" s="183">
        <f t="shared" si="100"/>
        <v>0.2830445376</v>
      </c>
      <c r="AS184" s="183">
        <f t="shared" si="100"/>
        <v>0.2279014814</v>
      </c>
      <c r="AT184" s="183">
        <f t="shared" si="100"/>
        <v>0.2641238562</v>
      </c>
      <c r="AU184" s="183">
        <f t="shared" si="100"/>
        <v>0.2238466071</v>
      </c>
      <c r="AV184" s="183">
        <f t="shared" si="100"/>
        <v>0.2557317754</v>
      </c>
      <c r="AW184" s="183">
        <f t="shared" si="100"/>
        <v>0.223681445</v>
      </c>
      <c r="AX184" s="183">
        <f t="shared" si="100"/>
        <v>0.2217201766</v>
      </c>
      <c r="AY184" s="183">
        <f t="shared" si="100"/>
        <v>0.2216861543</v>
      </c>
      <c r="AZ184" s="183">
        <f t="shared" si="100"/>
        <v>0.2956962621</v>
      </c>
      <c r="BA184" s="183">
        <f t="shared" si="100"/>
        <v>0.2421151343</v>
      </c>
      <c r="BB184" s="183">
        <f t="shared" si="100"/>
        <v>0.2428647789</v>
      </c>
      <c r="BC184" s="183">
        <f t="shared" si="100"/>
        <v>0.2402085718</v>
      </c>
      <c r="BD184" s="183">
        <f t="shared" si="100"/>
        <v>0.2746121853</v>
      </c>
      <c r="BE184" s="183">
        <f t="shared" si="100"/>
        <v>0.2451312347</v>
      </c>
      <c r="BF184" s="183">
        <f t="shared" si="100"/>
        <v>0.2753500593</v>
      </c>
      <c r="BG184" s="183">
        <f t="shared" si="100"/>
        <v>0.2530616054</v>
      </c>
      <c r="BH184" s="183">
        <f t="shared" si="100"/>
        <v>0.2876697023</v>
      </c>
      <c r="BI184" s="183">
        <f t="shared" si="100"/>
        <v>0.2607849567</v>
      </c>
      <c r="BJ184" s="183">
        <f t="shared" si="100"/>
        <v>0.2625611747</v>
      </c>
      <c r="BK184" s="183">
        <f t="shared" si="100"/>
        <v>0.2599016295</v>
      </c>
      <c r="BL184" s="183">
        <f t="shared" si="100"/>
        <v>0.3210199497</v>
      </c>
      <c r="BM184" s="183">
        <f t="shared" si="100"/>
        <v>0.275590832</v>
      </c>
      <c r="BN184" s="183">
        <f t="shared" si="100"/>
        <v>0.2766847137</v>
      </c>
      <c r="BO184" s="183">
        <f t="shared" si="100"/>
        <v>0.2825091776</v>
      </c>
      <c r="BP184" s="183">
        <f t="shared" si="100"/>
        <v>0.3169769203</v>
      </c>
      <c r="BQ184" s="183">
        <f t="shared" si="100"/>
        <v>0.2913711916</v>
      </c>
      <c r="BR184" s="183">
        <f t="shared" si="100"/>
        <v>0.3188571954</v>
      </c>
      <c r="BS184" s="183">
        <f t="shared" si="100"/>
        <v>0.2962343217</v>
      </c>
      <c r="BT184" s="183">
        <f t="shared" si="100"/>
        <v>0.3301369364</v>
      </c>
      <c r="BU184" s="183">
        <f t="shared" si="100"/>
        <v>0.3099117781</v>
      </c>
      <c r="BV184" s="183">
        <f t="shared" si="100"/>
        <v>0.3071368194</v>
      </c>
      <c r="BW184" s="183">
        <f t="shared" si="100"/>
        <v>0.310974715</v>
      </c>
      <c r="BX184" s="183">
        <f t="shared" si="100"/>
        <v>0.3779682779</v>
      </c>
      <c r="BY184" s="183">
        <f t="shared" si="100"/>
        <v>0.3693705728</v>
      </c>
      <c r="BZ184" s="183">
        <f t="shared" si="100"/>
        <v>0.382805247</v>
      </c>
      <c r="CA184" s="183">
        <f t="shared" si="100"/>
        <v>0.3851007459</v>
      </c>
      <c r="CB184" s="183">
        <f t="shared" si="100"/>
        <v>0.4217614583</v>
      </c>
      <c r="CC184" s="183">
        <f t="shared" si="100"/>
        <v>0.3943936873</v>
      </c>
      <c r="CD184" s="183">
        <f t="shared" si="100"/>
        <v>0.4186302433</v>
      </c>
      <c r="CE184" s="183">
        <f t="shared" si="100"/>
        <v>0.3999649538</v>
      </c>
      <c r="CF184" s="183">
        <f t="shared" si="100"/>
        <v>0.4353829991</v>
      </c>
      <c r="CG184" s="183">
        <f t="shared" si="100"/>
        <v>0.4112945132</v>
      </c>
      <c r="CH184" s="183">
        <f t="shared" si="100"/>
        <v>0.4153755743</v>
      </c>
      <c r="CI184" s="183">
        <f t="shared" si="100"/>
        <v>0.412089773</v>
      </c>
      <c r="CJ184" s="183">
        <f t="shared" si="100"/>
        <v>0.4726461585</v>
      </c>
      <c r="CK184" s="183">
        <f t="shared" si="100"/>
        <v>0.4364983221</v>
      </c>
      <c r="CL184" s="183">
        <f t="shared" si="100"/>
        <v>0.4367332559</v>
      </c>
      <c r="CM184" s="183">
        <f t="shared" si="100"/>
        <v>0.4376678693</v>
      </c>
      <c r="CN184" s="183">
        <f t="shared" si="100"/>
        <v>0.4723609603</v>
      </c>
      <c r="CO184" s="183">
        <f t="shared" si="100"/>
        <v>0.4510144426</v>
      </c>
      <c r="CP184" s="183">
        <f t="shared" si="100"/>
        <v>0.4658811691</v>
      </c>
      <c r="CQ184" s="183">
        <f t="shared" si="100"/>
        <v>0.4494312018</v>
      </c>
      <c r="CR184" s="183">
        <f t="shared" si="100"/>
        <v>0.4867803117</v>
      </c>
      <c r="CS184" s="183">
        <f t="shared" si="100"/>
        <v>0.4609692867</v>
      </c>
      <c r="CT184" s="183">
        <f t="shared" si="100"/>
        <v>0.4635113192</v>
      </c>
      <c r="CU184" s="183">
        <f t="shared" si="100"/>
        <v>0.464872829</v>
      </c>
      <c r="CV184" s="145"/>
      <c r="CW184" s="145"/>
      <c r="CX184" s="145"/>
      <c r="CY184" s="145"/>
      <c r="CZ184" s="145"/>
      <c r="DA184" s="145"/>
      <c r="DB184" s="145"/>
      <c r="DC184" s="145"/>
    </row>
    <row r="185" ht="15.75" customHeight="1">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182"/>
      <c r="AK185" s="182"/>
      <c r="AL185" s="182"/>
      <c r="AM185" s="182"/>
      <c r="AN185" s="182"/>
      <c r="AO185" s="182"/>
      <c r="AP185" s="182"/>
      <c r="AQ185" s="182"/>
      <c r="AR185" s="182"/>
      <c r="AS185" s="182"/>
      <c r="AT185" s="182"/>
      <c r="AU185" s="182"/>
      <c r="AV185" s="182"/>
      <c r="AW185" s="182"/>
      <c r="AX185" s="182"/>
      <c r="AY185" s="182"/>
      <c r="AZ185" s="182"/>
      <c r="BA185" s="182"/>
      <c r="BB185" s="182"/>
      <c r="BC185" s="182"/>
      <c r="BD185" s="182"/>
      <c r="BE185" s="182"/>
      <c r="BF185" s="182"/>
      <c r="BG185" s="182"/>
      <c r="BH185" s="182"/>
      <c r="BI185" s="182"/>
      <c r="BJ185" s="182"/>
      <c r="BK185" s="182"/>
      <c r="BL185" s="182"/>
      <c r="BM185" s="182"/>
      <c r="BN185" s="182"/>
      <c r="BO185" s="182"/>
      <c r="BP185" s="182"/>
      <c r="BQ185" s="182"/>
      <c r="BR185" s="182"/>
      <c r="BS185" s="182"/>
      <c r="BT185" s="182"/>
      <c r="BU185" s="182"/>
      <c r="BV185" s="182"/>
      <c r="BW185" s="182"/>
      <c r="BX185" s="182"/>
      <c r="BY185" s="182"/>
      <c r="BZ185" s="182"/>
      <c r="CA185" s="182"/>
      <c r="CB185" s="182"/>
      <c r="CC185" s="182"/>
      <c r="CD185" s="182"/>
      <c r="CE185" s="182"/>
      <c r="CF185" s="182"/>
      <c r="CG185" s="182"/>
      <c r="CH185" s="182"/>
      <c r="CI185" s="182"/>
      <c r="CJ185" s="182"/>
      <c r="CK185" s="182"/>
      <c r="CL185" s="182"/>
      <c r="CM185" s="182"/>
      <c r="CN185" s="182"/>
      <c r="CO185" s="182"/>
      <c r="CP185" s="182"/>
      <c r="CQ185" s="182"/>
      <c r="CR185" s="182"/>
      <c r="CS185" s="182"/>
      <c r="CT185" s="182"/>
      <c r="CU185" s="182"/>
      <c r="CV185" s="145"/>
      <c r="CW185" s="145"/>
      <c r="CX185" s="145"/>
      <c r="CY185" s="145"/>
      <c r="CZ185" s="145"/>
      <c r="DA185" s="145"/>
      <c r="DB185" s="145"/>
      <c r="DC185" s="145"/>
    </row>
    <row r="186" ht="15.75" customHeight="1">
      <c r="A186" s="182"/>
      <c r="B186" s="182"/>
      <c r="C186" s="180" t="s">
        <v>101</v>
      </c>
      <c r="D186" s="180"/>
      <c r="E186" s="180"/>
      <c r="F186" s="180"/>
      <c r="G186" s="180"/>
      <c r="H186" s="180"/>
      <c r="I186" s="180"/>
      <c r="J186" s="180"/>
      <c r="K186" s="180"/>
      <c r="L186" s="180"/>
      <c r="M186" s="180"/>
      <c r="N186" s="180"/>
      <c r="O186" s="180"/>
      <c r="P186" s="180">
        <v>0.613</v>
      </c>
      <c r="Q186" s="180">
        <v>0.564</v>
      </c>
      <c r="R186" s="180">
        <v>0.552</v>
      </c>
      <c r="S186" s="180">
        <v>0.564</v>
      </c>
      <c r="T186" s="180">
        <v>0.507</v>
      </c>
      <c r="U186" s="180">
        <v>0.464</v>
      </c>
      <c r="V186" s="180">
        <v>0.377</v>
      </c>
      <c r="W186" s="180">
        <v>0.414</v>
      </c>
      <c r="X186" s="180">
        <v>0.461</v>
      </c>
      <c r="Y186" s="180">
        <v>0.492</v>
      </c>
      <c r="Z186" s="180">
        <v>0.505</v>
      </c>
      <c r="AA186" s="180">
        <v>0.411</v>
      </c>
      <c r="AB186" s="180">
        <v>0.394</v>
      </c>
      <c r="AC186" s="180">
        <v>0.376</v>
      </c>
      <c r="AD186" s="180">
        <v>0.46</v>
      </c>
      <c r="AE186" s="180">
        <v>0.498</v>
      </c>
      <c r="AF186" s="180">
        <v>0.555</v>
      </c>
      <c r="AG186" s="180">
        <v>0.596</v>
      </c>
      <c r="AH186" s="180">
        <f t="shared" ref="AH186:CU186" si="101">1-AH178</f>
        <v>0.981280873</v>
      </c>
      <c r="AI186" s="180">
        <f t="shared" si="101"/>
        <v>0.9860513056</v>
      </c>
      <c r="AJ186" s="180">
        <f t="shared" si="101"/>
        <v>0.9825494118</v>
      </c>
      <c r="AK186" s="180">
        <f t="shared" si="101"/>
        <v>0.980574769</v>
      </c>
      <c r="AL186" s="180">
        <f t="shared" si="101"/>
        <v>0.983668858</v>
      </c>
      <c r="AM186" s="180">
        <f t="shared" si="101"/>
        <v>0.8684559216</v>
      </c>
      <c r="AN186" s="180">
        <f t="shared" si="101"/>
        <v>0.8819563631</v>
      </c>
      <c r="AO186" s="180">
        <f t="shared" si="101"/>
        <v>0.8896338475</v>
      </c>
      <c r="AP186" s="180">
        <f t="shared" si="101"/>
        <v>0.8945743498</v>
      </c>
      <c r="AQ186" s="180">
        <f t="shared" si="101"/>
        <v>0.9009693324</v>
      </c>
      <c r="AR186" s="180">
        <f t="shared" si="101"/>
        <v>0.9053485719</v>
      </c>
      <c r="AS186" s="180">
        <f t="shared" si="101"/>
        <v>0.9122923769</v>
      </c>
      <c r="AT186" s="180">
        <f t="shared" si="101"/>
        <v>0.9104555673</v>
      </c>
      <c r="AU186" s="180">
        <f t="shared" si="101"/>
        <v>0.9134471569</v>
      </c>
      <c r="AV186" s="180">
        <f t="shared" si="101"/>
        <v>0.9130773841</v>
      </c>
      <c r="AW186" s="180">
        <f t="shared" si="101"/>
        <v>0.9127355283</v>
      </c>
      <c r="AX186" s="180">
        <f t="shared" si="101"/>
        <v>0.9147573948</v>
      </c>
      <c r="AY186" s="180">
        <f t="shared" si="101"/>
        <v>0.9131210569</v>
      </c>
      <c r="AZ186" s="180">
        <f t="shared" si="101"/>
        <v>0.8987396446</v>
      </c>
      <c r="BA186" s="180">
        <f t="shared" si="101"/>
        <v>0.8928049531</v>
      </c>
      <c r="BB186" s="180">
        <f t="shared" si="101"/>
        <v>0.8904911363</v>
      </c>
      <c r="BC186" s="180">
        <f t="shared" si="101"/>
        <v>0.8916951954</v>
      </c>
      <c r="BD186" s="180">
        <f t="shared" si="101"/>
        <v>0.8872022315</v>
      </c>
      <c r="BE186" s="180">
        <f t="shared" si="101"/>
        <v>0.887062769</v>
      </c>
      <c r="BF186" s="180">
        <f t="shared" si="101"/>
        <v>0.8806526036</v>
      </c>
      <c r="BG186" s="180">
        <f t="shared" si="101"/>
        <v>0.8776498718</v>
      </c>
      <c r="BH186" s="180">
        <f t="shared" si="101"/>
        <v>0.8725489571</v>
      </c>
      <c r="BI186" s="180">
        <f t="shared" si="101"/>
        <v>0.8709111442</v>
      </c>
      <c r="BJ186" s="180">
        <f t="shared" si="101"/>
        <v>0.8677989062</v>
      </c>
      <c r="BK186" s="180">
        <f t="shared" si="101"/>
        <v>0.8691758353</v>
      </c>
      <c r="BL186" s="180">
        <f t="shared" si="101"/>
        <v>0.863531826</v>
      </c>
      <c r="BM186" s="180">
        <f t="shared" si="101"/>
        <v>0.8569247775</v>
      </c>
      <c r="BN186" s="180">
        <f t="shared" si="101"/>
        <v>0.8548200916</v>
      </c>
      <c r="BO186" s="180">
        <f t="shared" si="101"/>
        <v>0.8480755036</v>
      </c>
      <c r="BP186" s="180">
        <f t="shared" si="101"/>
        <v>0.8453258754</v>
      </c>
      <c r="BQ186" s="180">
        <f t="shared" si="101"/>
        <v>0.8447396162</v>
      </c>
      <c r="BR186" s="180">
        <f t="shared" si="101"/>
        <v>0.8426181995</v>
      </c>
      <c r="BS186" s="180">
        <f t="shared" si="101"/>
        <v>0.8433444836</v>
      </c>
      <c r="BT186" s="180">
        <f t="shared" si="101"/>
        <v>0.8374762327</v>
      </c>
      <c r="BU186" s="180">
        <f t="shared" si="101"/>
        <v>0.8354518963</v>
      </c>
      <c r="BV186" s="180">
        <f t="shared" si="101"/>
        <v>0.8374304291</v>
      </c>
      <c r="BW186" s="180">
        <f t="shared" si="101"/>
        <v>0.8328422458</v>
      </c>
      <c r="BX186" s="180">
        <f t="shared" si="101"/>
        <v>0.8179791036</v>
      </c>
      <c r="BY186" s="180">
        <f t="shared" si="101"/>
        <v>0.7807311814</v>
      </c>
      <c r="BZ186" s="180">
        <f t="shared" si="101"/>
        <v>0.7663410644</v>
      </c>
      <c r="CA186" s="180">
        <f t="shared" si="101"/>
        <v>0.7660173311</v>
      </c>
      <c r="CB186" s="180">
        <f t="shared" si="101"/>
        <v>0.7587818251</v>
      </c>
      <c r="CC186" s="180">
        <f t="shared" si="101"/>
        <v>0.7601388097</v>
      </c>
      <c r="CD186" s="180">
        <f t="shared" si="101"/>
        <v>0.7575457182</v>
      </c>
      <c r="CE186" s="180">
        <f t="shared" si="101"/>
        <v>0.7562761063</v>
      </c>
      <c r="CF186" s="180">
        <f t="shared" si="101"/>
        <v>0.7485876254</v>
      </c>
      <c r="CG186" s="180">
        <f t="shared" si="101"/>
        <v>0.7499206098</v>
      </c>
      <c r="CH186" s="180">
        <f t="shared" si="101"/>
        <v>0.7450824143</v>
      </c>
      <c r="CI186" s="180">
        <f t="shared" si="101"/>
        <v>0.7476313765</v>
      </c>
      <c r="CJ186" s="180">
        <f t="shared" si="101"/>
        <v>0.7369076878</v>
      </c>
      <c r="CK186" s="180">
        <f t="shared" si="101"/>
        <v>0.7314665652</v>
      </c>
      <c r="CL186" s="180">
        <f t="shared" si="101"/>
        <v>0.7306774545</v>
      </c>
      <c r="CM186" s="180">
        <f t="shared" si="101"/>
        <v>0.7287398883</v>
      </c>
      <c r="CN186" s="180">
        <f t="shared" si="101"/>
        <v>0.7217642817</v>
      </c>
      <c r="CO186" s="180">
        <f t="shared" si="101"/>
        <v>0.7187528913</v>
      </c>
      <c r="CP186" s="180">
        <f t="shared" si="101"/>
        <v>0.7181685081</v>
      </c>
      <c r="CQ186" s="180">
        <f t="shared" si="101"/>
        <v>0.7199565109</v>
      </c>
      <c r="CR186" s="180">
        <f t="shared" si="101"/>
        <v>0.7101427841</v>
      </c>
      <c r="CS186" s="180">
        <f t="shared" si="101"/>
        <v>0.711954345</v>
      </c>
      <c r="CT186" s="180">
        <f t="shared" si="101"/>
        <v>0.7091027722</v>
      </c>
      <c r="CU186" s="180">
        <f t="shared" si="101"/>
        <v>0.707437619</v>
      </c>
      <c r="CV186" s="144"/>
      <c r="CW186" s="144"/>
      <c r="CX186" s="144"/>
      <c r="CY186" s="144"/>
      <c r="CZ186" s="144"/>
      <c r="DA186" s="144"/>
      <c r="DB186" s="144"/>
      <c r="DC186" s="144"/>
    </row>
    <row r="187" ht="15.75" customHeight="1">
      <c r="A187" s="182"/>
      <c r="B187" s="182"/>
      <c r="C187" s="180" t="s">
        <v>115</v>
      </c>
      <c r="D187" s="180"/>
      <c r="E187" s="180"/>
      <c r="F187" s="180"/>
      <c r="G187" s="180"/>
      <c r="H187" s="180"/>
      <c r="I187" s="180"/>
      <c r="J187" s="180"/>
      <c r="K187" s="180"/>
      <c r="L187" s="180"/>
      <c r="M187" s="180"/>
      <c r="N187" s="180"/>
      <c r="O187" s="180"/>
      <c r="P187" s="180">
        <v>0.105</v>
      </c>
      <c r="Q187" s="180">
        <v>0.083</v>
      </c>
      <c r="R187" s="180">
        <v>0.142</v>
      </c>
      <c r="S187" s="180">
        <v>0.089</v>
      </c>
      <c r="T187" s="180">
        <v>0.049</v>
      </c>
      <c r="U187" s="180">
        <v>-0.074</v>
      </c>
      <c r="V187" s="180">
        <v>-0.205</v>
      </c>
      <c r="W187" s="180">
        <v>-0.028</v>
      </c>
      <c r="X187" s="180">
        <v>0.12</v>
      </c>
      <c r="Y187" s="180">
        <v>0.069</v>
      </c>
      <c r="Z187" s="180">
        <v>0.167</v>
      </c>
      <c r="AA187" s="180">
        <v>-0.001</v>
      </c>
      <c r="AB187" s="180">
        <v>0.011</v>
      </c>
      <c r="AC187" s="180">
        <v>0.018</v>
      </c>
      <c r="AD187" s="180">
        <v>0.066</v>
      </c>
      <c r="AE187" s="180">
        <v>0.057</v>
      </c>
      <c r="AF187" s="180">
        <v>0.126</v>
      </c>
      <c r="AG187" s="180">
        <v>0.161</v>
      </c>
      <c r="AH187" s="180">
        <f t="shared" ref="AH187:CU187" si="102">1-AH184</f>
        <v>0.9421645766</v>
      </c>
      <c r="AI187" s="180">
        <f t="shared" si="102"/>
        <v>0.9516641779</v>
      </c>
      <c r="AJ187" s="180">
        <f t="shared" si="102"/>
        <v>0.9406376871</v>
      </c>
      <c r="AK187" s="180">
        <f t="shared" si="102"/>
        <v>0.9373637831</v>
      </c>
      <c r="AL187" s="180">
        <f t="shared" si="102"/>
        <v>0.9355691799</v>
      </c>
      <c r="AM187" s="180">
        <f t="shared" si="102"/>
        <v>0.6972659529</v>
      </c>
      <c r="AN187" s="180">
        <f t="shared" si="102"/>
        <v>0.6924794112</v>
      </c>
      <c r="AO187" s="180">
        <f t="shared" si="102"/>
        <v>0.6627856529</v>
      </c>
      <c r="AP187" s="180">
        <f t="shared" si="102"/>
        <v>0.7340174773</v>
      </c>
      <c r="AQ187" s="180">
        <f t="shared" si="102"/>
        <v>0.7462660493</v>
      </c>
      <c r="AR187" s="180">
        <f t="shared" si="102"/>
        <v>0.7169554624</v>
      </c>
      <c r="AS187" s="180">
        <f t="shared" si="102"/>
        <v>0.7720985186</v>
      </c>
      <c r="AT187" s="180">
        <f t="shared" si="102"/>
        <v>0.7358761438</v>
      </c>
      <c r="AU187" s="180">
        <f t="shared" si="102"/>
        <v>0.7761533929</v>
      </c>
      <c r="AV187" s="180">
        <f t="shared" si="102"/>
        <v>0.7442682246</v>
      </c>
      <c r="AW187" s="180">
        <f t="shared" si="102"/>
        <v>0.776318555</v>
      </c>
      <c r="AX187" s="180">
        <f t="shared" si="102"/>
        <v>0.7782798234</v>
      </c>
      <c r="AY187" s="180">
        <f t="shared" si="102"/>
        <v>0.7783138457</v>
      </c>
      <c r="AZ187" s="180">
        <f t="shared" si="102"/>
        <v>0.7043037379</v>
      </c>
      <c r="BA187" s="180">
        <f t="shared" si="102"/>
        <v>0.7578848657</v>
      </c>
      <c r="BB187" s="180">
        <f t="shared" si="102"/>
        <v>0.7571352211</v>
      </c>
      <c r="BC187" s="180">
        <f t="shared" si="102"/>
        <v>0.7597914282</v>
      </c>
      <c r="BD187" s="180">
        <f t="shared" si="102"/>
        <v>0.7253878147</v>
      </c>
      <c r="BE187" s="180">
        <f t="shared" si="102"/>
        <v>0.7548687653</v>
      </c>
      <c r="BF187" s="180">
        <f t="shared" si="102"/>
        <v>0.7246499407</v>
      </c>
      <c r="BG187" s="180">
        <f t="shared" si="102"/>
        <v>0.7469383946</v>
      </c>
      <c r="BH187" s="180">
        <f t="shared" si="102"/>
        <v>0.7123302977</v>
      </c>
      <c r="BI187" s="180">
        <f t="shared" si="102"/>
        <v>0.7392150433</v>
      </c>
      <c r="BJ187" s="180">
        <f t="shared" si="102"/>
        <v>0.7374388253</v>
      </c>
      <c r="BK187" s="180">
        <f t="shared" si="102"/>
        <v>0.7400983705</v>
      </c>
      <c r="BL187" s="180">
        <f t="shared" si="102"/>
        <v>0.6789800503</v>
      </c>
      <c r="BM187" s="180">
        <f t="shared" si="102"/>
        <v>0.724409168</v>
      </c>
      <c r="BN187" s="180">
        <f t="shared" si="102"/>
        <v>0.7233152863</v>
      </c>
      <c r="BO187" s="180">
        <f t="shared" si="102"/>
        <v>0.7174908224</v>
      </c>
      <c r="BP187" s="180">
        <f t="shared" si="102"/>
        <v>0.6830230797</v>
      </c>
      <c r="BQ187" s="180">
        <f t="shared" si="102"/>
        <v>0.7086288084</v>
      </c>
      <c r="BR187" s="180">
        <f t="shared" si="102"/>
        <v>0.6811428046</v>
      </c>
      <c r="BS187" s="180">
        <f t="shared" si="102"/>
        <v>0.7037656783</v>
      </c>
      <c r="BT187" s="180">
        <f t="shared" si="102"/>
        <v>0.6698630636</v>
      </c>
      <c r="BU187" s="180">
        <f t="shared" si="102"/>
        <v>0.6900882219</v>
      </c>
      <c r="BV187" s="180">
        <f t="shared" si="102"/>
        <v>0.6928631806</v>
      </c>
      <c r="BW187" s="180">
        <f t="shared" si="102"/>
        <v>0.689025285</v>
      </c>
      <c r="BX187" s="180">
        <f t="shared" si="102"/>
        <v>0.6220317221</v>
      </c>
      <c r="BY187" s="180">
        <f t="shared" si="102"/>
        <v>0.6306294272</v>
      </c>
      <c r="BZ187" s="180">
        <f t="shared" si="102"/>
        <v>0.617194753</v>
      </c>
      <c r="CA187" s="180">
        <f t="shared" si="102"/>
        <v>0.6148992541</v>
      </c>
      <c r="CB187" s="180">
        <f t="shared" si="102"/>
        <v>0.5782385417</v>
      </c>
      <c r="CC187" s="180">
        <f t="shared" si="102"/>
        <v>0.6056063127</v>
      </c>
      <c r="CD187" s="180">
        <f t="shared" si="102"/>
        <v>0.5813697567</v>
      </c>
      <c r="CE187" s="180">
        <f t="shared" si="102"/>
        <v>0.6000350462</v>
      </c>
      <c r="CF187" s="180">
        <f t="shared" si="102"/>
        <v>0.5646170009</v>
      </c>
      <c r="CG187" s="180">
        <f t="shared" si="102"/>
        <v>0.5887054868</v>
      </c>
      <c r="CH187" s="180">
        <f t="shared" si="102"/>
        <v>0.5846244257</v>
      </c>
      <c r="CI187" s="180">
        <f t="shared" si="102"/>
        <v>0.587910227</v>
      </c>
      <c r="CJ187" s="180">
        <f t="shared" si="102"/>
        <v>0.5273538415</v>
      </c>
      <c r="CK187" s="180">
        <f t="shared" si="102"/>
        <v>0.5635016779</v>
      </c>
      <c r="CL187" s="180">
        <f t="shared" si="102"/>
        <v>0.5632667441</v>
      </c>
      <c r="CM187" s="180">
        <f t="shared" si="102"/>
        <v>0.5623321307</v>
      </c>
      <c r="CN187" s="180">
        <f t="shared" si="102"/>
        <v>0.5276390397</v>
      </c>
      <c r="CO187" s="180">
        <f t="shared" si="102"/>
        <v>0.5489855574</v>
      </c>
      <c r="CP187" s="180">
        <f t="shared" si="102"/>
        <v>0.5341188309</v>
      </c>
      <c r="CQ187" s="180">
        <f t="shared" si="102"/>
        <v>0.5505687982</v>
      </c>
      <c r="CR187" s="180">
        <f t="shared" si="102"/>
        <v>0.5132196883</v>
      </c>
      <c r="CS187" s="180">
        <f t="shared" si="102"/>
        <v>0.5390307133</v>
      </c>
      <c r="CT187" s="180">
        <f t="shared" si="102"/>
        <v>0.5364886808</v>
      </c>
      <c r="CU187" s="180">
        <f t="shared" si="102"/>
        <v>0.535127171</v>
      </c>
      <c r="CV187" s="144"/>
      <c r="CW187" s="144"/>
      <c r="CX187" s="144"/>
      <c r="CY187" s="144"/>
      <c r="CZ187" s="144"/>
      <c r="DA187" s="144"/>
      <c r="DB187" s="144"/>
      <c r="DC187" s="144"/>
    </row>
    <row r="188" ht="15.75" customHeight="1">
      <c r="A188" s="144"/>
      <c r="B188" s="144"/>
      <c r="C188" s="144" t="s">
        <v>84</v>
      </c>
      <c r="D188" s="144"/>
      <c r="E188" s="144"/>
      <c r="F188" s="144"/>
      <c r="G188" s="144"/>
      <c r="H188" s="144"/>
      <c r="I188" s="144"/>
      <c r="J188" s="144"/>
      <c r="K188" s="144"/>
      <c r="L188" s="144"/>
      <c r="M188" s="144"/>
      <c r="N188" s="144"/>
      <c r="O188" s="144"/>
      <c r="P188" s="144">
        <v>0.0</v>
      </c>
      <c r="Q188" s="144">
        <v>0.0</v>
      </c>
      <c r="R188" s="144">
        <v>0.0</v>
      </c>
      <c r="S188" s="144">
        <v>0.0</v>
      </c>
      <c r="T188" s="144">
        <v>0.0</v>
      </c>
      <c r="U188" s="144">
        <v>0.0</v>
      </c>
      <c r="V188" s="144">
        <v>0.0</v>
      </c>
      <c r="W188" s="144">
        <v>0.0</v>
      </c>
      <c r="X188" s="144">
        <v>0.0</v>
      </c>
      <c r="Y188" s="144">
        <v>0.0</v>
      </c>
      <c r="Z188" s="144">
        <v>0.0</v>
      </c>
      <c r="AA188" s="144">
        <v>0.0</v>
      </c>
      <c r="AB188" s="144">
        <v>0.0</v>
      </c>
      <c r="AC188" s="144">
        <v>0.0</v>
      </c>
      <c r="AD188" s="144">
        <v>0.0</v>
      </c>
      <c r="AE188" s="144">
        <v>0.0</v>
      </c>
      <c r="AF188" s="144">
        <v>0.0</v>
      </c>
      <c r="AG188" s="144">
        <v>0.0</v>
      </c>
      <c r="AH188" s="144">
        <f t="shared" ref="AH188:CU188" si="103">AH86/AH22-AH187</f>
        <v>-0.01129902098</v>
      </c>
      <c r="AI188" s="144">
        <f t="shared" si="103"/>
        <v>-0.009086570405</v>
      </c>
      <c r="AJ188" s="144">
        <f t="shared" si="103"/>
        <v>-0.00655034319</v>
      </c>
      <c r="AK188" s="144">
        <f t="shared" si="103"/>
        <v>-0.008428129337</v>
      </c>
      <c r="AL188" s="144">
        <f t="shared" si="103"/>
        <v>-0.005467903756</v>
      </c>
      <c r="AM188" s="144">
        <f t="shared" si="103"/>
        <v>-0.05355107482</v>
      </c>
      <c r="AN188" s="144">
        <f t="shared" si="103"/>
        <v>-0.07119587389</v>
      </c>
      <c r="AO188" s="144">
        <f t="shared" si="103"/>
        <v>-0.07092709426</v>
      </c>
      <c r="AP188" s="144">
        <f t="shared" si="103"/>
        <v>-0.06712834665</v>
      </c>
      <c r="AQ188" s="144">
        <f t="shared" si="103"/>
        <v>-0.0664380945</v>
      </c>
      <c r="AR188" s="144">
        <f t="shared" si="103"/>
        <v>-0.06642904375</v>
      </c>
      <c r="AS188" s="144">
        <f t="shared" si="103"/>
        <v>-0.05862745308</v>
      </c>
      <c r="AT188" s="144">
        <f t="shared" si="103"/>
        <v>-0.06006624226</v>
      </c>
      <c r="AU188" s="144">
        <f t="shared" si="103"/>
        <v>-0.06146358251</v>
      </c>
      <c r="AV188" s="144">
        <f t="shared" si="103"/>
        <v>-0.06599784818</v>
      </c>
      <c r="AW188" s="144">
        <f t="shared" si="103"/>
        <v>-0.06366499876</v>
      </c>
      <c r="AX188" s="144">
        <f t="shared" si="103"/>
        <v>-0.0649993943</v>
      </c>
      <c r="AY188" s="144">
        <f t="shared" si="103"/>
        <v>-0.06484425628</v>
      </c>
      <c r="AZ188" s="144">
        <f t="shared" si="103"/>
        <v>-0.0704539816</v>
      </c>
      <c r="BA188" s="144">
        <f t="shared" si="103"/>
        <v>-0.06777819041</v>
      </c>
      <c r="BB188" s="144">
        <f t="shared" si="103"/>
        <v>-0.06706999819</v>
      </c>
      <c r="BC188" s="144">
        <f t="shared" si="103"/>
        <v>-0.06617355634</v>
      </c>
      <c r="BD188" s="144">
        <f t="shared" si="103"/>
        <v>-0.06987581123</v>
      </c>
      <c r="BE188" s="144">
        <f t="shared" si="103"/>
        <v>-0.0667885656</v>
      </c>
      <c r="BF188" s="144">
        <f t="shared" si="103"/>
        <v>-0.06699406275</v>
      </c>
      <c r="BG188" s="144">
        <f t="shared" si="103"/>
        <v>-0.06588139717</v>
      </c>
      <c r="BH188" s="144">
        <f t="shared" si="103"/>
        <v>-0.0695165456</v>
      </c>
      <c r="BI188" s="144">
        <f t="shared" si="103"/>
        <v>-0.0666062021</v>
      </c>
      <c r="BJ188" s="144">
        <f t="shared" si="103"/>
        <v>-0.06577151093</v>
      </c>
      <c r="BK188" s="144">
        <f t="shared" si="103"/>
        <v>-0.06496824458</v>
      </c>
      <c r="BL188" s="144">
        <f t="shared" si="103"/>
        <v>-0.06867453083</v>
      </c>
      <c r="BM188" s="144">
        <f t="shared" si="103"/>
        <v>-0.06646507017</v>
      </c>
      <c r="BN188" s="144">
        <f t="shared" si="103"/>
        <v>-0.06625349043</v>
      </c>
      <c r="BO188" s="144">
        <f t="shared" si="103"/>
        <v>-0.06607992304</v>
      </c>
      <c r="BP188" s="144">
        <f t="shared" si="103"/>
        <v>-0.07250984758</v>
      </c>
      <c r="BQ188" s="144">
        <f t="shared" si="103"/>
        <v>-0.07042000613</v>
      </c>
      <c r="BR188" s="144">
        <f t="shared" si="103"/>
        <v>-0.07139263317</v>
      </c>
      <c r="BS188" s="144">
        <f t="shared" si="103"/>
        <v>-0.07356386338</v>
      </c>
      <c r="BT188" s="144">
        <f t="shared" si="103"/>
        <v>-0.07773027824</v>
      </c>
      <c r="BU188" s="144">
        <f t="shared" si="103"/>
        <v>-0.07796825359</v>
      </c>
      <c r="BV188" s="144">
        <f t="shared" si="103"/>
        <v>-0.07777203049</v>
      </c>
      <c r="BW188" s="144">
        <f t="shared" si="103"/>
        <v>-0.07759518137</v>
      </c>
      <c r="BX188" s="144">
        <f t="shared" si="103"/>
        <v>-0.0835245317</v>
      </c>
      <c r="BY188" s="144">
        <f t="shared" si="103"/>
        <v>-0.08139050613</v>
      </c>
      <c r="BZ188" s="144">
        <f t="shared" si="103"/>
        <v>-0.08115860691</v>
      </c>
      <c r="CA188" s="144">
        <f t="shared" si="103"/>
        <v>-0.08310938379</v>
      </c>
      <c r="CB188" s="144">
        <f t="shared" si="103"/>
        <v>-0.08847686307</v>
      </c>
      <c r="CC188" s="144">
        <f t="shared" si="103"/>
        <v>-0.08631961071</v>
      </c>
      <c r="CD188" s="144">
        <f t="shared" si="103"/>
        <v>-0.08823421531</v>
      </c>
      <c r="CE188" s="144">
        <f t="shared" si="103"/>
        <v>-0.08797130982</v>
      </c>
      <c r="CF188" s="144">
        <f t="shared" si="103"/>
        <v>-0.09234750102</v>
      </c>
      <c r="CG188" s="144">
        <f t="shared" si="103"/>
        <v>-0.09229152385</v>
      </c>
      <c r="CH188" s="144">
        <f t="shared" si="103"/>
        <v>-0.09199798535</v>
      </c>
      <c r="CI188" s="144">
        <f t="shared" si="103"/>
        <v>-0.09171207196</v>
      </c>
      <c r="CJ188" s="144">
        <f t="shared" si="103"/>
        <v>-0.09777998089</v>
      </c>
      <c r="CK188" s="144">
        <f t="shared" si="103"/>
        <v>-0.09602472193</v>
      </c>
      <c r="CL188" s="144">
        <f t="shared" si="103"/>
        <v>-0.09611011469</v>
      </c>
      <c r="CM188" s="144">
        <f t="shared" si="103"/>
        <v>-0.09616119428</v>
      </c>
      <c r="CN188" s="144">
        <f t="shared" si="103"/>
        <v>-0.1009348744</v>
      </c>
      <c r="CO188" s="144">
        <f t="shared" si="103"/>
        <v>-0.09912457652</v>
      </c>
      <c r="CP188" s="144">
        <f t="shared" si="103"/>
        <v>-0.09912099341</v>
      </c>
      <c r="CQ188" s="144">
        <f t="shared" si="103"/>
        <v>-0.09911514212</v>
      </c>
      <c r="CR188" s="144">
        <f t="shared" si="103"/>
        <v>-0.1038535438</v>
      </c>
      <c r="CS188" s="144">
        <f t="shared" si="103"/>
        <v>-0.1020429893</v>
      </c>
      <c r="CT188" s="144">
        <f t="shared" si="103"/>
        <v>-0.1020155494</v>
      </c>
      <c r="CU188" s="144">
        <f t="shared" si="103"/>
        <v>-0.1019886951</v>
      </c>
      <c r="CV188" s="144"/>
      <c r="CW188" s="144"/>
      <c r="CX188" s="144"/>
      <c r="CY188" s="144"/>
      <c r="CZ188" s="144"/>
      <c r="DA188" s="144"/>
      <c r="DB188" s="144"/>
      <c r="DC188" s="144"/>
    </row>
    <row r="189"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6"/>
      <c r="AQ189" s="146"/>
      <c r="AR189" s="146"/>
      <c r="AS189" s="146"/>
      <c r="AT189" s="146"/>
      <c r="AU189" s="146"/>
      <c r="AV189" s="146"/>
      <c r="AW189" s="146"/>
      <c r="AX189" s="146"/>
      <c r="AY189" s="146"/>
      <c r="AZ189" s="146"/>
      <c r="BA189" s="146"/>
      <c r="BB189" s="146"/>
      <c r="BC189" s="146"/>
      <c r="BD189" s="146"/>
      <c r="BE189" s="146"/>
      <c r="BF189" s="146"/>
      <c r="BG189" s="146"/>
      <c r="BH189" s="146"/>
      <c r="BI189" s="146"/>
      <c r="BJ189" s="146"/>
      <c r="BK189" s="146"/>
      <c r="BL189" s="146"/>
      <c r="BM189" s="146"/>
      <c r="BN189" s="146"/>
      <c r="BO189" s="146"/>
      <c r="BP189" s="146"/>
      <c r="BQ189" s="146"/>
      <c r="BR189" s="146"/>
      <c r="BS189" s="146"/>
      <c r="BT189" s="146"/>
      <c r="BU189" s="146"/>
      <c r="BV189" s="146"/>
      <c r="BW189" s="146"/>
      <c r="BX189" s="146"/>
      <c r="BY189" s="146"/>
      <c r="BZ189" s="146"/>
      <c r="CA189" s="146"/>
      <c r="CB189" s="146"/>
      <c r="CC189" s="146"/>
      <c r="CD189" s="146"/>
      <c r="CE189" s="146"/>
      <c r="CF189" s="146"/>
      <c r="CG189" s="146"/>
      <c r="CH189" s="146"/>
      <c r="CI189" s="146"/>
      <c r="CJ189" s="146"/>
      <c r="CK189" s="146"/>
      <c r="CL189" s="146"/>
      <c r="CM189" s="146"/>
      <c r="CN189" s="146"/>
      <c r="CO189" s="146"/>
      <c r="CP189" s="146"/>
      <c r="CQ189" s="146"/>
      <c r="CR189" s="146"/>
      <c r="CS189" s="146"/>
      <c r="CT189" s="146"/>
      <c r="CU189" s="146"/>
      <c r="CV189" s="146"/>
      <c r="CW189" s="146"/>
      <c r="CX189" s="146"/>
      <c r="CY189" s="146"/>
      <c r="CZ189" s="146"/>
      <c r="DA189" s="146"/>
      <c r="DB189" s="146"/>
      <c r="DC189" s="146"/>
    </row>
    <row r="190"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6"/>
      <c r="AQ190" s="146"/>
      <c r="AR190" s="146"/>
      <c r="AS190" s="146"/>
      <c r="AT190" s="146"/>
      <c r="AU190" s="146"/>
      <c r="AV190" s="146"/>
      <c r="AW190" s="146"/>
      <c r="AX190" s="146"/>
      <c r="AY190" s="146"/>
      <c r="AZ190" s="146"/>
      <c r="BA190" s="146"/>
      <c r="BB190" s="146"/>
      <c r="BC190" s="146"/>
      <c r="BD190" s="146"/>
      <c r="BE190" s="146"/>
      <c r="BF190" s="146"/>
      <c r="BG190" s="146"/>
      <c r="BH190" s="146"/>
      <c r="BI190" s="146"/>
      <c r="BJ190" s="146"/>
      <c r="BK190" s="146"/>
      <c r="BL190" s="146"/>
      <c r="BM190" s="146"/>
      <c r="BN190" s="146"/>
      <c r="BO190" s="146"/>
      <c r="BP190" s="146"/>
      <c r="BQ190" s="146"/>
      <c r="BR190" s="146"/>
      <c r="BS190" s="146"/>
      <c r="BT190" s="146"/>
      <c r="BU190" s="146"/>
      <c r="BV190" s="146"/>
      <c r="BW190" s="146"/>
      <c r="BX190" s="146"/>
      <c r="BY190" s="146"/>
      <c r="BZ190" s="146"/>
      <c r="CA190" s="146"/>
      <c r="CB190" s="146"/>
      <c r="CC190" s="146"/>
      <c r="CD190" s="146"/>
      <c r="CE190" s="146"/>
      <c r="CF190" s="146"/>
      <c r="CG190" s="146"/>
      <c r="CH190" s="146"/>
      <c r="CI190" s="146"/>
      <c r="CJ190" s="146"/>
      <c r="CK190" s="146"/>
      <c r="CL190" s="146"/>
      <c r="CM190" s="146"/>
      <c r="CN190" s="146"/>
      <c r="CO190" s="146"/>
      <c r="CP190" s="146"/>
      <c r="CQ190" s="146"/>
      <c r="CR190" s="146"/>
      <c r="CS190" s="146"/>
      <c r="CT190" s="146"/>
      <c r="CU190" s="146"/>
      <c r="CV190" s="146"/>
      <c r="CW190" s="146"/>
      <c r="CX190" s="146"/>
      <c r="CY190" s="146"/>
      <c r="CZ190" s="146"/>
      <c r="DA190" s="146"/>
      <c r="DB190" s="146"/>
      <c r="DC190" s="146"/>
    </row>
    <row r="191"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6"/>
      <c r="AQ191" s="146"/>
      <c r="AR191" s="146"/>
      <c r="AS191" s="146"/>
      <c r="AT191" s="146"/>
      <c r="AU191" s="146"/>
      <c r="AV191" s="146"/>
      <c r="AW191" s="146"/>
      <c r="AX191" s="146"/>
      <c r="AY191" s="146"/>
      <c r="AZ191" s="146"/>
      <c r="BA191" s="146"/>
      <c r="BB191" s="146"/>
      <c r="BC191" s="146"/>
      <c r="BD191" s="146"/>
      <c r="BE191" s="146"/>
      <c r="BF191" s="146"/>
      <c r="BG191" s="146"/>
      <c r="BH191" s="146"/>
      <c r="BI191" s="146"/>
      <c r="BJ191" s="146"/>
      <c r="BK191" s="146"/>
      <c r="BL191" s="146"/>
      <c r="BM191" s="146"/>
      <c r="BN191" s="146"/>
      <c r="BO191" s="146"/>
      <c r="BP191" s="146"/>
      <c r="BQ191" s="146"/>
      <c r="BR191" s="146"/>
      <c r="BS191" s="146"/>
      <c r="BT191" s="146"/>
      <c r="BU191" s="146"/>
      <c r="BV191" s="146"/>
      <c r="BW191" s="146"/>
      <c r="BX191" s="146"/>
      <c r="BY191" s="146"/>
      <c r="BZ191" s="146"/>
      <c r="CA191" s="146"/>
      <c r="CB191" s="146"/>
      <c r="CC191" s="146"/>
      <c r="CD191" s="146"/>
      <c r="CE191" s="146"/>
      <c r="CF191" s="146"/>
      <c r="CG191" s="146"/>
      <c r="CH191" s="146"/>
      <c r="CI191" s="146"/>
      <c r="CJ191" s="146"/>
      <c r="CK191" s="146"/>
      <c r="CL191" s="146"/>
      <c r="CM191" s="146"/>
      <c r="CN191" s="146"/>
      <c r="CO191" s="146"/>
      <c r="CP191" s="146"/>
      <c r="CQ191" s="146"/>
      <c r="CR191" s="146"/>
      <c r="CS191" s="146"/>
      <c r="CT191" s="146"/>
      <c r="CU191" s="146"/>
      <c r="CV191" s="146"/>
      <c r="CW191" s="146"/>
      <c r="CX191" s="146"/>
      <c r="CY191" s="146"/>
      <c r="CZ191" s="146"/>
      <c r="DA191" s="146"/>
      <c r="DB191" s="146"/>
      <c r="DC191" s="146"/>
    </row>
    <row r="192"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6"/>
      <c r="AQ192" s="146"/>
      <c r="AR192" s="146"/>
      <c r="AS192" s="146"/>
      <c r="AT192" s="146"/>
      <c r="AU192" s="146"/>
      <c r="AV192" s="146"/>
      <c r="AW192" s="146"/>
      <c r="AX192" s="146"/>
      <c r="AY192" s="146"/>
      <c r="AZ192" s="146"/>
      <c r="BA192" s="146"/>
      <c r="BB192" s="146"/>
      <c r="BC192" s="146"/>
      <c r="BD192" s="146"/>
      <c r="BE192" s="146"/>
      <c r="BF192" s="146"/>
      <c r="BG192" s="146"/>
      <c r="BH192" s="146"/>
      <c r="BI192" s="146"/>
      <c r="BJ192" s="146"/>
      <c r="BK192" s="146"/>
      <c r="BL192" s="146"/>
      <c r="BM192" s="146"/>
      <c r="BN192" s="146"/>
      <c r="BO192" s="146"/>
      <c r="BP192" s="146"/>
      <c r="BQ192" s="146"/>
      <c r="BR192" s="146"/>
      <c r="BS192" s="146"/>
      <c r="BT192" s="146"/>
      <c r="BU192" s="146"/>
      <c r="BV192" s="146"/>
      <c r="BW192" s="146"/>
      <c r="BX192" s="146"/>
      <c r="BY192" s="146"/>
      <c r="BZ192" s="146"/>
      <c r="CA192" s="146"/>
      <c r="CB192" s="146"/>
      <c r="CC192" s="146"/>
      <c r="CD192" s="146"/>
      <c r="CE192" s="146"/>
      <c r="CF192" s="146"/>
      <c r="CG192" s="146"/>
      <c r="CH192" s="146"/>
      <c r="CI192" s="146"/>
      <c r="CJ192" s="146"/>
      <c r="CK192" s="146"/>
      <c r="CL192" s="146"/>
      <c r="CM192" s="146"/>
      <c r="CN192" s="146"/>
      <c r="CO192" s="146"/>
      <c r="CP192" s="146"/>
      <c r="CQ192" s="146"/>
      <c r="CR192" s="146"/>
      <c r="CS192" s="146"/>
      <c r="CT192" s="146"/>
      <c r="CU192" s="146"/>
      <c r="CV192" s="146"/>
      <c r="CW192" s="146"/>
      <c r="CX192" s="146"/>
      <c r="CY192" s="146"/>
      <c r="CZ192" s="146"/>
      <c r="DA192" s="146"/>
      <c r="DB192" s="146"/>
      <c r="DC192" s="146"/>
    </row>
    <row r="193"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6"/>
      <c r="AQ193" s="146"/>
      <c r="AR193" s="146"/>
      <c r="AS193" s="146"/>
      <c r="AT193" s="146"/>
      <c r="AU193" s="146"/>
      <c r="AV193" s="146"/>
      <c r="AW193" s="146"/>
      <c r="AX193" s="146"/>
      <c r="AY193" s="146"/>
      <c r="AZ193" s="146"/>
      <c r="BA193" s="146"/>
      <c r="BB193" s="146"/>
      <c r="BC193" s="146"/>
      <c r="BD193" s="146"/>
      <c r="BE193" s="146"/>
      <c r="BF193" s="146"/>
      <c r="BG193" s="146"/>
      <c r="BH193" s="146"/>
      <c r="BI193" s="146"/>
      <c r="BJ193" s="146"/>
      <c r="BK193" s="146"/>
      <c r="BL193" s="146"/>
      <c r="BM193" s="146"/>
      <c r="BN193" s="146"/>
      <c r="BO193" s="146"/>
      <c r="BP193" s="146"/>
      <c r="BQ193" s="146"/>
      <c r="BR193" s="146"/>
      <c r="BS193" s="146"/>
      <c r="BT193" s="146"/>
      <c r="BU193" s="146"/>
      <c r="BV193" s="146"/>
      <c r="BW193" s="146"/>
      <c r="BX193" s="146"/>
      <c r="BY193" s="146"/>
      <c r="BZ193" s="146"/>
      <c r="CA193" s="146"/>
      <c r="CB193" s="146"/>
      <c r="CC193" s="146"/>
      <c r="CD193" s="146"/>
      <c r="CE193" s="146"/>
      <c r="CF193" s="146"/>
      <c r="CG193" s="146"/>
      <c r="CH193" s="146"/>
      <c r="CI193" s="146"/>
      <c r="CJ193" s="146"/>
      <c r="CK193" s="146"/>
      <c r="CL193" s="146"/>
      <c r="CM193" s="146"/>
      <c r="CN193" s="146"/>
      <c r="CO193" s="146"/>
      <c r="CP193" s="146"/>
      <c r="CQ193" s="146"/>
      <c r="CR193" s="146"/>
      <c r="CS193" s="146"/>
      <c r="CT193" s="146"/>
      <c r="CU193" s="146"/>
      <c r="CV193" s="146"/>
      <c r="CW193" s="146"/>
      <c r="CX193" s="146"/>
      <c r="CY193" s="146"/>
      <c r="CZ193" s="146"/>
      <c r="DA193" s="146"/>
      <c r="DB193" s="146"/>
      <c r="DC193" s="146"/>
    </row>
    <row r="194"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6"/>
      <c r="AQ194" s="146"/>
      <c r="AR194" s="146"/>
      <c r="AS194" s="146"/>
      <c r="AT194" s="146"/>
      <c r="AU194" s="146"/>
      <c r="AV194" s="146"/>
      <c r="AW194" s="146"/>
      <c r="AX194" s="146"/>
      <c r="AY194" s="146"/>
      <c r="AZ194" s="146"/>
      <c r="BA194" s="146"/>
      <c r="BB194" s="146"/>
      <c r="BC194" s="146"/>
      <c r="BD194" s="146"/>
      <c r="BE194" s="146"/>
      <c r="BF194" s="146"/>
      <c r="BG194" s="146"/>
      <c r="BH194" s="146"/>
      <c r="BI194" s="146"/>
      <c r="BJ194" s="146"/>
      <c r="BK194" s="146"/>
      <c r="BL194" s="146"/>
      <c r="BM194" s="146"/>
      <c r="BN194" s="146"/>
      <c r="BO194" s="146"/>
      <c r="BP194" s="146"/>
      <c r="BQ194" s="146"/>
      <c r="BR194" s="146"/>
      <c r="BS194" s="146"/>
      <c r="BT194" s="146"/>
      <c r="BU194" s="146"/>
      <c r="BV194" s="146"/>
      <c r="BW194" s="146"/>
      <c r="BX194" s="146"/>
      <c r="BY194" s="146"/>
      <c r="BZ194" s="146"/>
      <c r="CA194" s="146"/>
      <c r="CB194" s="146"/>
      <c r="CC194" s="146"/>
      <c r="CD194" s="146"/>
      <c r="CE194" s="146"/>
      <c r="CF194" s="146"/>
      <c r="CG194" s="146"/>
      <c r="CH194" s="146"/>
      <c r="CI194" s="146"/>
      <c r="CJ194" s="146"/>
      <c r="CK194" s="146"/>
      <c r="CL194" s="146"/>
      <c r="CM194" s="146"/>
      <c r="CN194" s="146"/>
      <c r="CO194" s="146"/>
      <c r="CP194" s="146"/>
      <c r="CQ194" s="146"/>
      <c r="CR194" s="146"/>
      <c r="CS194" s="146"/>
      <c r="CT194" s="146"/>
      <c r="CU194" s="146"/>
      <c r="CV194" s="146"/>
      <c r="CW194" s="146"/>
      <c r="CX194" s="146"/>
      <c r="CY194" s="146"/>
      <c r="CZ194" s="146"/>
      <c r="DA194" s="146"/>
      <c r="DB194" s="146"/>
      <c r="DC194" s="146"/>
    </row>
    <row r="195"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6"/>
      <c r="AQ195" s="146"/>
      <c r="AR195" s="146"/>
      <c r="AS195" s="146"/>
      <c r="AT195" s="146"/>
      <c r="AU195" s="146"/>
      <c r="AV195" s="146"/>
      <c r="AW195" s="146"/>
      <c r="AX195" s="146"/>
      <c r="AY195" s="146"/>
      <c r="AZ195" s="146"/>
      <c r="BA195" s="146"/>
      <c r="BB195" s="146"/>
      <c r="BC195" s="146"/>
      <c r="BD195" s="146"/>
      <c r="BE195" s="146"/>
      <c r="BF195" s="146"/>
      <c r="BG195" s="146"/>
      <c r="BH195" s="146"/>
      <c r="BI195" s="146"/>
      <c r="BJ195" s="146"/>
      <c r="BK195" s="146"/>
      <c r="BL195" s="146"/>
      <c r="BM195" s="146"/>
      <c r="BN195" s="146"/>
      <c r="BO195" s="146"/>
      <c r="BP195" s="146"/>
      <c r="BQ195" s="146"/>
      <c r="BR195" s="146"/>
      <c r="BS195" s="146"/>
      <c r="BT195" s="146"/>
      <c r="BU195" s="146"/>
      <c r="BV195" s="146"/>
      <c r="BW195" s="146"/>
      <c r="BX195" s="146"/>
      <c r="BY195" s="146"/>
      <c r="BZ195" s="146"/>
      <c r="CA195" s="146"/>
      <c r="CB195" s="146"/>
      <c r="CC195" s="146"/>
      <c r="CD195" s="146"/>
      <c r="CE195" s="146"/>
      <c r="CF195" s="146"/>
      <c r="CG195" s="146"/>
      <c r="CH195" s="146"/>
      <c r="CI195" s="146"/>
      <c r="CJ195" s="146"/>
      <c r="CK195" s="146"/>
      <c r="CL195" s="146"/>
      <c r="CM195" s="146"/>
      <c r="CN195" s="146"/>
      <c r="CO195" s="146"/>
      <c r="CP195" s="146"/>
      <c r="CQ195" s="146"/>
      <c r="CR195" s="146"/>
      <c r="CS195" s="146"/>
      <c r="CT195" s="146"/>
      <c r="CU195" s="146"/>
      <c r="CV195" s="146"/>
      <c r="CW195" s="146"/>
      <c r="CX195" s="146"/>
      <c r="CY195" s="146"/>
      <c r="CZ195" s="146"/>
      <c r="DA195" s="146"/>
      <c r="DB195" s="146"/>
      <c r="DC195" s="146"/>
    </row>
    <row r="196"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6"/>
      <c r="AQ196" s="146"/>
      <c r="AR196" s="146"/>
      <c r="AS196" s="146"/>
      <c r="AT196" s="146"/>
      <c r="AU196" s="146"/>
      <c r="AV196" s="146"/>
      <c r="AW196" s="146"/>
      <c r="AX196" s="146"/>
      <c r="AY196" s="146"/>
      <c r="AZ196" s="146"/>
      <c r="BA196" s="146"/>
      <c r="BB196" s="146"/>
      <c r="BC196" s="146"/>
      <c r="BD196" s="146"/>
      <c r="BE196" s="146"/>
      <c r="BF196" s="146"/>
      <c r="BG196" s="146"/>
      <c r="BH196" s="146"/>
      <c r="BI196" s="146"/>
      <c r="BJ196" s="146"/>
      <c r="BK196" s="146"/>
      <c r="BL196" s="146"/>
      <c r="BM196" s="146"/>
      <c r="BN196" s="146"/>
      <c r="BO196" s="146"/>
      <c r="BP196" s="146"/>
      <c r="BQ196" s="146"/>
      <c r="BR196" s="146"/>
      <c r="BS196" s="146"/>
      <c r="BT196" s="146"/>
      <c r="BU196" s="146"/>
      <c r="BV196" s="146"/>
      <c r="BW196" s="146"/>
      <c r="BX196" s="146"/>
      <c r="BY196" s="146"/>
      <c r="BZ196" s="146"/>
      <c r="CA196" s="146"/>
      <c r="CB196" s="146"/>
      <c r="CC196" s="146"/>
      <c r="CD196" s="146"/>
      <c r="CE196" s="146"/>
      <c r="CF196" s="146"/>
      <c r="CG196" s="146"/>
      <c r="CH196" s="146"/>
      <c r="CI196" s="146"/>
      <c r="CJ196" s="146"/>
      <c r="CK196" s="146"/>
      <c r="CL196" s="146"/>
      <c r="CM196" s="146"/>
      <c r="CN196" s="146"/>
      <c r="CO196" s="146"/>
      <c r="CP196" s="146"/>
      <c r="CQ196" s="146"/>
      <c r="CR196" s="146"/>
      <c r="CS196" s="146"/>
      <c r="CT196" s="146"/>
      <c r="CU196" s="146"/>
      <c r="CV196" s="146"/>
      <c r="CW196" s="146"/>
      <c r="CX196" s="146"/>
      <c r="CY196" s="146"/>
      <c r="CZ196" s="146"/>
      <c r="DA196" s="146"/>
      <c r="DB196" s="146"/>
      <c r="DC196" s="146"/>
    </row>
    <row r="197"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6"/>
      <c r="AQ197" s="146"/>
      <c r="AR197" s="146"/>
      <c r="AS197" s="146"/>
      <c r="AT197" s="146"/>
      <c r="AU197" s="146"/>
      <c r="AV197" s="146"/>
      <c r="AW197" s="146"/>
      <c r="AX197" s="146"/>
      <c r="AY197" s="146"/>
      <c r="AZ197" s="146"/>
      <c r="BA197" s="146"/>
      <c r="BB197" s="146"/>
      <c r="BC197" s="146"/>
      <c r="BD197" s="146"/>
      <c r="BE197" s="146"/>
      <c r="BF197" s="146"/>
      <c r="BG197" s="146"/>
      <c r="BH197" s="146"/>
      <c r="BI197" s="146"/>
      <c r="BJ197" s="146"/>
      <c r="BK197" s="146"/>
      <c r="BL197" s="146"/>
      <c r="BM197" s="146"/>
      <c r="BN197" s="146"/>
      <c r="BO197" s="146"/>
      <c r="BP197" s="146"/>
      <c r="BQ197" s="146"/>
      <c r="BR197" s="146"/>
      <c r="BS197" s="146"/>
      <c r="BT197" s="146"/>
      <c r="BU197" s="146"/>
      <c r="BV197" s="146"/>
      <c r="BW197" s="146"/>
      <c r="BX197" s="146"/>
      <c r="BY197" s="146"/>
      <c r="BZ197" s="146"/>
      <c r="CA197" s="146"/>
      <c r="CB197" s="146"/>
      <c r="CC197" s="146"/>
      <c r="CD197" s="146"/>
      <c r="CE197" s="146"/>
      <c r="CF197" s="146"/>
      <c r="CG197" s="146"/>
      <c r="CH197" s="146"/>
      <c r="CI197" s="146"/>
      <c r="CJ197" s="146"/>
      <c r="CK197" s="146"/>
      <c r="CL197" s="146"/>
      <c r="CM197" s="146"/>
      <c r="CN197" s="146"/>
      <c r="CO197" s="146"/>
      <c r="CP197" s="146"/>
      <c r="CQ197" s="146"/>
      <c r="CR197" s="146"/>
      <c r="CS197" s="146"/>
      <c r="CT197" s="146"/>
      <c r="CU197" s="146"/>
      <c r="CV197" s="146"/>
      <c r="CW197" s="146"/>
      <c r="CX197" s="146"/>
      <c r="CY197" s="146"/>
      <c r="CZ197" s="146"/>
      <c r="DA197" s="146"/>
      <c r="DB197" s="146"/>
      <c r="DC197" s="146"/>
    </row>
    <row r="198"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6"/>
      <c r="AQ198" s="146"/>
      <c r="AR198" s="146"/>
      <c r="AS198" s="146"/>
      <c r="AT198" s="146"/>
      <c r="AU198" s="146"/>
      <c r="AV198" s="146"/>
      <c r="AW198" s="146"/>
      <c r="AX198" s="146"/>
      <c r="AY198" s="146"/>
      <c r="AZ198" s="146"/>
      <c r="BA198" s="146"/>
      <c r="BB198" s="146"/>
      <c r="BC198" s="146"/>
      <c r="BD198" s="146"/>
      <c r="BE198" s="146"/>
      <c r="BF198" s="146"/>
      <c r="BG198" s="146"/>
      <c r="BH198" s="146"/>
      <c r="BI198" s="146"/>
      <c r="BJ198" s="146"/>
      <c r="BK198" s="146"/>
      <c r="BL198" s="146"/>
      <c r="BM198" s="146"/>
      <c r="BN198" s="146"/>
      <c r="BO198" s="146"/>
      <c r="BP198" s="146"/>
      <c r="BQ198" s="146"/>
      <c r="BR198" s="146"/>
      <c r="BS198" s="146"/>
      <c r="BT198" s="146"/>
      <c r="BU198" s="146"/>
      <c r="BV198" s="146"/>
      <c r="BW198" s="146"/>
      <c r="BX198" s="146"/>
      <c r="BY198" s="146"/>
      <c r="BZ198" s="146"/>
      <c r="CA198" s="146"/>
      <c r="CB198" s="146"/>
      <c r="CC198" s="146"/>
      <c r="CD198" s="146"/>
      <c r="CE198" s="146"/>
      <c r="CF198" s="146"/>
      <c r="CG198" s="146"/>
      <c r="CH198" s="146"/>
      <c r="CI198" s="146"/>
      <c r="CJ198" s="146"/>
      <c r="CK198" s="146"/>
      <c r="CL198" s="146"/>
      <c r="CM198" s="146"/>
      <c r="CN198" s="146"/>
      <c r="CO198" s="146"/>
      <c r="CP198" s="146"/>
      <c r="CQ198" s="146"/>
      <c r="CR198" s="146"/>
      <c r="CS198" s="146"/>
      <c r="CT198" s="146"/>
      <c r="CU198" s="146"/>
      <c r="CV198" s="146"/>
      <c r="CW198" s="146"/>
      <c r="CX198" s="146"/>
      <c r="CY198" s="146"/>
      <c r="CZ198" s="146"/>
      <c r="DA198" s="146"/>
      <c r="DB198" s="146"/>
      <c r="DC198" s="146"/>
    </row>
    <row r="199" ht="15.75" customHeight="1">
      <c r="A199" s="144"/>
      <c r="B199" s="144"/>
      <c r="C199" s="145"/>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84"/>
      <c r="AC199" s="184"/>
      <c r="AD199" s="184"/>
      <c r="AE199" s="184"/>
      <c r="AF199" s="184"/>
      <c r="AG199" s="184"/>
      <c r="AH199" s="184"/>
      <c r="AI199" s="184"/>
      <c r="AJ199" s="184"/>
      <c r="AK199" s="184"/>
      <c r="AL199" s="184"/>
      <c r="AM199" s="184"/>
      <c r="AN199" s="144"/>
      <c r="AO199" s="144"/>
      <c r="AP199" s="146"/>
      <c r="AQ199" s="146"/>
      <c r="AR199" s="146"/>
      <c r="AS199" s="146"/>
      <c r="AT199" s="146"/>
      <c r="AU199" s="146"/>
      <c r="AV199" s="146"/>
      <c r="AW199" s="146"/>
      <c r="AX199" s="146"/>
      <c r="AY199" s="146"/>
      <c r="AZ199" s="146"/>
      <c r="BA199" s="146"/>
      <c r="BB199" s="146"/>
      <c r="BC199" s="146"/>
      <c r="BD199" s="146"/>
      <c r="BE199" s="146"/>
      <c r="BF199" s="146"/>
      <c r="BG199" s="146"/>
      <c r="BH199" s="146"/>
      <c r="BI199" s="146"/>
      <c r="BJ199" s="146"/>
      <c r="BK199" s="146"/>
      <c r="BL199" s="146"/>
      <c r="BM199" s="146"/>
      <c r="BN199" s="146"/>
      <c r="BO199" s="146"/>
      <c r="BP199" s="146"/>
      <c r="BQ199" s="146"/>
      <c r="BR199" s="146"/>
      <c r="BS199" s="146"/>
      <c r="BT199" s="146"/>
      <c r="BU199" s="146"/>
      <c r="BV199" s="146"/>
      <c r="BW199" s="146"/>
      <c r="BX199" s="146"/>
      <c r="BY199" s="146"/>
      <c r="BZ199" s="146"/>
      <c r="CA199" s="146"/>
      <c r="CB199" s="146"/>
      <c r="CC199" s="146"/>
      <c r="CD199" s="146"/>
      <c r="CE199" s="146"/>
      <c r="CF199" s="146"/>
      <c r="CG199" s="146"/>
      <c r="CH199" s="146"/>
      <c r="CI199" s="146"/>
      <c r="CJ199" s="146"/>
      <c r="CK199" s="146"/>
      <c r="CL199" s="146"/>
      <c r="CM199" s="146"/>
      <c r="CN199" s="146"/>
      <c r="CO199" s="146"/>
      <c r="CP199" s="146"/>
      <c r="CQ199" s="146"/>
      <c r="CR199" s="146"/>
      <c r="CS199" s="146"/>
      <c r="CT199" s="146"/>
      <c r="CU199" s="146"/>
      <c r="CV199" s="146"/>
      <c r="CW199" s="146"/>
      <c r="CX199" s="146"/>
      <c r="CY199" s="146"/>
      <c r="CZ199" s="146"/>
      <c r="DA199" s="146"/>
      <c r="DB199" s="146"/>
      <c r="DC199" s="146"/>
    </row>
    <row r="200" ht="15.75" customHeight="1">
      <c r="A200" s="144"/>
      <c r="B200" s="144"/>
      <c r="C200" s="145"/>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44"/>
      <c r="AP200" s="146"/>
      <c r="AQ200" s="146"/>
      <c r="AR200" s="146"/>
      <c r="AS200" s="146"/>
      <c r="AT200" s="146"/>
      <c r="AU200" s="146"/>
      <c r="AV200" s="146"/>
      <c r="AW200" s="146"/>
      <c r="AX200" s="146"/>
      <c r="AY200" s="146"/>
      <c r="AZ200" s="146"/>
      <c r="BA200" s="146"/>
      <c r="BB200" s="146"/>
      <c r="BC200" s="146"/>
      <c r="BD200" s="146"/>
      <c r="BE200" s="146"/>
      <c r="BF200" s="146"/>
      <c r="BG200" s="146"/>
      <c r="BH200" s="146"/>
      <c r="BI200" s="146"/>
      <c r="BJ200" s="146"/>
      <c r="BK200" s="146"/>
      <c r="BL200" s="146"/>
      <c r="BM200" s="146"/>
      <c r="BN200" s="146"/>
      <c r="BO200" s="146"/>
      <c r="BP200" s="146"/>
      <c r="BQ200" s="146"/>
      <c r="BR200" s="146"/>
      <c r="BS200" s="146"/>
      <c r="BT200" s="146"/>
      <c r="BU200" s="146"/>
      <c r="BV200" s="146"/>
      <c r="BW200" s="146"/>
      <c r="BX200" s="146"/>
      <c r="BY200" s="146"/>
      <c r="BZ200" s="146"/>
      <c r="CA200" s="146"/>
      <c r="CB200" s="146"/>
      <c r="CC200" s="146"/>
      <c r="CD200" s="146"/>
      <c r="CE200" s="146"/>
      <c r="CF200" s="146"/>
      <c r="CG200" s="146"/>
      <c r="CH200" s="146"/>
      <c r="CI200" s="146"/>
      <c r="CJ200" s="146"/>
      <c r="CK200" s="146"/>
      <c r="CL200" s="146"/>
      <c r="CM200" s="146"/>
      <c r="CN200" s="146"/>
      <c r="CO200" s="146"/>
      <c r="CP200" s="146"/>
      <c r="CQ200" s="146"/>
      <c r="CR200" s="146"/>
      <c r="CS200" s="146"/>
      <c r="CT200" s="146"/>
      <c r="CU200" s="146"/>
      <c r="CV200" s="146"/>
      <c r="CW200" s="146"/>
      <c r="CX200" s="146"/>
      <c r="CY200" s="146"/>
      <c r="CZ200" s="146"/>
      <c r="DA200" s="146"/>
      <c r="DB200" s="146"/>
      <c r="DC200" s="146"/>
    </row>
    <row r="201"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6"/>
      <c r="AQ201" s="146"/>
      <c r="AR201" s="146"/>
      <c r="AS201" s="146"/>
      <c r="AT201" s="146"/>
      <c r="AU201" s="146"/>
      <c r="AV201" s="146"/>
      <c r="AW201" s="146"/>
      <c r="AX201" s="146"/>
      <c r="AY201" s="146"/>
      <c r="AZ201" s="146"/>
      <c r="BA201" s="146"/>
      <c r="BB201" s="146"/>
      <c r="BC201" s="146"/>
      <c r="BD201" s="146"/>
      <c r="BE201" s="146"/>
      <c r="BF201" s="146"/>
      <c r="BG201" s="146"/>
      <c r="BH201" s="146"/>
      <c r="BI201" s="146"/>
      <c r="BJ201" s="146"/>
      <c r="BK201" s="146"/>
      <c r="BL201" s="146"/>
      <c r="BM201" s="146"/>
      <c r="BN201" s="146"/>
      <c r="BO201" s="146"/>
      <c r="BP201" s="146"/>
      <c r="BQ201" s="146"/>
      <c r="BR201" s="146"/>
      <c r="BS201" s="146"/>
      <c r="BT201" s="146"/>
      <c r="BU201" s="146"/>
      <c r="BV201" s="146"/>
      <c r="BW201" s="146"/>
      <c r="BX201" s="146"/>
      <c r="BY201" s="146"/>
      <c r="BZ201" s="146"/>
      <c r="CA201" s="146"/>
      <c r="CB201" s="146"/>
      <c r="CC201" s="146"/>
      <c r="CD201" s="146"/>
      <c r="CE201" s="146"/>
      <c r="CF201" s="146"/>
      <c r="CG201" s="146"/>
      <c r="CH201" s="146"/>
      <c r="CI201" s="146"/>
      <c r="CJ201" s="146"/>
      <c r="CK201" s="146"/>
      <c r="CL201" s="146"/>
      <c r="CM201" s="146"/>
      <c r="CN201" s="146"/>
      <c r="CO201" s="146"/>
      <c r="CP201" s="146"/>
      <c r="CQ201" s="146"/>
      <c r="CR201" s="146"/>
      <c r="CS201" s="146"/>
      <c r="CT201" s="146"/>
      <c r="CU201" s="146"/>
      <c r="CV201" s="146"/>
      <c r="CW201" s="146"/>
      <c r="CX201" s="146"/>
      <c r="CY201" s="146"/>
      <c r="CZ201" s="146"/>
      <c r="DA201" s="146"/>
      <c r="DB201" s="146"/>
      <c r="DC201" s="146"/>
    </row>
    <row r="202"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6"/>
      <c r="AQ202" s="146"/>
      <c r="AR202" s="146"/>
      <c r="AS202" s="146"/>
      <c r="AT202" s="146"/>
      <c r="AU202" s="146"/>
      <c r="AV202" s="146"/>
      <c r="AW202" s="146"/>
      <c r="AX202" s="146"/>
      <c r="AY202" s="146"/>
      <c r="AZ202" s="146"/>
      <c r="BA202" s="146"/>
      <c r="BB202" s="146"/>
      <c r="BC202" s="146"/>
      <c r="BD202" s="146"/>
      <c r="BE202" s="146"/>
      <c r="BF202" s="146"/>
      <c r="BG202" s="146"/>
      <c r="BH202" s="146"/>
      <c r="BI202" s="146"/>
      <c r="BJ202" s="146"/>
      <c r="BK202" s="146"/>
      <c r="BL202" s="146"/>
      <c r="BM202" s="146"/>
      <c r="BN202" s="146"/>
      <c r="BO202" s="146"/>
      <c r="BP202" s="146"/>
      <c r="BQ202" s="146"/>
      <c r="BR202" s="146"/>
      <c r="BS202" s="146"/>
      <c r="BT202" s="146"/>
      <c r="BU202" s="146"/>
      <c r="BV202" s="146"/>
      <c r="BW202" s="146"/>
      <c r="BX202" s="146"/>
      <c r="BY202" s="146"/>
      <c r="BZ202" s="146"/>
      <c r="CA202" s="146"/>
      <c r="CB202" s="146"/>
      <c r="CC202" s="146"/>
      <c r="CD202" s="146"/>
      <c r="CE202" s="146"/>
      <c r="CF202" s="146"/>
      <c r="CG202" s="146"/>
      <c r="CH202" s="146"/>
      <c r="CI202" s="146"/>
      <c r="CJ202" s="146"/>
      <c r="CK202" s="146"/>
      <c r="CL202" s="146"/>
      <c r="CM202" s="146"/>
      <c r="CN202" s="146"/>
      <c r="CO202" s="146"/>
      <c r="CP202" s="146"/>
      <c r="CQ202" s="146"/>
      <c r="CR202" s="146"/>
      <c r="CS202" s="146"/>
      <c r="CT202" s="146"/>
      <c r="CU202" s="146"/>
      <c r="CV202" s="146"/>
      <c r="CW202" s="146"/>
      <c r="CX202" s="146"/>
      <c r="CY202" s="146"/>
      <c r="CZ202" s="146"/>
      <c r="DA202" s="146"/>
      <c r="DB202" s="146"/>
      <c r="DC202" s="146"/>
    </row>
    <row r="203"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6"/>
      <c r="AQ203" s="146"/>
      <c r="AR203" s="146"/>
      <c r="AS203" s="146"/>
      <c r="AT203" s="146"/>
      <c r="AU203" s="146"/>
      <c r="AV203" s="146"/>
      <c r="AW203" s="146"/>
      <c r="AX203" s="146"/>
      <c r="AY203" s="146"/>
      <c r="AZ203" s="146"/>
      <c r="BA203" s="146"/>
      <c r="BB203" s="146"/>
      <c r="BC203" s="146"/>
      <c r="BD203" s="146"/>
      <c r="BE203" s="146"/>
      <c r="BF203" s="146"/>
      <c r="BG203" s="146"/>
      <c r="BH203" s="146"/>
      <c r="BI203" s="146"/>
      <c r="BJ203" s="146"/>
      <c r="BK203" s="146"/>
      <c r="BL203" s="146"/>
      <c r="BM203" s="146"/>
      <c r="BN203" s="146"/>
      <c r="BO203" s="146"/>
      <c r="BP203" s="146"/>
      <c r="BQ203" s="146"/>
      <c r="BR203" s="146"/>
      <c r="BS203" s="146"/>
      <c r="BT203" s="146"/>
      <c r="BU203" s="146"/>
      <c r="BV203" s="146"/>
      <c r="BW203" s="146"/>
      <c r="BX203" s="146"/>
      <c r="BY203" s="146"/>
      <c r="BZ203" s="146"/>
      <c r="CA203" s="146"/>
      <c r="CB203" s="146"/>
      <c r="CC203" s="146"/>
      <c r="CD203" s="146"/>
      <c r="CE203" s="146"/>
      <c r="CF203" s="146"/>
      <c r="CG203" s="146"/>
      <c r="CH203" s="146"/>
      <c r="CI203" s="146"/>
      <c r="CJ203" s="146"/>
      <c r="CK203" s="146"/>
      <c r="CL203" s="146"/>
      <c r="CM203" s="146"/>
      <c r="CN203" s="146"/>
      <c r="CO203" s="146"/>
      <c r="CP203" s="146"/>
      <c r="CQ203" s="146"/>
      <c r="CR203" s="146"/>
      <c r="CS203" s="146"/>
      <c r="CT203" s="146"/>
      <c r="CU203" s="146"/>
      <c r="CV203" s="146"/>
      <c r="CW203" s="146"/>
      <c r="CX203" s="146"/>
      <c r="CY203" s="146"/>
      <c r="CZ203" s="146"/>
      <c r="DA203" s="146"/>
      <c r="DB203" s="146"/>
      <c r="DC203" s="146"/>
    </row>
    <row r="20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6"/>
      <c r="AQ204" s="146"/>
      <c r="AR204" s="146"/>
      <c r="AS204" s="146"/>
      <c r="AT204" s="146"/>
      <c r="AU204" s="146"/>
      <c r="AV204" s="146"/>
      <c r="AW204" s="146"/>
      <c r="AX204" s="146"/>
      <c r="AY204" s="146"/>
      <c r="AZ204" s="146"/>
      <c r="BA204" s="146"/>
      <c r="BB204" s="146"/>
      <c r="BC204" s="146"/>
      <c r="BD204" s="146"/>
      <c r="BE204" s="146"/>
      <c r="BF204" s="146"/>
      <c r="BG204" s="146"/>
      <c r="BH204" s="146"/>
      <c r="BI204" s="146"/>
      <c r="BJ204" s="146"/>
      <c r="BK204" s="146"/>
      <c r="BL204" s="146"/>
      <c r="BM204" s="146"/>
      <c r="BN204" s="146"/>
      <c r="BO204" s="146"/>
      <c r="BP204" s="146"/>
      <c r="BQ204" s="146"/>
      <c r="BR204" s="146"/>
      <c r="BS204" s="146"/>
      <c r="BT204" s="146"/>
      <c r="BU204" s="146"/>
      <c r="BV204" s="146"/>
      <c r="BW204" s="146"/>
      <c r="BX204" s="146"/>
      <c r="BY204" s="146"/>
      <c r="BZ204" s="146"/>
      <c r="CA204" s="146"/>
      <c r="CB204" s="146"/>
      <c r="CC204" s="146"/>
      <c r="CD204" s="146"/>
      <c r="CE204" s="146"/>
      <c r="CF204" s="146"/>
      <c r="CG204" s="146"/>
      <c r="CH204" s="146"/>
      <c r="CI204" s="146"/>
      <c r="CJ204" s="146"/>
      <c r="CK204" s="146"/>
      <c r="CL204" s="146"/>
      <c r="CM204" s="146"/>
      <c r="CN204" s="146"/>
      <c r="CO204" s="146"/>
      <c r="CP204" s="146"/>
      <c r="CQ204" s="146"/>
      <c r="CR204" s="146"/>
      <c r="CS204" s="146"/>
      <c r="CT204" s="146"/>
      <c r="CU204" s="146"/>
      <c r="CV204" s="146"/>
      <c r="CW204" s="146"/>
      <c r="CX204" s="146"/>
      <c r="CY204" s="146"/>
      <c r="CZ204" s="146"/>
      <c r="DA204" s="146"/>
      <c r="DB204" s="146"/>
      <c r="DC204" s="146"/>
    </row>
    <row r="205"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6"/>
      <c r="AQ205" s="146"/>
      <c r="AR205" s="146"/>
      <c r="AS205" s="146"/>
      <c r="AT205" s="146"/>
      <c r="AU205" s="146"/>
      <c r="AV205" s="146"/>
      <c r="AW205" s="146"/>
      <c r="AX205" s="146"/>
      <c r="AY205" s="146"/>
      <c r="AZ205" s="146"/>
      <c r="BA205" s="146"/>
      <c r="BB205" s="146"/>
      <c r="BC205" s="146"/>
      <c r="BD205" s="146"/>
      <c r="BE205" s="146"/>
      <c r="BF205" s="146"/>
      <c r="BG205" s="146"/>
      <c r="BH205" s="146"/>
      <c r="BI205" s="146"/>
      <c r="BJ205" s="146"/>
      <c r="BK205" s="146"/>
      <c r="BL205" s="146"/>
      <c r="BM205" s="146"/>
      <c r="BN205" s="146"/>
      <c r="BO205" s="146"/>
      <c r="BP205" s="146"/>
      <c r="BQ205" s="146"/>
      <c r="BR205" s="146"/>
      <c r="BS205" s="146"/>
      <c r="BT205" s="146"/>
      <c r="BU205" s="146"/>
      <c r="BV205" s="146"/>
      <c r="BW205" s="146"/>
      <c r="BX205" s="146"/>
      <c r="BY205" s="146"/>
      <c r="BZ205" s="146"/>
      <c r="CA205" s="146"/>
      <c r="CB205" s="146"/>
      <c r="CC205" s="146"/>
      <c r="CD205" s="146"/>
      <c r="CE205" s="146"/>
      <c r="CF205" s="146"/>
      <c r="CG205" s="146"/>
      <c r="CH205" s="146"/>
      <c r="CI205" s="146"/>
      <c r="CJ205" s="146"/>
      <c r="CK205" s="146"/>
      <c r="CL205" s="146"/>
      <c r="CM205" s="146"/>
      <c r="CN205" s="146"/>
      <c r="CO205" s="146"/>
      <c r="CP205" s="146"/>
      <c r="CQ205" s="146"/>
      <c r="CR205" s="146"/>
      <c r="CS205" s="146"/>
      <c r="CT205" s="146"/>
      <c r="CU205" s="146"/>
      <c r="CV205" s="146"/>
      <c r="CW205" s="146"/>
      <c r="CX205" s="146"/>
      <c r="CY205" s="146"/>
      <c r="CZ205" s="146"/>
      <c r="DA205" s="146"/>
      <c r="DB205" s="146"/>
      <c r="DC205" s="146"/>
    </row>
    <row r="206"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6"/>
      <c r="AQ206" s="146"/>
      <c r="AR206" s="146"/>
      <c r="AS206" s="146"/>
      <c r="AT206" s="146"/>
      <c r="AU206" s="146"/>
      <c r="AV206" s="146"/>
      <c r="AW206" s="146"/>
      <c r="AX206" s="146"/>
      <c r="AY206" s="146"/>
      <c r="AZ206" s="146"/>
      <c r="BA206" s="146"/>
      <c r="BB206" s="146"/>
      <c r="BC206" s="146"/>
      <c r="BD206" s="146"/>
      <c r="BE206" s="146"/>
      <c r="BF206" s="146"/>
      <c r="BG206" s="146"/>
      <c r="BH206" s="146"/>
      <c r="BI206" s="146"/>
      <c r="BJ206" s="146"/>
      <c r="BK206" s="146"/>
      <c r="BL206" s="146"/>
      <c r="BM206" s="146"/>
      <c r="BN206" s="146"/>
      <c r="BO206" s="146"/>
      <c r="BP206" s="146"/>
      <c r="BQ206" s="146"/>
      <c r="BR206" s="146"/>
      <c r="BS206" s="146"/>
      <c r="BT206" s="146"/>
      <c r="BU206" s="146"/>
      <c r="BV206" s="146"/>
      <c r="BW206" s="146"/>
      <c r="BX206" s="146"/>
      <c r="BY206" s="146"/>
      <c r="BZ206" s="146"/>
      <c r="CA206" s="146"/>
      <c r="CB206" s="146"/>
      <c r="CC206" s="146"/>
      <c r="CD206" s="146"/>
      <c r="CE206" s="146"/>
      <c r="CF206" s="146"/>
      <c r="CG206" s="146"/>
      <c r="CH206" s="146"/>
      <c r="CI206" s="146"/>
      <c r="CJ206" s="146"/>
      <c r="CK206" s="146"/>
      <c r="CL206" s="146"/>
      <c r="CM206" s="146"/>
      <c r="CN206" s="146"/>
      <c r="CO206" s="146"/>
      <c r="CP206" s="146"/>
      <c r="CQ206" s="146"/>
      <c r="CR206" s="146"/>
      <c r="CS206" s="146"/>
      <c r="CT206" s="146"/>
      <c r="CU206" s="146"/>
      <c r="CV206" s="146"/>
      <c r="CW206" s="146"/>
      <c r="CX206" s="146"/>
      <c r="CY206" s="146"/>
      <c r="CZ206" s="146"/>
      <c r="DA206" s="146"/>
      <c r="DB206" s="146"/>
      <c r="DC206" s="146"/>
    </row>
    <row r="207"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6"/>
      <c r="AQ207" s="146"/>
      <c r="AR207" s="146"/>
      <c r="AS207" s="146"/>
      <c r="AT207" s="146"/>
      <c r="AU207" s="146"/>
      <c r="AV207" s="146"/>
      <c r="AW207" s="146"/>
      <c r="AX207" s="146"/>
      <c r="AY207" s="146"/>
      <c r="AZ207" s="146"/>
      <c r="BA207" s="146"/>
      <c r="BB207" s="146"/>
      <c r="BC207" s="146"/>
      <c r="BD207" s="146"/>
      <c r="BE207" s="146"/>
      <c r="BF207" s="146"/>
      <c r="BG207" s="146"/>
      <c r="BH207" s="146"/>
      <c r="BI207" s="146"/>
      <c r="BJ207" s="146"/>
      <c r="BK207" s="146"/>
      <c r="BL207" s="146"/>
      <c r="BM207" s="146"/>
      <c r="BN207" s="146"/>
      <c r="BO207" s="146"/>
      <c r="BP207" s="146"/>
      <c r="BQ207" s="146"/>
      <c r="BR207" s="146"/>
      <c r="BS207" s="146"/>
      <c r="BT207" s="146"/>
      <c r="BU207" s="146"/>
      <c r="BV207" s="146"/>
      <c r="BW207" s="146"/>
      <c r="BX207" s="146"/>
      <c r="BY207" s="146"/>
      <c r="BZ207" s="146"/>
      <c r="CA207" s="146"/>
      <c r="CB207" s="146"/>
      <c r="CC207" s="146"/>
      <c r="CD207" s="146"/>
      <c r="CE207" s="146"/>
      <c r="CF207" s="146"/>
      <c r="CG207" s="146"/>
      <c r="CH207" s="146"/>
      <c r="CI207" s="146"/>
      <c r="CJ207" s="146"/>
      <c r="CK207" s="146"/>
      <c r="CL207" s="146"/>
      <c r="CM207" s="146"/>
      <c r="CN207" s="146"/>
      <c r="CO207" s="146"/>
      <c r="CP207" s="146"/>
      <c r="CQ207" s="146"/>
      <c r="CR207" s="146"/>
      <c r="CS207" s="146"/>
      <c r="CT207" s="146"/>
      <c r="CU207" s="146"/>
      <c r="CV207" s="146"/>
      <c r="CW207" s="146"/>
      <c r="CX207" s="146"/>
      <c r="CY207" s="146"/>
      <c r="CZ207" s="146"/>
      <c r="DA207" s="146"/>
      <c r="DB207" s="146"/>
      <c r="DC207" s="146"/>
    </row>
    <row r="208"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6"/>
      <c r="AQ208" s="146"/>
      <c r="AR208" s="146"/>
      <c r="AS208" s="146"/>
      <c r="AT208" s="146"/>
      <c r="AU208" s="146"/>
      <c r="AV208" s="146"/>
      <c r="AW208" s="146"/>
      <c r="AX208" s="146"/>
      <c r="AY208" s="146"/>
      <c r="AZ208" s="146"/>
      <c r="BA208" s="146"/>
      <c r="BB208" s="146"/>
      <c r="BC208" s="146"/>
      <c r="BD208" s="146"/>
      <c r="BE208" s="146"/>
      <c r="BF208" s="146"/>
      <c r="BG208" s="146"/>
      <c r="BH208" s="146"/>
      <c r="BI208" s="146"/>
      <c r="BJ208" s="146"/>
      <c r="BK208" s="146"/>
      <c r="BL208" s="146"/>
      <c r="BM208" s="146"/>
      <c r="BN208" s="146"/>
      <c r="BO208" s="146"/>
      <c r="BP208" s="146"/>
      <c r="BQ208" s="146"/>
      <c r="BR208" s="146"/>
      <c r="BS208" s="146"/>
      <c r="BT208" s="146"/>
      <c r="BU208" s="146"/>
      <c r="BV208" s="146"/>
      <c r="BW208" s="146"/>
      <c r="BX208" s="146"/>
      <c r="BY208" s="146"/>
      <c r="BZ208" s="146"/>
      <c r="CA208" s="146"/>
      <c r="CB208" s="146"/>
      <c r="CC208" s="146"/>
      <c r="CD208" s="146"/>
      <c r="CE208" s="146"/>
      <c r="CF208" s="146"/>
      <c r="CG208" s="146"/>
      <c r="CH208" s="146"/>
      <c r="CI208" s="146"/>
      <c r="CJ208" s="146"/>
      <c r="CK208" s="146"/>
      <c r="CL208" s="146"/>
      <c r="CM208" s="146"/>
      <c r="CN208" s="146"/>
      <c r="CO208" s="146"/>
      <c r="CP208" s="146"/>
      <c r="CQ208" s="146"/>
      <c r="CR208" s="146"/>
      <c r="CS208" s="146"/>
      <c r="CT208" s="146"/>
      <c r="CU208" s="146"/>
      <c r="CV208" s="146"/>
      <c r="CW208" s="146"/>
      <c r="CX208" s="146"/>
      <c r="CY208" s="146"/>
      <c r="CZ208" s="146"/>
      <c r="DA208" s="146"/>
      <c r="DB208" s="146"/>
      <c r="DC208" s="146"/>
    </row>
    <row r="209"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6"/>
      <c r="AQ209" s="146"/>
      <c r="AR209" s="146"/>
      <c r="AS209" s="146"/>
      <c r="AT209" s="146"/>
      <c r="AU209" s="146"/>
      <c r="AV209" s="146"/>
      <c r="AW209" s="146"/>
      <c r="AX209" s="146"/>
      <c r="AY209" s="146"/>
      <c r="AZ209" s="146"/>
      <c r="BA209" s="146"/>
      <c r="BB209" s="146"/>
      <c r="BC209" s="146"/>
      <c r="BD209" s="146"/>
      <c r="BE209" s="146"/>
      <c r="BF209" s="146"/>
      <c r="BG209" s="146"/>
      <c r="BH209" s="146"/>
      <c r="BI209" s="146"/>
      <c r="BJ209" s="146"/>
      <c r="BK209" s="146"/>
      <c r="BL209" s="146"/>
      <c r="BM209" s="146"/>
      <c r="BN209" s="146"/>
      <c r="BO209" s="146"/>
      <c r="BP209" s="146"/>
      <c r="BQ209" s="146"/>
      <c r="BR209" s="146"/>
      <c r="BS209" s="146"/>
      <c r="BT209" s="146"/>
      <c r="BU209" s="146"/>
      <c r="BV209" s="146"/>
      <c r="BW209" s="146"/>
      <c r="BX209" s="146"/>
      <c r="BY209" s="146"/>
      <c r="BZ209" s="146"/>
      <c r="CA209" s="146"/>
      <c r="CB209" s="146"/>
      <c r="CC209" s="146"/>
      <c r="CD209" s="146"/>
      <c r="CE209" s="146"/>
      <c r="CF209" s="146"/>
      <c r="CG209" s="146"/>
      <c r="CH209" s="146"/>
      <c r="CI209" s="146"/>
      <c r="CJ209" s="146"/>
      <c r="CK209" s="146"/>
      <c r="CL209" s="146"/>
      <c r="CM209" s="146"/>
      <c r="CN209" s="146"/>
      <c r="CO209" s="146"/>
      <c r="CP209" s="146"/>
      <c r="CQ209" s="146"/>
      <c r="CR209" s="146"/>
      <c r="CS209" s="146"/>
      <c r="CT209" s="146"/>
      <c r="CU209" s="146"/>
      <c r="CV209" s="146"/>
      <c r="CW209" s="146"/>
      <c r="CX209" s="146"/>
      <c r="CY209" s="146"/>
      <c r="CZ209" s="146"/>
      <c r="DA209" s="146"/>
      <c r="DB209" s="146"/>
      <c r="DC209" s="146"/>
    </row>
    <row r="210"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6"/>
      <c r="AQ210" s="146"/>
      <c r="AR210" s="146"/>
      <c r="AS210" s="146"/>
      <c r="AT210" s="146"/>
      <c r="AU210" s="146"/>
      <c r="AV210" s="146"/>
      <c r="AW210" s="146"/>
      <c r="AX210" s="146"/>
      <c r="AY210" s="146"/>
      <c r="AZ210" s="146"/>
      <c r="BA210" s="146"/>
      <c r="BB210" s="146"/>
      <c r="BC210" s="146"/>
      <c r="BD210" s="146"/>
      <c r="BE210" s="146"/>
      <c r="BF210" s="146"/>
      <c r="BG210" s="146"/>
      <c r="BH210" s="146"/>
      <c r="BI210" s="146"/>
      <c r="BJ210" s="146"/>
      <c r="BK210" s="146"/>
      <c r="BL210" s="146"/>
      <c r="BM210" s="146"/>
      <c r="BN210" s="146"/>
      <c r="BO210" s="146"/>
      <c r="BP210" s="146"/>
      <c r="BQ210" s="146"/>
      <c r="BR210" s="146"/>
      <c r="BS210" s="146"/>
      <c r="BT210" s="146"/>
      <c r="BU210" s="146"/>
      <c r="BV210" s="146"/>
      <c r="BW210" s="146"/>
      <c r="BX210" s="146"/>
      <c r="BY210" s="146"/>
      <c r="BZ210" s="146"/>
      <c r="CA210" s="146"/>
      <c r="CB210" s="146"/>
      <c r="CC210" s="146"/>
      <c r="CD210" s="146"/>
      <c r="CE210" s="146"/>
      <c r="CF210" s="146"/>
      <c r="CG210" s="146"/>
      <c r="CH210" s="146"/>
      <c r="CI210" s="146"/>
      <c r="CJ210" s="146"/>
      <c r="CK210" s="146"/>
      <c r="CL210" s="146"/>
      <c r="CM210" s="146"/>
      <c r="CN210" s="146"/>
      <c r="CO210" s="146"/>
      <c r="CP210" s="146"/>
      <c r="CQ210" s="146"/>
      <c r="CR210" s="146"/>
      <c r="CS210" s="146"/>
      <c r="CT210" s="146"/>
      <c r="CU210" s="146"/>
      <c r="CV210" s="146"/>
      <c r="CW210" s="146"/>
      <c r="CX210" s="146"/>
      <c r="CY210" s="146"/>
      <c r="CZ210" s="146"/>
      <c r="DA210" s="146"/>
      <c r="DB210" s="146"/>
      <c r="DC210" s="146"/>
    </row>
    <row r="211"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6"/>
      <c r="AQ211" s="146"/>
      <c r="AR211" s="146"/>
      <c r="AS211" s="146"/>
      <c r="AT211" s="146"/>
      <c r="AU211" s="146"/>
      <c r="AV211" s="146"/>
      <c r="AW211" s="146"/>
      <c r="AX211" s="146"/>
      <c r="AY211" s="146"/>
      <c r="AZ211" s="146"/>
      <c r="BA211" s="146"/>
      <c r="BB211" s="146"/>
      <c r="BC211" s="146"/>
      <c r="BD211" s="146"/>
      <c r="BE211" s="146"/>
      <c r="BF211" s="146"/>
      <c r="BG211" s="146"/>
      <c r="BH211" s="146"/>
      <c r="BI211" s="146"/>
      <c r="BJ211" s="146"/>
      <c r="BK211" s="146"/>
      <c r="BL211" s="146"/>
      <c r="BM211" s="146"/>
      <c r="BN211" s="146"/>
      <c r="BO211" s="146"/>
      <c r="BP211" s="146"/>
      <c r="BQ211" s="146"/>
      <c r="BR211" s="146"/>
      <c r="BS211" s="146"/>
      <c r="BT211" s="146"/>
      <c r="BU211" s="146"/>
      <c r="BV211" s="146"/>
      <c r="BW211" s="146"/>
      <c r="BX211" s="146"/>
      <c r="BY211" s="146"/>
      <c r="BZ211" s="146"/>
      <c r="CA211" s="146"/>
      <c r="CB211" s="146"/>
      <c r="CC211" s="146"/>
      <c r="CD211" s="146"/>
      <c r="CE211" s="146"/>
      <c r="CF211" s="146"/>
      <c r="CG211" s="146"/>
      <c r="CH211" s="146"/>
      <c r="CI211" s="146"/>
      <c r="CJ211" s="146"/>
      <c r="CK211" s="146"/>
      <c r="CL211" s="146"/>
      <c r="CM211" s="146"/>
      <c r="CN211" s="146"/>
      <c r="CO211" s="146"/>
      <c r="CP211" s="146"/>
      <c r="CQ211" s="146"/>
      <c r="CR211" s="146"/>
      <c r="CS211" s="146"/>
      <c r="CT211" s="146"/>
      <c r="CU211" s="146"/>
      <c r="CV211" s="146"/>
      <c r="CW211" s="146"/>
      <c r="CX211" s="146"/>
      <c r="CY211" s="146"/>
      <c r="CZ211" s="146"/>
      <c r="DA211" s="146"/>
      <c r="DB211" s="146"/>
      <c r="DC211" s="146"/>
    </row>
    <row r="212"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6"/>
      <c r="AQ212" s="146"/>
      <c r="AR212" s="146"/>
      <c r="AS212" s="146"/>
      <c r="AT212" s="146"/>
      <c r="AU212" s="146"/>
      <c r="AV212" s="146"/>
      <c r="AW212" s="146"/>
      <c r="AX212" s="146"/>
      <c r="AY212" s="146"/>
      <c r="AZ212" s="146"/>
      <c r="BA212" s="146"/>
      <c r="BB212" s="146"/>
      <c r="BC212" s="146"/>
      <c r="BD212" s="146"/>
      <c r="BE212" s="146"/>
      <c r="BF212" s="146"/>
      <c r="BG212" s="146"/>
      <c r="BH212" s="146"/>
      <c r="BI212" s="146"/>
      <c r="BJ212" s="146"/>
      <c r="BK212" s="146"/>
      <c r="BL212" s="146"/>
      <c r="BM212" s="146"/>
      <c r="BN212" s="146"/>
      <c r="BO212" s="146"/>
      <c r="BP212" s="146"/>
      <c r="BQ212" s="146"/>
      <c r="BR212" s="146"/>
      <c r="BS212" s="146"/>
      <c r="BT212" s="146"/>
      <c r="BU212" s="146"/>
      <c r="BV212" s="146"/>
      <c r="BW212" s="146"/>
      <c r="BX212" s="146"/>
      <c r="BY212" s="146"/>
      <c r="BZ212" s="146"/>
      <c r="CA212" s="146"/>
      <c r="CB212" s="146"/>
      <c r="CC212" s="146"/>
      <c r="CD212" s="146"/>
      <c r="CE212" s="146"/>
      <c r="CF212" s="146"/>
      <c r="CG212" s="146"/>
      <c r="CH212" s="146"/>
      <c r="CI212" s="146"/>
      <c r="CJ212" s="146"/>
      <c r="CK212" s="146"/>
      <c r="CL212" s="146"/>
      <c r="CM212" s="146"/>
      <c r="CN212" s="146"/>
      <c r="CO212" s="146"/>
      <c r="CP212" s="146"/>
      <c r="CQ212" s="146"/>
      <c r="CR212" s="146"/>
      <c r="CS212" s="146"/>
      <c r="CT212" s="146"/>
      <c r="CU212" s="146"/>
      <c r="CV212" s="146"/>
      <c r="CW212" s="146"/>
      <c r="CX212" s="146"/>
      <c r="CY212" s="146"/>
      <c r="CZ212" s="146"/>
      <c r="DA212" s="146"/>
      <c r="DB212" s="146"/>
      <c r="DC212" s="146"/>
    </row>
    <row r="213"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6"/>
      <c r="AQ213" s="146"/>
      <c r="AR213" s="146"/>
      <c r="AS213" s="146"/>
      <c r="AT213" s="146"/>
      <c r="AU213" s="146"/>
      <c r="AV213" s="146"/>
      <c r="AW213" s="146"/>
      <c r="AX213" s="146"/>
      <c r="AY213" s="146"/>
      <c r="AZ213" s="146"/>
      <c r="BA213" s="146"/>
      <c r="BB213" s="146"/>
      <c r="BC213" s="146"/>
      <c r="BD213" s="146"/>
      <c r="BE213" s="146"/>
      <c r="BF213" s="146"/>
      <c r="BG213" s="146"/>
      <c r="BH213" s="146"/>
      <c r="BI213" s="146"/>
      <c r="BJ213" s="146"/>
      <c r="BK213" s="146"/>
      <c r="BL213" s="146"/>
      <c r="BM213" s="146"/>
      <c r="BN213" s="146"/>
      <c r="BO213" s="146"/>
      <c r="BP213" s="146"/>
      <c r="BQ213" s="146"/>
      <c r="BR213" s="146"/>
      <c r="BS213" s="146"/>
      <c r="BT213" s="146"/>
      <c r="BU213" s="146"/>
      <c r="BV213" s="146"/>
      <c r="BW213" s="146"/>
      <c r="BX213" s="146"/>
      <c r="BY213" s="146"/>
      <c r="BZ213" s="146"/>
      <c r="CA213" s="146"/>
      <c r="CB213" s="146"/>
      <c r="CC213" s="146"/>
      <c r="CD213" s="146"/>
      <c r="CE213" s="146"/>
      <c r="CF213" s="146"/>
      <c r="CG213" s="146"/>
      <c r="CH213" s="146"/>
      <c r="CI213" s="146"/>
      <c r="CJ213" s="146"/>
      <c r="CK213" s="146"/>
      <c r="CL213" s="146"/>
      <c r="CM213" s="146"/>
      <c r="CN213" s="146"/>
      <c r="CO213" s="146"/>
      <c r="CP213" s="146"/>
      <c r="CQ213" s="146"/>
      <c r="CR213" s="146"/>
      <c r="CS213" s="146"/>
      <c r="CT213" s="146"/>
      <c r="CU213" s="146"/>
      <c r="CV213" s="146"/>
      <c r="CW213" s="146"/>
      <c r="CX213" s="146"/>
      <c r="CY213" s="146"/>
      <c r="CZ213" s="146"/>
      <c r="DA213" s="146"/>
      <c r="DB213" s="146"/>
      <c r="DC213" s="146"/>
    </row>
    <row r="21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6"/>
      <c r="AQ214" s="146"/>
      <c r="AR214" s="146"/>
      <c r="AS214" s="146"/>
      <c r="AT214" s="146"/>
      <c r="AU214" s="146"/>
      <c r="AV214" s="146"/>
      <c r="AW214" s="146"/>
      <c r="AX214" s="146"/>
      <c r="AY214" s="146"/>
      <c r="AZ214" s="146"/>
      <c r="BA214" s="146"/>
      <c r="BB214" s="146"/>
      <c r="BC214" s="146"/>
      <c r="BD214" s="146"/>
      <c r="BE214" s="146"/>
      <c r="BF214" s="146"/>
      <c r="BG214" s="146"/>
      <c r="BH214" s="146"/>
      <c r="BI214" s="146"/>
      <c r="BJ214" s="146"/>
      <c r="BK214" s="146"/>
      <c r="BL214" s="146"/>
      <c r="BM214" s="146"/>
      <c r="BN214" s="146"/>
      <c r="BO214" s="146"/>
      <c r="BP214" s="146"/>
      <c r="BQ214" s="146"/>
      <c r="BR214" s="146"/>
      <c r="BS214" s="146"/>
      <c r="BT214" s="146"/>
      <c r="BU214" s="146"/>
      <c r="BV214" s="146"/>
      <c r="BW214" s="146"/>
      <c r="BX214" s="146"/>
      <c r="BY214" s="146"/>
      <c r="BZ214" s="146"/>
      <c r="CA214" s="146"/>
      <c r="CB214" s="146"/>
      <c r="CC214" s="146"/>
      <c r="CD214" s="146"/>
      <c r="CE214" s="146"/>
      <c r="CF214" s="146"/>
      <c r="CG214" s="146"/>
      <c r="CH214" s="146"/>
      <c r="CI214" s="146"/>
      <c r="CJ214" s="146"/>
      <c r="CK214" s="146"/>
      <c r="CL214" s="146"/>
      <c r="CM214" s="146"/>
      <c r="CN214" s="146"/>
      <c r="CO214" s="146"/>
      <c r="CP214" s="146"/>
      <c r="CQ214" s="146"/>
      <c r="CR214" s="146"/>
      <c r="CS214" s="146"/>
      <c r="CT214" s="146"/>
      <c r="CU214" s="146"/>
      <c r="CV214" s="146"/>
      <c r="CW214" s="146"/>
      <c r="CX214" s="146"/>
      <c r="CY214" s="146"/>
      <c r="CZ214" s="146"/>
      <c r="DA214" s="146"/>
      <c r="DB214" s="146"/>
      <c r="DC214" s="146"/>
    </row>
    <row r="215"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6"/>
      <c r="AQ215" s="146"/>
      <c r="AR215" s="146"/>
      <c r="AS215" s="146"/>
      <c r="AT215" s="146"/>
      <c r="AU215" s="146"/>
      <c r="AV215" s="146"/>
      <c r="AW215" s="146"/>
      <c r="AX215" s="146"/>
      <c r="AY215" s="146"/>
      <c r="AZ215" s="146"/>
      <c r="BA215" s="146"/>
      <c r="BB215" s="146"/>
      <c r="BC215" s="146"/>
      <c r="BD215" s="146"/>
      <c r="BE215" s="146"/>
      <c r="BF215" s="146"/>
      <c r="BG215" s="146"/>
      <c r="BH215" s="146"/>
      <c r="BI215" s="146"/>
      <c r="BJ215" s="146"/>
      <c r="BK215" s="146"/>
      <c r="BL215" s="146"/>
      <c r="BM215" s="146"/>
      <c r="BN215" s="146"/>
      <c r="BO215" s="146"/>
      <c r="BP215" s="146"/>
      <c r="BQ215" s="146"/>
      <c r="BR215" s="146"/>
      <c r="BS215" s="146"/>
      <c r="BT215" s="146"/>
      <c r="BU215" s="146"/>
      <c r="BV215" s="146"/>
      <c r="BW215" s="146"/>
      <c r="BX215" s="146"/>
      <c r="BY215" s="146"/>
      <c r="BZ215" s="146"/>
      <c r="CA215" s="146"/>
      <c r="CB215" s="146"/>
      <c r="CC215" s="146"/>
      <c r="CD215" s="146"/>
      <c r="CE215" s="146"/>
      <c r="CF215" s="146"/>
      <c r="CG215" s="146"/>
      <c r="CH215" s="146"/>
      <c r="CI215" s="146"/>
      <c r="CJ215" s="146"/>
      <c r="CK215" s="146"/>
      <c r="CL215" s="146"/>
      <c r="CM215" s="146"/>
      <c r="CN215" s="146"/>
      <c r="CO215" s="146"/>
      <c r="CP215" s="146"/>
      <c r="CQ215" s="146"/>
      <c r="CR215" s="146"/>
      <c r="CS215" s="146"/>
      <c r="CT215" s="146"/>
      <c r="CU215" s="146"/>
      <c r="CV215" s="146"/>
      <c r="CW215" s="146"/>
      <c r="CX215" s="146"/>
      <c r="CY215" s="146"/>
      <c r="CZ215" s="146"/>
      <c r="DA215" s="146"/>
      <c r="DB215" s="146"/>
      <c r="DC215" s="146"/>
    </row>
    <row r="216"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6"/>
      <c r="AQ216" s="146"/>
      <c r="AR216" s="146"/>
      <c r="AS216" s="146"/>
      <c r="AT216" s="146"/>
      <c r="AU216" s="146"/>
      <c r="AV216" s="146"/>
      <c r="AW216" s="146"/>
      <c r="AX216" s="146"/>
      <c r="AY216" s="146"/>
      <c r="AZ216" s="146"/>
      <c r="BA216" s="146"/>
      <c r="BB216" s="146"/>
      <c r="BC216" s="146"/>
      <c r="BD216" s="146"/>
      <c r="BE216" s="146"/>
      <c r="BF216" s="146"/>
      <c r="BG216" s="146"/>
      <c r="BH216" s="146"/>
      <c r="BI216" s="146"/>
      <c r="BJ216" s="146"/>
      <c r="BK216" s="146"/>
      <c r="BL216" s="146"/>
      <c r="BM216" s="146"/>
      <c r="BN216" s="146"/>
      <c r="BO216" s="146"/>
      <c r="BP216" s="146"/>
      <c r="BQ216" s="146"/>
      <c r="BR216" s="146"/>
      <c r="BS216" s="146"/>
      <c r="BT216" s="146"/>
      <c r="BU216" s="146"/>
      <c r="BV216" s="146"/>
      <c r="BW216" s="146"/>
      <c r="BX216" s="146"/>
      <c r="BY216" s="146"/>
      <c r="BZ216" s="146"/>
      <c r="CA216" s="146"/>
      <c r="CB216" s="146"/>
      <c r="CC216" s="146"/>
      <c r="CD216" s="146"/>
      <c r="CE216" s="146"/>
      <c r="CF216" s="146"/>
      <c r="CG216" s="146"/>
      <c r="CH216" s="146"/>
      <c r="CI216" s="146"/>
      <c r="CJ216" s="146"/>
      <c r="CK216" s="146"/>
      <c r="CL216" s="146"/>
      <c r="CM216" s="146"/>
      <c r="CN216" s="146"/>
      <c r="CO216" s="146"/>
      <c r="CP216" s="146"/>
      <c r="CQ216" s="146"/>
      <c r="CR216" s="146"/>
      <c r="CS216" s="146"/>
      <c r="CT216" s="146"/>
      <c r="CU216" s="146"/>
      <c r="CV216" s="146"/>
      <c r="CW216" s="146"/>
      <c r="CX216" s="146"/>
      <c r="CY216" s="146"/>
      <c r="CZ216" s="146"/>
      <c r="DA216" s="146"/>
      <c r="DB216" s="146"/>
      <c r="DC216" s="146"/>
    </row>
    <row r="217"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6"/>
      <c r="AQ217" s="146"/>
      <c r="AR217" s="146"/>
      <c r="AS217" s="146"/>
      <c r="AT217" s="146"/>
      <c r="AU217" s="146"/>
      <c r="AV217" s="146"/>
      <c r="AW217" s="146"/>
      <c r="AX217" s="146"/>
      <c r="AY217" s="146"/>
      <c r="AZ217" s="146"/>
      <c r="BA217" s="146"/>
      <c r="BB217" s="146"/>
      <c r="BC217" s="146"/>
      <c r="BD217" s="146"/>
      <c r="BE217" s="146"/>
      <c r="BF217" s="146"/>
      <c r="BG217" s="146"/>
      <c r="BH217" s="146"/>
      <c r="BI217" s="146"/>
      <c r="BJ217" s="146"/>
      <c r="BK217" s="146"/>
      <c r="BL217" s="146"/>
      <c r="BM217" s="146"/>
      <c r="BN217" s="146"/>
      <c r="BO217" s="146"/>
      <c r="BP217" s="146"/>
      <c r="BQ217" s="146"/>
      <c r="BR217" s="146"/>
      <c r="BS217" s="146"/>
      <c r="BT217" s="146"/>
      <c r="BU217" s="146"/>
      <c r="BV217" s="146"/>
      <c r="BW217" s="146"/>
      <c r="BX217" s="146"/>
      <c r="BY217" s="146"/>
      <c r="BZ217" s="146"/>
      <c r="CA217" s="146"/>
      <c r="CB217" s="146"/>
      <c r="CC217" s="146"/>
      <c r="CD217" s="146"/>
      <c r="CE217" s="146"/>
      <c r="CF217" s="146"/>
      <c r="CG217" s="146"/>
      <c r="CH217" s="146"/>
      <c r="CI217" s="146"/>
      <c r="CJ217" s="146"/>
      <c r="CK217" s="146"/>
      <c r="CL217" s="146"/>
      <c r="CM217" s="146"/>
      <c r="CN217" s="146"/>
      <c r="CO217" s="146"/>
      <c r="CP217" s="146"/>
      <c r="CQ217" s="146"/>
      <c r="CR217" s="146"/>
      <c r="CS217" s="146"/>
      <c r="CT217" s="146"/>
      <c r="CU217" s="146"/>
      <c r="CV217" s="146"/>
      <c r="CW217" s="146"/>
      <c r="CX217" s="146"/>
      <c r="CY217" s="146"/>
      <c r="CZ217" s="146"/>
      <c r="DA217" s="146"/>
      <c r="DB217" s="146"/>
      <c r="DC217" s="146"/>
    </row>
    <row r="218"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6"/>
      <c r="AQ218" s="146"/>
      <c r="AR218" s="146"/>
      <c r="AS218" s="146"/>
      <c r="AT218" s="146"/>
      <c r="AU218" s="146"/>
      <c r="AV218" s="146"/>
      <c r="AW218" s="146"/>
      <c r="AX218" s="146"/>
      <c r="AY218" s="146"/>
      <c r="AZ218" s="146"/>
      <c r="BA218" s="146"/>
      <c r="BB218" s="146"/>
      <c r="BC218" s="146"/>
      <c r="BD218" s="146"/>
      <c r="BE218" s="146"/>
      <c r="BF218" s="146"/>
      <c r="BG218" s="146"/>
      <c r="BH218" s="146"/>
      <c r="BI218" s="146"/>
      <c r="BJ218" s="146"/>
      <c r="BK218" s="146"/>
      <c r="BL218" s="146"/>
      <c r="BM218" s="146"/>
      <c r="BN218" s="146"/>
      <c r="BO218" s="146"/>
      <c r="BP218" s="146"/>
      <c r="BQ218" s="146"/>
      <c r="BR218" s="146"/>
      <c r="BS218" s="146"/>
      <c r="BT218" s="146"/>
      <c r="BU218" s="146"/>
      <c r="BV218" s="146"/>
      <c r="BW218" s="146"/>
      <c r="BX218" s="146"/>
      <c r="BY218" s="146"/>
      <c r="BZ218" s="146"/>
      <c r="CA218" s="146"/>
      <c r="CB218" s="146"/>
      <c r="CC218" s="146"/>
      <c r="CD218" s="146"/>
      <c r="CE218" s="146"/>
      <c r="CF218" s="146"/>
      <c r="CG218" s="146"/>
      <c r="CH218" s="146"/>
      <c r="CI218" s="146"/>
      <c r="CJ218" s="146"/>
      <c r="CK218" s="146"/>
      <c r="CL218" s="146"/>
      <c r="CM218" s="146"/>
      <c r="CN218" s="146"/>
      <c r="CO218" s="146"/>
      <c r="CP218" s="146"/>
      <c r="CQ218" s="146"/>
      <c r="CR218" s="146"/>
      <c r="CS218" s="146"/>
      <c r="CT218" s="146"/>
      <c r="CU218" s="146"/>
      <c r="CV218" s="146"/>
      <c r="CW218" s="146"/>
      <c r="CX218" s="146"/>
      <c r="CY218" s="146"/>
      <c r="CZ218" s="146"/>
      <c r="DA218" s="146"/>
      <c r="DB218" s="146"/>
      <c r="DC218" s="146"/>
    </row>
    <row r="219"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6"/>
      <c r="AQ219" s="146"/>
      <c r="AR219" s="146"/>
      <c r="AS219" s="146"/>
      <c r="AT219" s="146"/>
      <c r="AU219" s="146"/>
      <c r="AV219" s="146"/>
      <c r="AW219" s="146"/>
      <c r="AX219" s="146"/>
      <c r="AY219" s="146"/>
      <c r="AZ219" s="146"/>
      <c r="BA219" s="146"/>
      <c r="BB219" s="146"/>
      <c r="BC219" s="146"/>
      <c r="BD219" s="146"/>
      <c r="BE219" s="146"/>
      <c r="BF219" s="146"/>
      <c r="BG219" s="146"/>
      <c r="BH219" s="146"/>
      <c r="BI219" s="146"/>
      <c r="BJ219" s="146"/>
      <c r="BK219" s="146"/>
      <c r="BL219" s="146"/>
      <c r="BM219" s="146"/>
      <c r="BN219" s="146"/>
      <c r="BO219" s="146"/>
      <c r="BP219" s="146"/>
      <c r="BQ219" s="146"/>
      <c r="BR219" s="146"/>
      <c r="BS219" s="146"/>
      <c r="BT219" s="146"/>
      <c r="BU219" s="146"/>
      <c r="BV219" s="146"/>
      <c r="BW219" s="146"/>
      <c r="BX219" s="146"/>
      <c r="BY219" s="146"/>
      <c r="BZ219" s="146"/>
      <c r="CA219" s="146"/>
      <c r="CB219" s="146"/>
      <c r="CC219" s="146"/>
      <c r="CD219" s="146"/>
      <c r="CE219" s="146"/>
      <c r="CF219" s="146"/>
      <c r="CG219" s="146"/>
      <c r="CH219" s="146"/>
      <c r="CI219" s="146"/>
      <c r="CJ219" s="146"/>
      <c r="CK219" s="146"/>
      <c r="CL219" s="146"/>
      <c r="CM219" s="146"/>
      <c r="CN219" s="146"/>
      <c r="CO219" s="146"/>
      <c r="CP219" s="146"/>
      <c r="CQ219" s="146"/>
      <c r="CR219" s="146"/>
      <c r="CS219" s="146"/>
      <c r="CT219" s="146"/>
      <c r="CU219" s="146"/>
      <c r="CV219" s="146"/>
      <c r="CW219" s="146"/>
      <c r="CX219" s="146"/>
      <c r="CY219" s="146"/>
      <c r="CZ219" s="146"/>
      <c r="DA219" s="146"/>
      <c r="DB219" s="146"/>
      <c r="DC219" s="146"/>
    </row>
    <row r="220"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6"/>
      <c r="AQ220" s="146"/>
      <c r="AR220" s="146"/>
      <c r="AS220" s="146"/>
      <c r="AT220" s="146"/>
      <c r="AU220" s="146"/>
      <c r="AV220" s="146"/>
      <c r="AW220" s="146"/>
      <c r="AX220" s="146"/>
      <c r="AY220" s="146"/>
      <c r="AZ220" s="146"/>
      <c r="BA220" s="146"/>
      <c r="BB220" s="146"/>
      <c r="BC220" s="146"/>
      <c r="BD220" s="146"/>
      <c r="BE220" s="146"/>
      <c r="BF220" s="146"/>
      <c r="BG220" s="146"/>
      <c r="BH220" s="146"/>
      <c r="BI220" s="146"/>
      <c r="BJ220" s="146"/>
      <c r="BK220" s="146"/>
      <c r="BL220" s="146"/>
      <c r="BM220" s="146"/>
      <c r="BN220" s="146"/>
      <c r="BO220" s="146"/>
      <c r="BP220" s="146"/>
      <c r="BQ220" s="146"/>
      <c r="BR220" s="146"/>
      <c r="BS220" s="146"/>
      <c r="BT220" s="146"/>
      <c r="BU220" s="146"/>
      <c r="BV220" s="146"/>
      <c r="BW220" s="146"/>
      <c r="BX220" s="146"/>
      <c r="BY220" s="146"/>
      <c r="BZ220" s="146"/>
      <c r="CA220" s="146"/>
      <c r="CB220" s="146"/>
      <c r="CC220" s="146"/>
      <c r="CD220" s="146"/>
      <c r="CE220" s="146"/>
      <c r="CF220" s="146"/>
      <c r="CG220" s="146"/>
      <c r="CH220" s="146"/>
      <c r="CI220" s="146"/>
      <c r="CJ220" s="146"/>
      <c r="CK220" s="146"/>
      <c r="CL220" s="146"/>
      <c r="CM220" s="146"/>
      <c r="CN220" s="146"/>
      <c r="CO220" s="146"/>
      <c r="CP220" s="146"/>
      <c r="CQ220" s="146"/>
      <c r="CR220" s="146"/>
      <c r="CS220" s="146"/>
      <c r="CT220" s="146"/>
      <c r="CU220" s="146"/>
      <c r="CV220" s="146"/>
      <c r="CW220" s="146"/>
      <c r="CX220" s="146"/>
      <c r="CY220" s="146"/>
      <c r="CZ220" s="146"/>
      <c r="DA220" s="146"/>
      <c r="DB220" s="146"/>
      <c r="DC220" s="146"/>
    </row>
    <row r="221"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6"/>
      <c r="AQ221" s="146"/>
      <c r="AR221" s="146"/>
      <c r="AS221" s="146"/>
      <c r="AT221" s="146"/>
      <c r="AU221" s="146"/>
      <c r="AV221" s="146"/>
      <c r="AW221" s="146"/>
      <c r="AX221" s="146"/>
      <c r="AY221" s="146"/>
      <c r="AZ221" s="146"/>
      <c r="BA221" s="146"/>
      <c r="BB221" s="146"/>
      <c r="BC221" s="146"/>
      <c r="BD221" s="146"/>
      <c r="BE221" s="146"/>
      <c r="BF221" s="146"/>
      <c r="BG221" s="146"/>
      <c r="BH221" s="146"/>
      <c r="BI221" s="146"/>
      <c r="BJ221" s="146"/>
      <c r="BK221" s="146"/>
      <c r="BL221" s="146"/>
      <c r="BM221" s="146"/>
      <c r="BN221" s="146"/>
      <c r="BO221" s="146"/>
      <c r="BP221" s="146"/>
      <c r="BQ221" s="146"/>
      <c r="BR221" s="146"/>
      <c r="BS221" s="146"/>
      <c r="BT221" s="146"/>
      <c r="BU221" s="146"/>
      <c r="BV221" s="146"/>
      <c r="BW221" s="146"/>
      <c r="BX221" s="146"/>
      <c r="BY221" s="146"/>
      <c r="BZ221" s="146"/>
      <c r="CA221" s="146"/>
      <c r="CB221" s="146"/>
      <c r="CC221" s="146"/>
      <c r="CD221" s="146"/>
      <c r="CE221" s="146"/>
      <c r="CF221" s="146"/>
      <c r="CG221" s="146"/>
      <c r="CH221" s="146"/>
      <c r="CI221" s="146"/>
      <c r="CJ221" s="146"/>
      <c r="CK221" s="146"/>
      <c r="CL221" s="146"/>
      <c r="CM221" s="146"/>
      <c r="CN221" s="146"/>
      <c r="CO221" s="146"/>
      <c r="CP221" s="146"/>
      <c r="CQ221" s="146"/>
      <c r="CR221" s="146"/>
      <c r="CS221" s="146"/>
      <c r="CT221" s="146"/>
      <c r="CU221" s="146"/>
      <c r="CV221" s="146"/>
      <c r="CW221" s="146"/>
      <c r="CX221" s="146"/>
      <c r="CY221" s="146"/>
      <c r="CZ221" s="146"/>
      <c r="DA221" s="146"/>
      <c r="DB221" s="146"/>
      <c r="DC221" s="146"/>
    </row>
    <row r="222"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6"/>
      <c r="AQ222" s="146"/>
      <c r="AR222" s="146"/>
      <c r="AS222" s="146"/>
      <c r="AT222" s="146"/>
      <c r="AU222" s="146"/>
      <c r="AV222" s="146"/>
      <c r="AW222" s="146"/>
      <c r="AX222" s="146"/>
      <c r="AY222" s="146"/>
      <c r="AZ222" s="146"/>
      <c r="BA222" s="146"/>
      <c r="BB222" s="146"/>
      <c r="BC222" s="146"/>
      <c r="BD222" s="146"/>
      <c r="BE222" s="146"/>
      <c r="BF222" s="146"/>
      <c r="BG222" s="146"/>
      <c r="BH222" s="146"/>
      <c r="BI222" s="146"/>
      <c r="BJ222" s="146"/>
      <c r="BK222" s="146"/>
      <c r="BL222" s="146"/>
      <c r="BM222" s="146"/>
      <c r="BN222" s="146"/>
      <c r="BO222" s="146"/>
      <c r="BP222" s="146"/>
      <c r="BQ222" s="146"/>
      <c r="BR222" s="146"/>
      <c r="BS222" s="146"/>
      <c r="BT222" s="146"/>
      <c r="BU222" s="146"/>
      <c r="BV222" s="146"/>
      <c r="BW222" s="146"/>
      <c r="BX222" s="146"/>
      <c r="BY222" s="146"/>
      <c r="BZ222" s="146"/>
      <c r="CA222" s="146"/>
      <c r="CB222" s="146"/>
      <c r="CC222" s="146"/>
      <c r="CD222" s="146"/>
      <c r="CE222" s="146"/>
      <c r="CF222" s="146"/>
      <c r="CG222" s="146"/>
      <c r="CH222" s="146"/>
      <c r="CI222" s="146"/>
      <c r="CJ222" s="146"/>
      <c r="CK222" s="146"/>
      <c r="CL222" s="146"/>
      <c r="CM222" s="146"/>
      <c r="CN222" s="146"/>
      <c r="CO222" s="146"/>
      <c r="CP222" s="146"/>
      <c r="CQ222" s="146"/>
      <c r="CR222" s="146"/>
      <c r="CS222" s="146"/>
      <c r="CT222" s="146"/>
      <c r="CU222" s="146"/>
      <c r="CV222" s="146"/>
      <c r="CW222" s="146"/>
      <c r="CX222" s="146"/>
      <c r="CY222" s="146"/>
      <c r="CZ222" s="146"/>
      <c r="DA222" s="146"/>
      <c r="DB222" s="146"/>
      <c r="DC222" s="146"/>
    </row>
    <row r="223"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6"/>
      <c r="AQ223" s="146"/>
      <c r="AR223" s="146"/>
      <c r="AS223" s="146"/>
      <c r="AT223" s="146"/>
      <c r="AU223" s="146"/>
      <c r="AV223" s="146"/>
      <c r="AW223" s="146"/>
      <c r="AX223" s="146"/>
      <c r="AY223" s="146"/>
      <c r="AZ223" s="146"/>
      <c r="BA223" s="146"/>
      <c r="BB223" s="146"/>
      <c r="BC223" s="146"/>
      <c r="BD223" s="146"/>
      <c r="BE223" s="146"/>
      <c r="BF223" s="146"/>
      <c r="BG223" s="146"/>
      <c r="BH223" s="146"/>
      <c r="BI223" s="146"/>
      <c r="BJ223" s="146"/>
      <c r="BK223" s="146"/>
      <c r="BL223" s="146"/>
      <c r="BM223" s="146"/>
      <c r="BN223" s="146"/>
      <c r="BO223" s="146"/>
      <c r="BP223" s="146"/>
      <c r="BQ223" s="146"/>
      <c r="BR223" s="146"/>
      <c r="BS223" s="146"/>
      <c r="BT223" s="146"/>
      <c r="BU223" s="146"/>
      <c r="BV223" s="146"/>
      <c r="BW223" s="146"/>
      <c r="BX223" s="146"/>
      <c r="BY223" s="146"/>
      <c r="BZ223" s="146"/>
      <c r="CA223" s="146"/>
      <c r="CB223" s="146"/>
      <c r="CC223" s="146"/>
      <c r="CD223" s="146"/>
      <c r="CE223" s="146"/>
      <c r="CF223" s="146"/>
      <c r="CG223" s="146"/>
      <c r="CH223" s="146"/>
      <c r="CI223" s="146"/>
      <c r="CJ223" s="146"/>
      <c r="CK223" s="146"/>
      <c r="CL223" s="146"/>
      <c r="CM223" s="146"/>
      <c r="CN223" s="146"/>
      <c r="CO223" s="146"/>
      <c r="CP223" s="146"/>
      <c r="CQ223" s="146"/>
      <c r="CR223" s="146"/>
      <c r="CS223" s="146"/>
      <c r="CT223" s="146"/>
      <c r="CU223" s="146"/>
      <c r="CV223" s="146"/>
      <c r="CW223" s="146"/>
      <c r="CX223" s="146"/>
      <c r="CY223" s="146"/>
      <c r="CZ223" s="146"/>
      <c r="DA223" s="146"/>
      <c r="DB223" s="146"/>
      <c r="DC223" s="146"/>
    </row>
    <row r="22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6"/>
      <c r="AQ224" s="146"/>
      <c r="AR224" s="146"/>
      <c r="AS224" s="146"/>
      <c r="AT224" s="146"/>
      <c r="AU224" s="146"/>
      <c r="AV224" s="146"/>
      <c r="AW224" s="146"/>
      <c r="AX224" s="146"/>
      <c r="AY224" s="146"/>
      <c r="AZ224" s="146"/>
      <c r="BA224" s="146"/>
      <c r="BB224" s="146"/>
      <c r="BC224" s="146"/>
      <c r="BD224" s="146"/>
      <c r="BE224" s="146"/>
      <c r="BF224" s="146"/>
      <c r="BG224" s="146"/>
      <c r="BH224" s="146"/>
      <c r="BI224" s="146"/>
      <c r="BJ224" s="146"/>
      <c r="BK224" s="146"/>
      <c r="BL224" s="146"/>
      <c r="BM224" s="146"/>
      <c r="BN224" s="146"/>
      <c r="BO224" s="146"/>
      <c r="BP224" s="146"/>
      <c r="BQ224" s="146"/>
      <c r="BR224" s="146"/>
      <c r="BS224" s="146"/>
      <c r="BT224" s="146"/>
      <c r="BU224" s="146"/>
      <c r="BV224" s="146"/>
      <c r="BW224" s="146"/>
      <c r="BX224" s="146"/>
      <c r="BY224" s="146"/>
      <c r="BZ224" s="146"/>
      <c r="CA224" s="146"/>
      <c r="CB224" s="146"/>
      <c r="CC224" s="146"/>
      <c r="CD224" s="146"/>
      <c r="CE224" s="146"/>
      <c r="CF224" s="146"/>
      <c r="CG224" s="146"/>
      <c r="CH224" s="146"/>
      <c r="CI224" s="146"/>
      <c r="CJ224" s="146"/>
      <c r="CK224" s="146"/>
      <c r="CL224" s="146"/>
      <c r="CM224" s="146"/>
      <c r="CN224" s="146"/>
      <c r="CO224" s="146"/>
      <c r="CP224" s="146"/>
      <c r="CQ224" s="146"/>
      <c r="CR224" s="146"/>
      <c r="CS224" s="146"/>
      <c r="CT224" s="146"/>
      <c r="CU224" s="146"/>
      <c r="CV224" s="146"/>
      <c r="CW224" s="146"/>
      <c r="CX224" s="146"/>
      <c r="CY224" s="146"/>
      <c r="CZ224" s="146"/>
      <c r="DA224" s="146"/>
      <c r="DB224" s="146"/>
      <c r="DC224" s="146"/>
    </row>
    <row r="225"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6"/>
      <c r="AQ225" s="146"/>
      <c r="AR225" s="146"/>
      <c r="AS225" s="146"/>
      <c r="AT225" s="146"/>
      <c r="AU225" s="146"/>
      <c r="AV225" s="146"/>
      <c r="AW225" s="146"/>
      <c r="AX225" s="146"/>
      <c r="AY225" s="146"/>
      <c r="AZ225" s="146"/>
      <c r="BA225" s="146"/>
      <c r="BB225" s="146"/>
      <c r="BC225" s="146"/>
      <c r="BD225" s="146"/>
      <c r="BE225" s="146"/>
      <c r="BF225" s="146"/>
      <c r="BG225" s="146"/>
      <c r="BH225" s="146"/>
      <c r="BI225" s="146"/>
      <c r="BJ225" s="146"/>
      <c r="BK225" s="146"/>
      <c r="BL225" s="146"/>
      <c r="BM225" s="146"/>
      <c r="BN225" s="146"/>
      <c r="BO225" s="146"/>
      <c r="BP225" s="146"/>
      <c r="BQ225" s="146"/>
      <c r="BR225" s="146"/>
      <c r="BS225" s="146"/>
      <c r="BT225" s="146"/>
      <c r="BU225" s="146"/>
      <c r="BV225" s="146"/>
      <c r="BW225" s="146"/>
      <c r="BX225" s="146"/>
      <c r="BY225" s="146"/>
      <c r="BZ225" s="146"/>
      <c r="CA225" s="146"/>
      <c r="CB225" s="146"/>
      <c r="CC225" s="146"/>
      <c r="CD225" s="146"/>
      <c r="CE225" s="146"/>
      <c r="CF225" s="146"/>
      <c r="CG225" s="146"/>
      <c r="CH225" s="146"/>
      <c r="CI225" s="146"/>
      <c r="CJ225" s="146"/>
      <c r="CK225" s="146"/>
      <c r="CL225" s="146"/>
      <c r="CM225" s="146"/>
      <c r="CN225" s="146"/>
      <c r="CO225" s="146"/>
      <c r="CP225" s="146"/>
      <c r="CQ225" s="146"/>
      <c r="CR225" s="146"/>
      <c r="CS225" s="146"/>
      <c r="CT225" s="146"/>
      <c r="CU225" s="146"/>
      <c r="CV225" s="146"/>
      <c r="CW225" s="146"/>
      <c r="CX225" s="146"/>
      <c r="CY225" s="146"/>
      <c r="CZ225" s="146"/>
      <c r="DA225" s="146"/>
      <c r="DB225" s="146"/>
      <c r="DC225" s="146"/>
    </row>
    <row r="226"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6"/>
      <c r="AQ226" s="146"/>
      <c r="AR226" s="146"/>
      <c r="AS226" s="146"/>
      <c r="AT226" s="146"/>
      <c r="AU226" s="146"/>
      <c r="AV226" s="146"/>
      <c r="AW226" s="146"/>
      <c r="AX226" s="146"/>
      <c r="AY226" s="146"/>
      <c r="AZ226" s="146"/>
      <c r="BA226" s="146"/>
      <c r="BB226" s="146"/>
      <c r="BC226" s="146"/>
      <c r="BD226" s="146"/>
      <c r="BE226" s="146"/>
      <c r="BF226" s="146"/>
      <c r="BG226" s="146"/>
      <c r="BH226" s="146"/>
      <c r="BI226" s="146"/>
      <c r="BJ226" s="146"/>
      <c r="BK226" s="146"/>
      <c r="BL226" s="146"/>
      <c r="BM226" s="146"/>
      <c r="BN226" s="146"/>
      <c r="BO226" s="146"/>
      <c r="BP226" s="146"/>
      <c r="BQ226" s="146"/>
      <c r="BR226" s="146"/>
      <c r="BS226" s="146"/>
      <c r="BT226" s="146"/>
      <c r="BU226" s="146"/>
      <c r="BV226" s="146"/>
      <c r="BW226" s="146"/>
      <c r="BX226" s="146"/>
      <c r="BY226" s="146"/>
      <c r="BZ226" s="146"/>
      <c r="CA226" s="146"/>
      <c r="CB226" s="146"/>
      <c r="CC226" s="146"/>
      <c r="CD226" s="146"/>
      <c r="CE226" s="146"/>
      <c r="CF226" s="146"/>
      <c r="CG226" s="146"/>
      <c r="CH226" s="146"/>
      <c r="CI226" s="146"/>
      <c r="CJ226" s="146"/>
      <c r="CK226" s="146"/>
      <c r="CL226" s="146"/>
      <c r="CM226" s="146"/>
      <c r="CN226" s="146"/>
      <c r="CO226" s="146"/>
      <c r="CP226" s="146"/>
      <c r="CQ226" s="146"/>
      <c r="CR226" s="146"/>
      <c r="CS226" s="146"/>
      <c r="CT226" s="146"/>
      <c r="CU226" s="146"/>
      <c r="CV226" s="146"/>
      <c r="CW226" s="146"/>
      <c r="CX226" s="146"/>
      <c r="CY226" s="146"/>
      <c r="CZ226" s="146"/>
      <c r="DA226" s="146"/>
      <c r="DB226" s="146"/>
      <c r="DC226" s="146"/>
    </row>
    <row r="227"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6"/>
      <c r="AQ227" s="146"/>
      <c r="AR227" s="146"/>
      <c r="AS227" s="146"/>
      <c r="AT227" s="146"/>
      <c r="AU227" s="146"/>
      <c r="AV227" s="146"/>
      <c r="AW227" s="146"/>
      <c r="AX227" s="146"/>
      <c r="AY227" s="146"/>
      <c r="AZ227" s="146"/>
      <c r="BA227" s="146"/>
      <c r="BB227" s="146"/>
      <c r="BC227" s="146"/>
      <c r="BD227" s="146"/>
      <c r="BE227" s="146"/>
      <c r="BF227" s="146"/>
      <c r="BG227" s="146"/>
      <c r="BH227" s="146"/>
      <c r="BI227" s="146"/>
      <c r="BJ227" s="146"/>
      <c r="BK227" s="146"/>
      <c r="BL227" s="146"/>
      <c r="BM227" s="146"/>
      <c r="BN227" s="146"/>
      <c r="BO227" s="146"/>
      <c r="BP227" s="146"/>
      <c r="BQ227" s="146"/>
      <c r="BR227" s="146"/>
      <c r="BS227" s="146"/>
      <c r="BT227" s="146"/>
      <c r="BU227" s="146"/>
      <c r="BV227" s="146"/>
      <c r="BW227" s="146"/>
      <c r="BX227" s="146"/>
      <c r="BY227" s="146"/>
      <c r="BZ227" s="146"/>
      <c r="CA227" s="146"/>
      <c r="CB227" s="146"/>
      <c r="CC227" s="146"/>
      <c r="CD227" s="146"/>
      <c r="CE227" s="146"/>
      <c r="CF227" s="146"/>
      <c r="CG227" s="146"/>
      <c r="CH227" s="146"/>
      <c r="CI227" s="146"/>
      <c r="CJ227" s="146"/>
      <c r="CK227" s="146"/>
      <c r="CL227" s="146"/>
      <c r="CM227" s="146"/>
      <c r="CN227" s="146"/>
      <c r="CO227" s="146"/>
      <c r="CP227" s="146"/>
      <c r="CQ227" s="146"/>
      <c r="CR227" s="146"/>
      <c r="CS227" s="146"/>
      <c r="CT227" s="146"/>
      <c r="CU227" s="146"/>
      <c r="CV227" s="146"/>
      <c r="CW227" s="146"/>
      <c r="CX227" s="146"/>
      <c r="CY227" s="146"/>
      <c r="CZ227" s="146"/>
      <c r="DA227" s="146"/>
      <c r="DB227" s="146"/>
      <c r="DC227" s="146"/>
    </row>
    <row r="228"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6"/>
      <c r="AQ228" s="146"/>
      <c r="AR228" s="146"/>
      <c r="AS228" s="146"/>
      <c r="AT228" s="146"/>
      <c r="AU228" s="146"/>
      <c r="AV228" s="146"/>
      <c r="AW228" s="146"/>
      <c r="AX228" s="146"/>
      <c r="AY228" s="146"/>
      <c r="AZ228" s="146"/>
      <c r="BA228" s="146"/>
      <c r="BB228" s="146"/>
      <c r="BC228" s="146"/>
      <c r="BD228" s="146"/>
      <c r="BE228" s="146"/>
      <c r="BF228" s="146"/>
      <c r="BG228" s="146"/>
      <c r="BH228" s="146"/>
      <c r="BI228" s="146"/>
      <c r="BJ228" s="146"/>
      <c r="BK228" s="146"/>
      <c r="BL228" s="146"/>
      <c r="BM228" s="146"/>
      <c r="BN228" s="146"/>
      <c r="BO228" s="146"/>
      <c r="BP228" s="146"/>
      <c r="BQ228" s="146"/>
      <c r="BR228" s="146"/>
      <c r="BS228" s="146"/>
      <c r="BT228" s="146"/>
      <c r="BU228" s="146"/>
      <c r="BV228" s="146"/>
      <c r="BW228" s="146"/>
      <c r="BX228" s="146"/>
      <c r="BY228" s="146"/>
      <c r="BZ228" s="146"/>
      <c r="CA228" s="146"/>
      <c r="CB228" s="146"/>
      <c r="CC228" s="146"/>
      <c r="CD228" s="146"/>
      <c r="CE228" s="146"/>
      <c r="CF228" s="146"/>
      <c r="CG228" s="146"/>
      <c r="CH228" s="146"/>
      <c r="CI228" s="146"/>
      <c r="CJ228" s="146"/>
      <c r="CK228" s="146"/>
      <c r="CL228" s="146"/>
      <c r="CM228" s="146"/>
      <c r="CN228" s="146"/>
      <c r="CO228" s="146"/>
      <c r="CP228" s="146"/>
      <c r="CQ228" s="146"/>
      <c r="CR228" s="146"/>
      <c r="CS228" s="146"/>
      <c r="CT228" s="146"/>
      <c r="CU228" s="146"/>
      <c r="CV228" s="146"/>
      <c r="CW228" s="146"/>
      <c r="CX228" s="146"/>
      <c r="CY228" s="146"/>
      <c r="CZ228" s="146"/>
      <c r="DA228" s="146"/>
      <c r="DB228" s="146"/>
      <c r="DC228" s="146"/>
    </row>
    <row r="229"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6"/>
      <c r="AQ229" s="146"/>
      <c r="AR229" s="146"/>
      <c r="AS229" s="146"/>
      <c r="AT229" s="146"/>
      <c r="AU229" s="146"/>
      <c r="AV229" s="146"/>
      <c r="AW229" s="146"/>
      <c r="AX229" s="146"/>
      <c r="AY229" s="146"/>
      <c r="AZ229" s="146"/>
      <c r="BA229" s="146"/>
      <c r="BB229" s="146"/>
      <c r="BC229" s="146"/>
      <c r="BD229" s="146"/>
      <c r="BE229" s="146"/>
      <c r="BF229" s="146"/>
      <c r="BG229" s="146"/>
      <c r="BH229" s="146"/>
      <c r="BI229" s="146"/>
      <c r="BJ229" s="146"/>
      <c r="BK229" s="146"/>
      <c r="BL229" s="146"/>
      <c r="BM229" s="146"/>
      <c r="BN229" s="146"/>
      <c r="BO229" s="146"/>
      <c r="BP229" s="146"/>
      <c r="BQ229" s="146"/>
      <c r="BR229" s="146"/>
      <c r="BS229" s="146"/>
      <c r="BT229" s="146"/>
      <c r="BU229" s="146"/>
      <c r="BV229" s="146"/>
      <c r="BW229" s="146"/>
      <c r="BX229" s="146"/>
      <c r="BY229" s="146"/>
      <c r="BZ229" s="146"/>
      <c r="CA229" s="146"/>
      <c r="CB229" s="146"/>
      <c r="CC229" s="146"/>
      <c r="CD229" s="146"/>
      <c r="CE229" s="146"/>
      <c r="CF229" s="146"/>
      <c r="CG229" s="146"/>
      <c r="CH229" s="146"/>
      <c r="CI229" s="146"/>
      <c r="CJ229" s="146"/>
      <c r="CK229" s="146"/>
      <c r="CL229" s="146"/>
      <c r="CM229" s="146"/>
      <c r="CN229" s="146"/>
      <c r="CO229" s="146"/>
      <c r="CP229" s="146"/>
      <c r="CQ229" s="146"/>
      <c r="CR229" s="146"/>
      <c r="CS229" s="146"/>
      <c r="CT229" s="146"/>
      <c r="CU229" s="146"/>
      <c r="CV229" s="146"/>
      <c r="CW229" s="146"/>
      <c r="CX229" s="146"/>
      <c r="CY229" s="146"/>
      <c r="CZ229" s="146"/>
      <c r="DA229" s="146"/>
      <c r="DB229" s="146"/>
      <c r="DC229" s="146"/>
    </row>
    <row r="230"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6"/>
      <c r="AQ230" s="146"/>
      <c r="AR230" s="146"/>
      <c r="AS230" s="146"/>
      <c r="AT230" s="146"/>
      <c r="AU230" s="146"/>
      <c r="AV230" s="146"/>
      <c r="AW230" s="146"/>
      <c r="AX230" s="146"/>
      <c r="AY230" s="146"/>
      <c r="AZ230" s="146"/>
      <c r="BA230" s="146"/>
      <c r="BB230" s="146"/>
      <c r="BC230" s="146"/>
      <c r="BD230" s="146"/>
      <c r="BE230" s="146"/>
      <c r="BF230" s="146"/>
      <c r="BG230" s="146"/>
      <c r="BH230" s="146"/>
      <c r="BI230" s="146"/>
      <c r="BJ230" s="146"/>
      <c r="BK230" s="146"/>
      <c r="BL230" s="146"/>
      <c r="BM230" s="146"/>
      <c r="BN230" s="146"/>
      <c r="BO230" s="146"/>
      <c r="BP230" s="146"/>
      <c r="BQ230" s="146"/>
      <c r="BR230" s="146"/>
      <c r="BS230" s="146"/>
      <c r="BT230" s="146"/>
      <c r="BU230" s="146"/>
      <c r="BV230" s="146"/>
      <c r="BW230" s="146"/>
      <c r="BX230" s="146"/>
      <c r="BY230" s="146"/>
      <c r="BZ230" s="146"/>
      <c r="CA230" s="146"/>
      <c r="CB230" s="146"/>
      <c r="CC230" s="146"/>
      <c r="CD230" s="146"/>
      <c r="CE230" s="146"/>
      <c r="CF230" s="146"/>
      <c r="CG230" s="146"/>
      <c r="CH230" s="146"/>
      <c r="CI230" s="146"/>
      <c r="CJ230" s="146"/>
      <c r="CK230" s="146"/>
      <c r="CL230" s="146"/>
      <c r="CM230" s="146"/>
      <c r="CN230" s="146"/>
      <c r="CO230" s="146"/>
      <c r="CP230" s="146"/>
      <c r="CQ230" s="146"/>
      <c r="CR230" s="146"/>
      <c r="CS230" s="146"/>
      <c r="CT230" s="146"/>
      <c r="CU230" s="146"/>
      <c r="CV230" s="146"/>
      <c r="CW230" s="146"/>
      <c r="CX230" s="146"/>
      <c r="CY230" s="146"/>
      <c r="CZ230" s="146"/>
      <c r="DA230" s="146"/>
      <c r="DB230" s="146"/>
      <c r="DC230" s="146"/>
    </row>
    <row r="231"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6"/>
      <c r="AQ231" s="146"/>
      <c r="AR231" s="146"/>
      <c r="AS231" s="146"/>
      <c r="AT231" s="146"/>
      <c r="AU231" s="146"/>
      <c r="AV231" s="146"/>
      <c r="AW231" s="146"/>
      <c r="AX231" s="146"/>
      <c r="AY231" s="146"/>
      <c r="AZ231" s="146"/>
      <c r="BA231" s="146"/>
      <c r="BB231" s="146"/>
      <c r="BC231" s="146"/>
      <c r="BD231" s="146"/>
      <c r="BE231" s="146"/>
      <c r="BF231" s="146"/>
      <c r="BG231" s="146"/>
      <c r="BH231" s="146"/>
      <c r="BI231" s="146"/>
      <c r="BJ231" s="146"/>
      <c r="BK231" s="146"/>
      <c r="BL231" s="146"/>
      <c r="BM231" s="146"/>
      <c r="BN231" s="146"/>
      <c r="BO231" s="146"/>
      <c r="BP231" s="146"/>
      <c r="BQ231" s="146"/>
      <c r="BR231" s="146"/>
      <c r="BS231" s="146"/>
      <c r="BT231" s="146"/>
      <c r="BU231" s="146"/>
      <c r="BV231" s="146"/>
      <c r="BW231" s="146"/>
      <c r="BX231" s="146"/>
      <c r="BY231" s="146"/>
      <c r="BZ231" s="146"/>
      <c r="CA231" s="146"/>
      <c r="CB231" s="146"/>
      <c r="CC231" s="146"/>
      <c r="CD231" s="146"/>
      <c r="CE231" s="146"/>
      <c r="CF231" s="146"/>
      <c r="CG231" s="146"/>
      <c r="CH231" s="146"/>
      <c r="CI231" s="146"/>
      <c r="CJ231" s="146"/>
      <c r="CK231" s="146"/>
      <c r="CL231" s="146"/>
      <c r="CM231" s="146"/>
      <c r="CN231" s="146"/>
      <c r="CO231" s="146"/>
      <c r="CP231" s="146"/>
      <c r="CQ231" s="146"/>
      <c r="CR231" s="146"/>
      <c r="CS231" s="146"/>
      <c r="CT231" s="146"/>
      <c r="CU231" s="146"/>
      <c r="CV231" s="146"/>
      <c r="CW231" s="146"/>
      <c r="CX231" s="146"/>
      <c r="CY231" s="146"/>
      <c r="CZ231" s="146"/>
      <c r="DA231" s="146"/>
      <c r="DB231" s="146"/>
      <c r="DC231" s="146"/>
    </row>
    <row r="232"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6"/>
      <c r="AQ232" s="146"/>
      <c r="AR232" s="146"/>
      <c r="AS232" s="146"/>
      <c r="AT232" s="146"/>
      <c r="AU232" s="146"/>
      <c r="AV232" s="146"/>
      <c r="AW232" s="146"/>
      <c r="AX232" s="146"/>
      <c r="AY232" s="146"/>
      <c r="AZ232" s="146"/>
      <c r="BA232" s="146"/>
      <c r="BB232" s="146"/>
      <c r="BC232" s="146"/>
      <c r="BD232" s="146"/>
      <c r="BE232" s="146"/>
      <c r="BF232" s="146"/>
      <c r="BG232" s="146"/>
      <c r="BH232" s="146"/>
      <c r="BI232" s="146"/>
      <c r="BJ232" s="146"/>
      <c r="BK232" s="146"/>
      <c r="BL232" s="146"/>
      <c r="BM232" s="146"/>
      <c r="BN232" s="146"/>
      <c r="BO232" s="146"/>
      <c r="BP232" s="146"/>
      <c r="BQ232" s="146"/>
      <c r="BR232" s="146"/>
      <c r="BS232" s="146"/>
      <c r="BT232" s="146"/>
      <c r="BU232" s="146"/>
      <c r="BV232" s="146"/>
      <c r="BW232" s="146"/>
      <c r="BX232" s="146"/>
      <c r="BY232" s="146"/>
      <c r="BZ232" s="146"/>
      <c r="CA232" s="146"/>
      <c r="CB232" s="146"/>
      <c r="CC232" s="146"/>
      <c r="CD232" s="146"/>
      <c r="CE232" s="146"/>
      <c r="CF232" s="146"/>
      <c r="CG232" s="146"/>
      <c r="CH232" s="146"/>
      <c r="CI232" s="146"/>
      <c r="CJ232" s="146"/>
      <c r="CK232" s="146"/>
      <c r="CL232" s="146"/>
      <c r="CM232" s="146"/>
      <c r="CN232" s="146"/>
      <c r="CO232" s="146"/>
      <c r="CP232" s="146"/>
      <c r="CQ232" s="146"/>
      <c r="CR232" s="146"/>
      <c r="CS232" s="146"/>
      <c r="CT232" s="146"/>
      <c r="CU232" s="146"/>
      <c r="CV232" s="146"/>
      <c r="CW232" s="146"/>
      <c r="CX232" s="146"/>
      <c r="CY232" s="146"/>
      <c r="CZ232" s="146"/>
      <c r="DA232" s="146"/>
      <c r="DB232" s="146"/>
      <c r="DC232" s="146"/>
    </row>
    <row r="233"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6"/>
      <c r="AQ233" s="146"/>
      <c r="AR233" s="146"/>
      <c r="AS233" s="146"/>
      <c r="AT233" s="146"/>
      <c r="AU233" s="146"/>
      <c r="AV233" s="146"/>
      <c r="AW233" s="146"/>
      <c r="AX233" s="146"/>
      <c r="AY233" s="146"/>
      <c r="AZ233" s="146"/>
      <c r="BA233" s="146"/>
      <c r="BB233" s="146"/>
      <c r="BC233" s="146"/>
      <c r="BD233" s="146"/>
      <c r="BE233" s="146"/>
      <c r="BF233" s="146"/>
      <c r="BG233" s="146"/>
      <c r="BH233" s="146"/>
      <c r="BI233" s="146"/>
      <c r="BJ233" s="146"/>
      <c r="BK233" s="146"/>
      <c r="BL233" s="146"/>
      <c r="BM233" s="146"/>
      <c r="BN233" s="146"/>
      <c r="BO233" s="146"/>
      <c r="BP233" s="146"/>
      <c r="BQ233" s="146"/>
      <c r="BR233" s="146"/>
      <c r="BS233" s="146"/>
      <c r="BT233" s="146"/>
      <c r="BU233" s="146"/>
      <c r="BV233" s="146"/>
      <c r="BW233" s="146"/>
      <c r="BX233" s="146"/>
      <c r="BY233" s="146"/>
      <c r="BZ233" s="146"/>
      <c r="CA233" s="146"/>
      <c r="CB233" s="146"/>
      <c r="CC233" s="146"/>
      <c r="CD233" s="146"/>
      <c r="CE233" s="146"/>
      <c r="CF233" s="146"/>
      <c r="CG233" s="146"/>
      <c r="CH233" s="146"/>
      <c r="CI233" s="146"/>
      <c r="CJ233" s="146"/>
      <c r="CK233" s="146"/>
      <c r="CL233" s="146"/>
      <c r="CM233" s="146"/>
      <c r="CN233" s="146"/>
      <c r="CO233" s="146"/>
      <c r="CP233" s="146"/>
      <c r="CQ233" s="146"/>
      <c r="CR233" s="146"/>
      <c r="CS233" s="146"/>
      <c r="CT233" s="146"/>
      <c r="CU233" s="146"/>
      <c r="CV233" s="146"/>
      <c r="CW233" s="146"/>
      <c r="CX233" s="146"/>
      <c r="CY233" s="146"/>
      <c r="CZ233" s="146"/>
      <c r="DA233" s="146"/>
      <c r="DB233" s="146"/>
      <c r="DC233" s="146"/>
    </row>
    <row r="23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6"/>
      <c r="AQ234" s="146"/>
      <c r="AR234" s="146"/>
      <c r="AS234" s="146"/>
      <c r="AT234" s="146"/>
      <c r="AU234" s="146"/>
      <c r="AV234" s="146"/>
      <c r="AW234" s="146"/>
      <c r="AX234" s="146"/>
      <c r="AY234" s="146"/>
      <c r="AZ234" s="146"/>
      <c r="BA234" s="146"/>
      <c r="BB234" s="146"/>
      <c r="BC234" s="146"/>
      <c r="BD234" s="146"/>
      <c r="BE234" s="146"/>
      <c r="BF234" s="146"/>
      <c r="BG234" s="146"/>
      <c r="BH234" s="146"/>
      <c r="BI234" s="146"/>
      <c r="BJ234" s="146"/>
      <c r="BK234" s="146"/>
      <c r="BL234" s="146"/>
      <c r="BM234" s="146"/>
      <c r="BN234" s="146"/>
      <c r="BO234" s="146"/>
      <c r="BP234" s="146"/>
      <c r="BQ234" s="146"/>
      <c r="BR234" s="146"/>
      <c r="BS234" s="146"/>
      <c r="BT234" s="146"/>
      <c r="BU234" s="146"/>
      <c r="BV234" s="146"/>
      <c r="BW234" s="146"/>
      <c r="BX234" s="146"/>
      <c r="BY234" s="146"/>
      <c r="BZ234" s="146"/>
      <c r="CA234" s="146"/>
      <c r="CB234" s="146"/>
      <c r="CC234" s="146"/>
      <c r="CD234" s="146"/>
      <c r="CE234" s="146"/>
      <c r="CF234" s="146"/>
      <c r="CG234" s="146"/>
      <c r="CH234" s="146"/>
      <c r="CI234" s="146"/>
      <c r="CJ234" s="146"/>
      <c r="CK234" s="146"/>
      <c r="CL234" s="146"/>
      <c r="CM234" s="146"/>
      <c r="CN234" s="146"/>
      <c r="CO234" s="146"/>
      <c r="CP234" s="146"/>
      <c r="CQ234" s="146"/>
      <c r="CR234" s="146"/>
      <c r="CS234" s="146"/>
      <c r="CT234" s="146"/>
      <c r="CU234" s="146"/>
      <c r="CV234" s="146"/>
      <c r="CW234" s="146"/>
      <c r="CX234" s="146"/>
      <c r="CY234" s="146"/>
      <c r="CZ234" s="146"/>
      <c r="DA234" s="146"/>
      <c r="DB234" s="146"/>
      <c r="DC234" s="146"/>
    </row>
    <row r="235"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6"/>
      <c r="AQ235" s="146"/>
      <c r="AR235" s="146"/>
      <c r="AS235" s="146"/>
      <c r="AT235" s="146"/>
      <c r="AU235" s="146"/>
      <c r="AV235" s="146"/>
      <c r="AW235" s="146"/>
      <c r="AX235" s="146"/>
      <c r="AY235" s="146"/>
      <c r="AZ235" s="146"/>
      <c r="BA235" s="146"/>
      <c r="BB235" s="146"/>
      <c r="BC235" s="146"/>
      <c r="BD235" s="146"/>
      <c r="BE235" s="146"/>
      <c r="BF235" s="146"/>
      <c r="BG235" s="146"/>
      <c r="BH235" s="146"/>
      <c r="BI235" s="146"/>
      <c r="BJ235" s="146"/>
      <c r="BK235" s="146"/>
      <c r="BL235" s="146"/>
      <c r="BM235" s="146"/>
      <c r="BN235" s="146"/>
      <c r="BO235" s="146"/>
      <c r="BP235" s="146"/>
      <c r="BQ235" s="146"/>
      <c r="BR235" s="146"/>
      <c r="BS235" s="146"/>
      <c r="BT235" s="146"/>
      <c r="BU235" s="146"/>
      <c r="BV235" s="146"/>
      <c r="BW235" s="146"/>
      <c r="BX235" s="146"/>
      <c r="BY235" s="146"/>
      <c r="BZ235" s="146"/>
      <c r="CA235" s="146"/>
      <c r="CB235" s="146"/>
      <c r="CC235" s="146"/>
      <c r="CD235" s="146"/>
      <c r="CE235" s="146"/>
      <c r="CF235" s="146"/>
      <c r="CG235" s="146"/>
      <c r="CH235" s="146"/>
      <c r="CI235" s="146"/>
      <c r="CJ235" s="146"/>
      <c r="CK235" s="146"/>
      <c r="CL235" s="146"/>
      <c r="CM235" s="146"/>
      <c r="CN235" s="146"/>
      <c r="CO235" s="146"/>
      <c r="CP235" s="146"/>
      <c r="CQ235" s="146"/>
      <c r="CR235" s="146"/>
      <c r="CS235" s="146"/>
      <c r="CT235" s="146"/>
      <c r="CU235" s="146"/>
      <c r="CV235" s="146"/>
      <c r="CW235" s="146"/>
      <c r="CX235" s="146"/>
      <c r="CY235" s="146"/>
      <c r="CZ235" s="146"/>
      <c r="DA235" s="146"/>
      <c r="DB235" s="146"/>
      <c r="DC235" s="146"/>
    </row>
    <row r="236"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6"/>
      <c r="AQ236" s="146"/>
      <c r="AR236" s="146"/>
      <c r="AS236" s="146"/>
      <c r="AT236" s="146"/>
      <c r="AU236" s="146"/>
      <c r="AV236" s="146"/>
      <c r="AW236" s="146"/>
      <c r="AX236" s="146"/>
      <c r="AY236" s="146"/>
      <c r="AZ236" s="146"/>
      <c r="BA236" s="146"/>
      <c r="BB236" s="146"/>
      <c r="BC236" s="146"/>
      <c r="BD236" s="146"/>
      <c r="BE236" s="146"/>
      <c r="BF236" s="146"/>
      <c r="BG236" s="146"/>
      <c r="BH236" s="146"/>
      <c r="BI236" s="146"/>
      <c r="BJ236" s="146"/>
      <c r="BK236" s="146"/>
      <c r="BL236" s="146"/>
      <c r="BM236" s="146"/>
      <c r="BN236" s="146"/>
      <c r="BO236" s="146"/>
      <c r="BP236" s="146"/>
      <c r="BQ236" s="146"/>
      <c r="BR236" s="146"/>
      <c r="BS236" s="146"/>
      <c r="BT236" s="146"/>
      <c r="BU236" s="146"/>
      <c r="BV236" s="146"/>
      <c r="BW236" s="146"/>
      <c r="BX236" s="146"/>
      <c r="BY236" s="146"/>
      <c r="BZ236" s="146"/>
      <c r="CA236" s="146"/>
      <c r="CB236" s="146"/>
      <c r="CC236" s="146"/>
      <c r="CD236" s="146"/>
      <c r="CE236" s="146"/>
      <c r="CF236" s="146"/>
      <c r="CG236" s="146"/>
      <c r="CH236" s="146"/>
      <c r="CI236" s="146"/>
      <c r="CJ236" s="146"/>
      <c r="CK236" s="146"/>
      <c r="CL236" s="146"/>
      <c r="CM236" s="146"/>
      <c r="CN236" s="146"/>
      <c r="CO236" s="146"/>
      <c r="CP236" s="146"/>
      <c r="CQ236" s="146"/>
      <c r="CR236" s="146"/>
      <c r="CS236" s="146"/>
      <c r="CT236" s="146"/>
      <c r="CU236" s="146"/>
      <c r="CV236" s="146"/>
      <c r="CW236" s="146"/>
      <c r="CX236" s="146"/>
      <c r="CY236" s="146"/>
      <c r="CZ236" s="146"/>
      <c r="DA236" s="146"/>
      <c r="DB236" s="146"/>
      <c r="DC236" s="146"/>
    </row>
    <row r="237"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6"/>
      <c r="AQ237" s="146"/>
      <c r="AR237" s="146"/>
      <c r="AS237" s="146"/>
      <c r="AT237" s="146"/>
      <c r="AU237" s="146"/>
      <c r="AV237" s="146"/>
      <c r="AW237" s="146"/>
      <c r="AX237" s="146"/>
      <c r="AY237" s="146"/>
      <c r="AZ237" s="146"/>
      <c r="BA237" s="146"/>
      <c r="BB237" s="146"/>
      <c r="BC237" s="146"/>
      <c r="BD237" s="146"/>
      <c r="BE237" s="146"/>
      <c r="BF237" s="146"/>
      <c r="BG237" s="146"/>
      <c r="BH237" s="146"/>
      <c r="BI237" s="146"/>
      <c r="BJ237" s="146"/>
      <c r="BK237" s="146"/>
      <c r="BL237" s="146"/>
      <c r="BM237" s="146"/>
      <c r="BN237" s="146"/>
      <c r="BO237" s="146"/>
      <c r="BP237" s="146"/>
      <c r="BQ237" s="146"/>
      <c r="BR237" s="146"/>
      <c r="BS237" s="146"/>
      <c r="BT237" s="146"/>
      <c r="BU237" s="146"/>
      <c r="BV237" s="146"/>
      <c r="BW237" s="146"/>
      <c r="BX237" s="146"/>
      <c r="BY237" s="146"/>
      <c r="BZ237" s="146"/>
      <c r="CA237" s="146"/>
      <c r="CB237" s="146"/>
      <c r="CC237" s="146"/>
      <c r="CD237" s="146"/>
      <c r="CE237" s="146"/>
      <c r="CF237" s="146"/>
      <c r="CG237" s="146"/>
      <c r="CH237" s="146"/>
      <c r="CI237" s="146"/>
      <c r="CJ237" s="146"/>
      <c r="CK237" s="146"/>
      <c r="CL237" s="146"/>
      <c r="CM237" s="146"/>
      <c r="CN237" s="146"/>
      <c r="CO237" s="146"/>
      <c r="CP237" s="146"/>
      <c r="CQ237" s="146"/>
      <c r="CR237" s="146"/>
      <c r="CS237" s="146"/>
      <c r="CT237" s="146"/>
      <c r="CU237" s="146"/>
      <c r="CV237" s="146"/>
      <c r="CW237" s="146"/>
      <c r="CX237" s="146"/>
      <c r="CY237" s="146"/>
      <c r="CZ237" s="146"/>
      <c r="DA237" s="146"/>
      <c r="DB237" s="146"/>
      <c r="DC237" s="146"/>
    </row>
    <row r="238"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6"/>
      <c r="AQ238" s="146"/>
      <c r="AR238" s="146"/>
      <c r="AS238" s="146"/>
      <c r="AT238" s="146"/>
      <c r="AU238" s="146"/>
      <c r="AV238" s="146"/>
      <c r="AW238" s="146"/>
      <c r="AX238" s="146"/>
      <c r="AY238" s="146"/>
      <c r="AZ238" s="146"/>
      <c r="BA238" s="146"/>
      <c r="BB238" s="146"/>
      <c r="BC238" s="146"/>
      <c r="BD238" s="146"/>
      <c r="BE238" s="146"/>
      <c r="BF238" s="146"/>
      <c r="BG238" s="146"/>
      <c r="BH238" s="146"/>
      <c r="BI238" s="146"/>
      <c r="BJ238" s="146"/>
      <c r="BK238" s="146"/>
      <c r="BL238" s="146"/>
      <c r="BM238" s="146"/>
      <c r="BN238" s="146"/>
      <c r="BO238" s="146"/>
      <c r="BP238" s="146"/>
      <c r="BQ238" s="146"/>
      <c r="BR238" s="146"/>
      <c r="BS238" s="146"/>
      <c r="BT238" s="146"/>
      <c r="BU238" s="146"/>
      <c r="BV238" s="146"/>
      <c r="BW238" s="146"/>
      <c r="BX238" s="146"/>
      <c r="BY238" s="146"/>
      <c r="BZ238" s="146"/>
      <c r="CA238" s="146"/>
      <c r="CB238" s="146"/>
      <c r="CC238" s="146"/>
      <c r="CD238" s="146"/>
      <c r="CE238" s="146"/>
      <c r="CF238" s="146"/>
      <c r="CG238" s="146"/>
      <c r="CH238" s="146"/>
      <c r="CI238" s="146"/>
      <c r="CJ238" s="146"/>
      <c r="CK238" s="146"/>
      <c r="CL238" s="146"/>
      <c r="CM238" s="146"/>
      <c r="CN238" s="146"/>
      <c r="CO238" s="146"/>
      <c r="CP238" s="146"/>
      <c r="CQ238" s="146"/>
      <c r="CR238" s="146"/>
      <c r="CS238" s="146"/>
      <c r="CT238" s="146"/>
      <c r="CU238" s="146"/>
      <c r="CV238" s="146"/>
      <c r="CW238" s="146"/>
      <c r="CX238" s="146"/>
      <c r="CY238" s="146"/>
      <c r="CZ238" s="146"/>
      <c r="DA238" s="146"/>
      <c r="DB238" s="146"/>
      <c r="DC238" s="146"/>
    </row>
    <row r="239"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6"/>
      <c r="AQ239" s="146"/>
      <c r="AR239" s="146"/>
      <c r="AS239" s="146"/>
      <c r="AT239" s="146"/>
      <c r="AU239" s="146"/>
      <c r="AV239" s="146"/>
      <c r="AW239" s="146"/>
      <c r="AX239" s="146"/>
      <c r="AY239" s="146"/>
      <c r="AZ239" s="146"/>
      <c r="BA239" s="146"/>
      <c r="BB239" s="146"/>
      <c r="BC239" s="146"/>
      <c r="BD239" s="146"/>
      <c r="BE239" s="146"/>
      <c r="BF239" s="146"/>
      <c r="BG239" s="146"/>
      <c r="BH239" s="146"/>
      <c r="BI239" s="146"/>
      <c r="BJ239" s="146"/>
      <c r="BK239" s="146"/>
      <c r="BL239" s="146"/>
      <c r="BM239" s="146"/>
      <c r="BN239" s="146"/>
      <c r="BO239" s="146"/>
      <c r="BP239" s="146"/>
      <c r="BQ239" s="146"/>
      <c r="BR239" s="146"/>
      <c r="BS239" s="146"/>
      <c r="BT239" s="146"/>
      <c r="BU239" s="146"/>
      <c r="BV239" s="146"/>
      <c r="BW239" s="146"/>
      <c r="BX239" s="146"/>
      <c r="BY239" s="146"/>
      <c r="BZ239" s="146"/>
      <c r="CA239" s="146"/>
      <c r="CB239" s="146"/>
      <c r="CC239" s="146"/>
      <c r="CD239" s="146"/>
      <c r="CE239" s="146"/>
      <c r="CF239" s="146"/>
      <c r="CG239" s="146"/>
      <c r="CH239" s="146"/>
      <c r="CI239" s="146"/>
      <c r="CJ239" s="146"/>
      <c r="CK239" s="146"/>
      <c r="CL239" s="146"/>
      <c r="CM239" s="146"/>
      <c r="CN239" s="146"/>
      <c r="CO239" s="146"/>
      <c r="CP239" s="146"/>
      <c r="CQ239" s="146"/>
      <c r="CR239" s="146"/>
      <c r="CS239" s="146"/>
      <c r="CT239" s="146"/>
      <c r="CU239" s="146"/>
      <c r="CV239" s="146"/>
      <c r="CW239" s="146"/>
      <c r="CX239" s="146"/>
      <c r="CY239" s="146"/>
      <c r="CZ239" s="146"/>
      <c r="DA239" s="146"/>
      <c r="DB239" s="146"/>
      <c r="DC239" s="146"/>
    </row>
    <row r="240"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6"/>
      <c r="AQ240" s="146"/>
      <c r="AR240" s="146"/>
      <c r="AS240" s="146"/>
      <c r="AT240" s="146"/>
      <c r="AU240" s="146"/>
      <c r="AV240" s="146"/>
      <c r="AW240" s="146"/>
      <c r="AX240" s="146"/>
      <c r="AY240" s="146"/>
      <c r="AZ240" s="146"/>
      <c r="BA240" s="146"/>
      <c r="BB240" s="146"/>
      <c r="BC240" s="146"/>
      <c r="BD240" s="146"/>
      <c r="BE240" s="146"/>
      <c r="BF240" s="146"/>
      <c r="BG240" s="146"/>
      <c r="BH240" s="146"/>
      <c r="BI240" s="146"/>
      <c r="BJ240" s="146"/>
      <c r="BK240" s="146"/>
      <c r="BL240" s="146"/>
      <c r="BM240" s="146"/>
      <c r="BN240" s="146"/>
      <c r="BO240" s="146"/>
      <c r="BP240" s="146"/>
      <c r="BQ240" s="146"/>
      <c r="BR240" s="146"/>
      <c r="BS240" s="146"/>
      <c r="BT240" s="146"/>
      <c r="BU240" s="146"/>
      <c r="BV240" s="146"/>
      <c r="BW240" s="146"/>
      <c r="BX240" s="146"/>
      <c r="BY240" s="146"/>
      <c r="BZ240" s="146"/>
      <c r="CA240" s="146"/>
      <c r="CB240" s="146"/>
      <c r="CC240" s="146"/>
      <c r="CD240" s="146"/>
      <c r="CE240" s="146"/>
      <c r="CF240" s="146"/>
      <c r="CG240" s="146"/>
      <c r="CH240" s="146"/>
      <c r="CI240" s="146"/>
      <c r="CJ240" s="146"/>
      <c r="CK240" s="146"/>
      <c r="CL240" s="146"/>
      <c r="CM240" s="146"/>
      <c r="CN240" s="146"/>
      <c r="CO240" s="146"/>
      <c r="CP240" s="146"/>
      <c r="CQ240" s="146"/>
      <c r="CR240" s="146"/>
      <c r="CS240" s="146"/>
      <c r="CT240" s="146"/>
      <c r="CU240" s="146"/>
      <c r="CV240" s="146"/>
      <c r="CW240" s="146"/>
      <c r="CX240" s="146"/>
      <c r="CY240" s="146"/>
      <c r="CZ240" s="146"/>
      <c r="DA240" s="146"/>
      <c r="DB240" s="146"/>
      <c r="DC240" s="146"/>
    </row>
    <row r="241"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6"/>
      <c r="AQ241" s="146"/>
      <c r="AR241" s="146"/>
      <c r="AS241" s="146"/>
      <c r="AT241" s="146"/>
      <c r="AU241" s="146"/>
      <c r="AV241" s="146"/>
      <c r="AW241" s="146"/>
      <c r="AX241" s="146"/>
      <c r="AY241" s="146"/>
      <c r="AZ241" s="146"/>
      <c r="BA241" s="146"/>
      <c r="BB241" s="146"/>
      <c r="BC241" s="146"/>
      <c r="BD241" s="146"/>
      <c r="BE241" s="146"/>
      <c r="BF241" s="146"/>
      <c r="BG241" s="146"/>
      <c r="BH241" s="146"/>
      <c r="BI241" s="146"/>
      <c r="BJ241" s="146"/>
      <c r="BK241" s="146"/>
      <c r="BL241" s="146"/>
      <c r="BM241" s="146"/>
      <c r="BN241" s="146"/>
      <c r="BO241" s="146"/>
      <c r="BP241" s="146"/>
      <c r="BQ241" s="146"/>
      <c r="BR241" s="146"/>
      <c r="BS241" s="146"/>
      <c r="BT241" s="146"/>
      <c r="BU241" s="146"/>
      <c r="BV241" s="146"/>
      <c r="BW241" s="146"/>
      <c r="BX241" s="146"/>
      <c r="BY241" s="146"/>
      <c r="BZ241" s="146"/>
      <c r="CA241" s="146"/>
      <c r="CB241" s="146"/>
      <c r="CC241" s="146"/>
      <c r="CD241" s="146"/>
      <c r="CE241" s="146"/>
      <c r="CF241" s="146"/>
      <c r="CG241" s="146"/>
      <c r="CH241" s="146"/>
      <c r="CI241" s="146"/>
      <c r="CJ241" s="146"/>
      <c r="CK241" s="146"/>
      <c r="CL241" s="146"/>
      <c r="CM241" s="146"/>
      <c r="CN241" s="146"/>
      <c r="CO241" s="146"/>
      <c r="CP241" s="146"/>
      <c r="CQ241" s="146"/>
      <c r="CR241" s="146"/>
      <c r="CS241" s="146"/>
      <c r="CT241" s="146"/>
      <c r="CU241" s="146"/>
      <c r="CV241" s="146"/>
      <c r="CW241" s="146"/>
      <c r="CX241" s="146"/>
      <c r="CY241" s="146"/>
      <c r="CZ241" s="146"/>
      <c r="DA241" s="146"/>
      <c r="DB241" s="146"/>
      <c r="DC241" s="146"/>
    </row>
    <row r="242"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6"/>
      <c r="AQ242" s="146"/>
      <c r="AR242" s="146"/>
      <c r="AS242" s="146"/>
      <c r="AT242" s="146"/>
      <c r="AU242" s="146"/>
      <c r="AV242" s="146"/>
      <c r="AW242" s="146"/>
      <c r="AX242" s="146"/>
      <c r="AY242" s="146"/>
      <c r="AZ242" s="146"/>
      <c r="BA242" s="146"/>
      <c r="BB242" s="146"/>
      <c r="BC242" s="146"/>
      <c r="BD242" s="146"/>
      <c r="BE242" s="146"/>
      <c r="BF242" s="146"/>
      <c r="BG242" s="146"/>
      <c r="BH242" s="146"/>
      <c r="BI242" s="146"/>
      <c r="BJ242" s="146"/>
      <c r="BK242" s="146"/>
      <c r="BL242" s="146"/>
      <c r="BM242" s="146"/>
      <c r="BN242" s="146"/>
      <c r="BO242" s="146"/>
      <c r="BP242" s="146"/>
      <c r="BQ242" s="146"/>
      <c r="BR242" s="146"/>
      <c r="BS242" s="146"/>
      <c r="BT242" s="146"/>
      <c r="BU242" s="146"/>
      <c r="BV242" s="146"/>
      <c r="BW242" s="146"/>
      <c r="BX242" s="146"/>
      <c r="BY242" s="146"/>
      <c r="BZ242" s="146"/>
      <c r="CA242" s="146"/>
      <c r="CB242" s="146"/>
      <c r="CC242" s="146"/>
      <c r="CD242" s="146"/>
      <c r="CE242" s="146"/>
      <c r="CF242" s="146"/>
      <c r="CG242" s="146"/>
      <c r="CH242" s="146"/>
      <c r="CI242" s="146"/>
      <c r="CJ242" s="146"/>
      <c r="CK242" s="146"/>
      <c r="CL242" s="146"/>
      <c r="CM242" s="146"/>
      <c r="CN242" s="146"/>
      <c r="CO242" s="146"/>
      <c r="CP242" s="146"/>
      <c r="CQ242" s="146"/>
      <c r="CR242" s="146"/>
      <c r="CS242" s="146"/>
      <c r="CT242" s="146"/>
      <c r="CU242" s="146"/>
      <c r="CV242" s="146"/>
      <c r="CW242" s="146"/>
      <c r="CX242" s="146"/>
      <c r="CY242" s="146"/>
      <c r="CZ242" s="146"/>
      <c r="DA242" s="146"/>
      <c r="DB242" s="146"/>
      <c r="DC242" s="146"/>
    </row>
    <row r="243"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6"/>
      <c r="AQ243" s="146"/>
      <c r="AR243" s="146"/>
      <c r="AS243" s="146"/>
      <c r="AT243" s="146"/>
      <c r="AU243" s="146"/>
      <c r="AV243" s="146"/>
      <c r="AW243" s="146"/>
      <c r="AX243" s="146"/>
      <c r="AY243" s="146"/>
      <c r="AZ243" s="146"/>
      <c r="BA243" s="146"/>
      <c r="BB243" s="146"/>
      <c r="BC243" s="146"/>
      <c r="BD243" s="146"/>
      <c r="BE243" s="146"/>
      <c r="BF243" s="146"/>
      <c r="BG243" s="146"/>
      <c r="BH243" s="146"/>
      <c r="BI243" s="146"/>
      <c r="BJ243" s="146"/>
      <c r="BK243" s="146"/>
      <c r="BL243" s="146"/>
      <c r="BM243" s="146"/>
      <c r="BN243" s="146"/>
      <c r="BO243" s="146"/>
      <c r="BP243" s="146"/>
      <c r="BQ243" s="146"/>
      <c r="BR243" s="146"/>
      <c r="BS243" s="146"/>
      <c r="BT243" s="146"/>
      <c r="BU243" s="146"/>
      <c r="BV243" s="146"/>
      <c r="BW243" s="146"/>
      <c r="BX243" s="146"/>
      <c r="BY243" s="146"/>
      <c r="BZ243" s="146"/>
      <c r="CA243" s="146"/>
      <c r="CB243" s="146"/>
      <c r="CC243" s="146"/>
      <c r="CD243" s="146"/>
      <c r="CE243" s="146"/>
      <c r="CF243" s="146"/>
      <c r="CG243" s="146"/>
      <c r="CH243" s="146"/>
      <c r="CI243" s="146"/>
      <c r="CJ243" s="146"/>
      <c r="CK243" s="146"/>
      <c r="CL243" s="146"/>
      <c r="CM243" s="146"/>
      <c r="CN243" s="146"/>
      <c r="CO243" s="146"/>
      <c r="CP243" s="146"/>
      <c r="CQ243" s="146"/>
      <c r="CR243" s="146"/>
      <c r="CS243" s="146"/>
      <c r="CT243" s="146"/>
      <c r="CU243" s="146"/>
      <c r="CV243" s="146"/>
      <c r="CW243" s="146"/>
      <c r="CX243" s="146"/>
      <c r="CY243" s="146"/>
      <c r="CZ243" s="146"/>
      <c r="DA243" s="146"/>
      <c r="DB243" s="146"/>
      <c r="DC243" s="146"/>
    </row>
    <row r="24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6"/>
      <c r="AQ244" s="146"/>
      <c r="AR244" s="146"/>
      <c r="AS244" s="146"/>
      <c r="AT244" s="146"/>
      <c r="AU244" s="146"/>
      <c r="AV244" s="146"/>
      <c r="AW244" s="146"/>
      <c r="AX244" s="146"/>
      <c r="AY244" s="146"/>
      <c r="AZ244" s="146"/>
      <c r="BA244" s="146"/>
      <c r="BB244" s="146"/>
      <c r="BC244" s="146"/>
      <c r="BD244" s="146"/>
      <c r="BE244" s="146"/>
      <c r="BF244" s="146"/>
      <c r="BG244" s="146"/>
      <c r="BH244" s="146"/>
      <c r="BI244" s="146"/>
      <c r="BJ244" s="146"/>
      <c r="BK244" s="146"/>
      <c r="BL244" s="146"/>
      <c r="BM244" s="146"/>
      <c r="BN244" s="146"/>
      <c r="BO244" s="146"/>
      <c r="BP244" s="146"/>
      <c r="BQ244" s="146"/>
      <c r="BR244" s="146"/>
      <c r="BS244" s="146"/>
      <c r="BT244" s="146"/>
      <c r="BU244" s="146"/>
      <c r="BV244" s="146"/>
      <c r="BW244" s="146"/>
      <c r="BX244" s="146"/>
      <c r="BY244" s="146"/>
      <c r="BZ244" s="146"/>
      <c r="CA244" s="146"/>
      <c r="CB244" s="146"/>
      <c r="CC244" s="146"/>
      <c r="CD244" s="146"/>
      <c r="CE244" s="146"/>
      <c r="CF244" s="146"/>
      <c r="CG244" s="146"/>
      <c r="CH244" s="146"/>
      <c r="CI244" s="146"/>
      <c r="CJ244" s="146"/>
      <c r="CK244" s="146"/>
      <c r="CL244" s="146"/>
      <c r="CM244" s="146"/>
      <c r="CN244" s="146"/>
      <c r="CO244" s="146"/>
      <c r="CP244" s="146"/>
      <c r="CQ244" s="146"/>
      <c r="CR244" s="146"/>
      <c r="CS244" s="146"/>
      <c r="CT244" s="146"/>
      <c r="CU244" s="146"/>
      <c r="CV244" s="146"/>
      <c r="CW244" s="146"/>
      <c r="CX244" s="146"/>
      <c r="CY244" s="146"/>
      <c r="CZ244" s="146"/>
      <c r="DA244" s="146"/>
      <c r="DB244" s="146"/>
      <c r="DC244" s="146"/>
    </row>
    <row r="245"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6"/>
      <c r="AQ245" s="146"/>
      <c r="AR245" s="146"/>
      <c r="AS245" s="146"/>
      <c r="AT245" s="146"/>
      <c r="AU245" s="146"/>
      <c r="AV245" s="146"/>
      <c r="AW245" s="146"/>
      <c r="AX245" s="146"/>
      <c r="AY245" s="146"/>
      <c r="AZ245" s="146"/>
      <c r="BA245" s="146"/>
      <c r="BB245" s="146"/>
      <c r="BC245" s="146"/>
      <c r="BD245" s="146"/>
      <c r="BE245" s="146"/>
      <c r="BF245" s="146"/>
      <c r="BG245" s="146"/>
      <c r="BH245" s="146"/>
      <c r="BI245" s="146"/>
      <c r="BJ245" s="146"/>
      <c r="BK245" s="146"/>
      <c r="BL245" s="146"/>
      <c r="BM245" s="146"/>
      <c r="BN245" s="146"/>
      <c r="BO245" s="146"/>
      <c r="BP245" s="146"/>
      <c r="BQ245" s="146"/>
      <c r="BR245" s="146"/>
      <c r="BS245" s="146"/>
      <c r="BT245" s="146"/>
      <c r="BU245" s="146"/>
      <c r="BV245" s="146"/>
      <c r="BW245" s="146"/>
      <c r="BX245" s="146"/>
      <c r="BY245" s="146"/>
      <c r="BZ245" s="146"/>
      <c r="CA245" s="146"/>
      <c r="CB245" s="146"/>
      <c r="CC245" s="146"/>
      <c r="CD245" s="146"/>
      <c r="CE245" s="146"/>
      <c r="CF245" s="146"/>
      <c r="CG245" s="146"/>
      <c r="CH245" s="146"/>
      <c r="CI245" s="146"/>
      <c r="CJ245" s="146"/>
      <c r="CK245" s="146"/>
      <c r="CL245" s="146"/>
      <c r="CM245" s="146"/>
      <c r="CN245" s="146"/>
      <c r="CO245" s="146"/>
      <c r="CP245" s="146"/>
      <c r="CQ245" s="146"/>
      <c r="CR245" s="146"/>
      <c r="CS245" s="146"/>
      <c r="CT245" s="146"/>
      <c r="CU245" s="146"/>
      <c r="CV245" s="146"/>
      <c r="CW245" s="146"/>
      <c r="CX245" s="146"/>
      <c r="CY245" s="146"/>
      <c r="CZ245" s="146"/>
      <c r="DA245" s="146"/>
      <c r="DB245" s="146"/>
      <c r="DC245" s="146"/>
    </row>
    <row r="246"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6"/>
      <c r="AQ246" s="146"/>
      <c r="AR246" s="146"/>
      <c r="AS246" s="146"/>
      <c r="AT246" s="146"/>
      <c r="AU246" s="146"/>
      <c r="AV246" s="146"/>
      <c r="AW246" s="146"/>
      <c r="AX246" s="146"/>
      <c r="AY246" s="146"/>
      <c r="AZ246" s="146"/>
      <c r="BA246" s="146"/>
      <c r="BB246" s="146"/>
      <c r="BC246" s="146"/>
      <c r="BD246" s="146"/>
      <c r="BE246" s="146"/>
      <c r="BF246" s="146"/>
      <c r="BG246" s="146"/>
      <c r="BH246" s="146"/>
      <c r="BI246" s="146"/>
      <c r="BJ246" s="146"/>
      <c r="BK246" s="146"/>
      <c r="BL246" s="146"/>
      <c r="BM246" s="146"/>
      <c r="BN246" s="146"/>
      <c r="BO246" s="146"/>
      <c r="BP246" s="146"/>
      <c r="BQ246" s="146"/>
      <c r="BR246" s="146"/>
      <c r="BS246" s="146"/>
      <c r="BT246" s="146"/>
      <c r="BU246" s="146"/>
      <c r="BV246" s="146"/>
      <c r="BW246" s="146"/>
      <c r="BX246" s="146"/>
      <c r="BY246" s="146"/>
      <c r="BZ246" s="146"/>
      <c r="CA246" s="146"/>
      <c r="CB246" s="146"/>
      <c r="CC246" s="146"/>
      <c r="CD246" s="146"/>
      <c r="CE246" s="146"/>
      <c r="CF246" s="146"/>
      <c r="CG246" s="146"/>
      <c r="CH246" s="146"/>
      <c r="CI246" s="146"/>
      <c r="CJ246" s="146"/>
      <c r="CK246" s="146"/>
      <c r="CL246" s="146"/>
      <c r="CM246" s="146"/>
      <c r="CN246" s="146"/>
      <c r="CO246" s="146"/>
      <c r="CP246" s="146"/>
      <c r="CQ246" s="146"/>
      <c r="CR246" s="146"/>
      <c r="CS246" s="146"/>
      <c r="CT246" s="146"/>
      <c r="CU246" s="146"/>
      <c r="CV246" s="146"/>
      <c r="CW246" s="146"/>
      <c r="CX246" s="146"/>
      <c r="CY246" s="146"/>
      <c r="CZ246" s="146"/>
      <c r="DA246" s="146"/>
      <c r="DB246" s="146"/>
      <c r="DC246" s="146"/>
    </row>
    <row r="247"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6"/>
      <c r="AQ247" s="146"/>
      <c r="AR247" s="146"/>
      <c r="AS247" s="146"/>
      <c r="AT247" s="146"/>
      <c r="AU247" s="146"/>
      <c r="AV247" s="146"/>
      <c r="AW247" s="146"/>
      <c r="AX247" s="146"/>
      <c r="AY247" s="146"/>
      <c r="AZ247" s="146"/>
      <c r="BA247" s="146"/>
      <c r="BB247" s="146"/>
      <c r="BC247" s="146"/>
      <c r="BD247" s="146"/>
      <c r="BE247" s="146"/>
      <c r="BF247" s="146"/>
      <c r="BG247" s="146"/>
      <c r="BH247" s="146"/>
      <c r="BI247" s="146"/>
      <c r="BJ247" s="146"/>
      <c r="BK247" s="146"/>
      <c r="BL247" s="146"/>
      <c r="BM247" s="146"/>
      <c r="BN247" s="146"/>
      <c r="BO247" s="146"/>
      <c r="BP247" s="146"/>
      <c r="BQ247" s="146"/>
      <c r="BR247" s="146"/>
      <c r="BS247" s="146"/>
      <c r="BT247" s="146"/>
      <c r="BU247" s="146"/>
      <c r="BV247" s="146"/>
      <c r="BW247" s="146"/>
      <c r="BX247" s="146"/>
      <c r="BY247" s="146"/>
      <c r="BZ247" s="146"/>
      <c r="CA247" s="146"/>
      <c r="CB247" s="146"/>
      <c r="CC247" s="146"/>
      <c r="CD247" s="146"/>
      <c r="CE247" s="146"/>
      <c r="CF247" s="146"/>
      <c r="CG247" s="146"/>
      <c r="CH247" s="146"/>
      <c r="CI247" s="146"/>
      <c r="CJ247" s="146"/>
      <c r="CK247" s="146"/>
      <c r="CL247" s="146"/>
      <c r="CM247" s="146"/>
      <c r="CN247" s="146"/>
      <c r="CO247" s="146"/>
      <c r="CP247" s="146"/>
      <c r="CQ247" s="146"/>
      <c r="CR247" s="146"/>
      <c r="CS247" s="146"/>
      <c r="CT247" s="146"/>
      <c r="CU247" s="146"/>
      <c r="CV247" s="146"/>
      <c r="CW247" s="146"/>
      <c r="CX247" s="146"/>
      <c r="CY247" s="146"/>
      <c r="CZ247" s="146"/>
      <c r="DA247" s="146"/>
      <c r="DB247" s="146"/>
      <c r="DC247" s="146"/>
    </row>
    <row r="248"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6"/>
      <c r="AQ248" s="146"/>
      <c r="AR248" s="146"/>
      <c r="AS248" s="146"/>
      <c r="AT248" s="146"/>
      <c r="AU248" s="146"/>
      <c r="AV248" s="146"/>
      <c r="AW248" s="146"/>
      <c r="AX248" s="146"/>
      <c r="AY248" s="146"/>
      <c r="AZ248" s="146"/>
      <c r="BA248" s="146"/>
      <c r="BB248" s="146"/>
      <c r="BC248" s="146"/>
      <c r="BD248" s="146"/>
      <c r="BE248" s="146"/>
      <c r="BF248" s="146"/>
      <c r="BG248" s="146"/>
      <c r="BH248" s="146"/>
      <c r="BI248" s="146"/>
      <c r="BJ248" s="146"/>
      <c r="BK248" s="146"/>
      <c r="BL248" s="146"/>
      <c r="BM248" s="146"/>
      <c r="BN248" s="146"/>
      <c r="BO248" s="146"/>
      <c r="BP248" s="146"/>
      <c r="BQ248" s="146"/>
      <c r="BR248" s="146"/>
      <c r="BS248" s="146"/>
      <c r="BT248" s="146"/>
      <c r="BU248" s="146"/>
      <c r="BV248" s="146"/>
      <c r="BW248" s="146"/>
      <c r="BX248" s="146"/>
      <c r="BY248" s="146"/>
      <c r="BZ248" s="146"/>
      <c r="CA248" s="146"/>
      <c r="CB248" s="146"/>
      <c r="CC248" s="146"/>
      <c r="CD248" s="146"/>
      <c r="CE248" s="146"/>
      <c r="CF248" s="146"/>
      <c r="CG248" s="146"/>
      <c r="CH248" s="146"/>
      <c r="CI248" s="146"/>
      <c r="CJ248" s="146"/>
      <c r="CK248" s="146"/>
      <c r="CL248" s="146"/>
      <c r="CM248" s="146"/>
      <c r="CN248" s="146"/>
      <c r="CO248" s="146"/>
      <c r="CP248" s="146"/>
      <c r="CQ248" s="146"/>
      <c r="CR248" s="146"/>
      <c r="CS248" s="146"/>
      <c r="CT248" s="146"/>
      <c r="CU248" s="146"/>
      <c r="CV248" s="146"/>
      <c r="CW248" s="146"/>
      <c r="CX248" s="146"/>
      <c r="CY248" s="146"/>
      <c r="CZ248" s="146"/>
      <c r="DA248" s="146"/>
      <c r="DB248" s="146"/>
      <c r="DC248" s="146"/>
    </row>
    <row r="249"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6"/>
      <c r="AQ249" s="146"/>
      <c r="AR249" s="146"/>
      <c r="AS249" s="146"/>
      <c r="AT249" s="146"/>
      <c r="AU249" s="146"/>
      <c r="AV249" s="146"/>
      <c r="AW249" s="146"/>
      <c r="AX249" s="146"/>
      <c r="AY249" s="146"/>
      <c r="AZ249" s="146"/>
      <c r="BA249" s="146"/>
      <c r="BB249" s="146"/>
      <c r="BC249" s="146"/>
      <c r="BD249" s="146"/>
      <c r="BE249" s="146"/>
      <c r="BF249" s="146"/>
      <c r="BG249" s="146"/>
      <c r="BH249" s="146"/>
      <c r="BI249" s="146"/>
      <c r="BJ249" s="146"/>
      <c r="BK249" s="146"/>
      <c r="BL249" s="146"/>
      <c r="BM249" s="146"/>
      <c r="BN249" s="146"/>
      <c r="BO249" s="146"/>
      <c r="BP249" s="146"/>
      <c r="BQ249" s="146"/>
      <c r="BR249" s="146"/>
      <c r="BS249" s="146"/>
      <c r="BT249" s="146"/>
      <c r="BU249" s="146"/>
      <c r="BV249" s="146"/>
      <c r="BW249" s="146"/>
      <c r="BX249" s="146"/>
      <c r="BY249" s="146"/>
      <c r="BZ249" s="146"/>
      <c r="CA249" s="146"/>
      <c r="CB249" s="146"/>
      <c r="CC249" s="146"/>
      <c r="CD249" s="146"/>
      <c r="CE249" s="146"/>
      <c r="CF249" s="146"/>
      <c r="CG249" s="146"/>
      <c r="CH249" s="146"/>
      <c r="CI249" s="146"/>
      <c r="CJ249" s="146"/>
      <c r="CK249" s="146"/>
      <c r="CL249" s="146"/>
      <c r="CM249" s="146"/>
      <c r="CN249" s="146"/>
      <c r="CO249" s="146"/>
      <c r="CP249" s="146"/>
      <c r="CQ249" s="146"/>
      <c r="CR249" s="146"/>
      <c r="CS249" s="146"/>
      <c r="CT249" s="146"/>
      <c r="CU249" s="146"/>
      <c r="CV249" s="146"/>
      <c r="CW249" s="146"/>
      <c r="CX249" s="146"/>
      <c r="CY249" s="146"/>
      <c r="CZ249" s="146"/>
      <c r="DA249" s="146"/>
      <c r="DB249" s="146"/>
      <c r="DC249" s="146"/>
    </row>
    <row r="250"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6"/>
      <c r="AQ250" s="146"/>
      <c r="AR250" s="146"/>
      <c r="AS250" s="146"/>
      <c r="AT250" s="146"/>
      <c r="AU250" s="146"/>
      <c r="AV250" s="146"/>
      <c r="AW250" s="146"/>
      <c r="AX250" s="146"/>
      <c r="AY250" s="146"/>
      <c r="AZ250" s="146"/>
      <c r="BA250" s="146"/>
      <c r="BB250" s="146"/>
      <c r="BC250" s="146"/>
      <c r="BD250" s="146"/>
      <c r="BE250" s="146"/>
      <c r="BF250" s="146"/>
      <c r="BG250" s="146"/>
      <c r="BH250" s="146"/>
      <c r="BI250" s="146"/>
      <c r="BJ250" s="146"/>
      <c r="BK250" s="146"/>
      <c r="BL250" s="146"/>
      <c r="BM250" s="146"/>
      <c r="BN250" s="146"/>
      <c r="BO250" s="146"/>
      <c r="BP250" s="146"/>
      <c r="BQ250" s="146"/>
      <c r="BR250" s="146"/>
      <c r="BS250" s="146"/>
      <c r="BT250" s="146"/>
      <c r="BU250" s="146"/>
      <c r="BV250" s="146"/>
      <c r="BW250" s="146"/>
      <c r="BX250" s="146"/>
      <c r="BY250" s="146"/>
      <c r="BZ250" s="146"/>
      <c r="CA250" s="146"/>
      <c r="CB250" s="146"/>
      <c r="CC250" s="146"/>
      <c r="CD250" s="146"/>
      <c r="CE250" s="146"/>
      <c r="CF250" s="146"/>
      <c r="CG250" s="146"/>
      <c r="CH250" s="146"/>
      <c r="CI250" s="146"/>
      <c r="CJ250" s="146"/>
      <c r="CK250" s="146"/>
      <c r="CL250" s="146"/>
      <c r="CM250" s="146"/>
      <c r="CN250" s="146"/>
      <c r="CO250" s="146"/>
      <c r="CP250" s="146"/>
      <c r="CQ250" s="146"/>
      <c r="CR250" s="146"/>
      <c r="CS250" s="146"/>
      <c r="CT250" s="146"/>
      <c r="CU250" s="146"/>
      <c r="CV250" s="146"/>
      <c r="CW250" s="146"/>
      <c r="CX250" s="146"/>
      <c r="CY250" s="146"/>
      <c r="CZ250" s="146"/>
      <c r="DA250" s="146"/>
      <c r="DB250" s="146"/>
      <c r="DC250" s="146"/>
    </row>
    <row r="251"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6"/>
      <c r="AQ251" s="146"/>
      <c r="AR251" s="146"/>
      <c r="AS251" s="146"/>
      <c r="AT251" s="146"/>
      <c r="AU251" s="146"/>
      <c r="AV251" s="146"/>
      <c r="AW251" s="146"/>
      <c r="AX251" s="146"/>
      <c r="AY251" s="146"/>
      <c r="AZ251" s="146"/>
      <c r="BA251" s="146"/>
      <c r="BB251" s="146"/>
      <c r="BC251" s="146"/>
      <c r="BD251" s="146"/>
      <c r="BE251" s="146"/>
      <c r="BF251" s="146"/>
      <c r="BG251" s="146"/>
      <c r="BH251" s="146"/>
      <c r="BI251" s="146"/>
      <c r="BJ251" s="146"/>
      <c r="BK251" s="146"/>
      <c r="BL251" s="146"/>
      <c r="BM251" s="146"/>
      <c r="BN251" s="146"/>
      <c r="BO251" s="146"/>
      <c r="BP251" s="146"/>
      <c r="BQ251" s="146"/>
      <c r="BR251" s="146"/>
      <c r="BS251" s="146"/>
      <c r="BT251" s="146"/>
      <c r="BU251" s="146"/>
      <c r="BV251" s="146"/>
      <c r="BW251" s="146"/>
      <c r="BX251" s="146"/>
      <c r="BY251" s="146"/>
      <c r="BZ251" s="146"/>
      <c r="CA251" s="146"/>
      <c r="CB251" s="146"/>
      <c r="CC251" s="146"/>
      <c r="CD251" s="146"/>
      <c r="CE251" s="146"/>
      <c r="CF251" s="146"/>
      <c r="CG251" s="146"/>
      <c r="CH251" s="146"/>
      <c r="CI251" s="146"/>
      <c r="CJ251" s="146"/>
      <c r="CK251" s="146"/>
      <c r="CL251" s="146"/>
      <c r="CM251" s="146"/>
      <c r="CN251" s="146"/>
      <c r="CO251" s="146"/>
      <c r="CP251" s="146"/>
      <c r="CQ251" s="146"/>
      <c r="CR251" s="146"/>
      <c r="CS251" s="146"/>
      <c r="CT251" s="146"/>
      <c r="CU251" s="146"/>
      <c r="CV251" s="146"/>
      <c r="CW251" s="146"/>
      <c r="CX251" s="146"/>
      <c r="CY251" s="146"/>
      <c r="CZ251" s="146"/>
      <c r="DA251" s="146"/>
      <c r="DB251" s="146"/>
      <c r="DC251" s="146"/>
    </row>
    <row r="252"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6"/>
      <c r="AQ252" s="146"/>
      <c r="AR252" s="146"/>
      <c r="AS252" s="146"/>
      <c r="AT252" s="146"/>
      <c r="AU252" s="146"/>
      <c r="AV252" s="146"/>
      <c r="AW252" s="146"/>
      <c r="AX252" s="146"/>
      <c r="AY252" s="146"/>
      <c r="AZ252" s="146"/>
      <c r="BA252" s="146"/>
      <c r="BB252" s="146"/>
      <c r="BC252" s="146"/>
      <c r="BD252" s="146"/>
      <c r="BE252" s="146"/>
      <c r="BF252" s="146"/>
      <c r="BG252" s="146"/>
      <c r="BH252" s="146"/>
      <c r="BI252" s="146"/>
      <c r="BJ252" s="146"/>
      <c r="BK252" s="146"/>
      <c r="BL252" s="146"/>
      <c r="BM252" s="146"/>
      <c r="BN252" s="146"/>
      <c r="BO252" s="146"/>
      <c r="BP252" s="146"/>
      <c r="BQ252" s="146"/>
      <c r="BR252" s="146"/>
      <c r="BS252" s="146"/>
      <c r="BT252" s="146"/>
      <c r="BU252" s="146"/>
      <c r="BV252" s="146"/>
      <c r="BW252" s="146"/>
      <c r="BX252" s="146"/>
      <c r="BY252" s="146"/>
      <c r="BZ252" s="146"/>
      <c r="CA252" s="146"/>
      <c r="CB252" s="146"/>
      <c r="CC252" s="146"/>
      <c r="CD252" s="146"/>
      <c r="CE252" s="146"/>
      <c r="CF252" s="146"/>
      <c r="CG252" s="146"/>
      <c r="CH252" s="146"/>
      <c r="CI252" s="146"/>
      <c r="CJ252" s="146"/>
      <c r="CK252" s="146"/>
      <c r="CL252" s="146"/>
      <c r="CM252" s="146"/>
      <c r="CN252" s="146"/>
      <c r="CO252" s="146"/>
      <c r="CP252" s="146"/>
      <c r="CQ252" s="146"/>
      <c r="CR252" s="146"/>
      <c r="CS252" s="146"/>
      <c r="CT252" s="146"/>
      <c r="CU252" s="146"/>
      <c r="CV252" s="146"/>
      <c r="CW252" s="146"/>
      <c r="CX252" s="146"/>
      <c r="CY252" s="146"/>
      <c r="CZ252" s="146"/>
      <c r="DA252" s="146"/>
      <c r="DB252" s="146"/>
      <c r="DC252" s="146"/>
    </row>
    <row r="253"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6"/>
      <c r="AQ253" s="146"/>
      <c r="AR253" s="146"/>
      <c r="AS253" s="146"/>
      <c r="AT253" s="146"/>
      <c r="AU253" s="146"/>
      <c r="AV253" s="146"/>
      <c r="AW253" s="146"/>
      <c r="AX253" s="146"/>
      <c r="AY253" s="146"/>
      <c r="AZ253" s="146"/>
      <c r="BA253" s="146"/>
      <c r="BB253" s="146"/>
      <c r="BC253" s="146"/>
      <c r="BD253" s="146"/>
      <c r="BE253" s="146"/>
      <c r="BF253" s="146"/>
      <c r="BG253" s="146"/>
      <c r="BH253" s="146"/>
      <c r="BI253" s="146"/>
      <c r="BJ253" s="146"/>
      <c r="BK253" s="146"/>
      <c r="BL253" s="146"/>
      <c r="BM253" s="146"/>
      <c r="BN253" s="146"/>
      <c r="BO253" s="146"/>
      <c r="BP253" s="146"/>
      <c r="BQ253" s="146"/>
      <c r="BR253" s="146"/>
      <c r="BS253" s="146"/>
      <c r="BT253" s="146"/>
      <c r="BU253" s="146"/>
      <c r="BV253" s="146"/>
      <c r="BW253" s="146"/>
      <c r="BX253" s="146"/>
      <c r="BY253" s="146"/>
      <c r="BZ253" s="146"/>
      <c r="CA253" s="146"/>
      <c r="CB253" s="146"/>
      <c r="CC253" s="146"/>
      <c r="CD253" s="146"/>
      <c r="CE253" s="146"/>
      <c r="CF253" s="146"/>
      <c r="CG253" s="146"/>
      <c r="CH253" s="146"/>
      <c r="CI253" s="146"/>
      <c r="CJ253" s="146"/>
      <c r="CK253" s="146"/>
      <c r="CL253" s="146"/>
      <c r="CM253" s="146"/>
      <c r="CN253" s="146"/>
      <c r="CO253" s="146"/>
      <c r="CP253" s="146"/>
      <c r="CQ253" s="146"/>
      <c r="CR253" s="146"/>
      <c r="CS253" s="146"/>
      <c r="CT253" s="146"/>
      <c r="CU253" s="146"/>
      <c r="CV253" s="146"/>
      <c r="CW253" s="146"/>
      <c r="CX253" s="146"/>
      <c r="CY253" s="146"/>
      <c r="CZ253" s="146"/>
      <c r="DA253" s="146"/>
      <c r="DB253" s="146"/>
      <c r="DC253" s="146"/>
    </row>
    <row r="2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6"/>
      <c r="AQ254" s="146"/>
      <c r="AR254" s="146"/>
      <c r="AS254" s="146"/>
      <c r="AT254" s="146"/>
      <c r="AU254" s="146"/>
      <c r="AV254" s="146"/>
      <c r="AW254" s="146"/>
      <c r="AX254" s="146"/>
      <c r="AY254" s="146"/>
      <c r="AZ254" s="146"/>
      <c r="BA254" s="146"/>
      <c r="BB254" s="146"/>
      <c r="BC254" s="146"/>
      <c r="BD254" s="146"/>
      <c r="BE254" s="146"/>
      <c r="BF254" s="146"/>
      <c r="BG254" s="146"/>
      <c r="BH254" s="146"/>
      <c r="BI254" s="146"/>
      <c r="BJ254" s="146"/>
      <c r="BK254" s="146"/>
      <c r="BL254" s="146"/>
      <c r="BM254" s="146"/>
      <c r="BN254" s="146"/>
      <c r="BO254" s="146"/>
      <c r="BP254" s="146"/>
      <c r="BQ254" s="146"/>
      <c r="BR254" s="146"/>
      <c r="BS254" s="146"/>
      <c r="BT254" s="146"/>
      <c r="BU254" s="146"/>
      <c r="BV254" s="146"/>
      <c r="BW254" s="146"/>
      <c r="BX254" s="146"/>
      <c r="BY254" s="146"/>
      <c r="BZ254" s="146"/>
      <c r="CA254" s="146"/>
      <c r="CB254" s="146"/>
      <c r="CC254" s="146"/>
      <c r="CD254" s="146"/>
      <c r="CE254" s="146"/>
      <c r="CF254" s="146"/>
      <c r="CG254" s="146"/>
      <c r="CH254" s="146"/>
      <c r="CI254" s="146"/>
      <c r="CJ254" s="146"/>
      <c r="CK254" s="146"/>
      <c r="CL254" s="146"/>
      <c r="CM254" s="146"/>
      <c r="CN254" s="146"/>
      <c r="CO254" s="146"/>
      <c r="CP254" s="146"/>
      <c r="CQ254" s="146"/>
      <c r="CR254" s="146"/>
      <c r="CS254" s="146"/>
      <c r="CT254" s="146"/>
      <c r="CU254" s="146"/>
      <c r="CV254" s="146"/>
      <c r="CW254" s="146"/>
      <c r="CX254" s="146"/>
      <c r="CY254" s="146"/>
      <c r="CZ254" s="146"/>
      <c r="DA254" s="146"/>
      <c r="DB254" s="146"/>
      <c r="DC254" s="146"/>
    </row>
    <row r="255"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6"/>
      <c r="AQ255" s="146"/>
      <c r="AR255" s="146"/>
      <c r="AS255" s="146"/>
      <c r="AT255" s="146"/>
      <c r="AU255" s="146"/>
      <c r="AV255" s="146"/>
      <c r="AW255" s="146"/>
      <c r="AX255" s="146"/>
      <c r="AY255" s="146"/>
      <c r="AZ255" s="146"/>
      <c r="BA255" s="146"/>
      <c r="BB255" s="146"/>
      <c r="BC255" s="146"/>
      <c r="BD255" s="146"/>
      <c r="BE255" s="146"/>
      <c r="BF255" s="146"/>
      <c r="BG255" s="146"/>
      <c r="BH255" s="146"/>
      <c r="BI255" s="146"/>
      <c r="BJ255" s="146"/>
      <c r="BK255" s="146"/>
      <c r="BL255" s="146"/>
      <c r="BM255" s="146"/>
      <c r="BN255" s="146"/>
      <c r="BO255" s="146"/>
      <c r="BP255" s="146"/>
      <c r="BQ255" s="146"/>
      <c r="BR255" s="146"/>
      <c r="BS255" s="146"/>
      <c r="BT255" s="146"/>
      <c r="BU255" s="146"/>
      <c r="BV255" s="146"/>
      <c r="BW255" s="146"/>
      <c r="BX255" s="146"/>
      <c r="BY255" s="146"/>
      <c r="BZ255" s="146"/>
      <c r="CA255" s="146"/>
      <c r="CB255" s="146"/>
      <c r="CC255" s="146"/>
      <c r="CD255" s="146"/>
      <c r="CE255" s="146"/>
      <c r="CF255" s="146"/>
      <c r="CG255" s="146"/>
      <c r="CH255" s="146"/>
      <c r="CI255" s="146"/>
      <c r="CJ255" s="146"/>
      <c r="CK255" s="146"/>
      <c r="CL255" s="146"/>
      <c r="CM255" s="146"/>
      <c r="CN255" s="146"/>
      <c r="CO255" s="146"/>
      <c r="CP255" s="146"/>
      <c r="CQ255" s="146"/>
      <c r="CR255" s="146"/>
      <c r="CS255" s="146"/>
      <c r="CT255" s="146"/>
      <c r="CU255" s="146"/>
      <c r="CV255" s="146"/>
      <c r="CW255" s="146"/>
      <c r="CX255" s="146"/>
      <c r="CY255" s="146"/>
      <c r="CZ255" s="146"/>
      <c r="DA255" s="146"/>
      <c r="DB255" s="146"/>
      <c r="DC255" s="146"/>
    </row>
    <row r="256"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6"/>
      <c r="AQ256" s="146"/>
      <c r="AR256" s="146"/>
      <c r="AS256" s="146"/>
      <c r="AT256" s="146"/>
      <c r="AU256" s="146"/>
      <c r="AV256" s="146"/>
      <c r="AW256" s="146"/>
      <c r="AX256" s="146"/>
      <c r="AY256" s="146"/>
      <c r="AZ256" s="146"/>
      <c r="BA256" s="146"/>
      <c r="BB256" s="146"/>
      <c r="BC256" s="146"/>
      <c r="BD256" s="146"/>
      <c r="BE256" s="146"/>
      <c r="BF256" s="146"/>
      <c r="BG256" s="146"/>
      <c r="BH256" s="146"/>
      <c r="BI256" s="146"/>
      <c r="BJ256" s="146"/>
      <c r="BK256" s="146"/>
      <c r="BL256" s="146"/>
      <c r="BM256" s="146"/>
      <c r="BN256" s="146"/>
      <c r="BO256" s="146"/>
      <c r="BP256" s="146"/>
      <c r="BQ256" s="146"/>
      <c r="BR256" s="146"/>
      <c r="BS256" s="146"/>
      <c r="BT256" s="146"/>
      <c r="BU256" s="146"/>
      <c r="BV256" s="146"/>
      <c r="BW256" s="146"/>
      <c r="BX256" s="146"/>
      <c r="BY256" s="146"/>
      <c r="BZ256" s="146"/>
      <c r="CA256" s="146"/>
      <c r="CB256" s="146"/>
      <c r="CC256" s="146"/>
      <c r="CD256" s="146"/>
      <c r="CE256" s="146"/>
      <c r="CF256" s="146"/>
      <c r="CG256" s="146"/>
      <c r="CH256" s="146"/>
      <c r="CI256" s="146"/>
      <c r="CJ256" s="146"/>
      <c r="CK256" s="146"/>
      <c r="CL256" s="146"/>
      <c r="CM256" s="146"/>
      <c r="CN256" s="146"/>
      <c r="CO256" s="146"/>
      <c r="CP256" s="146"/>
      <c r="CQ256" s="146"/>
      <c r="CR256" s="146"/>
      <c r="CS256" s="146"/>
      <c r="CT256" s="146"/>
      <c r="CU256" s="146"/>
      <c r="CV256" s="146"/>
      <c r="CW256" s="146"/>
      <c r="CX256" s="146"/>
      <c r="CY256" s="146"/>
      <c r="CZ256" s="146"/>
      <c r="DA256" s="146"/>
      <c r="DB256" s="146"/>
      <c r="DC256" s="146"/>
    </row>
    <row r="257"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6"/>
      <c r="AQ257" s="146"/>
      <c r="AR257" s="146"/>
      <c r="AS257" s="146"/>
      <c r="AT257" s="146"/>
      <c r="AU257" s="146"/>
      <c r="AV257" s="146"/>
      <c r="AW257" s="146"/>
      <c r="AX257" s="146"/>
      <c r="AY257" s="146"/>
      <c r="AZ257" s="146"/>
      <c r="BA257" s="146"/>
      <c r="BB257" s="146"/>
      <c r="BC257" s="146"/>
      <c r="BD257" s="146"/>
      <c r="BE257" s="146"/>
      <c r="BF257" s="146"/>
      <c r="BG257" s="146"/>
      <c r="BH257" s="146"/>
      <c r="BI257" s="146"/>
      <c r="BJ257" s="146"/>
      <c r="BK257" s="146"/>
      <c r="BL257" s="146"/>
      <c r="BM257" s="146"/>
      <c r="BN257" s="146"/>
      <c r="BO257" s="146"/>
      <c r="BP257" s="146"/>
      <c r="BQ257" s="146"/>
      <c r="BR257" s="146"/>
      <c r="BS257" s="146"/>
      <c r="BT257" s="146"/>
      <c r="BU257" s="146"/>
      <c r="BV257" s="146"/>
      <c r="BW257" s="146"/>
      <c r="BX257" s="146"/>
      <c r="BY257" s="146"/>
      <c r="BZ257" s="146"/>
      <c r="CA257" s="146"/>
      <c r="CB257" s="146"/>
      <c r="CC257" s="146"/>
      <c r="CD257" s="146"/>
      <c r="CE257" s="146"/>
      <c r="CF257" s="146"/>
      <c r="CG257" s="146"/>
      <c r="CH257" s="146"/>
      <c r="CI257" s="146"/>
      <c r="CJ257" s="146"/>
      <c r="CK257" s="146"/>
      <c r="CL257" s="146"/>
      <c r="CM257" s="146"/>
      <c r="CN257" s="146"/>
      <c r="CO257" s="146"/>
      <c r="CP257" s="146"/>
      <c r="CQ257" s="146"/>
      <c r="CR257" s="146"/>
      <c r="CS257" s="146"/>
      <c r="CT257" s="146"/>
      <c r="CU257" s="146"/>
      <c r="CV257" s="146"/>
      <c r="CW257" s="146"/>
      <c r="CX257" s="146"/>
      <c r="CY257" s="146"/>
      <c r="CZ257" s="146"/>
      <c r="DA257" s="146"/>
      <c r="DB257" s="146"/>
      <c r="DC257" s="146"/>
    </row>
    <row r="258"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6"/>
      <c r="AQ258" s="146"/>
      <c r="AR258" s="146"/>
      <c r="AS258" s="146"/>
      <c r="AT258" s="146"/>
      <c r="AU258" s="146"/>
      <c r="AV258" s="146"/>
      <c r="AW258" s="146"/>
      <c r="AX258" s="146"/>
      <c r="AY258" s="146"/>
      <c r="AZ258" s="146"/>
      <c r="BA258" s="146"/>
      <c r="BB258" s="146"/>
      <c r="BC258" s="146"/>
      <c r="BD258" s="146"/>
      <c r="BE258" s="146"/>
      <c r="BF258" s="146"/>
      <c r="BG258" s="146"/>
      <c r="BH258" s="146"/>
      <c r="BI258" s="146"/>
      <c r="BJ258" s="146"/>
      <c r="BK258" s="146"/>
      <c r="BL258" s="146"/>
      <c r="BM258" s="146"/>
      <c r="BN258" s="146"/>
      <c r="BO258" s="146"/>
      <c r="BP258" s="146"/>
      <c r="BQ258" s="146"/>
      <c r="BR258" s="146"/>
      <c r="BS258" s="146"/>
      <c r="BT258" s="146"/>
      <c r="BU258" s="146"/>
      <c r="BV258" s="146"/>
      <c r="BW258" s="146"/>
      <c r="BX258" s="146"/>
      <c r="BY258" s="146"/>
      <c r="BZ258" s="146"/>
      <c r="CA258" s="146"/>
      <c r="CB258" s="146"/>
      <c r="CC258" s="146"/>
      <c r="CD258" s="146"/>
      <c r="CE258" s="146"/>
      <c r="CF258" s="146"/>
      <c r="CG258" s="146"/>
      <c r="CH258" s="146"/>
      <c r="CI258" s="146"/>
      <c r="CJ258" s="146"/>
      <c r="CK258" s="146"/>
      <c r="CL258" s="146"/>
      <c r="CM258" s="146"/>
      <c r="CN258" s="146"/>
      <c r="CO258" s="146"/>
      <c r="CP258" s="146"/>
      <c r="CQ258" s="146"/>
      <c r="CR258" s="146"/>
      <c r="CS258" s="146"/>
      <c r="CT258" s="146"/>
      <c r="CU258" s="146"/>
      <c r="CV258" s="146"/>
      <c r="CW258" s="146"/>
      <c r="CX258" s="146"/>
      <c r="CY258" s="146"/>
      <c r="CZ258" s="146"/>
      <c r="DA258" s="146"/>
      <c r="DB258" s="146"/>
      <c r="DC258" s="146"/>
    </row>
    <row r="259"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6"/>
      <c r="AQ259" s="146"/>
      <c r="AR259" s="146"/>
      <c r="AS259" s="146"/>
      <c r="AT259" s="146"/>
      <c r="AU259" s="146"/>
      <c r="AV259" s="146"/>
      <c r="AW259" s="146"/>
      <c r="AX259" s="146"/>
      <c r="AY259" s="146"/>
      <c r="AZ259" s="146"/>
      <c r="BA259" s="146"/>
      <c r="BB259" s="146"/>
      <c r="BC259" s="146"/>
      <c r="BD259" s="146"/>
      <c r="BE259" s="146"/>
      <c r="BF259" s="146"/>
      <c r="BG259" s="146"/>
      <c r="BH259" s="146"/>
      <c r="BI259" s="146"/>
      <c r="BJ259" s="146"/>
      <c r="BK259" s="146"/>
      <c r="BL259" s="146"/>
      <c r="BM259" s="146"/>
      <c r="BN259" s="146"/>
      <c r="BO259" s="146"/>
      <c r="BP259" s="146"/>
      <c r="BQ259" s="146"/>
      <c r="BR259" s="146"/>
      <c r="BS259" s="146"/>
      <c r="BT259" s="146"/>
      <c r="BU259" s="146"/>
      <c r="BV259" s="146"/>
      <c r="BW259" s="146"/>
      <c r="BX259" s="146"/>
      <c r="BY259" s="146"/>
      <c r="BZ259" s="146"/>
      <c r="CA259" s="146"/>
      <c r="CB259" s="146"/>
      <c r="CC259" s="146"/>
      <c r="CD259" s="146"/>
      <c r="CE259" s="146"/>
      <c r="CF259" s="146"/>
      <c r="CG259" s="146"/>
      <c r="CH259" s="146"/>
      <c r="CI259" s="146"/>
      <c r="CJ259" s="146"/>
      <c r="CK259" s="146"/>
      <c r="CL259" s="146"/>
      <c r="CM259" s="146"/>
      <c r="CN259" s="146"/>
      <c r="CO259" s="146"/>
      <c r="CP259" s="146"/>
      <c r="CQ259" s="146"/>
      <c r="CR259" s="146"/>
      <c r="CS259" s="146"/>
      <c r="CT259" s="146"/>
      <c r="CU259" s="146"/>
      <c r="CV259" s="146"/>
      <c r="CW259" s="146"/>
      <c r="CX259" s="146"/>
      <c r="CY259" s="146"/>
      <c r="CZ259" s="146"/>
      <c r="DA259" s="146"/>
      <c r="DB259" s="146"/>
      <c r="DC259" s="146"/>
    </row>
    <row r="260"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6"/>
      <c r="AQ260" s="146"/>
      <c r="AR260" s="146"/>
      <c r="AS260" s="146"/>
      <c r="AT260" s="146"/>
      <c r="AU260" s="146"/>
      <c r="AV260" s="146"/>
      <c r="AW260" s="146"/>
      <c r="AX260" s="146"/>
      <c r="AY260" s="146"/>
      <c r="AZ260" s="146"/>
      <c r="BA260" s="146"/>
      <c r="BB260" s="146"/>
      <c r="BC260" s="146"/>
      <c r="BD260" s="146"/>
      <c r="BE260" s="146"/>
      <c r="BF260" s="146"/>
      <c r="BG260" s="146"/>
      <c r="BH260" s="146"/>
      <c r="BI260" s="146"/>
      <c r="BJ260" s="146"/>
      <c r="BK260" s="146"/>
      <c r="BL260" s="146"/>
      <c r="BM260" s="146"/>
      <c r="BN260" s="146"/>
      <c r="BO260" s="146"/>
      <c r="BP260" s="146"/>
      <c r="BQ260" s="146"/>
      <c r="BR260" s="146"/>
      <c r="BS260" s="146"/>
      <c r="BT260" s="146"/>
      <c r="BU260" s="146"/>
      <c r="BV260" s="146"/>
      <c r="BW260" s="146"/>
      <c r="BX260" s="146"/>
      <c r="BY260" s="146"/>
      <c r="BZ260" s="146"/>
      <c r="CA260" s="146"/>
      <c r="CB260" s="146"/>
      <c r="CC260" s="146"/>
      <c r="CD260" s="146"/>
      <c r="CE260" s="146"/>
      <c r="CF260" s="146"/>
      <c r="CG260" s="146"/>
      <c r="CH260" s="146"/>
      <c r="CI260" s="146"/>
      <c r="CJ260" s="146"/>
      <c r="CK260" s="146"/>
      <c r="CL260" s="146"/>
      <c r="CM260" s="146"/>
      <c r="CN260" s="146"/>
      <c r="CO260" s="146"/>
      <c r="CP260" s="146"/>
      <c r="CQ260" s="146"/>
      <c r="CR260" s="146"/>
      <c r="CS260" s="146"/>
      <c r="CT260" s="146"/>
      <c r="CU260" s="146"/>
      <c r="CV260" s="146"/>
      <c r="CW260" s="146"/>
      <c r="CX260" s="146"/>
      <c r="CY260" s="146"/>
      <c r="CZ260" s="146"/>
      <c r="DA260" s="146"/>
      <c r="DB260" s="146"/>
      <c r="DC260" s="146"/>
    </row>
    <row r="261"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6"/>
      <c r="AQ261" s="146"/>
      <c r="AR261" s="146"/>
      <c r="AS261" s="146"/>
      <c r="AT261" s="146"/>
      <c r="AU261" s="146"/>
      <c r="AV261" s="146"/>
      <c r="AW261" s="146"/>
      <c r="AX261" s="146"/>
      <c r="AY261" s="146"/>
      <c r="AZ261" s="146"/>
      <c r="BA261" s="146"/>
      <c r="BB261" s="146"/>
      <c r="BC261" s="146"/>
      <c r="BD261" s="146"/>
      <c r="BE261" s="146"/>
      <c r="BF261" s="146"/>
      <c r="BG261" s="146"/>
      <c r="BH261" s="146"/>
      <c r="BI261" s="146"/>
      <c r="BJ261" s="146"/>
      <c r="BK261" s="146"/>
      <c r="BL261" s="146"/>
      <c r="BM261" s="146"/>
      <c r="BN261" s="146"/>
      <c r="BO261" s="146"/>
      <c r="BP261" s="146"/>
      <c r="BQ261" s="146"/>
      <c r="BR261" s="146"/>
      <c r="BS261" s="146"/>
      <c r="BT261" s="146"/>
      <c r="BU261" s="146"/>
      <c r="BV261" s="146"/>
      <c r="BW261" s="146"/>
      <c r="BX261" s="146"/>
      <c r="BY261" s="146"/>
      <c r="BZ261" s="146"/>
      <c r="CA261" s="146"/>
      <c r="CB261" s="146"/>
      <c r="CC261" s="146"/>
      <c r="CD261" s="146"/>
      <c r="CE261" s="146"/>
      <c r="CF261" s="146"/>
      <c r="CG261" s="146"/>
      <c r="CH261" s="146"/>
      <c r="CI261" s="146"/>
      <c r="CJ261" s="146"/>
      <c r="CK261" s="146"/>
      <c r="CL261" s="146"/>
      <c r="CM261" s="146"/>
      <c r="CN261" s="146"/>
      <c r="CO261" s="146"/>
      <c r="CP261" s="146"/>
      <c r="CQ261" s="146"/>
      <c r="CR261" s="146"/>
      <c r="CS261" s="146"/>
      <c r="CT261" s="146"/>
      <c r="CU261" s="146"/>
      <c r="CV261" s="146"/>
      <c r="CW261" s="146"/>
      <c r="CX261" s="146"/>
      <c r="CY261" s="146"/>
      <c r="CZ261" s="146"/>
      <c r="DA261" s="146"/>
      <c r="DB261" s="146"/>
      <c r="DC261" s="146"/>
    </row>
    <row r="262"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6"/>
      <c r="AQ262" s="146"/>
      <c r="AR262" s="146"/>
      <c r="AS262" s="146"/>
      <c r="AT262" s="146"/>
      <c r="AU262" s="146"/>
      <c r="AV262" s="146"/>
      <c r="AW262" s="146"/>
      <c r="AX262" s="146"/>
      <c r="AY262" s="146"/>
      <c r="AZ262" s="146"/>
      <c r="BA262" s="146"/>
      <c r="BB262" s="146"/>
      <c r="BC262" s="146"/>
      <c r="BD262" s="146"/>
      <c r="BE262" s="146"/>
      <c r="BF262" s="146"/>
      <c r="BG262" s="146"/>
      <c r="BH262" s="146"/>
      <c r="BI262" s="146"/>
      <c r="BJ262" s="146"/>
      <c r="BK262" s="146"/>
      <c r="BL262" s="146"/>
      <c r="BM262" s="146"/>
      <c r="BN262" s="146"/>
      <c r="BO262" s="146"/>
      <c r="BP262" s="146"/>
      <c r="BQ262" s="146"/>
      <c r="BR262" s="146"/>
      <c r="BS262" s="146"/>
      <c r="BT262" s="146"/>
      <c r="BU262" s="146"/>
      <c r="BV262" s="146"/>
      <c r="BW262" s="146"/>
      <c r="BX262" s="146"/>
      <c r="BY262" s="146"/>
      <c r="BZ262" s="146"/>
      <c r="CA262" s="146"/>
      <c r="CB262" s="146"/>
      <c r="CC262" s="146"/>
      <c r="CD262" s="146"/>
      <c r="CE262" s="146"/>
      <c r="CF262" s="146"/>
      <c r="CG262" s="146"/>
      <c r="CH262" s="146"/>
      <c r="CI262" s="146"/>
      <c r="CJ262" s="146"/>
      <c r="CK262" s="146"/>
      <c r="CL262" s="146"/>
      <c r="CM262" s="146"/>
      <c r="CN262" s="146"/>
      <c r="CO262" s="146"/>
      <c r="CP262" s="146"/>
      <c r="CQ262" s="146"/>
      <c r="CR262" s="146"/>
      <c r="CS262" s="146"/>
      <c r="CT262" s="146"/>
      <c r="CU262" s="146"/>
      <c r="CV262" s="146"/>
      <c r="CW262" s="146"/>
      <c r="CX262" s="146"/>
      <c r="CY262" s="146"/>
      <c r="CZ262" s="146"/>
      <c r="DA262" s="146"/>
      <c r="DB262" s="146"/>
      <c r="DC262" s="146"/>
    </row>
    <row r="263"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6"/>
      <c r="AQ263" s="146"/>
      <c r="AR263" s="146"/>
      <c r="AS263" s="146"/>
      <c r="AT263" s="146"/>
      <c r="AU263" s="146"/>
      <c r="AV263" s="146"/>
      <c r="AW263" s="146"/>
      <c r="AX263" s="146"/>
      <c r="AY263" s="146"/>
      <c r="AZ263" s="146"/>
      <c r="BA263" s="146"/>
      <c r="BB263" s="146"/>
      <c r="BC263" s="146"/>
      <c r="BD263" s="146"/>
      <c r="BE263" s="146"/>
      <c r="BF263" s="146"/>
      <c r="BG263" s="146"/>
      <c r="BH263" s="146"/>
      <c r="BI263" s="146"/>
      <c r="BJ263" s="146"/>
      <c r="BK263" s="146"/>
      <c r="BL263" s="146"/>
      <c r="BM263" s="146"/>
      <c r="BN263" s="146"/>
      <c r="BO263" s="146"/>
      <c r="BP263" s="146"/>
      <c r="BQ263" s="146"/>
      <c r="BR263" s="146"/>
      <c r="BS263" s="146"/>
      <c r="BT263" s="146"/>
      <c r="BU263" s="146"/>
      <c r="BV263" s="146"/>
      <c r="BW263" s="146"/>
      <c r="BX263" s="146"/>
      <c r="BY263" s="146"/>
      <c r="BZ263" s="146"/>
      <c r="CA263" s="146"/>
      <c r="CB263" s="146"/>
      <c r="CC263" s="146"/>
      <c r="CD263" s="146"/>
      <c r="CE263" s="146"/>
      <c r="CF263" s="146"/>
      <c r="CG263" s="146"/>
      <c r="CH263" s="146"/>
      <c r="CI263" s="146"/>
      <c r="CJ263" s="146"/>
      <c r="CK263" s="146"/>
      <c r="CL263" s="146"/>
      <c r="CM263" s="146"/>
      <c r="CN263" s="146"/>
      <c r="CO263" s="146"/>
      <c r="CP263" s="146"/>
      <c r="CQ263" s="146"/>
      <c r="CR263" s="146"/>
      <c r="CS263" s="146"/>
      <c r="CT263" s="146"/>
      <c r="CU263" s="146"/>
      <c r="CV263" s="146"/>
      <c r="CW263" s="146"/>
      <c r="CX263" s="146"/>
      <c r="CY263" s="146"/>
      <c r="CZ263" s="146"/>
      <c r="DA263" s="146"/>
      <c r="DB263" s="146"/>
      <c r="DC263" s="146"/>
    </row>
    <row r="26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6"/>
      <c r="AQ264" s="146"/>
      <c r="AR264" s="146"/>
      <c r="AS264" s="146"/>
      <c r="AT264" s="146"/>
      <c r="AU264" s="146"/>
      <c r="AV264" s="146"/>
      <c r="AW264" s="146"/>
      <c r="AX264" s="146"/>
      <c r="AY264" s="146"/>
      <c r="AZ264" s="146"/>
      <c r="BA264" s="146"/>
      <c r="BB264" s="146"/>
      <c r="BC264" s="146"/>
      <c r="BD264" s="146"/>
      <c r="BE264" s="146"/>
      <c r="BF264" s="146"/>
      <c r="BG264" s="146"/>
      <c r="BH264" s="146"/>
      <c r="BI264" s="146"/>
      <c r="BJ264" s="146"/>
      <c r="BK264" s="146"/>
      <c r="BL264" s="146"/>
      <c r="BM264" s="146"/>
      <c r="BN264" s="146"/>
      <c r="BO264" s="146"/>
      <c r="BP264" s="146"/>
      <c r="BQ264" s="146"/>
      <c r="BR264" s="146"/>
      <c r="BS264" s="146"/>
      <c r="BT264" s="146"/>
      <c r="BU264" s="146"/>
      <c r="BV264" s="146"/>
      <c r="BW264" s="146"/>
      <c r="BX264" s="146"/>
      <c r="BY264" s="146"/>
      <c r="BZ264" s="146"/>
      <c r="CA264" s="146"/>
      <c r="CB264" s="146"/>
      <c r="CC264" s="146"/>
      <c r="CD264" s="146"/>
      <c r="CE264" s="146"/>
      <c r="CF264" s="146"/>
      <c r="CG264" s="146"/>
      <c r="CH264" s="146"/>
      <c r="CI264" s="146"/>
      <c r="CJ264" s="146"/>
      <c r="CK264" s="146"/>
      <c r="CL264" s="146"/>
      <c r="CM264" s="146"/>
      <c r="CN264" s="146"/>
      <c r="CO264" s="146"/>
      <c r="CP264" s="146"/>
      <c r="CQ264" s="146"/>
      <c r="CR264" s="146"/>
      <c r="CS264" s="146"/>
      <c r="CT264" s="146"/>
      <c r="CU264" s="146"/>
      <c r="CV264" s="146"/>
      <c r="CW264" s="146"/>
      <c r="CX264" s="146"/>
      <c r="CY264" s="146"/>
      <c r="CZ264" s="146"/>
      <c r="DA264" s="146"/>
      <c r="DB264" s="146"/>
      <c r="DC264" s="146"/>
    </row>
    <row r="265"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6"/>
      <c r="AQ265" s="146"/>
      <c r="AR265" s="146"/>
      <c r="AS265" s="146"/>
      <c r="AT265" s="146"/>
      <c r="AU265" s="146"/>
      <c r="AV265" s="146"/>
      <c r="AW265" s="146"/>
      <c r="AX265" s="146"/>
      <c r="AY265" s="146"/>
      <c r="AZ265" s="146"/>
      <c r="BA265" s="146"/>
      <c r="BB265" s="146"/>
      <c r="BC265" s="146"/>
      <c r="BD265" s="146"/>
      <c r="BE265" s="146"/>
      <c r="BF265" s="146"/>
      <c r="BG265" s="146"/>
      <c r="BH265" s="146"/>
      <c r="BI265" s="146"/>
      <c r="BJ265" s="146"/>
      <c r="BK265" s="146"/>
      <c r="BL265" s="146"/>
      <c r="BM265" s="146"/>
      <c r="BN265" s="146"/>
      <c r="BO265" s="146"/>
      <c r="BP265" s="146"/>
      <c r="BQ265" s="146"/>
      <c r="BR265" s="146"/>
      <c r="BS265" s="146"/>
      <c r="BT265" s="146"/>
      <c r="BU265" s="146"/>
      <c r="BV265" s="146"/>
      <c r="BW265" s="146"/>
      <c r="BX265" s="146"/>
      <c r="BY265" s="146"/>
      <c r="BZ265" s="146"/>
      <c r="CA265" s="146"/>
      <c r="CB265" s="146"/>
      <c r="CC265" s="146"/>
      <c r="CD265" s="146"/>
      <c r="CE265" s="146"/>
      <c r="CF265" s="146"/>
      <c r="CG265" s="146"/>
      <c r="CH265" s="146"/>
      <c r="CI265" s="146"/>
      <c r="CJ265" s="146"/>
      <c r="CK265" s="146"/>
      <c r="CL265" s="146"/>
      <c r="CM265" s="146"/>
      <c r="CN265" s="146"/>
      <c r="CO265" s="146"/>
      <c r="CP265" s="146"/>
      <c r="CQ265" s="146"/>
      <c r="CR265" s="146"/>
      <c r="CS265" s="146"/>
      <c r="CT265" s="146"/>
      <c r="CU265" s="146"/>
      <c r="CV265" s="146"/>
      <c r="CW265" s="146"/>
      <c r="CX265" s="146"/>
      <c r="CY265" s="146"/>
      <c r="CZ265" s="146"/>
      <c r="DA265" s="146"/>
      <c r="DB265" s="146"/>
      <c r="DC265" s="146"/>
    </row>
    <row r="266"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6"/>
      <c r="AQ266" s="146"/>
      <c r="AR266" s="146"/>
      <c r="AS266" s="146"/>
      <c r="AT266" s="146"/>
      <c r="AU266" s="146"/>
      <c r="AV266" s="146"/>
      <c r="AW266" s="146"/>
      <c r="AX266" s="146"/>
      <c r="AY266" s="146"/>
      <c r="AZ266" s="146"/>
      <c r="BA266" s="146"/>
      <c r="BB266" s="146"/>
      <c r="BC266" s="146"/>
      <c r="BD266" s="146"/>
      <c r="BE266" s="146"/>
      <c r="BF266" s="146"/>
      <c r="BG266" s="146"/>
      <c r="BH266" s="146"/>
      <c r="BI266" s="146"/>
      <c r="BJ266" s="146"/>
      <c r="BK266" s="146"/>
      <c r="BL266" s="146"/>
      <c r="BM266" s="146"/>
      <c r="BN266" s="146"/>
      <c r="BO266" s="146"/>
      <c r="BP266" s="146"/>
      <c r="BQ266" s="146"/>
      <c r="BR266" s="146"/>
      <c r="BS266" s="146"/>
      <c r="BT266" s="146"/>
      <c r="BU266" s="146"/>
      <c r="BV266" s="146"/>
      <c r="BW266" s="146"/>
      <c r="BX266" s="146"/>
      <c r="BY266" s="146"/>
      <c r="BZ266" s="146"/>
      <c r="CA266" s="146"/>
      <c r="CB266" s="146"/>
      <c r="CC266" s="146"/>
      <c r="CD266" s="146"/>
      <c r="CE266" s="146"/>
      <c r="CF266" s="146"/>
      <c r="CG266" s="146"/>
      <c r="CH266" s="146"/>
      <c r="CI266" s="146"/>
      <c r="CJ266" s="146"/>
      <c r="CK266" s="146"/>
      <c r="CL266" s="146"/>
      <c r="CM266" s="146"/>
      <c r="CN266" s="146"/>
      <c r="CO266" s="146"/>
      <c r="CP266" s="146"/>
      <c r="CQ266" s="146"/>
      <c r="CR266" s="146"/>
      <c r="CS266" s="146"/>
      <c r="CT266" s="146"/>
      <c r="CU266" s="146"/>
      <c r="CV266" s="146"/>
      <c r="CW266" s="146"/>
      <c r="CX266" s="146"/>
      <c r="CY266" s="146"/>
      <c r="CZ266" s="146"/>
      <c r="DA266" s="146"/>
      <c r="DB266" s="146"/>
      <c r="DC266" s="146"/>
    </row>
    <row r="267" ht="15.7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6"/>
      <c r="AQ267" s="146"/>
      <c r="AR267" s="146"/>
      <c r="AS267" s="146"/>
      <c r="AT267" s="146"/>
      <c r="AU267" s="146"/>
      <c r="AV267" s="146"/>
      <c r="AW267" s="146"/>
      <c r="AX267" s="146"/>
      <c r="AY267" s="146"/>
      <c r="AZ267" s="146"/>
      <c r="BA267" s="146"/>
      <c r="BB267" s="146"/>
      <c r="BC267" s="146"/>
      <c r="BD267" s="146"/>
      <c r="BE267" s="146"/>
      <c r="BF267" s="146"/>
      <c r="BG267" s="146"/>
      <c r="BH267" s="146"/>
      <c r="BI267" s="146"/>
      <c r="BJ267" s="146"/>
      <c r="BK267" s="146"/>
      <c r="BL267" s="146"/>
      <c r="BM267" s="146"/>
      <c r="BN267" s="146"/>
      <c r="BO267" s="146"/>
      <c r="BP267" s="146"/>
      <c r="BQ267" s="146"/>
      <c r="BR267" s="146"/>
      <c r="BS267" s="146"/>
      <c r="BT267" s="146"/>
      <c r="BU267" s="146"/>
      <c r="BV267" s="146"/>
      <c r="BW267" s="146"/>
      <c r="BX267" s="146"/>
      <c r="BY267" s="146"/>
      <c r="BZ267" s="146"/>
      <c r="CA267" s="146"/>
      <c r="CB267" s="146"/>
      <c r="CC267" s="146"/>
      <c r="CD267" s="146"/>
      <c r="CE267" s="146"/>
      <c r="CF267" s="146"/>
      <c r="CG267" s="146"/>
      <c r="CH267" s="146"/>
      <c r="CI267" s="146"/>
      <c r="CJ267" s="146"/>
      <c r="CK267" s="146"/>
      <c r="CL267" s="146"/>
      <c r="CM267" s="146"/>
      <c r="CN267" s="146"/>
      <c r="CO267" s="146"/>
      <c r="CP267" s="146"/>
      <c r="CQ267" s="146"/>
      <c r="CR267" s="146"/>
      <c r="CS267" s="146"/>
      <c r="CT267" s="146"/>
      <c r="CU267" s="146"/>
      <c r="CV267" s="146"/>
      <c r="CW267" s="146"/>
      <c r="CX267" s="146"/>
      <c r="CY267" s="146"/>
      <c r="CZ267" s="146"/>
      <c r="DA267" s="146"/>
      <c r="DB267" s="146"/>
      <c r="DC267" s="146"/>
    </row>
    <row r="268" ht="15.7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6"/>
      <c r="AQ268" s="146"/>
      <c r="AR268" s="146"/>
      <c r="AS268" s="146"/>
      <c r="AT268" s="146"/>
      <c r="AU268" s="146"/>
      <c r="AV268" s="146"/>
      <c r="AW268" s="146"/>
      <c r="AX268" s="146"/>
      <c r="AY268" s="146"/>
      <c r="AZ268" s="146"/>
      <c r="BA268" s="146"/>
      <c r="BB268" s="146"/>
      <c r="BC268" s="146"/>
      <c r="BD268" s="146"/>
      <c r="BE268" s="146"/>
      <c r="BF268" s="146"/>
      <c r="BG268" s="146"/>
      <c r="BH268" s="146"/>
      <c r="BI268" s="146"/>
      <c r="BJ268" s="146"/>
      <c r="BK268" s="146"/>
      <c r="BL268" s="146"/>
      <c r="BM268" s="146"/>
      <c r="BN268" s="146"/>
      <c r="BO268" s="146"/>
      <c r="BP268" s="146"/>
      <c r="BQ268" s="146"/>
      <c r="BR268" s="146"/>
      <c r="BS268" s="146"/>
      <c r="BT268" s="146"/>
      <c r="BU268" s="146"/>
      <c r="BV268" s="146"/>
      <c r="BW268" s="146"/>
      <c r="BX268" s="146"/>
      <c r="BY268" s="146"/>
      <c r="BZ268" s="146"/>
      <c r="CA268" s="146"/>
      <c r="CB268" s="146"/>
      <c r="CC268" s="146"/>
      <c r="CD268" s="146"/>
      <c r="CE268" s="146"/>
      <c r="CF268" s="146"/>
      <c r="CG268" s="146"/>
      <c r="CH268" s="146"/>
      <c r="CI268" s="146"/>
      <c r="CJ268" s="146"/>
      <c r="CK268" s="146"/>
      <c r="CL268" s="146"/>
      <c r="CM268" s="146"/>
      <c r="CN268" s="146"/>
      <c r="CO268" s="146"/>
      <c r="CP268" s="146"/>
      <c r="CQ268" s="146"/>
      <c r="CR268" s="146"/>
      <c r="CS268" s="146"/>
      <c r="CT268" s="146"/>
      <c r="CU268" s="146"/>
      <c r="CV268" s="146"/>
      <c r="CW268" s="146"/>
      <c r="CX268" s="146"/>
      <c r="CY268" s="146"/>
      <c r="CZ268" s="146"/>
      <c r="DA268" s="146"/>
      <c r="DB268" s="146"/>
      <c r="DC268" s="146"/>
    </row>
    <row r="269" ht="15.7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6"/>
      <c r="AQ269" s="146"/>
      <c r="AR269" s="146"/>
      <c r="AS269" s="146"/>
      <c r="AT269" s="146"/>
      <c r="AU269" s="146"/>
      <c r="AV269" s="146"/>
      <c r="AW269" s="146"/>
      <c r="AX269" s="146"/>
      <c r="AY269" s="146"/>
      <c r="AZ269" s="146"/>
      <c r="BA269" s="146"/>
      <c r="BB269" s="146"/>
      <c r="BC269" s="146"/>
      <c r="BD269" s="146"/>
      <c r="BE269" s="146"/>
      <c r="BF269" s="146"/>
      <c r="BG269" s="146"/>
      <c r="BH269" s="146"/>
      <c r="BI269" s="146"/>
      <c r="BJ269" s="146"/>
      <c r="BK269" s="146"/>
      <c r="BL269" s="146"/>
      <c r="BM269" s="146"/>
      <c r="BN269" s="146"/>
      <c r="BO269" s="146"/>
      <c r="BP269" s="146"/>
      <c r="BQ269" s="146"/>
      <c r="BR269" s="146"/>
      <c r="BS269" s="146"/>
      <c r="BT269" s="146"/>
      <c r="BU269" s="146"/>
      <c r="BV269" s="146"/>
      <c r="BW269" s="146"/>
      <c r="BX269" s="146"/>
      <c r="BY269" s="146"/>
      <c r="BZ269" s="146"/>
      <c r="CA269" s="146"/>
      <c r="CB269" s="146"/>
      <c r="CC269" s="146"/>
      <c r="CD269" s="146"/>
      <c r="CE269" s="146"/>
      <c r="CF269" s="146"/>
      <c r="CG269" s="146"/>
      <c r="CH269" s="146"/>
      <c r="CI269" s="146"/>
      <c r="CJ269" s="146"/>
      <c r="CK269" s="146"/>
      <c r="CL269" s="146"/>
      <c r="CM269" s="146"/>
      <c r="CN269" s="146"/>
      <c r="CO269" s="146"/>
      <c r="CP269" s="146"/>
      <c r="CQ269" s="146"/>
      <c r="CR269" s="146"/>
      <c r="CS269" s="146"/>
      <c r="CT269" s="146"/>
      <c r="CU269" s="146"/>
      <c r="CV269" s="146"/>
      <c r="CW269" s="146"/>
      <c r="CX269" s="146"/>
      <c r="CY269" s="146"/>
      <c r="CZ269" s="146"/>
      <c r="DA269" s="146"/>
      <c r="DB269" s="146"/>
      <c r="DC269" s="146"/>
    </row>
    <row r="270" ht="15.7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c r="AI270" s="144"/>
      <c r="AJ270" s="144"/>
      <c r="AK270" s="144"/>
      <c r="AL270" s="144"/>
      <c r="AM270" s="144"/>
      <c r="AN270" s="144"/>
      <c r="AO270" s="144"/>
      <c r="AP270" s="146"/>
      <c r="AQ270" s="146"/>
      <c r="AR270" s="146"/>
      <c r="AS270" s="146"/>
      <c r="AT270" s="146"/>
      <c r="AU270" s="146"/>
      <c r="AV270" s="146"/>
      <c r="AW270" s="146"/>
      <c r="AX270" s="146"/>
      <c r="AY270" s="146"/>
      <c r="AZ270" s="146"/>
      <c r="BA270" s="146"/>
      <c r="BB270" s="146"/>
      <c r="BC270" s="146"/>
      <c r="BD270" s="146"/>
      <c r="BE270" s="146"/>
      <c r="BF270" s="146"/>
      <c r="BG270" s="146"/>
      <c r="BH270" s="146"/>
      <c r="BI270" s="146"/>
      <c r="BJ270" s="146"/>
      <c r="BK270" s="146"/>
      <c r="BL270" s="146"/>
      <c r="BM270" s="146"/>
      <c r="BN270" s="146"/>
      <c r="BO270" s="146"/>
      <c r="BP270" s="146"/>
      <c r="BQ270" s="146"/>
      <c r="BR270" s="146"/>
      <c r="BS270" s="146"/>
      <c r="BT270" s="146"/>
      <c r="BU270" s="146"/>
      <c r="BV270" s="146"/>
      <c r="BW270" s="146"/>
      <c r="BX270" s="146"/>
      <c r="BY270" s="146"/>
      <c r="BZ270" s="146"/>
      <c r="CA270" s="146"/>
      <c r="CB270" s="146"/>
      <c r="CC270" s="146"/>
      <c r="CD270" s="146"/>
      <c r="CE270" s="146"/>
      <c r="CF270" s="146"/>
      <c r="CG270" s="146"/>
      <c r="CH270" s="146"/>
      <c r="CI270" s="146"/>
      <c r="CJ270" s="146"/>
      <c r="CK270" s="146"/>
      <c r="CL270" s="146"/>
      <c r="CM270" s="146"/>
      <c r="CN270" s="146"/>
      <c r="CO270" s="146"/>
      <c r="CP270" s="146"/>
      <c r="CQ270" s="146"/>
      <c r="CR270" s="146"/>
      <c r="CS270" s="146"/>
      <c r="CT270" s="146"/>
      <c r="CU270" s="146"/>
      <c r="CV270" s="146"/>
      <c r="CW270" s="146"/>
      <c r="CX270" s="146"/>
      <c r="CY270" s="146"/>
      <c r="CZ270" s="146"/>
      <c r="DA270" s="146"/>
      <c r="DB270" s="146"/>
      <c r="DC270" s="146"/>
    </row>
    <row r="271" ht="15.7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c r="AI271" s="144"/>
      <c r="AJ271" s="144"/>
      <c r="AK271" s="144"/>
      <c r="AL271" s="144"/>
      <c r="AM271" s="144"/>
      <c r="AN271" s="144"/>
      <c r="AO271" s="144"/>
      <c r="AP271" s="146"/>
      <c r="AQ271" s="146"/>
      <c r="AR271" s="146"/>
      <c r="AS271" s="146"/>
      <c r="AT271" s="146"/>
      <c r="AU271" s="146"/>
      <c r="AV271" s="146"/>
      <c r="AW271" s="146"/>
      <c r="AX271" s="146"/>
      <c r="AY271" s="146"/>
      <c r="AZ271" s="146"/>
      <c r="BA271" s="146"/>
      <c r="BB271" s="146"/>
      <c r="BC271" s="146"/>
      <c r="BD271" s="146"/>
      <c r="BE271" s="146"/>
      <c r="BF271" s="146"/>
      <c r="BG271" s="146"/>
      <c r="BH271" s="146"/>
      <c r="BI271" s="146"/>
      <c r="BJ271" s="146"/>
      <c r="BK271" s="146"/>
      <c r="BL271" s="146"/>
      <c r="BM271" s="146"/>
      <c r="BN271" s="146"/>
      <c r="BO271" s="146"/>
      <c r="BP271" s="146"/>
      <c r="BQ271" s="146"/>
      <c r="BR271" s="146"/>
      <c r="BS271" s="146"/>
      <c r="BT271" s="146"/>
      <c r="BU271" s="146"/>
      <c r="BV271" s="146"/>
      <c r="BW271" s="146"/>
      <c r="BX271" s="146"/>
      <c r="BY271" s="146"/>
      <c r="BZ271" s="146"/>
      <c r="CA271" s="146"/>
      <c r="CB271" s="146"/>
      <c r="CC271" s="146"/>
      <c r="CD271" s="146"/>
      <c r="CE271" s="146"/>
      <c r="CF271" s="146"/>
      <c r="CG271" s="146"/>
      <c r="CH271" s="146"/>
      <c r="CI271" s="146"/>
      <c r="CJ271" s="146"/>
      <c r="CK271" s="146"/>
      <c r="CL271" s="146"/>
      <c r="CM271" s="146"/>
      <c r="CN271" s="146"/>
      <c r="CO271" s="146"/>
      <c r="CP271" s="146"/>
      <c r="CQ271" s="146"/>
      <c r="CR271" s="146"/>
      <c r="CS271" s="146"/>
      <c r="CT271" s="146"/>
      <c r="CU271" s="146"/>
      <c r="CV271" s="146"/>
      <c r="CW271" s="146"/>
      <c r="CX271" s="146"/>
      <c r="CY271" s="146"/>
      <c r="CZ271" s="146"/>
      <c r="DA271" s="146"/>
      <c r="DB271" s="146"/>
      <c r="DC271" s="146"/>
    </row>
    <row r="272" ht="15.7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6"/>
      <c r="AQ272" s="146"/>
      <c r="AR272" s="146"/>
      <c r="AS272" s="146"/>
      <c r="AT272" s="146"/>
      <c r="AU272" s="146"/>
      <c r="AV272" s="146"/>
      <c r="AW272" s="146"/>
      <c r="AX272" s="146"/>
      <c r="AY272" s="146"/>
      <c r="AZ272" s="146"/>
      <c r="BA272" s="146"/>
      <c r="BB272" s="146"/>
      <c r="BC272" s="146"/>
      <c r="BD272" s="146"/>
      <c r="BE272" s="146"/>
      <c r="BF272" s="146"/>
      <c r="BG272" s="146"/>
      <c r="BH272" s="146"/>
      <c r="BI272" s="146"/>
      <c r="BJ272" s="146"/>
      <c r="BK272" s="146"/>
      <c r="BL272" s="146"/>
      <c r="BM272" s="146"/>
      <c r="BN272" s="146"/>
      <c r="BO272" s="146"/>
      <c r="BP272" s="146"/>
      <c r="BQ272" s="146"/>
      <c r="BR272" s="146"/>
      <c r="BS272" s="146"/>
      <c r="BT272" s="146"/>
      <c r="BU272" s="146"/>
      <c r="BV272" s="146"/>
      <c r="BW272" s="146"/>
      <c r="BX272" s="146"/>
      <c r="BY272" s="146"/>
      <c r="BZ272" s="146"/>
      <c r="CA272" s="146"/>
      <c r="CB272" s="146"/>
      <c r="CC272" s="146"/>
      <c r="CD272" s="146"/>
      <c r="CE272" s="146"/>
      <c r="CF272" s="146"/>
      <c r="CG272" s="146"/>
      <c r="CH272" s="146"/>
      <c r="CI272" s="146"/>
      <c r="CJ272" s="146"/>
      <c r="CK272" s="146"/>
      <c r="CL272" s="146"/>
      <c r="CM272" s="146"/>
      <c r="CN272" s="146"/>
      <c r="CO272" s="146"/>
      <c r="CP272" s="146"/>
      <c r="CQ272" s="146"/>
      <c r="CR272" s="146"/>
      <c r="CS272" s="146"/>
      <c r="CT272" s="146"/>
      <c r="CU272" s="146"/>
      <c r="CV272" s="146"/>
      <c r="CW272" s="146"/>
      <c r="CX272" s="146"/>
      <c r="CY272" s="146"/>
      <c r="CZ272" s="146"/>
      <c r="DA272" s="146"/>
      <c r="DB272" s="146"/>
      <c r="DC272" s="146"/>
    </row>
    <row r="273" ht="15.7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c r="AF273" s="144"/>
      <c r="AG273" s="144"/>
      <c r="AH273" s="144"/>
      <c r="AI273" s="144"/>
      <c r="AJ273" s="144"/>
      <c r="AK273" s="144"/>
      <c r="AL273" s="144"/>
      <c r="AM273" s="144"/>
      <c r="AN273" s="144"/>
      <c r="AO273" s="144"/>
      <c r="AP273" s="146"/>
      <c r="AQ273" s="146"/>
      <c r="AR273" s="146"/>
      <c r="AS273" s="146"/>
      <c r="AT273" s="146"/>
      <c r="AU273" s="146"/>
      <c r="AV273" s="146"/>
      <c r="AW273" s="146"/>
      <c r="AX273" s="146"/>
      <c r="AY273" s="146"/>
      <c r="AZ273" s="146"/>
      <c r="BA273" s="146"/>
      <c r="BB273" s="146"/>
      <c r="BC273" s="146"/>
      <c r="BD273" s="146"/>
      <c r="BE273" s="146"/>
      <c r="BF273" s="146"/>
      <c r="BG273" s="146"/>
      <c r="BH273" s="146"/>
      <c r="BI273" s="146"/>
      <c r="BJ273" s="146"/>
      <c r="BK273" s="146"/>
      <c r="BL273" s="146"/>
      <c r="BM273" s="146"/>
      <c r="BN273" s="146"/>
      <c r="BO273" s="146"/>
      <c r="BP273" s="146"/>
      <c r="BQ273" s="146"/>
      <c r="BR273" s="146"/>
      <c r="BS273" s="146"/>
      <c r="BT273" s="146"/>
      <c r="BU273" s="146"/>
      <c r="BV273" s="146"/>
      <c r="BW273" s="146"/>
      <c r="BX273" s="146"/>
      <c r="BY273" s="146"/>
      <c r="BZ273" s="146"/>
      <c r="CA273" s="146"/>
      <c r="CB273" s="146"/>
      <c r="CC273" s="146"/>
      <c r="CD273" s="146"/>
      <c r="CE273" s="146"/>
      <c r="CF273" s="146"/>
      <c r="CG273" s="146"/>
      <c r="CH273" s="146"/>
      <c r="CI273" s="146"/>
      <c r="CJ273" s="146"/>
      <c r="CK273" s="146"/>
      <c r="CL273" s="146"/>
      <c r="CM273" s="146"/>
      <c r="CN273" s="146"/>
      <c r="CO273" s="146"/>
      <c r="CP273" s="146"/>
      <c r="CQ273" s="146"/>
      <c r="CR273" s="146"/>
      <c r="CS273" s="146"/>
      <c r="CT273" s="146"/>
      <c r="CU273" s="146"/>
      <c r="CV273" s="146"/>
      <c r="CW273" s="146"/>
      <c r="CX273" s="146"/>
      <c r="CY273" s="146"/>
      <c r="CZ273" s="146"/>
      <c r="DA273" s="146"/>
      <c r="DB273" s="146"/>
      <c r="DC273" s="146"/>
    </row>
    <row r="274" ht="15.75" customHeight="1">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c r="AE274" s="144"/>
      <c r="AF274" s="144"/>
      <c r="AG274" s="144"/>
      <c r="AH274" s="144"/>
      <c r="AI274" s="144"/>
      <c r="AJ274" s="144"/>
      <c r="AK274" s="144"/>
      <c r="AL274" s="144"/>
      <c r="AM274" s="144"/>
      <c r="AN274" s="144"/>
      <c r="AO274" s="144"/>
      <c r="AP274" s="146"/>
      <c r="AQ274" s="146"/>
      <c r="AR274" s="146"/>
      <c r="AS274" s="146"/>
      <c r="AT274" s="146"/>
      <c r="AU274" s="146"/>
      <c r="AV274" s="146"/>
      <c r="AW274" s="146"/>
      <c r="AX274" s="146"/>
      <c r="AY274" s="146"/>
      <c r="AZ274" s="146"/>
      <c r="BA274" s="146"/>
      <c r="BB274" s="146"/>
      <c r="BC274" s="146"/>
      <c r="BD274" s="146"/>
      <c r="BE274" s="146"/>
      <c r="BF274" s="146"/>
      <c r="BG274" s="146"/>
      <c r="BH274" s="146"/>
      <c r="BI274" s="146"/>
      <c r="BJ274" s="146"/>
      <c r="BK274" s="146"/>
      <c r="BL274" s="146"/>
      <c r="BM274" s="146"/>
      <c r="BN274" s="146"/>
      <c r="BO274" s="146"/>
      <c r="BP274" s="146"/>
      <c r="BQ274" s="146"/>
      <c r="BR274" s="146"/>
      <c r="BS274" s="146"/>
      <c r="BT274" s="146"/>
      <c r="BU274" s="146"/>
      <c r="BV274" s="146"/>
      <c r="BW274" s="146"/>
      <c r="BX274" s="146"/>
      <c r="BY274" s="146"/>
      <c r="BZ274" s="146"/>
      <c r="CA274" s="146"/>
      <c r="CB274" s="146"/>
      <c r="CC274" s="146"/>
      <c r="CD274" s="146"/>
      <c r="CE274" s="146"/>
      <c r="CF274" s="146"/>
      <c r="CG274" s="146"/>
      <c r="CH274" s="146"/>
      <c r="CI274" s="146"/>
      <c r="CJ274" s="146"/>
      <c r="CK274" s="146"/>
      <c r="CL274" s="146"/>
      <c r="CM274" s="146"/>
      <c r="CN274" s="146"/>
      <c r="CO274" s="146"/>
      <c r="CP274" s="146"/>
      <c r="CQ274" s="146"/>
      <c r="CR274" s="146"/>
      <c r="CS274" s="146"/>
      <c r="CT274" s="146"/>
      <c r="CU274" s="146"/>
      <c r="CV274" s="146"/>
      <c r="CW274" s="146"/>
      <c r="CX274" s="146"/>
      <c r="CY274" s="146"/>
      <c r="CZ274" s="146"/>
      <c r="DA274" s="146"/>
      <c r="DB274" s="146"/>
      <c r="DC274" s="146"/>
    </row>
    <row r="275" ht="15.75" customHeight="1">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c r="AE275" s="144"/>
      <c r="AF275" s="144"/>
      <c r="AG275" s="144"/>
      <c r="AH275" s="144"/>
      <c r="AI275" s="144"/>
      <c r="AJ275" s="144"/>
      <c r="AK275" s="144"/>
      <c r="AL275" s="144"/>
      <c r="AM275" s="144"/>
      <c r="AN275" s="144"/>
      <c r="AO275" s="144"/>
      <c r="AP275" s="146"/>
      <c r="AQ275" s="146"/>
      <c r="AR275" s="146"/>
      <c r="AS275" s="146"/>
      <c r="AT275" s="146"/>
      <c r="AU275" s="146"/>
      <c r="AV275" s="146"/>
      <c r="AW275" s="146"/>
      <c r="AX275" s="146"/>
      <c r="AY275" s="146"/>
      <c r="AZ275" s="146"/>
      <c r="BA275" s="146"/>
      <c r="BB275" s="146"/>
      <c r="BC275" s="146"/>
      <c r="BD275" s="146"/>
      <c r="BE275" s="146"/>
      <c r="BF275" s="146"/>
      <c r="BG275" s="146"/>
      <c r="BH275" s="146"/>
      <c r="BI275" s="146"/>
      <c r="BJ275" s="146"/>
      <c r="BK275" s="146"/>
      <c r="BL275" s="146"/>
      <c r="BM275" s="146"/>
      <c r="BN275" s="146"/>
      <c r="BO275" s="146"/>
      <c r="BP275" s="146"/>
      <c r="BQ275" s="146"/>
      <c r="BR275" s="146"/>
      <c r="BS275" s="146"/>
      <c r="BT275" s="146"/>
      <c r="BU275" s="146"/>
      <c r="BV275" s="146"/>
      <c r="BW275" s="146"/>
      <c r="BX275" s="146"/>
      <c r="BY275" s="146"/>
      <c r="BZ275" s="146"/>
      <c r="CA275" s="146"/>
      <c r="CB275" s="146"/>
      <c r="CC275" s="146"/>
      <c r="CD275" s="146"/>
      <c r="CE275" s="146"/>
      <c r="CF275" s="146"/>
      <c r="CG275" s="146"/>
      <c r="CH275" s="146"/>
      <c r="CI275" s="146"/>
      <c r="CJ275" s="146"/>
      <c r="CK275" s="146"/>
      <c r="CL275" s="146"/>
      <c r="CM275" s="146"/>
      <c r="CN275" s="146"/>
      <c r="CO275" s="146"/>
      <c r="CP275" s="146"/>
      <c r="CQ275" s="146"/>
      <c r="CR275" s="146"/>
      <c r="CS275" s="146"/>
      <c r="CT275" s="146"/>
      <c r="CU275" s="146"/>
      <c r="CV275" s="146"/>
      <c r="CW275" s="146"/>
      <c r="CX275" s="146"/>
      <c r="CY275" s="146"/>
      <c r="CZ275" s="146"/>
      <c r="DA275" s="146"/>
      <c r="DB275" s="146"/>
      <c r="DC275" s="146"/>
    </row>
    <row r="276" ht="15.75" customHeight="1">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c r="AE276" s="144"/>
      <c r="AF276" s="144"/>
      <c r="AG276" s="144"/>
      <c r="AH276" s="144"/>
      <c r="AI276" s="144"/>
      <c r="AJ276" s="144"/>
      <c r="AK276" s="144"/>
      <c r="AL276" s="144"/>
      <c r="AM276" s="144"/>
      <c r="AN276" s="144"/>
      <c r="AO276" s="144"/>
      <c r="AP276" s="146"/>
      <c r="AQ276" s="146"/>
      <c r="AR276" s="146"/>
      <c r="AS276" s="146"/>
      <c r="AT276" s="146"/>
      <c r="AU276" s="146"/>
      <c r="AV276" s="146"/>
      <c r="AW276" s="146"/>
      <c r="AX276" s="146"/>
      <c r="AY276" s="146"/>
      <c r="AZ276" s="146"/>
      <c r="BA276" s="146"/>
      <c r="BB276" s="146"/>
      <c r="BC276" s="146"/>
      <c r="BD276" s="146"/>
      <c r="BE276" s="146"/>
      <c r="BF276" s="146"/>
      <c r="BG276" s="146"/>
      <c r="BH276" s="146"/>
      <c r="BI276" s="146"/>
      <c r="BJ276" s="146"/>
      <c r="BK276" s="146"/>
      <c r="BL276" s="146"/>
      <c r="BM276" s="146"/>
      <c r="BN276" s="146"/>
      <c r="BO276" s="146"/>
      <c r="BP276" s="146"/>
      <c r="BQ276" s="146"/>
      <c r="BR276" s="146"/>
      <c r="BS276" s="146"/>
      <c r="BT276" s="146"/>
      <c r="BU276" s="146"/>
      <c r="BV276" s="146"/>
      <c r="BW276" s="146"/>
      <c r="BX276" s="146"/>
      <c r="BY276" s="146"/>
      <c r="BZ276" s="146"/>
      <c r="CA276" s="146"/>
      <c r="CB276" s="146"/>
      <c r="CC276" s="146"/>
      <c r="CD276" s="146"/>
      <c r="CE276" s="146"/>
      <c r="CF276" s="146"/>
      <c r="CG276" s="146"/>
      <c r="CH276" s="146"/>
      <c r="CI276" s="146"/>
      <c r="CJ276" s="146"/>
      <c r="CK276" s="146"/>
      <c r="CL276" s="146"/>
      <c r="CM276" s="146"/>
      <c r="CN276" s="146"/>
      <c r="CO276" s="146"/>
      <c r="CP276" s="146"/>
      <c r="CQ276" s="146"/>
      <c r="CR276" s="146"/>
      <c r="CS276" s="146"/>
      <c r="CT276" s="146"/>
      <c r="CU276" s="146"/>
      <c r="CV276" s="146"/>
      <c r="CW276" s="146"/>
      <c r="CX276" s="146"/>
      <c r="CY276" s="146"/>
      <c r="CZ276" s="146"/>
      <c r="DA276" s="146"/>
      <c r="DB276" s="146"/>
      <c r="DC276" s="146"/>
    </row>
    <row r="277" ht="15.75" customHeight="1">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c r="AE277" s="144"/>
      <c r="AF277" s="144"/>
      <c r="AG277" s="144"/>
      <c r="AH277" s="144"/>
      <c r="AI277" s="144"/>
      <c r="AJ277" s="144"/>
      <c r="AK277" s="144"/>
      <c r="AL277" s="144"/>
      <c r="AM277" s="144"/>
      <c r="AN277" s="144"/>
      <c r="AO277" s="144"/>
      <c r="AP277" s="146"/>
      <c r="AQ277" s="146"/>
      <c r="AR277" s="146"/>
      <c r="AS277" s="146"/>
      <c r="AT277" s="146"/>
      <c r="AU277" s="146"/>
      <c r="AV277" s="146"/>
      <c r="AW277" s="146"/>
      <c r="AX277" s="146"/>
      <c r="AY277" s="146"/>
      <c r="AZ277" s="146"/>
      <c r="BA277" s="146"/>
      <c r="BB277" s="146"/>
      <c r="BC277" s="146"/>
      <c r="BD277" s="146"/>
      <c r="BE277" s="146"/>
      <c r="BF277" s="146"/>
      <c r="BG277" s="146"/>
      <c r="BH277" s="146"/>
      <c r="BI277" s="146"/>
      <c r="BJ277" s="146"/>
      <c r="BK277" s="146"/>
      <c r="BL277" s="146"/>
      <c r="BM277" s="146"/>
      <c r="BN277" s="146"/>
      <c r="BO277" s="146"/>
      <c r="BP277" s="146"/>
      <c r="BQ277" s="146"/>
      <c r="BR277" s="146"/>
      <c r="BS277" s="146"/>
      <c r="BT277" s="146"/>
      <c r="BU277" s="146"/>
      <c r="BV277" s="146"/>
      <c r="BW277" s="146"/>
      <c r="BX277" s="146"/>
      <c r="BY277" s="146"/>
      <c r="BZ277" s="146"/>
      <c r="CA277" s="146"/>
      <c r="CB277" s="146"/>
      <c r="CC277" s="146"/>
      <c r="CD277" s="146"/>
      <c r="CE277" s="146"/>
      <c r="CF277" s="146"/>
      <c r="CG277" s="146"/>
      <c r="CH277" s="146"/>
      <c r="CI277" s="146"/>
      <c r="CJ277" s="146"/>
      <c r="CK277" s="146"/>
      <c r="CL277" s="146"/>
      <c r="CM277" s="146"/>
      <c r="CN277" s="146"/>
      <c r="CO277" s="146"/>
      <c r="CP277" s="146"/>
      <c r="CQ277" s="146"/>
      <c r="CR277" s="146"/>
      <c r="CS277" s="146"/>
      <c r="CT277" s="146"/>
      <c r="CU277" s="146"/>
      <c r="CV277" s="146"/>
      <c r="CW277" s="146"/>
      <c r="CX277" s="146"/>
      <c r="CY277" s="146"/>
      <c r="CZ277" s="146"/>
      <c r="DA277" s="146"/>
      <c r="DB277" s="146"/>
      <c r="DC277" s="146"/>
    </row>
    <row r="278" ht="15.75" customHeight="1">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c r="AA278" s="144"/>
      <c r="AB278" s="144"/>
      <c r="AC278" s="144"/>
      <c r="AD278" s="144"/>
      <c r="AE278" s="144"/>
      <c r="AF278" s="144"/>
      <c r="AG278" s="144"/>
      <c r="AH278" s="144"/>
      <c r="AI278" s="144"/>
      <c r="AJ278" s="144"/>
      <c r="AK278" s="144"/>
      <c r="AL278" s="144"/>
      <c r="AM278" s="144"/>
      <c r="AN278" s="144"/>
      <c r="AO278" s="144"/>
      <c r="AP278" s="146"/>
      <c r="AQ278" s="146"/>
      <c r="AR278" s="146"/>
      <c r="AS278" s="146"/>
      <c r="AT278" s="146"/>
      <c r="AU278" s="146"/>
      <c r="AV278" s="146"/>
      <c r="AW278" s="146"/>
      <c r="AX278" s="146"/>
      <c r="AY278" s="146"/>
      <c r="AZ278" s="146"/>
      <c r="BA278" s="146"/>
      <c r="BB278" s="146"/>
      <c r="BC278" s="146"/>
      <c r="BD278" s="146"/>
      <c r="BE278" s="146"/>
      <c r="BF278" s="146"/>
      <c r="BG278" s="146"/>
      <c r="BH278" s="146"/>
      <c r="BI278" s="146"/>
      <c r="BJ278" s="146"/>
      <c r="BK278" s="146"/>
      <c r="BL278" s="146"/>
      <c r="BM278" s="146"/>
      <c r="BN278" s="146"/>
      <c r="BO278" s="146"/>
      <c r="BP278" s="146"/>
      <c r="BQ278" s="146"/>
      <c r="BR278" s="146"/>
      <c r="BS278" s="146"/>
      <c r="BT278" s="146"/>
      <c r="BU278" s="146"/>
      <c r="BV278" s="146"/>
      <c r="BW278" s="146"/>
      <c r="BX278" s="146"/>
      <c r="BY278" s="146"/>
      <c r="BZ278" s="146"/>
      <c r="CA278" s="146"/>
      <c r="CB278" s="146"/>
      <c r="CC278" s="146"/>
      <c r="CD278" s="146"/>
      <c r="CE278" s="146"/>
      <c r="CF278" s="146"/>
      <c r="CG278" s="146"/>
      <c r="CH278" s="146"/>
      <c r="CI278" s="146"/>
      <c r="CJ278" s="146"/>
      <c r="CK278" s="146"/>
      <c r="CL278" s="146"/>
      <c r="CM278" s="146"/>
      <c r="CN278" s="146"/>
      <c r="CO278" s="146"/>
      <c r="CP278" s="146"/>
      <c r="CQ278" s="146"/>
      <c r="CR278" s="146"/>
      <c r="CS278" s="146"/>
      <c r="CT278" s="146"/>
      <c r="CU278" s="146"/>
      <c r="CV278" s="146"/>
      <c r="CW278" s="146"/>
      <c r="CX278" s="146"/>
      <c r="CY278" s="146"/>
      <c r="CZ278" s="146"/>
      <c r="DA278" s="146"/>
      <c r="DB278" s="146"/>
      <c r="DC278" s="146"/>
    </row>
    <row r="279" ht="15.75" customHeight="1">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c r="AE279" s="144"/>
      <c r="AF279" s="144"/>
      <c r="AG279" s="144"/>
      <c r="AH279" s="144"/>
      <c r="AI279" s="144"/>
      <c r="AJ279" s="144"/>
      <c r="AK279" s="144"/>
      <c r="AL279" s="144"/>
      <c r="AM279" s="144"/>
      <c r="AN279" s="144"/>
      <c r="AO279" s="144"/>
      <c r="AP279" s="146"/>
      <c r="AQ279" s="146"/>
      <c r="AR279" s="146"/>
      <c r="AS279" s="146"/>
      <c r="AT279" s="146"/>
      <c r="AU279" s="146"/>
      <c r="AV279" s="146"/>
      <c r="AW279" s="146"/>
      <c r="AX279" s="146"/>
      <c r="AY279" s="146"/>
      <c r="AZ279" s="146"/>
      <c r="BA279" s="146"/>
      <c r="BB279" s="146"/>
      <c r="BC279" s="146"/>
      <c r="BD279" s="146"/>
      <c r="BE279" s="146"/>
      <c r="BF279" s="146"/>
      <c r="BG279" s="146"/>
      <c r="BH279" s="146"/>
      <c r="BI279" s="146"/>
      <c r="BJ279" s="146"/>
      <c r="BK279" s="146"/>
      <c r="BL279" s="146"/>
      <c r="BM279" s="146"/>
      <c r="BN279" s="146"/>
      <c r="BO279" s="146"/>
      <c r="BP279" s="146"/>
      <c r="BQ279" s="146"/>
      <c r="BR279" s="146"/>
      <c r="BS279" s="146"/>
      <c r="BT279" s="146"/>
      <c r="BU279" s="146"/>
      <c r="BV279" s="146"/>
      <c r="BW279" s="146"/>
      <c r="BX279" s="146"/>
      <c r="BY279" s="146"/>
      <c r="BZ279" s="146"/>
      <c r="CA279" s="146"/>
      <c r="CB279" s="146"/>
      <c r="CC279" s="146"/>
      <c r="CD279" s="146"/>
      <c r="CE279" s="146"/>
      <c r="CF279" s="146"/>
      <c r="CG279" s="146"/>
      <c r="CH279" s="146"/>
      <c r="CI279" s="146"/>
      <c r="CJ279" s="146"/>
      <c r="CK279" s="146"/>
      <c r="CL279" s="146"/>
      <c r="CM279" s="146"/>
      <c r="CN279" s="146"/>
      <c r="CO279" s="146"/>
      <c r="CP279" s="146"/>
      <c r="CQ279" s="146"/>
      <c r="CR279" s="146"/>
      <c r="CS279" s="146"/>
      <c r="CT279" s="146"/>
      <c r="CU279" s="146"/>
      <c r="CV279" s="146"/>
      <c r="CW279" s="146"/>
      <c r="CX279" s="146"/>
      <c r="CY279" s="146"/>
      <c r="CZ279" s="146"/>
      <c r="DA279" s="146"/>
      <c r="DB279" s="146"/>
      <c r="DC279" s="146"/>
    </row>
    <row r="280" ht="15.75" customHeight="1">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c r="AE280" s="144"/>
      <c r="AF280" s="144"/>
      <c r="AG280" s="144"/>
      <c r="AH280" s="144"/>
      <c r="AI280" s="144"/>
      <c r="AJ280" s="144"/>
      <c r="AK280" s="144"/>
      <c r="AL280" s="144"/>
      <c r="AM280" s="144"/>
      <c r="AN280" s="144"/>
      <c r="AO280" s="144"/>
      <c r="AP280" s="146"/>
      <c r="AQ280" s="146"/>
      <c r="AR280" s="146"/>
      <c r="AS280" s="146"/>
      <c r="AT280" s="146"/>
      <c r="AU280" s="146"/>
      <c r="AV280" s="146"/>
      <c r="AW280" s="146"/>
      <c r="AX280" s="146"/>
      <c r="AY280" s="146"/>
      <c r="AZ280" s="146"/>
      <c r="BA280" s="146"/>
      <c r="BB280" s="146"/>
      <c r="BC280" s="146"/>
      <c r="BD280" s="146"/>
      <c r="BE280" s="146"/>
      <c r="BF280" s="146"/>
      <c r="BG280" s="146"/>
      <c r="BH280" s="146"/>
      <c r="BI280" s="146"/>
      <c r="BJ280" s="146"/>
      <c r="BK280" s="146"/>
      <c r="BL280" s="146"/>
      <c r="BM280" s="146"/>
      <c r="BN280" s="146"/>
      <c r="BO280" s="146"/>
      <c r="BP280" s="146"/>
      <c r="BQ280" s="146"/>
      <c r="BR280" s="146"/>
      <c r="BS280" s="146"/>
      <c r="BT280" s="146"/>
      <c r="BU280" s="146"/>
      <c r="BV280" s="146"/>
      <c r="BW280" s="146"/>
      <c r="BX280" s="146"/>
      <c r="BY280" s="146"/>
      <c r="BZ280" s="146"/>
      <c r="CA280" s="146"/>
      <c r="CB280" s="146"/>
      <c r="CC280" s="146"/>
      <c r="CD280" s="146"/>
      <c r="CE280" s="146"/>
      <c r="CF280" s="146"/>
      <c r="CG280" s="146"/>
      <c r="CH280" s="146"/>
      <c r="CI280" s="146"/>
      <c r="CJ280" s="146"/>
      <c r="CK280" s="146"/>
      <c r="CL280" s="146"/>
      <c r="CM280" s="146"/>
      <c r="CN280" s="146"/>
      <c r="CO280" s="146"/>
      <c r="CP280" s="146"/>
      <c r="CQ280" s="146"/>
      <c r="CR280" s="146"/>
      <c r="CS280" s="146"/>
      <c r="CT280" s="146"/>
      <c r="CU280" s="146"/>
      <c r="CV280" s="146"/>
      <c r="CW280" s="146"/>
      <c r="CX280" s="146"/>
      <c r="CY280" s="146"/>
      <c r="CZ280" s="146"/>
      <c r="DA280" s="146"/>
      <c r="DB280" s="146"/>
      <c r="DC280" s="146"/>
    </row>
    <row r="281" ht="15.75" customHeight="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c r="AE281" s="144"/>
      <c r="AF281" s="144"/>
      <c r="AG281" s="144"/>
      <c r="AH281" s="144"/>
      <c r="AI281" s="144"/>
      <c r="AJ281" s="144"/>
      <c r="AK281" s="144"/>
      <c r="AL281" s="144"/>
      <c r="AM281" s="144"/>
      <c r="AN281" s="144"/>
      <c r="AO281" s="144"/>
      <c r="AP281" s="146"/>
      <c r="AQ281" s="146"/>
      <c r="AR281" s="146"/>
      <c r="AS281" s="146"/>
      <c r="AT281" s="146"/>
      <c r="AU281" s="146"/>
      <c r="AV281" s="146"/>
      <c r="AW281" s="146"/>
      <c r="AX281" s="146"/>
      <c r="AY281" s="146"/>
      <c r="AZ281" s="146"/>
      <c r="BA281" s="146"/>
      <c r="BB281" s="146"/>
      <c r="BC281" s="146"/>
      <c r="BD281" s="146"/>
      <c r="BE281" s="146"/>
      <c r="BF281" s="146"/>
      <c r="BG281" s="146"/>
      <c r="BH281" s="146"/>
      <c r="BI281" s="146"/>
      <c r="BJ281" s="146"/>
      <c r="BK281" s="146"/>
      <c r="BL281" s="146"/>
      <c r="BM281" s="146"/>
      <c r="BN281" s="146"/>
      <c r="BO281" s="146"/>
      <c r="BP281" s="146"/>
      <c r="BQ281" s="146"/>
      <c r="BR281" s="146"/>
      <c r="BS281" s="146"/>
      <c r="BT281" s="146"/>
      <c r="BU281" s="146"/>
      <c r="BV281" s="146"/>
      <c r="BW281" s="146"/>
      <c r="BX281" s="146"/>
      <c r="BY281" s="146"/>
      <c r="BZ281" s="146"/>
      <c r="CA281" s="146"/>
      <c r="CB281" s="146"/>
      <c r="CC281" s="146"/>
      <c r="CD281" s="146"/>
      <c r="CE281" s="146"/>
      <c r="CF281" s="146"/>
      <c r="CG281" s="146"/>
      <c r="CH281" s="146"/>
      <c r="CI281" s="146"/>
      <c r="CJ281" s="146"/>
      <c r="CK281" s="146"/>
      <c r="CL281" s="146"/>
      <c r="CM281" s="146"/>
      <c r="CN281" s="146"/>
      <c r="CO281" s="146"/>
      <c r="CP281" s="146"/>
      <c r="CQ281" s="146"/>
      <c r="CR281" s="146"/>
      <c r="CS281" s="146"/>
      <c r="CT281" s="146"/>
      <c r="CU281" s="146"/>
      <c r="CV281" s="146"/>
      <c r="CW281" s="146"/>
      <c r="CX281" s="146"/>
      <c r="CY281" s="146"/>
      <c r="CZ281" s="146"/>
      <c r="DA281" s="146"/>
      <c r="DB281" s="146"/>
      <c r="DC281" s="146"/>
    </row>
    <row r="282" ht="15.75" customHeight="1">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c r="AF282" s="144"/>
      <c r="AG282" s="144"/>
      <c r="AH282" s="144"/>
      <c r="AI282" s="144"/>
      <c r="AJ282" s="144"/>
      <c r="AK282" s="144"/>
      <c r="AL282" s="144"/>
      <c r="AM282" s="144"/>
      <c r="AN282" s="144"/>
      <c r="AO282" s="144"/>
      <c r="AP282" s="146"/>
      <c r="AQ282" s="146"/>
      <c r="AR282" s="146"/>
      <c r="AS282" s="146"/>
      <c r="AT282" s="146"/>
      <c r="AU282" s="146"/>
      <c r="AV282" s="146"/>
      <c r="AW282" s="146"/>
      <c r="AX282" s="146"/>
      <c r="AY282" s="146"/>
      <c r="AZ282" s="146"/>
      <c r="BA282" s="146"/>
      <c r="BB282" s="146"/>
      <c r="BC282" s="146"/>
      <c r="BD282" s="146"/>
      <c r="BE282" s="146"/>
      <c r="BF282" s="146"/>
      <c r="BG282" s="146"/>
      <c r="BH282" s="146"/>
      <c r="BI282" s="146"/>
      <c r="BJ282" s="146"/>
      <c r="BK282" s="146"/>
      <c r="BL282" s="146"/>
      <c r="BM282" s="146"/>
      <c r="BN282" s="146"/>
      <c r="BO282" s="146"/>
      <c r="BP282" s="146"/>
      <c r="BQ282" s="146"/>
      <c r="BR282" s="146"/>
      <c r="BS282" s="146"/>
      <c r="BT282" s="146"/>
      <c r="BU282" s="146"/>
      <c r="BV282" s="146"/>
      <c r="BW282" s="146"/>
      <c r="BX282" s="146"/>
      <c r="BY282" s="146"/>
      <c r="BZ282" s="146"/>
      <c r="CA282" s="146"/>
      <c r="CB282" s="146"/>
      <c r="CC282" s="146"/>
      <c r="CD282" s="146"/>
      <c r="CE282" s="146"/>
      <c r="CF282" s="146"/>
      <c r="CG282" s="146"/>
      <c r="CH282" s="146"/>
      <c r="CI282" s="146"/>
      <c r="CJ282" s="146"/>
      <c r="CK282" s="146"/>
      <c r="CL282" s="146"/>
      <c r="CM282" s="146"/>
      <c r="CN282" s="146"/>
      <c r="CO282" s="146"/>
      <c r="CP282" s="146"/>
      <c r="CQ282" s="146"/>
      <c r="CR282" s="146"/>
      <c r="CS282" s="146"/>
      <c r="CT282" s="146"/>
      <c r="CU282" s="146"/>
      <c r="CV282" s="146"/>
      <c r="CW282" s="146"/>
      <c r="CX282" s="146"/>
      <c r="CY282" s="146"/>
      <c r="CZ282" s="146"/>
      <c r="DA282" s="146"/>
      <c r="DB282" s="146"/>
      <c r="DC282" s="146"/>
    </row>
    <row r="283" ht="15.75" customHeight="1">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4"/>
      <c r="AI283" s="144"/>
      <c r="AJ283" s="144"/>
      <c r="AK283" s="144"/>
      <c r="AL283" s="144"/>
      <c r="AM283" s="144"/>
      <c r="AN283" s="144"/>
      <c r="AO283" s="144"/>
      <c r="AP283" s="146"/>
      <c r="AQ283" s="146"/>
      <c r="AR283" s="146"/>
      <c r="AS283" s="146"/>
      <c r="AT283" s="146"/>
      <c r="AU283" s="146"/>
      <c r="AV283" s="146"/>
      <c r="AW283" s="146"/>
      <c r="AX283" s="146"/>
      <c r="AY283" s="146"/>
      <c r="AZ283" s="146"/>
      <c r="BA283" s="146"/>
      <c r="BB283" s="146"/>
      <c r="BC283" s="146"/>
      <c r="BD283" s="146"/>
      <c r="BE283" s="146"/>
      <c r="BF283" s="146"/>
      <c r="BG283" s="146"/>
      <c r="BH283" s="146"/>
      <c r="BI283" s="146"/>
      <c r="BJ283" s="146"/>
      <c r="BK283" s="146"/>
      <c r="BL283" s="146"/>
      <c r="BM283" s="146"/>
      <c r="BN283" s="146"/>
      <c r="BO283" s="146"/>
      <c r="BP283" s="146"/>
      <c r="BQ283" s="146"/>
      <c r="BR283" s="146"/>
      <c r="BS283" s="146"/>
      <c r="BT283" s="146"/>
      <c r="BU283" s="146"/>
      <c r="BV283" s="146"/>
      <c r="BW283" s="146"/>
      <c r="BX283" s="146"/>
      <c r="BY283" s="146"/>
      <c r="BZ283" s="146"/>
      <c r="CA283" s="146"/>
      <c r="CB283" s="146"/>
      <c r="CC283" s="146"/>
      <c r="CD283" s="146"/>
      <c r="CE283" s="146"/>
      <c r="CF283" s="146"/>
      <c r="CG283" s="146"/>
      <c r="CH283" s="146"/>
      <c r="CI283" s="146"/>
      <c r="CJ283" s="146"/>
      <c r="CK283" s="146"/>
      <c r="CL283" s="146"/>
      <c r="CM283" s="146"/>
      <c r="CN283" s="146"/>
      <c r="CO283" s="146"/>
      <c r="CP283" s="146"/>
      <c r="CQ283" s="146"/>
      <c r="CR283" s="146"/>
      <c r="CS283" s="146"/>
      <c r="CT283" s="146"/>
      <c r="CU283" s="146"/>
      <c r="CV283" s="146"/>
      <c r="CW283" s="146"/>
      <c r="CX283" s="146"/>
      <c r="CY283" s="146"/>
      <c r="CZ283" s="146"/>
      <c r="DA283" s="146"/>
      <c r="DB283" s="146"/>
      <c r="DC283" s="146"/>
    </row>
    <row r="284" ht="15.75" customHeight="1">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c r="AF284" s="144"/>
      <c r="AG284" s="144"/>
      <c r="AH284" s="144"/>
      <c r="AI284" s="144"/>
      <c r="AJ284" s="144"/>
      <c r="AK284" s="144"/>
      <c r="AL284" s="144"/>
      <c r="AM284" s="144"/>
      <c r="AN284" s="144"/>
      <c r="AO284" s="144"/>
      <c r="AP284" s="146"/>
      <c r="AQ284" s="146"/>
      <c r="AR284" s="146"/>
      <c r="AS284" s="146"/>
      <c r="AT284" s="146"/>
      <c r="AU284" s="146"/>
      <c r="AV284" s="146"/>
      <c r="AW284" s="146"/>
      <c r="AX284" s="146"/>
      <c r="AY284" s="146"/>
      <c r="AZ284" s="146"/>
      <c r="BA284" s="146"/>
      <c r="BB284" s="146"/>
      <c r="BC284" s="146"/>
      <c r="BD284" s="146"/>
      <c r="BE284" s="146"/>
      <c r="BF284" s="146"/>
      <c r="BG284" s="146"/>
      <c r="BH284" s="146"/>
      <c r="BI284" s="146"/>
      <c r="BJ284" s="146"/>
      <c r="BK284" s="146"/>
      <c r="BL284" s="146"/>
      <c r="BM284" s="146"/>
      <c r="BN284" s="146"/>
      <c r="BO284" s="146"/>
      <c r="BP284" s="146"/>
      <c r="BQ284" s="146"/>
      <c r="BR284" s="146"/>
      <c r="BS284" s="146"/>
      <c r="BT284" s="146"/>
      <c r="BU284" s="146"/>
      <c r="BV284" s="146"/>
      <c r="BW284" s="146"/>
      <c r="BX284" s="146"/>
      <c r="BY284" s="146"/>
      <c r="BZ284" s="146"/>
      <c r="CA284" s="146"/>
      <c r="CB284" s="146"/>
      <c r="CC284" s="146"/>
      <c r="CD284" s="146"/>
      <c r="CE284" s="146"/>
      <c r="CF284" s="146"/>
      <c r="CG284" s="146"/>
      <c r="CH284" s="146"/>
      <c r="CI284" s="146"/>
      <c r="CJ284" s="146"/>
      <c r="CK284" s="146"/>
      <c r="CL284" s="146"/>
      <c r="CM284" s="146"/>
      <c r="CN284" s="146"/>
      <c r="CO284" s="146"/>
      <c r="CP284" s="146"/>
      <c r="CQ284" s="146"/>
      <c r="CR284" s="146"/>
      <c r="CS284" s="146"/>
      <c r="CT284" s="146"/>
      <c r="CU284" s="146"/>
      <c r="CV284" s="146"/>
      <c r="CW284" s="146"/>
      <c r="CX284" s="146"/>
      <c r="CY284" s="146"/>
      <c r="CZ284" s="146"/>
      <c r="DA284" s="146"/>
      <c r="DB284" s="146"/>
      <c r="DC284" s="146"/>
    </row>
    <row r="285" ht="15.75" customHeight="1">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c r="AE285" s="144"/>
      <c r="AF285" s="144"/>
      <c r="AG285" s="144"/>
      <c r="AH285" s="144"/>
      <c r="AI285" s="144"/>
      <c r="AJ285" s="144"/>
      <c r="AK285" s="144"/>
      <c r="AL285" s="144"/>
      <c r="AM285" s="144"/>
      <c r="AN285" s="144"/>
      <c r="AO285" s="144"/>
      <c r="AP285" s="146"/>
      <c r="AQ285" s="146"/>
      <c r="AR285" s="146"/>
      <c r="AS285" s="146"/>
      <c r="AT285" s="146"/>
      <c r="AU285" s="146"/>
      <c r="AV285" s="146"/>
      <c r="AW285" s="146"/>
      <c r="AX285" s="146"/>
      <c r="AY285" s="146"/>
      <c r="AZ285" s="146"/>
      <c r="BA285" s="146"/>
      <c r="BB285" s="146"/>
      <c r="BC285" s="146"/>
      <c r="BD285" s="146"/>
      <c r="BE285" s="146"/>
      <c r="BF285" s="146"/>
      <c r="BG285" s="146"/>
      <c r="BH285" s="146"/>
      <c r="BI285" s="146"/>
      <c r="BJ285" s="146"/>
      <c r="BK285" s="146"/>
      <c r="BL285" s="146"/>
      <c r="BM285" s="146"/>
      <c r="BN285" s="146"/>
      <c r="BO285" s="146"/>
      <c r="BP285" s="146"/>
      <c r="BQ285" s="146"/>
      <c r="BR285" s="146"/>
      <c r="BS285" s="146"/>
      <c r="BT285" s="146"/>
      <c r="BU285" s="146"/>
      <c r="BV285" s="146"/>
      <c r="BW285" s="146"/>
      <c r="BX285" s="146"/>
      <c r="BY285" s="146"/>
      <c r="BZ285" s="146"/>
      <c r="CA285" s="146"/>
      <c r="CB285" s="146"/>
      <c r="CC285" s="146"/>
      <c r="CD285" s="146"/>
      <c r="CE285" s="146"/>
      <c r="CF285" s="146"/>
      <c r="CG285" s="146"/>
      <c r="CH285" s="146"/>
      <c r="CI285" s="146"/>
      <c r="CJ285" s="146"/>
      <c r="CK285" s="146"/>
      <c r="CL285" s="146"/>
      <c r="CM285" s="146"/>
      <c r="CN285" s="146"/>
      <c r="CO285" s="146"/>
      <c r="CP285" s="146"/>
      <c r="CQ285" s="146"/>
      <c r="CR285" s="146"/>
      <c r="CS285" s="146"/>
      <c r="CT285" s="146"/>
      <c r="CU285" s="146"/>
      <c r="CV285" s="146"/>
      <c r="CW285" s="146"/>
      <c r="CX285" s="146"/>
      <c r="CY285" s="146"/>
      <c r="CZ285" s="146"/>
      <c r="DA285" s="146"/>
      <c r="DB285" s="146"/>
      <c r="DC285" s="146"/>
    </row>
    <row r="286" ht="15.75" customHeight="1">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c r="AA286" s="144"/>
      <c r="AB286" s="144"/>
      <c r="AC286" s="144"/>
      <c r="AD286" s="144"/>
      <c r="AE286" s="144"/>
      <c r="AF286" s="144"/>
      <c r="AG286" s="144"/>
      <c r="AH286" s="144"/>
      <c r="AI286" s="144"/>
      <c r="AJ286" s="144"/>
      <c r="AK286" s="144"/>
      <c r="AL286" s="144"/>
      <c r="AM286" s="144"/>
      <c r="AN286" s="144"/>
      <c r="AO286" s="144"/>
      <c r="AP286" s="146"/>
      <c r="AQ286" s="146"/>
      <c r="AR286" s="146"/>
      <c r="AS286" s="146"/>
      <c r="AT286" s="146"/>
      <c r="AU286" s="146"/>
      <c r="AV286" s="146"/>
      <c r="AW286" s="146"/>
      <c r="AX286" s="146"/>
      <c r="AY286" s="146"/>
      <c r="AZ286" s="146"/>
      <c r="BA286" s="146"/>
      <c r="BB286" s="146"/>
      <c r="BC286" s="146"/>
      <c r="BD286" s="146"/>
      <c r="BE286" s="146"/>
      <c r="BF286" s="146"/>
      <c r="BG286" s="146"/>
      <c r="BH286" s="146"/>
      <c r="BI286" s="146"/>
      <c r="BJ286" s="146"/>
      <c r="BK286" s="146"/>
      <c r="BL286" s="146"/>
      <c r="BM286" s="146"/>
      <c r="BN286" s="146"/>
      <c r="BO286" s="146"/>
      <c r="BP286" s="146"/>
      <c r="BQ286" s="146"/>
      <c r="BR286" s="146"/>
      <c r="BS286" s="146"/>
      <c r="BT286" s="146"/>
      <c r="BU286" s="146"/>
      <c r="BV286" s="146"/>
      <c r="BW286" s="146"/>
      <c r="BX286" s="146"/>
      <c r="BY286" s="146"/>
      <c r="BZ286" s="146"/>
      <c r="CA286" s="146"/>
      <c r="CB286" s="146"/>
      <c r="CC286" s="146"/>
      <c r="CD286" s="146"/>
      <c r="CE286" s="146"/>
      <c r="CF286" s="146"/>
      <c r="CG286" s="146"/>
      <c r="CH286" s="146"/>
      <c r="CI286" s="146"/>
      <c r="CJ286" s="146"/>
      <c r="CK286" s="146"/>
      <c r="CL286" s="146"/>
      <c r="CM286" s="146"/>
      <c r="CN286" s="146"/>
      <c r="CO286" s="146"/>
      <c r="CP286" s="146"/>
      <c r="CQ286" s="146"/>
      <c r="CR286" s="146"/>
      <c r="CS286" s="146"/>
      <c r="CT286" s="146"/>
      <c r="CU286" s="146"/>
      <c r="CV286" s="146"/>
      <c r="CW286" s="146"/>
      <c r="CX286" s="146"/>
      <c r="CY286" s="146"/>
      <c r="CZ286" s="146"/>
      <c r="DA286" s="146"/>
      <c r="DB286" s="146"/>
      <c r="DC286" s="146"/>
    </row>
    <row r="287" ht="15.75" customHeight="1">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c r="AD287" s="144"/>
      <c r="AE287" s="144"/>
      <c r="AF287" s="144"/>
      <c r="AG287" s="144"/>
      <c r="AH287" s="144"/>
      <c r="AI287" s="144"/>
      <c r="AJ287" s="144"/>
      <c r="AK287" s="144"/>
      <c r="AL287" s="144"/>
      <c r="AM287" s="144"/>
      <c r="AN287" s="144"/>
      <c r="AO287" s="144"/>
      <c r="AP287" s="146"/>
      <c r="AQ287" s="146"/>
      <c r="AR287" s="146"/>
      <c r="AS287" s="146"/>
      <c r="AT287" s="146"/>
      <c r="AU287" s="146"/>
      <c r="AV287" s="146"/>
      <c r="AW287" s="146"/>
      <c r="AX287" s="146"/>
      <c r="AY287" s="146"/>
      <c r="AZ287" s="146"/>
      <c r="BA287" s="146"/>
      <c r="BB287" s="146"/>
      <c r="BC287" s="146"/>
      <c r="BD287" s="146"/>
      <c r="BE287" s="146"/>
      <c r="BF287" s="146"/>
      <c r="BG287" s="146"/>
      <c r="BH287" s="146"/>
      <c r="BI287" s="146"/>
      <c r="BJ287" s="146"/>
      <c r="BK287" s="146"/>
      <c r="BL287" s="146"/>
      <c r="BM287" s="146"/>
      <c r="BN287" s="146"/>
      <c r="BO287" s="146"/>
      <c r="BP287" s="146"/>
      <c r="BQ287" s="146"/>
      <c r="BR287" s="146"/>
      <c r="BS287" s="146"/>
      <c r="BT287" s="146"/>
      <c r="BU287" s="146"/>
      <c r="BV287" s="146"/>
      <c r="BW287" s="146"/>
      <c r="BX287" s="146"/>
      <c r="BY287" s="146"/>
      <c r="BZ287" s="146"/>
      <c r="CA287" s="146"/>
      <c r="CB287" s="146"/>
      <c r="CC287" s="146"/>
      <c r="CD287" s="146"/>
      <c r="CE287" s="146"/>
      <c r="CF287" s="146"/>
      <c r="CG287" s="146"/>
      <c r="CH287" s="146"/>
      <c r="CI287" s="146"/>
      <c r="CJ287" s="146"/>
      <c r="CK287" s="146"/>
      <c r="CL287" s="146"/>
      <c r="CM287" s="146"/>
      <c r="CN287" s="146"/>
      <c r="CO287" s="146"/>
      <c r="CP287" s="146"/>
      <c r="CQ287" s="146"/>
      <c r="CR287" s="146"/>
      <c r="CS287" s="146"/>
      <c r="CT287" s="146"/>
      <c r="CU287" s="146"/>
      <c r="CV287" s="146"/>
      <c r="CW287" s="146"/>
      <c r="CX287" s="146"/>
      <c r="CY287" s="146"/>
      <c r="CZ287" s="146"/>
      <c r="DA287" s="146"/>
      <c r="DB287" s="146"/>
      <c r="DC287" s="146"/>
    </row>
    <row r="288" ht="15.75" customHeight="1">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c r="AA288" s="144"/>
      <c r="AB288" s="144"/>
      <c r="AC288" s="144"/>
      <c r="AD288" s="144"/>
      <c r="AE288" s="144"/>
      <c r="AF288" s="144"/>
      <c r="AG288" s="144"/>
      <c r="AH288" s="144"/>
      <c r="AI288" s="144"/>
      <c r="AJ288" s="144"/>
      <c r="AK288" s="144"/>
      <c r="AL288" s="144"/>
      <c r="AM288" s="144"/>
      <c r="AN288" s="144"/>
      <c r="AO288" s="144"/>
      <c r="AP288" s="146"/>
      <c r="AQ288" s="146"/>
      <c r="AR288" s="146"/>
      <c r="AS288" s="146"/>
      <c r="AT288" s="146"/>
      <c r="AU288" s="146"/>
      <c r="AV288" s="146"/>
      <c r="AW288" s="146"/>
      <c r="AX288" s="146"/>
      <c r="AY288" s="146"/>
      <c r="AZ288" s="146"/>
      <c r="BA288" s="146"/>
      <c r="BB288" s="146"/>
      <c r="BC288" s="146"/>
      <c r="BD288" s="146"/>
      <c r="BE288" s="146"/>
      <c r="BF288" s="146"/>
      <c r="BG288" s="146"/>
      <c r="BH288" s="146"/>
      <c r="BI288" s="146"/>
      <c r="BJ288" s="146"/>
      <c r="BK288" s="146"/>
      <c r="BL288" s="146"/>
      <c r="BM288" s="146"/>
      <c r="BN288" s="146"/>
      <c r="BO288" s="146"/>
      <c r="BP288" s="146"/>
      <c r="BQ288" s="146"/>
      <c r="BR288" s="146"/>
      <c r="BS288" s="146"/>
      <c r="BT288" s="146"/>
      <c r="BU288" s="146"/>
      <c r="BV288" s="146"/>
      <c r="BW288" s="146"/>
      <c r="BX288" s="146"/>
      <c r="BY288" s="146"/>
      <c r="BZ288" s="146"/>
      <c r="CA288" s="146"/>
      <c r="CB288" s="146"/>
      <c r="CC288" s="146"/>
      <c r="CD288" s="146"/>
      <c r="CE288" s="146"/>
      <c r="CF288" s="146"/>
      <c r="CG288" s="146"/>
      <c r="CH288" s="146"/>
      <c r="CI288" s="146"/>
      <c r="CJ288" s="146"/>
      <c r="CK288" s="146"/>
      <c r="CL288" s="146"/>
      <c r="CM288" s="146"/>
      <c r="CN288" s="146"/>
      <c r="CO288" s="146"/>
      <c r="CP288" s="146"/>
      <c r="CQ288" s="146"/>
      <c r="CR288" s="146"/>
      <c r="CS288" s="146"/>
      <c r="CT288" s="146"/>
      <c r="CU288" s="146"/>
      <c r="CV288" s="146"/>
      <c r="CW288" s="146"/>
      <c r="CX288" s="146"/>
      <c r="CY288" s="146"/>
      <c r="CZ288" s="146"/>
      <c r="DA288" s="146"/>
      <c r="DB288" s="146"/>
      <c r="DC288" s="146"/>
    </row>
    <row r="289" ht="15.75" customHeight="1">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c r="AE289" s="144"/>
      <c r="AF289" s="144"/>
      <c r="AG289" s="144"/>
      <c r="AH289" s="144"/>
      <c r="AI289" s="144"/>
      <c r="AJ289" s="144"/>
      <c r="AK289" s="144"/>
      <c r="AL289" s="144"/>
      <c r="AM289" s="144"/>
      <c r="AN289" s="144"/>
      <c r="AO289" s="144"/>
      <c r="AP289" s="146"/>
      <c r="AQ289" s="146"/>
      <c r="AR289" s="146"/>
      <c r="AS289" s="146"/>
      <c r="AT289" s="146"/>
      <c r="AU289" s="146"/>
      <c r="AV289" s="146"/>
      <c r="AW289" s="146"/>
      <c r="AX289" s="146"/>
      <c r="AY289" s="146"/>
      <c r="AZ289" s="146"/>
      <c r="BA289" s="146"/>
      <c r="BB289" s="146"/>
      <c r="BC289" s="146"/>
      <c r="BD289" s="146"/>
      <c r="BE289" s="146"/>
      <c r="BF289" s="146"/>
      <c r="BG289" s="146"/>
      <c r="BH289" s="146"/>
      <c r="BI289" s="146"/>
      <c r="BJ289" s="146"/>
      <c r="BK289" s="146"/>
      <c r="BL289" s="146"/>
      <c r="BM289" s="146"/>
      <c r="BN289" s="146"/>
      <c r="BO289" s="146"/>
      <c r="BP289" s="146"/>
      <c r="BQ289" s="146"/>
      <c r="BR289" s="146"/>
      <c r="BS289" s="146"/>
      <c r="BT289" s="146"/>
      <c r="BU289" s="146"/>
      <c r="BV289" s="146"/>
      <c r="BW289" s="146"/>
      <c r="BX289" s="146"/>
      <c r="BY289" s="146"/>
      <c r="BZ289" s="146"/>
      <c r="CA289" s="146"/>
      <c r="CB289" s="146"/>
      <c r="CC289" s="146"/>
      <c r="CD289" s="146"/>
      <c r="CE289" s="146"/>
      <c r="CF289" s="146"/>
      <c r="CG289" s="146"/>
      <c r="CH289" s="146"/>
      <c r="CI289" s="146"/>
      <c r="CJ289" s="146"/>
      <c r="CK289" s="146"/>
      <c r="CL289" s="146"/>
      <c r="CM289" s="146"/>
      <c r="CN289" s="146"/>
      <c r="CO289" s="146"/>
      <c r="CP289" s="146"/>
      <c r="CQ289" s="146"/>
      <c r="CR289" s="146"/>
      <c r="CS289" s="146"/>
      <c r="CT289" s="146"/>
      <c r="CU289" s="146"/>
      <c r="CV289" s="146"/>
      <c r="CW289" s="146"/>
      <c r="CX289" s="146"/>
      <c r="CY289" s="146"/>
      <c r="CZ289" s="146"/>
      <c r="DA289" s="146"/>
      <c r="DB289" s="146"/>
      <c r="DC289" s="146"/>
    </row>
    <row r="290" ht="15.75" customHeight="1">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c r="AE290" s="144"/>
      <c r="AF290" s="144"/>
      <c r="AG290" s="144"/>
      <c r="AH290" s="144"/>
      <c r="AI290" s="144"/>
      <c r="AJ290" s="144"/>
      <c r="AK290" s="144"/>
      <c r="AL290" s="144"/>
      <c r="AM290" s="144"/>
      <c r="AN290" s="144"/>
      <c r="AO290" s="144"/>
      <c r="AP290" s="146"/>
      <c r="AQ290" s="146"/>
      <c r="AR290" s="146"/>
      <c r="AS290" s="146"/>
      <c r="AT290" s="146"/>
      <c r="AU290" s="146"/>
      <c r="AV290" s="146"/>
      <c r="AW290" s="146"/>
      <c r="AX290" s="146"/>
      <c r="AY290" s="146"/>
      <c r="AZ290" s="146"/>
      <c r="BA290" s="146"/>
      <c r="BB290" s="146"/>
      <c r="BC290" s="146"/>
      <c r="BD290" s="146"/>
      <c r="BE290" s="146"/>
      <c r="BF290" s="146"/>
      <c r="BG290" s="146"/>
      <c r="BH290" s="146"/>
      <c r="BI290" s="146"/>
      <c r="BJ290" s="146"/>
      <c r="BK290" s="146"/>
      <c r="BL290" s="146"/>
      <c r="BM290" s="146"/>
      <c r="BN290" s="146"/>
      <c r="BO290" s="146"/>
      <c r="BP290" s="146"/>
      <c r="BQ290" s="146"/>
      <c r="BR290" s="146"/>
      <c r="BS290" s="146"/>
      <c r="BT290" s="146"/>
      <c r="BU290" s="146"/>
      <c r="BV290" s="146"/>
      <c r="BW290" s="146"/>
      <c r="BX290" s="146"/>
      <c r="BY290" s="146"/>
      <c r="BZ290" s="146"/>
      <c r="CA290" s="146"/>
      <c r="CB290" s="146"/>
      <c r="CC290" s="146"/>
      <c r="CD290" s="146"/>
      <c r="CE290" s="146"/>
      <c r="CF290" s="146"/>
      <c r="CG290" s="146"/>
      <c r="CH290" s="146"/>
      <c r="CI290" s="146"/>
      <c r="CJ290" s="146"/>
      <c r="CK290" s="146"/>
      <c r="CL290" s="146"/>
      <c r="CM290" s="146"/>
      <c r="CN290" s="146"/>
      <c r="CO290" s="146"/>
      <c r="CP290" s="146"/>
      <c r="CQ290" s="146"/>
      <c r="CR290" s="146"/>
      <c r="CS290" s="146"/>
      <c r="CT290" s="146"/>
      <c r="CU290" s="146"/>
      <c r="CV290" s="146"/>
      <c r="CW290" s="146"/>
      <c r="CX290" s="146"/>
      <c r="CY290" s="146"/>
      <c r="CZ290" s="146"/>
      <c r="DA290" s="146"/>
      <c r="DB290" s="146"/>
      <c r="DC290" s="146"/>
    </row>
    <row r="291" ht="15.75" customHeight="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c r="AE291" s="144"/>
      <c r="AF291" s="144"/>
      <c r="AG291" s="144"/>
      <c r="AH291" s="144"/>
      <c r="AI291" s="144"/>
      <c r="AJ291" s="144"/>
      <c r="AK291" s="144"/>
      <c r="AL291" s="144"/>
      <c r="AM291" s="144"/>
      <c r="AN291" s="144"/>
      <c r="AO291" s="144"/>
      <c r="AP291" s="146"/>
      <c r="AQ291" s="146"/>
      <c r="AR291" s="146"/>
      <c r="AS291" s="146"/>
      <c r="AT291" s="146"/>
      <c r="AU291" s="146"/>
      <c r="AV291" s="146"/>
      <c r="AW291" s="146"/>
      <c r="AX291" s="146"/>
      <c r="AY291" s="146"/>
      <c r="AZ291" s="146"/>
      <c r="BA291" s="146"/>
      <c r="BB291" s="146"/>
      <c r="BC291" s="146"/>
      <c r="BD291" s="146"/>
      <c r="BE291" s="146"/>
      <c r="BF291" s="146"/>
      <c r="BG291" s="146"/>
      <c r="BH291" s="146"/>
      <c r="BI291" s="146"/>
      <c r="BJ291" s="146"/>
      <c r="BK291" s="146"/>
      <c r="BL291" s="146"/>
      <c r="BM291" s="146"/>
      <c r="BN291" s="146"/>
      <c r="BO291" s="146"/>
      <c r="BP291" s="146"/>
      <c r="BQ291" s="146"/>
      <c r="BR291" s="146"/>
      <c r="BS291" s="146"/>
      <c r="BT291" s="146"/>
      <c r="BU291" s="146"/>
      <c r="BV291" s="146"/>
      <c r="BW291" s="146"/>
      <c r="BX291" s="146"/>
      <c r="BY291" s="146"/>
      <c r="BZ291" s="146"/>
      <c r="CA291" s="146"/>
      <c r="CB291" s="146"/>
      <c r="CC291" s="146"/>
      <c r="CD291" s="146"/>
      <c r="CE291" s="146"/>
      <c r="CF291" s="146"/>
      <c r="CG291" s="146"/>
      <c r="CH291" s="146"/>
      <c r="CI291" s="146"/>
      <c r="CJ291" s="146"/>
      <c r="CK291" s="146"/>
      <c r="CL291" s="146"/>
      <c r="CM291" s="146"/>
      <c r="CN291" s="146"/>
      <c r="CO291" s="146"/>
      <c r="CP291" s="146"/>
      <c r="CQ291" s="146"/>
      <c r="CR291" s="146"/>
      <c r="CS291" s="146"/>
      <c r="CT291" s="146"/>
      <c r="CU291" s="146"/>
      <c r="CV291" s="146"/>
      <c r="CW291" s="146"/>
      <c r="CX291" s="146"/>
      <c r="CY291" s="146"/>
      <c r="CZ291" s="146"/>
      <c r="DA291" s="146"/>
      <c r="DB291" s="146"/>
      <c r="DC291" s="146"/>
    </row>
    <row r="292" ht="15.75" customHeight="1">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c r="AA292" s="144"/>
      <c r="AB292" s="144"/>
      <c r="AC292" s="144"/>
      <c r="AD292" s="144"/>
      <c r="AE292" s="144"/>
      <c r="AF292" s="144"/>
      <c r="AG292" s="144"/>
      <c r="AH292" s="144"/>
      <c r="AI292" s="144"/>
      <c r="AJ292" s="144"/>
      <c r="AK292" s="144"/>
      <c r="AL292" s="144"/>
      <c r="AM292" s="144"/>
      <c r="AN292" s="144"/>
      <c r="AO292" s="144"/>
      <c r="AP292" s="146"/>
      <c r="AQ292" s="146"/>
      <c r="AR292" s="146"/>
      <c r="AS292" s="146"/>
      <c r="AT292" s="146"/>
      <c r="AU292" s="146"/>
      <c r="AV292" s="146"/>
      <c r="AW292" s="146"/>
      <c r="AX292" s="146"/>
      <c r="AY292" s="146"/>
      <c r="AZ292" s="146"/>
      <c r="BA292" s="146"/>
      <c r="BB292" s="146"/>
      <c r="BC292" s="146"/>
      <c r="BD292" s="146"/>
      <c r="BE292" s="146"/>
      <c r="BF292" s="146"/>
      <c r="BG292" s="146"/>
      <c r="BH292" s="146"/>
      <c r="BI292" s="146"/>
      <c r="BJ292" s="146"/>
      <c r="BK292" s="146"/>
      <c r="BL292" s="146"/>
      <c r="BM292" s="146"/>
      <c r="BN292" s="146"/>
      <c r="BO292" s="146"/>
      <c r="BP292" s="146"/>
      <c r="BQ292" s="146"/>
      <c r="BR292" s="146"/>
      <c r="BS292" s="146"/>
      <c r="BT292" s="146"/>
      <c r="BU292" s="146"/>
      <c r="BV292" s="146"/>
      <c r="BW292" s="146"/>
      <c r="BX292" s="146"/>
      <c r="BY292" s="146"/>
      <c r="BZ292" s="146"/>
      <c r="CA292" s="146"/>
      <c r="CB292" s="146"/>
      <c r="CC292" s="146"/>
      <c r="CD292" s="146"/>
      <c r="CE292" s="146"/>
      <c r="CF292" s="146"/>
      <c r="CG292" s="146"/>
      <c r="CH292" s="146"/>
      <c r="CI292" s="146"/>
      <c r="CJ292" s="146"/>
      <c r="CK292" s="146"/>
      <c r="CL292" s="146"/>
      <c r="CM292" s="146"/>
      <c r="CN292" s="146"/>
      <c r="CO292" s="146"/>
      <c r="CP292" s="146"/>
      <c r="CQ292" s="146"/>
      <c r="CR292" s="146"/>
      <c r="CS292" s="146"/>
      <c r="CT292" s="146"/>
      <c r="CU292" s="146"/>
      <c r="CV292" s="146"/>
      <c r="CW292" s="146"/>
      <c r="CX292" s="146"/>
      <c r="CY292" s="146"/>
      <c r="CZ292" s="146"/>
      <c r="DA292" s="146"/>
      <c r="DB292" s="146"/>
      <c r="DC292" s="146"/>
    </row>
    <row r="293" ht="15.75" customHeigh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c r="AE293" s="144"/>
      <c r="AF293" s="144"/>
      <c r="AG293" s="144"/>
      <c r="AH293" s="144"/>
      <c r="AI293" s="144"/>
      <c r="AJ293" s="144"/>
      <c r="AK293" s="144"/>
      <c r="AL293" s="144"/>
      <c r="AM293" s="144"/>
      <c r="AN293" s="144"/>
      <c r="AO293" s="144"/>
      <c r="AP293" s="146"/>
      <c r="AQ293" s="146"/>
      <c r="AR293" s="146"/>
      <c r="AS293" s="146"/>
      <c r="AT293" s="146"/>
      <c r="AU293" s="146"/>
      <c r="AV293" s="146"/>
      <c r="AW293" s="146"/>
      <c r="AX293" s="146"/>
      <c r="AY293" s="146"/>
      <c r="AZ293" s="146"/>
      <c r="BA293" s="146"/>
      <c r="BB293" s="146"/>
      <c r="BC293" s="146"/>
      <c r="BD293" s="146"/>
      <c r="BE293" s="146"/>
      <c r="BF293" s="146"/>
      <c r="BG293" s="146"/>
      <c r="BH293" s="146"/>
      <c r="BI293" s="146"/>
      <c r="BJ293" s="146"/>
      <c r="BK293" s="146"/>
      <c r="BL293" s="146"/>
      <c r="BM293" s="146"/>
      <c r="BN293" s="146"/>
      <c r="BO293" s="146"/>
      <c r="BP293" s="146"/>
      <c r="BQ293" s="146"/>
      <c r="BR293" s="146"/>
      <c r="BS293" s="146"/>
      <c r="BT293" s="146"/>
      <c r="BU293" s="146"/>
      <c r="BV293" s="146"/>
      <c r="BW293" s="146"/>
      <c r="BX293" s="146"/>
      <c r="BY293" s="146"/>
      <c r="BZ293" s="146"/>
      <c r="CA293" s="146"/>
      <c r="CB293" s="146"/>
      <c r="CC293" s="146"/>
      <c r="CD293" s="146"/>
      <c r="CE293" s="146"/>
      <c r="CF293" s="146"/>
      <c r="CG293" s="146"/>
      <c r="CH293" s="146"/>
      <c r="CI293" s="146"/>
      <c r="CJ293" s="146"/>
      <c r="CK293" s="146"/>
      <c r="CL293" s="146"/>
      <c r="CM293" s="146"/>
      <c r="CN293" s="146"/>
      <c r="CO293" s="146"/>
      <c r="CP293" s="146"/>
      <c r="CQ293" s="146"/>
      <c r="CR293" s="146"/>
      <c r="CS293" s="146"/>
      <c r="CT293" s="146"/>
      <c r="CU293" s="146"/>
      <c r="CV293" s="146"/>
      <c r="CW293" s="146"/>
      <c r="CX293" s="146"/>
      <c r="CY293" s="146"/>
      <c r="CZ293" s="146"/>
      <c r="DA293" s="146"/>
      <c r="DB293" s="146"/>
      <c r="DC293" s="146"/>
    </row>
    <row r="294" ht="15.75" customHeight="1">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c r="AA294" s="144"/>
      <c r="AB294" s="144"/>
      <c r="AC294" s="144"/>
      <c r="AD294" s="144"/>
      <c r="AE294" s="144"/>
      <c r="AF294" s="144"/>
      <c r="AG294" s="144"/>
      <c r="AH294" s="144"/>
      <c r="AI294" s="144"/>
      <c r="AJ294" s="144"/>
      <c r="AK294" s="144"/>
      <c r="AL294" s="144"/>
      <c r="AM294" s="144"/>
      <c r="AN294" s="144"/>
      <c r="AO294" s="144"/>
      <c r="AP294" s="146"/>
      <c r="AQ294" s="146"/>
      <c r="AR294" s="146"/>
      <c r="AS294" s="146"/>
      <c r="AT294" s="146"/>
      <c r="AU294" s="146"/>
      <c r="AV294" s="146"/>
      <c r="AW294" s="146"/>
      <c r="AX294" s="146"/>
      <c r="AY294" s="146"/>
      <c r="AZ294" s="146"/>
      <c r="BA294" s="146"/>
      <c r="BB294" s="146"/>
      <c r="BC294" s="146"/>
      <c r="BD294" s="146"/>
      <c r="BE294" s="146"/>
      <c r="BF294" s="146"/>
      <c r="BG294" s="146"/>
      <c r="BH294" s="146"/>
      <c r="BI294" s="146"/>
      <c r="BJ294" s="146"/>
      <c r="BK294" s="146"/>
      <c r="BL294" s="146"/>
      <c r="BM294" s="146"/>
      <c r="BN294" s="146"/>
      <c r="BO294" s="146"/>
      <c r="BP294" s="146"/>
      <c r="BQ294" s="146"/>
      <c r="BR294" s="146"/>
      <c r="BS294" s="146"/>
      <c r="BT294" s="146"/>
      <c r="BU294" s="146"/>
      <c r="BV294" s="146"/>
      <c r="BW294" s="146"/>
      <c r="BX294" s="146"/>
      <c r="BY294" s="146"/>
      <c r="BZ294" s="146"/>
      <c r="CA294" s="146"/>
      <c r="CB294" s="146"/>
      <c r="CC294" s="146"/>
      <c r="CD294" s="146"/>
      <c r="CE294" s="146"/>
      <c r="CF294" s="146"/>
      <c r="CG294" s="146"/>
      <c r="CH294" s="146"/>
      <c r="CI294" s="146"/>
      <c r="CJ294" s="146"/>
      <c r="CK294" s="146"/>
      <c r="CL294" s="146"/>
      <c r="CM294" s="146"/>
      <c r="CN294" s="146"/>
      <c r="CO294" s="146"/>
      <c r="CP294" s="146"/>
      <c r="CQ294" s="146"/>
      <c r="CR294" s="146"/>
      <c r="CS294" s="146"/>
      <c r="CT294" s="146"/>
      <c r="CU294" s="146"/>
      <c r="CV294" s="146"/>
      <c r="CW294" s="146"/>
      <c r="CX294" s="146"/>
      <c r="CY294" s="146"/>
      <c r="CZ294" s="146"/>
      <c r="DA294" s="146"/>
      <c r="DB294" s="146"/>
      <c r="DC294" s="146"/>
    </row>
    <row r="295" ht="15.75" customHeight="1">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c r="AA295" s="144"/>
      <c r="AB295" s="144"/>
      <c r="AC295" s="144"/>
      <c r="AD295" s="144"/>
      <c r="AE295" s="144"/>
      <c r="AF295" s="144"/>
      <c r="AG295" s="144"/>
      <c r="AH295" s="144"/>
      <c r="AI295" s="144"/>
      <c r="AJ295" s="144"/>
      <c r="AK295" s="144"/>
      <c r="AL295" s="144"/>
      <c r="AM295" s="144"/>
      <c r="AN295" s="144"/>
      <c r="AO295" s="144"/>
      <c r="AP295" s="146"/>
      <c r="AQ295" s="146"/>
      <c r="AR295" s="146"/>
      <c r="AS295" s="146"/>
      <c r="AT295" s="146"/>
      <c r="AU295" s="146"/>
      <c r="AV295" s="146"/>
      <c r="AW295" s="146"/>
      <c r="AX295" s="146"/>
      <c r="AY295" s="146"/>
      <c r="AZ295" s="146"/>
      <c r="BA295" s="146"/>
      <c r="BB295" s="146"/>
      <c r="BC295" s="146"/>
      <c r="BD295" s="146"/>
      <c r="BE295" s="146"/>
      <c r="BF295" s="146"/>
      <c r="BG295" s="146"/>
      <c r="BH295" s="146"/>
      <c r="BI295" s="146"/>
      <c r="BJ295" s="146"/>
      <c r="BK295" s="146"/>
      <c r="BL295" s="146"/>
      <c r="BM295" s="146"/>
      <c r="BN295" s="146"/>
      <c r="BO295" s="146"/>
      <c r="BP295" s="146"/>
      <c r="BQ295" s="146"/>
      <c r="BR295" s="146"/>
      <c r="BS295" s="146"/>
      <c r="BT295" s="146"/>
      <c r="BU295" s="146"/>
      <c r="BV295" s="146"/>
      <c r="BW295" s="146"/>
      <c r="BX295" s="146"/>
      <c r="BY295" s="146"/>
      <c r="BZ295" s="146"/>
      <c r="CA295" s="146"/>
      <c r="CB295" s="146"/>
      <c r="CC295" s="146"/>
      <c r="CD295" s="146"/>
      <c r="CE295" s="146"/>
      <c r="CF295" s="146"/>
      <c r="CG295" s="146"/>
      <c r="CH295" s="146"/>
      <c r="CI295" s="146"/>
      <c r="CJ295" s="146"/>
      <c r="CK295" s="146"/>
      <c r="CL295" s="146"/>
      <c r="CM295" s="146"/>
      <c r="CN295" s="146"/>
      <c r="CO295" s="146"/>
      <c r="CP295" s="146"/>
      <c r="CQ295" s="146"/>
      <c r="CR295" s="146"/>
      <c r="CS295" s="146"/>
      <c r="CT295" s="146"/>
      <c r="CU295" s="146"/>
      <c r="CV295" s="146"/>
      <c r="CW295" s="146"/>
      <c r="CX295" s="146"/>
      <c r="CY295" s="146"/>
      <c r="CZ295" s="146"/>
      <c r="DA295" s="146"/>
      <c r="DB295" s="146"/>
      <c r="DC295" s="146"/>
    </row>
    <row r="296" ht="15.75" customHeight="1">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c r="AE296" s="144"/>
      <c r="AF296" s="144"/>
      <c r="AG296" s="144"/>
      <c r="AH296" s="144"/>
      <c r="AI296" s="144"/>
      <c r="AJ296" s="144"/>
      <c r="AK296" s="144"/>
      <c r="AL296" s="144"/>
      <c r="AM296" s="144"/>
      <c r="AN296" s="144"/>
      <c r="AO296" s="144"/>
      <c r="AP296" s="146"/>
      <c r="AQ296" s="146"/>
      <c r="AR296" s="146"/>
      <c r="AS296" s="146"/>
      <c r="AT296" s="146"/>
      <c r="AU296" s="146"/>
      <c r="AV296" s="146"/>
      <c r="AW296" s="146"/>
      <c r="AX296" s="146"/>
      <c r="AY296" s="146"/>
      <c r="AZ296" s="146"/>
      <c r="BA296" s="146"/>
      <c r="BB296" s="146"/>
      <c r="BC296" s="146"/>
      <c r="BD296" s="146"/>
      <c r="BE296" s="146"/>
      <c r="BF296" s="146"/>
      <c r="BG296" s="146"/>
      <c r="BH296" s="146"/>
      <c r="BI296" s="146"/>
      <c r="BJ296" s="146"/>
      <c r="BK296" s="146"/>
      <c r="BL296" s="146"/>
      <c r="BM296" s="146"/>
      <c r="BN296" s="146"/>
      <c r="BO296" s="146"/>
      <c r="BP296" s="146"/>
      <c r="BQ296" s="146"/>
      <c r="BR296" s="146"/>
      <c r="BS296" s="146"/>
      <c r="BT296" s="146"/>
      <c r="BU296" s="146"/>
      <c r="BV296" s="146"/>
      <c r="BW296" s="146"/>
      <c r="BX296" s="146"/>
      <c r="BY296" s="146"/>
      <c r="BZ296" s="146"/>
      <c r="CA296" s="146"/>
      <c r="CB296" s="146"/>
      <c r="CC296" s="146"/>
      <c r="CD296" s="146"/>
      <c r="CE296" s="146"/>
      <c r="CF296" s="146"/>
      <c r="CG296" s="146"/>
      <c r="CH296" s="146"/>
      <c r="CI296" s="146"/>
      <c r="CJ296" s="146"/>
      <c r="CK296" s="146"/>
      <c r="CL296" s="146"/>
      <c r="CM296" s="146"/>
      <c r="CN296" s="146"/>
      <c r="CO296" s="146"/>
      <c r="CP296" s="146"/>
      <c r="CQ296" s="146"/>
      <c r="CR296" s="146"/>
      <c r="CS296" s="146"/>
      <c r="CT296" s="146"/>
      <c r="CU296" s="146"/>
      <c r="CV296" s="146"/>
      <c r="CW296" s="146"/>
      <c r="CX296" s="146"/>
      <c r="CY296" s="146"/>
      <c r="CZ296" s="146"/>
      <c r="DA296" s="146"/>
      <c r="DB296" s="146"/>
      <c r="DC296" s="146"/>
    </row>
    <row r="297" ht="15.75" customHeight="1">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c r="AE297" s="144"/>
      <c r="AF297" s="144"/>
      <c r="AG297" s="144"/>
      <c r="AH297" s="144"/>
      <c r="AI297" s="144"/>
      <c r="AJ297" s="144"/>
      <c r="AK297" s="144"/>
      <c r="AL297" s="144"/>
      <c r="AM297" s="144"/>
      <c r="AN297" s="144"/>
      <c r="AO297" s="144"/>
      <c r="AP297" s="146"/>
      <c r="AQ297" s="146"/>
      <c r="AR297" s="146"/>
      <c r="AS297" s="146"/>
      <c r="AT297" s="146"/>
      <c r="AU297" s="146"/>
      <c r="AV297" s="146"/>
      <c r="AW297" s="146"/>
      <c r="AX297" s="146"/>
      <c r="AY297" s="146"/>
      <c r="AZ297" s="146"/>
      <c r="BA297" s="146"/>
      <c r="BB297" s="146"/>
      <c r="BC297" s="146"/>
      <c r="BD297" s="146"/>
      <c r="BE297" s="146"/>
      <c r="BF297" s="146"/>
      <c r="BG297" s="146"/>
      <c r="BH297" s="146"/>
      <c r="BI297" s="146"/>
      <c r="BJ297" s="146"/>
      <c r="BK297" s="146"/>
      <c r="BL297" s="146"/>
      <c r="BM297" s="146"/>
      <c r="BN297" s="146"/>
      <c r="BO297" s="146"/>
      <c r="BP297" s="146"/>
      <c r="BQ297" s="146"/>
      <c r="BR297" s="146"/>
      <c r="BS297" s="146"/>
      <c r="BT297" s="146"/>
      <c r="BU297" s="146"/>
      <c r="BV297" s="146"/>
      <c r="BW297" s="146"/>
      <c r="BX297" s="146"/>
      <c r="BY297" s="146"/>
      <c r="BZ297" s="146"/>
      <c r="CA297" s="146"/>
      <c r="CB297" s="146"/>
      <c r="CC297" s="146"/>
      <c r="CD297" s="146"/>
      <c r="CE297" s="146"/>
      <c r="CF297" s="146"/>
      <c r="CG297" s="146"/>
      <c r="CH297" s="146"/>
      <c r="CI297" s="146"/>
      <c r="CJ297" s="146"/>
      <c r="CK297" s="146"/>
      <c r="CL297" s="146"/>
      <c r="CM297" s="146"/>
      <c r="CN297" s="146"/>
      <c r="CO297" s="146"/>
      <c r="CP297" s="146"/>
      <c r="CQ297" s="146"/>
      <c r="CR297" s="146"/>
      <c r="CS297" s="146"/>
      <c r="CT297" s="146"/>
      <c r="CU297" s="146"/>
      <c r="CV297" s="146"/>
      <c r="CW297" s="146"/>
      <c r="CX297" s="146"/>
      <c r="CY297" s="146"/>
      <c r="CZ297" s="146"/>
      <c r="DA297" s="146"/>
      <c r="DB297" s="146"/>
      <c r="DC297" s="146"/>
    </row>
    <row r="298" ht="15.75" customHeight="1">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c r="AE298" s="144"/>
      <c r="AF298" s="144"/>
      <c r="AG298" s="144"/>
      <c r="AH298" s="144"/>
      <c r="AI298" s="144"/>
      <c r="AJ298" s="144"/>
      <c r="AK298" s="144"/>
      <c r="AL298" s="144"/>
      <c r="AM298" s="144"/>
      <c r="AN298" s="144"/>
      <c r="AO298" s="144"/>
      <c r="AP298" s="146"/>
      <c r="AQ298" s="146"/>
      <c r="AR298" s="146"/>
      <c r="AS298" s="146"/>
      <c r="AT298" s="146"/>
      <c r="AU298" s="146"/>
      <c r="AV298" s="146"/>
      <c r="AW298" s="146"/>
      <c r="AX298" s="146"/>
      <c r="AY298" s="146"/>
      <c r="AZ298" s="146"/>
      <c r="BA298" s="146"/>
      <c r="BB298" s="146"/>
      <c r="BC298" s="146"/>
      <c r="BD298" s="146"/>
      <c r="BE298" s="146"/>
      <c r="BF298" s="146"/>
      <c r="BG298" s="146"/>
      <c r="BH298" s="146"/>
      <c r="BI298" s="146"/>
      <c r="BJ298" s="146"/>
      <c r="BK298" s="146"/>
      <c r="BL298" s="146"/>
      <c r="BM298" s="146"/>
      <c r="BN298" s="146"/>
      <c r="BO298" s="146"/>
      <c r="BP298" s="146"/>
      <c r="BQ298" s="146"/>
      <c r="BR298" s="146"/>
      <c r="BS298" s="146"/>
      <c r="BT298" s="146"/>
      <c r="BU298" s="146"/>
      <c r="BV298" s="146"/>
      <c r="BW298" s="146"/>
      <c r="BX298" s="146"/>
      <c r="BY298" s="146"/>
      <c r="BZ298" s="146"/>
      <c r="CA298" s="146"/>
      <c r="CB298" s="146"/>
      <c r="CC298" s="146"/>
      <c r="CD298" s="146"/>
      <c r="CE298" s="146"/>
      <c r="CF298" s="146"/>
      <c r="CG298" s="146"/>
      <c r="CH298" s="146"/>
      <c r="CI298" s="146"/>
      <c r="CJ298" s="146"/>
      <c r="CK298" s="146"/>
      <c r="CL298" s="146"/>
      <c r="CM298" s="146"/>
      <c r="CN298" s="146"/>
      <c r="CO298" s="146"/>
      <c r="CP298" s="146"/>
      <c r="CQ298" s="146"/>
      <c r="CR298" s="146"/>
      <c r="CS298" s="146"/>
      <c r="CT298" s="146"/>
      <c r="CU298" s="146"/>
      <c r="CV298" s="146"/>
      <c r="CW298" s="146"/>
      <c r="CX298" s="146"/>
      <c r="CY298" s="146"/>
      <c r="CZ298" s="146"/>
      <c r="DA298" s="146"/>
      <c r="DB298" s="146"/>
      <c r="DC298" s="146"/>
    </row>
    <row r="299" ht="15.75" customHeight="1">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c r="AE299" s="144"/>
      <c r="AF299" s="144"/>
      <c r="AG299" s="144"/>
      <c r="AH299" s="144"/>
      <c r="AI299" s="144"/>
      <c r="AJ299" s="144"/>
      <c r="AK299" s="144"/>
      <c r="AL299" s="144"/>
      <c r="AM299" s="144"/>
      <c r="AN299" s="144"/>
      <c r="AO299" s="144"/>
      <c r="AP299" s="146"/>
      <c r="AQ299" s="146"/>
      <c r="AR299" s="146"/>
      <c r="AS299" s="146"/>
      <c r="AT299" s="146"/>
      <c r="AU299" s="146"/>
      <c r="AV299" s="146"/>
      <c r="AW299" s="146"/>
      <c r="AX299" s="146"/>
      <c r="AY299" s="146"/>
      <c r="AZ299" s="146"/>
      <c r="BA299" s="146"/>
      <c r="BB299" s="146"/>
      <c r="BC299" s="146"/>
      <c r="BD299" s="146"/>
      <c r="BE299" s="146"/>
      <c r="BF299" s="146"/>
      <c r="BG299" s="146"/>
      <c r="BH299" s="146"/>
      <c r="BI299" s="146"/>
      <c r="BJ299" s="146"/>
      <c r="BK299" s="146"/>
      <c r="BL299" s="146"/>
      <c r="BM299" s="146"/>
      <c r="BN299" s="146"/>
      <c r="BO299" s="146"/>
      <c r="BP299" s="146"/>
      <c r="BQ299" s="146"/>
      <c r="BR299" s="146"/>
      <c r="BS299" s="146"/>
      <c r="BT299" s="146"/>
      <c r="BU299" s="146"/>
      <c r="BV299" s="146"/>
      <c r="BW299" s="146"/>
      <c r="BX299" s="146"/>
      <c r="BY299" s="146"/>
      <c r="BZ299" s="146"/>
      <c r="CA299" s="146"/>
      <c r="CB299" s="146"/>
      <c r="CC299" s="146"/>
      <c r="CD299" s="146"/>
      <c r="CE299" s="146"/>
      <c r="CF299" s="146"/>
      <c r="CG299" s="146"/>
      <c r="CH299" s="146"/>
      <c r="CI299" s="146"/>
      <c r="CJ299" s="146"/>
      <c r="CK299" s="146"/>
      <c r="CL299" s="146"/>
      <c r="CM299" s="146"/>
      <c r="CN299" s="146"/>
      <c r="CO299" s="146"/>
      <c r="CP299" s="146"/>
      <c r="CQ299" s="146"/>
      <c r="CR299" s="146"/>
      <c r="CS299" s="146"/>
      <c r="CT299" s="146"/>
      <c r="CU299" s="146"/>
      <c r="CV299" s="146"/>
      <c r="CW299" s="146"/>
      <c r="CX299" s="146"/>
      <c r="CY299" s="146"/>
      <c r="CZ299" s="146"/>
      <c r="DA299" s="146"/>
      <c r="DB299" s="146"/>
      <c r="DC299" s="146"/>
    </row>
    <row r="300" ht="15.75" customHeight="1">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c r="AE300" s="144"/>
      <c r="AF300" s="144"/>
      <c r="AG300" s="144"/>
      <c r="AH300" s="144"/>
      <c r="AI300" s="144"/>
      <c r="AJ300" s="144"/>
      <c r="AK300" s="144"/>
      <c r="AL300" s="144"/>
      <c r="AM300" s="144"/>
      <c r="AN300" s="144"/>
      <c r="AO300" s="144"/>
      <c r="AP300" s="146"/>
      <c r="AQ300" s="146"/>
      <c r="AR300" s="146"/>
      <c r="AS300" s="146"/>
      <c r="AT300" s="146"/>
      <c r="AU300" s="146"/>
      <c r="AV300" s="146"/>
      <c r="AW300" s="146"/>
      <c r="AX300" s="146"/>
      <c r="AY300" s="146"/>
      <c r="AZ300" s="146"/>
      <c r="BA300" s="146"/>
      <c r="BB300" s="146"/>
      <c r="BC300" s="146"/>
      <c r="BD300" s="146"/>
      <c r="BE300" s="146"/>
      <c r="BF300" s="146"/>
      <c r="BG300" s="146"/>
      <c r="BH300" s="146"/>
      <c r="BI300" s="146"/>
      <c r="BJ300" s="146"/>
      <c r="BK300" s="146"/>
      <c r="BL300" s="146"/>
      <c r="BM300" s="146"/>
      <c r="BN300" s="146"/>
      <c r="BO300" s="146"/>
      <c r="BP300" s="146"/>
      <c r="BQ300" s="146"/>
      <c r="BR300" s="146"/>
      <c r="BS300" s="146"/>
      <c r="BT300" s="146"/>
      <c r="BU300" s="146"/>
      <c r="BV300" s="146"/>
      <c r="BW300" s="146"/>
      <c r="BX300" s="146"/>
      <c r="BY300" s="146"/>
      <c r="BZ300" s="146"/>
      <c r="CA300" s="146"/>
      <c r="CB300" s="146"/>
      <c r="CC300" s="146"/>
      <c r="CD300" s="146"/>
      <c r="CE300" s="146"/>
      <c r="CF300" s="146"/>
      <c r="CG300" s="146"/>
      <c r="CH300" s="146"/>
      <c r="CI300" s="146"/>
      <c r="CJ300" s="146"/>
      <c r="CK300" s="146"/>
      <c r="CL300" s="146"/>
      <c r="CM300" s="146"/>
      <c r="CN300" s="146"/>
      <c r="CO300" s="146"/>
      <c r="CP300" s="146"/>
      <c r="CQ300" s="146"/>
      <c r="CR300" s="146"/>
      <c r="CS300" s="146"/>
      <c r="CT300" s="146"/>
      <c r="CU300" s="146"/>
      <c r="CV300" s="146"/>
      <c r="CW300" s="146"/>
      <c r="CX300" s="146"/>
      <c r="CY300" s="146"/>
      <c r="CZ300" s="146"/>
      <c r="DA300" s="146"/>
      <c r="DB300" s="146"/>
      <c r="DC300" s="146"/>
    </row>
    <row r="301" ht="15.75" customHeight="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c r="AF301" s="144"/>
      <c r="AG301" s="144"/>
      <c r="AH301" s="144"/>
      <c r="AI301" s="144"/>
      <c r="AJ301" s="144"/>
      <c r="AK301" s="144"/>
      <c r="AL301" s="144"/>
      <c r="AM301" s="144"/>
      <c r="AN301" s="144"/>
      <c r="AO301" s="144"/>
      <c r="AP301" s="146"/>
      <c r="AQ301" s="146"/>
      <c r="AR301" s="146"/>
      <c r="AS301" s="146"/>
      <c r="AT301" s="146"/>
      <c r="AU301" s="146"/>
      <c r="AV301" s="146"/>
      <c r="AW301" s="146"/>
      <c r="AX301" s="146"/>
      <c r="AY301" s="146"/>
      <c r="AZ301" s="146"/>
      <c r="BA301" s="146"/>
      <c r="BB301" s="146"/>
      <c r="BC301" s="146"/>
      <c r="BD301" s="146"/>
      <c r="BE301" s="146"/>
      <c r="BF301" s="146"/>
      <c r="BG301" s="146"/>
      <c r="BH301" s="146"/>
      <c r="BI301" s="146"/>
      <c r="BJ301" s="146"/>
      <c r="BK301" s="146"/>
      <c r="BL301" s="146"/>
      <c r="BM301" s="146"/>
      <c r="BN301" s="146"/>
      <c r="BO301" s="146"/>
      <c r="BP301" s="146"/>
      <c r="BQ301" s="146"/>
      <c r="BR301" s="146"/>
      <c r="BS301" s="146"/>
      <c r="BT301" s="146"/>
      <c r="BU301" s="146"/>
      <c r="BV301" s="146"/>
      <c r="BW301" s="146"/>
      <c r="BX301" s="146"/>
      <c r="BY301" s="146"/>
      <c r="BZ301" s="146"/>
      <c r="CA301" s="146"/>
      <c r="CB301" s="146"/>
      <c r="CC301" s="146"/>
      <c r="CD301" s="146"/>
      <c r="CE301" s="146"/>
      <c r="CF301" s="146"/>
      <c r="CG301" s="146"/>
      <c r="CH301" s="146"/>
      <c r="CI301" s="146"/>
      <c r="CJ301" s="146"/>
      <c r="CK301" s="146"/>
      <c r="CL301" s="146"/>
      <c r="CM301" s="146"/>
      <c r="CN301" s="146"/>
      <c r="CO301" s="146"/>
      <c r="CP301" s="146"/>
      <c r="CQ301" s="146"/>
      <c r="CR301" s="146"/>
      <c r="CS301" s="146"/>
      <c r="CT301" s="146"/>
      <c r="CU301" s="146"/>
      <c r="CV301" s="146"/>
      <c r="CW301" s="146"/>
      <c r="CX301" s="146"/>
      <c r="CY301" s="146"/>
      <c r="CZ301" s="146"/>
      <c r="DA301" s="146"/>
      <c r="DB301" s="146"/>
      <c r="DC301" s="146"/>
    </row>
    <row r="302" ht="15.75" customHeight="1">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c r="AF302" s="144"/>
      <c r="AG302" s="144"/>
      <c r="AH302" s="144"/>
      <c r="AI302" s="144"/>
      <c r="AJ302" s="144"/>
      <c r="AK302" s="144"/>
      <c r="AL302" s="144"/>
      <c r="AM302" s="144"/>
      <c r="AN302" s="144"/>
      <c r="AO302" s="144"/>
      <c r="AP302" s="146"/>
      <c r="AQ302" s="146"/>
      <c r="AR302" s="146"/>
      <c r="AS302" s="146"/>
      <c r="AT302" s="146"/>
      <c r="AU302" s="146"/>
      <c r="AV302" s="146"/>
      <c r="AW302" s="146"/>
      <c r="AX302" s="146"/>
      <c r="AY302" s="146"/>
      <c r="AZ302" s="146"/>
      <c r="BA302" s="146"/>
      <c r="BB302" s="146"/>
      <c r="BC302" s="146"/>
      <c r="BD302" s="146"/>
      <c r="BE302" s="146"/>
      <c r="BF302" s="146"/>
      <c r="BG302" s="146"/>
      <c r="BH302" s="146"/>
      <c r="BI302" s="146"/>
      <c r="BJ302" s="146"/>
      <c r="BK302" s="146"/>
      <c r="BL302" s="146"/>
      <c r="BM302" s="146"/>
      <c r="BN302" s="146"/>
      <c r="BO302" s="146"/>
      <c r="BP302" s="146"/>
      <c r="BQ302" s="146"/>
      <c r="BR302" s="146"/>
      <c r="BS302" s="146"/>
      <c r="BT302" s="146"/>
      <c r="BU302" s="146"/>
      <c r="BV302" s="146"/>
      <c r="BW302" s="146"/>
      <c r="BX302" s="146"/>
      <c r="BY302" s="146"/>
      <c r="BZ302" s="146"/>
      <c r="CA302" s="146"/>
      <c r="CB302" s="146"/>
      <c r="CC302" s="146"/>
      <c r="CD302" s="146"/>
      <c r="CE302" s="146"/>
      <c r="CF302" s="146"/>
      <c r="CG302" s="146"/>
      <c r="CH302" s="146"/>
      <c r="CI302" s="146"/>
      <c r="CJ302" s="146"/>
      <c r="CK302" s="146"/>
      <c r="CL302" s="146"/>
      <c r="CM302" s="146"/>
      <c r="CN302" s="146"/>
      <c r="CO302" s="146"/>
      <c r="CP302" s="146"/>
      <c r="CQ302" s="146"/>
      <c r="CR302" s="146"/>
      <c r="CS302" s="146"/>
      <c r="CT302" s="146"/>
      <c r="CU302" s="146"/>
      <c r="CV302" s="146"/>
      <c r="CW302" s="146"/>
      <c r="CX302" s="146"/>
      <c r="CY302" s="146"/>
      <c r="CZ302" s="146"/>
      <c r="DA302" s="146"/>
      <c r="DB302" s="146"/>
      <c r="DC302" s="146"/>
    </row>
    <row r="303" ht="15.75" customHeight="1">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c r="AF303" s="144"/>
      <c r="AG303" s="144"/>
      <c r="AH303" s="144"/>
      <c r="AI303" s="144"/>
      <c r="AJ303" s="144"/>
      <c r="AK303" s="144"/>
      <c r="AL303" s="144"/>
      <c r="AM303" s="144"/>
      <c r="AN303" s="144"/>
      <c r="AO303" s="144"/>
      <c r="AP303" s="146"/>
      <c r="AQ303" s="146"/>
      <c r="AR303" s="146"/>
      <c r="AS303" s="146"/>
      <c r="AT303" s="146"/>
      <c r="AU303" s="146"/>
      <c r="AV303" s="146"/>
      <c r="AW303" s="146"/>
      <c r="AX303" s="146"/>
      <c r="AY303" s="146"/>
      <c r="AZ303" s="146"/>
      <c r="BA303" s="146"/>
      <c r="BB303" s="146"/>
      <c r="BC303" s="146"/>
      <c r="BD303" s="146"/>
      <c r="BE303" s="146"/>
      <c r="BF303" s="146"/>
      <c r="BG303" s="146"/>
      <c r="BH303" s="146"/>
      <c r="BI303" s="146"/>
      <c r="BJ303" s="146"/>
      <c r="BK303" s="146"/>
      <c r="BL303" s="146"/>
      <c r="BM303" s="146"/>
      <c r="BN303" s="146"/>
      <c r="BO303" s="146"/>
      <c r="BP303" s="146"/>
      <c r="BQ303" s="146"/>
      <c r="BR303" s="146"/>
      <c r="BS303" s="146"/>
      <c r="BT303" s="146"/>
      <c r="BU303" s="146"/>
      <c r="BV303" s="146"/>
      <c r="BW303" s="146"/>
      <c r="BX303" s="146"/>
      <c r="BY303" s="146"/>
      <c r="BZ303" s="146"/>
      <c r="CA303" s="146"/>
      <c r="CB303" s="146"/>
      <c r="CC303" s="146"/>
      <c r="CD303" s="146"/>
      <c r="CE303" s="146"/>
      <c r="CF303" s="146"/>
      <c r="CG303" s="146"/>
      <c r="CH303" s="146"/>
      <c r="CI303" s="146"/>
      <c r="CJ303" s="146"/>
      <c r="CK303" s="146"/>
      <c r="CL303" s="146"/>
      <c r="CM303" s="146"/>
      <c r="CN303" s="146"/>
      <c r="CO303" s="146"/>
      <c r="CP303" s="146"/>
      <c r="CQ303" s="146"/>
      <c r="CR303" s="146"/>
      <c r="CS303" s="146"/>
      <c r="CT303" s="146"/>
      <c r="CU303" s="146"/>
      <c r="CV303" s="146"/>
      <c r="CW303" s="146"/>
      <c r="CX303" s="146"/>
      <c r="CY303" s="146"/>
      <c r="CZ303" s="146"/>
      <c r="DA303" s="146"/>
      <c r="DB303" s="146"/>
      <c r="DC303" s="146"/>
    </row>
    <row r="304" ht="15.75" customHeight="1">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c r="AA304" s="144"/>
      <c r="AB304" s="144"/>
      <c r="AC304" s="144"/>
      <c r="AD304" s="144"/>
      <c r="AE304" s="144"/>
      <c r="AF304" s="144"/>
      <c r="AG304" s="144"/>
      <c r="AH304" s="144"/>
      <c r="AI304" s="144"/>
      <c r="AJ304" s="144"/>
      <c r="AK304" s="144"/>
      <c r="AL304" s="144"/>
      <c r="AM304" s="144"/>
      <c r="AN304" s="144"/>
      <c r="AO304" s="144"/>
      <c r="AP304" s="146"/>
      <c r="AQ304" s="146"/>
      <c r="AR304" s="146"/>
      <c r="AS304" s="146"/>
      <c r="AT304" s="146"/>
      <c r="AU304" s="146"/>
      <c r="AV304" s="146"/>
      <c r="AW304" s="146"/>
      <c r="AX304" s="146"/>
      <c r="AY304" s="146"/>
      <c r="AZ304" s="146"/>
      <c r="BA304" s="146"/>
      <c r="BB304" s="146"/>
      <c r="BC304" s="146"/>
      <c r="BD304" s="146"/>
      <c r="BE304" s="146"/>
      <c r="BF304" s="146"/>
      <c r="BG304" s="146"/>
      <c r="BH304" s="146"/>
      <c r="BI304" s="146"/>
      <c r="BJ304" s="146"/>
      <c r="BK304" s="146"/>
      <c r="BL304" s="146"/>
      <c r="BM304" s="146"/>
      <c r="BN304" s="146"/>
      <c r="BO304" s="146"/>
      <c r="BP304" s="146"/>
      <c r="BQ304" s="146"/>
      <c r="BR304" s="146"/>
      <c r="BS304" s="146"/>
      <c r="BT304" s="146"/>
      <c r="BU304" s="146"/>
      <c r="BV304" s="146"/>
      <c r="BW304" s="146"/>
      <c r="BX304" s="146"/>
      <c r="BY304" s="146"/>
      <c r="BZ304" s="146"/>
      <c r="CA304" s="146"/>
      <c r="CB304" s="146"/>
      <c r="CC304" s="146"/>
      <c r="CD304" s="146"/>
      <c r="CE304" s="146"/>
      <c r="CF304" s="146"/>
      <c r="CG304" s="146"/>
      <c r="CH304" s="146"/>
      <c r="CI304" s="146"/>
      <c r="CJ304" s="146"/>
      <c r="CK304" s="146"/>
      <c r="CL304" s="146"/>
      <c r="CM304" s="146"/>
      <c r="CN304" s="146"/>
      <c r="CO304" s="146"/>
      <c r="CP304" s="146"/>
      <c r="CQ304" s="146"/>
      <c r="CR304" s="146"/>
      <c r="CS304" s="146"/>
      <c r="CT304" s="146"/>
      <c r="CU304" s="146"/>
      <c r="CV304" s="146"/>
      <c r="CW304" s="146"/>
      <c r="CX304" s="146"/>
      <c r="CY304" s="146"/>
      <c r="CZ304" s="146"/>
      <c r="DA304" s="146"/>
      <c r="DB304" s="146"/>
      <c r="DC304" s="146"/>
    </row>
    <row r="305" ht="15.75" customHeight="1">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c r="AE305" s="144"/>
      <c r="AF305" s="144"/>
      <c r="AG305" s="144"/>
      <c r="AH305" s="144"/>
      <c r="AI305" s="144"/>
      <c r="AJ305" s="144"/>
      <c r="AK305" s="144"/>
      <c r="AL305" s="144"/>
      <c r="AM305" s="144"/>
      <c r="AN305" s="144"/>
      <c r="AO305" s="144"/>
      <c r="AP305" s="146"/>
      <c r="AQ305" s="146"/>
      <c r="AR305" s="146"/>
      <c r="AS305" s="146"/>
      <c r="AT305" s="146"/>
      <c r="AU305" s="146"/>
      <c r="AV305" s="146"/>
      <c r="AW305" s="146"/>
      <c r="AX305" s="146"/>
      <c r="AY305" s="146"/>
      <c r="AZ305" s="146"/>
      <c r="BA305" s="146"/>
      <c r="BB305" s="146"/>
      <c r="BC305" s="146"/>
      <c r="BD305" s="146"/>
      <c r="BE305" s="146"/>
      <c r="BF305" s="146"/>
      <c r="BG305" s="146"/>
      <c r="BH305" s="146"/>
      <c r="BI305" s="146"/>
      <c r="BJ305" s="146"/>
      <c r="BK305" s="146"/>
      <c r="BL305" s="146"/>
      <c r="BM305" s="146"/>
      <c r="BN305" s="146"/>
      <c r="BO305" s="146"/>
      <c r="BP305" s="146"/>
      <c r="BQ305" s="146"/>
      <c r="BR305" s="146"/>
      <c r="BS305" s="146"/>
      <c r="BT305" s="146"/>
      <c r="BU305" s="146"/>
      <c r="BV305" s="146"/>
      <c r="BW305" s="146"/>
      <c r="BX305" s="146"/>
      <c r="BY305" s="146"/>
      <c r="BZ305" s="146"/>
      <c r="CA305" s="146"/>
      <c r="CB305" s="146"/>
      <c r="CC305" s="146"/>
      <c r="CD305" s="146"/>
      <c r="CE305" s="146"/>
      <c r="CF305" s="146"/>
      <c r="CG305" s="146"/>
      <c r="CH305" s="146"/>
      <c r="CI305" s="146"/>
      <c r="CJ305" s="146"/>
      <c r="CK305" s="146"/>
      <c r="CL305" s="146"/>
      <c r="CM305" s="146"/>
      <c r="CN305" s="146"/>
      <c r="CO305" s="146"/>
      <c r="CP305" s="146"/>
      <c r="CQ305" s="146"/>
      <c r="CR305" s="146"/>
      <c r="CS305" s="146"/>
      <c r="CT305" s="146"/>
      <c r="CU305" s="146"/>
      <c r="CV305" s="146"/>
      <c r="CW305" s="146"/>
      <c r="CX305" s="146"/>
      <c r="CY305" s="146"/>
      <c r="CZ305" s="146"/>
      <c r="DA305" s="146"/>
      <c r="DB305" s="146"/>
      <c r="DC305" s="146"/>
    </row>
    <row r="306" ht="15.75" customHeight="1">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c r="AA306" s="144"/>
      <c r="AB306" s="144"/>
      <c r="AC306" s="144"/>
      <c r="AD306" s="144"/>
      <c r="AE306" s="144"/>
      <c r="AF306" s="144"/>
      <c r="AG306" s="144"/>
      <c r="AH306" s="144"/>
      <c r="AI306" s="144"/>
      <c r="AJ306" s="144"/>
      <c r="AK306" s="144"/>
      <c r="AL306" s="144"/>
      <c r="AM306" s="144"/>
      <c r="AN306" s="144"/>
      <c r="AO306" s="144"/>
      <c r="AP306" s="146"/>
      <c r="AQ306" s="146"/>
      <c r="AR306" s="146"/>
      <c r="AS306" s="146"/>
      <c r="AT306" s="146"/>
      <c r="AU306" s="146"/>
      <c r="AV306" s="146"/>
      <c r="AW306" s="146"/>
      <c r="AX306" s="146"/>
      <c r="AY306" s="146"/>
      <c r="AZ306" s="146"/>
      <c r="BA306" s="146"/>
      <c r="BB306" s="146"/>
      <c r="BC306" s="146"/>
      <c r="BD306" s="146"/>
      <c r="BE306" s="146"/>
      <c r="BF306" s="146"/>
      <c r="BG306" s="146"/>
      <c r="BH306" s="146"/>
      <c r="BI306" s="146"/>
      <c r="BJ306" s="146"/>
      <c r="BK306" s="146"/>
      <c r="BL306" s="146"/>
      <c r="BM306" s="146"/>
      <c r="BN306" s="146"/>
      <c r="BO306" s="146"/>
      <c r="BP306" s="146"/>
      <c r="BQ306" s="146"/>
      <c r="BR306" s="146"/>
      <c r="BS306" s="146"/>
      <c r="BT306" s="146"/>
      <c r="BU306" s="146"/>
      <c r="BV306" s="146"/>
      <c r="BW306" s="146"/>
      <c r="BX306" s="146"/>
      <c r="BY306" s="146"/>
      <c r="BZ306" s="146"/>
      <c r="CA306" s="146"/>
      <c r="CB306" s="146"/>
      <c r="CC306" s="146"/>
      <c r="CD306" s="146"/>
      <c r="CE306" s="146"/>
      <c r="CF306" s="146"/>
      <c r="CG306" s="146"/>
      <c r="CH306" s="146"/>
      <c r="CI306" s="146"/>
      <c r="CJ306" s="146"/>
      <c r="CK306" s="146"/>
      <c r="CL306" s="146"/>
      <c r="CM306" s="146"/>
      <c r="CN306" s="146"/>
      <c r="CO306" s="146"/>
      <c r="CP306" s="146"/>
      <c r="CQ306" s="146"/>
      <c r="CR306" s="146"/>
      <c r="CS306" s="146"/>
      <c r="CT306" s="146"/>
      <c r="CU306" s="146"/>
      <c r="CV306" s="146"/>
      <c r="CW306" s="146"/>
      <c r="CX306" s="146"/>
      <c r="CY306" s="146"/>
      <c r="CZ306" s="146"/>
      <c r="DA306" s="146"/>
      <c r="DB306" s="146"/>
      <c r="DC306" s="146"/>
    </row>
    <row r="307" ht="15.75" customHeight="1">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c r="AA307" s="144"/>
      <c r="AB307" s="144"/>
      <c r="AC307" s="144"/>
      <c r="AD307" s="144"/>
      <c r="AE307" s="144"/>
      <c r="AF307" s="144"/>
      <c r="AG307" s="144"/>
      <c r="AH307" s="144"/>
      <c r="AI307" s="144"/>
      <c r="AJ307" s="144"/>
      <c r="AK307" s="144"/>
      <c r="AL307" s="144"/>
      <c r="AM307" s="144"/>
      <c r="AN307" s="144"/>
      <c r="AO307" s="144"/>
      <c r="AP307" s="146"/>
      <c r="AQ307" s="146"/>
      <c r="AR307" s="146"/>
      <c r="AS307" s="146"/>
      <c r="AT307" s="146"/>
      <c r="AU307" s="146"/>
      <c r="AV307" s="146"/>
      <c r="AW307" s="146"/>
      <c r="AX307" s="146"/>
      <c r="AY307" s="146"/>
      <c r="AZ307" s="146"/>
      <c r="BA307" s="146"/>
      <c r="BB307" s="146"/>
      <c r="BC307" s="146"/>
      <c r="BD307" s="146"/>
      <c r="BE307" s="146"/>
      <c r="BF307" s="146"/>
      <c r="BG307" s="146"/>
      <c r="BH307" s="146"/>
      <c r="BI307" s="146"/>
      <c r="BJ307" s="146"/>
      <c r="BK307" s="146"/>
      <c r="BL307" s="146"/>
      <c r="BM307" s="146"/>
      <c r="BN307" s="146"/>
      <c r="BO307" s="146"/>
      <c r="BP307" s="146"/>
      <c r="BQ307" s="146"/>
      <c r="BR307" s="146"/>
      <c r="BS307" s="146"/>
      <c r="BT307" s="146"/>
      <c r="BU307" s="146"/>
      <c r="BV307" s="146"/>
      <c r="BW307" s="146"/>
      <c r="BX307" s="146"/>
      <c r="BY307" s="146"/>
      <c r="BZ307" s="146"/>
      <c r="CA307" s="146"/>
      <c r="CB307" s="146"/>
      <c r="CC307" s="146"/>
      <c r="CD307" s="146"/>
      <c r="CE307" s="146"/>
      <c r="CF307" s="146"/>
      <c r="CG307" s="146"/>
      <c r="CH307" s="146"/>
      <c r="CI307" s="146"/>
      <c r="CJ307" s="146"/>
      <c r="CK307" s="146"/>
      <c r="CL307" s="146"/>
      <c r="CM307" s="146"/>
      <c r="CN307" s="146"/>
      <c r="CO307" s="146"/>
      <c r="CP307" s="146"/>
      <c r="CQ307" s="146"/>
      <c r="CR307" s="146"/>
      <c r="CS307" s="146"/>
      <c r="CT307" s="146"/>
      <c r="CU307" s="146"/>
      <c r="CV307" s="146"/>
      <c r="CW307" s="146"/>
      <c r="CX307" s="146"/>
      <c r="CY307" s="146"/>
      <c r="CZ307" s="146"/>
      <c r="DA307" s="146"/>
      <c r="DB307" s="146"/>
      <c r="DC307" s="146"/>
    </row>
    <row r="308" ht="15.75" customHeight="1">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c r="AA308" s="144"/>
      <c r="AB308" s="144"/>
      <c r="AC308" s="144"/>
      <c r="AD308" s="144"/>
      <c r="AE308" s="144"/>
      <c r="AF308" s="144"/>
      <c r="AG308" s="144"/>
      <c r="AH308" s="144"/>
      <c r="AI308" s="144"/>
      <c r="AJ308" s="144"/>
      <c r="AK308" s="144"/>
      <c r="AL308" s="144"/>
      <c r="AM308" s="144"/>
      <c r="AN308" s="144"/>
      <c r="AO308" s="144"/>
      <c r="AP308" s="146"/>
      <c r="AQ308" s="146"/>
      <c r="AR308" s="146"/>
      <c r="AS308" s="146"/>
      <c r="AT308" s="146"/>
      <c r="AU308" s="146"/>
      <c r="AV308" s="146"/>
      <c r="AW308" s="146"/>
      <c r="AX308" s="146"/>
      <c r="AY308" s="146"/>
      <c r="AZ308" s="146"/>
      <c r="BA308" s="146"/>
      <c r="BB308" s="146"/>
      <c r="BC308" s="146"/>
      <c r="BD308" s="146"/>
      <c r="BE308" s="146"/>
      <c r="BF308" s="146"/>
      <c r="BG308" s="146"/>
      <c r="BH308" s="146"/>
      <c r="BI308" s="146"/>
      <c r="BJ308" s="146"/>
      <c r="BK308" s="146"/>
      <c r="BL308" s="146"/>
      <c r="BM308" s="146"/>
      <c r="BN308" s="146"/>
      <c r="BO308" s="146"/>
      <c r="BP308" s="146"/>
      <c r="BQ308" s="146"/>
      <c r="BR308" s="146"/>
      <c r="BS308" s="146"/>
      <c r="BT308" s="146"/>
      <c r="BU308" s="146"/>
      <c r="BV308" s="146"/>
      <c r="BW308" s="146"/>
      <c r="BX308" s="146"/>
      <c r="BY308" s="146"/>
      <c r="BZ308" s="146"/>
      <c r="CA308" s="146"/>
      <c r="CB308" s="146"/>
      <c r="CC308" s="146"/>
      <c r="CD308" s="146"/>
      <c r="CE308" s="146"/>
      <c r="CF308" s="146"/>
      <c r="CG308" s="146"/>
      <c r="CH308" s="146"/>
      <c r="CI308" s="146"/>
      <c r="CJ308" s="146"/>
      <c r="CK308" s="146"/>
      <c r="CL308" s="146"/>
      <c r="CM308" s="146"/>
      <c r="CN308" s="146"/>
      <c r="CO308" s="146"/>
      <c r="CP308" s="146"/>
      <c r="CQ308" s="146"/>
      <c r="CR308" s="146"/>
      <c r="CS308" s="146"/>
      <c r="CT308" s="146"/>
      <c r="CU308" s="146"/>
      <c r="CV308" s="146"/>
      <c r="CW308" s="146"/>
      <c r="CX308" s="146"/>
      <c r="CY308" s="146"/>
      <c r="CZ308" s="146"/>
      <c r="DA308" s="146"/>
      <c r="DB308" s="146"/>
      <c r="DC308" s="146"/>
    </row>
    <row r="309" ht="15.75" customHeight="1">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c r="AA309" s="144"/>
      <c r="AB309" s="144"/>
      <c r="AC309" s="144"/>
      <c r="AD309" s="144"/>
      <c r="AE309" s="144"/>
      <c r="AF309" s="144"/>
      <c r="AG309" s="144"/>
      <c r="AH309" s="144"/>
      <c r="AI309" s="144"/>
      <c r="AJ309" s="144"/>
      <c r="AK309" s="144"/>
      <c r="AL309" s="144"/>
      <c r="AM309" s="144"/>
      <c r="AN309" s="144"/>
      <c r="AO309" s="144"/>
      <c r="AP309" s="146"/>
      <c r="AQ309" s="146"/>
      <c r="AR309" s="146"/>
      <c r="AS309" s="146"/>
      <c r="AT309" s="146"/>
      <c r="AU309" s="146"/>
      <c r="AV309" s="146"/>
      <c r="AW309" s="146"/>
      <c r="AX309" s="146"/>
      <c r="AY309" s="146"/>
      <c r="AZ309" s="146"/>
      <c r="BA309" s="146"/>
      <c r="BB309" s="146"/>
      <c r="BC309" s="146"/>
      <c r="BD309" s="146"/>
      <c r="BE309" s="146"/>
      <c r="BF309" s="146"/>
      <c r="BG309" s="146"/>
      <c r="BH309" s="146"/>
      <c r="BI309" s="146"/>
      <c r="BJ309" s="146"/>
      <c r="BK309" s="146"/>
      <c r="BL309" s="146"/>
      <c r="BM309" s="146"/>
      <c r="BN309" s="146"/>
      <c r="BO309" s="146"/>
      <c r="BP309" s="146"/>
      <c r="BQ309" s="146"/>
      <c r="BR309" s="146"/>
      <c r="BS309" s="146"/>
      <c r="BT309" s="146"/>
      <c r="BU309" s="146"/>
      <c r="BV309" s="146"/>
      <c r="BW309" s="146"/>
      <c r="BX309" s="146"/>
      <c r="BY309" s="146"/>
      <c r="BZ309" s="146"/>
      <c r="CA309" s="146"/>
      <c r="CB309" s="146"/>
      <c r="CC309" s="146"/>
      <c r="CD309" s="146"/>
      <c r="CE309" s="146"/>
      <c r="CF309" s="146"/>
      <c r="CG309" s="146"/>
      <c r="CH309" s="146"/>
      <c r="CI309" s="146"/>
      <c r="CJ309" s="146"/>
      <c r="CK309" s="146"/>
      <c r="CL309" s="146"/>
      <c r="CM309" s="146"/>
      <c r="CN309" s="146"/>
      <c r="CO309" s="146"/>
      <c r="CP309" s="146"/>
      <c r="CQ309" s="146"/>
      <c r="CR309" s="146"/>
      <c r="CS309" s="146"/>
      <c r="CT309" s="146"/>
      <c r="CU309" s="146"/>
      <c r="CV309" s="146"/>
      <c r="CW309" s="146"/>
      <c r="CX309" s="146"/>
      <c r="CY309" s="146"/>
      <c r="CZ309" s="146"/>
      <c r="DA309" s="146"/>
      <c r="DB309" s="146"/>
      <c r="DC309" s="146"/>
    </row>
    <row r="310" ht="15.75" customHeight="1">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c r="AF310" s="144"/>
      <c r="AG310" s="144"/>
      <c r="AH310" s="144"/>
      <c r="AI310" s="144"/>
      <c r="AJ310" s="144"/>
      <c r="AK310" s="144"/>
      <c r="AL310" s="144"/>
      <c r="AM310" s="144"/>
      <c r="AN310" s="144"/>
      <c r="AO310" s="144"/>
      <c r="AP310" s="146"/>
      <c r="AQ310" s="146"/>
      <c r="AR310" s="146"/>
      <c r="AS310" s="146"/>
      <c r="AT310" s="146"/>
      <c r="AU310" s="146"/>
      <c r="AV310" s="146"/>
      <c r="AW310" s="146"/>
      <c r="AX310" s="146"/>
      <c r="AY310" s="146"/>
      <c r="AZ310" s="146"/>
      <c r="BA310" s="146"/>
      <c r="BB310" s="146"/>
      <c r="BC310" s="146"/>
      <c r="BD310" s="146"/>
      <c r="BE310" s="146"/>
      <c r="BF310" s="146"/>
      <c r="BG310" s="146"/>
      <c r="BH310" s="146"/>
      <c r="BI310" s="146"/>
      <c r="BJ310" s="146"/>
      <c r="BK310" s="146"/>
      <c r="BL310" s="146"/>
      <c r="BM310" s="146"/>
      <c r="BN310" s="146"/>
      <c r="BO310" s="146"/>
      <c r="BP310" s="146"/>
      <c r="BQ310" s="146"/>
      <c r="BR310" s="146"/>
      <c r="BS310" s="146"/>
      <c r="BT310" s="146"/>
      <c r="BU310" s="146"/>
      <c r="BV310" s="146"/>
      <c r="BW310" s="146"/>
      <c r="BX310" s="146"/>
      <c r="BY310" s="146"/>
      <c r="BZ310" s="146"/>
      <c r="CA310" s="146"/>
      <c r="CB310" s="146"/>
      <c r="CC310" s="146"/>
      <c r="CD310" s="146"/>
      <c r="CE310" s="146"/>
      <c r="CF310" s="146"/>
      <c r="CG310" s="146"/>
      <c r="CH310" s="146"/>
      <c r="CI310" s="146"/>
      <c r="CJ310" s="146"/>
      <c r="CK310" s="146"/>
      <c r="CL310" s="146"/>
      <c r="CM310" s="146"/>
      <c r="CN310" s="146"/>
      <c r="CO310" s="146"/>
      <c r="CP310" s="146"/>
      <c r="CQ310" s="146"/>
      <c r="CR310" s="146"/>
      <c r="CS310" s="146"/>
      <c r="CT310" s="146"/>
      <c r="CU310" s="146"/>
      <c r="CV310" s="146"/>
      <c r="CW310" s="146"/>
      <c r="CX310" s="146"/>
      <c r="CY310" s="146"/>
      <c r="CZ310" s="146"/>
      <c r="DA310" s="146"/>
      <c r="DB310" s="146"/>
      <c r="DC310" s="146"/>
    </row>
    <row r="311" ht="15.75" customHeight="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c r="AE311" s="144"/>
      <c r="AF311" s="144"/>
      <c r="AG311" s="144"/>
      <c r="AH311" s="144"/>
      <c r="AI311" s="144"/>
      <c r="AJ311" s="144"/>
      <c r="AK311" s="144"/>
      <c r="AL311" s="144"/>
      <c r="AM311" s="144"/>
      <c r="AN311" s="144"/>
      <c r="AO311" s="144"/>
      <c r="AP311" s="146"/>
      <c r="AQ311" s="146"/>
      <c r="AR311" s="146"/>
      <c r="AS311" s="146"/>
      <c r="AT311" s="146"/>
      <c r="AU311" s="146"/>
      <c r="AV311" s="146"/>
      <c r="AW311" s="146"/>
      <c r="AX311" s="146"/>
      <c r="AY311" s="146"/>
      <c r="AZ311" s="146"/>
      <c r="BA311" s="146"/>
      <c r="BB311" s="146"/>
      <c r="BC311" s="146"/>
      <c r="BD311" s="146"/>
      <c r="BE311" s="146"/>
      <c r="BF311" s="146"/>
      <c r="BG311" s="146"/>
      <c r="BH311" s="146"/>
      <c r="BI311" s="146"/>
      <c r="BJ311" s="146"/>
      <c r="BK311" s="146"/>
      <c r="BL311" s="146"/>
      <c r="BM311" s="146"/>
      <c r="BN311" s="146"/>
      <c r="BO311" s="146"/>
      <c r="BP311" s="146"/>
      <c r="BQ311" s="146"/>
      <c r="BR311" s="146"/>
      <c r="BS311" s="146"/>
      <c r="BT311" s="146"/>
      <c r="BU311" s="146"/>
      <c r="BV311" s="146"/>
      <c r="BW311" s="146"/>
      <c r="BX311" s="146"/>
      <c r="BY311" s="146"/>
      <c r="BZ311" s="146"/>
      <c r="CA311" s="146"/>
      <c r="CB311" s="146"/>
      <c r="CC311" s="146"/>
      <c r="CD311" s="146"/>
      <c r="CE311" s="146"/>
      <c r="CF311" s="146"/>
      <c r="CG311" s="146"/>
      <c r="CH311" s="146"/>
      <c r="CI311" s="146"/>
      <c r="CJ311" s="146"/>
      <c r="CK311" s="146"/>
      <c r="CL311" s="146"/>
      <c r="CM311" s="146"/>
      <c r="CN311" s="146"/>
      <c r="CO311" s="146"/>
      <c r="CP311" s="146"/>
      <c r="CQ311" s="146"/>
      <c r="CR311" s="146"/>
      <c r="CS311" s="146"/>
      <c r="CT311" s="146"/>
      <c r="CU311" s="146"/>
      <c r="CV311" s="146"/>
      <c r="CW311" s="146"/>
      <c r="CX311" s="146"/>
      <c r="CY311" s="146"/>
      <c r="CZ311" s="146"/>
      <c r="DA311" s="146"/>
      <c r="DB311" s="146"/>
      <c r="DC311" s="146"/>
    </row>
    <row r="312" ht="15.75" customHeight="1">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c r="AE312" s="144"/>
      <c r="AF312" s="144"/>
      <c r="AG312" s="144"/>
      <c r="AH312" s="144"/>
      <c r="AI312" s="144"/>
      <c r="AJ312" s="144"/>
      <c r="AK312" s="144"/>
      <c r="AL312" s="144"/>
      <c r="AM312" s="144"/>
      <c r="AN312" s="144"/>
      <c r="AO312" s="144"/>
      <c r="AP312" s="146"/>
      <c r="AQ312" s="146"/>
      <c r="AR312" s="146"/>
      <c r="AS312" s="146"/>
      <c r="AT312" s="146"/>
      <c r="AU312" s="146"/>
      <c r="AV312" s="146"/>
      <c r="AW312" s="146"/>
      <c r="AX312" s="146"/>
      <c r="AY312" s="146"/>
      <c r="AZ312" s="146"/>
      <c r="BA312" s="146"/>
      <c r="BB312" s="146"/>
      <c r="BC312" s="146"/>
      <c r="BD312" s="146"/>
      <c r="BE312" s="146"/>
      <c r="BF312" s="146"/>
      <c r="BG312" s="146"/>
      <c r="BH312" s="146"/>
      <c r="BI312" s="146"/>
      <c r="BJ312" s="146"/>
      <c r="BK312" s="146"/>
      <c r="BL312" s="146"/>
      <c r="BM312" s="146"/>
      <c r="BN312" s="146"/>
      <c r="BO312" s="146"/>
      <c r="BP312" s="146"/>
      <c r="BQ312" s="146"/>
      <c r="BR312" s="146"/>
      <c r="BS312" s="146"/>
      <c r="BT312" s="146"/>
      <c r="BU312" s="146"/>
      <c r="BV312" s="146"/>
      <c r="BW312" s="146"/>
      <c r="BX312" s="146"/>
      <c r="BY312" s="146"/>
      <c r="BZ312" s="146"/>
      <c r="CA312" s="146"/>
      <c r="CB312" s="146"/>
      <c r="CC312" s="146"/>
      <c r="CD312" s="146"/>
      <c r="CE312" s="146"/>
      <c r="CF312" s="146"/>
      <c r="CG312" s="146"/>
      <c r="CH312" s="146"/>
      <c r="CI312" s="146"/>
      <c r="CJ312" s="146"/>
      <c r="CK312" s="146"/>
      <c r="CL312" s="146"/>
      <c r="CM312" s="146"/>
      <c r="CN312" s="146"/>
      <c r="CO312" s="146"/>
      <c r="CP312" s="146"/>
      <c r="CQ312" s="146"/>
      <c r="CR312" s="146"/>
      <c r="CS312" s="146"/>
      <c r="CT312" s="146"/>
      <c r="CU312" s="146"/>
      <c r="CV312" s="146"/>
      <c r="CW312" s="146"/>
      <c r="CX312" s="146"/>
      <c r="CY312" s="146"/>
      <c r="CZ312" s="146"/>
      <c r="DA312" s="146"/>
      <c r="DB312" s="146"/>
      <c r="DC312" s="146"/>
    </row>
    <row r="313" ht="15.75" customHeight="1">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c r="AE313" s="144"/>
      <c r="AF313" s="144"/>
      <c r="AG313" s="144"/>
      <c r="AH313" s="144"/>
      <c r="AI313" s="144"/>
      <c r="AJ313" s="144"/>
      <c r="AK313" s="144"/>
      <c r="AL313" s="144"/>
      <c r="AM313" s="144"/>
      <c r="AN313" s="144"/>
      <c r="AO313" s="144"/>
      <c r="AP313" s="146"/>
      <c r="AQ313" s="146"/>
      <c r="AR313" s="146"/>
      <c r="AS313" s="146"/>
      <c r="AT313" s="146"/>
      <c r="AU313" s="146"/>
      <c r="AV313" s="146"/>
      <c r="AW313" s="146"/>
      <c r="AX313" s="146"/>
      <c r="AY313" s="146"/>
      <c r="AZ313" s="146"/>
      <c r="BA313" s="146"/>
      <c r="BB313" s="146"/>
      <c r="BC313" s="146"/>
      <c r="BD313" s="146"/>
      <c r="BE313" s="146"/>
      <c r="BF313" s="146"/>
      <c r="BG313" s="146"/>
      <c r="BH313" s="146"/>
      <c r="BI313" s="146"/>
      <c r="BJ313" s="146"/>
      <c r="BK313" s="146"/>
      <c r="BL313" s="146"/>
      <c r="BM313" s="146"/>
      <c r="BN313" s="146"/>
      <c r="BO313" s="146"/>
      <c r="BP313" s="146"/>
      <c r="BQ313" s="146"/>
      <c r="BR313" s="146"/>
      <c r="BS313" s="146"/>
      <c r="BT313" s="146"/>
      <c r="BU313" s="146"/>
      <c r="BV313" s="146"/>
      <c r="BW313" s="146"/>
      <c r="BX313" s="146"/>
      <c r="BY313" s="146"/>
      <c r="BZ313" s="146"/>
      <c r="CA313" s="146"/>
      <c r="CB313" s="146"/>
      <c r="CC313" s="146"/>
      <c r="CD313" s="146"/>
      <c r="CE313" s="146"/>
      <c r="CF313" s="146"/>
      <c r="CG313" s="146"/>
      <c r="CH313" s="146"/>
      <c r="CI313" s="146"/>
      <c r="CJ313" s="146"/>
      <c r="CK313" s="146"/>
      <c r="CL313" s="146"/>
      <c r="CM313" s="146"/>
      <c r="CN313" s="146"/>
      <c r="CO313" s="146"/>
      <c r="CP313" s="146"/>
      <c r="CQ313" s="146"/>
      <c r="CR313" s="146"/>
      <c r="CS313" s="146"/>
      <c r="CT313" s="146"/>
      <c r="CU313" s="146"/>
      <c r="CV313" s="146"/>
      <c r="CW313" s="146"/>
      <c r="CX313" s="146"/>
      <c r="CY313" s="146"/>
      <c r="CZ313" s="146"/>
      <c r="DA313" s="146"/>
      <c r="DB313" s="146"/>
      <c r="DC313" s="146"/>
    </row>
    <row r="314" ht="15.75" customHeight="1">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c r="AE314" s="144"/>
      <c r="AF314" s="144"/>
      <c r="AG314" s="144"/>
      <c r="AH314" s="144"/>
      <c r="AI314" s="144"/>
      <c r="AJ314" s="144"/>
      <c r="AK314" s="144"/>
      <c r="AL314" s="144"/>
      <c r="AM314" s="144"/>
      <c r="AN314" s="144"/>
      <c r="AO314" s="144"/>
      <c r="AP314" s="146"/>
      <c r="AQ314" s="146"/>
      <c r="AR314" s="146"/>
      <c r="AS314" s="146"/>
      <c r="AT314" s="146"/>
      <c r="AU314" s="146"/>
      <c r="AV314" s="146"/>
      <c r="AW314" s="146"/>
      <c r="AX314" s="146"/>
      <c r="AY314" s="146"/>
      <c r="AZ314" s="146"/>
      <c r="BA314" s="146"/>
      <c r="BB314" s="146"/>
      <c r="BC314" s="146"/>
      <c r="BD314" s="146"/>
      <c r="BE314" s="146"/>
      <c r="BF314" s="146"/>
      <c r="BG314" s="146"/>
      <c r="BH314" s="146"/>
      <c r="BI314" s="146"/>
      <c r="BJ314" s="146"/>
      <c r="BK314" s="146"/>
      <c r="BL314" s="146"/>
      <c r="BM314" s="146"/>
      <c r="BN314" s="146"/>
      <c r="BO314" s="146"/>
      <c r="BP314" s="146"/>
      <c r="BQ314" s="146"/>
      <c r="BR314" s="146"/>
      <c r="BS314" s="146"/>
      <c r="BT314" s="146"/>
      <c r="BU314" s="146"/>
      <c r="BV314" s="146"/>
      <c r="BW314" s="146"/>
      <c r="BX314" s="146"/>
      <c r="BY314" s="146"/>
      <c r="BZ314" s="146"/>
      <c r="CA314" s="146"/>
      <c r="CB314" s="146"/>
      <c r="CC314" s="146"/>
      <c r="CD314" s="146"/>
      <c r="CE314" s="146"/>
      <c r="CF314" s="146"/>
      <c r="CG314" s="146"/>
      <c r="CH314" s="146"/>
      <c r="CI314" s="146"/>
      <c r="CJ314" s="146"/>
      <c r="CK314" s="146"/>
      <c r="CL314" s="146"/>
      <c r="CM314" s="146"/>
      <c r="CN314" s="146"/>
      <c r="CO314" s="146"/>
      <c r="CP314" s="146"/>
      <c r="CQ314" s="146"/>
      <c r="CR314" s="146"/>
      <c r="CS314" s="146"/>
      <c r="CT314" s="146"/>
      <c r="CU314" s="146"/>
      <c r="CV314" s="146"/>
      <c r="CW314" s="146"/>
      <c r="CX314" s="146"/>
      <c r="CY314" s="146"/>
      <c r="CZ314" s="146"/>
      <c r="DA314" s="146"/>
      <c r="DB314" s="146"/>
      <c r="DC314" s="146"/>
    </row>
    <row r="315" ht="15.75" customHeight="1">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c r="AA315" s="144"/>
      <c r="AB315" s="144"/>
      <c r="AC315" s="144"/>
      <c r="AD315" s="144"/>
      <c r="AE315" s="144"/>
      <c r="AF315" s="144"/>
      <c r="AG315" s="144"/>
      <c r="AH315" s="144"/>
      <c r="AI315" s="144"/>
      <c r="AJ315" s="144"/>
      <c r="AK315" s="144"/>
      <c r="AL315" s="144"/>
      <c r="AM315" s="144"/>
      <c r="AN315" s="144"/>
      <c r="AO315" s="144"/>
      <c r="AP315" s="146"/>
      <c r="AQ315" s="146"/>
      <c r="AR315" s="146"/>
      <c r="AS315" s="146"/>
      <c r="AT315" s="146"/>
      <c r="AU315" s="146"/>
      <c r="AV315" s="146"/>
      <c r="AW315" s="146"/>
      <c r="AX315" s="146"/>
      <c r="AY315" s="146"/>
      <c r="AZ315" s="146"/>
      <c r="BA315" s="146"/>
      <c r="BB315" s="146"/>
      <c r="BC315" s="146"/>
      <c r="BD315" s="146"/>
      <c r="BE315" s="146"/>
      <c r="BF315" s="146"/>
      <c r="BG315" s="146"/>
      <c r="BH315" s="146"/>
      <c r="BI315" s="146"/>
      <c r="BJ315" s="146"/>
      <c r="BK315" s="146"/>
      <c r="BL315" s="146"/>
      <c r="BM315" s="146"/>
      <c r="BN315" s="146"/>
      <c r="BO315" s="146"/>
      <c r="BP315" s="146"/>
      <c r="BQ315" s="146"/>
      <c r="BR315" s="146"/>
      <c r="BS315" s="146"/>
      <c r="BT315" s="146"/>
      <c r="BU315" s="146"/>
      <c r="BV315" s="146"/>
      <c r="BW315" s="146"/>
      <c r="BX315" s="146"/>
      <c r="BY315" s="146"/>
      <c r="BZ315" s="146"/>
      <c r="CA315" s="146"/>
      <c r="CB315" s="146"/>
      <c r="CC315" s="146"/>
      <c r="CD315" s="146"/>
      <c r="CE315" s="146"/>
      <c r="CF315" s="146"/>
      <c r="CG315" s="146"/>
      <c r="CH315" s="146"/>
      <c r="CI315" s="146"/>
      <c r="CJ315" s="146"/>
      <c r="CK315" s="146"/>
      <c r="CL315" s="146"/>
      <c r="CM315" s="146"/>
      <c r="CN315" s="146"/>
      <c r="CO315" s="146"/>
      <c r="CP315" s="146"/>
      <c r="CQ315" s="146"/>
      <c r="CR315" s="146"/>
      <c r="CS315" s="146"/>
      <c r="CT315" s="146"/>
      <c r="CU315" s="146"/>
      <c r="CV315" s="146"/>
      <c r="CW315" s="146"/>
      <c r="CX315" s="146"/>
      <c r="CY315" s="146"/>
      <c r="CZ315" s="146"/>
      <c r="DA315" s="146"/>
      <c r="DB315" s="146"/>
      <c r="DC315" s="146"/>
    </row>
    <row r="316" ht="15.75" customHeight="1">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c r="AE316" s="144"/>
      <c r="AF316" s="144"/>
      <c r="AG316" s="144"/>
      <c r="AH316" s="144"/>
      <c r="AI316" s="144"/>
      <c r="AJ316" s="144"/>
      <c r="AK316" s="144"/>
      <c r="AL316" s="144"/>
      <c r="AM316" s="144"/>
      <c r="AN316" s="144"/>
      <c r="AO316" s="144"/>
      <c r="AP316" s="146"/>
      <c r="AQ316" s="146"/>
      <c r="AR316" s="146"/>
      <c r="AS316" s="146"/>
      <c r="AT316" s="146"/>
      <c r="AU316" s="146"/>
      <c r="AV316" s="146"/>
      <c r="AW316" s="146"/>
      <c r="AX316" s="146"/>
      <c r="AY316" s="146"/>
      <c r="AZ316" s="146"/>
      <c r="BA316" s="146"/>
      <c r="BB316" s="146"/>
      <c r="BC316" s="146"/>
      <c r="BD316" s="146"/>
      <c r="BE316" s="146"/>
      <c r="BF316" s="146"/>
      <c r="BG316" s="146"/>
      <c r="BH316" s="146"/>
      <c r="BI316" s="146"/>
      <c r="BJ316" s="146"/>
      <c r="BK316" s="146"/>
      <c r="BL316" s="146"/>
      <c r="BM316" s="146"/>
      <c r="BN316" s="146"/>
      <c r="BO316" s="146"/>
      <c r="BP316" s="146"/>
      <c r="BQ316" s="146"/>
      <c r="BR316" s="146"/>
      <c r="BS316" s="146"/>
      <c r="BT316" s="146"/>
      <c r="BU316" s="146"/>
      <c r="BV316" s="146"/>
      <c r="BW316" s="146"/>
      <c r="BX316" s="146"/>
      <c r="BY316" s="146"/>
      <c r="BZ316" s="146"/>
      <c r="CA316" s="146"/>
      <c r="CB316" s="146"/>
      <c r="CC316" s="146"/>
      <c r="CD316" s="146"/>
      <c r="CE316" s="146"/>
      <c r="CF316" s="146"/>
      <c r="CG316" s="146"/>
      <c r="CH316" s="146"/>
      <c r="CI316" s="146"/>
      <c r="CJ316" s="146"/>
      <c r="CK316" s="146"/>
      <c r="CL316" s="146"/>
      <c r="CM316" s="146"/>
      <c r="CN316" s="146"/>
      <c r="CO316" s="146"/>
      <c r="CP316" s="146"/>
      <c r="CQ316" s="146"/>
      <c r="CR316" s="146"/>
      <c r="CS316" s="146"/>
      <c r="CT316" s="146"/>
      <c r="CU316" s="146"/>
      <c r="CV316" s="146"/>
      <c r="CW316" s="146"/>
      <c r="CX316" s="146"/>
      <c r="CY316" s="146"/>
      <c r="CZ316" s="146"/>
      <c r="DA316" s="146"/>
      <c r="DB316" s="146"/>
      <c r="DC316" s="146"/>
    </row>
    <row r="317" ht="15.75" customHeight="1">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c r="AE317" s="144"/>
      <c r="AF317" s="144"/>
      <c r="AG317" s="144"/>
      <c r="AH317" s="144"/>
      <c r="AI317" s="144"/>
      <c r="AJ317" s="144"/>
      <c r="AK317" s="144"/>
      <c r="AL317" s="144"/>
      <c r="AM317" s="144"/>
      <c r="AN317" s="144"/>
      <c r="AO317" s="144"/>
      <c r="AP317" s="146"/>
      <c r="AQ317" s="146"/>
      <c r="AR317" s="146"/>
      <c r="AS317" s="146"/>
      <c r="AT317" s="146"/>
      <c r="AU317" s="146"/>
      <c r="AV317" s="146"/>
      <c r="AW317" s="146"/>
      <c r="AX317" s="146"/>
      <c r="AY317" s="146"/>
      <c r="AZ317" s="146"/>
      <c r="BA317" s="146"/>
      <c r="BB317" s="146"/>
      <c r="BC317" s="146"/>
      <c r="BD317" s="146"/>
      <c r="BE317" s="146"/>
      <c r="BF317" s="146"/>
      <c r="BG317" s="146"/>
      <c r="BH317" s="146"/>
      <c r="BI317" s="146"/>
      <c r="BJ317" s="146"/>
      <c r="BK317" s="146"/>
      <c r="BL317" s="146"/>
      <c r="BM317" s="146"/>
      <c r="BN317" s="146"/>
      <c r="BO317" s="146"/>
      <c r="BP317" s="146"/>
      <c r="BQ317" s="146"/>
      <c r="BR317" s="146"/>
      <c r="BS317" s="146"/>
      <c r="BT317" s="146"/>
      <c r="BU317" s="146"/>
      <c r="BV317" s="146"/>
      <c r="BW317" s="146"/>
      <c r="BX317" s="146"/>
      <c r="BY317" s="146"/>
      <c r="BZ317" s="146"/>
      <c r="CA317" s="146"/>
      <c r="CB317" s="146"/>
      <c r="CC317" s="146"/>
      <c r="CD317" s="146"/>
      <c r="CE317" s="146"/>
      <c r="CF317" s="146"/>
      <c r="CG317" s="146"/>
      <c r="CH317" s="146"/>
      <c r="CI317" s="146"/>
      <c r="CJ317" s="146"/>
      <c r="CK317" s="146"/>
      <c r="CL317" s="146"/>
      <c r="CM317" s="146"/>
      <c r="CN317" s="146"/>
      <c r="CO317" s="146"/>
      <c r="CP317" s="146"/>
      <c r="CQ317" s="146"/>
      <c r="CR317" s="146"/>
      <c r="CS317" s="146"/>
      <c r="CT317" s="146"/>
      <c r="CU317" s="146"/>
      <c r="CV317" s="146"/>
      <c r="CW317" s="146"/>
      <c r="CX317" s="146"/>
      <c r="CY317" s="146"/>
      <c r="CZ317" s="146"/>
      <c r="DA317" s="146"/>
      <c r="DB317" s="146"/>
      <c r="DC317" s="146"/>
    </row>
    <row r="318" ht="15.75" customHeight="1">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c r="AE318" s="144"/>
      <c r="AF318" s="144"/>
      <c r="AG318" s="144"/>
      <c r="AH318" s="144"/>
      <c r="AI318" s="144"/>
      <c r="AJ318" s="144"/>
      <c r="AK318" s="144"/>
      <c r="AL318" s="144"/>
      <c r="AM318" s="144"/>
      <c r="AN318" s="144"/>
      <c r="AO318" s="144"/>
      <c r="AP318" s="146"/>
      <c r="AQ318" s="146"/>
      <c r="AR318" s="146"/>
      <c r="AS318" s="146"/>
      <c r="AT318" s="146"/>
      <c r="AU318" s="146"/>
      <c r="AV318" s="146"/>
      <c r="AW318" s="146"/>
      <c r="AX318" s="146"/>
      <c r="AY318" s="146"/>
      <c r="AZ318" s="146"/>
      <c r="BA318" s="146"/>
      <c r="BB318" s="146"/>
      <c r="BC318" s="146"/>
      <c r="BD318" s="146"/>
      <c r="BE318" s="146"/>
      <c r="BF318" s="146"/>
      <c r="BG318" s="146"/>
      <c r="BH318" s="146"/>
      <c r="BI318" s="146"/>
      <c r="BJ318" s="146"/>
      <c r="BK318" s="146"/>
      <c r="BL318" s="146"/>
      <c r="BM318" s="146"/>
      <c r="BN318" s="146"/>
      <c r="BO318" s="146"/>
      <c r="BP318" s="146"/>
      <c r="BQ318" s="146"/>
      <c r="BR318" s="146"/>
      <c r="BS318" s="146"/>
      <c r="BT318" s="146"/>
      <c r="BU318" s="146"/>
      <c r="BV318" s="146"/>
      <c r="BW318" s="146"/>
      <c r="BX318" s="146"/>
      <c r="BY318" s="146"/>
      <c r="BZ318" s="146"/>
      <c r="CA318" s="146"/>
      <c r="CB318" s="146"/>
      <c r="CC318" s="146"/>
      <c r="CD318" s="146"/>
      <c r="CE318" s="146"/>
      <c r="CF318" s="146"/>
      <c r="CG318" s="146"/>
      <c r="CH318" s="146"/>
      <c r="CI318" s="146"/>
      <c r="CJ318" s="146"/>
      <c r="CK318" s="146"/>
      <c r="CL318" s="146"/>
      <c r="CM318" s="146"/>
      <c r="CN318" s="146"/>
      <c r="CO318" s="146"/>
      <c r="CP318" s="146"/>
      <c r="CQ318" s="146"/>
      <c r="CR318" s="146"/>
      <c r="CS318" s="146"/>
      <c r="CT318" s="146"/>
      <c r="CU318" s="146"/>
      <c r="CV318" s="146"/>
      <c r="CW318" s="146"/>
      <c r="CX318" s="146"/>
      <c r="CY318" s="146"/>
      <c r="CZ318" s="146"/>
      <c r="DA318" s="146"/>
      <c r="DB318" s="146"/>
      <c r="DC318" s="146"/>
    </row>
    <row r="319" ht="15.75" customHeight="1">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c r="AA319" s="144"/>
      <c r="AB319" s="144"/>
      <c r="AC319" s="144"/>
      <c r="AD319" s="144"/>
      <c r="AE319" s="144"/>
      <c r="AF319" s="144"/>
      <c r="AG319" s="144"/>
      <c r="AH319" s="144"/>
      <c r="AI319" s="144"/>
      <c r="AJ319" s="144"/>
      <c r="AK319" s="144"/>
      <c r="AL319" s="144"/>
      <c r="AM319" s="144"/>
      <c r="AN319" s="144"/>
      <c r="AO319" s="144"/>
      <c r="AP319" s="146"/>
      <c r="AQ319" s="146"/>
      <c r="AR319" s="146"/>
      <c r="AS319" s="146"/>
      <c r="AT319" s="146"/>
      <c r="AU319" s="146"/>
      <c r="AV319" s="146"/>
      <c r="AW319" s="146"/>
      <c r="AX319" s="146"/>
      <c r="AY319" s="146"/>
      <c r="AZ319" s="146"/>
      <c r="BA319" s="146"/>
      <c r="BB319" s="146"/>
      <c r="BC319" s="146"/>
      <c r="BD319" s="146"/>
      <c r="BE319" s="146"/>
      <c r="BF319" s="146"/>
      <c r="BG319" s="146"/>
      <c r="BH319" s="146"/>
      <c r="BI319" s="146"/>
      <c r="BJ319" s="146"/>
      <c r="BK319" s="146"/>
      <c r="BL319" s="146"/>
      <c r="BM319" s="146"/>
      <c r="BN319" s="146"/>
      <c r="BO319" s="146"/>
      <c r="BP319" s="146"/>
      <c r="BQ319" s="146"/>
      <c r="BR319" s="146"/>
      <c r="BS319" s="146"/>
      <c r="BT319" s="146"/>
      <c r="BU319" s="146"/>
      <c r="BV319" s="146"/>
      <c r="BW319" s="146"/>
      <c r="BX319" s="146"/>
      <c r="BY319" s="146"/>
      <c r="BZ319" s="146"/>
      <c r="CA319" s="146"/>
      <c r="CB319" s="146"/>
      <c r="CC319" s="146"/>
      <c r="CD319" s="146"/>
      <c r="CE319" s="146"/>
      <c r="CF319" s="146"/>
      <c r="CG319" s="146"/>
      <c r="CH319" s="146"/>
      <c r="CI319" s="146"/>
      <c r="CJ319" s="146"/>
      <c r="CK319" s="146"/>
      <c r="CL319" s="146"/>
      <c r="CM319" s="146"/>
      <c r="CN319" s="146"/>
      <c r="CO319" s="146"/>
      <c r="CP319" s="146"/>
      <c r="CQ319" s="146"/>
      <c r="CR319" s="146"/>
      <c r="CS319" s="146"/>
      <c r="CT319" s="146"/>
      <c r="CU319" s="146"/>
      <c r="CV319" s="146"/>
      <c r="CW319" s="146"/>
      <c r="CX319" s="146"/>
      <c r="CY319" s="146"/>
      <c r="CZ319" s="146"/>
      <c r="DA319" s="146"/>
      <c r="DB319" s="146"/>
      <c r="DC319" s="146"/>
    </row>
    <row r="320" ht="15.75" customHeight="1">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c r="AE320" s="144"/>
      <c r="AF320" s="144"/>
      <c r="AG320" s="144"/>
      <c r="AH320" s="144"/>
      <c r="AI320" s="144"/>
      <c r="AJ320" s="144"/>
      <c r="AK320" s="144"/>
      <c r="AL320" s="144"/>
      <c r="AM320" s="144"/>
      <c r="AN320" s="144"/>
      <c r="AO320" s="144"/>
      <c r="AP320" s="146"/>
      <c r="AQ320" s="146"/>
      <c r="AR320" s="146"/>
      <c r="AS320" s="146"/>
      <c r="AT320" s="146"/>
      <c r="AU320" s="146"/>
      <c r="AV320" s="146"/>
      <c r="AW320" s="146"/>
      <c r="AX320" s="146"/>
      <c r="AY320" s="146"/>
      <c r="AZ320" s="146"/>
      <c r="BA320" s="146"/>
      <c r="BB320" s="146"/>
      <c r="BC320" s="146"/>
      <c r="BD320" s="146"/>
      <c r="BE320" s="146"/>
      <c r="BF320" s="146"/>
      <c r="BG320" s="146"/>
      <c r="BH320" s="146"/>
      <c r="BI320" s="146"/>
      <c r="BJ320" s="146"/>
      <c r="BK320" s="146"/>
      <c r="BL320" s="146"/>
      <c r="BM320" s="146"/>
      <c r="BN320" s="146"/>
      <c r="BO320" s="146"/>
      <c r="BP320" s="146"/>
      <c r="BQ320" s="146"/>
      <c r="BR320" s="146"/>
      <c r="BS320" s="146"/>
      <c r="BT320" s="146"/>
      <c r="BU320" s="146"/>
      <c r="BV320" s="146"/>
      <c r="BW320" s="146"/>
      <c r="BX320" s="146"/>
      <c r="BY320" s="146"/>
      <c r="BZ320" s="146"/>
      <c r="CA320" s="146"/>
      <c r="CB320" s="146"/>
      <c r="CC320" s="146"/>
      <c r="CD320" s="146"/>
      <c r="CE320" s="146"/>
      <c r="CF320" s="146"/>
      <c r="CG320" s="146"/>
      <c r="CH320" s="146"/>
      <c r="CI320" s="146"/>
      <c r="CJ320" s="146"/>
      <c r="CK320" s="146"/>
      <c r="CL320" s="146"/>
      <c r="CM320" s="146"/>
      <c r="CN320" s="146"/>
      <c r="CO320" s="146"/>
      <c r="CP320" s="146"/>
      <c r="CQ320" s="146"/>
      <c r="CR320" s="146"/>
      <c r="CS320" s="146"/>
      <c r="CT320" s="146"/>
      <c r="CU320" s="146"/>
      <c r="CV320" s="146"/>
      <c r="CW320" s="146"/>
      <c r="CX320" s="146"/>
      <c r="CY320" s="146"/>
      <c r="CZ320" s="146"/>
      <c r="DA320" s="146"/>
      <c r="DB320" s="146"/>
      <c r="DC320" s="146"/>
    </row>
    <row r="321" ht="15.75" customHeight="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c r="AE321" s="144"/>
      <c r="AF321" s="144"/>
      <c r="AG321" s="144"/>
      <c r="AH321" s="144"/>
      <c r="AI321" s="144"/>
      <c r="AJ321" s="144"/>
      <c r="AK321" s="144"/>
      <c r="AL321" s="144"/>
      <c r="AM321" s="144"/>
      <c r="AN321" s="144"/>
      <c r="AO321" s="144"/>
      <c r="AP321" s="146"/>
      <c r="AQ321" s="146"/>
      <c r="AR321" s="146"/>
      <c r="AS321" s="146"/>
      <c r="AT321" s="146"/>
      <c r="AU321" s="146"/>
      <c r="AV321" s="146"/>
      <c r="AW321" s="146"/>
      <c r="AX321" s="146"/>
      <c r="AY321" s="146"/>
      <c r="AZ321" s="146"/>
      <c r="BA321" s="146"/>
      <c r="BB321" s="146"/>
      <c r="BC321" s="146"/>
      <c r="BD321" s="146"/>
      <c r="BE321" s="146"/>
      <c r="BF321" s="146"/>
      <c r="BG321" s="146"/>
      <c r="BH321" s="146"/>
      <c r="BI321" s="146"/>
      <c r="BJ321" s="146"/>
      <c r="BK321" s="146"/>
      <c r="BL321" s="146"/>
      <c r="BM321" s="146"/>
      <c r="BN321" s="146"/>
      <c r="BO321" s="146"/>
      <c r="BP321" s="146"/>
      <c r="BQ321" s="146"/>
      <c r="BR321" s="146"/>
      <c r="BS321" s="146"/>
      <c r="BT321" s="146"/>
      <c r="BU321" s="146"/>
      <c r="BV321" s="146"/>
      <c r="BW321" s="146"/>
      <c r="BX321" s="146"/>
      <c r="BY321" s="146"/>
      <c r="BZ321" s="146"/>
      <c r="CA321" s="146"/>
      <c r="CB321" s="146"/>
      <c r="CC321" s="146"/>
      <c r="CD321" s="146"/>
      <c r="CE321" s="146"/>
      <c r="CF321" s="146"/>
      <c r="CG321" s="146"/>
      <c r="CH321" s="146"/>
      <c r="CI321" s="146"/>
      <c r="CJ321" s="146"/>
      <c r="CK321" s="146"/>
      <c r="CL321" s="146"/>
      <c r="CM321" s="146"/>
      <c r="CN321" s="146"/>
      <c r="CO321" s="146"/>
      <c r="CP321" s="146"/>
      <c r="CQ321" s="146"/>
      <c r="CR321" s="146"/>
      <c r="CS321" s="146"/>
      <c r="CT321" s="146"/>
      <c r="CU321" s="146"/>
      <c r="CV321" s="146"/>
      <c r="CW321" s="146"/>
      <c r="CX321" s="146"/>
      <c r="CY321" s="146"/>
      <c r="CZ321" s="146"/>
      <c r="DA321" s="146"/>
      <c r="DB321" s="146"/>
      <c r="DC321" s="146"/>
    </row>
    <row r="322" ht="15.75" customHeight="1">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c r="AE322" s="144"/>
      <c r="AF322" s="144"/>
      <c r="AG322" s="144"/>
      <c r="AH322" s="144"/>
      <c r="AI322" s="144"/>
      <c r="AJ322" s="144"/>
      <c r="AK322" s="144"/>
      <c r="AL322" s="144"/>
      <c r="AM322" s="144"/>
      <c r="AN322" s="144"/>
      <c r="AO322" s="144"/>
      <c r="AP322" s="146"/>
      <c r="AQ322" s="146"/>
      <c r="AR322" s="146"/>
      <c r="AS322" s="146"/>
      <c r="AT322" s="146"/>
      <c r="AU322" s="146"/>
      <c r="AV322" s="146"/>
      <c r="AW322" s="146"/>
      <c r="AX322" s="146"/>
      <c r="AY322" s="146"/>
      <c r="AZ322" s="146"/>
      <c r="BA322" s="146"/>
      <c r="BB322" s="146"/>
      <c r="BC322" s="146"/>
      <c r="BD322" s="146"/>
      <c r="BE322" s="146"/>
      <c r="BF322" s="146"/>
      <c r="BG322" s="146"/>
      <c r="BH322" s="146"/>
      <c r="BI322" s="146"/>
      <c r="BJ322" s="146"/>
      <c r="BK322" s="146"/>
      <c r="BL322" s="146"/>
      <c r="BM322" s="146"/>
      <c r="BN322" s="146"/>
      <c r="BO322" s="146"/>
      <c r="BP322" s="146"/>
      <c r="BQ322" s="146"/>
      <c r="BR322" s="146"/>
      <c r="BS322" s="146"/>
      <c r="BT322" s="146"/>
      <c r="BU322" s="146"/>
      <c r="BV322" s="146"/>
      <c r="BW322" s="146"/>
      <c r="BX322" s="146"/>
      <c r="BY322" s="146"/>
      <c r="BZ322" s="146"/>
      <c r="CA322" s="146"/>
      <c r="CB322" s="146"/>
      <c r="CC322" s="146"/>
      <c r="CD322" s="146"/>
      <c r="CE322" s="146"/>
      <c r="CF322" s="146"/>
      <c r="CG322" s="146"/>
      <c r="CH322" s="146"/>
      <c r="CI322" s="146"/>
      <c r="CJ322" s="146"/>
      <c r="CK322" s="146"/>
      <c r="CL322" s="146"/>
      <c r="CM322" s="146"/>
      <c r="CN322" s="146"/>
      <c r="CO322" s="146"/>
      <c r="CP322" s="146"/>
      <c r="CQ322" s="146"/>
      <c r="CR322" s="146"/>
      <c r="CS322" s="146"/>
      <c r="CT322" s="146"/>
      <c r="CU322" s="146"/>
      <c r="CV322" s="146"/>
      <c r="CW322" s="146"/>
      <c r="CX322" s="146"/>
      <c r="CY322" s="146"/>
      <c r="CZ322" s="146"/>
      <c r="DA322" s="146"/>
      <c r="DB322" s="146"/>
      <c r="DC322" s="146"/>
    </row>
    <row r="323" ht="15.75" customHeight="1">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c r="AF323" s="144"/>
      <c r="AG323" s="144"/>
      <c r="AH323" s="144"/>
      <c r="AI323" s="144"/>
      <c r="AJ323" s="144"/>
      <c r="AK323" s="144"/>
      <c r="AL323" s="144"/>
      <c r="AM323" s="144"/>
      <c r="AN323" s="144"/>
      <c r="AO323" s="144"/>
      <c r="AP323" s="146"/>
      <c r="AQ323" s="146"/>
      <c r="AR323" s="146"/>
      <c r="AS323" s="146"/>
      <c r="AT323" s="146"/>
      <c r="AU323" s="146"/>
      <c r="AV323" s="146"/>
      <c r="AW323" s="146"/>
      <c r="AX323" s="146"/>
      <c r="AY323" s="146"/>
      <c r="AZ323" s="146"/>
      <c r="BA323" s="146"/>
      <c r="BB323" s="146"/>
      <c r="BC323" s="146"/>
      <c r="BD323" s="146"/>
      <c r="BE323" s="146"/>
      <c r="BF323" s="146"/>
      <c r="BG323" s="146"/>
      <c r="BH323" s="146"/>
      <c r="BI323" s="146"/>
      <c r="BJ323" s="146"/>
      <c r="BK323" s="146"/>
      <c r="BL323" s="146"/>
      <c r="BM323" s="146"/>
      <c r="BN323" s="146"/>
      <c r="BO323" s="146"/>
      <c r="BP323" s="146"/>
      <c r="BQ323" s="146"/>
      <c r="BR323" s="146"/>
      <c r="BS323" s="146"/>
      <c r="BT323" s="146"/>
      <c r="BU323" s="146"/>
      <c r="BV323" s="146"/>
      <c r="BW323" s="146"/>
      <c r="BX323" s="146"/>
      <c r="BY323" s="146"/>
      <c r="BZ323" s="146"/>
      <c r="CA323" s="146"/>
      <c r="CB323" s="146"/>
      <c r="CC323" s="146"/>
      <c r="CD323" s="146"/>
      <c r="CE323" s="146"/>
      <c r="CF323" s="146"/>
      <c r="CG323" s="146"/>
      <c r="CH323" s="146"/>
      <c r="CI323" s="146"/>
      <c r="CJ323" s="146"/>
      <c r="CK323" s="146"/>
      <c r="CL323" s="146"/>
      <c r="CM323" s="146"/>
      <c r="CN323" s="146"/>
      <c r="CO323" s="146"/>
      <c r="CP323" s="146"/>
      <c r="CQ323" s="146"/>
      <c r="CR323" s="146"/>
      <c r="CS323" s="146"/>
      <c r="CT323" s="146"/>
      <c r="CU323" s="146"/>
      <c r="CV323" s="146"/>
      <c r="CW323" s="146"/>
      <c r="CX323" s="146"/>
      <c r="CY323" s="146"/>
      <c r="CZ323" s="146"/>
      <c r="DA323" s="146"/>
      <c r="DB323" s="146"/>
      <c r="DC323" s="146"/>
    </row>
    <row r="324" ht="15.75" customHeight="1">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c r="AF324" s="144"/>
      <c r="AG324" s="144"/>
      <c r="AH324" s="144"/>
      <c r="AI324" s="144"/>
      <c r="AJ324" s="144"/>
      <c r="AK324" s="144"/>
      <c r="AL324" s="144"/>
      <c r="AM324" s="144"/>
      <c r="AN324" s="144"/>
      <c r="AO324" s="144"/>
      <c r="AP324" s="146"/>
      <c r="AQ324" s="146"/>
      <c r="AR324" s="146"/>
      <c r="AS324" s="146"/>
      <c r="AT324" s="146"/>
      <c r="AU324" s="146"/>
      <c r="AV324" s="146"/>
      <c r="AW324" s="146"/>
      <c r="AX324" s="146"/>
      <c r="AY324" s="146"/>
      <c r="AZ324" s="146"/>
      <c r="BA324" s="146"/>
      <c r="BB324" s="146"/>
      <c r="BC324" s="146"/>
      <c r="BD324" s="146"/>
      <c r="BE324" s="146"/>
      <c r="BF324" s="146"/>
      <c r="BG324" s="146"/>
      <c r="BH324" s="146"/>
      <c r="BI324" s="146"/>
      <c r="BJ324" s="146"/>
      <c r="BK324" s="146"/>
      <c r="BL324" s="146"/>
      <c r="BM324" s="146"/>
      <c r="BN324" s="146"/>
      <c r="BO324" s="146"/>
      <c r="BP324" s="146"/>
      <c r="BQ324" s="146"/>
      <c r="BR324" s="146"/>
      <c r="BS324" s="146"/>
      <c r="BT324" s="146"/>
      <c r="BU324" s="146"/>
      <c r="BV324" s="146"/>
      <c r="BW324" s="146"/>
      <c r="BX324" s="146"/>
      <c r="BY324" s="146"/>
      <c r="BZ324" s="146"/>
      <c r="CA324" s="146"/>
      <c r="CB324" s="146"/>
      <c r="CC324" s="146"/>
      <c r="CD324" s="146"/>
      <c r="CE324" s="146"/>
      <c r="CF324" s="146"/>
      <c r="CG324" s="146"/>
      <c r="CH324" s="146"/>
      <c r="CI324" s="146"/>
      <c r="CJ324" s="146"/>
      <c r="CK324" s="146"/>
      <c r="CL324" s="146"/>
      <c r="CM324" s="146"/>
      <c r="CN324" s="146"/>
      <c r="CO324" s="146"/>
      <c r="CP324" s="146"/>
      <c r="CQ324" s="146"/>
      <c r="CR324" s="146"/>
      <c r="CS324" s="146"/>
      <c r="CT324" s="146"/>
      <c r="CU324" s="146"/>
      <c r="CV324" s="146"/>
      <c r="CW324" s="146"/>
      <c r="CX324" s="146"/>
      <c r="CY324" s="146"/>
      <c r="CZ324" s="146"/>
      <c r="DA324" s="146"/>
      <c r="DB324" s="146"/>
      <c r="DC324" s="146"/>
    </row>
    <row r="325" ht="15.75" customHeight="1">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c r="AF325" s="144"/>
      <c r="AG325" s="144"/>
      <c r="AH325" s="144"/>
      <c r="AI325" s="144"/>
      <c r="AJ325" s="144"/>
      <c r="AK325" s="144"/>
      <c r="AL325" s="144"/>
      <c r="AM325" s="144"/>
      <c r="AN325" s="144"/>
      <c r="AO325" s="144"/>
      <c r="AP325" s="146"/>
      <c r="AQ325" s="146"/>
      <c r="AR325" s="146"/>
      <c r="AS325" s="146"/>
      <c r="AT325" s="146"/>
      <c r="AU325" s="146"/>
      <c r="AV325" s="146"/>
      <c r="AW325" s="146"/>
      <c r="AX325" s="146"/>
      <c r="AY325" s="146"/>
      <c r="AZ325" s="146"/>
      <c r="BA325" s="146"/>
      <c r="BB325" s="146"/>
      <c r="BC325" s="146"/>
      <c r="BD325" s="146"/>
      <c r="BE325" s="146"/>
      <c r="BF325" s="146"/>
      <c r="BG325" s="146"/>
      <c r="BH325" s="146"/>
      <c r="BI325" s="146"/>
      <c r="BJ325" s="146"/>
      <c r="BK325" s="146"/>
      <c r="BL325" s="146"/>
      <c r="BM325" s="146"/>
      <c r="BN325" s="146"/>
      <c r="BO325" s="146"/>
      <c r="BP325" s="146"/>
      <c r="BQ325" s="146"/>
      <c r="BR325" s="146"/>
      <c r="BS325" s="146"/>
      <c r="BT325" s="146"/>
      <c r="BU325" s="146"/>
      <c r="BV325" s="146"/>
      <c r="BW325" s="146"/>
      <c r="BX325" s="146"/>
      <c r="BY325" s="146"/>
      <c r="BZ325" s="146"/>
      <c r="CA325" s="146"/>
      <c r="CB325" s="146"/>
      <c r="CC325" s="146"/>
      <c r="CD325" s="146"/>
      <c r="CE325" s="146"/>
      <c r="CF325" s="146"/>
      <c r="CG325" s="146"/>
      <c r="CH325" s="146"/>
      <c r="CI325" s="146"/>
      <c r="CJ325" s="146"/>
      <c r="CK325" s="146"/>
      <c r="CL325" s="146"/>
      <c r="CM325" s="146"/>
      <c r="CN325" s="146"/>
      <c r="CO325" s="146"/>
      <c r="CP325" s="146"/>
      <c r="CQ325" s="146"/>
      <c r="CR325" s="146"/>
      <c r="CS325" s="146"/>
      <c r="CT325" s="146"/>
      <c r="CU325" s="146"/>
      <c r="CV325" s="146"/>
      <c r="CW325" s="146"/>
      <c r="CX325" s="146"/>
      <c r="CY325" s="146"/>
      <c r="CZ325" s="146"/>
      <c r="DA325" s="146"/>
      <c r="DB325" s="146"/>
      <c r="DC325" s="146"/>
    </row>
    <row r="326" ht="15.75" customHeight="1">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c r="AA326" s="144"/>
      <c r="AB326" s="144"/>
      <c r="AC326" s="144"/>
      <c r="AD326" s="144"/>
      <c r="AE326" s="144"/>
      <c r="AF326" s="144"/>
      <c r="AG326" s="144"/>
      <c r="AH326" s="144"/>
      <c r="AI326" s="144"/>
      <c r="AJ326" s="144"/>
      <c r="AK326" s="144"/>
      <c r="AL326" s="144"/>
      <c r="AM326" s="144"/>
      <c r="AN326" s="144"/>
      <c r="AO326" s="144"/>
      <c r="AP326" s="146"/>
      <c r="AQ326" s="146"/>
      <c r="AR326" s="146"/>
      <c r="AS326" s="146"/>
      <c r="AT326" s="146"/>
      <c r="AU326" s="146"/>
      <c r="AV326" s="146"/>
      <c r="AW326" s="146"/>
      <c r="AX326" s="146"/>
      <c r="AY326" s="146"/>
      <c r="AZ326" s="146"/>
      <c r="BA326" s="146"/>
      <c r="BB326" s="146"/>
      <c r="BC326" s="146"/>
      <c r="BD326" s="146"/>
      <c r="BE326" s="146"/>
      <c r="BF326" s="146"/>
      <c r="BG326" s="146"/>
      <c r="BH326" s="146"/>
      <c r="BI326" s="146"/>
      <c r="BJ326" s="146"/>
      <c r="BK326" s="146"/>
      <c r="BL326" s="146"/>
      <c r="BM326" s="146"/>
      <c r="BN326" s="146"/>
      <c r="BO326" s="146"/>
      <c r="BP326" s="146"/>
      <c r="BQ326" s="146"/>
      <c r="BR326" s="146"/>
      <c r="BS326" s="146"/>
      <c r="BT326" s="146"/>
      <c r="BU326" s="146"/>
      <c r="BV326" s="146"/>
      <c r="BW326" s="146"/>
      <c r="BX326" s="146"/>
      <c r="BY326" s="146"/>
      <c r="BZ326" s="146"/>
      <c r="CA326" s="146"/>
      <c r="CB326" s="146"/>
      <c r="CC326" s="146"/>
      <c r="CD326" s="146"/>
      <c r="CE326" s="146"/>
      <c r="CF326" s="146"/>
      <c r="CG326" s="146"/>
      <c r="CH326" s="146"/>
      <c r="CI326" s="146"/>
      <c r="CJ326" s="146"/>
      <c r="CK326" s="146"/>
      <c r="CL326" s="146"/>
      <c r="CM326" s="146"/>
      <c r="CN326" s="146"/>
      <c r="CO326" s="146"/>
      <c r="CP326" s="146"/>
      <c r="CQ326" s="146"/>
      <c r="CR326" s="146"/>
      <c r="CS326" s="146"/>
      <c r="CT326" s="146"/>
      <c r="CU326" s="146"/>
      <c r="CV326" s="146"/>
      <c r="CW326" s="146"/>
      <c r="CX326" s="146"/>
      <c r="CY326" s="146"/>
      <c r="CZ326" s="146"/>
      <c r="DA326" s="146"/>
      <c r="DB326" s="146"/>
      <c r="DC326" s="146"/>
    </row>
    <row r="327" ht="15.75" customHeight="1">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c r="AA327" s="144"/>
      <c r="AB327" s="144"/>
      <c r="AC327" s="144"/>
      <c r="AD327" s="144"/>
      <c r="AE327" s="144"/>
      <c r="AF327" s="144"/>
      <c r="AG327" s="144"/>
      <c r="AH327" s="144"/>
      <c r="AI327" s="144"/>
      <c r="AJ327" s="144"/>
      <c r="AK327" s="144"/>
      <c r="AL327" s="144"/>
      <c r="AM327" s="144"/>
      <c r="AN327" s="144"/>
      <c r="AO327" s="144"/>
      <c r="AP327" s="146"/>
      <c r="AQ327" s="146"/>
      <c r="AR327" s="146"/>
      <c r="AS327" s="146"/>
      <c r="AT327" s="146"/>
      <c r="AU327" s="146"/>
      <c r="AV327" s="146"/>
      <c r="AW327" s="146"/>
      <c r="AX327" s="146"/>
      <c r="AY327" s="146"/>
      <c r="AZ327" s="146"/>
      <c r="BA327" s="146"/>
      <c r="BB327" s="146"/>
      <c r="BC327" s="146"/>
      <c r="BD327" s="146"/>
      <c r="BE327" s="146"/>
      <c r="BF327" s="146"/>
      <c r="BG327" s="146"/>
      <c r="BH327" s="146"/>
      <c r="BI327" s="146"/>
      <c r="BJ327" s="146"/>
      <c r="BK327" s="146"/>
      <c r="BL327" s="146"/>
      <c r="BM327" s="146"/>
      <c r="BN327" s="146"/>
      <c r="BO327" s="146"/>
      <c r="BP327" s="146"/>
      <c r="BQ327" s="146"/>
      <c r="BR327" s="146"/>
      <c r="BS327" s="146"/>
      <c r="BT327" s="146"/>
      <c r="BU327" s="146"/>
      <c r="BV327" s="146"/>
      <c r="BW327" s="146"/>
      <c r="BX327" s="146"/>
      <c r="BY327" s="146"/>
      <c r="BZ327" s="146"/>
      <c r="CA327" s="146"/>
      <c r="CB327" s="146"/>
      <c r="CC327" s="146"/>
      <c r="CD327" s="146"/>
      <c r="CE327" s="146"/>
      <c r="CF327" s="146"/>
      <c r="CG327" s="146"/>
      <c r="CH327" s="146"/>
      <c r="CI327" s="146"/>
      <c r="CJ327" s="146"/>
      <c r="CK327" s="146"/>
      <c r="CL327" s="146"/>
      <c r="CM327" s="146"/>
      <c r="CN327" s="146"/>
      <c r="CO327" s="146"/>
      <c r="CP327" s="146"/>
      <c r="CQ327" s="146"/>
      <c r="CR327" s="146"/>
      <c r="CS327" s="146"/>
      <c r="CT327" s="146"/>
      <c r="CU327" s="146"/>
      <c r="CV327" s="146"/>
      <c r="CW327" s="146"/>
      <c r="CX327" s="146"/>
      <c r="CY327" s="146"/>
      <c r="CZ327" s="146"/>
      <c r="DA327" s="146"/>
      <c r="DB327" s="146"/>
      <c r="DC327" s="146"/>
    </row>
    <row r="328" ht="15.75" customHeight="1">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c r="AA328" s="144"/>
      <c r="AB328" s="144"/>
      <c r="AC328" s="144"/>
      <c r="AD328" s="144"/>
      <c r="AE328" s="144"/>
      <c r="AF328" s="144"/>
      <c r="AG328" s="144"/>
      <c r="AH328" s="144"/>
      <c r="AI328" s="144"/>
      <c r="AJ328" s="144"/>
      <c r="AK328" s="144"/>
      <c r="AL328" s="144"/>
      <c r="AM328" s="144"/>
      <c r="AN328" s="144"/>
      <c r="AO328" s="144"/>
      <c r="AP328" s="146"/>
      <c r="AQ328" s="146"/>
      <c r="AR328" s="146"/>
      <c r="AS328" s="146"/>
      <c r="AT328" s="146"/>
      <c r="AU328" s="146"/>
      <c r="AV328" s="146"/>
      <c r="AW328" s="146"/>
      <c r="AX328" s="146"/>
      <c r="AY328" s="146"/>
      <c r="AZ328" s="146"/>
      <c r="BA328" s="146"/>
      <c r="BB328" s="146"/>
      <c r="BC328" s="146"/>
      <c r="BD328" s="146"/>
      <c r="BE328" s="146"/>
      <c r="BF328" s="146"/>
      <c r="BG328" s="146"/>
      <c r="BH328" s="146"/>
      <c r="BI328" s="146"/>
      <c r="BJ328" s="146"/>
      <c r="BK328" s="146"/>
      <c r="BL328" s="146"/>
      <c r="BM328" s="146"/>
      <c r="BN328" s="146"/>
      <c r="BO328" s="146"/>
      <c r="BP328" s="146"/>
      <c r="BQ328" s="146"/>
      <c r="BR328" s="146"/>
      <c r="BS328" s="146"/>
      <c r="BT328" s="146"/>
      <c r="BU328" s="146"/>
      <c r="BV328" s="146"/>
      <c r="BW328" s="146"/>
      <c r="BX328" s="146"/>
      <c r="BY328" s="146"/>
      <c r="BZ328" s="146"/>
      <c r="CA328" s="146"/>
      <c r="CB328" s="146"/>
      <c r="CC328" s="146"/>
      <c r="CD328" s="146"/>
      <c r="CE328" s="146"/>
      <c r="CF328" s="146"/>
      <c r="CG328" s="146"/>
      <c r="CH328" s="146"/>
      <c r="CI328" s="146"/>
      <c r="CJ328" s="146"/>
      <c r="CK328" s="146"/>
      <c r="CL328" s="146"/>
      <c r="CM328" s="146"/>
      <c r="CN328" s="146"/>
      <c r="CO328" s="146"/>
      <c r="CP328" s="146"/>
      <c r="CQ328" s="146"/>
      <c r="CR328" s="146"/>
      <c r="CS328" s="146"/>
      <c r="CT328" s="146"/>
      <c r="CU328" s="146"/>
      <c r="CV328" s="146"/>
      <c r="CW328" s="146"/>
      <c r="CX328" s="146"/>
      <c r="CY328" s="146"/>
      <c r="CZ328" s="146"/>
      <c r="DA328" s="146"/>
      <c r="DB328" s="146"/>
      <c r="DC328" s="146"/>
    </row>
    <row r="329" ht="15.75" customHeight="1">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c r="AA329" s="144"/>
      <c r="AB329" s="144"/>
      <c r="AC329" s="144"/>
      <c r="AD329" s="144"/>
      <c r="AE329" s="144"/>
      <c r="AF329" s="144"/>
      <c r="AG329" s="144"/>
      <c r="AH329" s="144"/>
      <c r="AI329" s="144"/>
      <c r="AJ329" s="144"/>
      <c r="AK329" s="144"/>
      <c r="AL329" s="144"/>
      <c r="AM329" s="144"/>
      <c r="AN329" s="144"/>
      <c r="AO329" s="144"/>
      <c r="AP329" s="146"/>
      <c r="AQ329" s="146"/>
      <c r="AR329" s="146"/>
      <c r="AS329" s="146"/>
      <c r="AT329" s="146"/>
      <c r="AU329" s="146"/>
      <c r="AV329" s="146"/>
      <c r="AW329" s="146"/>
      <c r="AX329" s="146"/>
      <c r="AY329" s="146"/>
      <c r="AZ329" s="146"/>
      <c r="BA329" s="146"/>
      <c r="BB329" s="146"/>
      <c r="BC329" s="146"/>
      <c r="BD329" s="146"/>
      <c r="BE329" s="146"/>
      <c r="BF329" s="146"/>
      <c r="BG329" s="146"/>
      <c r="BH329" s="146"/>
      <c r="BI329" s="146"/>
      <c r="BJ329" s="146"/>
      <c r="BK329" s="146"/>
      <c r="BL329" s="146"/>
      <c r="BM329" s="146"/>
      <c r="BN329" s="146"/>
      <c r="BO329" s="146"/>
      <c r="BP329" s="146"/>
      <c r="BQ329" s="146"/>
      <c r="BR329" s="146"/>
      <c r="BS329" s="146"/>
      <c r="BT329" s="146"/>
      <c r="BU329" s="146"/>
      <c r="BV329" s="146"/>
      <c r="BW329" s="146"/>
      <c r="BX329" s="146"/>
      <c r="BY329" s="146"/>
      <c r="BZ329" s="146"/>
      <c r="CA329" s="146"/>
      <c r="CB329" s="146"/>
      <c r="CC329" s="146"/>
      <c r="CD329" s="146"/>
      <c r="CE329" s="146"/>
      <c r="CF329" s="146"/>
      <c r="CG329" s="146"/>
      <c r="CH329" s="146"/>
      <c r="CI329" s="146"/>
      <c r="CJ329" s="146"/>
      <c r="CK329" s="146"/>
      <c r="CL329" s="146"/>
      <c r="CM329" s="146"/>
      <c r="CN329" s="146"/>
      <c r="CO329" s="146"/>
      <c r="CP329" s="146"/>
      <c r="CQ329" s="146"/>
      <c r="CR329" s="146"/>
      <c r="CS329" s="146"/>
      <c r="CT329" s="146"/>
      <c r="CU329" s="146"/>
      <c r="CV329" s="146"/>
      <c r="CW329" s="146"/>
      <c r="CX329" s="146"/>
      <c r="CY329" s="146"/>
      <c r="CZ329" s="146"/>
      <c r="DA329" s="146"/>
      <c r="DB329" s="146"/>
      <c r="DC329" s="146"/>
    </row>
    <row r="330" ht="15.75" customHeight="1">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c r="AA330" s="144"/>
      <c r="AB330" s="144"/>
      <c r="AC330" s="144"/>
      <c r="AD330" s="144"/>
      <c r="AE330" s="144"/>
      <c r="AF330" s="144"/>
      <c r="AG330" s="144"/>
      <c r="AH330" s="144"/>
      <c r="AI330" s="144"/>
      <c r="AJ330" s="144"/>
      <c r="AK330" s="144"/>
      <c r="AL330" s="144"/>
      <c r="AM330" s="144"/>
      <c r="AN330" s="144"/>
      <c r="AO330" s="144"/>
      <c r="AP330" s="146"/>
      <c r="AQ330" s="146"/>
      <c r="AR330" s="146"/>
      <c r="AS330" s="146"/>
      <c r="AT330" s="146"/>
      <c r="AU330" s="146"/>
      <c r="AV330" s="146"/>
      <c r="AW330" s="146"/>
      <c r="AX330" s="146"/>
      <c r="AY330" s="146"/>
      <c r="AZ330" s="146"/>
      <c r="BA330" s="146"/>
      <c r="BB330" s="146"/>
      <c r="BC330" s="146"/>
      <c r="BD330" s="146"/>
      <c r="BE330" s="146"/>
      <c r="BF330" s="146"/>
      <c r="BG330" s="146"/>
      <c r="BH330" s="146"/>
      <c r="BI330" s="146"/>
      <c r="BJ330" s="146"/>
      <c r="BK330" s="146"/>
      <c r="BL330" s="146"/>
      <c r="BM330" s="146"/>
      <c r="BN330" s="146"/>
      <c r="BO330" s="146"/>
      <c r="BP330" s="146"/>
      <c r="BQ330" s="146"/>
      <c r="BR330" s="146"/>
      <c r="BS330" s="146"/>
      <c r="BT330" s="146"/>
      <c r="BU330" s="146"/>
      <c r="BV330" s="146"/>
      <c r="BW330" s="146"/>
      <c r="BX330" s="146"/>
      <c r="BY330" s="146"/>
      <c r="BZ330" s="146"/>
      <c r="CA330" s="146"/>
      <c r="CB330" s="146"/>
      <c r="CC330" s="146"/>
      <c r="CD330" s="146"/>
      <c r="CE330" s="146"/>
      <c r="CF330" s="146"/>
      <c r="CG330" s="146"/>
      <c r="CH330" s="146"/>
      <c r="CI330" s="146"/>
      <c r="CJ330" s="146"/>
      <c r="CK330" s="146"/>
      <c r="CL330" s="146"/>
      <c r="CM330" s="146"/>
      <c r="CN330" s="146"/>
      <c r="CO330" s="146"/>
      <c r="CP330" s="146"/>
      <c r="CQ330" s="146"/>
      <c r="CR330" s="146"/>
      <c r="CS330" s="146"/>
      <c r="CT330" s="146"/>
      <c r="CU330" s="146"/>
      <c r="CV330" s="146"/>
      <c r="CW330" s="146"/>
      <c r="CX330" s="146"/>
      <c r="CY330" s="146"/>
      <c r="CZ330" s="146"/>
      <c r="DA330" s="146"/>
      <c r="DB330" s="146"/>
      <c r="DC330" s="146"/>
    </row>
    <row r="331" ht="15.75" customHeight="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c r="AE331" s="144"/>
      <c r="AF331" s="144"/>
      <c r="AG331" s="144"/>
      <c r="AH331" s="144"/>
      <c r="AI331" s="144"/>
      <c r="AJ331" s="144"/>
      <c r="AK331" s="144"/>
      <c r="AL331" s="144"/>
      <c r="AM331" s="144"/>
      <c r="AN331" s="144"/>
      <c r="AO331" s="144"/>
      <c r="AP331" s="146"/>
      <c r="AQ331" s="146"/>
      <c r="AR331" s="146"/>
      <c r="AS331" s="146"/>
      <c r="AT331" s="146"/>
      <c r="AU331" s="146"/>
      <c r="AV331" s="146"/>
      <c r="AW331" s="146"/>
      <c r="AX331" s="146"/>
      <c r="AY331" s="146"/>
      <c r="AZ331" s="146"/>
      <c r="BA331" s="146"/>
      <c r="BB331" s="146"/>
      <c r="BC331" s="146"/>
      <c r="BD331" s="146"/>
      <c r="BE331" s="146"/>
      <c r="BF331" s="146"/>
      <c r="BG331" s="146"/>
      <c r="BH331" s="146"/>
      <c r="BI331" s="146"/>
      <c r="BJ331" s="146"/>
      <c r="BK331" s="146"/>
      <c r="BL331" s="146"/>
      <c r="BM331" s="146"/>
      <c r="BN331" s="146"/>
      <c r="BO331" s="146"/>
      <c r="BP331" s="146"/>
      <c r="BQ331" s="146"/>
      <c r="BR331" s="146"/>
      <c r="BS331" s="146"/>
      <c r="BT331" s="146"/>
      <c r="BU331" s="146"/>
      <c r="BV331" s="146"/>
      <c r="BW331" s="146"/>
      <c r="BX331" s="146"/>
      <c r="BY331" s="146"/>
      <c r="BZ331" s="146"/>
      <c r="CA331" s="146"/>
      <c r="CB331" s="146"/>
      <c r="CC331" s="146"/>
      <c r="CD331" s="146"/>
      <c r="CE331" s="146"/>
      <c r="CF331" s="146"/>
      <c r="CG331" s="146"/>
      <c r="CH331" s="146"/>
      <c r="CI331" s="146"/>
      <c r="CJ331" s="146"/>
      <c r="CK331" s="146"/>
      <c r="CL331" s="146"/>
      <c r="CM331" s="146"/>
      <c r="CN331" s="146"/>
      <c r="CO331" s="146"/>
      <c r="CP331" s="146"/>
      <c r="CQ331" s="146"/>
      <c r="CR331" s="146"/>
      <c r="CS331" s="146"/>
      <c r="CT331" s="146"/>
      <c r="CU331" s="146"/>
      <c r="CV331" s="146"/>
      <c r="CW331" s="146"/>
      <c r="CX331" s="146"/>
      <c r="CY331" s="146"/>
      <c r="CZ331" s="146"/>
      <c r="DA331" s="146"/>
      <c r="DB331" s="146"/>
      <c r="DC331" s="146"/>
    </row>
    <row r="332" ht="15.75" customHeight="1">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c r="AF332" s="144"/>
      <c r="AG332" s="144"/>
      <c r="AH332" s="144"/>
      <c r="AI332" s="144"/>
      <c r="AJ332" s="144"/>
      <c r="AK332" s="144"/>
      <c r="AL332" s="144"/>
      <c r="AM332" s="144"/>
      <c r="AN332" s="144"/>
      <c r="AO332" s="144"/>
      <c r="AP332" s="146"/>
      <c r="AQ332" s="146"/>
      <c r="AR332" s="146"/>
      <c r="AS332" s="146"/>
      <c r="AT332" s="146"/>
      <c r="AU332" s="146"/>
      <c r="AV332" s="146"/>
      <c r="AW332" s="146"/>
      <c r="AX332" s="146"/>
      <c r="AY332" s="146"/>
      <c r="AZ332" s="146"/>
      <c r="BA332" s="146"/>
      <c r="BB332" s="146"/>
      <c r="BC332" s="146"/>
      <c r="BD332" s="146"/>
      <c r="BE332" s="146"/>
      <c r="BF332" s="146"/>
      <c r="BG332" s="146"/>
      <c r="BH332" s="146"/>
      <c r="BI332" s="146"/>
      <c r="BJ332" s="146"/>
      <c r="BK332" s="146"/>
      <c r="BL332" s="146"/>
      <c r="BM332" s="146"/>
      <c r="BN332" s="146"/>
      <c r="BO332" s="146"/>
      <c r="BP332" s="146"/>
      <c r="BQ332" s="146"/>
      <c r="BR332" s="146"/>
      <c r="BS332" s="146"/>
      <c r="BT332" s="146"/>
      <c r="BU332" s="146"/>
      <c r="BV332" s="146"/>
      <c r="BW332" s="146"/>
      <c r="BX332" s="146"/>
      <c r="BY332" s="146"/>
      <c r="BZ332" s="146"/>
      <c r="CA332" s="146"/>
      <c r="CB332" s="146"/>
      <c r="CC332" s="146"/>
      <c r="CD332" s="146"/>
      <c r="CE332" s="146"/>
      <c r="CF332" s="146"/>
      <c r="CG332" s="146"/>
      <c r="CH332" s="146"/>
      <c r="CI332" s="146"/>
      <c r="CJ332" s="146"/>
      <c r="CK332" s="146"/>
      <c r="CL332" s="146"/>
      <c r="CM332" s="146"/>
      <c r="CN332" s="146"/>
      <c r="CO332" s="146"/>
      <c r="CP332" s="146"/>
      <c r="CQ332" s="146"/>
      <c r="CR332" s="146"/>
      <c r="CS332" s="146"/>
      <c r="CT332" s="146"/>
      <c r="CU332" s="146"/>
      <c r="CV332" s="146"/>
      <c r="CW332" s="146"/>
      <c r="CX332" s="146"/>
      <c r="CY332" s="146"/>
      <c r="CZ332" s="146"/>
      <c r="DA332" s="146"/>
      <c r="DB332" s="146"/>
      <c r="DC332" s="146"/>
    </row>
    <row r="333" ht="15.75" customHeight="1">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4"/>
      <c r="AI333" s="144"/>
      <c r="AJ333" s="144"/>
      <c r="AK333" s="144"/>
      <c r="AL333" s="144"/>
      <c r="AM333" s="144"/>
      <c r="AN333" s="144"/>
      <c r="AO333" s="144"/>
      <c r="AP333" s="146"/>
      <c r="AQ333" s="146"/>
      <c r="AR333" s="146"/>
      <c r="AS333" s="146"/>
      <c r="AT333" s="146"/>
      <c r="AU333" s="146"/>
      <c r="AV333" s="146"/>
      <c r="AW333" s="146"/>
      <c r="AX333" s="146"/>
      <c r="AY333" s="146"/>
      <c r="AZ333" s="146"/>
      <c r="BA333" s="146"/>
      <c r="BB333" s="146"/>
      <c r="BC333" s="146"/>
      <c r="BD333" s="146"/>
      <c r="BE333" s="146"/>
      <c r="BF333" s="146"/>
      <c r="BG333" s="146"/>
      <c r="BH333" s="146"/>
      <c r="BI333" s="146"/>
      <c r="BJ333" s="146"/>
      <c r="BK333" s="146"/>
      <c r="BL333" s="146"/>
      <c r="BM333" s="146"/>
      <c r="BN333" s="146"/>
      <c r="BO333" s="146"/>
      <c r="BP333" s="146"/>
      <c r="BQ333" s="146"/>
      <c r="BR333" s="146"/>
      <c r="BS333" s="146"/>
      <c r="BT333" s="146"/>
      <c r="BU333" s="146"/>
      <c r="BV333" s="146"/>
      <c r="BW333" s="146"/>
      <c r="BX333" s="146"/>
      <c r="BY333" s="146"/>
      <c r="BZ333" s="146"/>
      <c r="CA333" s="146"/>
      <c r="CB333" s="146"/>
      <c r="CC333" s="146"/>
      <c r="CD333" s="146"/>
      <c r="CE333" s="146"/>
      <c r="CF333" s="146"/>
      <c r="CG333" s="146"/>
      <c r="CH333" s="146"/>
      <c r="CI333" s="146"/>
      <c r="CJ333" s="146"/>
      <c r="CK333" s="146"/>
      <c r="CL333" s="146"/>
      <c r="CM333" s="146"/>
      <c r="CN333" s="146"/>
      <c r="CO333" s="146"/>
      <c r="CP333" s="146"/>
      <c r="CQ333" s="146"/>
      <c r="CR333" s="146"/>
      <c r="CS333" s="146"/>
      <c r="CT333" s="146"/>
      <c r="CU333" s="146"/>
      <c r="CV333" s="146"/>
      <c r="CW333" s="146"/>
      <c r="CX333" s="146"/>
      <c r="CY333" s="146"/>
      <c r="CZ333" s="146"/>
      <c r="DA333" s="146"/>
      <c r="DB333" s="146"/>
      <c r="DC333" s="146"/>
    </row>
    <row r="334" ht="15.75" customHeight="1">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c r="AF334" s="144"/>
      <c r="AG334" s="144"/>
      <c r="AH334" s="144"/>
      <c r="AI334" s="144"/>
      <c r="AJ334" s="144"/>
      <c r="AK334" s="144"/>
      <c r="AL334" s="144"/>
      <c r="AM334" s="144"/>
      <c r="AN334" s="144"/>
      <c r="AO334" s="144"/>
      <c r="AP334" s="146"/>
      <c r="AQ334" s="146"/>
      <c r="AR334" s="146"/>
      <c r="AS334" s="146"/>
      <c r="AT334" s="146"/>
      <c r="AU334" s="146"/>
      <c r="AV334" s="146"/>
      <c r="AW334" s="146"/>
      <c r="AX334" s="146"/>
      <c r="AY334" s="146"/>
      <c r="AZ334" s="146"/>
      <c r="BA334" s="146"/>
      <c r="BB334" s="146"/>
      <c r="BC334" s="146"/>
      <c r="BD334" s="146"/>
      <c r="BE334" s="146"/>
      <c r="BF334" s="146"/>
      <c r="BG334" s="146"/>
      <c r="BH334" s="146"/>
      <c r="BI334" s="146"/>
      <c r="BJ334" s="146"/>
      <c r="BK334" s="146"/>
      <c r="BL334" s="146"/>
      <c r="BM334" s="146"/>
      <c r="BN334" s="146"/>
      <c r="BO334" s="146"/>
      <c r="BP334" s="146"/>
      <c r="BQ334" s="146"/>
      <c r="BR334" s="146"/>
      <c r="BS334" s="146"/>
      <c r="BT334" s="146"/>
      <c r="BU334" s="146"/>
      <c r="BV334" s="146"/>
      <c r="BW334" s="146"/>
      <c r="BX334" s="146"/>
      <c r="BY334" s="146"/>
      <c r="BZ334" s="146"/>
      <c r="CA334" s="146"/>
      <c r="CB334" s="146"/>
      <c r="CC334" s="146"/>
      <c r="CD334" s="146"/>
      <c r="CE334" s="146"/>
      <c r="CF334" s="146"/>
      <c r="CG334" s="146"/>
      <c r="CH334" s="146"/>
      <c r="CI334" s="146"/>
      <c r="CJ334" s="146"/>
      <c r="CK334" s="146"/>
      <c r="CL334" s="146"/>
      <c r="CM334" s="146"/>
      <c r="CN334" s="146"/>
      <c r="CO334" s="146"/>
      <c r="CP334" s="146"/>
      <c r="CQ334" s="146"/>
      <c r="CR334" s="146"/>
      <c r="CS334" s="146"/>
      <c r="CT334" s="146"/>
      <c r="CU334" s="146"/>
      <c r="CV334" s="146"/>
      <c r="CW334" s="146"/>
      <c r="CX334" s="146"/>
      <c r="CY334" s="146"/>
      <c r="CZ334" s="146"/>
      <c r="DA334" s="146"/>
      <c r="DB334" s="146"/>
      <c r="DC334" s="146"/>
    </row>
    <row r="335" ht="15.75" customHeight="1">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c r="AE335" s="144"/>
      <c r="AF335" s="144"/>
      <c r="AG335" s="144"/>
      <c r="AH335" s="144"/>
      <c r="AI335" s="144"/>
      <c r="AJ335" s="144"/>
      <c r="AK335" s="144"/>
      <c r="AL335" s="144"/>
      <c r="AM335" s="144"/>
      <c r="AN335" s="144"/>
      <c r="AO335" s="144"/>
      <c r="AP335" s="146"/>
      <c r="AQ335" s="146"/>
      <c r="AR335" s="146"/>
      <c r="AS335" s="146"/>
      <c r="AT335" s="146"/>
      <c r="AU335" s="146"/>
      <c r="AV335" s="146"/>
      <c r="AW335" s="146"/>
      <c r="AX335" s="146"/>
      <c r="AY335" s="146"/>
      <c r="AZ335" s="146"/>
      <c r="BA335" s="146"/>
      <c r="BB335" s="146"/>
      <c r="BC335" s="146"/>
      <c r="BD335" s="146"/>
      <c r="BE335" s="146"/>
      <c r="BF335" s="146"/>
      <c r="BG335" s="146"/>
      <c r="BH335" s="146"/>
      <c r="BI335" s="146"/>
      <c r="BJ335" s="146"/>
      <c r="BK335" s="146"/>
      <c r="BL335" s="146"/>
      <c r="BM335" s="146"/>
      <c r="BN335" s="146"/>
      <c r="BO335" s="146"/>
      <c r="BP335" s="146"/>
      <c r="BQ335" s="146"/>
      <c r="BR335" s="146"/>
      <c r="BS335" s="146"/>
      <c r="BT335" s="146"/>
      <c r="BU335" s="146"/>
      <c r="BV335" s="146"/>
      <c r="BW335" s="146"/>
      <c r="BX335" s="146"/>
      <c r="BY335" s="146"/>
      <c r="BZ335" s="146"/>
      <c r="CA335" s="146"/>
      <c r="CB335" s="146"/>
      <c r="CC335" s="146"/>
      <c r="CD335" s="146"/>
      <c r="CE335" s="146"/>
      <c r="CF335" s="146"/>
      <c r="CG335" s="146"/>
      <c r="CH335" s="146"/>
      <c r="CI335" s="146"/>
      <c r="CJ335" s="146"/>
      <c r="CK335" s="146"/>
      <c r="CL335" s="146"/>
      <c r="CM335" s="146"/>
      <c r="CN335" s="146"/>
      <c r="CO335" s="146"/>
      <c r="CP335" s="146"/>
      <c r="CQ335" s="146"/>
      <c r="CR335" s="146"/>
      <c r="CS335" s="146"/>
      <c r="CT335" s="146"/>
      <c r="CU335" s="146"/>
      <c r="CV335" s="146"/>
      <c r="CW335" s="146"/>
      <c r="CX335" s="146"/>
      <c r="CY335" s="146"/>
      <c r="CZ335" s="146"/>
      <c r="DA335" s="146"/>
      <c r="DB335" s="146"/>
      <c r="DC335" s="146"/>
    </row>
    <row r="336" ht="15.75" customHeight="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6"/>
      <c r="AQ336" s="146"/>
      <c r="AR336" s="146"/>
      <c r="AS336" s="146"/>
      <c r="AT336" s="146"/>
      <c r="AU336" s="146"/>
      <c r="AV336" s="146"/>
      <c r="AW336" s="146"/>
      <c r="AX336" s="146"/>
      <c r="AY336" s="146"/>
      <c r="AZ336" s="146"/>
      <c r="BA336" s="146"/>
      <c r="BB336" s="146"/>
      <c r="BC336" s="146"/>
      <c r="BD336" s="146"/>
      <c r="BE336" s="146"/>
      <c r="BF336" s="146"/>
      <c r="BG336" s="146"/>
      <c r="BH336" s="146"/>
      <c r="BI336" s="146"/>
      <c r="BJ336" s="146"/>
      <c r="BK336" s="146"/>
      <c r="BL336" s="146"/>
      <c r="BM336" s="146"/>
      <c r="BN336" s="146"/>
      <c r="BO336" s="146"/>
      <c r="BP336" s="146"/>
      <c r="BQ336" s="146"/>
      <c r="BR336" s="146"/>
      <c r="BS336" s="146"/>
      <c r="BT336" s="146"/>
      <c r="BU336" s="146"/>
      <c r="BV336" s="146"/>
      <c r="BW336" s="146"/>
      <c r="BX336" s="146"/>
      <c r="BY336" s="146"/>
      <c r="BZ336" s="146"/>
      <c r="CA336" s="146"/>
      <c r="CB336" s="146"/>
      <c r="CC336" s="146"/>
      <c r="CD336" s="146"/>
      <c r="CE336" s="146"/>
      <c r="CF336" s="146"/>
      <c r="CG336" s="146"/>
      <c r="CH336" s="146"/>
      <c r="CI336" s="146"/>
      <c r="CJ336" s="146"/>
      <c r="CK336" s="146"/>
      <c r="CL336" s="146"/>
      <c r="CM336" s="146"/>
      <c r="CN336" s="146"/>
      <c r="CO336" s="146"/>
      <c r="CP336" s="146"/>
      <c r="CQ336" s="146"/>
      <c r="CR336" s="146"/>
      <c r="CS336" s="146"/>
      <c r="CT336" s="146"/>
      <c r="CU336" s="146"/>
      <c r="CV336" s="146"/>
      <c r="CW336" s="146"/>
      <c r="CX336" s="146"/>
      <c r="CY336" s="146"/>
      <c r="CZ336" s="146"/>
      <c r="DA336" s="146"/>
      <c r="DB336" s="146"/>
      <c r="DC336" s="146"/>
    </row>
    <row r="337" ht="15.75" customHeight="1">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44"/>
      <c r="AD337" s="144"/>
      <c r="AE337" s="144"/>
      <c r="AF337" s="144"/>
      <c r="AG337" s="144"/>
      <c r="AH337" s="144"/>
      <c r="AI337" s="144"/>
      <c r="AJ337" s="144"/>
      <c r="AK337" s="144"/>
      <c r="AL337" s="144"/>
      <c r="AM337" s="144"/>
      <c r="AN337" s="144"/>
      <c r="AO337" s="144"/>
      <c r="AP337" s="146"/>
      <c r="AQ337" s="146"/>
      <c r="AR337" s="146"/>
      <c r="AS337" s="146"/>
      <c r="AT337" s="146"/>
      <c r="AU337" s="146"/>
      <c r="AV337" s="146"/>
      <c r="AW337" s="146"/>
      <c r="AX337" s="146"/>
      <c r="AY337" s="146"/>
      <c r="AZ337" s="146"/>
      <c r="BA337" s="146"/>
      <c r="BB337" s="146"/>
      <c r="BC337" s="146"/>
      <c r="BD337" s="146"/>
      <c r="BE337" s="146"/>
      <c r="BF337" s="146"/>
      <c r="BG337" s="146"/>
      <c r="BH337" s="146"/>
      <c r="BI337" s="146"/>
      <c r="BJ337" s="146"/>
      <c r="BK337" s="146"/>
      <c r="BL337" s="146"/>
      <c r="BM337" s="146"/>
      <c r="BN337" s="146"/>
      <c r="BO337" s="146"/>
      <c r="BP337" s="146"/>
      <c r="BQ337" s="146"/>
      <c r="BR337" s="146"/>
      <c r="BS337" s="146"/>
      <c r="BT337" s="146"/>
      <c r="BU337" s="146"/>
      <c r="BV337" s="146"/>
      <c r="BW337" s="146"/>
      <c r="BX337" s="146"/>
      <c r="BY337" s="146"/>
      <c r="BZ337" s="146"/>
      <c r="CA337" s="146"/>
      <c r="CB337" s="146"/>
      <c r="CC337" s="146"/>
      <c r="CD337" s="146"/>
      <c r="CE337" s="146"/>
      <c r="CF337" s="146"/>
      <c r="CG337" s="146"/>
      <c r="CH337" s="146"/>
      <c r="CI337" s="146"/>
      <c r="CJ337" s="146"/>
      <c r="CK337" s="146"/>
      <c r="CL337" s="146"/>
      <c r="CM337" s="146"/>
      <c r="CN337" s="146"/>
      <c r="CO337" s="146"/>
      <c r="CP337" s="146"/>
      <c r="CQ337" s="146"/>
      <c r="CR337" s="146"/>
      <c r="CS337" s="146"/>
      <c r="CT337" s="146"/>
      <c r="CU337" s="146"/>
      <c r="CV337" s="146"/>
      <c r="CW337" s="146"/>
      <c r="CX337" s="146"/>
      <c r="CY337" s="146"/>
      <c r="CZ337" s="146"/>
      <c r="DA337" s="146"/>
      <c r="DB337" s="146"/>
      <c r="DC337" s="146"/>
    </row>
    <row r="338" ht="15.75" customHeight="1">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c r="AA338" s="144"/>
      <c r="AB338" s="144"/>
      <c r="AC338" s="144"/>
      <c r="AD338" s="144"/>
      <c r="AE338" s="144"/>
      <c r="AF338" s="144"/>
      <c r="AG338" s="144"/>
      <c r="AH338" s="144"/>
      <c r="AI338" s="144"/>
      <c r="AJ338" s="144"/>
      <c r="AK338" s="144"/>
      <c r="AL338" s="144"/>
      <c r="AM338" s="144"/>
      <c r="AN338" s="144"/>
      <c r="AO338" s="144"/>
      <c r="AP338" s="146"/>
      <c r="AQ338" s="146"/>
      <c r="AR338" s="146"/>
      <c r="AS338" s="146"/>
      <c r="AT338" s="146"/>
      <c r="AU338" s="146"/>
      <c r="AV338" s="146"/>
      <c r="AW338" s="146"/>
      <c r="AX338" s="146"/>
      <c r="AY338" s="146"/>
      <c r="AZ338" s="146"/>
      <c r="BA338" s="146"/>
      <c r="BB338" s="146"/>
      <c r="BC338" s="146"/>
      <c r="BD338" s="146"/>
      <c r="BE338" s="146"/>
      <c r="BF338" s="146"/>
      <c r="BG338" s="146"/>
      <c r="BH338" s="146"/>
      <c r="BI338" s="146"/>
      <c r="BJ338" s="146"/>
      <c r="BK338" s="146"/>
      <c r="BL338" s="146"/>
      <c r="BM338" s="146"/>
      <c r="BN338" s="146"/>
      <c r="BO338" s="146"/>
      <c r="BP338" s="146"/>
      <c r="BQ338" s="146"/>
      <c r="BR338" s="146"/>
      <c r="BS338" s="146"/>
      <c r="BT338" s="146"/>
      <c r="BU338" s="146"/>
      <c r="BV338" s="146"/>
      <c r="BW338" s="146"/>
      <c r="BX338" s="146"/>
      <c r="BY338" s="146"/>
      <c r="BZ338" s="146"/>
      <c r="CA338" s="146"/>
      <c r="CB338" s="146"/>
      <c r="CC338" s="146"/>
      <c r="CD338" s="146"/>
      <c r="CE338" s="146"/>
      <c r="CF338" s="146"/>
      <c r="CG338" s="146"/>
      <c r="CH338" s="146"/>
      <c r="CI338" s="146"/>
      <c r="CJ338" s="146"/>
      <c r="CK338" s="146"/>
      <c r="CL338" s="146"/>
      <c r="CM338" s="146"/>
      <c r="CN338" s="146"/>
      <c r="CO338" s="146"/>
      <c r="CP338" s="146"/>
      <c r="CQ338" s="146"/>
      <c r="CR338" s="146"/>
      <c r="CS338" s="146"/>
      <c r="CT338" s="146"/>
      <c r="CU338" s="146"/>
      <c r="CV338" s="146"/>
      <c r="CW338" s="146"/>
      <c r="CX338" s="146"/>
      <c r="CY338" s="146"/>
      <c r="CZ338" s="146"/>
      <c r="DA338" s="146"/>
      <c r="DB338" s="146"/>
      <c r="DC338" s="146"/>
    </row>
    <row r="339" ht="15.75" customHeight="1">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c r="AE339" s="144"/>
      <c r="AF339" s="144"/>
      <c r="AG339" s="144"/>
      <c r="AH339" s="144"/>
      <c r="AI339" s="144"/>
      <c r="AJ339" s="144"/>
      <c r="AK339" s="144"/>
      <c r="AL339" s="144"/>
      <c r="AM339" s="144"/>
      <c r="AN339" s="144"/>
      <c r="AO339" s="144"/>
      <c r="AP339" s="146"/>
      <c r="AQ339" s="146"/>
      <c r="AR339" s="146"/>
      <c r="AS339" s="146"/>
      <c r="AT339" s="146"/>
      <c r="AU339" s="146"/>
      <c r="AV339" s="146"/>
      <c r="AW339" s="146"/>
      <c r="AX339" s="146"/>
      <c r="AY339" s="146"/>
      <c r="AZ339" s="146"/>
      <c r="BA339" s="146"/>
      <c r="BB339" s="146"/>
      <c r="BC339" s="146"/>
      <c r="BD339" s="146"/>
      <c r="BE339" s="146"/>
      <c r="BF339" s="146"/>
      <c r="BG339" s="146"/>
      <c r="BH339" s="146"/>
      <c r="BI339" s="146"/>
      <c r="BJ339" s="146"/>
      <c r="BK339" s="146"/>
      <c r="BL339" s="146"/>
      <c r="BM339" s="146"/>
      <c r="BN339" s="146"/>
      <c r="BO339" s="146"/>
      <c r="BP339" s="146"/>
      <c r="BQ339" s="146"/>
      <c r="BR339" s="146"/>
      <c r="BS339" s="146"/>
      <c r="BT339" s="146"/>
      <c r="BU339" s="146"/>
      <c r="BV339" s="146"/>
      <c r="BW339" s="146"/>
      <c r="BX339" s="146"/>
      <c r="BY339" s="146"/>
      <c r="BZ339" s="146"/>
      <c r="CA339" s="146"/>
      <c r="CB339" s="146"/>
      <c r="CC339" s="146"/>
      <c r="CD339" s="146"/>
      <c r="CE339" s="146"/>
      <c r="CF339" s="146"/>
      <c r="CG339" s="146"/>
      <c r="CH339" s="146"/>
      <c r="CI339" s="146"/>
      <c r="CJ339" s="146"/>
      <c r="CK339" s="146"/>
      <c r="CL339" s="146"/>
      <c r="CM339" s="146"/>
      <c r="CN339" s="146"/>
      <c r="CO339" s="146"/>
      <c r="CP339" s="146"/>
      <c r="CQ339" s="146"/>
      <c r="CR339" s="146"/>
      <c r="CS339" s="146"/>
      <c r="CT339" s="146"/>
      <c r="CU339" s="146"/>
      <c r="CV339" s="146"/>
      <c r="CW339" s="146"/>
      <c r="CX339" s="146"/>
      <c r="CY339" s="146"/>
      <c r="CZ339" s="146"/>
      <c r="DA339" s="146"/>
      <c r="DB339" s="146"/>
      <c r="DC339" s="146"/>
    </row>
    <row r="340" ht="15.75" customHeight="1">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c r="AA340" s="144"/>
      <c r="AB340" s="144"/>
      <c r="AC340" s="144"/>
      <c r="AD340" s="144"/>
      <c r="AE340" s="144"/>
      <c r="AF340" s="144"/>
      <c r="AG340" s="144"/>
      <c r="AH340" s="144"/>
      <c r="AI340" s="144"/>
      <c r="AJ340" s="144"/>
      <c r="AK340" s="144"/>
      <c r="AL340" s="144"/>
      <c r="AM340" s="144"/>
      <c r="AN340" s="144"/>
      <c r="AO340" s="144"/>
      <c r="AP340" s="146"/>
      <c r="AQ340" s="146"/>
      <c r="AR340" s="146"/>
      <c r="AS340" s="146"/>
      <c r="AT340" s="146"/>
      <c r="AU340" s="146"/>
      <c r="AV340" s="146"/>
      <c r="AW340" s="146"/>
      <c r="AX340" s="146"/>
      <c r="AY340" s="146"/>
      <c r="AZ340" s="146"/>
      <c r="BA340" s="146"/>
      <c r="BB340" s="146"/>
      <c r="BC340" s="146"/>
      <c r="BD340" s="146"/>
      <c r="BE340" s="146"/>
      <c r="BF340" s="146"/>
      <c r="BG340" s="146"/>
      <c r="BH340" s="146"/>
      <c r="BI340" s="146"/>
      <c r="BJ340" s="146"/>
      <c r="BK340" s="146"/>
      <c r="BL340" s="146"/>
      <c r="BM340" s="146"/>
      <c r="BN340" s="146"/>
      <c r="BO340" s="146"/>
      <c r="BP340" s="146"/>
      <c r="BQ340" s="146"/>
      <c r="BR340" s="146"/>
      <c r="BS340" s="146"/>
      <c r="BT340" s="146"/>
      <c r="BU340" s="146"/>
      <c r="BV340" s="146"/>
      <c r="BW340" s="146"/>
      <c r="BX340" s="146"/>
      <c r="BY340" s="146"/>
      <c r="BZ340" s="146"/>
      <c r="CA340" s="146"/>
      <c r="CB340" s="146"/>
      <c r="CC340" s="146"/>
      <c r="CD340" s="146"/>
      <c r="CE340" s="146"/>
      <c r="CF340" s="146"/>
      <c r="CG340" s="146"/>
      <c r="CH340" s="146"/>
      <c r="CI340" s="146"/>
      <c r="CJ340" s="146"/>
      <c r="CK340" s="146"/>
      <c r="CL340" s="146"/>
      <c r="CM340" s="146"/>
      <c r="CN340" s="146"/>
      <c r="CO340" s="146"/>
      <c r="CP340" s="146"/>
      <c r="CQ340" s="146"/>
      <c r="CR340" s="146"/>
      <c r="CS340" s="146"/>
      <c r="CT340" s="146"/>
      <c r="CU340" s="146"/>
      <c r="CV340" s="146"/>
      <c r="CW340" s="146"/>
      <c r="CX340" s="146"/>
      <c r="CY340" s="146"/>
      <c r="CZ340" s="146"/>
      <c r="DA340" s="146"/>
      <c r="DB340" s="146"/>
      <c r="DC340" s="146"/>
    </row>
    <row r="341" ht="15.75" customHeight="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c r="AA341" s="144"/>
      <c r="AB341" s="144"/>
      <c r="AC341" s="144"/>
      <c r="AD341" s="144"/>
      <c r="AE341" s="144"/>
      <c r="AF341" s="144"/>
      <c r="AG341" s="144"/>
      <c r="AH341" s="144"/>
      <c r="AI341" s="144"/>
      <c r="AJ341" s="144"/>
      <c r="AK341" s="144"/>
      <c r="AL341" s="144"/>
      <c r="AM341" s="144"/>
      <c r="AN341" s="144"/>
      <c r="AO341" s="144"/>
      <c r="AP341" s="146"/>
      <c r="AQ341" s="146"/>
      <c r="AR341" s="146"/>
      <c r="AS341" s="146"/>
      <c r="AT341" s="146"/>
      <c r="AU341" s="146"/>
      <c r="AV341" s="146"/>
      <c r="AW341" s="146"/>
      <c r="AX341" s="146"/>
      <c r="AY341" s="146"/>
      <c r="AZ341" s="146"/>
      <c r="BA341" s="146"/>
      <c r="BB341" s="146"/>
      <c r="BC341" s="146"/>
      <c r="BD341" s="146"/>
      <c r="BE341" s="146"/>
      <c r="BF341" s="146"/>
      <c r="BG341" s="146"/>
      <c r="BH341" s="146"/>
      <c r="BI341" s="146"/>
      <c r="BJ341" s="146"/>
      <c r="BK341" s="146"/>
      <c r="BL341" s="146"/>
      <c r="BM341" s="146"/>
      <c r="BN341" s="146"/>
      <c r="BO341" s="146"/>
      <c r="BP341" s="146"/>
      <c r="BQ341" s="146"/>
      <c r="BR341" s="146"/>
      <c r="BS341" s="146"/>
      <c r="BT341" s="146"/>
      <c r="BU341" s="146"/>
      <c r="BV341" s="146"/>
      <c r="BW341" s="146"/>
      <c r="BX341" s="146"/>
      <c r="BY341" s="146"/>
      <c r="BZ341" s="146"/>
      <c r="CA341" s="146"/>
      <c r="CB341" s="146"/>
      <c r="CC341" s="146"/>
      <c r="CD341" s="146"/>
      <c r="CE341" s="146"/>
      <c r="CF341" s="146"/>
      <c r="CG341" s="146"/>
      <c r="CH341" s="146"/>
      <c r="CI341" s="146"/>
      <c r="CJ341" s="146"/>
      <c r="CK341" s="146"/>
      <c r="CL341" s="146"/>
      <c r="CM341" s="146"/>
      <c r="CN341" s="146"/>
      <c r="CO341" s="146"/>
      <c r="CP341" s="146"/>
      <c r="CQ341" s="146"/>
      <c r="CR341" s="146"/>
      <c r="CS341" s="146"/>
      <c r="CT341" s="146"/>
      <c r="CU341" s="146"/>
      <c r="CV341" s="146"/>
      <c r="CW341" s="146"/>
      <c r="CX341" s="146"/>
      <c r="CY341" s="146"/>
      <c r="CZ341" s="146"/>
      <c r="DA341" s="146"/>
      <c r="DB341" s="146"/>
      <c r="DC341" s="146"/>
    </row>
    <row r="342" ht="15.75" customHeight="1">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144"/>
      <c r="AG342" s="144"/>
      <c r="AH342" s="144"/>
      <c r="AI342" s="144"/>
      <c r="AJ342" s="144"/>
      <c r="AK342" s="144"/>
      <c r="AL342" s="144"/>
      <c r="AM342" s="144"/>
      <c r="AN342" s="144"/>
      <c r="AO342" s="144"/>
      <c r="AP342" s="146"/>
      <c r="AQ342" s="146"/>
      <c r="AR342" s="146"/>
      <c r="AS342" s="146"/>
      <c r="AT342" s="146"/>
      <c r="AU342" s="146"/>
      <c r="AV342" s="146"/>
      <c r="AW342" s="146"/>
      <c r="AX342" s="146"/>
      <c r="AY342" s="146"/>
      <c r="AZ342" s="146"/>
      <c r="BA342" s="146"/>
      <c r="BB342" s="146"/>
      <c r="BC342" s="146"/>
      <c r="BD342" s="146"/>
      <c r="BE342" s="146"/>
      <c r="BF342" s="146"/>
      <c r="BG342" s="146"/>
      <c r="BH342" s="146"/>
      <c r="BI342" s="146"/>
      <c r="BJ342" s="146"/>
      <c r="BK342" s="146"/>
      <c r="BL342" s="146"/>
      <c r="BM342" s="146"/>
      <c r="BN342" s="146"/>
      <c r="BO342" s="146"/>
      <c r="BP342" s="146"/>
      <c r="BQ342" s="146"/>
      <c r="BR342" s="146"/>
      <c r="BS342" s="146"/>
      <c r="BT342" s="146"/>
      <c r="BU342" s="146"/>
      <c r="BV342" s="146"/>
      <c r="BW342" s="146"/>
      <c r="BX342" s="146"/>
      <c r="BY342" s="146"/>
      <c r="BZ342" s="146"/>
      <c r="CA342" s="146"/>
      <c r="CB342" s="146"/>
      <c r="CC342" s="146"/>
      <c r="CD342" s="146"/>
      <c r="CE342" s="146"/>
      <c r="CF342" s="146"/>
      <c r="CG342" s="146"/>
      <c r="CH342" s="146"/>
      <c r="CI342" s="146"/>
      <c r="CJ342" s="146"/>
      <c r="CK342" s="146"/>
      <c r="CL342" s="146"/>
      <c r="CM342" s="146"/>
      <c r="CN342" s="146"/>
      <c r="CO342" s="146"/>
      <c r="CP342" s="146"/>
      <c r="CQ342" s="146"/>
      <c r="CR342" s="146"/>
      <c r="CS342" s="146"/>
      <c r="CT342" s="146"/>
      <c r="CU342" s="146"/>
      <c r="CV342" s="146"/>
      <c r="CW342" s="146"/>
      <c r="CX342" s="146"/>
      <c r="CY342" s="146"/>
      <c r="CZ342" s="146"/>
      <c r="DA342" s="146"/>
      <c r="DB342" s="146"/>
      <c r="DC342" s="146"/>
    </row>
    <row r="343" ht="15.75" customHeight="1">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c r="AA343" s="144"/>
      <c r="AB343" s="144"/>
      <c r="AC343" s="144"/>
      <c r="AD343" s="144"/>
      <c r="AE343" s="144"/>
      <c r="AF343" s="144"/>
      <c r="AG343" s="144"/>
      <c r="AH343" s="144"/>
      <c r="AI343" s="144"/>
      <c r="AJ343" s="144"/>
      <c r="AK343" s="144"/>
      <c r="AL343" s="144"/>
      <c r="AM343" s="144"/>
      <c r="AN343" s="144"/>
      <c r="AO343" s="144"/>
      <c r="AP343" s="146"/>
      <c r="AQ343" s="146"/>
      <c r="AR343" s="146"/>
      <c r="AS343" s="146"/>
      <c r="AT343" s="146"/>
      <c r="AU343" s="146"/>
      <c r="AV343" s="146"/>
      <c r="AW343" s="146"/>
      <c r="AX343" s="146"/>
      <c r="AY343" s="146"/>
      <c r="AZ343" s="146"/>
      <c r="BA343" s="146"/>
      <c r="BB343" s="146"/>
      <c r="BC343" s="146"/>
      <c r="BD343" s="146"/>
      <c r="BE343" s="146"/>
      <c r="BF343" s="146"/>
      <c r="BG343" s="146"/>
      <c r="BH343" s="146"/>
      <c r="BI343" s="146"/>
      <c r="BJ343" s="146"/>
      <c r="BK343" s="146"/>
      <c r="BL343" s="146"/>
      <c r="BM343" s="146"/>
      <c r="BN343" s="146"/>
      <c r="BO343" s="146"/>
      <c r="BP343" s="146"/>
      <c r="BQ343" s="146"/>
      <c r="BR343" s="146"/>
      <c r="BS343" s="146"/>
      <c r="BT343" s="146"/>
      <c r="BU343" s="146"/>
      <c r="BV343" s="146"/>
      <c r="BW343" s="146"/>
      <c r="BX343" s="146"/>
      <c r="BY343" s="146"/>
      <c r="BZ343" s="146"/>
      <c r="CA343" s="146"/>
      <c r="CB343" s="146"/>
      <c r="CC343" s="146"/>
      <c r="CD343" s="146"/>
      <c r="CE343" s="146"/>
      <c r="CF343" s="146"/>
      <c r="CG343" s="146"/>
      <c r="CH343" s="146"/>
      <c r="CI343" s="146"/>
      <c r="CJ343" s="146"/>
      <c r="CK343" s="146"/>
      <c r="CL343" s="146"/>
      <c r="CM343" s="146"/>
      <c r="CN343" s="146"/>
      <c r="CO343" s="146"/>
      <c r="CP343" s="146"/>
      <c r="CQ343" s="146"/>
      <c r="CR343" s="146"/>
      <c r="CS343" s="146"/>
      <c r="CT343" s="146"/>
      <c r="CU343" s="146"/>
      <c r="CV343" s="146"/>
      <c r="CW343" s="146"/>
      <c r="CX343" s="146"/>
      <c r="CY343" s="146"/>
      <c r="CZ343" s="146"/>
      <c r="DA343" s="146"/>
      <c r="DB343" s="146"/>
      <c r="DC343" s="146"/>
    </row>
    <row r="344" ht="15.75" customHeight="1">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c r="AA344" s="144"/>
      <c r="AB344" s="144"/>
      <c r="AC344" s="144"/>
      <c r="AD344" s="144"/>
      <c r="AE344" s="144"/>
      <c r="AF344" s="144"/>
      <c r="AG344" s="144"/>
      <c r="AH344" s="144"/>
      <c r="AI344" s="144"/>
      <c r="AJ344" s="144"/>
      <c r="AK344" s="144"/>
      <c r="AL344" s="144"/>
      <c r="AM344" s="144"/>
      <c r="AN344" s="144"/>
      <c r="AO344" s="144"/>
      <c r="AP344" s="146"/>
      <c r="AQ344" s="146"/>
      <c r="AR344" s="146"/>
      <c r="AS344" s="146"/>
      <c r="AT344" s="146"/>
      <c r="AU344" s="146"/>
      <c r="AV344" s="146"/>
      <c r="AW344" s="146"/>
      <c r="AX344" s="146"/>
      <c r="AY344" s="146"/>
      <c r="AZ344" s="146"/>
      <c r="BA344" s="146"/>
      <c r="BB344" s="146"/>
      <c r="BC344" s="146"/>
      <c r="BD344" s="146"/>
      <c r="BE344" s="146"/>
      <c r="BF344" s="146"/>
      <c r="BG344" s="146"/>
      <c r="BH344" s="146"/>
      <c r="BI344" s="146"/>
      <c r="BJ344" s="146"/>
      <c r="BK344" s="146"/>
      <c r="BL344" s="146"/>
      <c r="BM344" s="146"/>
      <c r="BN344" s="146"/>
      <c r="BO344" s="146"/>
      <c r="BP344" s="146"/>
      <c r="BQ344" s="146"/>
      <c r="BR344" s="146"/>
      <c r="BS344" s="146"/>
      <c r="BT344" s="146"/>
      <c r="BU344" s="146"/>
      <c r="BV344" s="146"/>
      <c r="BW344" s="146"/>
      <c r="BX344" s="146"/>
      <c r="BY344" s="146"/>
      <c r="BZ344" s="146"/>
      <c r="CA344" s="146"/>
      <c r="CB344" s="146"/>
      <c r="CC344" s="146"/>
      <c r="CD344" s="146"/>
      <c r="CE344" s="146"/>
      <c r="CF344" s="146"/>
      <c r="CG344" s="146"/>
      <c r="CH344" s="146"/>
      <c r="CI344" s="146"/>
      <c r="CJ344" s="146"/>
      <c r="CK344" s="146"/>
      <c r="CL344" s="146"/>
      <c r="CM344" s="146"/>
      <c r="CN344" s="146"/>
      <c r="CO344" s="146"/>
      <c r="CP344" s="146"/>
      <c r="CQ344" s="146"/>
      <c r="CR344" s="146"/>
      <c r="CS344" s="146"/>
      <c r="CT344" s="146"/>
      <c r="CU344" s="146"/>
      <c r="CV344" s="146"/>
      <c r="CW344" s="146"/>
      <c r="CX344" s="146"/>
      <c r="CY344" s="146"/>
      <c r="CZ344" s="146"/>
      <c r="DA344" s="146"/>
      <c r="DB344" s="146"/>
      <c r="DC344" s="146"/>
    </row>
    <row r="345" ht="15.75" customHeight="1">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c r="AA345" s="144"/>
      <c r="AB345" s="144"/>
      <c r="AC345" s="144"/>
      <c r="AD345" s="144"/>
      <c r="AE345" s="144"/>
      <c r="AF345" s="144"/>
      <c r="AG345" s="144"/>
      <c r="AH345" s="144"/>
      <c r="AI345" s="144"/>
      <c r="AJ345" s="144"/>
      <c r="AK345" s="144"/>
      <c r="AL345" s="144"/>
      <c r="AM345" s="144"/>
      <c r="AN345" s="144"/>
      <c r="AO345" s="144"/>
      <c r="AP345" s="146"/>
      <c r="AQ345" s="146"/>
      <c r="AR345" s="146"/>
      <c r="AS345" s="146"/>
      <c r="AT345" s="146"/>
      <c r="AU345" s="146"/>
      <c r="AV345" s="146"/>
      <c r="AW345" s="146"/>
      <c r="AX345" s="146"/>
      <c r="AY345" s="146"/>
      <c r="AZ345" s="146"/>
      <c r="BA345" s="146"/>
      <c r="BB345" s="146"/>
      <c r="BC345" s="146"/>
      <c r="BD345" s="146"/>
      <c r="BE345" s="146"/>
      <c r="BF345" s="146"/>
      <c r="BG345" s="146"/>
      <c r="BH345" s="146"/>
      <c r="BI345" s="146"/>
      <c r="BJ345" s="146"/>
      <c r="BK345" s="146"/>
      <c r="BL345" s="146"/>
      <c r="BM345" s="146"/>
      <c r="BN345" s="146"/>
      <c r="BO345" s="146"/>
      <c r="BP345" s="146"/>
      <c r="BQ345" s="146"/>
      <c r="BR345" s="146"/>
      <c r="BS345" s="146"/>
      <c r="BT345" s="146"/>
      <c r="BU345" s="146"/>
      <c r="BV345" s="146"/>
      <c r="BW345" s="146"/>
      <c r="BX345" s="146"/>
      <c r="BY345" s="146"/>
      <c r="BZ345" s="146"/>
      <c r="CA345" s="146"/>
      <c r="CB345" s="146"/>
      <c r="CC345" s="146"/>
      <c r="CD345" s="146"/>
      <c r="CE345" s="146"/>
      <c r="CF345" s="146"/>
      <c r="CG345" s="146"/>
      <c r="CH345" s="146"/>
      <c r="CI345" s="146"/>
      <c r="CJ345" s="146"/>
      <c r="CK345" s="146"/>
      <c r="CL345" s="146"/>
      <c r="CM345" s="146"/>
      <c r="CN345" s="146"/>
      <c r="CO345" s="146"/>
      <c r="CP345" s="146"/>
      <c r="CQ345" s="146"/>
      <c r="CR345" s="146"/>
      <c r="CS345" s="146"/>
      <c r="CT345" s="146"/>
      <c r="CU345" s="146"/>
      <c r="CV345" s="146"/>
      <c r="CW345" s="146"/>
      <c r="CX345" s="146"/>
      <c r="CY345" s="146"/>
      <c r="CZ345" s="146"/>
      <c r="DA345" s="146"/>
      <c r="DB345" s="146"/>
      <c r="DC345" s="146"/>
    </row>
    <row r="346" ht="15.75" customHeight="1">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c r="AA346" s="144"/>
      <c r="AB346" s="144"/>
      <c r="AC346" s="144"/>
      <c r="AD346" s="144"/>
      <c r="AE346" s="144"/>
      <c r="AF346" s="144"/>
      <c r="AG346" s="144"/>
      <c r="AH346" s="144"/>
      <c r="AI346" s="144"/>
      <c r="AJ346" s="144"/>
      <c r="AK346" s="144"/>
      <c r="AL346" s="144"/>
      <c r="AM346" s="144"/>
      <c r="AN346" s="144"/>
      <c r="AO346" s="144"/>
      <c r="AP346" s="146"/>
      <c r="AQ346" s="146"/>
      <c r="AR346" s="146"/>
      <c r="AS346" s="146"/>
      <c r="AT346" s="146"/>
      <c r="AU346" s="146"/>
      <c r="AV346" s="146"/>
      <c r="AW346" s="146"/>
      <c r="AX346" s="146"/>
      <c r="AY346" s="146"/>
      <c r="AZ346" s="146"/>
      <c r="BA346" s="146"/>
      <c r="BB346" s="146"/>
      <c r="BC346" s="146"/>
      <c r="BD346" s="146"/>
      <c r="BE346" s="146"/>
      <c r="BF346" s="146"/>
      <c r="BG346" s="146"/>
      <c r="BH346" s="146"/>
      <c r="BI346" s="146"/>
      <c r="BJ346" s="146"/>
      <c r="BK346" s="146"/>
      <c r="BL346" s="146"/>
      <c r="BM346" s="146"/>
      <c r="BN346" s="146"/>
      <c r="BO346" s="146"/>
      <c r="BP346" s="146"/>
      <c r="BQ346" s="146"/>
      <c r="BR346" s="146"/>
      <c r="BS346" s="146"/>
      <c r="BT346" s="146"/>
      <c r="BU346" s="146"/>
      <c r="BV346" s="146"/>
      <c r="BW346" s="146"/>
      <c r="BX346" s="146"/>
      <c r="BY346" s="146"/>
      <c r="BZ346" s="146"/>
      <c r="CA346" s="146"/>
      <c r="CB346" s="146"/>
      <c r="CC346" s="146"/>
      <c r="CD346" s="146"/>
      <c r="CE346" s="146"/>
      <c r="CF346" s="146"/>
      <c r="CG346" s="146"/>
      <c r="CH346" s="146"/>
      <c r="CI346" s="146"/>
      <c r="CJ346" s="146"/>
      <c r="CK346" s="146"/>
      <c r="CL346" s="146"/>
      <c r="CM346" s="146"/>
      <c r="CN346" s="146"/>
      <c r="CO346" s="146"/>
      <c r="CP346" s="146"/>
      <c r="CQ346" s="146"/>
      <c r="CR346" s="146"/>
      <c r="CS346" s="146"/>
      <c r="CT346" s="146"/>
      <c r="CU346" s="146"/>
      <c r="CV346" s="146"/>
      <c r="CW346" s="146"/>
      <c r="CX346" s="146"/>
      <c r="CY346" s="146"/>
      <c r="CZ346" s="146"/>
      <c r="DA346" s="146"/>
      <c r="DB346" s="146"/>
      <c r="DC346" s="146"/>
    </row>
    <row r="347" ht="15.75" customHeigh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c r="AE347" s="144"/>
      <c r="AF347" s="144"/>
      <c r="AG347" s="144"/>
      <c r="AH347" s="144"/>
      <c r="AI347" s="144"/>
      <c r="AJ347" s="144"/>
      <c r="AK347" s="144"/>
      <c r="AL347" s="144"/>
      <c r="AM347" s="144"/>
      <c r="AN347" s="144"/>
      <c r="AO347" s="144"/>
      <c r="AP347" s="146"/>
      <c r="AQ347" s="146"/>
      <c r="AR347" s="146"/>
      <c r="AS347" s="146"/>
      <c r="AT347" s="146"/>
      <c r="AU347" s="146"/>
      <c r="AV347" s="146"/>
      <c r="AW347" s="146"/>
      <c r="AX347" s="146"/>
      <c r="AY347" s="146"/>
      <c r="AZ347" s="146"/>
      <c r="BA347" s="146"/>
      <c r="BB347" s="146"/>
      <c r="BC347" s="146"/>
      <c r="BD347" s="146"/>
      <c r="BE347" s="146"/>
      <c r="BF347" s="146"/>
      <c r="BG347" s="146"/>
      <c r="BH347" s="146"/>
      <c r="BI347" s="146"/>
      <c r="BJ347" s="146"/>
      <c r="BK347" s="146"/>
      <c r="BL347" s="146"/>
      <c r="BM347" s="146"/>
      <c r="BN347" s="146"/>
      <c r="BO347" s="146"/>
      <c r="BP347" s="146"/>
      <c r="BQ347" s="146"/>
      <c r="BR347" s="146"/>
      <c r="BS347" s="146"/>
      <c r="BT347" s="146"/>
      <c r="BU347" s="146"/>
      <c r="BV347" s="146"/>
      <c r="BW347" s="146"/>
      <c r="BX347" s="146"/>
      <c r="BY347" s="146"/>
      <c r="BZ347" s="146"/>
      <c r="CA347" s="146"/>
      <c r="CB347" s="146"/>
      <c r="CC347" s="146"/>
      <c r="CD347" s="146"/>
      <c r="CE347" s="146"/>
      <c r="CF347" s="146"/>
      <c r="CG347" s="146"/>
      <c r="CH347" s="146"/>
      <c r="CI347" s="146"/>
      <c r="CJ347" s="146"/>
      <c r="CK347" s="146"/>
      <c r="CL347" s="146"/>
      <c r="CM347" s="146"/>
      <c r="CN347" s="146"/>
      <c r="CO347" s="146"/>
      <c r="CP347" s="146"/>
      <c r="CQ347" s="146"/>
      <c r="CR347" s="146"/>
      <c r="CS347" s="146"/>
      <c r="CT347" s="146"/>
      <c r="CU347" s="146"/>
      <c r="CV347" s="146"/>
      <c r="CW347" s="146"/>
      <c r="CX347" s="146"/>
      <c r="CY347" s="146"/>
      <c r="CZ347" s="146"/>
      <c r="DA347" s="146"/>
      <c r="DB347" s="146"/>
      <c r="DC347" s="146"/>
    </row>
    <row r="348" ht="15.75" customHeight="1">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c r="AE348" s="144"/>
      <c r="AF348" s="144"/>
      <c r="AG348" s="144"/>
      <c r="AH348" s="144"/>
      <c r="AI348" s="144"/>
      <c r="AJ348" s="144"/>
      <c r="AK348" s="144"/>
      <c r="AL348" s="144"/>
      <c r="AM348" s="144"/>
      <c r="AN348" s="144"/>
      <c r="AO348" s="144"/>
      <c r="AP348" s="146"/>
      <c r="AQ348" s="146"/>
      <c r="AR348" s="146"/>
      <c r="AS348" s="146"/>
      <c r="AT348" s="146"/>
      <c r="AU348" s="146"/>
      <c r="AV348" s="146"/>
      <c r="AW348" s="146"/>
      <c r="AX348" s="146"/>
      <c r="AY348" s="146"/>
      <c r="AZ348" s="146"/>
      <c r="BA348" s="146"/>
      <c r="BB348" s="146"/>
      <c r="BC348" s="146"/>
      <c r="BD348" s="146"/>
      <c r="BE348" s="146"/>
      <c r="BF348" s="146"/>
      <c r="BG348" s="146"/>
      <c r="BH348" s="146"/>
      <c r="BI348" s="146"/>
      <c r="BJ348" s="146"/>
      <c r="BK348" s="146"/>
      <c r="BL348" s="146"/>
      <c r="BM348" s="146"/>
      <c r="BN348" s="146"/>
      <c r="BO348" s="146"/>
      <c r="BP348" s="146"/>
      <c r="BQ348" s="146"/>
      <c r="BR348" s="146"/>
      <c r="BS348" s="146"/>
      <c r="BT348" s="146"/>
      <c r="BU348" s="146"/>
      <c r="BV348" s="146"/>
      <c r="BW348" s="146"/>
      <c r="BX348" s="146"/>
      <c r="BY348" s="146"/>
      <c r="BZ348" s="146"/>
      <c r="CA348" s="146"/>
      <c r="CB348" s="146"/>
      <c r="CC348" s="146"/>
      <c r="CD348" s="146"/>
      <c r="CE348" s="146"/>
      <c r="CF348" s="146"/>
      <c r="CG348" s="146"/>
      <c r="CH348" s="146"/>
      <c r="CI348" s="146"/>
      <c r="CJ348" s="146"/>
      <c r="CK348" s="146"/>
      <c r="CL348" s="146"/>
      <c r="CM348" s="146"/>
      <c r="CN348" s="146"/>
      <c r="CO348" s="146"/>
      <c r="CP348" s="146"/>
      <c r="CQ348" s="146"/>
      <c r="CR348" s="146"/>
      <c r="CS348" s="146"/>
      <c r="CT348" s="146"/>
      <c r="CU348" s="146"/>
      <c r="CV348" s="146"/>
      <c r="CW348" s="146"/>
      <c r="CX348" s="146"/>
      <c r="CY348" s="146"/>
      <c r="CZ348" s="146"/>
      <c r="DA348" s="146"/>
      <c r="DB348" s="146"/>
      <c r="DC348" s="146"/>
    </row>
    <row r="349" ht="15.75" customHeight="1">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c r="AA349" s="144"/>
      <c r="AB349" s="144"/>
      <c r="AC349" s="144"/>
      <c r="AD349" s="144"/>
      <c r="AE349" s="144"/>
      <c r="AF349" s="144"/>
      <c r="AG349" s="144"/>
      <c r="AH349" s="144"/>
      <c r="AI349" s="144"/>
      <c r="AJ349" s="144"/>
      <c r="AK349" s="144"/>
      <c r="AL349" s="144"/>
      <c r="AM349" s="144"/>
      <c r="AN349" s="144"/>
      <c r="AO349" s="144"/>
      <c r="AP349" s="146"/>
      <c r="AQ349" s="146"/>
      <c r="AR349" s="146"/>
      <c r="AS349" s="146"/>
      <c r="AT349" s="146"/>
      <c r="AU349" s="146"/>
      <c r="AV349" s="146"/>
      <c r="AW349" s="146"/>
      <c r="AX349" s="146"/>
      <c r="AY349" s="146"/>
      <c r="AZ349" s="146"/>
      <c r="BA349" s="146"/>
      <c r="BB349" s="146"/>
      <c r="BC349" s="146"/>
      <c r="BD349" s="146"/>
      <c r="BE349" s="146"/>
      <c r="BF349" s="146"/>
      <c r="BG349" s="146"/>
      <c r="BH349" s="146"/>
      <c r="BI349" s="146"/>
      <c r="BJ349" s="146"/>
      <c r="BK349" s="146"/>
      <c r="BL349" s="146"/>
      <c r="BM349" s="146"/>
      <c r="BN349" s="146"/>
      <c r="BO349" s="146"/>
      <c r="BP349" s="146"/>
      <c r="BQ349" s="146"/>
      <c r="BR349" s="146"/>
      <c r="BS349" s="146"/>
      <c r="BT349" s="146"/>
      <c r="BU349" s="146"/>
      <c r="BV349" s="146"/>
      <c r="BW349" s="146"/>
      <c r="BX349" s="146"/>
      <c r="BY349" s="146"/>
      <c r="BZ349" s="146"/>
      <c r="CA349" s="146"/>
      <c r="CB349" s="146"/>
      <c r="CC349" s="146"/>
      <c r="CD349" s="146"/>
      <c r="CE349" s="146"/>
      <c r="CF349" s="146"/>
      <c r="CG349" s="146"/>
      <c r="CH349" s="146"/>
      <c r="CI349" s="146"/>
      <c r="CJ349" s="146"/>
      <c r="CK349" s="146"/>
      <c r="CL349" s="146"/>
      <c r="CM349" s="146"/>
      <c r="CN349" s="146"/>
      <c r="CO349" s="146"/>
      <c r="CP349" s="146"/>
      <c r="CQ349" s="146"/>
      <c r="CR349" s="146"/>
      <c r="CS349" s="146"/>
      <c r="CT349" s="146"/>
      <c r="CU349" s="146"/>
      <c r="CV349" s="146"/>
      <c r="CW349" s="146"/>
      <c r="CX349" s="146"/>
      <c r="CY349" s="146"/>
      <c r="CZ349" s="146"/>
      <c r="DA349" s="146"/>
      <c r="DB349" s="146"/>
      <c r="DC349" s="146"/>
    </row>
    <row r="350" ht="15.75" customHeight="1">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c r="AA350" s="144"/>
      <c r="AB350" s="144"/>
      <c r="AC350" s="144"/>
      <c r="AD350" s="144"/>
      <c r="AE350" s="144"/>
      <c r="AF350" s="144"/>
      <c r="AG350" s="144"/>
      <c r="AH350" s="144"/>
      <c r="AI350" s="144"/>
      <c r="AJ350" s="144"/>
      <c r="AK350" s="144"/>
      <c r="AL350" s="144"/>
      <c r="AM350" s="144"/>
      <c r="AN350" s="144"/>
      <c r="AO350" s="144"/>
      <c r="AP350" s="146"/>
      <c r="AQ350" s="146"/>
      <c r="AR350" s="146"/>
      <c r="AS350" s="146"/>
      <c r="AT350" s="146"/>
      <c r="AU350" s="146"/>
      <c r="AV350" s="146"/>
      <c r="AW350" s="146"/>
      <c r="AX350" s="146"/>
      <c r="AY350" s="146"/>
      <c r="AZ350" s="146"/>
      <c r="BA350" s="146"/>
      <c r="BB350" s="146"/>
      <c r="BC350" s="146"/>
      <c r="BD350" s="146"/>
      <c r="BE350" s="146"/>
      <c r="BF350" s="146"/>
      <c r="BG350" s="146"/>
      <c r="BH350" s="146"/>
      <c r="BI350" s="146"/>
      <c r="BJ350" s="146"/>
      <c r="BK350" s="146"/>
      <c r="BL350" s="146"/>
      <c r="BM350" s="146"/>
      <c r="BN350" s="146"/>
      <c r="BO350" s="146"/>
      <c r="BP350" s="146"/>
      <c r="BQ350" s="146"/>
      <c r="BR350" s="146"/>
      <c r="BS350" s="146"/>
      <c r="BT350" s="146"/>
      <c r="BU350" s="146"/>
      <c r="BV350" s="146"/>
      <c r="BW350" s="146"/>
      <c r="BX350" s="146"/>
      <c r="BY350" s="146"/>
      <c r="BZ350" s="146"/>
      <c r="CA350" s="146"/>
      <c r="CB350" s="146"/>
      <c r="CC350" s="146"/>
      <c r="CD350" s="146"/>
      <c r="CE350" s="146"/>
      <c r="CF350" s="146"/>
      <c r="CG350" s="146"/>
      <c r="CH350" s="146"/>
      <c r="CI350" s="146"/>
      <c r="CJ350" s="146"/>
      <c r="CK350" s="146"/>
      <c r="CL350" s="146"/>
      <c r="CM350" s="146"/>
      <c r="CN350" s="146"/>
      <c r="CO350" s="146"/>
      <c r="CP350" s="146"/>
      <c r="CQ350" s="146"/>
      <c r="CR350" s="146"/>
      <c r="CS350" s="146"/>
      <c r="CT350" s="146"/>
      <c r="CU350" s="146"/>
      <c r="CV350" s="146"/>
      <c r="CW350" s="146"/>
      <c r="CX350" s="146"/>
      <c r="CY350" s="146"/>
      <c r="CZ350" s="146"/>
      <c r="DA350" s="146"/>
      <c r="DB350" s="146"/>
      <c r="DC350" s="146"/>
    </row>
    <row r="351" ht="15.75" customHeight="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c r="AA351" s="144"/>
      <c r="AB351" s="144"/>
      <c r="AC351" s="144"/>
      <c r="AD351" s="144"/>
      <c r="AE351" s="144"/>
      <c r="AF351" s="144"/>
      <c r="AG351" s="144"/>
      <c r="AH351" s="144"/>
      <c r="AI351" s="144"/>
      <c r="AJ351" s="144"/>
      <c r="AK351" s="144"/>
      <c r="AL351" s="144"/>
      <c r="AM351" s="144"/>
      <c r="AN351" s="144"/>
      <c r="AO351" s="144"/>
      <c r="AP351" s="146"/>
      <c r="AQ351" s="146"/>
      <c r="AR351" s="146"/>
      <c r="AS351" s="146"/>
      <c r="AT351" s="146"/>
      <c r="AU351" s="146"/>
      <c r="AV351" s="146"/>
      <c r="AW351" s="146"/>
      <c r="AX351" s="146"/>
      <c r="AY351" s="146"/>
      <c r="AZ351" s="146"/>
      <c r="BA351" s="146"/>
      <c r="BB351" s="146"/>
      <c r="BC351" s="146"/>
      <c r="BD351" s="146"/>
      <c r="BE351" s="146"/>
      <c r="BF351" s="146"/>
      <c r="BG351" s="146"/>
      <c r="BH351" s="146"/>
      <c r="BI351" s="146"/>
      <c r="BJ351" s="146"/>
      <c r="BK351" s="146"/>
      <c r="BL351" s="146"/>
      <c r="BM351" s="146"/>
      <c r="BN351" s="146"/>
      <c r="BO351" s="146"/>
      <c r="BP351" s="146"/>
      <c r="BQ351" s="146"/>
      <c r="BR351" s="146"/>
      <c r="BS351" s="146"/>
      <c r="BT351" s="146"/>
      <c r="BU351" s="146"/>
      <c r="BV351" s="146"/>
      <c r="BW351" s="146"/>
      <c r="BX351" s="146"/>
      <c r="BY351" s="146"/>
      <c r="BZ351" s="146"/>
      <c r="CA351" s="146"/>
      <c r="CB351" s="146"/>
      <c r="CC351" s="146"/>
      <c r="CD351" s="146"/>
      <c r="CE351" s="146"/>
      <c r="CF351" s="146"/>
      <c r="CG351" s="146"/>
      <c r="CH351" s="146"/>
      <c r="CI351" s="146"/>
      <c r="CJ351" s="146"/>
      <c r="CK351" s="146"/>
      <c r="CL351" s="146"/>
      <c r="CM351" s="146"/>
      <c r="CN351" s="146"/>
      <c r="CO351" s="146"/>
      <c r="CP351" s="146"/>
      <c r="CQ351" s="146"/>
      <c r="CR351" s="146"/>
      <c r="CS351" s="146"/>
      <c r="CT351" s="146"/>
      <c r="CU351" s="146"/>
      <c r="CV351" s="146"/>
      <c r="CW351" s="146"/>
      <c r="CX351" s="146"/>
      <c r="CY351" s="146"/>
      <c r="CZ351" s="146"/>
      <c r="DA351" s="146"/>
      <c r="DB351" s="146"/>
      <c r="DC351" s="146"/>
    </row>
    <row r="352" ht="15.75" customHeight="1">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c r="AA352" s="144"/>
      <c r="AB352" s="144"/>
      <c r="AC352" s="144"/>
      <c r="AD352" s="144"/>
      <c r="AE352" s="144"/>
      <c r="AF352" s="144"/>
      <c r="AG352" s="144"/>
      <c r="AH352" s="144"/>
      <c r="AI352" s="144"/>
      <c r="AJ352" s="144"/>
      <c r="AK352" s="144"/>
      <c r="AL352" s="144"/>
      <c r="AM352" s="144"/>
      <c r="AN352" s="144"/>
      <c r="AO352" s="144"/>
      <c r="AP352" s="146"/>
      <c r="AQ352" s="146"/>
      <c r="AR352" s="146"/>
      <c r="AS352" s="146"/>
      <c r="AT352" s="146"/>
      <c r="AU352" s="146"/>
      <c r="AV352" s="146"/>
      <c r="AW352" s="146"/>
      <c r="AX352" s="146"/>
      <c r="AY352" s="146"/>
      <c r="AZ352" s="146"/>
      <c r="BA352" s="146"/>
      <c r="BB352" s="146"/>
      <c r="BC352" s="146"/>
      <c r="BD352" s="146"/>
      <c r="BE352" s="146"/>
      <c r="BF352" s="146"/>
      <c r="BG352" s="146"/>
      <c r="BH352" s="146"/>
      <c r="BI352" s="146"/>
      <c r="BJ352" s="146"/>
      <c r="BK352" s="146"/>
      <c r="BL352" s="146"/>
      <c r="BM352" s="146"/>
      <c r="BN352" s="146"/>
      <c r="BO352" s="146"/>
      <c r="BP352" s="146"/>
      <c r="BQ352" s="146"/>
      <c r="BR352" s="146"/>
      <c r="BS352" s="146"/>
      <c r="BT352" s="146"/>
      <c r="BU352" s="146"/>
      <c r="BV352" s="146"/>
      <c r="BW352" s="146"/>
      <c r="BX352" s="146"/>
      <c r="BY352" s="146"/>
      <c r="BZ352" s="146"/>
      <c r="CA352" s="146"/>
      <c r="CB352" s="146"/>
      <c r="CC352" s="146"/>
      <c r="CD352" s="146"/>
      <c r="CE352" s="146"/>
      <c r="CF352" s="146"/>
      <c r="CG352" s="146"/>
      <c r="CH352" s="146"/>
      <c r="CI352" s="146"/>
      <c r="CJ352" s="146"/>
      <c r="CK352" s="146"/>
      <c r="CL352" s="146"/>
      <c r="CM352" s="146"/>
      <c r="CN352" s="146"/>
      <c r="CO352" s="146"/>
      <c r="CP352" s="146"/>
      <c r="CQ352" s="146"/>
      <c r="CR352" s="146"/>
      <c r="CS352" s="146"/>
      <c r="CT352" s="146"/>
      <c r="CU352" s="146"/>
      <c r="CV352" s="146"/>
      <c r="CW352" s="146"/>
      <c r="CX352" s="146"/>
      <c r="CY352" s="146"/>
      <c r="CZ352" s="146"/>
      <c r="DA352" s="146"/>
      <c r="DB352" s="146"/>
      <c r="DC352" s="146"/>
    </row>
    <row r="353" ht="15.75" customHeight="1">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c r="AA353" s="144"/>
      <c r="AB353" s="144"/>
      <c r="AC353" s="144"/>
      <c r="AD353" s="144"/>
      <c r="AE353" s="144"/>
      <c r="AF353" s="144"/>
      <c r="AG353" s="144"/>
      <c r="AH353" s="144"/>
      <c r="AI353" s="144"/>
      <c r="AJ353" s="144"/>
      <c r="AK353" s="144"/>
      <c r="AL353" s="144"/>
      <c r="AM353" s="144"/>
      <c r="AN353" s="144"/>
      <c r="AO353" s="144"/>
      <c r="AP353" s="146"/>
      <c r="AQ353" s="146"/>
      <c r="AR353" s="146"/>
      <c r="AS353" s="146"/>
      <c r="AT353" s="146"/>
      <c r="AU353" s="146"/>
      <c r="AV353" s="146"/>
      <c r="AW353" s="146"/>
      <c r="AX353" s="146"/>
      <c r="AY353" s="146"/>
      <c r="AZ353" s="146"/>
      <c r="BA353" s="146"/>
      <c r="BB353" s="146"/>
      <c r="BC353" s="146"/>
      <c r="BD353" s="146"/>
      <c r="BE353" s="146"/>
      <c r="BF353" s="146"/>
      <c r="BG353" s="146"/>
      <c r="BH353" s="146"/>
      <c r="BI353" s="146"/>
      <c r="BJ353" s="146"/>
      <c r="BK353" s="146"/>
      <c r="BL353" s="146"/>
      <c r="BM353" s="146"/>
      <c r="BN353" s="146"/>
      <c r="BO353" s="146"/>
      <c r="BP353" s="146"/>
      <c r="BQ353" s="146"/>
      <c r="BR353" s="146"/>
      <c r="BS353" s="146"/>
      <c r="BT353" s="146"/>
      <c r="BU353" s="146"/>
      <c r="BV353" s="146"/>
      <c r="BW353" s="146"/>
      <c r="BX353" s="146"/>
      <c r="BY353" s="146"/>
      <c r="BZ353" s="146"/>
      <c r="CA353" s="146"/>
      <c r="CB353" s="146"/>
      <c r="CC353" s="146"/>
      <c r="CD353" s="146"/>
      <c r="CE353" s="146"/>
      <c r="CF353" s="146"/>
      <c r="CG353" s="146"/>
      <c r="CH353" s="146"/>
      <c r="CI353" s="146"/>
      <c r="CJ353" s="146"/>
      <c r="CK353" s="146"/>
      <c r="CL353" s="146"/>
      <c r="CM353" s="146"/>
      <c r="CN353" s="146"/>
      <c r="CO353" s="146"/>
      <c r="CP353" s="146"/>
      <c r="CQ353" s="146"/>
      <c r="CR353" s="146"/>
      <c r="CS353" s="146"/>
      <c r="CT353" s="146"/>
      <c r="CU353" s="146"/>
      <c r="CV353" s="146"/>
      <c r="CW353" s="146"/>
      <c r="CX353" s="146"/>
      <c r="CY353" s="146"/>
      <c r="CZ353" s="146"/>
      <c r="DA353" s="146"/>
      <c r="DB353" s="146"/>
      <c r="DC353" s="146"/>
    </row>
    <row r="354" ht="15.75" customHeight="1">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c r="AA354" s="144"/>
      <c r="AB354" s="144"/>
      <c r="AC354" s="144"/>
      <c r="AD354" s="144"/>
      <c r="AE354" s="144"/>
      <c r="AF354" s="144"/>
      <c r="AG354" s="144"/>
      <c r="AH354" s="144"/>
      <c r="AI354" s="144"/>
      <c r="AJ354" s="144"/>
      <c r="AK354" s="144"/>
      <c r="AL354" s="144"/>
      <c r="AM354" s="144"/>
      <c r="AN354" s="144"/>
      <c r="AO354" s="144"/>
      <c r="AP354" s="146"/>
      <c r="AQ354" s="146"/>
      <c r="AR354" s="146"/>
      <c r="AS354" s="146"/>
      <c r="AT354" s="146"/>
      <c r="AU354" s="146"/>
      <c r="AV354" s="146"/>
      <c r="AW354" s="146"/>
      <c r="AX354" s="146"/>
      <c r="AY354" s="146"/>
      <c r="AZ354" s="146"/>
      <c r="BA354" s="146"/>
      <c r="BB354" s="146"/>
      <c r="BC354" s="146"/>
      <c r="BD354" s="146"/>
      <c r="BE354" s="146"/>
      <c r="BF354" s="146"/>
      <c r="BG354" s="146"/>
      <c r="BH354" s="146"/>
      <c r="BI354" s="146"/>
      <c r="BJ354" s="146"/>
      <c r="BK354" s="146"/>
      <c r="BL354" s="146"/>
      <c r="BM354" s="146"/>
      <c r="BN354" s="146"/>
      <c r="BO354" s="146"/>
      <c r="BP354" s="146"/>
      <c r="BQ354" s="146"/>
      <c r="BR354" s="146"/>
      <c r="BS354" s="146"/>
      <c r="BT354" s="146"/>
      <c r="BU354" s="146"/>
      <c r="BV354" s="146"/>
      <c r="BW354" s="146"/>
      <c r="BX354" s="146"/>
      <c r="BY354" s="146"/>
      <c r="BZ354" s="146"/>
      <c r="CA354" s="146"/>
      <c r="CB354" s="146"/>
      <c r="CC354" s="146"/>
      <c r="CD354" s="146"/>
      <c r="CE354" s="146"/>
      <c r="CF354" s="146"/>
      <c r="CG354" s="146"/>
      <c r="CH354" s="146"/>
      <c r="CI354" s="146"/>
      <c r="CJ354" s="146"/>
      <c r="CK354" s="146"/>
      <c r="CL354" s="146"/>
      <c r="CM354" s="146"/>
      <c r="CN354" s="146"/>
      <c r="CO354" s="146"/>
      <c r="CP354" s="146"/>
      <c r="CQ354" s="146"/>
      <c r="CR354" s="146"/>
      <c r="CS354" s="146"/>
      <c r="CT354" s="146"/>
      <c r="CU354" s="146"/>
      <c r="CV354" s="146"/>
      <c r="CW354" s="146"/>
      <c r="CX354" s="146"/>
      <c r="CY354" s="146"/>
      <c r="CZ354" s="146"/>
      <c r="DA354" s="146"/>
      <c r="DB354" s="146"/>
      <c r="DC354" s="146"/>
    </row>
    <row r="355" ht="15.75" customHeight="1">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c r="AE355" s="144"/>
      <c r="AF355" s="144"/>
      <c r="AG355" s="144"/>
      <c r="AH355" s="144"/>
      <c r="AI355" s="144"/>
      <c r="AJ355" s="144"/>
      <c r="AK355" s="144"/>
      <c r="AL355" s="144"/>
      <c r="AM355" s="144"/>
      <c r="AN355" s="144"/>
      <c r="AO355" s="144"/>
      <c r="AP355" s="146"/>
      <c r="AQ355" s="146"/>
      <c r="AR355" s="146"/>
      <c r="AS355" s="146"/>
      <c r="AT355" s="146"/>
      <c r="AU355" s="146"/>
      <c r="AV355" s="146"/>
      <c r="AW355" s="146"/>
      <c r="AX355" s="146"/>
      <c r="AY355" s="146"/>
      <c r="AZ355" s="146"/>
      <c r="BA355" s="146"/>
      <c r="BB355" s="146"/>
      <c r="BC355" s="146"/>
      <c r="BD355" s="146"/>
      <c r="BE355" s="146"/>
      <c r="BF355" s="146"/>
      <c r="BG355" s="146"/>
      <c r="BH355" s="146"/>
      <c r="BI355" s="146"/>
      <c r="BJ355" s="146"/>
      <c r="BK355" s="146"/>
      <c r="BL355" s="146"/>
      <c r="BM355" s="146"/>
      <c r="BN355" s="146"/>
      <c r="BO355" s="146"/>
      <c r="BP355" s="146"/>
      <c r="BQ355" s="146"/>
      <c r="BR355" s="146"/>
      <c r="BS355" s="146"/>
      <c r="BT355" s="146"/>
      <c r="BU355" s="146"/>
      <c r="BV355" s="146"/>
      <c r="BW355" s="146"/>
      <c r="BX355" s="146"/>
      <c r="BY355" s="146"/>
      <c r="BZ355" s="146"/>
      <c r="CA355" s="146"/>
      <c r="CB355" s="146"/>
      <c r="CC355" s="146"/>
      <c r="CD355" s="146"/>
      <c r="CE355" s="146"/>
      <c r="CF355" s="146"/>
      <c r="CG355" s="146"/>
      <c r="CH355" s="146"/>
      <c r="CI355" s="146"/>
      <c r="CJ355" s="146"/>
      <c r="CK355" s="146"/>
      <c r="CL355" s="146"/>
      <c r="CM355" s="146"/>
      <c r="CN355" s="146"/>
      <c r="CO355" s="146"/>
      <c r="CP355" s="146"/>
      <c r="CQ355" s="146"/>
      <c r="CR355" s="146"/>
      <c r="CS355" s="146"/>
      <c r="CT355" s="146"/>
      <c r="CU355" s="146"/>
      <c r="CV355" s="146"/>
      <c r="CW355" s="146"/>
      <c r="CX355" s="146"/>
      <c r="CY355" s="146"/>
      <c r="CZ355" s="146"/>
      <c r="DA355" s="146"/>
      <c r="DB355" s="146"/>
      <c r="DC355" s="146"/>
    </row>
    <row r="356" ht="15.75" customHeight="1">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c r="AA356" s="144"/>
      <c r="AB356" s="144"/>
      <c r="AC356" s="144"/>
      <c r="AD356" s="144"/>
      <c r="AE356" s="144"/>
      <c r="AF356" s="144"/>
      <c r="AG356" s="144"/>
      <c r="AH356" s="144"/>
      <c r="AI356" s="144"/>
      <c r="AJ356" s="144"/>
      <c r="AK356" s="144"/>
      <c r="AL356" s="144"/>
      <c r="AM356" s="144"/>
      <c r="AN356" s="144"/>
      <c r="AO356" s="144"/>
      <c r="AP356" s="146"/>
      <c r="AQ356" s="146"/>
      <c r="AR356" s="146"/>
      <c r="AS356" s="146"/>
      <c r="AT356" s="146"/>
      <c r="AU356" s="146"/>
      <c r="AV356" s="146"/>
      <c r="AW356" s="146"/>
      <c r="AX356" s="146"/>
      <c r="AY356" s="146"/>
      <c r="AZ356" s="146"/>
      <c r="BA356" s="146"/>
      <c r="BB356" s="146"/>
      <c r="BC356" s="146"/>
      <c r="BD356" s="146"/>
      <c r="BE356" s="146"/>
      <c r="BF356" s="146"/>
      <c r="BG356" s="146"/>
      <c r="BH356" s="146"/>
      <c r="BI356" s="146"/>
      <c r="BJ356" s="146"/>
      <c r="BK356" s="146"/>
      <c r="BL356" s="146"/>
      <c r="BM356" s="146"/>
      <c r="BN356" s="146"/>
      <c r="BO356" s="146"/>
      <c r="BP356" s="146"/>
      <c r="BQ356" s="146"/>
      <c r="BR356" s="146"/>
      <c r="BS356" s="146"/>
      <c r="BT356" s="146"/>
      <c r="BU356" s="146"/>
      <c r="BV356" s="146"/>
      <c r="BW356" s="146"/>
      <c r="BX356" s="146"/>
      <c r="BY356" s="146"/>
      <c r="BZ356" s="146"/>
      <c r="CA356" s="146"/>
      <c r="CB356" s="146"/>
      <c r="CC356" s="146"/>
      <c r="CD356" s="146"/>
      <c r="CE356" s="146"/>
      <c r="CF356" s="146"/>
      <c r="CG356" s="146"/>
      <c r="CH356" s="146"/>
      <c r="CI356" s="146"/>
      <c r="CJ356" s="146"/>
      <c r="CK356" s="146"/>
      <c r="CL356" s="146"/>
      <c r="CM356" s="146"/>
      <c r="CN356" s="146"/>
      <c r="CO356" s="146"/>
      <c r="CP356" s="146"/>
      <c r="CQ356" s="146"/>
      <c r="CR356" s="146"/>
      <c r="CS356" s="146"/>
      <c r="CT356" s="146"/>
      <c r="CU356" s="146"/>
      <c r="CV356" s="146"/>
      <c r="CW356" s="146"/>
      <c r="CX356" s="146"/>
      <c r="CY356" s="146"/>
      <c r="CZ356" s="146"/>
      <c r="DA356" s="146"/>
      <c r="DB356" s="146"/>
      <c r="DC356" s="146"/>
    </row>
    <row r="357" ht="15.75" customHeight="1">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c r="AA357" s="144"/>
      <c r="AB357" s="144"/>
      <c r="AC357" s="144"/>
      <c r="AD357" s="144"/>
      <c r="AE357" s="144"/>
      <c r="AF357" s="144"/>
      <c r="AG357" s="144"/>
      <c r="AH357" s="144"/>
      <c r="AI357" s="144"/>
      <c r="AJ357" s="144"/>
      <c r="AK357" s="144"/>
      <c r="AL357" s="144"/>
      <c r="AM357" s="144"/>
      <c r="AN357" s="144"/>
      <c r="AO357" s="144"/>
      <c r="AP357" s="146"/>
      <c r="AQ357" s="146"/>
      <c r="AR357" s="146"/>
      <c r="AS357" s="146"/>
      <c r="AT357" s="146"/>
      <c r="AU357" s="146"/>
      <c r="AV357" s="146"/>
      <c r="AW357" s="146"/>
      <c r="AX357" s="146"/>
      <c r="AY357" s="146"/>
      <c r="AZ357" s="146"/>
      <c r="BA357" s="146"/>
      <c r="BB357" s="146"/>
      <c r="BC357" s="146"/>
      <c r="BD357" s="146"/>
      <c r="BE357" s="146"/>
      <c r="BF357" s="146"/>
      <c r="BG357" s="146"/>
      <c r="BH357" s="146"/>
      <c r="BI357" s="146"/>
      <c r="BJ357" s="146"/>
      <c r="BK357" s="146"/>
      <c r="BL357" s="146"/>
      <c r="BM357" s="146"/>
      <c r="BN357" s="146"/>
      <c r="BO357" s="146"/>
      <c r="BP357" s="146"/>
      <c r="BQ357" s="146"/>
      <c r="BR357" s="146"/>
      <c r="BS357" s="146"/>
      <c r="BT357" s="146"/>
      <c r="BU357" s="146"/>
      <c r="BV357" s="146"/>
      <c r="BW357" s="146"/>
      <c r="BX357" s="146"/>
      <c r="BY357" s="146"/>
      <c r="BZ357" s="146"/>
      <c r="CA357" s="146"/>
      <c r="CB357" s="146"/>
      <c r="CC357" s="146"/>
      <c r="CD357" s="146"/>
      <c r="CE357" s="146"/>
      <c r="CF357" s="146"/>
      <c r="CG357" s="146"/>
      <c r="CH357" s="146"/>
      <c r="CI357" s="146"/>
      <c r="CJ357" s="146"/>
      <c r="CK357" s="146"/>
      <c r="CL357" s="146"/>
      <c r="CM357" s="146"/>
      <c r="CN357" s="146"/>
      <c r="CO357" s="146"/>
      <c r="CP357" s="146"/>
      <c r="CQ357" s="146"/>
      <c r="CR357" s="146"/>
      <c r="CS357" s="146"/>
      <c r="CT357" s="146"/>
      <c r="CU357" s="146"/>
      <c r="CV357" s="146"/>
      <c r="CW357" s="146"/>
      <c r="CX357" s="146"/>
      <c r="CY357" s="146"/>
      <c r="CZ357" s="146"/>
      <c r="DA357" s="146"/>
      <c r="DB357" s="146"/>
      <c r="DC357" s="146"/>
    </row>
    <row r="358" ht="15.75" customHeight="1">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c r="AA358" s="144"/>
      <c r="AB358" s="144"/>
      <c r="AC358" s="144"/>
      <c r="AD358" s="144"/>
      <c r="AE358" s="144"/>
      <c r="AF358" s="144"/>
      <c r="AG358" s="144"/>
      <c r="AH358" s="144"/>
      <c r="AI358" s="144"/>
      <c r="AJ358" s="144"/>
      <c r="AK358" s="144"/>
      <c r="AL358" s="144"/>
      <c r="AM358" s="144"/>
      <c r="AN358" s="144"/>
      <c r="AO358" s="144"/>
      <c r="AP358" s="146"/>
      <c r="AQ358" s="146"/>
      <c r="AR358" s="146"/>
      <c r="AS358" s="146"/>
      <c r="AT358" s="146"/>
      <c r="AU358" s="146"/>
      <c r="AV358" s="146"/>
      <c r="AW358" s="146"/>
      <c r="AX358" s="146"/>
      <c r="AY358" s="146"/>
      <c r="AZ358" s="146"/>
      <c r="BA358" s="146"/>
      <c r="BB358" s="146"/>
      <c r="BC358" s="146"/>
      <c r="BD358" s="146"/>
      <c r="BE358" s="146"/>
      <c r="BF358" s="146"/>
      <c r="BG358" s="146"/>
      <c r="BH358" s="146"/>
      <c r="BI358" s="146"/>
      <c r="BJ358" s="146"/>
      <c r="BK358" s="146"/>
      <c r="BL358" s="146"/>
      <c r="BM358" s="146"/>
      <c r="BN358" s="146"/>
      <c r="BO358" s="146"/>
      <c r="BP358" s="146"/>
      <c r="BQ358" s="146"/>
      <c r="BR358" s="146"/>
      <c r="BS358" s="146"/>
      <c r="BT358" s="146"/>
      <c r="BU358" s="146"/>
      <c r="BV358" s="146"/>
      <c r="BW358" s="146"/>
      <c r="BX358" s="146"/>
      <c r="BY358" s="146"/>
      <c r="BZ358" s="146"/>
      <c r="CA358" s="146"/>
      <c r="CB358" s="146"/>
      <c r="CC358" s="146"/>
      <c r="CD358" s="146"/>
      <c r="CE358" s="146"/>
      <c r="CF358" s="146"/>
      <c r="CG358" s="146"/>
      <c r="CH358" s="146"/>
      <c r="CI358" s="146"/>
      <c r="CJ358" s="146"/>
      <c r="CK358" s="146"/>
      <c r="CL358" s="146"/>
      <c r="CM358" s="146"/>
      <c r="CN358" s="146"/>
      <c r="CO358" s="146"/>
      <c r="CP358" s="146"/>
      <c r="CQ358" s="146"/>
      <c r="CR358" s="146"/>
      <c r="CS358" s="146"/>
      <c r="CT358" s="146"/>
      <c r="CU358" s="146"/>
      <c r="CV358" s="146"/>
      <c r="CW358" s="146"/>
      <c r="CX358" s="146"/>
      <c r="CY358" s="146"/>
      <c r="CZ358" s="146"/>
      <c r="DA358" s="146"/>
      <c r="DB358" s="146"/>
      <c r="DC358" s="146"/>
    </row>
    <row r="359" ht="15.75" customHeight="1">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c r="AA359" s="144"/>
      <c r="AB359" s="144"/>
      <c r="AC359" s="144"/>
      <c r="AD359" s="144"/>
      <c r="AE359" s="144"/>
      <c r="AF359" s="144"/>
      <c r="AG359" s="144"/>
      <c r="AH359" s="144"/>
      <c r="AI359" s="144"/>
      <c r="AJ359" s="144"/>
      <c r="AK359" s="144"/>
      <c r="AL359" s="144"/>
      <c r="AM359" s="144"/>
      <c r="AN359" s="144"/>
      <c r="AO359" s="144"/>
      <c r="AP359" s="146"/>
      <c r="AQ359" s="146"/>
      <c r="AR359" s="146"/>
      <c r="AS359" s="146"/>
      <c r="AT359" s="146"/>
      <c r="AU359" s="146"/>
      <c r="AV359" s="146"/>
      <c r="AW359" s="146"/>
      <c r="AX359" s="146"/>
      <c r="AY359" s="146"/>
      <c r="AZ359" s="146"/>
      <c r="BA359" s="146"/>
      <c r="BB359" s="146"/>
      <c r="BC359" s="146"/>
      <c r="BD359" s="146"/>
      <c r="BE359" s="146"/>
      <c r="BF359" s="146"/>
      <c r="BG359" s="146"/>
      <c r="BH359" s="146"/>
      <c r="BI359" s="146"/>
      <c r="BJ359" s="146"/>
      <c r="BK359" s="146"/>
      <c r="BL359" s="146"/>
      <c r="BM359" s="146"/>
      <c r="BN359" s="146"/>
      <c r="BO359" s="146"/>
      <c r="BP359" s="146"/>
      <c r="BQ359" s="146"/>
      <c r="BR359" s="146"/>
      <c r="BS359" s="146"/>
      <c r="BT359" s="146"/>
      <c r="BU359" s="146"/>
      <c r="BV359" s="146"/>
      <c r="BW359" s="146"/>
      <c r="BX359" s="146"/>
      <c r="BY359" s="146"/>
      <c r="BZ359" s="146"/>
      <c r="CA359" s="146"/>
      <c r="CB359" s="146"/>
      <c r="CC359" s="146"/>
      <c r="CD359" s="146"/>
      <c r="CE359" s="146"/>
      <c r="CF359" s="146"/>
      <c r="CG359" s="146"/>
      <c r="CH359" s="146"/>
      <c r="CI359" s="146"/>
      <c r="CJ359" s="146"/>
      <c r="CK359" s="146"/>
      <c r="CL359" s="146"/>
      <c r="CM359" s="146"/>
      <c r="CN359" s="146"/>
      <c r="CO359" s="146"/>
      <c r="CP359" s="146"/>
      <c r="CQ359" s="146"/>
      <c r="CR359" s="146"/>
      <c r="CS359" s="146"/>
      <c r="CT359" s="146"/>
      <c r="CU359" s="146"/>
      <c r="CV359" s="146"/>
      <c r="CW359" s="146"/>
      <c r="CX359" s="146"/>
      <c r="CY359" s="146"/>
      <c r="CZ359" s="146"/>
      <c r="DA359" s="146"/>
      <c r="DB359" s="146"/>
      <c r="DC359" s="146"/>
    </row>
    <row r="360" ht="15.75" customHeight="1">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c r="AA360" s="144"/>
      <c r="AB360" s="144"/>
      <c r="AC360" s="144"/>
      <c r="AD360" s="144"/>
      <c r="AE360" s="144"/>
      <c r="AF360" s="144"/>
      <c r="AG360" s="144"/>
      <c r="AH360" s="144"/>
      <c r="AI360" s="144"/>
      <c r="AJ360" s="144"/>
      <c r="AK360" s="144"/>
      <c r="AL360" s="144"/>
      <c r="AM360" s="144"/>
      <c r="AN360" s="144"/>
      <c r="AO360" s="144"/>
      <c r="AP360" s="146"/>
      <c r="AQ360" s="146"/>
      <c r="AR360" s="146"/>
      <c r="AS360" s="146"/>
      <c r="AT360" s="146"/>
      <c r="AU360" s="146"/>
      <c r="AV360" s="146"/>
      <c r="AW360" s="146"/>
      <c r="AX360" s="146"/>
      <c r="AY360" s="146"/>
      <c r="AZ360" s="146"/>
      <c r="BA360" s="146"/>
      <c r="BB360" s="146"/>
      <c r="BC360" s="146"/>
      <c r="BD360" s="146"/>
      <c r="BE360" s="146"/>
      <c r="BF360" s="146"/>
      <c r="BG360" s="146"/>
      <c r="BH360" s="146"/>
      <c r="BI360" s="146"/>
      <c r="BJ360" s="146"/>
      <c r="BK360" s="146"/>
      <c r="BL360" s="146"/>
      <c r="BM360" s="146"/>
      <c r="BN360" s="146"/>
      <c r="BO360" s="146"/>
      <c r="BP360" s="146"/>
      <c r="BQ360" s="146"/>
      <c r="BR360" s="146"/>
      <c r="BS360" s="146"/>
      <c r="BT360" s="146"/>
      <c r="BU360" s="146"/>
      <c r="BV360" s="146"/>
      <c r="BW360" s="146"/>
      <c r="BX360" s="146"/>
      <c r="BY360" s="146"/>
      <c r="BZ360" s="146"/>
      <c r="CA360" s="146"/>
      <c r="CB360" s="146"/>
      <c r="CC360" s="146"/>
      <c r="CD360" s="146"/>
      <c r="CE360" s="146"/>
      <c r="CF360" s="146"/>
      <c r="CG360" s="146"/>
      <c r="CH360" s="146"/>
      <c r="CI360" s="146"/>
      <c r="CJ360" s="146"/>
      <c r="CK360" s="146"/>
      <c r="CL360" s="146"/>
      <c r="CM360" s="146"/>
      <c r="CN360" s="146"/>
      <c r="CO360" s="146"/>
      <c r="CP360" s="146"/>
      <c r="CQ360" s="146"/>
      <c r="CR360" s="146"/>
      <c r="CS360" s="146"/>
      <c r="CT360" s="146"/>
      <c r="CU360" s="146"/>
      <c r="CV360" s="146"/>
      <c r="CW360" s="146"/>
      <c r="CX360" s="146"/>
      <c r="CY360" s="146"/>
      <c r="CZ360" s="146"/>
      <c r="DA360" s="146"/>
      <c r="DB360" s="146"/>
      <c r="DC360" s="146"/>
    </row>
    <row r="361" ht="15.75" customHeight="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c r="AA361" s="144"/>
      <c r="AB361" s="144"/>
      <c r="AC361" s="144"/>
      <c r="AD361" s="144"/>
      <c r="AE361" s="144"/>
      <c r="AF361" s="144"/>
      <c r="AG361" s="144"/>
      <c r="AH361" s="144"/>
      <c r="AI361" s="144"/>
      <c r="AJ361" s="144"/>
      <c r="AK361" s="144"/>
      <c r="AL361" s="144"/>
      <c r="AM361" s="144"/>
      <c r="AN361" s="144"/>
      <c r="AO361" s="144"/>
      <c r="AP361" s="146"/>
      <c r="AQ361" s="146"/>
      <c r="AR361" s="146"/>
      <c r="AS361" s="146"/>
      <c r="AT361" s="146"/>
      <c r="AU361" s="146"/>
      <c r="AV361" s="146"/>
      <c r="AW361" s="146"/>
      <c r="AX361" s="146"/>
      <c r="AY361" s="146"/>
      <c r="AZ361" s="146"/>
      <c r="BA361" s="146"/>
      <c r="BB361" s="146"/>
      <c r="BC361" s="146"/>
      <c r="BD361" s="146"/>
      <c r="BE361" s="146"/>
      <c r="BF361" s="146"/>
      <c r="BG361" s="146"/>
      <c r="BH361" s="146"/>
      <c r="BI361" s="146"/>
      <c r="BJ361" s="146"/>
      <c r="BK361" s="146"/>
      <c r="BL361" s="146"/>
      <c r="BM361" s="146"/>
      <c r="BN361" s="146"/>
      <c r="BO361" s="146"/>
      <c r="BP361" s="146"/>
      <c r="BQ361" s="146"/>
      <c r="BR361" s="146"/>
      <c r="BS361" s="146"/>
      <c r="BT361" s="146"/>
      <c r="BU361" s="146"/>
      <c r="BV361" s="146"/>
      <c r="BW361" s="146"/>
      <c r="BX361" s="146"/>
      <c r="BY361" s="146"/>
      <c r="BZ361" s="146"/>
      <c r="CA361" s="146"/>
      <c r="CB361" s="146"/>
      <c r="CC361" s="146"/>
      <c r="CD361" s="146"/>
      <c r="CE361" s="146"/>
      <c r="CF361" s="146"/>
      <c r="CG361" s="146"/>
      <c r="CH361" s="146"/>
      <c r="CI361" s="146"/>
      <c r="CJ361" s="146"/>
      <c r="CK361" s="146"/>
      <c r="CL361" s="146"/>
      <c r="CM361" s="146"/>
      <c r="CN361" s="146"/>
      <c r="CO361" s="146"/>
      <c r="CP361" s="146"/>
      <c r="CQ361" s="146"/>
      <c r="CR361" s="146"/>
      <c r="CS361" s="146"/>
      <c r="CT361" s="146"/>
      <c r="CU361" s="146"/>
      <c r="CV361" s="146"/>
      <c r="CW361" s="146"/>
      <c r="CX361" s="146"/>
      <c r="CY361" s="146"/>
      <c r="CZ361" s="146"/>
      <c r="DA361" s="146"/>
      <c r="DB361" s="146"/>
      <c r="DC361" s="146"/>
    </row>
    <row r="362" ht="15.75" customHeight="1">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c r="AA362" s="144"/>
      <c r="AB362" s="144"/>
      <c r="AC362" s="144"/>
      <c r="AD362" s="144"/>
      <c r="AE362" s="144"/>
      <c r="AF362" s="144"/>
      <c r="AG362" s="144"/>
      <c r="AH362" s="144"/>
      <c r="AI362" s="144"/>
      <c r="AJ362" s="144"/>
      <c r="AK362" s="144"/>
      <c r="AL362" s="144"/>
      <c r="AM362" s="144"/>
      <c r="AN362" s="144"/>
      <c r="AO362" s="144"/>
      <c r="AP362" s="146"/>
      <c r="AQ362" s="146"/>
      <c r="AR362" s="146"/>
      <c r="AS362" s="146"/>
      <c r="AT362" s="146"/>
      <c r="AU362" s="146"/>
      <c r="AV362" s="146"/>
      <c r="AW362" s="146"/>
      <c r="AX362" s="146"/>
      <c r="AY362" s="146"/>
      <c r="AZ362" s="146"/>
      <c r="BA362" s="146"/>
      <c r="BB362" s="146"/>
      <c r="BC362" s="146"/>
      <c r="BD362" s="146"/>
      <c r="BE362" s="146"/>
      <c r="BF362" s="146"/>
      <c r="BG362" s="146"/>
      <c r="BH362" s="146"/>
      <c r="BI362" s="146"/>
      <c r="BJ362" s="146"/>
      <c r="BK362" s="146"/>
      <c r="BL362" s="146"/>
      <c r="BM362" s="146"/>
      <c r="BN362" s="146"/>
      <c r="BO362" s="146"/>
      <c r="BP362" s="146"/>
      <c r="BQ362" s="146"/>
      <c r="BR362" s="146"/>
      <c r="BS362" s="146"/>
      <c r="BT362" s="146"/>
      <c r="BU362" s="146"/>
      <c r="BV362" s="146"/>
      <c r="BW362" s="146"/>
      <c r="BX362" s="146"/>
      <c r="BY362" s="146"/>
      <c r="BZ362" s="146"/>
      <c r="CA362" s="146"/>
      <c r="CB362" s="146"/>
      <c r="CC362" s="146"/>
      <c r="CD362" s="146"/>
      <c r="CE362" s="146"/>
      <c r="CF362" s="146"/>
      <c r="CG362" s="146"/>
      <c r="CH362" s="146"/>
      <c r="CI362" s="146"/>
      <c r="CJ362" s="146"/>
      <c r="CK362" s="146"/>
      <c r="CL362" s="146"/>
      <c r="CM362" s="146"/>
      <c r="CN362" s="146"/>
      <c r="CO362" s="146"/>
      <c r="CP362" s="146"/>
      <c r="CQ362" s="146"/>
      <c r="CR362" s="146"/>
      <c r="CS362" s="146"/>
      <c r="CT362" s="146"/>
      <c r="CU362" s="146"/>
      <c r="CV362" s="146"/>
      <c r="CW362" s="146"/>
      <c r="CX362" s="146"/>
      <c r="CY362" s="146"/>
      <c r="CZ362" s="146"/>
      <c r="DA362" s="146"/>
      <c r="DB362" s="146"/>
      <c r="DC362" s="146"/>
    </row>
    <row r="363" ht="15.75" customHeight="1">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c r="AE363" s="144"/>
      <c r="AF363" s="144"/>
      <c r="AG363" s="144"/>
      <c r="AH363" s="144"/>
      <c r="AI363" s="144"/>
      <c r="AJ363" s="144"/>
      <c r="AK363" s="144"/>
      <c r="AL363" s="144"/>
      <c r="AM363" s="144"/>
      <c r="AN363" s="144"/>
      <c r="AO363" s="144"/>
      <c r="AP363" s="146"/>
      <c r="AQ363" s="146"/>
      <c r="AR363" s="146"/>
      <c r="AS363" s="146"/>
      <c r="AT363" s="146"/>
      <c r="AU363" s="146"/>
      <c r="AV363" s="146"/>
      <c r="AW363" s="146"/>
      <c r="AX363" s="146"/>
      <c r="AY363" s="146"/>
      <c r="AZ363" s="146"/>
      <c r="BA363" s="146"/>
      <c r="BB363" s="146"/>
      <c r="BC363" s="146"/>
      <c r="BD363" s="146"/>
      <c r="BE363" s="146"/>
      <c r="BF363" s="146"/>
      <c r="BG363" s="146"/>
      <c r="BH363" s="146"/>
      <c r="BI363" s="146"/>
      <c r="BJ363" s="146"/>
      <c r="BK363" s="146"/>
      <c r="BL363" s="146"/>
      <c r="BM363" s="146"/>
      <c r="BN363" s="146"/>
      <c r="BO363" s="146"/>
      <c r="BP363" s="146"/>
      <c r="BQ363" s="146"/>
      <c r="BR363" s="146"/>
      <c r="BS363" s="146"/>
      <c r="BT363" s="146"/>
      <c r="BU363" s="146"/>
      <c r="BV363" s="146"/>
      <c r="BW363" s="146"/>
      <c r="BX363" s="146"/>
      <c r="BY363" s="146"/>
      <c r="BZ363" s="146"/>
      <c r="CA363" s="146"/>
      <c r="CB363" s="146"/>
      <c r="CC363" s="146"/>
      <c r="CD363" s="146"/>
      <c r="CE363" s="146"/>
      <c r="CF363" s="146"/>
      <c r="CG363" s="146"/>
      <c r="CH363" s="146"/>
      <c r="CI363" s="146"/>
      <c r="CJ363" s="146"/>
      <c r="CK363" s="146"/>
      <c r="CL363" s="146"/>
      <c r="CM363" s="146"/>
      <c r="CN363" s="146"/>
      <c r="CO363" s="146"/>
      <c r="CP363" s="146"/>
      <c r="CQ363" s="146"/>
      <c r="CR363" s="146"/>
      <c r="CS363" s="146"/>
      <c r="CT363" s="146"/>
      <c r="CU363" s="146"/>
      <c r="CV363" s="146"/>
      <c r="CW363" s="146"/>
      <c r="CX363" s="146"/>
      <c r="CY363" s="146"/>
      <c r="CZ363" s="146"/>
      <c r="DA363" s="146"/>
      <c r="DB363" s="146"/>
      <c r="DC363" s="146"/>
    </row>
    <row r="364" ht="15.75" customHeight="1">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c r="AE364" s="144"/>
      <c r="AF364" s="144"/>
      <c r="AG364" s="144"/>
      <c r="AH364" s="144"/>
      <c r="AI364" s="144"/>
      <c r="AJ364" s="144"/>
      <c r="AK364" s="144"/>
      <c r="AL364" s="144"/>
      <c r="AM364" s="144"/>
      <c r="AN364" s="144"/>
      <c r="AO364" s="144"/>
      <c r="AP364" s="146"/>
      <c r="AQ364" s="146"/>
      <c r="AR364" s="146"/>
      <c r="AS364" s="146"/>
      <c r="AT364" s="146"/>
      <c r="AU364" s="146"/>
      <c r="AV364" s="146"/>
      <c r="AW364" s="146"/>
      <c r="AX364" s="146"/>
      <c r="AY364" s="146"/>
      <c r="AZ364" s="146"/>
      <c r="BA364" s="146"/>
      <c r="BB364" s="146"/>
      <c r="BC364" s="146"/>
      <c r="BD364" s="146"/>
      <c r="BE364" s="146"/>
      <c r="BF364" s="146"/>
      <c r="BG364" s="146"/>
      <c r="BH364" s="146"/>
      <c r="BI364" s="146"/>
      <c r="BJ364" s="146"/>
      <c r="BK364" s="146"/>
      <c r="BL364" s="146"/>
      <c r="BM364" s="146"/>
      <c r="BN364" s="146"/>
      <c r="BO364" s="146"/>
      <c r="BP364" s="146"/>
      <c r="BQ364" s="146"/>
      <c r="BR364" s="146"/>
      <c r="BS364" s="146"/>
      <c r="BT364" s="146"/>
      <c r="BU364" s="146"/>
      <c r="BV364" s="146"/>
      <c r="BW364" s="146"/>
      <c r="BX364" s="146"/>
      <c r="BY364" s="146"/>
      <c r="BZ364" s="146"/>
      <c r="CA364" s="146"/>
      <c r="CB364" s="146"/>
      <c r="CC364" s="146"/>
      <c r="CD364" s="146"/>
      <c r="CE364" s="146"/>
      <c r="CF364" s="146"/>
      <c r="CG364" s="146"/>
      <c r="CH364" s="146"/>
      <c r="CI364" s="146"/>
      <c r="CJ364" s="146"/>
      <c r="CK364" s="146"/>
      <c r="CL364" s="146"/>
      <c r="CM364" s="146"/>
      <c r="CN364" s="146"/>
      <c r="CO364" s="146"/>
      <c r="CP364" s="146"/>
      <c r="CQ364" s="146"/>
      <c r="CR364" s="146"/>
      <c r="CS364" s="146"/>
      <c r="CT364" s="146"/>
      <c r="CU364" s="146"/>
      <c r="CV364" s="146"/>
      <c r="CW364" s="146"/>
      <c r="CX364" s="146"/>
      <c r="CY364" s="146"/>
      <c r="CZ364" s="146"/>
      <c r="DA364" s="146"/>
      <c r="DB364" s="146"/>
      <c r="DC364" s="146"/>
    </row>
    <row r="365" ht="15.75" customHeight="1">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c r="AE365" s="144"/>
      <c r="AF365" s="144"/>
      <c r="AG365" s="144"/>
      <c r="AH365" s="144"/>
      <c r="AI365" s="144"/>
      <c r="AJ365" s="144"/>
      <c r="AK365" s="144"/>
      <c r="AL365" s="144"/>
      <c r="AM365" s="144"/>
      <c r="AN365" s="144"/>
      <c r="AO365" s="144"/>
      <c r="AP365" s="146"/>
      <c r="AQ365" s="146"/>
      <c r="AR365" s="146"/>
      <c r="AS365" s="146"/>
      <c r="AT365" s="146"/>
      <c r="AU365" s="146"/>
      <c r="AV365" s="146"/>
      <c r="AW365" s="146"/>
      <c r="AX365" s="146"/>
      <c r="AY365" s="146"/>
      <c r="AZ365" s="146"/>
      <c r="BA365" s="146"/>
      <c r="BB365" s="146"/>
      <c r="BC365" s="146"/>
      <c r="BD365" s="146"/>
      <c r="BE365" s="146"/>
      <c r="BF365" s="146"/>
      <c r="BG365" s="146"/>
      <c r="BH365" s="146"/>
      <c r="BI365" s="146"/>
      <c r="BJ365" s="146"/>
      <c r="BK365" s="146"/>
      <c r="BL365" s="146"/>
      <c r="BM365" s="146"/>
      <c r="BN365" s="146"/>
      <c r="BO365" s="146"/>
      <c r="BP365" s="146"/>
      <c r="BQ365" s="146"/>
      <c r="BR365" s="146"/>
      <c r="BS365" s="146"/>
      <c r="BT365" s="146"/>
      <c r="BU365" s="146"/>
      <c r="BV365" s="146"/>
      <c r="BW365" s="146"/>
      <c r="BX365" s="146"/>
      <c r="BY365" s="146"/>
      <c r="BZ365" s="146"/>
      <c r="CA365" s="146"/>
      <c r="CB365" s="146"/>
      <c r="CC365" s="146"/>
      <c r="CD365" s="146"/>
      <c r="CE365" s="146"/>
      <c r="CF365" s="146"/>
      <c r="CG365" s="146"/>
      <c r="CH365" s="146"/>
      <c r="CI365" s="146"/>
      <c r="CJ365" s="146"/>
      <c r="CK365" s="146"/>
      <c r="CL365" s="146"/>
      <c r="CM365" s="146"/>
      <c r="CN365" s="146"/>
      <c r="CO365" s="146"/>
      <c r="CP365" s="146"/>
      <c r="CQ365" s="146"/>
      <c r="CR365" s="146"/>
      <c r="CS365" s="146"/>
      <c r="CT365" s="146"/>
      <c r="CU365" s="146"/>
      <c r="CV365" s="146"/>
      <c r="CW365" s="146"/>
      <c r="CX365" s="146"/>
      <c r="CY365" s="146"/>
      <c r="CZ365" s="146"/>
      <c r="DA365" s="146"/>
      <c r="DB365" s="146"/>
      <c r="DC365" s="146"/>
    </row>
    <row r="366" ht="15.75" customHeight="1">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44"/>
      <c r="AD366" s="144"/>
      <c r="AE366" s="144"/>
      <c r="AF366" s="144"/>
      <c r="AG366" s="144"/>
      <c r="AH366" s="144"/>
      <c r="AI366" s="144"/>
      <c r="AJ366" s="144"/>
      <c r="AK366" s="144"/>
      <c r="AL366" s="144"/>
      <c r="AM366" s="144"/>
      <c r="AN366" s="144"/>
      <c r="AO366" s="144"/>
      <c r="AP366" s="146"/>
      <c r="AQ366" s="146"/>
      <c r="AR366" s="146"/>
      <c r="AS366" s="146"/>
      <c r="AT366" s="146"/>
      <c r="AU366" s="146"/>
      <c r="AV366" s="146"/>
      <c r="AW366" s="146"/>
      <c r="AX366" s="146"/>
      <c r="AY366" s="146"/>
      <c r="AZ366" s="146"/>
      <c r="BA366" s="146"/>
      <c r="BB366" s="146"/>
      <c r="BC366" s="146"/>
      <c r="BD366" s="146"/>
      <c r="BE366" s="146"/>
      <c r="BF366" s="146"/>
      <c r="BG366" s="146"/>
      <c r="BH366" s="146"/>
      <c r="BI366" s="146"/>
      <c r="BJ366" s="146"/>
      <c r="BK366" s="146"/>
      <c r="BL366" s="146"/>
      <c r="BM366" s="146"/>
      <c r="BN366" s="146"/>
      <c r="BO366" s="146"/>
      <c r="BP366" s="146"/>
      <c r="BQ366" s="146"/>
      <c r="BR366" s="146"/>
      <c r="BS366" s="146"/>
      <c r="BT366" s="146"/>
      <c r="BU366" s="146"/>
      <c r="BV366" s="146"/>
      <c r="BW366" s="146"/>
      <c r="BX366" s="146"/>
      <c r="BY366" s="146"/>
      <c r="BZ366" s="146"/>
      <c r="CA366" s="146"/>
      <c r="CB366" s="146"/>
      <c r="CC366" s="146"/>
      <c r="CD366" s="146"/>
      <c r="CE366" s="146"/>
      <c r="CF366" s="146"/>
      <c r="CG366" s="146"/>
      <c r="CH366" s="146"/>
      <c r="CI366" s="146"/>
      <c r="CJ366" s="146"/>
      <c r="CK366" s="146"/>
      <c r="CL366" s="146"/>
      <c r="CM366" s="146"/>
      <c r="CN366" s="146"/>
      <c r="CO366" s="146"/>
      <c r="CP366" s="146"/>
      <c r="CQ366" s="146"/>
      <c r="CR366" s="146"/>
      <c r="CS366" s="146"/>
      <c r="CT366" s="146"/>
      <c r="CU366" s="146"/>
      <c r="CV366" s="146"/>
      <c r="CW366" s="146"/>
      <c r="CX366" s="146"/>
      <c r="CY366" s="146"/>
      <c r="CZ366" s="146"/>
      <c r="DA366" s="146"/>
      <c r="DB366" s="146"/>
      <c r="DC366" s="146"/>
    </row>
    <row r="367" ht="15.75" customHeight="1">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44"/>
      <c r="AD367" s="144"/>
      <c r="AE367" s="144"/>
      <c r="AF367" s="144"/>
      <c r="AG367" s="144"/>
      <c r="AH367" s="144"/>
      <c r="AI367" s="144"/>
      <c r="AJ367" s="144"/>
      <c r="AK367" s="144"/>
      <c r="AL367" s="144"/>
      <c r="AM367" s="144"/>
      <c r="AN367" s="144"/>
      <c r="AO367" s="144"/>
      <c r="AP367" s="146"/>
      <c r="AQ367" s="146"/>
      <c r="AR367" s="146"/>
      <c r="AS367" s="146"/>
      <c r="AT367" s="146"/>
      <c r="AU367" s="146"/>
      <c r="AV367" s="146"/>
      <c r="AW367" s="146"/>
      <c r="AX367" s="146"/>
      <c r="AY367" s="146"/>
      <c r="AZ367" s="146"/>
      <c r="BA367" s="146"/>
      <c r="BB367" s="146"/>
      <c r="BC367" s="146"/>
      <c r="BD367" s="146"/>
      <c r="BE367" s="146"/>
      <c r="BF367" s="146"/>
      <c r="BG367" s="146"/>
      <c r="BH367" s="146"/>
      <c r="BI367" s="146"/>
      <c r="BJ367" s="146"/>
      <c r="BK367" s="146"/>
      <c r="BL367" s="146"/>
      <c r="BM367" s="146"/>
      <c r="BN367" s="146"/>
      <c r="BO367" s="146"/>
      <c r="BP367" s="146"/>
      <c r="BQ367" s="146"/>
      <c r="BR367" s="146"/>
      <c r="BS367" s="146"/>
      <c r="BT367" s="146"/>
      <c r="BU367" s="146"/>
      <c r="BV367" s="146"/>
      <c r="BW367" s="146"/>
      <c r="BX367" s="146"/>
      <c r="BY367" s="146"/>
      <c r="BZ367" s="146"/>
      <c r="CA367" s="146"/>
      <c r="CB367" s="146"/>
      <c r="CC367" s="146"/>
      <c r="CD367" s="146"/>
      <c r="CE367" s="146"/>
      <c r="CF367" s="146"/>
      <c r="CG367" s="146"/>
      <c r="CH367" s="146"/>
      <c r="CI367" s="146"/>
      <c r="CJ367" s="146"/>
      <c r="CK367" s="146"/>
      <c r="CL367" s="146"/>
      <c r="CM367" s="146"/>
      <c r="CN367" s="146"/>
      <c r="CO367" s="146"/>
      <c r="CP367" s="146"/>
      <c r="CQ367" s="146"/>
      <c r="CR367" s="146"/>
      <c r="CS367" s="146"/>
      <c r="CT367" s="146"/>
      <c r="CU367" s="146"/>
      <c r="CV367" s="146"/>
      <c r="CW367" s="146"/>
      <c r="CX367" s="146"/>
      <c r="CY367" s="146"/>
      <c r="CZ367" s="146"/>
      <c r="DA367" s="146"/>
      <c r="DB367" s="146"/>
      <c r="DC367" s="146"/>
    </row>
    <row r="368" ht="15.75" customHeight="1">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44"/>
      <c r="AD368" s="144"/>
      <c r="AE368" s="144"/>
      <c r="AF368" s="144"/>
      <c r="AG368" s="144"/>
      <c r="AH368" s="144"/>
      <c r="AI368" s="144"/>
      <c r="AJ368" s="144"/>
      <c r="AK368" s="144"/>
      <c r="AL368" s="144"/>
      <c r="AM368" s="144"/>
      <c r="AN368" s="144"/>
      <c r="AO368" s="144"/>
      <c r="AP368" s="146"/>
      <c r="AQ368" s="146"/>
      <c r="AR368" s="146"/>
      <c r="AS368" s="146"/>
      <c r="AT368" s="146"/>
      <c r="AU368" s="146"/>
      <c r="AV368" s="146"/>
      <c r="AW368" s="146"/>
      <c r="AX368" s="146"/>
      <c r="AY368" s="146"/>
      <c r="AZ368" s="146"/>
      <c r="BA368" s="146"/>
      <c r="BB368" s="146"/>
      <c r="BC368" s="146"/>
      <c r="BD368" s="146"/>
      <c r="BE368" s="146"/>
      <c r="BF368" s="146"/>
      <c r="BG368" s="146"/>
      <c r="BH368" s="146"/>
      <c r="BI368" s="146"/>
      <c r="BJ368" s="146"/>
      <c r="BK368" s="146"/>
      <c r="BL368" s="146"/>
      <c r="BM368" s="146"/>
      <c r="BN368" s="146"/>
      <c r="BO368" s="146"/>
      <c r="BP368" s="146"/>
      <c r="BQ368" s="146"/>
      <c r="BR368" s="146"/>
      <c r="BS368" s="146"/>
      <c r="BT368" s="146"/>
      <c r="BU368" s="146"/>
      <c r="BV368" s="146"/>
      <c r="BW368" s="146"/>
      <c r="BX368" s="146"/>
      <c r="BY368" s="146"/>
      <c r="BZ368" s="146"/>
      <c r="CA368" s="146"/>
      <c r="CB368" s="146"/>
      <c r="CC368" s="146"/>
      <c r="CD368" s="146"/>
      <c r="CE368" s="146"/>
      <c r="CF368" s="146"/>
      <c r="CG368" s="146"/>
      <c r="CH368" s="146"/>
      <c r="CI368" s="146"/>
      <c r="CJ368" s="146"/>
      <c r="CK368" s="146"/>
      <c r="CL368" s="146"/>
      <c r="CM368" s="146"/>
      <c r="CN368" s="146"/>
      <c r="CO368" s="146"/>
      <c r="CP368" s="146"/>
      <c r="CQ368" s="146"/>
      <c r="CR368" s="146"/>
      <c r="CS368" s="146"/>
      <c r="CT368" s="146"/>
      <c r="CU368" s="146"/>
      <c r="CV368" s="146"/>
      <c r="CW368" s="146"/>
      <c r="CX368" s="146"/>
      <c r="CY368" s="146"/>
      <c r="CZ368" s="146"/>
      <c r="DA368" s="146"/>
      <c r="DB368" s="146"/>
      <c r="DC368" s="146"/>
    </row>
    <row r="369" ht="15.75" customHeight="1">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c r="AE369" s="144"/>
      <c r="AF369" s="144"/>
      <c r="AG369" s="144"/>
      <c r="AH369" s="144"/>
      <c r="AI369" s="144"/>
      <c r="AJ369" s="144"/>
      <c r="AK369" s="144"/>
      <c r="AL369" s="144"/>
      <c r="AM369" s="144"/>
      <c r="AN369" s="144"/>
      <c r="AO369" s="144"/>
      <c r="AP369" s="146"/>
      <c r="AQ369" s="146"/>
      <c r="AR369" s="146"/>
      <c r="AS369" s="146"/>
      <c r="AT369" s="146"/>
      <c r="AU369" s="146"/>
      <c r="AV369" s="146"/>
      <c r="AW369" s="146"/>
      <c r="AX369" s="146"/>
      <c r="AY369" s="146"/>
      <c r="AZ369" s="146"/>
      <c r="BA369" s="146"/>
      <c r="BB369" s="146"/>
      <c r="BC369" s="146"/>
      <c r="BD369" s="146"/>
      <c r="BE369" s="146"/>
      <c r="BF369" s="146"/>
      <c r="BG369" s="146"/>
      <c r="BH369" s="146"/>
      <c r="BI369" s="146"/>
      <c r="BJ369" s="146"/>
      <c r="BK369" s="146"/>
      <c r="BL369" s="146"/>
      <c r="BM369" s="146"/>
      <c r="BN369" s="146"/>
      <c r="BO369" s="146"/>
      <c r="BP369" s="146"/>
      <c r="BQ369" s="146"/>
      <c r="BR369" s="146"/>
      <c r="BS369" s="146"/>
      <c r="BT369" s="146"/>
      <c r="BU369" s="146"/>
      <c r="BV369" s="146"/>
      <c r="BW369" s="146"/>
      <c r="BX369" s="146"/>
      <c r="BY369" s="146"/>
      <c r="BZ369" s="146"/>
      <c r="CA369" s="146"/>
      <c r="CB369" s="146"/>
      <c r="CC369" s="146"/>
      <c r="CD369" s="146"/>
      <c r="CE369" s="146"/>
      <c r="CF369" s="146"/>
      <c r="CG369" s="146"/>
      <c r="CH369" s="146"/>
      <c r="CI369" s="146"/>
      <c r="CJ369" s="146"/>
      <c r="CK369" s="146"/>
      <c r="CL369" s="146"/>
      <c r="CM369" s="146"/>
      <c r="CN369" s="146"/>
      <c r="CO369" s="146"/>
      <c r="CP369" s="146"/>
      <c r="CQ369" s="146"/>
      <c r="CR369" s="146"/>
      <c r="CS369" s="146"/>
      <c r="CT369" s="146"/>
      <c r="CU369" s="146"/>
      <c r="CV369" s="146"/>
      <c r="CW369" s="146"/>
      <c r="CX369" s="146"/>
      <c r="CY369" s="146"/>
      <c r="CZ369" s="146"/>
      <c r="DA369" s="146"/>
      <c r="DB369" s="146"/>
      <c r="DC369" s="146"/>
    </row>
    <row r="370" ht="15.75" customHeight="1">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c r="AA370" s="144"/>
      <c r="AB370" s="144"/>
      <c r="AC370" s="144"/>
      <c r="AD370" s="144"/>
      <c r="AE370" s="144"/>
      <c r="AF370" s="144"/>
      <c r="AG370" s="144"/>
      <c r="AH370" s="144"/>
      <c r="AI370" s="144"/>
      <c r="AJ370" s="144"/>
      <c r="AK370" s="144"/>
      <c r="AL370" s="144"/>
      <c r="AM370" s="144"/>
      <c r="AN370" s="144"/>
      <c r="AO370" s="144"/>
      <c r="AP370" s="146"/>
      <c r="AQ370" s="146"/>
      <c r="AR370" s="146"/>
      <c r="AS370" s="146"/>
      <c r="AT370" s="146"/>
      <c r="AU370" s="146"/>
      <c r="AV370" s="146"/>
      <c r="AW370" s="146"/>
      <c r="AX370" s="146"/>
      <c r="AY370" s="146"/>
      <c r="AZ370" s="146"/>
      <c r="BA370" s="146"/>
      <c r="BB370" s="146"/>
      <c r="BC370" s="146"/>
      <c r="BD370" s="146"/>
      <c r="BE370" s="146"/>
      <c r="BF370" s="146"/>
      <c r="BG370" s="146"/>
      <c r="BH370" s="146"/>
      <c r="BI370" s="146"/>
      <c r="BJ370" s="146"/>
      <c r="BK370" s="146"/>
      <c r="BL370" s="146"/>
      <c r="BM370" s="146"/>
      <c r="BN370" s="146"/>
      <c r="BO370" s="146"/>
      <c r="BP370" s="146"/>
      <c r="BQ370" s="146"/>
      <c r="BR370" s="146"/>
      <c r="BS370" s="146"/>
      <c r="BT370" s="146"/>
      <c r="BU370" s="146"/>
      <c r="BV370" s="146"/>
      <c r="BW370" s="146"/>
      <c r="BX370" s="146"/>
      <c r="BY370" s="146"/>
      <c r="BZ370" s="146"/>
      <c r="CA370" s="146"/>
      <c r="CB370" s="146"/>
      <c r="CC370" s="146"/>
      <c r="CD370" s="146"/>
      <c r="CE370" s="146"/>
      <c r="CF370" s="146"/>
      <c r="CG370" s="146"/>
      <c r="CH370" s="146"/>
      <c r="CI370" s="146"/>
      <c r="CJ370" s="146"/>
      <c r="CK370" s="146"/>
      <c r="CL370" s="146"/>
      <c r="CM370" s="146"/>
      <c r="CN370" s="146"/>
      <c r="CO370" s="146"/>
      <c r="CP370" s="146"/>
      <c r="CQ370" s="146"/>
      <c r="CR370" s="146"/>
      <c r="CS370" s="146"/>
      <c r="CT370" s="146"/>
      <c r="CU370" s="146"/>
      <c r="CV370" s="146"/>
      <c r="CW370" s="146"/>
      <c r="CX370" s="146"/>
      <c r="CY370" s="146"/>
      <c r="CZ370" s="146"/>
      <c r="DA370" s="146"/>
      <c r="DB370" s="146"/>
      <c r="DC370" s="146"/>
    </row>
    <row r="371" ht="15.75" customHeight="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c r="AA371" s="144"/>
      <c r="AB371" s="144"/>
      <c r="AC371" s="144"/>
      <c r="AD371" s="144"/>
      <c r="AE371" s="144"/>
      <c r="AF371" s="144"/>
      <c r="AG371" s="144"/>
      <c r="AH371" s="144"/>
      <c r="AI371" s="144"/>
      <c r="AJ371" s="144"/>
      <c r="AK371" s="144"/>
      <c r="AL371" s="144"/>
      <c r="AM371" s="144"/>
      <c r="AN371" s="144"/>
      <c r="AO371" s="144"/>
      <c r="AP371" s="146"/>
      <c r="AQ371" s="146"/>
      <c r="AR371" s="146"/>
      <c r="AS371" s="146"/>
      <c r="AT371" s="146"/>
      <c r="AU371" s="146"/>
      <c r="AV371" s="146"/>
      <c r="AW371" s="146"/>
      <c r="AX371" s="146"/>
      <c r="AY371" s="146"/>
      <c r="AZ371" s="146"/>
      <c r="BA371" s="146"/>
      <c r="BB371" s="146"/>
      <c r="BC371" s="146"/>
      <c r="BD371" s="146"/>
      <c r="BE371" s="146"/>
      <c r="BF371" s="146"/>
      <c r="BG371" s="146"/>
      <c r="BH371" s="146"/>
      <c r="BI371" s="146"/>
      <c r="BJ371" s="146"/>
      <c r="BK371" s="146"/>
      <c r="BL371" s="146"/>
      <c r="BM371" s="146"/>
      <c r="BN371" s="146"/>
      <c r="BO371" s="146"/>
      <c r="BP371" s="146"/>
      <c r="BQ371" s="146"/>
      <c r="BR371" s="146"/>
      <c r="BS371" s="146"/>
      <c r="BT371" s="146"/>
      <c r="BU371" s="146"/>
      <c r="BV371" s="146"/>
      <c r="BW371" s="146"/>
      <c r="BX371" s="146"/>
      <c r="BY371" s="146"/>
      <c r="BZ371" s="146"/>
      <c r="CA371" s="146"/>
      <c r="CB371" s="146"/>
      <c r="CC371" s="146"/>
      <c r="CD371" s="146"/>
      <c r="CE371" s="146"/>
      <c r="CF371" s="146"/>
      <c r="CG371" s="146"/>
      <c r="CH371" s="146"/>
      <c r="CI371" s="146"/>
      <c r="CJ371" s="146"/>
      <c r="CK371" s="146"/>
      <c r="CL371" s="146"/>
      <c r="CM371" s="146"/>
      <c r="CN371" s="146"/>
      <c r="CO371" s="146"/>
      <c r="CP371" s="146"/>
      <c r="CQ371" s="146"/>
      <c r="CR371" s="146"/>
      <c r="CS371" s="146"/>
      <c r="CT371" s="146"/>
      <c r="CU371" s="146"/>
      <c r="CV371" s="146"/>
      <c r="CW371" s="146"/>
      <c r="CX371" s="146"/>
      <c r="CY371" s="146"/>
      <c r="CZ371" s="146"/>
      <c r="DA371" s="146"/>
      <c r="DB371" s="146"/>
      <c r="DC371" s="146"/>
    </row>
    <row r="372" ht="15.75" customHeight="1">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c r="AA372" s="144"/>
      <c r="AB372" s="144"/>
      <c r="AC372" s="144"/>
      <c r="AD372" s="144"/>
      <c r="AE372" s="144"/>
      <c r="AF372" s="144"/>
      <c r="AG372" s="144"/>
      <c r="AH372" s="144"/>
      <c r="AI372" s="144"/>
      <c r="AJ372" s="144"/>
      <c r="AK372" s="144"/>
      <c r="AL372" s="144"/>
      <c r="AM372" s="144"/>
      <c r="AN372" s="144"/>
      <c r="AO372" s="144"/>
      <c r="AP372" s="146"/>
      <c r="AQ372" s="146"/>
      <c r="AR372" s="146"/>
      <c r="AS372" s="146"/>
      <c r="AT372" s="146"/>
      <c r="AU372" s="146"/>
      <c r="AV372" s="146"/>
      <c r="AW372" s="146"/>
      <c r="AX372" s="146"/>
      <c r="AY372" s="146"/>
      <c r="AZ372" s="146"/>
      <c r="BA372" s="146"/>
      <c r="BB372" s="146"/>
      <c r="BC372" s="146"/>
      <c r="BD372" s="146"/>
      <c r="BE372" s="146"/>
      <c r="BF372" s="146"/>
      <c r="BG372" s="146"/>
      <c r="BH372" s="146"/>
      <c r="BI372" s="146"/>
      <c r="BJ372" s="146"/>
      <c r="BK372" s="146"/>
      <c r="BL372" s="146"/>
      <c r="BM372" s="146"/>
      <c r="BN372" s="146"/>
      <c r="BO372" s="146"/>
      <c r="BP372" s="146"/>
      <c r="BQ372" s="146"/>
      <c r="BR372" s="146"/>
      <c r="BS372" s="146"/>
      <c r="BT372" s="146"/>
      <c r="BU372" s="146"/>
      <c r="BV372" s="146"/>
      <c r="BW372" s="146"/>
      <c r="BX372" s="146"/>
      <c r="BY372" s="146"/>
      <c r="BZ372" s="146"/>
      <c r="CA372" s="146"/>
      <c r="CB372" s="146"/>
      <c r="CC372" s="146"/>
      <c r="CD372" s="146"/>
      <c r="CE372" s="146"/>
      <c r="CF372" s="146"/>
      <c r="CG372" s="146"/>
      <c r="CH372" s="146"/>
      <c r="CI372" s="146"/>
      <c r="CJ372" s="146"/>
      <c r="CK372" s="146"/>
      <c r="CL372" s="146"/>
      <c r="CM372" s="146"/>
      <c r="CN372" s="146"/>
      <c r="CO372" s="146"/>
      <c r="CP372" s="146"/>
      <c r="CQ372" s="146"/>
      <c r="CR372" s="146"/>
      <c r="CS372" s="146"/>
      <c r="CT372" s="146"/>
      <c r="CU372" s="146"/>
      <c r="CV372" s="146"/>
      <c r="CW372" s="146"/>
      <c r="CX372" s="146"/>
      <c r="CY372" s="146"/>
      <c r="CZ372" s="146"/>
      <c r="DA372" s="146"/>
      <c r="DB372" s="146"/>
      <c r="DC372" s="146"/>
    </row>
    <row r="373" ht="15.75" customHeight="1">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c r="AA373" s="144"/>
      <c r="AB373" s="144"/>
      <c r="AC373" s="144"/>
      <c r="AD373" s="144"/>
      <c r="AE373" s="144"/>
      <c r="AF373" s="144"/>
      <c r="AG373" s="144"/>
      <c r="AH373" s="144"/>
      <c r="AI373" s="144"/>
      <c r="AJ373" s="144"/>
      <c r="AK373" s="144"/>
      <c r="AL373" s="144"/>
      <c r="AM373" s="144"/>
      <c r="AN373" s="144"/>
      <c r="AO373" s="144"/>
      <c r="AP373" s="146"/>
      <c r="AQ373" s="146"/>
      <c r="AR373" s="146"/>
      <c r="AS373" s="146"/>
      <c r="AT373" s="146"/>
      <c r="AU373" s="146"/>
      <c r="AV373" s="146"/>
      <c r="AW373" s="146"/>
      <c r="AX373" s="146"/>
      <c r="AY373" s="146"/>
      <c r="AZ373" s="146"/>
      <c r="BA373" s="146"/>
      <c r="BB373" s="146"/>
      <c r="BC373" s="146"/>
      <c r="BD373" s="146"/>
      <c r="BE373" s="146"/>
      <c r="BF373" s="146"/>
      <c r="BG373" s="146"/>
      <c r="BH373" s="146"/>
      <c r="BI373" s="146"/>
      <c r="BJ373" s="146"/>
      <c r="BK373" s="146"/>
      <c r="BL373" s="146"/>
      <c r="BM373" s="146"/>
      <c r="BN373" s="146"/>
      <c r="BO373" s="146"/>
      <c r="BP373" s="146"/>
      <c r="BQ373" s="146"/>
      <c r="BR373" s="146"/>
      <c r="BS373" s="146"/>
      <c r="BT373" s="146"/>
      <c r="BU373" s="146"/>
      <c r="BV373" s="146"/>
      <c r="BW373" s="146"/>
      <c r="BX373" s="146"/>
      <c r="BY373" s="146"/>
      <c r="BZ373" s="146"/>
      <c r="CA373" s="146"/>
      <c r="CB373" s="146"/>
      <c r="CC373" s="146"/>
      <c r="CD373" s="146"/>
      <c r="CE373" s="146"/>
      <c r="CF373" s="146"/>
      <c r="CG373" s="146"/>
      <c r="CH373" s="146"/>
      <c r="CI373" s="146"/>
      <c r="CJ373" s="146"/>
      <c r="CK373" s="146"/>
      <c r="CL373" s="146"/>
      <c r="CM373" s="146"/>
      <c r="CN373" s="146"/>
      <c r="CO373" s="146"/>
      <c r="CP373" s="146"/>
      <c r="CQ373" s="146"/>
      <c r="CR373" s="146"/>
      <c r="CS373" s="146"/>
      <c r="CT373" s="146"/>
      <c r="CU373" s="146"/>
      <c r="CV373" s="146"/>
      <c r="CW373" s="146"/>
      <c r="CX373" s="146"/>
      <c r="CY373" s="146"/>
      <c r="CZ373" s="146"/>
      <c r="DA373" s="146"/>
      <c r="DB373" s="146"/>
      <c r="DC373" s="146"/>
    </row>
    <row r="374" ht="15.75" customHeight="1">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c r="AA374" s="144"/>
      <c r="AB374" s="144"/>
      <c r="AC374" s="144"/>
      <c r="AD374" s="144"/>
      <c r="AE374" s="144"/>
      <c r="AF374" s="144"/>
      <c r="AG374" s="144"/>
      <c r="AH374" s="144"/>
      <c r="AI374" s="144"/>
      <c r="AJ374" s="144"/>
      <c r="AK374" s="144"/>
      <c r="AL374" s="144"/>
      <c r="AM374" s="144"/>
      <c r="AN374" s="144"/>
      <c r="AO374" s="144"/>
      <c r="AP374" s="146"/>
      <c r="AQ374" s="146"/>
      <c r="AR374" s="146"/>
      <c r="AS374" s="146"/>
      <c r="AT374" s="146"/>
      <c r="AU374" s="146"/>
      <c r="AV374" s="146"/>
      <c r="AW374" s="146"/>
      <c r="AX374" s="146"/>
      <c r="AY374" s="146"/>
      <c r="AZ374" s="146"/>
      <c r="BA374" s="146"/>
      <c r="BB374" s="146"/>
      <c r="BC374" s="146"/>
      <c r="BD374" s="146"/>
      <c r="BE374" s="146"/>
      <c r="BF374" s="146"/>
      <c r="BG374" s="146"/>
      <c r="BH374" s="146"/>
      <c r="BI374" s="146"/>
      <c r="BJ374" s="146"/>
      <c r="BK374" s="146"/>
      <c r="BL374" s="146"/>
      <c r="BM374" s="146"/>
      <c r="BN374" s="146"/>
      <c r="BO374" s="146"/>
      <c r="BP374" s="146"/>
      <c r="BQ374" s="146"/>
      <c r="BR374" s="146"/>
      <c r="BS374" s="146"/>
      <c r="BT374" s="146"/>
      <c r="BU374" s="146"/>
      <c r="BV374" s="146"/>
      <c r="BW374" s="146"/>
      <c r="BX374" s="146"/>
      <c r="BY374" s="146"/>
      <c r="BZ374" s="146"/>
      <c r="CA374" s="146"/>
      <c r="CB374" s="146"/>
      <c r="CC374" s="146"/>
      <c r="CD374" s="146"/>
      <c r="CE374" s="146"/>
      <c r="CF374" s="146"/>
      <c r="CG374" s="146"/>
      <c r="CH374" s="146"/>
      <c r="CI374" s="146"/>
      <c r="CJ374" s="146"/>
      <c r="CK374" s="146"/>
      <c r="CL374" s="146"/>
      <c r="CM374" s="146"/>
      <c r="CN374" s="146"/>
      <c r="CO374" s="146"/>
      <c r="CP374" s="146"/>
      <c r="CQ374" s="146"/>
      <c r="CR374" s="146"/>
      <c r="CS374" s="146"/>
      <c r="CT374" s="146"/>
      <c r="CU374" s="146"/>
      <c r="CV374" s="146"/>
      <c r="CW374" s="146"/>
      <c r="CX374" s="146"/>
      <c r="CY374" s="146"/>
      <c r="CZ374" s="146"/>
      <c r="DA374" s="146"/>
      <c r="DB374" s="146"/>
      <c r="DC374" s="146"/>
    </row>
    <row r="375" ht="15.75" customHeight="1">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c r="AA375" s="144"/>
      <c r="AB375" s="144"/>
      <c r="AC375" s="144"/>
      <c r="AD375" s="144"/>
      <c r="AE375" s="144"/>
      <c r="AF375" s="144"/>
      <c r="AG375" s="144"/>
      <c r="AH375" s="144"/>
      <c r="AI375" s="144"/>
      <c r="AJ375" s="144"/>
      <c r="AK375" s="144"/>
      <c r="AL375" s="144"/>
      <c r="AM375" s="144"/>
      <c r="AN375" s="144"/>
      <c r="AO375" s="144"/>
      <c r="AP375" s="146"/>
      <c r="AQ375" s="146"/>
      <c r="AR375" s="146"/>
      <c r="AS375" s="146"/>
      <c r="AT375" s="146"/>
      <c r="AU375" s="146"/>
      <c r="AV375" s="146"/>
      <c r="AW375" s="146"/>
      <c r="AX375" s="146"/>
      <c r="AY375" s="146"/>
      <c r="AZ375" s="146"/>
      <c r="BA375" s="146"/>
      <c r="BB375" s="146"/>
      <c r="BC375" s="146"/>
      <c r="BD375" s="146"/>
      <c r="BE375" s="146"/>
      <c r="BF375" s="146"/>
      <c r="BG375" s="146"/>
      <c r="BH375" s="146"/>
      <c r="BI375" s="146"/>
      <c r="BJ375" s="146"/>
      <c r="BK375" s="146"/>
      <c r="BL375" s="146"/>
      <c r="BM375" s="146"/>
      <c r="BN375" s="146"/>
      <c r="BO375" s="146"/>
      <c r="BP375" s="146"/>
      <c r="BQ375" s="146"/>
      <c r="BR375" s="146"/>
      <c r="BS375" s="146"/>
      <c r="BT375" s="146"/>
      <c r="BU375" s="146"/>
      <c r="BV375" s="146"/>
      <c r="BW375" s="146"/>
      <c r="BX375" s="146"/>
      <c r="BY375" s="146"/>
      <c r="BZ375" s="146"/>
      <c r="CA375" s="146"/>
      <c r="CB375" s="146"/>
      <c r="CC375" s="146"/>
      <c r="CD375" s="146"/>
      <c r="CE375" s="146"/>
      <c r="CF375" s="146"/>
      <c r="CG375" s="146"/>
      <c r="CH375" s="146"/>
      <c r="CI375" s="146"/>
      <c r="CJ375" s="146"/>
      <c r="CK375" s="146"/>
      <c r="CL375" s="146"/>
      <c r="CM375" s="146"/>
      <c r="CN375" s="146"/>
      <c r="CO375" s="146"/>
      <c r="CP375" s="146"/>
      <c r="CQ375" s="146"/>
      <c r="CR375" s="146"/>
      <c r="CS375" s="146"/>
      <c r="CT375" s="146"/>
      <c r="CU375" s="146"/>
      <c r="CV375" s="146"/>
      <c r="CW375" s="146"/>
      <c r="CX375" s="146"/>
      <c r="CY375" s="146"/>
      <c r="CZ375" s="146"/>
      <c r="DA375" s="146"/>
      <c r="DB375" s="146"/>
      <c r="DC375" s="146"/>
    </row>
    <row r="376" ht="15.75" customHeight="1">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c r="AA376" s="144"/>
      <c r="AB376" s="144"/>
      <c r="AC376" s="144"/>
      <c r="AD376" s="144"/>
      <c r="AE376" s="144"/>
      <c r="AF376" s="144"/>
      <c r="AG376" s="144"/>
      <c r="AH376" s="144"/>
      <c r="AI376" s="144"/>
      <c r="AJ376" s="144"/>
      <c r="AK376" s="144"/>
      <c r="AL376" s="144"/>
      <c r="AM376" s="144"/>
      <c r="AN376" s="144"/>
      <c r="AO376" s="144"/>
      <c r="AP376" s="146"/>
      <c r="AQ376" s="146"/>
      <c r="AR376" s="146"/>
      <c r="AS376" s="146"/>
      <c r="AT376" s="146"/>
      <c r="AU376" s="146"/>
      <c r="AV376" s="146"/>
      <c r="AW376" s="146"/>
      <c r="AX376" s="146"/>
      <c r="AY376" s="146"/>
      <c r="AZ376" s="146"/>
      <c r="BA376" s="146"/>
      <c r="BB376" s="146"/>
      <c r="BC376" s="146"/>
      <c r="BD376" s="146"/>
      <c r="BE376" s="146"/>
      <c r="BF376" s="146"/>
      <c r="BG376" s="146"/>
      <c r="BH376" s="146"/>
      <c r="BI376" s="146"/>
      <c r="BJ376" s="146"/>
      <c r="BK376" s="146"/>
      <c r="BL376" s="146"/>
      <c r="BM376" s="146"/>
      <c r="BN376" s="146"/>
      <c r="BO376" s="146"/>
      <c r="BP376" s="146"/>
      <c r="BQ376" s="146"/>
      <c r="BR376" s="146"/>
      <c r="BS376" s="146"/>
      <c r="BT376" s="146"/>
      <c r="BU376" s="146"/>
      <c r="BV376" s="146"/>
      <c r="BW376" s="146"/>
      <c r="BX376" s="146"/>
      <c r="BY376" s="146"/>
      <c r="BZ376" s="146"/>
      <c r="CA376" s="146"/>
      <c r="CB376" s="146"/>
      <c r="CC376" s="146"/>
      <c r="CD376" s="146"/>
      <c r="CE376" s="146"/>
      <c r="CF376" s="146"/>
      <c r="CG376" s="146"/>
      <c r="CH376" s="146"/>
      <c r="CI376" s="146"/>
      <c r="CJ376" s="146"/>
      <c r="CK376" s="146"/>
      <c r="CL376" s="146"/>
      <c r="CM376" s="146"/>
      <c r="CN376" s="146"/>
      <c r="CO376" s="146"/>
      <c r="CP376" s="146"/>
      <c r="CQ376" s="146"/>
      <c r="CR376" s="146"/>
      <c r="CS376" s="146"/>
      <c r="CT376" s="146"/>
      <c r="CU376" s="146"/>
      <c r="CV376" s="146"/>
      <c r="CW376" s="146"/>
      <c r="CX376" s="146"/>
      <c r="CY376" s="146"/>
      <c r="CZ376" s="146"/>
      <c r="DA376" s="146"/>
      <c r="DB376" s="146"/>
      <c r="DC376" s="146"/>
    </row>
    <row r="377" ht="15.75" customHeight="1">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c r="AA377" s="144"/>
      <c r="AB377" s="144"/>
      <c r="AC377" s="144"/>
      <c r="AD377" s="144"/>
      <c r="AE377" s="144"/>
      <c r="AF377" s="144"/>
      <c r="AG377" s="144"/>
      <c r="AH377" s="144"/>
      <c r="AI377" s="144"/>
      <c r="AJ377" s="144"/>
      <c r="AK377" s="144"/>
      <c r="AL377" s="144"/>
      <c r="AM377" s="144"/>
      <c r="AN377" s="144"/>
      <c r="AO377" s="144"/>
      <c r="AP377" s="146"/>
      <c r="AQ377" s="146"/>
      <c r="AR377" s="146"/>
      <c r="AS377" s="146"/>
      <c r="AT377" s="146"/>
      <c r="AU377" s="146"/>
      <c r="AV377" s="146"/>
      <c r="AW377" s="146"/>
      <c r="AX377" s="146"/>
      <c r="AY377" s="146"/>
      <c r="AZ377" s="146"/>
      <c r="BA377" s="146"/>
      <c r="BB377" s="146"/>
      <c r="BC377" s="146"/>
      <c r="BD377" s="146"/>
      <c r="BE377" s="146"/>
      <c r="BF377" s="146"/>
      <c r="BG377" s="146"/>
      <c r="BH377" s="146"/>
      <c r="BI377" s="146"/>
      <c r="BJ377" s="146"/>
      <c r="BK377" s="146"/>
      <c r="BL377" s="146"/>
      <c r="BM377" s="146"/>
      <c r="BN377" s="146"/>
      <c r="BO377" s="146"/>
      <c r="BP377" s="146"/>
      <c r="BQ377" s="146"/>
      <c r="BR377" s="146"/>
      <c r="BS377" s="146"/>
      <c r="BT377" s="146"/>
      <c r="BU377" s="146"/>
      <c r="BV377" s="146"/>
      <c r="BW377" s="146"/>
      <c r="BX377" s="146"/>
      <c r="BY377" s="146"/>
      <c r="BZ377" s="146"/>
      <c r="CA377" s="146"/>
      <c r="CB377" s="146"/>
      <c r="CC377" s="146"/>
      <c r="CD377" s="146"/>
      <c r="CE377" s="146"/>
      <c r="CF377" s="146"/>
      <c r="CG377" s="146"/>
      <c r="CH377" s="146"/>
      <c r="CI377" s="146"/>
      <c r="CJ377" s="146"/>
      <c r="CK377" s="146"/>
      <c r="CL377" s="146"/>
      <c r="CM377" s="146"/>
      <c r="CN377" s="146"/>
      <c r="CO377" s="146"/>
      <c r="CP377" s="146"/>
      <c r="CQ377" s="146"/>
      <c r="CR377" s="146"/>
      <c r="CS377" s="146"/>
      <c r="CT377" s="146"/>
      <c r="CU377" s="146"/>
      <c r="CV377" s="146"/>
      <c r="CW377" s="146"/>
      <c r="CX377" s="146"/>
      <c r="CY377" s="146"/>
      <c r="CZ377" s="146"/>
      <c r="DA377" s="146"/>
      <c r="DB377" s="146"/>
      <c r="DC377" s="146"/>
    </row>
    <row r="378" ht="15.75" customHeight="1">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c r="AF378" s="144"/>
      <c r="AG378" s="144"/>
      <c r="AH378" s="144"/>
      <c r="AI378" s="144"/>
      <c r="AJ378" s="144"/>
      <c r="AK378" s="144"/>
      <c r="AL378" s="144"/>
      <c r="AM378" s="144"/>
      <c r="AN378" s="144"/>
      <c r="AO378" s="144"/>
      <c r="AP378" s="146"/>
      <c r="AQ378" s="146"/>
      <c r="AR378" s="146"/>
      <c r="AS378" s="146"/>
      <c r="AT378" s="146"/>
      <c r="AU378" s="146"/>
      <c r="AV378" s="146"/>
      <c r="AW378" s="146"/>
      <c r="AX378" s="146"/>
      <c r="AY378" s="146"/>
      <c r="AZ378" s="146"/>
      <c r="BA378" s="146"/>
      <c r="BB378" s="146"/>
      <c r="BC378" s="146"/>
      <c r="BD378" s="146"/>
      <c r="BE378" s="146"/>
      <c r="BF378" s="146"/>
      <c r="BG378" s="146"/>
      <c r="BH378" s="146"/>
      <c r="BI378" s="146"/>
      <c r="BJ378" s="146"/>
      <c r="BK378" s="146"/>
      <c r="BL378" s="146"/>
      <c r="BM378" s="146"/>
      <c r="BN378" s="146"/>
      <c r="BO378" s="146"/>
      <c r="BP378" s="146"/>
      <c r="BQ378" s="146"/>
      <c r="BR378" s="146"/>
      <c r="BS378" s="146"/>
      <c r="BT378" s="146"/>
      <c r="BU378" s="146"/>
      <c r="BV378" s="146"/>
      <c r="BW378" s="146"/>
      <c r="BX378" s="146"/>
      <c r="BY378" s="146"/>
      <c r="BZ378" s="146"/>
      <c r="CA378" s="146"/>
      <c r="CB378" s="146"/>
      <c r="CC378" s="146"/>
      <c r="CD378" s="146"/>
      <c r="CE378" s="146"/>
      <c r="CF378" s="146"/>
      <c r="CG378" s="146"/>
      <c r="CH378" s="146"/>
      <c r="CI378" s="146"/>
      <c r="CJ378" s="146"/>
      <c r="CK378" s="146"/>
      <c r="CL378" s="146"/>
      <c r="CM378" s="146"/>
      <c r="CN378" s="146"/>
      <c r="CO378" s="146"/>
      <c r="CP378" s="146"/>
      <c r="CQ378" s="146"/>
      <c r="CR378" s="146"/>
      <c r="CS378" s="146"/>
      <c r="CT378" s="146"/>
      <c r="CU378" s="146"/>
      <c r="CV378" s="146"/>
      <c r="CW378" s="146"/>
      <c r="CX378" s="146"/>
      <c r="CY378" s="146"/>
      <c r="CZ378" s="146"/>
      <c r="DA378" s="146"/>
      <c r="DB378" s="146"/>
      <c r="DC378" s="146"/>
    </row>
    <row r="379" ht="15.75" customHeight="1">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c r="AB379" s="144"/>
      <c r="AC379" s="144"/>
      <c r="AD379" s="144"/>
      <c r="AE379" s="144"/>
      <c r="AF379" s="144"/>
      <c r="AG379" s="144"/>
      <c r="AH379" s="144"/>
      <c r="AI379" s="144"/>
      <c r="AJ379" s="144"/>
      <c r="AK379" s="144"/>
      <c r="AL379" s="144"/>
      <c r="AM379" s="144"/>
      <c r="AN379" s="144"/>
      <c r="AO379" s="144"/>
      <c r="AP379" s="146"/>
      <c r="AQ379" s="146"/>
      <c r="AR379" s="146"/>
      <c r="AS379" s="146"/>
      <c r="AT379" s="146"/>
      <c r="AU379" s="146"/>
      <c r="AV379" s="146"/>
      <c r="AW379" s="146"/>
      <c r="AX379" s="146"/>
      <c r="AY379" s="146"/>
      <c r="AZ379" s="146"/>
      <c r="BA379" s="146"/>
      <c r="BB379" s="146"/>
      <c r="BC379" s="146"/>
      <c r="BD379" s="146"/>
      <c r="BE379" s="146"/>
      <c r="BF379" s="146"/>
      <c r="BG379" s="146"/>
      <c r="BH379" s="146"/>
      <c r="BI379" s="146"/>
      <c r="BJ379" s="146"/>
      <c r="BK379" s="146"/>
      <c r="BL379" s="146"/>
      <c r="BM379" s="146"/>
      <c r="BN379" s="146"/>
      <c r="BO379" s="146"/>
      <c r="BP379" s="146"/>
      <c r="BQ379" s="146"/>
      <c r="BR379" s="146"/>
      <c r="BS379" s="146"/>
      <c r="BT379" s="146"/>
      <c r="BU379" s="146"/>
      <c r="BV379" s="146"/>
      <c r="BW379" s="146"/>
      <c r="BX379" s="146"/>
      <c r="BY379" s="146"/>
      <c r="BZ379" s="146"/>
      <c r="CA379" s="146"/>
      <c r="CB379" s="146"/>
      <c r="CC379" s="146"/>
      <c r="CD379" s="146"/>
      <c r="CE379" s="146"/>
      <c r="CF379" s="146"/>
      <c r="CG379" s="146"/>
      <c r="CH379" s="146"/>
      <c r="CI379" s="146"/>
      <c r="CJ379" s="146"/>
      <c r="CK379" s="146"/>
      <c r="CL379" s="146"/>
      <c r="CM379" s="146"/>
      <c r="CN379" s="146"/>
      <c r="CO379" s="146"/>
      <c r="CP379" s="146"/>
      <c r="CQ379" s="146"/>
      <c r="CR379" s="146"/>
      <c r="CS379" s="146"/>
      <c r="CT379" s="146"/>
      <c r="CU379" s="146"/>
      <c r="CV379" s="146"/>
      <c r="CW379" s="146"/>
      <c r="CX379" s="146"/>
      <c r="CY379" s="146"/>
      <c r="CZ379" s="146"/>
      <c r="DA379" s="146"/>
      <c r="DB379" s="146"/>
      <c r="DC379" s="146"/>
    </row>
    <row r="380" ht="15.75" customHeight="1">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c r="AE380" s="144"/>
      <c r="AF380" s="144"/>
      <c r="AG380" s="144"/>
      <c r="AH380" s="144"/>
      <c r="AI380" s="144"/>
      <c r="AJ380" s="144"/>
      <c r="AK380" s="144"/>
      <c r="AL380" s="144"/>
      <c r="AM380" s="144"/>
      <c r="AN380" s="144"/>
      <c r="AO380" s="144"/>
      <c r="AP380" s="146"/>
      <c r="AQ380" s="146"/>
      <c r="AR380" s="146"/>
      <c r="AS380" s="146"/>
      <c r="AT380" s="146"/>
      <c r="AU380" s="146"/>
      <c r="AV380" s="146"/>
      <c r="AW380" s="146"/>
      <c r="AX380" s="146"/>
      <c r="AY380" s="146"/>
      <c r="AZ380" s="146"/>
      <c r="BA380" s="146"/>
      <c r="BB380" s="146"/>
      <c r="BC380" s="146"/>
      <c r="BD380" s="146"/>
      <c r="BE380" s="146"/>
      <c r="BF380" s="146"/>
      <c r="BG380" s="146"/>
      <c r="BH380" s="146"/>
      <c r="BI380" s="146"/>
      <c r="BJ380" s="146"/>
      <c r="BK380" s="146"/>
      <c r="BL380" s="146"/>
      <c r="BM380" s="146"/>
      <c r="BN380" s="146"/>
      <c r="BO380" s="146"/>
      <c r="BP380" s="146"/>
      <c r="BQ380" s="146"/>
      <c r="BR380" s="146"/>
      <c r="BS380" s="146"/>
      <c r="BT380" s="146"/>
      <c r="BU380" s="146"/>
      <c r="BV380" s="146"/>
      <c r="BW380" s="146"/>
      <c r="BX380" s="146"/>
      <c r="BY380" s="146"/>
      <c r="BZ380" s="146"/>
      <c r="CA380" s="146"/>
      <c r="CB380" s="146"/>
      <c r="CC380" s="146"/>
      <c r="CD380" s="146"/>
      <c r="CE380" s="146"/>
      <c r="CF380" s="146"/>
      <c r="CG380" s="146"/>
      <c r="CH380" s="146"/>
      <c r="CI380" s="146"/>
      <c r="CJ380" s="146"/>
      <c r="CK380" s="146"/>
      <c r="CL380" s="146"/>
      <c r="CM380" s="146"/>
      <c r="CN380" s="146"/>
      <c r="CO380" s="146"/>
      <c r="CP380" s="146"/>
      <c r="CQ380" s="146"/>
      <c r="CR380" s="146"/>
      <c r="CS380" s="146"/>
      <c r="CT380" s="146"/>
      <c r="CU380" s="146"/>
      <c r="CV380" s="146"/>
      <c r="CW380" s="146"/>
      <c r="CX380" s="146"/>
      <c r="CY380" s="146"/>
      <c r="CZ380" s="146"/>
      <c r="DA380" s="146"/>
      <c r="DB380" s="146"/>
      <c r="DC380" s="146"/>
    </row>
    <row r="381" ht="15.75" customHeight="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c r="AF381" s="144"/>
      <c r="AG381" s="144"/>
      <c r="AH381" s="144"/>
      <c r="AI381" s="144"/>
      <c r="AJ381" s="144"/>
      <c r="AK381" s="144"/>
      <c r="AL381" s="144"/>
      <c r="AM381" s="144"/>
      <c r="AN381" s="144"/>
      <c r="AO381" s="144"/>
      <c r="AP381" s="146"/>
      <c r="AQ381" s="146"/>
      <c r="AR381" s="146"/>
      <c r="AS381" s="146"/>
      <c r="AT381" s="146"/>
      <c r="AU381" s="146"/>
      <c r="AV381" s="146"/>
      <c r="AW381" s="146"/>
      <c r="AX381" s="146"/>
      <c r="AY381" s="146"/>
      <c r="AZ381" s="146"/>
      <c r="BA381" s="146"/>
      <c r="BB381" s="146"/>
      <c r="BC381" s="146"/>
      <c r="BD381" s="146"/>
      <c r="BE381" s="146"/>
      <c r="BF381" s="146"/>
      <c r="BG381" s="146"/>
      <c r="BH381" s="146"/>
      <c r="BI381" s="146"/>
      <c r="BJ381" s="146"/>
      <c r="BK381" s="146"/>
      <c r="BL381" s="146"/>
      <c r="BM381" s="146"/>
      <c r="BN381" s="146"/>
      <c r="BO381" s="146"/>
      <c r="BP381" s="146"/>
      <c r="BQ381" s="146"/>
      <c r="BR381" s="146"/>
      <c r="BS381" s="146"/>
      <c r="BT381" s="146"/>
      <c r="BU381" s="146"/>
      <c r="BV381" s="146"/>
      <c r="BW381" s="146"/>
      <c r="BX381" s="146"/>
      <c r="BY381" s="146"/>
      <c r="BZ381" s="146"/>
      <c r="CA381" s="146"/>
      <c r="CB381" s="146"/>
      <c r="CC381" s="146"/>
      <c r="CD381" s="146"/>
      <c r="CE381" s="146"/>
      <c r="CF381" s="146"/>
      <c r="CG381" s="146"/>
      <c r="CH381" s="146"/>
      <c r="CI381" s="146"/>
      <c r="CJ381" s="146"/>
      <c r="CK381" s="146"/>
      <c r="CL381" s="146"/>
      <c r="CM381" s="146"/>
      <c r="CN381" s="146"/>
      <c r="CO381" s="146"/>
      <c r="CP381" s="146"/>
      <c r="CQ381" s="146"/>
      <c r="CR381" s="146"/>
      <c r="CS381" s="146"/>
      <c r="CT381" s="146"/>
      <c r="CU381" s="146"/>
      <c r="CV381" s="146"/>
      <c r="CW381" s="146"/>
      <c r="CX381" s="146"/>
      <c r="CY381" s="146"/>
      <c r="CZ381" s="146"/>
      <c r="DA381" s="146"/>
      <c r="DB381" s="146"/>
      <c r="DC381" s="146"/>
    </row>
    <row r="382" ht="15.75" customHeight="1">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c r="AE382" s="144"/>
      <c r="AF382" s="144"/>
      <c r="AG382" s="144"/>
      <c r="AH382" s="144"/>
      <c r="AI382" s="144"/>
      <c r="AJ382" s="144"/>
      <c r="AK382" s="144"/>
      <c r="AL382" s="144"/>
      <c r="AM382" s="144"/>
      <c r="AN382" s="144"/>
      <c r="AO382" s="144"/>
      <c r="AP382" s="146"/>
      <c r="AQ382" s="146"/>
      <c r="AR382" s="146"/>
      <c r="AS382" s="146"/>
      <c r="AT382" s="146"/>
      <c r="AU382" s="146"/>
      <c r="AV382" s="146"/>
      <c r="AW382" s="146"/>
      <c r="AX382" s="146"/>
      <c r="AY382" s="146"/>
      <c r="AZ382" s="146"/>
      <c r="BA382" s="146"/>
      <c r="BB382" s="146"/>
      <c r="BC382" s="146"/>
      <c r="BD382" s="146"/>
      <c r="BE382" s="146"/>
      <c r="BF382" s="146"/>
      <c r="BG382" s="146"/>
      <c r="BH382" s="146"/>
      <c r="BI382" s="146"/>
      <c r="BJ382" s="146"/>
      <c r="BK382" s="146"/>
      <c r="BL382" s="146"/>
      <c r="BM382" s="146"/>
      <c r="BN382" s="146"/>
      <c r="BO382" s="146"/>
      <c r="BP382" s="146"/>
      <c r="BQ382" s="146"/>
      <c r="BR382" s="146"/>
      <c r="BS382" s="146"/>
      <c r="BT382" s="146"/>
      <c r="BU382" s="146"/>
      <c r="BV382" s="146"/>
      <c r="BW382" s="146"/>
      <c r="BX382" s="146"/>
      <c r="BY382" s="146"/>
      <c r="BZ382" s="146"/>
      <c r="CA382" s="146"/>
      <c r="CB382" s="146"/>
      <c r="CC382" s="146"/>
      <c r="CD382" s="146"/>
      <c r="CE382" s="146"/>
      <c r="CF382" s="146"/>
      <c r="CG382" s="146"/>
      <c r="CH382" s="146"/>
      <c r="CI382" s="146"/>
      <c r="CJ382" s="146"/>
      <c r="CK382" s="146"/>
      <c r="CL382" s="146"/>
      <c r="CM382" s="146"/>
      <c r="CN382" s="146"/>
      <c r="CO382" s="146"/>
      <c r="CP382" s="146"/>
      <c r="CQ382" s="146"/>
      <c r="CR382" s="146"/>
      <c r="CS382" s="146"/>
      <c r="CT382" s="146"/>
      <c r="CU382" s="146"/>
      <c r="CV382" s="146"/>
      <c r="CW382" s="146"/>
      <c r="CX382" s="146"/>
      <c r="CY382" s="146"/>
      <c r="CZ382" s="146"/>
      <c r="DA382" s="146"/>
      <c r="DB382" s="146"/>
      <c r="DC382" s="146"/>
    </row>
    <row r="383" ht="15.75" customHeight="1">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c r="AB383" s="144"/>
      <c r="AC383" s="144"/>
      <c r="AD383" s="144"/>
      <c r="AE383" s="144"/>
      <c r="AF383" s="144"/>
      <c r="AG383" s="144"/>
      <c r="AH383" s="144"/>
      <c r="AI383" s="144"/>
      <c r="AJ383" s="144"/>
      <c r="AK383" s="144"/>
      <c r="AL383" s="144"/>
      <c r="AM383" s="144"/>
      <c r="AN383" s="144"/>
      <c r="AO383" s="144"/>
      <c r="AP383" s="146"/>
      <c r="AQ383" s="146"/>
      <c r="AR383" s="146"/>
      <c r="AS383" s="146"/>
      <c r="AT383" s="146"/>
      <c r="AU383" s="146"/>
      <c r="AV383" s="146"/>
      <c r="AW383" s="146"/>
      <c r="AX383" s="146"/>
      <c r="AY383" s="146"/>
      <c r="AZ383" s="146"/>
      <c r="BA383" s="146"/>
      <c r="BB383" s="146"/>
      <c r="BC383" s="146"/>
      <c r="BD383" s="146"/>
      <c r="BE383" s="146"/>
      <c r="BF383" s="146"/>
      <c r="BG383" s="146"/>
      <c r="BH383" s="146"/>
      <c r="BI383" s="146"/>
      <c r="BJ383" s="146"/>
      <c r="BK383" s="146"/>
      <c r="BL383" s="146"/>
      <c r="BM383" s="146"/>
      <c r="BN383" s="146"/>
      <c r="BO383" s="146"/>
      <c r="BP383" s="146"/>
      <c r="BQ383" s="146"/>
      <c r="BR383" s="146"/>
      <c r="BS383" s="146"/>
      <c r="BT383" s="146"/>
      <c r="BU383" s="146"/>
      <c r="BV383" s="146"/>
      <c r="BW383" s="146"/>
      <c r="BX383" s="146"/>
      <c r="BY383" s="146"/>
      <c r="BZ383" s="146"/>
      <c r="CA383" s="146"/>
      <c r="CB383" s="146"/>
      <c r="CC383" s="146"/>
      <c r="CD383" s="146"/>
      <c r="CE383" s="146"/>
      <c r="CF383" s="146"/>
      <c r="CG383" s="146"/>
      <c r="CH383" s="146"/>
      <c r="CI383" s="146"/>
      <c r="CJ383" s="146"/>
      <c r="CK383" s="146"/>
      <c r="CL383" s="146"/>
      <c r="CM383" s="146"/>
      <c r="CN383" s="146"/>
      <c r="CO383" s="146"/>
      <c r="CP383" s="146"/>
      <c r="CQ383" s="146"/>
      <c r="CR383" s="146"/>
      <c r="CS383" s="146"/>
      <c r="CT383" s="146"/>
      <c r="CU383" s="146"/>
      <c r="CV383" s="146"/>
      <c r="CW383" s="146"/>
      <c r="CX383" s="146"/>
      <c r="CY383" s="146"/>
      <c r="CZ383" s="146"/>
      <c r="DA383" s="146"/>
      <c r="DB383" s="146"/>
      <c r="DC383" s="146"/>
    </row>
    <row r="384" ht="15.75" customHeight="1">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c r="AE384" s="144"/>
      <c r="AF384" s="144"/>
      <c r="AG384" s="144"/>
      <c r="AH384" s="144"/>
      <c r="AI384" s="144"/>
      <c r="AJ384" s="144"/>
      <c r="AK384" s="144"/>
      <c r="AL384" s="144"/>
      <c r="AM384" s="144"/>
      <c r="AN384" s="144"/>
      <c r="AO384" s="144"/>
      <c r="AP384" s="146"/>
      <c r="AQ384" s="146"/>
      <c r="AR384" s="146"/>
      <c r="AS384" s="146"/>
      <c r="AT384" s="146"/>
      <c r="AU384" s="146"/>
      <c r="AV384" s="146"/>
      <c r="AW384" s="146"/>
      <c r="AX384" s="146"/>
      <c r="AY384" s="146"/>
      <c r="AZ384" s="146"/>
      <c r="BA384" s="146"/>
      <c r="BB384" s="146"/>
      <c r="BC384" s="146"/>
      <c r="BD384" s="146"/>
      <c r="BE384" s="146"/>
      <c r="BF384" s="146"/>
      <c r="BG384" s="146"/>
      <c r="BH384" s="146"/>
      <c r="BI384" s="146"/>
      <c r="BJ384" s="146"/>
      <c r="BK384" s="146"/>
      <c r="BL384" s="146"/>
      <c r="BM384" s="146"/>
      <c r="BN384" s="146"/>
      <c r="BO384" s="146"/>
      <c r="BP384" s="146"/>
      <c r="BQ384" s="146"/>
      <c r="BR384" s="146"/>
      <c r="BS384" s="146"/>
      <c r="BT384" s="146"/>
      <c r="BU384" s="146"/>
      <c r="BV384" s="146"/>
      <c r="BW384" s="146"/>
      <c r="BX384" s="146"/>
      <c r="BY384" s="146"/>
      <c r="BZ384" s="146"/>
      <c r="CA384" s="146"/>
      <c r="CB384" s="146"/>
      <c r="CC384" s="146"/>
      <c r="CD384" s="146"/>
      <c r="CE384" s="146"/>
      <c r="CF384" s="146"/>
      <c r="CG384" s="146"/>
      <c r="CH384" s="146"/>
      <c r="CI384" s="146"/>
      <c r="CJ384" s="146"/>
      <c r="CK384" s="146"/>
      <c r="CL384" s="146"/>
      <c r="CM384" s="146"/>
      <c r="CN384" s="146"/>
      <c r="CO384" s="146"/>
      <c r="CP384" s="146"/>
      <c r="CQ384" s="146"/>
      <c r="CR384" s="146"/>
      <c r="CS384" s="146"/>
      <c r="CT384" s="146"/>
      <c r="CU384" s="146"/>
      <c r="CV384" s="146"/>
      <c r="CW384" s="146"/>
      <c r="CX384" s="146"/>
      <c r="CY384" s="146"/>
      <c r="CZ384" s="146"/>
      <c r="DA384" s="146"/>
      <c r="DB384" s="146"/>
      <c r="DC384" s="146"/>
    </row>
    <row r="385" ht="15.75" customHeight="1">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c r="AE385" s="144"/>
      <c r="AF385" s="144"/>
      <c r="AG385" s="144"/>
      <c r="AH385" s="144"/>
      <c r="AI385" s="144"/>
      <c r="AJ385" s="144"/>
      <c r="AK385" s="144"/>
      <c r="AL385" s="144"/>
      <c r="AM385" s="144"/>
      <c r="AN385" s="144"/>
      <c r="AO385" s="144"/>
      <c r="AP385" s="146"/>
      <c r="AQ385" s="146"/>
      <c r="AR385" s="146"/>
      <c r="AS385" s="146"/>
      <c r="AT385" s="146"/>
      <c r="AU385" s="146"/>
      <c r="AV385" s="146"/>
      <c r="AW385" s="146"/>
      <c r="AX385" s="146"/>
      <c r="AY385" s="146"/>
      <c r="AZ385" s="146"/>
      <c r="BA385" s="146"/>
      <c r="BB385" s="146"/>
      <c r="BC385" s="146"/>
      <c r="BD385" s="146"/>
      <c r="BE385" s="146"/>
      <c r="BF385" s="146"/>
      <c r="BG385" s="146"/>
      <c r="BH385" s="146"/>
      <c r="BI385" s="146"/>
      <c r="BJ385" s="146"/>
      <c r="BK385" s="146"/>
      <c r="BL385" s="146"/>
      <c r="BM385" s="146"/>
      <c r="BN385" s="146"/>
      <c r="BO385" s="146"/>
      <c r="BP385" s="146"/>
      <c r="BQ385" s="146"/>
      <c r="BR385" s="146"/>
      <c r="BS385" s="146"/>
      <c r="BT385" s="146"/>
      <c r="BU385" s="146"/>
      <c r="BV385" s="146"/>
      <c r="BW385" s="146"/>
      <c r="BX385" s="146"/>
      <c r="BY385" s="146"/>
      <c r="BZ385" s="146"/>
      <c r="CA385" s="146"/>
      <c r="CB385" s="146"/>
      <c r="CC385" s="146"/>
      <c r="CD385" s="146"/>
      <c r="CE385" s="146"/>
      <c r="CF385" s="146"/>
      <c r="CG385" s="146"/>
      <c r="CH385" s="146"/>
      <c r="CI385" s="146"/>
      <c r="CJ385" s="146"/>
      <c r="CK385" s="146"/>
      <c r="CL385" s="146"/>
      <c r="CM385" s="146"/>
      <c r="CN385" s="146"/>
      <c r="CO385" s="146"/>
      <c r="CP385" s="146"/>
      <c r="CQ385" s="146"/>
      <c r="CR385" s="146"/>
      <c r="CS385" s="146"/>
      <c r="CT385" s="146"/>
      <c r="CU385" s="146"/>
      <c r="CV385" s="146"/>
      <c r="CW385" s="146"/>
      <c r="CX385" s="146"/>
      <c r="CY385" s="146"/>
      <c r="CZ385" s="146"/>
      <c r="DA385" s="146"/>
      <c r="DB385" s="146"/>
      <c r="DC385" s="146"/>
    </row>
    <row r="386" ht="15.75" customHeight="1">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c r="AE386" s="144"/>
      <c r="AF386" s="144"/>
      <c r="AG386" s="144"/>
      <c r="AH386" s="144"/>
      <c r="AI386" s="144"/>
      <c r="AJ386" s="144"/>
      <c r="AK386" s="144"/>
      <c r="AL386" s="144"/>
      <c r="AM386" s="144"/>
      <c r="AN386" s="144"/>
      <c r="AO386" s="144"/>
      <c r="AP386" s="146"/>
      <c r="AQ386" s="146"/>
      <c r="AR386" s="146"/>
      <c r="AS386" s="146"/>
      <c r="AT386" s="146"/>
      <c r="AU386" s="146"/>
      <c r="AV386" s="146"/>
      <c r="AW386" s="146"/>
      <c r="AX386" s="146"/>
      <c r="AY386" s="146"/>
      <c r="AZ386" s="146"/>
      <c r="BA386" s="146"/>
      <c r="BB386" s="146"/>
      <c r="BC386" s="146"/>
      <c r="BD386" s="146"/>
      <c r="BE386" s="146"/>
      <c r="BF386" s="146"/>
      <c r="BG386" s="146"/>
      <c r="BH386" s="146"/>
      <c r="BI386" s="146"/>
      <c r="BJ386" s="146"/>
      <c r="BK386" s="146"/>
      <c r="BL386" s="146"/>
      <c r="BM386" s="146"/>
      <c r="BN386" s="146"/>
      <c r="BO386" s="146"/>
      <c r="BP386" s="146"/>
      <c r="BQ386" s="146"/>
      <c r="BR386" s="146"/>
      <c r="BS386" s="146"/>
      <c r="BT386" s="146"/>
      <c r="BU386" s="146"/>
      <c r="BV386" s="146"/>
      <c r="BW386" s="146"/>
      <c r="BX386" s="146"/>
      <c r="BY386" s="146"/>
      <c r="BZ386" s="146"/>
      <c r="CA386" s="146"/>
      <c r="CB386" s="146"/>
      <c r="CC386" s="146"/>
      <c r="CD386" s="146"/>
      <c r="CE386" s="146"/>
      <c r="CF386" s="146"/>
      <c r="CG386" s="146"/>
      <c r="CH386" s="146"/>
      <c r="CI386" s="146"/>
      <c r="CJ386" s="146"/>
      <c r="CK386" s="146"/>
      <c r="CL386" s="146"/>
      <c r="CM386" s="146"/>
      <c r="CN386" s="146"/>
      <c r="CO386" s="146"/>
      <c r="CP386" s="146"/>
      <c r="CQ386" s="146"/>
      <c r="CR386" s="146"/>
      <c r="CS386" s="146"/>
      <c r="CT386" s="146"/>
      <c r="CU386" s="146"/>
      <c r="CV386" s="146"/>
      <c r="CW386" s="146"/>
      <c r="CX386" s="146"/>
      <c r="CY386" s="146"/>
      <c r="CZ386" s="146"/>
      <c r="DA386" s="146"/>
      <c r="DB386" s="146"/>
      <c r="DC386" s="146"/>
    </row>
    <row r="387" ht="15.75" customHeight="1">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c r="AB387" s="144"/>
      <c r="AC387" s="144"/>
      <c r="AD387" s="144"/>
      <c r="AE387" s="144"/>
      <c r="AF387" s="144"/>
      <c r="AG387" s="144"/>
      <c r="AH387" s="144"/>
      <c r="AI387" s="144"/>
      <c r="AJ387" s="144"/>
      <c r="AK387" s="144"/>
      <c r="AL387" s="144"/>
      <c r="AM387" s="144"/>
      <c r="AN387" s="144"/>
      <c r="AO387" s="144"/>
      <c r="AP387" s="146"/>
      <c r="AQ387" s="146"/>
      <c r="AR387" s="146"/>
      <c r="AS387" s="146"/>
      <c r="AT387" s="146"/>
      <c r="AU387" s="146"/>
      <c r="AV387" s="146"/>
      <c r="AW387" s="146"/>
      <c r="AX387" s="146"/>
      <c r="AY387" s="146"/>
      <c r="AZ387" s="146"/>
      <c r="BA387" s="146"/>
      <c r="BB387" s="146"/>
      <c r="BC387" s="146"/>
      <c r="BD387" s="146"/>
      <c r="BE387" s="146"/>
      <c r="BF387" s="146"/>
      <c r="BG387" s="146"/>
      <c r="BH387" s="146"/>
      <c r="BI387" s="146"/>
      <c r="BJ387" s="146"/>
      <c r="BK387" s="146"/>
      <c r="BL387" s="146"/>
      <c r="BM387" s="146"/>
      <c r="BN387" s="146"/>
      <c r="BO387" s="146"/>
      <c r="BP387" s="146"/>
      <c r="BQ387" s="146"/>
      <c r="BR387" s="146"/>
      <c r="BS387" s="146"/>
      <c r="BT387" s="146"/>
      <c r="BU387" s="146"/>
      <c r="BV387" s="146"/>
      <c r="BW387" s="146"/>
      <c r="BX387" s="146"/>
      <c r="BY387" s="146"/>
      <c r="BZ387" s="146"/>
      <c r="CA387" s="146"/>
      <c r="CB387" s="146"/>
      <c r="CC387" s="146"/>
      <c r="CD387" s="146"/>
      <c r="CE387" s="146"/>
      <c r="CF387" s="146"/>
      <c r="CG387" s="146"/>
      <c r="CH387" s="146"/>
      <c r="CI387" s="146"/>
      <c r="CJ387" s="146"/>
      <c r="CK387" s="146"/>
      <c r="CL387" s="146"/>
      <c r="CM387" s="146"/>
      <c r="CN387" s="146"/>
      <c r="CO387" s="146"/>
      <c r="CP387" s="146"/>
      <c r="CQ387" s="146"/>
      <c r="CR387" s="146"/>
      <c r="CS387" s="146"/>
      <c r="CT387" s="146"/>
      <c r="CU387" s="146"/>
      <c r="CV387" s="146"/>
      <c r="CW387" s="146"/>
      <c r="CX387" s="146"/>
      <c r="CY387" s="146"/>
      <c r="CZ387" s="146"/>
      <c r="DA387" s="146"/>
      <c r="DB387" s="146"/>
      <c r="DC387" s="146"/>
    </row>
    <row r="388" ht="15.75" customHeight="1">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c r="AB388" s="144"/>
      <c r="AC388" s="144"/>
      <c r="AD388" s="144"/>
      <c r="AE388" s="144"/>
      <c r="AF388" s="144"/>
      <c r="AG388" s="144"/>
      <c r="AH388" s="144"/>
      <c r="AI388" s="144"/>
      <c r="AJ388" s="144"/>
      <c r="AK388" s="144"/>
      <c r="AL388" s="144"/>
      <c r="AM388" s="144"/>
      <c r="AN388" s="144"/>
      <c r="AO388" s="144"/>
      <c r="AP388" s="146"/>
      <c r="AQ388" s="146"/>
      <c r="AR388" s="146"/>
      <c r="AS388" s="146"/>
      <c r="AT388" s="146"/>
      <c r="AU388" s="146"/>
      <c r="AV388" s="146"/>
      <c r="AW388" s="146"/>
      <c r="AX388" s="146"/>
      <c r="AY388" s="146"/>
      <c r="AZ388" s="146"/>
      <c r="BA388" s="146"/>
      <c r="BB388" s="146"/>
      <c r="BC388" s="146"/>
      <c r="BD388" s="146"/>
      <c r="BE388" s="146"/>
      <c r="BF388" s="146"/>
      <c r="BG388" s="146"/>
      <c r="BH388" s="146"/>
      <c r="BI388" s="146"/>
      <c r="BJ388" s="146"/>
      <c r="BK388" s="146"/>
      <c r="BL388" s="146"/>
      <c r="BM388" s="146"/>
      <c r="BN388" s="146"/>
      <c r="BO388" s="146"/>
      <c r="BP388" s="146"/>
      <c r="BQ388" s="146"/>
      <c r="BR388" s="146"/>
      <c r="BS388" s="146"/>
      <c r="BT388" s="146"/>
      <c r="BU388" s="146"/>
      <c r="BV388" s="146"/>
      <c r="BW388" s="146"/>
      <c r="BX388" s="146"/>
      <c r="BY388" s="146"/>
      <c r="BZ388" s="146"/>
      <c r="CA388" s="146"/>
      <c r="CB388" s="146"/>
      <c r="CC388" s="146"/>
      <c r="CD388" s="146"/>
      <c r="CE388" s="146"/>
      <c r="CF388" s="146"/>
      <c r="CG388" s="146"/>
      <c r="CH388" s="146"/>
      <c r="CI388" s="146"/>
      <c r="CJ388" s="146"/>
      <c r="CK388" s="146"/>
      <c r="CL388" s="146"/>
      <c r="CM388" s="146"/>
      <c r="CN388" s="146"/>
      <c r="CO388" s="146"/>
      <c r="CP388" s="146"/>
      <c r="CQ388" s="146"/>
      <c r="CR388" s="146"/>
      <c r="CS388" s="146"/>
      <c r="CT388" s="146"/>
      <c r="CU388" s="146"/>
      <c r="CV388" s="146"/>
      <c r="CW388" s="146"/>
      <c r="CX388" s="146"/>
      <c r="CY388" s="146"/>
      <c r="CZ388" s="146"/>
      <c r="DA388" s="146"/>
      <c r="DB388" s="146"/>
      <c r="DC388" s="14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43"/>
    <col customWidth="1" min="2" max="2" width="45.14"/>
    <col customWidth="1" hidden="1" min="3" max="3" width="18.0"/>
    <col customWidth="1" hidden="1" min="4" max="4" width="20.86"/>
    <col customWidth="1" min="5" max="6" width="13.14"/>
    <col customWidth="1" min="7" max="7" width="13.71"/>
    <col customWidth="1" min="8" max="10" width="14.14"/>
    <col customWidth="1" min="11" max="11" width="13.71"/>
    <col customWidth="1" min="12" max="12" width="17.86"/>
    <col customWidth="1" min="13" max="13" width="13.71"/>
    <col customWidth="1" min="14" max="18" width="14.14"/>
    <col customWidth="1" min="19" max="27" width="20.43"/>
    <col customWidth="1" min="28" max="28" width="24.86"/>
    <col customWidth="1" min="29" max="29" width="28.57"/>
    <col customWidth="1" min="30" max="30" width="29.86"/>
    <col customWidth="1" min="31" max="31" width="24.0"/>
    <col customWidth="1" min="32" max="32" width="24.14"/>
    <col customWidth="1" min="33" max="33" width="25.43"/>
    <col customWidth="1" min="34" max="34" width="28.57"/>
    <col customWidth="1" min="35" max="35" width="18.0"/>
    <col customWidth="1" min="36" max="43" width="17.57"/>
    <col customWidth="1" min="44" max="55" width="18.57"/>
  </cols>
  <sheetData>
    <row r="1">
      <c r="A1" s="1"/>
      <c r="B1" s="1" t="s">
        <v>284</v>
      </c>
      <c r="C1" s="185">
        <v>2020.0</v>
      </c>
      <c r="D1" s="186" t="s">
        <v>157</v>
      </c>
      <c r="E1" s="187">
        <v>44562.0</v>
      </c>
      <c r="F1" s="187">
        <v>44927.0</v>
      </c>
      <c r="G1" s="187">
        <v>45292.0</v>
      </c>
      <c r="H1" s="187">
        <v>45658.0</v>
      </c>
      <c r="I1" s="187">
        <v>46023.0</v>
      </c>
      <c r="J1" s="187">
        <v>46388.0</v>
      </c>
      <c r="K1" s="187">
        <v>46753.0</v>
      </c>
      <c r="L1" s="187">
        <v>47119.0</v>
      </c>
      <c r="M1" s="187">
        <v>47484.0</v>
      </c>
      <c r="N1" s="187">
        <v>47849.0</v>
      </c>
      <c r="O1" s="187">
        <v>48214.0</v>
      </c>
      <c r="P1" s="187">
        <v>48580.0</v>
      </c>
      <c r="Q1" s="187">
        <v>48945.0</v>
      </c>
      <c r="R1" s="187">
        <v>49310.0</v>
      </c>
      <c r="S1" s="187">
        <v>49675.0</v>
      </c>
      <c r="T1" s="187">
        <v>50041.0</v>
      </c>
      <c r="U1" s="187">
        <v>50406.0</v>
      </c>
      <c r="V1" s="187">
        <v>50771.0</v>
      </c>
      <c r="W1" s="187">
        <v>51136.0</v>
      </c>
      <c r="X1" s="187">
        <v>51502.0</v>
      </c>
      <c r="Y1" s="187">
        <v>51867.0</v>
      </c>
      <c r="Z1" s="187">
        <v>52232.0</v>
      </c>
      <c r="AA1" s="1"/>
      <c r="AB1" s="188" t="s">
        <v>285</v>
      </c>
      <c r="AC1" s="189" t="s">
        <v>286</v>
      </c>
      <c r="AD1" s="1"/>
      <c r="AE1" s="4" t="s">
        <v>287</v>
      </c>
      <c r="AF1" s="4" t="s">
        <v>288</v>
      </c>
      <c r="AG1" s="4" t="s">
        <v>289</v>
      </c>
      <c r="AH1" s="4" t="s">
        <v>290</v>
      </c>
      <c r="AI1" s="4" t="s">
        <v>291</v>
      </c>
      <c r="AJ1" s="4" t="s">
        <v>292</v>
      </c>
      <c r="AK1" s="4" t="s">
        <v>293</v>
      </c>
      <c r="AL1" s="4" t="s">
        <v>294</v>
      </c>
      <c r="AM1" s="4" t="s">
        <v>295</v>
      </c>
      <c r="AN1" s="4" t="s">
        <v>296</v>
      </c>
      <c r="AO1" s="4" t="s">
        <v>297</v>
      </c>
      <c r="AP1" s="4" t="s">
        <v>298</v>
      </c>
      <c r="AQ1" s="4" t="s">
        <v>299</v>
      </c>
      <c r="AR1" s="4" t="s">
        <v>300</v>
      </c>
      <c r="AS1" s="4" t="s">
        <v>301</v>
      </c>
      <c r="AT1" s="4" t="s">
        <v>302</v>
      </c>
      <c r="AU1" s="4" t="s">
        <v>303</v>
      </c>
      <c r="AV1" s="4" t="s">
        <v>287</v>
      </c>
      <c r="AW1" s="4" t="s">
        <v>288</v>
      </c>
      <c r="AX1" s="4" t="s">
        <v>289</v>
      </c>
      <c r="AY1" s="4" t="s">
        <v>290</v>
      </c>
      <c r="AZ1" s="4" t="s">
        <v>287</v>
      </c>
      <c r="BA1" s="4" t="s">
        <v>288</v>
      </c>
      <c r="BB1" s="4" t="s">
        <v>289</v>
      </c>
      <c r="BC1" s="4" t="s">
        <v>290</v>
      </c>
    </row>
    <row r="2">
      <c r="A2" s="4" t="s">
        <v>304</v>
      </c>
      <c r="B2" s="1"/>
      <c r="C2" s="190" t="s">
        <v>166</v>
      </c>
      <c r="D2" s="190" t="s">
        <v>166</v>
      </c>
      <c r="E2" s="191" t="s">
        <v>167</v>
      </c>
      <c r="F2" s="191" t="s">
        <v>167</v>
      </c>
      <c r="G2" s="191" t="s">
        <v>167</v>
      </c>
      <c r="H2" s="191" t="s">
        <v>167</v>
      </c>
      <c r="I2" s="191" t="s">
        <v>167</v>
      </c>
      <c r="J2" s="191" t="s">
        <v>167</v>
      </c>
      <c r="K2" s="191" t="s">
        <v>167</v>
      </c>
      <c r="L2" s="191" t="s">
        <v>167</v>
      </c>
      <c r="M2" s="191" t="s">
        <v>167</v>
      </c>
      <c r="N2" s="191" t="s">
        <v>167</v>
      </c>
      <c r="O2" s="191" t="s">
        <v>167</v>
      </c>
      <c r="P2" s="191" t="s">
        <v>167</v>
      </c>
      <c r="Q2" s="191" t="s">
        <v>167</v>
      </c>
      <c r="R2" s="191" t="s">
        <v>167</v>
      </c>
      <c r="S2" s="191" t="s">
        <v>167</v>
      </c>
      <c r="T2" s="191" t="s">
        <v>167</v>
      </c>
      <c r="U2" s="191" t="s">
        <v>167</v>
      </c>
      <c r="V2" s="191" t="s">
        <v>167</v>
      </c>
      <c r="W2" s="191" t="s">
        <v>167</v>
      </c>
      <c r="X2" s="191" t="s">
        <v>167</v>
      </c>
      <c r="Y2" s="191" t="s">
        <v>167</v>
      </c>
      <c r="Z2" s="191" t="s">
        <v>167</v>
      </c>
      <c r="AA2" s="1"/>
      <c r="AB2" s="192">
        <v>1000000.0</v>
      </c>
      <c r="AC2" s="193">
        <v>4.0</v>
      </c>
      <c r="AD2" s="1" t="s">
        <v>305</v>
      </c>
      <c r="AE2" s="194">
        <v>45292.0</v>
      </c>
      <c r="AF2" s="194">
        <v>46023.0</v>
      </c>
      <c r="AG2" s="194">
        <v>46753.0</v>
      </c>
      <c r="AH2" s="194">
        <v>47484.0</v>
      </c>
      <c r="AI2" s="194">
        <v>44927.0</v>
      </c>
      <c r="AJ2" s="194">
        <v>45658.0</v>
      </c>
      <c r="AK2" s="194">
        <v>46388.0</v>
      </c>
      <c r="AL2" s="194">
        <v>47119.0</v>
      </c>
      <c r="AM2" s="194">
        <v>47849.0</v>
      </c>
      <c r="AN2" s="194">
        <v>48580.0</v>
      </c>
      <c r="AO2" s="194">
        <v>49310.0</v>
      </c>
      <c r="AP2" s="194">
        <v>50041.0</v>
      </c>
      <c r="AQ2" s="194">
        <v>50771.0</v>
      </c>
      <c r="AR2" s="194">
        <v>51502.0</v>
      </c>
      <c r="AS2" s="194">
        <v>52232.0</v>
      </c>
      <c r="AT2" s="194">
        <v>52963.0</v>
      </c>
      <c r="AU2" s="194">
        <v>53693.0</v>
      </c>
      <c r="AV2" s="194">
        <v>48214.0</v>
      </c>
      <c r="AW2" s="194">
        <v>48945.0</v>
      </c>
      <c r="AX2" s="194">
        <v>49675.0</v>
      </c>
      <c r="AY2" s="194">
        <v>50406.0</v>
      </c>
      <c r="AZ2" s="194">
        <v>51136.0</v>
      </c>
      <c r="BA2" s="194">
        <v>51867.0</v>
      </c>
      <c r="BB2" s="194">
        <v>52597.0</v>
      </c>
      <c r="BC2" s="194">
        <v>53328.0</v>
      </c>
    </row>
    <row r="3">
      <c r="A3" s="117"/>
      <c r="B3" s="1" t="s">
        <v>306</v>
      </c>
      <c r="C3" s="131">
        <f>Summary!DV14</f>
        <v>14964005</v>
      </c>
      <c r="D3" s="131">
        <f>Summary!DW14</f>
        <v>14695757</v>
      </c>
      <c r="E3" s="195">
        <f>Summary!DX14</f>
        <v>16283610.63</v>
      </c>
      <c r="F3" s="195">
        <f>Summary!DY14</f>
        <v>34191958.08</v>
      </c>
      <c r="G3" s="195">
        <f>Summary!DZ14</f>
        <v>52401995.35</v>
      </c>
      <c r="H3" s="195">
        <f>Summary!EA14</f>
        <v>63595225.78</v>
      </c>
      <c r="I3" s="195">
        <f>Summary!EB14</f>
        <v>75503215.98</v>
      </c>
      <c r="J3" s="195">
        <f>Summary!EC14</f>
        <v>84999072.5</v>
      </c>
      <c r="K3" s="195">
        <f t="shared" ref="K3:Z3" si="1">J3*(1+AK23)</f>
        <v>89249026.12</v>
      </c>
      <c r="L3" s="195">
        <f t="shared" si="1"/>
        <v>93711477.43</v>
      </c>
      <c r="M3" s="195">
        <f t="shared" si="1"/>
        <v>98397051.3</v>
      </c>
      <c r="N3" s="195">
        <f t="shared" si="1"/>
        <v>103316903.9</v>
      </c>
      <c r="O3" s="195">
        <f t="shared" si="1"/>
        <v>108482749.1</v>
      </c>
      <c r="P3" s="195">
        <f t="shared" si="1"/>
        <v>113906886.5</v>
      </c>
      <c r="Q3" s="195">
        <f t="shared" si="1"/>
        <v>119602230.8</v>
      </c>
      <c r="R3" s="195">
        <f t="shared" si="1"/>
        <v>125582342.4</v>
      </c>
      <c r="S3" s="195">
        <f t="shared" si="1"/>
        <v>131861459.5</v>
      </c>
      <c r="T3" s="195">
        <f t="shared" si="1"/>
        <v>138454532.5</v>
      </c>
      <c r="U3" s="195">
        <f t="shared" si="1"/>
        <v>145377259.1</v>
      </c>
      <c r="V3" s="195">
        <f t="shared" si="1"/>
        <v>152646122.1</v>
      </c>
      <c r="W3" s="195">
        <f t="shared" si="1"/>
        <v>160278428.2</v>
      </c>
      <c r="X3" s="195">
        <f t="shared" si="1"/>
        <v>168292349.6</v>
      </c>
      <c r="Y3" s="195">
        <f t="shared" si="1"/>
        <v>176706967</v>
      </c>
      <c r="Z3" s="195">
        <f t="shared" si="1"/>
        <v>185542315.4</v>
      </c>
      <c r="AA3" s="1"/>
      <c r="AB3" s="192">
        <v>2000000.0</v>
      </c>
      <c r="AC3" s="193">
        <v>6.0</v>
      </c>
      <c r="AD3" s="1" t="s">
        <v>307</v>
      </c>
      <c r="AE3" s="196">
        <v>5000000.0</v>
      </c>
      <c r="AF3" s="196">
        <v>5500000.0</v>
      </c>
      <c r="AG3" s="196">
        <v>7000000.0</v>
      </c>
      <c r="AH3" s="196">
        <v>8000000.0</v>
      </c>
      <c r="AI3" s="196">
        <v>3772000.0</v>
      </c>
      <c r="AJ3" s="196">
        <v>1000000.0</v>
      </c>
      <c r="AK3" s="196">
        <v>1000000.0</v>
      </c>
      <c r="AL3" s="196">
        <v>2000000.0</v>
      </c>
      <c r="AM3" s="196">
        <v>2500000.0</v>
      </c>
      <c r="AN3" s="196">
        <v>1750000.0</v>
      </c>
      <c r="AO3" s="196">
        <v>3000000.0</v>
      </c>
      <c r="AP3" s="196">
        <v>2800000.0</v>
      </c>
      <c r="AQ3" s="196">
        <v>3000000.0</v>
      </c>
      <c r="AR3" s="196">
        <v>4000000.0</v>
      </c>
      <c r="AS3" s="196">
        <v>3000000.0</v>
      </c>
      <c r="AT3" s="196">
        <v>4000000.0</v>
      </c>
      <c r="AU3" s="196">
        <v>4500000.0</v>
      </c>
      <c r="AV3" s="196">
        <v>6250000.0</v>
      </c>
      <c r="AW3" s="196">
        <v>5000000.0</v>
      </c>
      <c r="AX3" s="196">
        <v>5500000.0</v>
      </c>
      <c r="AY3" s="196">
        <v>7000000.0</v>
      </c>
      <c r="AZ3" s="196">
        <v>6250000.0</v>
      </c>
      <c r="BA3" s="196">
        <v>5000000.0</v>
      </c>
      <c r="BB3" s="196">
        <v>5500000.0</v>
      </c>
      <c r="BC3" s="196">
        <v>7000000.0</v>
      </c>
    </row>
    <row r="4">
      <c r="A4" s="117"/>
      <c r="B4" s="4" t="s">
        <v>308</v>
      </c>
      <c r="C4" s="117"/>
      <c r="D4" s="117"/>
      <c r="E4" s="195">
        <f>IF(YEAR(E$1)=YEAR($AE$2),$AE$3*((13-MONTH($AE$2))/12)*(1+AE24),IF(YEAR(E$1)&gt;=YEAR($AE$2)+5,0,D4*(1+AE24)))+IF(YEAR(E$1)=YEAR($AV$2),$AV$3*((13-MONTH($AV$2))/12)*(1+AE24),IF(YEAR(E$1)&gt;=YEAR($AV$2)+5,0,IF(YEAR(E$1)&lt;YEAR($AV$2),0,D4*(1+AE24))))+IF(YEAR(E$1)=YEAR($AZ$2),$AV$3*((13-MONTH($AZ$2))/12)*(1+AE24),IF(YEAR(E$1)&gt;=YEAR($AZ$2)+5,0,IF(YEAR(E$1)&lt;YEAR($AZ$2),0,D4*(1+AE24))))</f>
        <v>0</v>
      </c>
      <c r="F4" s="195">
        <f>IF(YEAR(F$1)=YEAR($AE$2),$AE$3*((13-MONTH($AE$2))/12)*(1+AE24),IF(YEAR(F$1)&gt;=YEAR($AE$2)+5,0,E4*(1+AE24)))+IF(YEAR(F$1)=YEAR($AV$2),$AV$3*((13-MONTH($AV$2))/12)*(1+AE24),IF(YEAR(F$1)&gt;=YEAR($AV$2)+5,0,IF(YEAR(F$1)&lt;YEAR($AV$2),0,E4*(1+AE24))))+IF(YEAR(F$1)=YEAR($AZ$2),$AV$3*((13-MONTH($AZ$2))/12)*(1+AE24),IF(YEAR(F$1)&gt;=YEAR($AZ$2)+5,0,IF(YEAR(F$1)&lt;YEAR($AZ$2),0,E4*(1+AE24))))</f>
        <v>0</v>
      </c>
      <c r="G4" s="195">
        <f t="shared" ref="G4:Z4" si="2">IF(YEAR(G$1)=YEAR($AE$2),$AE$3*((13-MONTH($AE$2))/12)*(1+AG24),IF(YEAR(G$1)&gt;=YEAR($AE$2)+5,0,F4*(1+AG24)))+IF(YEAR(G$1)=YEAR($AV$2),$AV$3*((13-MONTH($AV$2))/12)*(1+AG24),IF(YEAR(G$1)&gt;=YEAR($AV$2)+5,0,IF(YEAR(G$1)&lt;YEAR($AV$2),0,F4*(1+AG24))))+IF(YEAR(G$1)=YEAR($AZ$2),$AV$3*((13-MONTH($AZ$2))/12)*(1+AG24),IF(YEAR(G$1)&gt;=YEAR($AZ$2)+5,0,IF(YEAR(G$1)&lt;YEAR($AZ$2),0,F4*(1+AG24))))</f>
        <v>8060000</v>
      </c>
      <c r="H4" s="195">
        <f t="shared" si="2"/>
        <v>9325420</v>
      </c>
      <c r="I4" s="195">
        <f t="shared" si="2"/>
        <v>10668280.48</v>
      </c>
      <c r="J4" s="195">
        <f t="shared" si="2"/>
        <v>12055156.94</v>
      </c>
      <c r="K4" s="195">
        <f t="shared" si="2"/>
        <v>13465610.3</v>
      </c>
      <c r="L4" s="195">
        <f t="shared" si="2"/>
        <v>0</v>
      </c>
      <c r="M4" s="195">
        <f t="shared" si="2"/>
        <v>0</v>
      </c>
      <c r="N4" s="195">
        <f t="shared" si="2"/>
        <v>0</v>
      </c>
      <c r="O4" s="195">
        <f t="shared" si="2"/>
        <v>10075000</v>
      </c>
      <c r="P4" s="195">
        <f t="shared" si="2"/>
        <v>11656775</v>
      </c>
      <c r="Q4" s="195">
        <f t="shared" si="2"/>
        <v>13335350.6</v>
      </c>
      <c r="R4" s="195">
        <f t="shared" si="2"/>
        <v>15068946.18</v>
      </c>
      <c r="S4" s="195">
        <f t="shared" si="2"/>
        <v>16832012.88</v>
      </c>
      <c r="T4" s="195">
        <f t="shared" si="2"/>
        <v>0</v>
      </c>
      <c r="U4" s="195">
        <f t="shared" si="2"/>
        <v>0</v>
      </c>
      <c r="V4" s="195">
        <f t="shared" si="2"/>
        <v>0</v>
      </c>
      <c r="W4" s="195">
        <f t="shared" si="2"/>
        <v>10075000</v>
      </c>
      <c r="X4" s="195">
        <f t="shared" si="2"/>
        <v>11656775</v>
      </c>
      <c r="Y4" s="195">
        <f t="shared" si="2"/>
        <v>13335350.6</v>
      </c>
      <c r="Z4" s="195">
        <f t="shared" si="2"/>
        <v>15068946.18</v>
      </c>
      <c r="AA4" s="1"/>
      <c r="AB4" s="192">
        <v>3000000.0</v>
      </c>
      <c r="AC4" s="193">
        <v>8.0</v>
      </c>
      <c r="AD4" s="1" t="s">
        <v>309</v>
      </c>
      <c r="AE4" s="197">
        <v>0.5</v>
      </c>
      <c r="AF4" s="197">
        <v>0.51</v>
      </c>
      <c r="AG4" s="197">
        <v>0.55</v>
      </c>
      <c r="AH4" s="197">
        <v>0.6</v>
      </c>
      <c r="AI4" s="197">
        <v>0.651</v>
      </c>
      <c r="AJ4" s="197">
        <v>0.55</v>
      </c>
      <c r="AK4" s="197">
        <v>0.58</v>
      </c>
      <c r="AL4" s="197">
        <v>0.56</v>
      </c>
      <c r="AM4" s="197">
        <v>0.6</v>
      </c>
      <c r="AN4" s="197">
        <v>0.58</v>
      </c>
      <c r="AO4" s="197">
        <v>0.6</v>
      </c>
      <c r="AP4" s="197">
        <v>0.6</v>
      </c>
      <c r="AQ4" s="197">
        <v>0.55</v>
      </c>
      <c r="AR4" s="197">
        <v>0.58</v>
      </c>
      <c r="AS4" s="197">
        <v>0.6</v>
      </c>
      <c r="AT4" s="197">
        <v>0.53</v>
      </c>
      <c r="AU4" s="197">
        <v>0.6</v>
      </c>
      <c r="AV4" s="197">
        <v>0.5</v>
      </c>
      <c r="AW4" s="197">
        <v>0.51</v>
      </c>
      <c r="AX4" s="197">
        <v>0.55</v>
      </c>
      <c r="AY4" s="197">
        <v>0.6</v>
      </c>
      <c r="AZ4" s="197">
        <v>0.5</v>
      </c>
      <c r="BA4" s="197">
        <v>0.51</v>
      </c>
      <c r="BB4" s="197">
        <v>0.55</v>
      </c>
      <c r="BC4" s="197">
        <v>0.6</v>
      </c>
    </row>
    <row r="5">
      <c r="A5" s="117"/>
      <c r="B5" s="4" t="s">
        <v>310</v>
      </c>
      <c r="C5" s="1"/>
      <c r="D5" s="1"/>
      <c r="E5" s="195">
        <f t="shared" ref="E5:Z5" si="3">IF(YEAR(E$1)=YEAR($AF$2),$AF$3*((13-MONTH($AF$2))/12)*(1+AE25),IF(YEAR(E$1)&gt;=YEAR($AF$2)+5,0,D5*(1+AE25)))+IF(YEAR(E$1)=YEAR($AW$2),$AW$3*((13-MONTH($AW$2))/12)*(1+AE25),IF(YEAR(E$1)&gt;=YEAR($AW$2)+5,0,IF(YEAR(E$1)&lt;YEAR($AW$2),0,D5*(1+AE25))))+IF(YEAR(E$1)=YEAR($BA$2),$AW$3*((13-MONTH($BA$2))/12)*(1+AE25),IF(YEAR(E$1)&gt;=YEAR($BA$2)+5,0,IF(YEAR(E$1)&lt;YEAR($BA$2),0,D5*(1+AE25))))</f>
        <v>0</v>
      </c>
      <c r="F5" s="195">
        <f t="shared" si="3"/>
        <v>0</v>
      </c>
      <c r="G5" s="195">
        <f t="shared" si="3"/>
        <v>0</v>
      </c>
      <c r="H5" s="195">
        <f t="shared" si="3"/>
        <v>0</v>
      </c>
      <c r="I5" s="195">
        <f t="shared" si="3"/>
        <v>8866000</v>
      </c>
      <c r="J5" s="195">
        <f t="shared" si="3"/>
        <v>10257962</v>
      </c>
      <c r="K5" s="195">
        <f t="shared" si="3"/>
        <v>11735108.53</v>
      </c>
      <c r="L5" s="195">
        <f t="shared" si="3"/>
        <v>13260672.64</v>
      </c>
      <c r="M5" s="195">
        <f t="shared" si="3"/>
        <v>14812171.34</v>
      </c>
      <c r="N5" s="195">
        <f t="shared" si="3"/>
        <v>0</v>
      </c>
      <c r="O5" s="195">
        <f t="shared" si="3"/>
        <v>0</v>
      </c>
      <c r="P5" s="195">
        <f t="shared" si="3"/>
        <v>0</v>
      </c>
      <c r="Q5" s="195">
        <f t="shared" si="3"/>
        <v>8060000</v>
      </c>
      <c r="R5" s="195">
        <f t="shared" si="3"/>
        <v>9325420</v>
      </c>
      <c r="S5" s="195">
        <f t="shared" si="3"/>
        <v>10668280.48</v>
      </c>
      <c r="T5" s="195">
        <f t="shared" si="3"/>
        <v>12055156.94</v>
      </c>
      <c r="U5" s="195">
        <f t="shared" si="3"/>
        <v>13465610.3</v>
      </c>
      <c r="V5" s="195">
        <f t="shared" si="3"/>
        <v>0</v>
      </c>
      <c r="W5" s="195">
        <f t="shared" si="3"/>
        <v>0</v>
      </c>
      <c r="X5" s="195">
        <f t="shared" si="3"/>
        <v>0</v>
      </c>
      <c r="Y5" s="195">
        <f t="shared" si="3"/>
        <v>8060000</v>
      </c>
      <c r="Z5" s="195">
        <f t="shared" si="3"/>
        <v>9325420</v>
      </c>
      <c r="AA5" s="1"/>
      <c r="AB5" s="192">
        <v>5000000.0</v>
      </c>
      <c r="AC5" s="193">
        <v>10.0</v>
      </c>
      <c r="AD5" s="1" t="s">
        <v>170</v>
      </c>
      <c r="AE5" s="198">
        <f t="shared" ref="AE5:BC5" si="4">AE3-(AE3*AE4)</f>
        <v>2500000</v>
      </c>
      <c r="AF5" s="198">
        <f t="shared" si="4"/>
        <v>2695000</v>
      </c>
      <c r="AG5" s="198">
        <f t="shared" si="4"/>
        <v>3150000</v>
      </c>
      <c r="AH5" s="198">
        <f t="shared" si="4"/>
        <v>3200000</v>
      </c>
      <c r="AI5" s="198">
        <f t="shared" si="4"/>
        <v>1316428</v>
      </c>
      <c r="AJ5" s="198">
        <f t="shared" si="4"/>
        <v>450000</v>
      </c>
      <c r="AK5" s="198">
        <f t="shared" si="4"/>
        <v>420000</v>
      </c>
      <c r="AL5" s="198">
        <f t="shared" si="4"/>
        <v>880000</v>
      </c>
      <c r="AM5" s="198">
        <f t="shared" si="4"/>
        <v>1000000</v>
      </c>
      <c r="AN5" s="198">
        <f t="shared" si="4"/>
        <v>735000</v>
      </c>
      <c r="AO5" s="198">
        <f t="shared" si="4"/>
        <v>1200000</v>
      </c>
      <c r="AP5" s="198">
        <f t="shared" si="4"/>
        <v>1120000</v>
      </c>
      <c r="AQ5" s="198">
        <f t="shared" si="4"/>
        <v>1350000</v>
      </c>
      <c r="AR5" s="198">
        <f t="shared" si="4"/>
        <v>1680000</v>
      </c>
      <c r="AS5" s="198">
        <f t="shared" si="4"/>
        <v>1200000</v>
      </c>
      <c r="AT5" s="198">
        <f t="shared" si="4"/>
        <v>1880000</v>
      </c>
      <c r="AU5" s="198">
        <f t="shared" si="4"/>
        <v>1800000</v>
      </c>
      <c r="AV5" s="198">
        <f t="shared" si="4"/>
        <v>3125000</v>
      </c>
      <c r="AW5" s="198">
        <f t="shared" si="4"/>
        <v>2450000</v>
      </c>
      <c r="AX5" s="198">
        <f t="shared" si="4"/>
        <v>2475000</v>
      </c>
      <c r="AY5" s="198">
        <f t="shared" si="4"/>
        <v>2800000</v>
      </c>
      <c r="AZ5" s="198">
        <f t="shared" si="4"/>
        <v>3125000</v>
      </c>
      <c r="BA5" s="198">
        <f t="shared" si="4"/>
        <v>2450000</v>
      </c>
      <c r="BB5" s="198">
        <f t="shared" si="4"/>
        <v>2475000</v>
      </c>
      <c r="BC5" s="198">
        <f t="shared" si="4"/>
        <v>2800000</v>
      </c>
    </row>
    <row r="6">
      <c r="A6" s="117"/>
      <c r="B6" s="4" t="s">
        <v>311</v>
      </c>
      <c r="C6" s="1"/>
      <c r="D6" s="1"/>
      <c r="E6" s="195">
        <f>IF(YEAR(E$1)=YEAR($AG$2),$AG$3*((12-MONTH($AG$2))/12),IF(YEAR($AG$2)+1=YEAR(E$1),$AG$3*(1+AE26),D6*(1+AE26)))</f>
        <v>0</v>
      </c>
      <c r="F6" s="195">
        <f>IF(YEAR(F$1)=YEAR($AG$2),$AG$3*((13-MONTH($AG$2))/12)*(1+AF26),IF(YEAR(F$1)=YEAR($AG$2)+1,E6/((13-MONTH($AG$2))/12)*(1+AF26),E6*(1+AF26)))</f>
        <v>0</v>
      </c>
      <c r="G6" s="195">
        <f t="shared" ref="G6:H6" si="5">IF(YEAR(G$1)=YEAR($AG$2),$AG$3*((13-MONTH($AG$2))/12)*(1+AG26),IF(YEAR(G$1)=YEAR($AG$2)+1,F6/((13-MONTH($AG$2))/12)*(1+AG26),IF(YEAR(G$1)=YEAR($AG$2)+5,0,F6*(1+AG26))))</f>
        <v>0</v>
      </c>
      <c r="H6" s="195">
        <f t="shared" si="5"/>
        <v>0</v>
      </c>
      <c r="I6" s="195">
        <f>IF(YEAR(I$1)=YEAR($AG$2),$AG$3*((13-MONTH($AG$2))/12)*(1+AG26),IF(YEAR(I$1)=YEAR($AG$2)+1,H6/((13-MONTH($AG$2))/12)*(1+AG26),IF(YEAR(I$1)=YEAR($AG$2)+5,0,H6*(1+AG26))))</f>
        <v>0</v>
      </c>
      <c r="J6" s="195">
        <f>IF(YEAR(J$1)=YEAR($AG$2),$AG$3*((13-MONTH($AG$2))/12)*(1+AJ26),IF(YEAR(J$1)=YEAR($AG$2)+1,I6/((13-MONTH($AG$2))/12)*(1+AJ26),IF(YEAR(J$1)=YEAR($AG$2)+5,0,I6*(1+AJ26))))</f>
        <v>0</v>
      </c>
      <c r="K6" s="195">
        <f t="shared" ref="K6:N6" si="6">IF(YEAR(K$1)=YEAR($AG$2),$AG$3*((13-MONTH($AG$2))/12)*(1+AK26),IF(YEAR(K$1)=YEAR($AG$2)+5,0,J6*(1+AK26)))</f>
        <v>11284000</v>
      </c>
      <c r="L6" s="195">
        <f t="shared" si="6"/>
        <v>13055588</v>
      </c>
      <c r="M6" s="195">
        <f t="shared" si="6"/>
        <v>14935592.67</v>
      </c>
      <c r="N6" s="195">
        <f t="shared" si="6"/>
        <v>16877219.72</v>
      </c>
      <c r="O6" s="195">
        <f t="shared" ref="O6:U6" si="7">IF(YEAR(O$1)=YEAR($AG$2),$AG$3*((13-MONTH($AG$2))/12)*(1+AO26),IF(YEAR(O$1)&gt;=YEAR($AG$2)+5,0,N6*(1+AO26)))+IF(YEAR(O$1)=YEAR($AX$2),$AX$3*((13-MONTH($AX$2))/12)*(1+AO26),IF(YEAR(O$1)&gt;=YEAR($AX$2)+5,0,IF(YEAR(O$1)&lt;YEAR($AX$2),0,N6*(1+AO26))))</f>
        <v>18851854.43</v>
      </c>
      <c r="P6" s="195">
        <f t="shared" si="7"/>
        <v>0</v>
      </c>
      <c r="Q6" s="195">
        <f t="shared" si="7"/>
        <v>0</v>
      </c>
      <c r="R6" s="195">
        <f t="shared" si="7"/>
        <v>0</v>
      </c>
      <c r="S6" s="195">
        <f t="shared" si="7"/>
        <v>8866000</v>
      </c>
      <c r="T6" s="195">
        <f t="shared" si="7"/>
        <v>10257962</v>
      </c>
      <c r="U6" s="195">
        <f t="shared" si="7"/>
        <v>11735108.53</v>
      </c>
      <c r="V6" s="195">
        <f>IF(YEAR(V$1)=YEAR($AG$2),$AG$3*((13-MONTH($AG$2))/12)*(1+AX26),IF(YEAR(V$1)&gt;=YEAR($AG$2)+5,0,U6*(1+AX26)))+IF(YEAR(V$1)=YEAR($AX$2),$AX$3*((13-MONTH($AX$2))/12)*(1+AX26),IF(YEAR(V$1)&gt;=YEAR($AX$2)+5,0,IF(YEAR(V$1)&lt;YEAR($AX$2),0,U6*(1+AX26))))</f>
        <v>12439215.04</v>
      </c>
      <c r="W6" s="195">
        <f t="shared" ref="W6:Y6" si="8">IF(YEAR(W$1)=YEAR($AG$2),$AG$3*((13-MONTH($AG$2))/12)*(1+AW26),IF(YEAR(W$1)&gt;=YEAR($AG$2)+5,0,V6*(1+AW26)))+IF(YEAR(W$1)=YEAR($AX$2),$AX$3*((13-MONTH($AX$2))/12)*(1+AW26),IF(YEAR(W$1)&gt;=YEAR($AX$2)+5,0,IF(YEAR(W$1)&lt;YEAR($AX$2),0,V6*(1+AW26))))</f>
        <v>13894603.2</v>
      </c>
      <c r="X6" s="195">
        <f t="shared" si="8"/>
        <v>0</v>
      </c>
      <c r="Y6" s="195">
        <f t="shared" si="8"/>
        <v>0</v>
      </c>
      <c r="Z6" s="195">
        <f>IF(YEAR(Z$1)=YEAR($AG$2),$AG$3*((13-MONTH($AG$2))/12)*(1+BD26),IF(YEAR(Z$1)&gt;=YEAR($AG$2)+5,0,Y6*(1+BD26)))+IF(YEAR(Z$1)=YEAR($AX$2),$AX$3*((13-MONTH($AX$2))/12)*(1+BD26),IF(YEAR(Z$1)&gt;=YEAR($AX$2)+5,0,IF(YEAR(Z$1)&lt;YEAR($AX$2),0,Y6*(1+BD26))))</f>
        <v>0</v>
      </c>
      <c r="AA6" s="1"/>
      <c r="AB6" s="199">
        <v>1.0E7</v>
      </c>
      <c r="AC6" s="200">
        <v>12.0</v>
      </c>
      <c r="AD6" s="1" t="s">
        <v>104</v>
      </c>
      <c r="AE6" s="198">
        <f t="shared" ref="AE6:BC6" si="9">AE3*AE4</f>
        <v>2500000</v>
      </c>
      <c r="AF6" s="198">
        <f t="shared" si="9"/>
        <v>2805000</v>
      </c>
      <c r="AG6" s="198">
        <f t="shared" si="9"/>
        <v>3850000</v>
      </c>
      <c r="AH6" s="198">
        <f t="shared" si="9"/>
        <v>4800000</v>
      </c>
      <c r="AI6" s="198">
        <f t="shared" si="9"/>
        <v>2455572</v>
      </c>
      <c r="AJ6" s="198">
        <f t="shared" si="9"/>
        <v>550000</v>
      </c>
      <c r="AK6" s="198">
        <f t="shared" si="9"/>
        <v>580000</v>
      </c>
      <c r="AL6" s="198">
        <f t="shared" si="9"/>
        <v>1120000</v>
      </c>
      <c r="AM6" s="198">
        <f t="shared" si="9"/>
        <v>1500000</v>
      </c>
      <c r="AN6" s="198">
        <f t="shared" si="9"/>
        <v>1015000</v>
      </c>
      <c r="AO6" s="198">
        <f t="shared" si="9"/>
        <v>1800000</v>
      </c>
      <c r="AP6" s="198">
        <f t="shared" si="9"/>
        <v>1680000</v>
      </c>
      <c r="AQ6" s="198">
        <f t="shared" si="9"/>
        <v>1650000</v>
      </c>
      <c r="AR6" s="198">
        <f t="shared" si="9"/>
        <v>2320000</v>
      </c>
      <c r="AS6" s="198">
        <f t="shared" si="9"/>
        <v>1800000</v>
      </c>
      <c r="AT6" s="198">
        <f t="shared" si="9"/>
        <v>2120000</v>
      </c>
      <c r="AU6" s="198">
        <f t="shared" si="9"/>
        <v>2700000</v>
      </c>
      <c r="AV6" s="198">
        <f t="shared" si="9"/>
        <v>3125000</v>
      </c>
      <c r="AW6" s="198">
        <f t="shared" si="9"/>
        <v>2550000</v>
      </c>
      <c r="AX6" s="198">
        <f t="shared" si="9"/>
        <v>3025000</v>
      </c>
      <c r="AY6" s="198">
        <f t="shared" si="9"/>
        <v>4200000</v>
      </c>
      <c r="AZ6" s="198">
        <f t="shared" si="9"/>
        <v>3125000</v>
      </c>
      <c r="BA6" s="198">
        <f t="shared" si="9"/>
        <v>2550000</v>
      </c>
      <c r="BB6" s="198">
        <f t="shared" si="9"/>
        <v>3025000</v>
      </c>
      <c r="BC6" s="198">
        <f t="shared" si="9"/>
        <v>4200000</v>
      </c>
    </row>
    <row r="7">
      <c r="A7" s="117"/>
      <c r="B7" s="4" t="s">
        <v>312</v>
      </c>
      <c r="C7" s="1"/>
      <c r="D7" s="1"/>
      <c r="E7" s="195">
        <f>IF(YEAR(E$1)=YEAR($AH$2),$AH$3*((12-MONTH($AH$2))/12),IF(YEAR($AH$2)+1=YEAR(E$1),$AH$3*(1+AE27),D7*(1+AE27)))</f>
        <v>0</v>
      </c>
      <c r="F7" s="195">
        <f>IF(YEAR(F$1)=YEAR($AH$2),$AH$3*((13-MONTH($AH$2))/12)*(1+AF27),IF(YEAR(F$1)=YEAR($AH$2)+1,E7/((13-MONTH($AH$2))/12)*(1+AF27),E7*(1+AF27)))</f>
        <v>0</v>
      </c>
      <c r="G7" s="195">
        <f t="shared" ref="G7:H7" si="10">IF(YEAR(G$1)=YEAR($AH$2),$AH$3*((13-MONTH($AH$2))/12)*(1+AG27),IF(YEAR(G$1)=YEAR($AH$2)+1,F7/((13-MONTH($AH$2))/12)*(1+AG27),IF(YEAR(G$1)=YEAR($AH$2)+5,0,F7*(1+AG27))))</f>
        <v>0</v>
      </c>
      <c r="H7" s="195">
        <f t="shared" si="10"/>
        <v>0</v>
      </c>
      <c r="I7" s="195">
        <f>IF(YEAR(I$1)=YEAR($AH$2),$AH$3*((13-MONTH($AH$2))/12)*(1+AH27),IF(YEAR(I$1)=YEAR($AH$2)+1,H7/((13-MONTH($AH$2))/12)*(1+AH27),IF(YEAR(I$1)=YEAR($AH$2)+5,0,H7*(1+AH27))))</f>
        <v>0</v>
      </c>
      <c r="J7" s="195">
        <f>IF(YEAR(J$1)=YEAR($AH$2),$AH$3*((13-MONTH($AH$2))/12)*(1+AJ27),IF(YEAR(J$1)=YEAR($AH$2)+1,I7/((13-MONTH($AH$2))/12)*(1+AJ27),IF(YEAR(J$1)=YEAR($AH$2)+5,0,I7*(1+AJ27))))</f>
        <v>0</v>
      </c>
      <c r="K7" s="195">
        <f t="shared" ref="K7:N7" si="11">IF(YEAR(K$1)=YEAR($AH$2),$AH$3*((13-MONTH($AH$2))/12)*(1+AK27),IF(YEAR(K$1)=YEAR($AH$2)+5,0,J7*(1+AK27)))</f>
        <v>0</v>
      </c>
      <c r="L7" s="195">
        <f t="shared" si="11"/>
        <v>0</v>
      </c>
      <c r="M7" s="195">
        <f t="shared" si="11"/>
        <v>12896000</v>
      </c>
      <c r="N7" s="195">
        <f t="shared" si="11"/>
        <v>14920672</v>
      </c>
      <c r="O7" s="195">
        <f t="shared" ref="O7:U7" si="12">IF(YEAR(O$1)=YEAR($AH$2),$AH$3*((13-MONTH($AH$2))/12)*(1+AO27),IF(YEAR(O$1)&gt;=YEAR($AH$2)+5,0,N7*(1+AO27)))+IF(YEAR(O$1)=YEAR($AY$2),$AY$3*((13-MONTH($AY$2))/12)*(1+AO27),IF(YEAR(O$1)&gt;=YEAR($AY$2)+5,0,IF(YEAR(O$1)&lt;YEAR($AY$2),0,N7*(1+AO27))))</f>
        <v>17069248.77</v>
      </c>
      <c r="P7" s="195">
        <f t="shared" si="12"/>
        <v>19288251.11</v>
      </c>
      <c r="Q7" s="195">
        <f t="shared" si="12"/>
        <v>21544976.49</v>
      </c>
      <c r="R7" s="195">
        <f t="shared" si="12"/>
        <v>0</v>
      </c>
      <c r="S7" s="195">
        <f t="shared" si="12"/>
        <v>0</v>
      </c>
      <c r="T7" s="195">
        <f t="shared" si="12"/>
        <v>0</v>
      </c>
      <c r="U7" s="195">
        <f t="shared" si="12"/>
        <v>11284000</v>
      </c>
      <c r="V7" s="195">
        <f>IF(YEAR(V$1)=YEAR($AH$2),$AH$3*((13-MONTH($AH$2))/12)*(1+AY27),IF(YEAR(V$1)&gt;=YEAR($AH$2)+5,0,U7*(1+AY27)))+IF(YEAR(V$1)=YEAR($AY$2),$AY$3*((13-MONTH($AY$2))/12)*(1+AY27),IF(YEAR(V$1)&gt;=YEAR($AY$2)+5,0,IF(YEAR(V$1)&lt;YEAR($AY$2),0,U7*(1+AY27))))</f>
        <v>12604228</v>
      </c>
      <c r="W7" s="195">
        <f t="shared" ref="W7:Y7" si="13">IF(YEAR(W$1)=YEAR($AH$2),$AH$3*((13-MONTH($AH$2))/12)*(1+AW27),IF(YEAR(W$1)&gt;=YEAR($AH$2)+5,0,V7*(1+AW27)))+IF(YEAR(W$1)=YEAR($AY$2),$AY$3*((13-MONTH($AY$2))/12)*(1+AW27),IF(YEAR(W$1)&gt;=YEAR($AY$2)+5,0,IF(YEAR(W$1)&lt;YEAR($AY$2),0,V7*(1+AW27))))</f>
        <v>14419236.83</v>
      </c>
      <c r="X7" s="195">
        <f t="shared" si="13"/>
        <v>16293737.62</v>
      </c>
      <c r="Y7" s="195">
        <f t="shared" si="13"/>
        <v>18200104.92</v>
      </c>
      <c r="Z7" s="195">
        <f>IF(YEAR(Z$1)=YEAR($AH$2),$AH$3*((13-MONTH($AH$2))/12)*(1+BD27),IF(YEAR(Z$1)&gt;=YEAR($AH$2)+5,0,Y7*(1+BD27)))+IF(YEAR(Z$1)=YEAR($AY$2),$AY$3*((13-MONTH($AY$2))/12)*(1+BD27),IF(YEAR(Z$1)&gt;=YEAR($AY$2)+5,0,IF(YEAR(Z$1)&lt;YEAR($AY$2),0,Y7*(1+BD27))))</f>
        <v>0</v>
      </c>
      <c r="AA7" s="1"/>
      <c r="AB7" s="198">
        <f t="shared" ref="AB7:AB14" si="18">AB6+5000000</f>
        <v>15000000</v>
      </c>
      <c r="AC7" s="201">
        <f t="shared" ref="AC7:AC14" si="19">AC6+1</f>
        <v>13</v>
      </c>
      <c r="AD7" s="1" t="s">
        <v>313</v>
      </c>
      <c r="AE7" s="202">
        <f t="shared" ref="AE7:BC7" si="14">AE4-AE9</f>
        <v>0.35</v>
      </c>
      <c r="AF7" s="202">
        <f t="shared" si="14"/>
        <v>0.39</v>
      </c>
      <c r="AG7" s="202">
        <f t="shared" si="14"/>
        <v>0.43</v>
      </c>
      <c r="AH7" s="202">
        <f t="shared" si="14"/>
        <v>0.47</v>
      </c>
      <c r="AI7" s="202">
        <f t="shared" si="14"/>
        <v>0.511</v>
      </c>
      <c r="AJ7" s="202">
        <f t="shared" si="14"/>
        <v>0.44</v>
      </c>
      <c r="AK7" s="202">
        <f t="shared" si="14"/>
        <v>0.46</v>
      </c>
      <c r="AL7" s="202">
        <f t="shared" si="14"/>
        <v>0.43</v>
      </c>
      <c r="AM7" s="202">
        <f t="shared" si="14"/>
        <v>0.49</v>
      </c>
      <c r="AN7" s="202">
        <f t="shared" si="14"/>
        <v>0.46</v>
      </c>
      <c r="AO7" s="202">
        <f t="shared" si="14"/>
        <v>0.47</v>
      </c>
      <c r="AP7" s="202">
        <f t="shared" si="14"/>
        <v>0.49</v>
      </c>
      <c r="AQ7" s="202">
        <f t="shared" si="14"/>
        <v>0.43</v>
      </c>
      <c r="AR7" s="202">
        <f t="shared" si="14"/>
        <v>0.45</v>
      </c>
      <c r="AS7" s="202">
        <f t="shared" si="14"/>
        <v>0.49</v>
      </c>
      <c r="AT7" s="202">
        <f t="shared" si="14"/>
        <v>0.41</v>
      </c>
      <c r="AU7" s="202">
        <f t="shared" si="14"/>
        <v>0.47</v>
      </c>
      <c r="AV7" s="202">
        <f t="shared" si="14"/>
        <v>0.39</v>
      </c>
      <c r="AW7" s="202">
        <f t="shared" si="14"/>
        <v>0.39</v>
      </c>
      <c r="AX7" s="202">
        <f t="shared" si="14"/>
        <v>0.42</v>
      </c>
      <c r="AY7" s="202">
        <f t="shared" si="14"/>
        <v>0.47</v>
      </c>
      <c r="AZ7" s="202">
        <f t="shared" si="14"/>
        <v>0.39</v>
      </c>
      <c r="BA7" s="202">
        <f t="shared" si="14"/>
        <v>0.39</v>
      </c>
      <c r="BB7" s="202">
        <f t="shared" si="14"/>
        <v>0.42</v>
      </c>
      <c r="BC7" s="202">
        <f t="shared" si="14"/>
        <v>0.47</v>
      </c>
    </row>
    <row r="8">
      <c r="A8" s="117"/>
      <c r="B8" s="1" t="s">
        <v>314</v>
      </c>
      <c r="C8" s="1"/>
      <c r="D8" s="1"/>
      <c r="E8" s="195">
        <f>IF(YEAR(E$1)=YEAR($AI$2),$AI$3*((12-MONTH($AI$2))/12),IF(YEAR($AI$2)+1=YEAR(E$1),$AI$3*(1+AE28),D8*(1+AE28)))</f>
        <v>0</v>
      </c>
      <c r="F8" s="195">
        <f t="shared" ref="F8:J8" si="15">IF(YEAR(F$1)=YEAR($AI$2),$AI$3*((13-MONTH($AI$2))/12)*(1+AF28),IF(YEAR(F$1)=YEAR($AI$2)+1,E8/((13-MONTH($AI$2))/12)*(1+AF28),IF(YEAR(F$1)=YEAR($AI$2)+5,0,E8*(1+AF28))))</f>
        <v>6080464</v>
      </c>
      <c r="G8" s="195">
        <f t="shared" si="15"/>
        <v>7035096.848</v>
      </c>
      <c r="H8" s="195">
        <f t="shared" si="15"/>
        <v>8048150.794</v>
      </c>
      <c r="I8" s="195">
        <f t="shared" si="15"/>
        <v>9094410.397</v>
      </c>
      <c r="J8" s="195">
        <f t="shared" si="15"/>
        <v>10158456.41</v>
      </c>
      <c r="K8" s="195">
        <f t="shared" ref="K8:U8" si="16">IF(YEAR(K$1)=YEAR($AI$2),$AI$3*((13-MONTH($AI$2))/12)*(1+AK28),IF(YEAR(K$1)=YEAR($AI$2)+5,0,J8*(1+AK28)))</f>
        <v>0</v>
      </c>
      <c r="L8" s="195">
        <f t="shared" si="16"/>
        <v>0</v>
      </c>
      <c r="M8" s="195">
        <f t="shared" si="16"/>
        <v>0</v>
      </c>
      <c r="N8" s="195">
        <f t="shared" si="16"/>
        <v>0</v>
      </c>
      <c r="O8" s="195">
        <f t="shared" si="16"/>
        <v>0</v>
      </c>
      <c r="P8" s="195">
        <f t="shared" si="16"/>
        <v>0</v>
      </c>
      <c r="Q8" s="195">
        <f t="shared" si="16"/>
        <v>0</v>
      </c>
      <c r="R8" s="195">
        <f t="shared" si="16"/>
        <v>0</v>
      </c>
      <c r="S8" s="195">
        <f t="shared" si="16"/>
        <v>0</v>
      </c>
      <c r="T8" s="195">
        <f t="shared" si="16"/>
        <v>0</v>
      </c>
      <c r="U8" s="195">
        <f t="shared" si="16"/>
        <v>0</v>
      </c>
      <c r="V8" s="195">
        <f t="shared" ref="V8:Z8" si="17">IF(YEAR(V$1)=YEAR($AI$2),$AI$3*((13-MONTH($AI$2))/12)*(1+BD28),IF(YEAR(V$1)=YEAR($AI$2)+5,0,U8*(1+BD28)))</f>
        <v>0</v>
      </c>
      <c r="W8" s="195">
        <f t="shared" si="17"/>
        <v>0</v>
      </c>
      <c r="X8" s="195">
        <f t="shared" si="17"/>
        <v>0</v>
      </c>
      <c r="Y8" s="195">
        <f t="shared" si="17"/>
        <v>0</v>
      </c>
      <c r="Z8" s="195">
        <f t="shared" si="17"/>
        <v>0</v>
      </c>
      <c r="AA8" s="1"/>
      <c r="AB8" s="198">
        <f t="shared" si="18"/>
        <v>20000000</v>
      </c>
      <c r="AC8" s="201">
        <f t="shared" si="19"/>
        <v>14</v>
      </c>
      <c r="AD8" s="1" t="s">
        <v>315</v>
      </c>
      <c r="AE8" s="198">
        <f t="shared" ref="AE8:BC8" si="20">AE3*AE7</f>
        <v>1750000</v>
      </c>
      <c r="AF8" s="198">
        <f t="shared" si="20"/>
        <v>2145000</v>
      </c>
      <c r="AG8" s="198">
        <f t="shared" si="20"/>
        <v>3010000</v>
      </c>
      <c r="AH8" s="198">
        <f t="shared" si="20"/>
        <v>3760000</v>
      </c>
      <c r="AI8" s="203">
        <f t="shared" si="20"/>
        <v>1927492</v>
      </c>
      <c r="AJ8" s="203">
        <f t="shared" si="20"/>
        <v>440000</v>
      </c>
      <c r="AK8" s="203">
        <f t="shared" si="20"/>
        <v>460000</v>
      </c>
      <c r="AL8" s="203">
        <f t="shared" si="20"/>
        <v>860000</v>
      </c>
      <c r="AM8" s="203">
        <f t="shared" si="20"/>
        <v>1225000</v>
      </c>
      <c r="AN8" s="203">
        <f t="shared" si="20"/>
        <v>805000</v>
      </c>
      <c r="AO8" s="203">
        <f t="shared" si="20"/>
        <v>1410000</v>
      </c>
      <c r="AP8" s="203">
        <f t="shared" si="20"/>
        <v>1372000</v>
      </c>
      <c r="AQ8" s="203">
        <f t="shared" si="20"/>
        <v>1290000</v>
      </c>
      <c r="AR8" s="203">
        <f t="shared" si="20"/>
        <v>1800000</v>
      </c>
      <c r="AS8" s="203">
        <f t="shared" si="20"/>
        <v>1470000</v>
      </c>
      <c r="AT8" s="203">
        <f t="shared" si="20"/>
        <v>1640000</v>
      </c>
      <c r="AU8" s="203">
        <f t="shared" si="20"/>
        <v>2115000</v>
      </c>
      <c r="AV8" s="198">
        <f t="shared" si="20"/>
        <v>2437500</v>
      </c>
      <c r="AW8" s="198">
        <f t="shared" si="20"/>
        <v>1950000</v>
      </c>
      <c r="AX8" s="198">
        <f t="shared" si="20"/>
        <v>2310000</v>
      </c>
      <c r="AY8" s="198">
        <f t="shared" si="20"/>
        <v>3290000</v>
      </c>
      <c r="AZ8" s="198">
        <f t="shared" si="20"/>
        <v>2437500</v>
      </c>
      <c r="BA8" s="198">
        <f t="shared" si="20"/>
        <v>1950000</v>
      </c>
      <c r="BB8" s="198">
        <f t="shared" si="20"/>
        <v>2310000</v>
      </c>
      <c r="BC8" s="198">
        <f t="shared" si="20"/>
        <v>3290000</v>
      </c>
    </row>
    <row r="9">
      <c r="A9" s="117"/>
      <c r="B9" s="1" t="s">
        <v>292</v>
      </c>
      <c r="C9" s="1"/>
      <c r="D9" s="1"/>
      <c r="E9" s="195">
        <f>IF(YEAR(E$1)=YEAR($AJ$2),$AJ$3*((12-MONTH($AJ$2))/12),IF(YEAR($AJ$2)+1=YEAR(E$1),$AJ$3*(1+AE29),D9*(1+AE29)))</f>
        <v>0</v>
      </c>
      <c r="F9" s="195">
        <f t="shared" ref="F9:U9" si="21">IF(YEAR(F$1)=YEAR($AJ$2),$AJ$3*((13-MONTH($AJ$2))/12)*(1+AF29),IF(YEAR(F$1)=YEAR($AJ$2)+1,E9/((13-MONTH($AJ$2))/12)*(1+AF29),IF(YEAR(F$1)=YEAR($AJ$2)+5,0,E9*(1+AF29))))</f>
        <v>0</v>
      </c>
      <c r="G9" s="195">
        <f t="shared" si="21"/>
        <v>0</v>
      </c>
      <c r="H9" s="195">
        <f t="shared" si="21"/>
        <v>1612000</v>
      </c>
      <c r="I9" s="195">
        <f t="shared" si="21"/>
        <v>1865084</v>
      </c>
      <c r="J9" s="195">
        <f t="shared" si="21"/>
        <v>2133656.096</v>
      </c>
      <c r="K9" s="195">
        <f t="shared" si="21"/>
        <v>2411031.388</v>
      </c>
      <c r="L9" s="195">
        <f t="shared" si="21"/>
        <v>2693122.061</v>
      </c>
      <c r="M9" s="195">
        <f t="shared" si="21"/>
        <v>0</v>
      </c>
      <c r="N9" s="195">
        <f t="shared" si="21"/>
        <v>0</v>
      </c>
      <c r="O9" s="195">
        <f t="shared" si="21"/>
        <v>0</v>
      </c>
      <c r="P9" s="195">
        <f t="shared" si="21"/>
        <v>0</v>
      </c>
      <c r="Q9" s="195">
        <f t="shared" si="21"/>
        <v>0</v>
      </c>
      <c r="R9" s="195">
        <f t="shared" si="21"/>
        <v>0</v>
      </c>
      <c r="S9" s="195">
        <f t="shared" si="21"/>
        <v>0</v>
      </c>
      <c r="T9" s="195">
        <f t="shared" si="21"/>
        <v>0</v>
      </c>
      <c r="U9" s="195">
        <f t="shared" si="21"/>
        <v>0</v>
      </c>
      <c r="V9" s="195">
        <f t="shared" ref="V9:Z9" si="22">IF(YEAR(V$1)=YEAR($AJ$2),$AJ$3*((13-MONTH($AJ$2))/12)*(1+BD29),IF(YEAR(V$1)=YEAR($AJ$2)+1,U9/((13-MONTH($AJ$2))/12)*(1+BD29),IF(YEAR(V$1)=YEAR($AJ$2)+5,0,U9*(1+BD29))))</f>
        <v>0</v>
      </c>
      <c r="W9" s="195">
        <f t="shared" si="22"/>
        <v>0</v>
      </c>
      <c r="X9" s="195">
        <f t="shared" si="22"/>
        <v>0</v>
      </c>
      <c r="Y9" s="195">
        <f t="shared" si="22"/>
        <v>0</v>
      </c>
      <c r="Z9" s="195">
        <f t="shared" si="22"/>
        <v>0</v>
      </c>
      <c r="AA9" s="1"/>
      <c r="AB9" s="198">
        <f t="shared" si="18"/>
        <v>25000000</v>
      </c>
      <c r="AC9" s="201">
        <f t="shared" si="19"/>
        <v>15</v>
      </c>
      <c r="AD9" s="1" t="s">
        <v>316</v>
      </c>
      <c r="AE9" s="197">
        <v>0.15</v>
      </c>
      <c r="AF9" s="197">
        <v>0.12</v>
      </c>
      <c r="AG9" s="197">
        <v>0.12</v>
      </c>
      <c r="AH9" s="197">
        <v>0.13</v>
      </c>
      <c r="AI9" s="197">
        <v>0.14</v>
      </c>
      <c r="AJ9" s="197">
        <v>0.11</v>
      </c>
      <c r="AK9" s="197">
        <v>0.12</v>
      </c>
      <c r="AL9" s="197">
        <v>0.13</v>
      </c>
      <c r="AM9" s="197">
        <v>0.11</v>
      </c>
      <c r="AN9" s="197">
        <v>0.12</v>
      </c>
      <c r="AO9" s="197">
        <v>0.13</v>
      </c>
      <c r="AP9" s="197">
        <v>0.11</v>
      </c>
      <c r="AQ9" s="197">
        <v>0.12</v>
      </c>
      <c r="AR9" s="197">
        <v>0.13</v>
      </c>
      <c r="AS9" s="197">
        <v>0.11</v>
      </c>
      <c r="AT9" s="197">
        <v>0.12</v>
      </c>
      <c r="AU9" s="197">
        <v>0.13</v>
      </c>
      <c r="AV9" s="197">
        <v>0.11</v>
      </c>
      <c r="AW9" s="197">
        <v>0.12</v>
      </c>
      <c r="AX9" s="197">
        <v>0.13</v>
      </c>
      <c r="AY9" s="197">
        <v>0.13</v>
      </c>
      <c r="AZ9" s="197">
        <v>0.11</v>
      </c>
      <c r="BA9" s="197">
        <v>0.12</v>
      </c>
      <c r="BB9" s="197">
        <v>0.13</v>
      </c>
      <c r="BC9" s="197">
        <v>0.13</v>
      </c>
    </row>
    <row r="10">
      <c r="A10" s="117"/>
      <c r="B10" s="1" t="s">
        <v>293</v>
      </c>
      <c r="C10" s="1"/>
      <c r="D10" s="1"/>
      <c r="E10" s="195">
        <f>IF(YEAR(E$1)=YEAR($AK$2),$AK$3*((12-MONTH($AK$2))/12),IF(YEAR($AK$2)+1=YEAR(E$1),$AK$3*(1+AE30),D10*(1+AE30)))</f>
        <v>0</v>
      </c>
      <c r="F10" s="195">
        <f t="shared" ref="F10:U10" si="23">IF(YEAR(F$1)=YEAR($AK$2),$AK$3*((13-MONTH($AK$2))/12)*(1+AF30),IF(YEAR(F$1)=YEAR($AK$2)+1,E10/((13-MONTH($AK$2))/12)*(1+AF30),IF(YEAR(F$1)=YEAR($AK$2)+5,0,E10*(1+AF30))))</f>
        <v>0</v>
      </c>
      <c r="G10" s="195">
        <f t="shared" si="23"/>
        <v>0</v>
      </c>
      <c r="H10" s="195">
        <f t="shared" si="23"/>
        <v>0</v>
      </c>
      <c r="I10" s="195">
        <f t="shared" si="23"/>
        <v>0</v>
      </c>
      <c r="J10" s="195">
        <f t="shared" si="23"/>
        <v>1612000</v>
      </c>
      <c r="K10" s="195">
        <f t="shared" si="23"/>
        <v>1865084</v>
      </c>
      <c r="L10" s="195">
        <f t="shared" si="23"/>
        <v>2133656.096</v>
      </c>
      <c r="M10" s="195">
        <f t="shared" si="23"/>
        <v>2411031.388</v>
      </c>
      <c r="N10" s="195">
        <f t="shared" si="23"/>
        <v>2693122.061</v>
      </c>
      <c r="O10" s="195">
        <f t="shared" si="23"/>
        <v>0</v>
      </c>
      <c r="P10" s="195">
        <f t="shared" si="23"/>
        <v>0</v>
      </c>
      <c r="Q10" s="195">
        <f t="shared" si="23"/>
        <v>0</v>
      </c>
      <c r="R10" s="195">
        <f t="shared" si="23"/>
        <v>0</v>
      </c>
      <c r="S10" s="195">
        <f t="shared" si="23"/>
        <v>0</v>
      </c>
      <c r="T10" s="195">
        <f t="shared" si="23"/>
        <v>0</v>
      </c>
      <c r="U10" s="195">
        <f t="shared" si="23"/>
        <v>0</v>
      </c>
      <c r="V10" s="195">
        <f t="shared" ref="V10:Z10" si="24">IF(YEAR(V$1)=YEAR($AK$2),$AK$3*((13-MONTH($AK$2))/12)*(1+BD30),IF(YEAR(V$1)=YEAR($AK$2)+1,U10/((13-MONTH($AK$2))/12)*(1+BD30),IF(YEAR(V$1)=YEAR($AK$2)+5,0,U10*(1+BD30))))</f>
        <v>0</v>
      </c>
      <c r="W10" s="195">
        <f t="shared" si="24"/>
        <v>0</v>
      </c>
      <c r="X10" s="195">
        <f t="shared" si="24"/>
        <v>0</v>
      </c>
      <c r="Y10" s="195">
        <f t="shared" si="24"/>
        <v>0</v>
      </c>
      <c r="Z10" s="195">
        <f t="shared" si="24"/>
        <v>0</v>
      </c>
      <c r="AA10" s="1"/>
      <c r="AB10" s="198">
        <f t="shared" si="18"/>
        <v>30000000</v>
      </c>
      <c r="AC10" s="201">
        <f t="shared" si="19"/>
        <v>16</v>
      </c>
      <c r="AD10" s="1" t="s">
        <v>317</v>
      </c>
      <c r="AE10" s="198">
        <f t="shared" ref="AE10:BC10" si="25">AE3*AE9</f>
        <v>750000</v>
      </c>
      <c r="AF10" s="198">
        <f t="shared" si="25"/>
        <v>660000</v>
      </c>
      <c r="AG10" s="198">
        <f t="shared" si="25"/>
        <v>840000</v>
      </c>
      <c r="AH10" s="198">
        <f t="shared" si="25"/>
        <v>1040000</v>
      </c>
      <c r="AI10" s="198">
        <f t="shared" si="25"/>
        <v>528080</v>
      </c>
      <c r="AJ10" s="198">
        <f t="shared" si="25"/>
        <v>110000</v>
      </c>
      <c r="AK10" s="198">
        <f t="shared" si="25"/>
        <v>120000</v>
      </c>
      <c r="AL10" s="198">
        <f t="shared" si="25"/>
        <v>260000</v>
      </c>
      <c r="AM10" s="198">
        <f t="shared" si="25"/>
        <v>275000</v>
      </c>
      <c r="AN10" s="198">
        <f t="shared" si="25"/>
        <v>210000</v>
      </c>
      <c r="AO10" s="198">
        <f t="shared" si="25"/>
        <v>390000</v>
      </c>
      <c r="AP10" s="198">
        <f t="shared" si="25"/>
        <v>308000</v>
      </c>
      <c r="AQ10" s="198">
        <f t="shared" si="25"/>
        <v>360000</v>
      </c>
      <c r="AR10" s="198">
        <f t="shared" si="25"/>
        <v>520000</v>
      </c>
      <c r="AS10" s="198">
        <f t="shared" si="25"/>
        <v>330000</v>
      </c>
      <c r="AT10" s="198">
        <f t="shared" si="25"/>
        <v>480000</v>
      </c>
      <c r="AU10" s="198">
        <f t="shared" si="25"/>
        <v>585000</v>
      </c>
      <c r="AV10" s="198">
        <f t="shared" si="25"/>
        <v>687500</v>
      </c>
      <c r="AW10" s="198">
        <f t="shared" si="25"/>
        <v>600000</v>
      </c>
      <c r="AX10" s="198">
        <f t="shared" si="25"/>
        <v>715000</v>
      </c>
      <c r="AY10" s="198">
        <f t="shared" si="25"/>
        <v>910000</v>
      </c>
      <c r="AZ10" s="198">
        <f t="shared" si="25"/>
        <v>687500</v>
      </c>
      <c r="BA10" s="198">
        <f t="shared" si="25"/>
        <v>600000</v>
      </c>
      <c r="BB10" s="198">
        <f t="shared" si="25"/>
        <v>715000</v>
      </c>
      <c r="BC10" s="198">
        <f t="shared" si="25"/>
        <v>910000</v>
      </c>
    </row>
    <row r="11">
      <c r="A11" s="117"/>
      <c r="B11" s="1" t="s">
        <v>294</v>
      </c>
      <c r="C11" s="1"/>
      <c r="D11" s="1"/>
      <c r="E11" s="195">
        <f>IF(YEAR(E$1)=YEAR($AL$2),$AL$3*((12-MONTH($AL$2))/12),IF(YEAR($AL$2)+1=YEAR(E$1),$AL$3*(1+AE31),D11*(1+AE31)))</f>
        <v>0</v>
      </c>
      <c r="F11" s="195">
        <f t="shared" ref="F11:U11" si="26">IF(YEAR(F$1)=YEAR($AL$2),$AL$3*((13-MONTH($AL$2))/12)*(1+AF31),IF(YEAR(F$1)=YEAR($AL$2)+1,E11/((13-MONTH($AL$2))/12)*(1+AF31),IF(YEAR(F$1)=YEAR($AL$2)+5,0,E11*(1+AF31))))</f>
        <v>0</v>
      </c>
      <c r="G11" s="195">
        <f t="shared" si="26"/>
        <v>0</v>
      </c>
      <c r="H11" s="195">
        <f t="shared" si="26"/>
        <v>0</v>
      </c>
      <c r="I11" s="195">
        <f t="shared" si="26"/>
        <v>0</v>
      </c>
      <c r="J11" s="195">
        <f t="shared" si="26"/>
        <v>0</v>
      </c>
      <c r="K11" s="195">
        <f t="shared" si="26"/>
        <v>0</v>
      </c>
      <c r="L11" s="195">
        <f t="shared" si="26"/>
        <v>3224000</v>
      </c>
      <c r="M11" s="195">
        <f t="shared" si="26"/>
        <v>3730168</v>
      </c>
      <c r="N11" s="195">
        <f t="shared" si="26"/>
        <v>4267312.192</v>
      </c>
      <c r="O11" s="195">
        <f t="shared" si="26"/>
        <v>4822062.777</v>
      </c>
      <c r="P11" s="195">
        <f t="shared" si="26"/>
        <v>5386244.122</v>
      </c>
      <c r="Q11" s="195">
        <f t="shared" si="26"/>
        <v>0</v>
      </c>
      <c r="R11" s="195">
        <f t="shared" si="26"/>
        <v>0</v>
      </c>
      <c r="S11" s="195">
        <f t="shared" si="26"/>
        <v>0</v>
      </c>
      <c r="T11" s="195">
        <f t="shared" si="26"/>
        <v>0</v>
      </c>
      <c r="U11" s="195">
        <f t="shared" si="26"/>
        <v>0</v>
      </c>
      <c r="V11" s="195">
        <f t="shared" ref="V11:Z11" si="27">IF(YEAR(V$1)=YEAR($AL$2),$AL$3*((13-MONTH($AL$2))/12)*(1+BD31),IF(YEAR(V$1)=YEAR($AL$2)+1,U11/((13-MONTH($AL$2))/12)*(1+BD31),IF(YEAR(V$1)=YEAR($AL$2)+5,0,U11*(1+BD31))))</f>
        <v>0</v>
      </c>
      <c r="W11" s="195">
        <f t="shared" si="27"/>
        <v>0</v>
      </c>
      <c r="X11" s="195">
        <f t="shared" si="27"/>
        <v>0</v>
      </c>
      <c r="Y11" s="195">
        <f t="shared" si="27"/>
        <v>0</v>
      </c>
      <c r="Z11" s="195">
        <f t="shared" si="27"/>
        <v>0</v>
      </c>
      <c r="AA11" s="1"/>
      <c r="AB11" s="198">
        <f t="shared" si="18"/>
        <v>35000000</v>
      </c>
      <c r="AC11" s="201">
        <f t="shared" si="19"/>
        <v>17</v>
      </c>
      <c r="AD11" s="1" t="s">
        <v>318</v>
      </c>
      <c r="AE11" s="198">
        <f>IFERROR(__xludf.DUMMYFUNCTION("if(AE10&lt;=$AB$4,AE10*$AC$2,if(ISBETWEEN(AE3,AB3,$AB$4),AE10*$AC$3,if(ISBETWEEN(AE3,$AB$4,$AB$5),AE10*$AC$4,if(ISBETWEEN(AE3,$AB$5,$AB$6),AE10*$AC$5,if(AE3&gt;$AB$6,AE10*$AC$6)))))"),3000000.0)</f>
        <v>3000000</v>
      </c>
      <c r="AF11" s="198">
        <f>IFERROR(__xludf.DUMMYFUNCTION("if(AF10&lt;=$AB$4,AF10*$AC$2,if(ISBETWEEN(AF3,AC3,$AB$4),AF10*$AC$3,if(ISBETWEEN(AF3,$AB$4,$AB$5),AF10*$AC$4,if(ISBETWEEN(AF3,$AB$5,$AB$6),AF10*$AC$5,if(AF3&gt;$AB$6,AF10*$AC$6)))))"),2640000.0)</f>
        <v>2640000</v>
      </c>
      <c r="AG11" s="198">
        <f>IFERROR(__xludf.DUMMYFUNCTION("if(AG10&lt;=$AB$4,AG10*$AC$2,if(ISBETWEEN(AG3,AD3,$AB$4),AG10*$AC$3,if(ISBETWEEN(AG3,$AB$4,$AB$5),AG10*$AC$4,if(ISBETWEEN(AG3,$AB$5,$AB$6),AG10*$AC$5,if(AG3&gt;$AB$6,AG10*$AC$6)))))"),3360000.0)</f>
        <v>3360000</v>
      </c>
      <c r="AH11" s="198">
        <f>IFERROR(__xludf.DUMMYFUNCTION("if(AH10&lt;=$AB$4,AH10*$AC$2,if(ISBETWEEN(AH3,AE3,$AB$4),AH10*$AC$3,if(ISBETWEEN(AH3,$AB$4,$AB$5),AH10*$AC$4,if(ISBETWEEN(AH3,$AB$5,$AB$6),AH10*$AC$5,if(AH3&gt;$AB$6,AH10*$AC$6)))))"),4160000.0)</f>
        <v>4160000</v>
      </c>
      <c r="AI11" s="198">
        <f>IFERROR(__xludf.DUMMYFUNCTION("if(AI10&lt;=$AB$4,AI10*$AC$2,if(ISBETWEEN(AI3,AF3,$AB$4),AI10*$AC$3,if(ISBETWEEN(AI3,$AB$4,$AB$5),AI10*$AC$4,if(ISBETWEEN(AI3,$AB$5,$AB$6),AI10*$AC$5,if(AI3&gt;$AB$6,AI10*$AC$6)))))"),2112320.0)</f>
        <v>2112320</v>
      </c>
      <c r="AJ11" s="198">
        <f>IFERROR(__xludf.DUMMYFUNCTION("if(AJ10&lt;=$AB$4,AJ10*$AC$2,if(ISBETWEEN(AJ3,AG3,$AB$4),AJ10*$AC$3,if(ISBETWEEN(AJ3,$AB$4,$AB$5),AJ10*$AC$4,if(ISBETWEEN(AJ3,$AB$5,$AB$6),AJ10*$AC$5,if(AJ3&gt;$AB$6,AJ10*$AC$6)))))"),440000.0)</f>
        <v>440000</v>
      </c>
      <c r="AK11" s="198">
        <f>IFERROR(__xludf.DUMMYFUNCTION("if(AK10&lt;=$AB$4,AK10*$AC$2,if(ISBETWEEN(AK3,AH3,$AB$4),AK10*$AC$3,if(ISBETWEEN(AK3,$AB$4,$AB$5),AK10*$AC$4,if(ISBETWEEN(AK3,$AB$5,$AB$6),AK10*$AC$5,if(AK3&gt;$AB$6,AK10*$AC$6)))))"),480000.0)</f>
        <v>480000</v>
      </c>
      <c r="AL11" s="198">
        <f>IFERROR(__xludf.DUMMYFUNCTION("if(AL10&lt;=$AB$4,AL10*$AC$2,if(ISBETWEEN(AL3,AI3,$AB$4),AL10*$AC$3,if(ISBETWEEN(AL3,$AB$4,$AB$5),AL10*$AC$4,if(ISBETWEEN(AL3,$AB$5,$AB$6),AL10*$AC$5,if(AL3&gt;$AB$6,AL10*$AC$6)))))"),1040000.0)</f>
        <v>1040000</v>
      </c>
      <c r="AM11" s="198">
        <f>IFERROR(__xludf.DUMMYFUNCTION("if(AM10&lt;=$AB$4,AM10*$AC$2,if(ISBETWEEN(AM3,AJ3,$AB$4),AM10*$AC$3,if(ISBETWEEN(AM3,$AB$4,$AB$5),AM10*$AC$4,if(ISBETWEEN(AM3,$AB$5,$AB$6),AM10*$AC$5,if(AM3&gt;$AB$6,AM10*$AC$6)))))"),1100000.0)</f>
        <v>1100000</v>
      </c>
      <c r="AN11" s="198">
        <f>IFERROR(__xludf.DUMMYFUNCTION("if(AN10&lt;=$AB$4,AN10*$AC$2,if(ISBETWEEN(AN3,AK3,$AB$4),AN10*$AC$3,if(ISBETWEEN(AN3,$AB$4,$AB$5),AN10*$AC$4,if(ISBETWEEN(AN3,$AB$5,$AB$6),AN10*$AC$5,if(AN3&gt;$AB$6,AN10*$AC$6)))))"),840000.0)</f>
        <v>840000</v>
      </c>
      <c r="AO11" s="198">
        <f>IFERROR(__xludf.DUMMYFUNCTION("if(AO10&lt;=$AB$4,AO10*$AC$2,if(ISBETWEEN(AO3,AL3,$AB$4),AO10*$AC$3,if(ISBETWEEN(AO3,$AB$4,$AB$5),AO10*$AC$4,if(ISBETWEEN(AO3,$AB$5,$AB$6),AO10*$AC$5,if(AO3&gt;$AB$6,AO10*$AC$6)))))"),1560000.0)</f>
        <v>1560000</v>
      </c>
      <c r="AP11" s="198">
        <f>IFERROR(__xludf.DUMMYFUNCTION("if(AP10&lt;=$AB$4,AP10*$AC$2,if(ISBETWEEN(AP3,AM3,$AB$4),AP10*$AC$3,if(ISBETWEEN(AP3,$AB$4,$AB$5),AP10*$AC$4,if(ISBETWEEN(AP3,$AB$5,$AB$6),AP10*$AC$5,if(AP3&gt;$AB$6,AP10*$AC$6)))))"),1232000.0)</f>
        <v>1232000</v>
      </c>
      <c r="AQ11" s="198">
        <f>IFERROR(__xludf.DUMMYFUNCTION("if(AQ10&lt;=$AB$4,AQ10*$AC$2,if(ISBETWEEN(AQ3,AN3,$AB$4),AQ10*$AC$3,if(ISBETWEEN(AQ3,$AB$4,$AB$5),AQ10*$AC$4,if(ISBETWEEN(AQ3,$AB$5,$AB$6),AQ10*$AC$5,if(AQ3&gt;$AB$6,AQ10*$AC$6)))))"),1440000.0)</f>
        <v>1440000</v>
      </c>
      <c r="AR11" s="198">
        <f>IFERROR(__xludf.DUMMYFUNCTION("if(AR10&lt;=$AB$4,AR10*$AC$2,if(ISBETWEEN(AR3,AO3,$AB$4),AR10*$AC$3,if(ISBETWEEN(AR3,$AB$4,$AB$5),AR10*$AC$4,if(ISBETWEEN(AR3,$AB$5,$AB$6),AR10*$AC$5,if(AR3&gt;$AB$6,AR10*$AC$6)))))"),2080000.0)</f>
        <v>2080000</v>
      </c>
      <c r="AS11" s="198">
        <f>IFERROR(__xludf.DUMMYFUNCTION("if(AS10&lt;=$AB$4,AS10*$AC$2,if(ISBETWEEN(AS3,AP3,$AB$4),AS10*$AC$3,if(ISBETWEEN(AS3,$AB$4,$AB$5),AS10*$AC$4,if(ISBETWEEN(AS3,$AB$5,$AB$6),AS10*$AC$5,if(AS3&gt;$AB$6,AS10*$AC$6)))))"),1320000.0)</f>
        <v>1320000</v>
      </c>
      <c r="AT11" s="198">
        <f>IFERROR(__xludf.DUMMYFUNCTION("if(AT10&lt;=$AB$4,AT10*$AC$2,if(ISBETWEEN(AT3,AQ3,$AB$4),AT10*$AC$3,if(ISBETWEEN(AT3,$AB$4,$AB$5),AT10*$AC$4,if(ISBETWEEN(AT3,$AB$5,$AB$6),AT10*$AC$5,if(AT3&gt;$AB$6,AT10*$AC$6)))))"),1920000.0)</f>
        <v>1920000</v>
      </c>
      <c r="AU11" s="198">
        <f>IFERROR(__xludf.DUMMYFUNCTION("if(AU10&lt;=$AB$4,AU10*$AC$2,if(ISBETWEEN(AU3,AR3,$AB$4),AU10*$AC$3,if(ISBETWEEN(AU3,$AB$4,$AB$5),AU10*$AC$4,if(ISBETWEEN(AU3,$AB$5,$AB$6),AU10*$AC$5,if(AU3&gt;$AB$6,AU10*$AC$6)))))"),2340000.0)</f>
        <v>2340000</v>
      </c>
      <c r="AV11" s="198">
        <f>IFERROR(__xludf.DUMMYFUNCTION("if(AV10&lt;=$AB$4,AV10*$AC$2,if(ISBETWEEN(AV3,AS3,$AB$4),AV10*$AC$3,if(ISBETWEEN(AV3,$AB$4,$AB$5),AV10*$AC$4,if(ISBETWEEN(AV3,$AB$5,$AB$6),AV10*$AC$5,if(AV3&gt;$AB$6,AV10*$AC$6)))))"),2750000.0)</f>
        <v>2750000</v>
      </c>
      <c r="AW11" s="198">
        <f>IFERROR(__xludf.DUMMYFUNCTION("if(AW10&lt;=$AB$4,AW10*$AC$2,if(ISBETWEEN(AW3,AT3,$AB$4),AW10*$AC$3,if(ISBETWEEN(AW3,$AB$4,$AB$5),AW10*$AC$4,if(ISBETWEEN(AW3,$AB$5,$AB$6),AW10*$AC$5,if(AW3&gt;$AB$6,AW10*$AC$6)))))"),2400000.0)</f>
        <v>2400000</v>
      </c>
      <c r="AX11" s="198">
        <f>IFERROR(__xludf.DUMMYFUNCTION("if(AX10&lt;=$AB$4,AX10*$AC$2,if(ISBETWEEN(AX3,AU3,$AB$4),AX10*$AC$3,if(ISBETWEEN(AX3,$AB$4,$AB$5),AX10*$AC$4,if(ISBETWEEN(AX3,$AB$5,$AB$6),AX10*$AC$5,if(AX3&gt;$AB$6,AX10*$AC$6)))))"),2860000.0)</f>
        <v>2860000</v>
      </c>
      <c r="AY11" s="198">
        <f>IFERROR(__xludf.DUMMYFUNCTION("if(AY10&lt;=$AB$4,AY10*$AC$2,if(ISBETWEEN(AY3,AV3,$AB$4),AY10*$AC$3,if(ISBETWEEN(AY3,$AB$4,$AB$5),AY10*$AC$4,if(ISBETWEEN(AY3,$AB$5,$AB$6),AY10*$AC$5,if(AY3&gt;$AB$6,AY10*$AC$6)))))"),3640000.0)</f>
        <v>3640000</v>
      </c>
      <c r="AZ11" s="198">
        <f>IFERROR(__xludf.DUMMYFUNCTION("if(AZ10&lt;=$AB$4,AZ10*$AC$2,if(ISBETWEEN(AZ3,AW3,$AB$4),AZ10*$AC$3,if(ISBETWEEN(AZ3,$AB$4,$AB$5),AZ10*$AC$4,if(ISBETWEEN(AZ3,$AB$5,$AB$6),AZ10*$AC$5,if(AZ3&gt;$AB$6,AZ10*$AC$6)))))"),2750000.0)</f>
        <v>2750000</v>
      </c>
      <c r="BA11" s="198">
        <f>IFERROR(__xludf.DUMMYFUNCTION("if(BA10&lt;=$AB$4,BA10*$AC$2,if(ISBETWEEN(BA3,AX3,$AB$4),BA10*$AC$3,if(ISBETWEEN(BA3,$AB$4,$AB$5),BA10*$AC$4,if(ISBETWEEN(BA3,$AB$5,$AB$6),BA10*$AC$5,if(BA3&gt;$AB$6,BA10*$AC$6)))))"),2400000.0)</f>
        <v>2400000</v>
      </c>
      <c r="BB11" s="198">
        <f>IFERROR(__xludf.DUMMYFUNCTION("if(BB10&lt;=$AB$4,BB10*$AC$2,if(ISBETWEEN(BB3,AY3,$AB$4),BB10*$AC$3,if(ISBETWEEN(BB3,$AB$4,$AB$5),BB10*$AC$4,if(ISBETWEEN(BB3,$AB$5,$AB$6),BB10*$AC$5,if(BB3&gt;$AB$6,BB10*$AC$6)))))"),2860000.0)</f>
        <v>2860000</v>
      </c>
      <c r="BC11" s="198">
        <f>IFERROR(__xludf.DUMMYFUNCTION("if(BC10&lt;=$AB$4,BC10*$AC$2,if(ISBETWEEN(BC3,AZ3,$AB$4),BC10*$AC$3,if(ISBETWEEN(BC3,$AB$4,$AB$5),BC10*$AC$4,if(ISBETWEEN(BC3,$AB$5,$AB$6),BC10*$AC$5,if(BC3&gt;$AB$6,BC10*$AC$6)))))"),3640000.0)</f>
        <v>3640000</v>
      </c>
    </row>
    <row r="12">
      <c r="A12" s="117"/>
      <c r="B12" s="1" t="s">
        <v>295</v>
      </c>
      <c r="C12" s="1"/>
      <c r="D12" s="1"/>
      <c r="E12" s="195">
        <f>IF(YEAR(E$1)=YEAR($AM$2),$AM$3*((12-MONTH($AM$2))/12),IF(YEAR($AM$2)+1=YEAR(E$1),$AM$3*(1+AE32),D12*(1+AE32)))</f>
        <v>0</v>
      </c>
      <c r="F12" s="195">
        <f t="shared" ref="F12:U12" si="28">IF(YEAR(F$1)=YEAR($AM$2),$AM$3*((13-MONTH($AM$2))/12)*(1+AF32),IF(YEAR(F$1)=YEAR($AM$2)+1,E12/((13-MONTH($AM$2))/12)*(1+AF32),IF(YEAR(F$1)=YEAR($AM$2)+5,0,E12*(1+AF32))))</f>
        <v>0</v>
      </c>
      <c r="G12" s="195">
        <f t="shared" si="28"/>
        <v>0</v>
      </c>
      <c r="H12" s="195">
        <f t="shared" si="28"/>
        <v>0</v>
      </c>
      <c r="I12" s="195">
        <f t="shared" si="28"/>
        <v>0</v>
      </c>
      <c r="J12" s="195">
        <f t="shared" si="28"/>
        <v>0</v>
      </c>
      <c r="K12" s="195">
        <f t="shared" si="28"/>
        <v>0</v>
      </c>
      <c r="L12" s="195">
        <f t="shared" si="28"/>
        <v>0</v>
      </c>
      <c r="M12" s="195">
        <f t="shared" si="28"/>
        <v>0</v>
      </c>
      <c r="N12" s="195">
        <f t="shared" si="28"/>
        <v>4030000</v>
      </c>
      <c r="O12" s="195">
        <f t="shared" si="28"/>
        <v>4662710</v>
      </c>
      <c r="P12" s="195">
        <f t="shared" si="28"/>
        <v>5334140.24</v>
      </c>
      <c r="Q12" s="195">
        <f t="shared" si="28"/>
        <v>6027578.471</v>
      </c>
      <c r="R12" s="195">
        <f t="shared" si="28"/>
        <v>6732805.152</v>
      </c>
      <c r="S12" s="195">
        <f t="shared" si="28"/>
        <v>0</v>
      </c>
      <c r="T12" s="195">
        <f t="shared" si="28"/>
        <v>0</v>
      </c>
      <c r="U12" s="195">
        <f t="shared" si="28"/>
        <v>0</v>
      </c>
      <c r="V12" s="195">
        <f t="shared" ref="V12:Z12" si="29">IF(YEAR(V$1)=YEAR($AM$2),$AM$3*((13-MONTH($AM$2))/12)*(1+BD32),IF(YEAR(V$1)=YEAR($AM$2)+1,U12/((13-MONTH($AM$2))/12)*(1+BD32),IF(YEAR(V$1)=YEAR($AM$2)+5,0,U12*(1+BD32))))</f>
        <v>0</v>
      </c>
      <c r="W12" s="195">
        <f t="shared" si="29"/>
        <v>0</v>
      </c>
      <c r="X12" s="195">
        <f t="shared" si="29"/>
        <v>0</v>
      </c>
      <c r="Y12" s="195">
        <f t="shared" si="29"/>
        <v>0</v>
      </c>
      <c r="Z12" s="195">
        <f t="shared" si="29"/>
        <v>0</v>
      </c>
      <c r="AA12" s="1"/>
      <c r="AB12" s="198">
        <f t="shared" si="18"/>
        <v>40000000</v>
      </c>
      <c r="AC12" s="201">
        <f t="shared" si="19"/>
        <v>18</v>
      </c>
      <c r="AD12" s="1" t="s">
        <v>319</v>
      </c>
      <c r="AE12" s="198">
        <f t="shared" ref="AE12:BC12" si="30">AE$11*AE15</f>
        <v>1500000</v>
      </c>
      <c r="AF12" s="198">
        <f t="shared" si="30"/>
        <v>1320000</v>
      </c>
      <c r="AG12" s="198">
        <f t="shared" si="30"/>
        <v>1680000</v>
      </c>
      <c r="AH12" s="198">
        <f t="shared" si="30"/>
        <v>2080000</v>
      </c>
      <c r="AI12" s="198">
        <f t="shared" si="30"/>
        <v>1267392</v>
      </c>
      <c r="AJ12" s="198">
        <f t="shared" si="30"/>
        <v>264000</v>
      </c>
      <c r="AK12" s="198">
        <f t="shared" si="30"/>
        <v>288000</v>
      </c>
      <c r="AL12" s="198">
        <f t="shared" si="30"/>
        <v>624000</v>
      </c>
      <c r="AM12" s="198">
        <f t="shared" si="30"/>
        <v>660000</v>
      </c>
      <c r="AN12" s="198">
        <f t="shared" si="30"/>
        <v>504000</v>
      </c>
      <c r="AO12" s="198">
        <f t="shared" si="30"/>
        <v>936000</v>
      </c>
      <c r="AP12" s="198">
        <f t="shared" si="30"/>
        <v>739200</v>
      </c>
      <c r="AQ12" s="198">
        <f t="shared" si="30"/>
        <v>864000</v>
      </c>
      <c r="AR12" s="198">
        <f t="shared" si="30"/>
        <v>1248000</v>
      </c>
      <c r="AS12" s="198">
        <f t="shared" si="30"/>
        <v>792000</v>
      </c>
      <c r="AT12" s="198">
        <f t="shared" si="30"/>
        <v>1152000</v>
      </c>
      <c r="AU12" s="198">
        <f t="shared" si="30"/>
        <v>1404000</v>
      </c>
      <c r="AV12" s="198">
        <f t="shared" si="30"/>
        <v>1375000</v>
      </c>
      <c r="AW12" s="198">
        <f t="shared" si="30"/>
        <v>1200000</v>
      </c>
      <c r="AX12" s="198">
        <f t="shared" si="30"/>
        <v>1430000</v>
      </c>
      <c r="AY12" s="198">
        <f t="shared" si="30"/>
        <v>1820000</v>
      </c>
      <c r="AZ12" s="198">
        <f t="shared" si="30"/>
        <v>1375000</v>
      </c>
      <c r="BA12" s="198">
        <f t="shared" si="30"/>
        <v>1200000</v>
      </c>
      <c r="BB12" s="198">
        <f t="shared" si="30"/>
        <v>1430000</v>
      </c>
      <c r="BC12" s="198">
        <f t="shared" si="30"/>
        <v>1820000</v>
      </c>
    </row>
    <row r="13">
      <c r="A13" s="117"/>
      <c r="B13" s="1" t="s">
        <v>296</v>
      </c>
      <c r="C13" s="1"/>
      <c r="D13" s="1"/>
      <c r="E13" s="195">
        <f>IF(YEAR(E$1)=YEAR($AN$2),$AN$3*((12-MONTH($AN$2))/12),IF(YEAR($AN$2)+1=YEAR(E$1),$AN$3*(1+AE33),D13*(1+AE33)))</f>
        <v>0</v>
      </c>
      <c r="F13" s="195">
        <f t="shared" ref="F13:U13" si="31">IF(YEAR(F$1)=YEAR($AN$2),$AN$3*((13-MONTH($AN$2))/12)*(1+AF33),IF(YEAR(F$1)=YEAR($AN$2)+1,E13/((13-MONTH($AN$2))/12)*(1+AF33),IF(YEAR(F$1)=YEAR($AN$2)+5,0,E13*(1+AF33))))</f>
        <v>0</v>
      </c>
      <c r="G13" s="195">
        <f t="shared" si="31"/>
        <v>0</v>
      </c>
      <c r="H13" s="195">
        <f t="shared" si="31"/>
        <v>0</v>
      </c>
      <c r="I13" s="195">
        <f t="shared" si="31"/>
        <v>0</v>
      </c>
      <c r="J13" s="195">
        <f t="shared" si="31"/>
        <v>0</v>
      </c>
      <c r="K13" s="195">
        <f t="shared" si="31"/>
        <v>0</v>
      </c>
      <c r="L13" s="195">
        <f t="shared" si="31"/>
        <v>0</v>
      </c>
      <c r="M13" s="195">
        <f t="shared" si="31"/>
        <v>0</v>
      </c>
      <c r="N13" s="195">
        <f t="shared" si="31"/>
        <v>0</v>
      </c>
      <c r="O13" s="195">
        <f t="shared" si="31"/>
        <v>0</v>
      </c>
      <c r="P13" s="195">
        <f t="shared" si="31"/>
        <v>2821000</v>
      </c>
      <c r="Q13" s="195">
        <f t="shared" si="31"/>
        <v>3263897</v>
      </c>
      <c r="R13" s="195">
        <f t="shared" si="31"/>
        <v>3733898.168</v>
      </c>
      <c r="S13" s="195">
        <f t="shared" si="31"/>
        <v>4219304.93</v>
      </c>
      <c r="T13" s="195">
        <f t="shared" si="31"/>
        <v>4712963.607</v>
      </c>
      <c r="U13" s="195">
        <f t="shared" si="31"/>
        <v>0</v>
      </c>
      <c r="V13" s="195">
        <f t="shared" ref="V13:Z13" si="32">IF(YEAR(V$1)=YEAR($AN$2),$AN$3*((13-MONTH($AN$2))/12)*(1+BD33),IF(YEAR(V$1)=YEAR($AN$2)+1,U13/((13-MONTH($AN$2))/12)*(1+BD33),IF(YEAR(V$1)=YEAR($AN$2)+5,0,U13*(1+BD33))))</f>
        <v>0</v>
      </c>
      <c r="W13" s="195">
        <f t="shared" si="32"/>
        <v>0</v>
      </c>
      <c r="X13" s="195">
        <f t="shared" si="32"/>
        <v>0</v>
      </c>
      <c r="Y13" s="195">
        <f t="shared" si="32"/>
        <v>0</v>
      </c>
      <c r="Z13" s="195">
        <f t="shared" si="32"/>
        <v>0</v>
      </c>
      <c r="AA13" s="1"/>
      <c r="AB13" s="198">
        <f t="shared" si="18"/>
        <v>45000000</v>
      </c>
      <c r="AC13" s="201">
        <f t="shared" si="19"/>
        <v>19</v>
      </c>
      <c r="AD13" s="1" t="s">
        <v>320</v>
      </c>
      <c r="AE13" s="198">
        <f t="shared" ref="AE13:BC13" si="33">AE$11*AE16</f>
        <v>900000</v>
      </c>
      <c r="AF13" s="198">
        <f t="shared" si="33"/>
        <v>792000</v>
      </c>
      <c r="AG13" s="198">
        <f t="shared" si="33"/>
        <v>1008000</v>
      </c>
      <c r="AH13" s="198">
        <f t="shared" si="33"/>
        <v>1248000</v>
      </c>
      <c r="AI13" s="198">
        <f t="shared" si="33"/>
        <v>633696</v>
      </c>
      <c r="AJ13" s="198">
        <f t="shared" si="33"/>
        <v>132000</v>
      </c>
      <c r="AK13" s="198">
        <f t="shared" si="33"/>
        <v>144000</v>
      </c>
      <c r="AL13" s="198">
        <f t="shared" si="33"/>
        <v>312000</v>
      </c>
      <c r="AM13" s="198">
        <f t="shared" si="33"/>
        <v>330000</v>
      </c>
      <c r="AN13" s="198">
        <f t="shared" si="33"/>
        <v>252000</v>
      </c>
      <c r="AO13" s="198">
        <f t="shared" si="33"/>
        <v>468000</v>
      </c>
      <c r="AP13" s="198">
        <f t="shared" si="33"/>
        <v>369600</v>
      </c>
      <c r="AQ13" s="198">
        <f t="shared" si="33"/>
        <v>432000</v>
      </c>
      <c r="AR13" s="198">
        <f t="shared" si="33"/>
        <v>624000</v>
      </c>
      <c r="AS13" s="198">
        <f t="shared" si="33"/>
        <v>396000</v>
      </c>
      <c r="AT13" s="198">
        <f t="shared" si="33"/>
        <v>576000</v>
      </c>
      <c r="AU13" s="198">
        <f t="shared" si="33"/>
        <v>702000</v>
      </c>
      <c r="AV13" s="198">
        <f t="shared" si="33"/>
        <v>825000</v>
      </c>
      <c r="AW13" s="198">
        <f t="shared" si="33"/>
        <v>720000</v>
      </c>
      <c r="AX13" s="198">
        <f t="shared" si="33"/>
        <v>858000</v>
      </c>
      <c r="AY13" s="198">
        <f t="shared" si="33"/>
        <v>1092000</v>
      </c>
      <c r="AZ13" s="198">
        <f t="shared" si="33"/>
        <v>825000</v>
      </c>
      <c r="BA13" s="198">
        <f t="shared" si="33"/>
        <v>720000</v>
      </c>
      <c r="BB13" s="198">
        <f t="shared" si="33"/>
        <v>858000</v>
      </c>
      <c r="BC13" s="198">
        <f t="shared" si="33"/>
        <v>1092000</v>
      </c>
    </row>
    <row r="14">
      <c r="A14" s="117"/>
      <c r="B14" s="1" t="s">
        <v>297</v>
      </c>
      <c r="C14" s="1"/>
      <c r="D14" s="1"/>
      <c r="E14" s="195">
        <f>IF(YEAR(E$1)=YEAR($AO$2),$AO$3*((12-MONTH($AO$2))/12),IF(YEAR($AO$2)+1=YEAR(E$1),$AO$3*(1+AE34),D14*(1+AE34)))</f>
        <v>0</v>
      </c>
      <c r="F14" s="195">
        <f t="shared" ref="F14:U14" si="34">IF(YEAR(F$1)=YEAR($AO$2),$AO$3*((13-MONTH($AO$2))/12)*(1+AF34),IF(YEAR(F$1)=YEAR($AO$2)+1,E14/((13-MONTH($AO$2))/12)*(1+AF34),IF(YEAR(F$1)=YEAR($AO$2)+5,0,E14*(1+AF34))))</f>
        <v>0</v>
      </c>
      <c r="G14" s="195">
        <f t="shared" si="34"/>
        <v>0</v>
      </c>
      <c r="H14" s="195">
        <f t="shared" si="34"/>
        <v>0</v>
      </c>
      <c r="I14" s="195">
        <f t="shared" si="34"/>
        <v>0</v>
      </c>
      <c r="J14" s="195">
        <f t="shared" si="34"/>
        <v>0</v>
      </c>
      <c r="K14" s="195">
        <f t="shared" si="34"/>
        <v>0</v>
      </c>
      <c r="L14" s="195">
        <f t="shared" si="34"/>
        <v>0</v>
      </c>
      <c r="M14" s="195">
        <f t="shared" si="34"/>
        <v>0</v>
      </c>
      <c r="N14" s="195">
        <f t="shared" si="34"/>
        <v>0</v>
      </c>
      <c r="O14" s="195">
        <f t="shared" si="34"/>
        <v>0</v>
      </c>
      <c r="P14" s="195">
        <f t="shared" si="34"/>
        <v>0</v>
      </c>
      <c r="Q14" s="195">
        <f t="shared" si="34"/>
        <v>0</v>
      </c>
      <c r="R14" s="195">
        <f t="shared" si="34"/>
        <v>4836000</v>
      </c>
      <c r="S14" s="195">
        <f t="shared" si="34"/>
        <v>5595252</v>
      </c>
      <c r="T14" s="195">
        <f t="shared" si="34"/>
        <v>6400968.288</v>
      </c>
      <c r="U14" s="195">
        <f t="shared" si="34"/>
        <v>7233094.165</v>
      </c>
      <c r="V14" s="195">
        <f t="shared" ref="V14:Z14" si="35">IF(YEAR(V$1)=YEAR($AO$2),$AO$3*((13-MONTH($AO$2))/12)*(1+BD34),IF(YEAR(V$1)=YEAR($AO$2)+1,U14/((13-MONTH($AO$2))/12)*(1+BD34),IF(YEAR(V$1)=YEAR($AO$2)+5,0,U14*(1+BD34))))</f>
        <v>7233094.165</v>
      </c>
      <c r="W14" s="195">
        <f t="shared" si="35"/>
        <v>0</v>
      </c>
      <c r="X14" s="195">
        <f t="shared" si="35"/>
        <v>0</v>
      </c>
      <c r="Y14" s="195">
        <f t="shared" si="35"/>
        <v>0</v>
      </c>
      <c r="Z14" s="195">
        <f t="shared" si="35"/>
        <v>0</v>
      </c>
      <c r="AA14" s="1"/>
      <c r="AB14" s="198">
        <f t="shared" si="18"/>
        <v>50000000</v>
      </c>
      <c r="AC14" s="201">
        <f t="shared" si="19"/>
        <v>20</v>
      </c>
      <c r="AD14" s="1" t="s">
        <v>321</v>
      </c>
      <c r="AE14" s="198">
        <f t="shared" ref="AE14:BC14" si="36">AE$11*AE17</f>
        <v>600000</v>
      </c>
      <c r="AF14" s="198">
        <f t="shared" si="36"/>
        <v>528000</v>
      </c>
      <c r="AG14" s="198">
        <f t="shared" si="36"/>
        <v>672000</v>
      </c>
      <c r="AH14" s="198">
        <f t="shared" si="36"/>
        <v>832000</v>
      </c>
      <c r="AI14" s="198">
        <f t="shared" si="36"/>
        <v>211232</v>
      </c>
      <c r="AJ14" s="198">
        <f t="shared" si="36"/>
        <v>44000</v>
      </c>
      <c r="AK14" s="198">
        <f t="shared" si="36"/>
        <v>48000</v>
      </c>
      <c r="AL14" s="198">
        <f t="shared" si="36"/>
        <v>104000</v>
      </c>
      <c r="AM14" s="198">
        <f t="shared" si="36"/>
        <v>110000</v>
      </c>
      <c r="AN14" s="198">
        <f t="shared" si="36"/>
        <v>84000</v>
      </c>
      <c r="AO14" s="198">
        <f t="shared" si="36"/>
        <v>156000</v>
      </c>
      <c r="AP14" s="198">
        <f t="shared" si="36"/>
        <v>123200</v>
      </c>
      <c r="AQ14" s="198">
        <f t="shared" si="36"/>
        <v>144000</v>
      </c>
      <c r="AR14" s="198">
        <f t="shared" si="36"/>
        <v>208000</v>
      </c>
      <c r="AS14" s="198">
        <f t="shared" si="36"/>
        <v>132000</v>
      </c>
      <c r="AT14" s="198">
        <f t="shared" si="36"/>
        <v>192000</v>
      </c>
      <c r="AU14" s="198">
        <f t="shared" si="36"/>
        <v>234000</v>
      </c>
      <c r="AV14" s="198">
        <f t="shared" si="36"/>
        <v>550000</v>
      </c>
      <c r="AW14" s="198">
        <f t="shared" si="36"/>
        <v>480000</v>
      </c>
      <c r="AX14" s="198">
        <f t="shared" si="36"/>
        <v>572000</v>
      </c>
      <c r="AY14" s="198">
        <f t="shared" si="36"/>
        <v>728000</v>
      </c>
      <c r="AZ14" s="198">
        <f t="shared" si="36"/>
        <v>550000</v>
      </c>
      <c r="BA14" s="198">
        <f t="shared" si="36"/>
        <v>480000</v>
      </c>
      <c r="BB14" s="198">
        <f t="shared" si="36"/>
        <v>572000</v>
      </c>
      <c r="BC14" s="198">
        <f t="shared" si="36"/>
        <v>728000</v>
      </c>
    </row>
    <row r="15">
      <c r="A15" s="117"/>
      <c r="B15" s="1" t="s">
        <v>298</v>
      </c>
      <c r="C15" s="1"/>
      <c r="D15" s="1"/>
      <c r="E15" s="195">
        <f>IF(YEAR(E$1)=YEAR($AP$2),$AP$3*((12-MONTH($AP$2))/12),IF(YEAR($AP$2)+1=YEAR(E$1),$AP$3*(1+AE35),D15*(1+AE35)))</f>
        <v>0</v>
      </c>
      <c r="F15" s="195">
        <f t="shared" ref="F15:Z15" si="37">IF(YEAR(F$1)=YEAR($AP$2),$AP$3*((13-MONTH($AP$2))/12)*(1+AF35),IF(YEAR(F$1)=YEAR($AP$2)+1,E15/((13-MONTH($AP$2))/12)*(1+AF35),IF(YEAR(F$1)=YEAR($AP$2)+5,0,E15*(1+AF35))))</f>
        <v>0</v>
      </c>
      <c r="G15" s="195">
        <f t="shared" si="37"/>
        <v>0</v>
      </c>
      <c r="H15" s="195">
        <f t="shared" si="37"/>
        <v>0</v>
      </c>
      <c r="I15" s="195">
        <f t="shared" si="37"/>
        <v>0</v>
      </c>
      <c r="J15" s="195">
        <f t="shared" si="37"/>
        <v>0</v>
      </c>
      <c r="K15" s="195">
        <f t="shared" si="37"/>
        <v>0</v>
      </c>
      <c r="L15" s="195">
        <f t="shared" si="37"/>
        <v>0</v>
      </c>
      <c r="M15" s="195">
        <f t="shared" si="37"/>
        <v>0</v>
      </c>
      <c r="N15" s="195">
        <f t="shared" si="37"/>
        <v>0</v>
      </c>
      <c r="O15" s="195">
        <f t="shared" si="37"/>
        <v>0</v>
      </c>
      <c r="P15" s="195">
        <f t="shared" si="37"/>
        <v>0</v>
      </c>
      <c r="Q15" s="195">
        <f t="shared" si="37"/>
        <v>0</v>
      </c>
      <c r="R15" s="195">
        <f t="shared" si="37"/>
        <v>0</v>
      </c>
      <c r="S15" s="195">
        <f t="shared" si="37"/>
        <v>0</v>
      </c>
      <c r="T15" s="195">
        <f t="shared" si="37"/>
        <v>4513600</v>
      </c>
      <c r="U15" s="195">
        <f t="shared" si="37"/>
        <v>5222235.2</v>
      </c>
      <c r="V15" s="195">
        <f t="shared" si="37"/>
        <v>5974237.069</v>
      </c>
      <c r="W15" s="195">
        <f t="shared" si="37"/>
        <v>6750887.888</v>
      </c>
      <c r="X15" s="195">
        <f t="shared" si="37"/>
        <v>7540741.771</v>
      </c>
      <c r="Y15" s="195">
        <f t="shared" si="37"/>
        <v>0</v>
      </c>
      <c r="Z15" s="195">
        <f t="shared" si="37"/>
        <v>0</v>
      </c>
      <c r="AA15" s="1"/>
      <c r="AB15" s="1"/>
      <c r="AC15" s="1"/>
      <c r="AD15" s="1" t="s">
        <v>322</v>
      </c>
      <c r="AE15" s="197">
        <v>0.5</v>
      </c>
      <c r="AF15" s="197">
        <v>0.5</v>
      </c>
      <c r="AG15" s="197">
        <v>0.5</v>
      </c>
      <c r="AH15" s="197">
        <v>0.5</v>
      </c>
      <c r="AI15" s="197">
        <v>0.6</v>
      </c>
      <c r="AJ15" s="197">
        <v>0.6</v>
      </c>
      <c r="AK15" s="197">
        <v>0.6</v>
      </c>
      <c r="AL15" s="197">
        <v>0.6</v>
      </c>
      <c r="AM15" s="197">
        <v>0.6</v>
      </c>
      <c r="AN15" s="197">
        <v>0.6</v>
      </c>
      <c r="AO15" s="197">
        <v>0.6</v>
      </c>
      <c r="AP15" s="197">
        <v>0.6</v>
      </c>
      <c r="AQ15" s="197">
        <v>0.6</v>
      </c>
      <c r="AR15" s="197">
        <v>0.6</v>
      </c>
      <c r="AS15" s="197">
        <v>0.6</v>
      </c>
      <c r="AT15" s="197">
        <v>0.6</v>
      </c>
      <c r="AU15" s="197">
        <v>0.6</v>
      </c>
      <c r="AV15" s="197">
        <v>0.5</v>
      </c>
      <c r="AW15" s="197">
        <v>0.5</v>
      </c>
      <c r="AX15" s="197">
        <v>0.5</v>
      </c>
      <c r="AY15" s="197">
        <v>0.5</v>
      </c>
      <c r="AZ15" s="197">
        <v>0.5</v>
      </c>
      <c r="BA15" s="197">
        <v>0.5</v>
      </c>
      <c r="BB15" s="197">
        <v>0.5</v>
      </c>
      <c r="BC15" s="197">
        <v>0.5</v>
      </c>
    </row>
    <row r="16">
      <c r="A16" s="117"/>
      <c r="B16" s="1" t="s">
        <v>299</v>
      </c>
      <c r="C16" s="1"/>
      <c r="D16" s="1"/>
      <c r="E16" s="195">
        <f>IF(YEAR(E$1)=YEAR($AQ$2),$AQ$3*((12-MONTH($AQ$2))/12),IF(YEAR($AQ$2)+1=YEAR(E$1),$AQ$3*(1+AE36),D16*(1+AE36)))</f>
        <v>0</v>
      </c>
      <c r="F16" s="195">
        <f t="shared" ref="F16:X16" si="38">IF(YEAR(F$1)=YEAR($AQ$2),$AQ$3*((13-MONTH($AQ$2))/12)*(1+AF36),IF(YEAR(F$1)=YEAR($AQ$2)+1,E16/((13-MONTH($AQ$2))/12)*(1+AF36),IF(YEAR(F$1)=YEAR($AQ$2)+5,0,E16*(1+AF36))))</f>
        <v>0</v>
      </c>
      <c r="G16" s="195">
        <f t="shared" si="38"/>
        <v>0</v>
      </c>
      <c r="H16" s="195">
        <f t="shared" si="38"/>
        <v>0</v>
      </c>
      <c r="I16" s="195">
        <f t="shared" si="38"/>
        <v>0</v>
      </c>
      <c r="J16" s="195">
        <f t="shared" si="38"/>
        <v>0</v>
      </c>
      <c r="K16" s="195">
        <f t="shared" si="38"/>
        <v>0</v>
      </c>
      <c r="L16" s="195">
        <f t="shared" si="38"/>
        <v>0</v>
      </c>
      <c r="M16" s="195">
        <f t="shared" si="38"/>
        <v>0</v>
      </c>
      <c r="N16" s="195">
        <f t="shared" si="38"/>
        <v>0</v>
      </c>
      <c r="O16" s="195">
        <f t="shared" si="38"/>
        <v>0</v>
      </c>
      <c r="P16" s="195">
        <f t="shared" si="38"/>
        <v>0</v>
      </c>
      <c r="Q16" s="195">
        <f t="shared" si="38"/>
        <v>0</v>
      </c>
      <c r="R16" s="195">
        <f t="shared" si="38"/>
        <v>0</v>
      </c>
      <c r="S16" s="195">
        <f t="shared" si="38"/>
        <v>0</v>
      </c>
      <c r="T16" s="195">
        <f t="shared" si="38"/>
        <v>0</v>
      </c>
      <c r="U16" s="195">
        <f t="shared" si="38"/>
        <v>0</v>
      </c>
      <c r="V16" s="195">
        <f t="shared" si="38"/>
        <v>4836000</v>
      </c>
      <c r="W16" s="195">
        <f t="shared" si="38"/>
        <v>5595252</v>
      </c>
      <c r="X16" s="195">
        <f t="shared" si="38"/>
        <v>6400968.288</v>
      </c>
      <c r="Y16" s="195">
        <f t="shared" ref="Y16:Z16" si="39">IF(YEAR(Y$1)=YEAR($AQ$2),$AQ$3*((13-MONTH($AQ$2))/12)*(1+BG36),IF(YEAR(Y$1)=YEAR($AQ$2)+1,X16/((13-MONTH($AQ$2))/12)*(1+BG36),IF(YEAR(Y$1)=YEAR($AQ$2)+5,0,X16*(1+BG36))))</f>
        <v>6400968.288</v>
      </c>
      <c r="Z16" s="195">
        <f t="shared" si="39"/>
        <v>6400968.288</v>
      </c>
      <c r="AA16" s="1"/>
      <c r="AB16" s="1"/>
      <c r="AC16" s="1"/>
      <c r="AD16" s="1" t="s">
        <v>323</v>
      </c>
      <c r="AE16" s="197">
        <v>0.3</v>
      </c>
      <c r="AF16" s="197">
        <v>0.3</v>
      </c>
      <c r="AG16" s="197">
        <v>0.3</v>
      </c>
      <c r="AH16" s="197">
        <v>0.3</v>
      </c>
      <c r="AI16" s="197">
        <v>0.3</v>
      </c>
      <c r="AJ16" s="197">
        <v>0.3</v>
      </c>
      <c r="AK16" s="197">
        <v>0.3</v>
      </c>
      <c r="AL16" s="197">
        <v>0.3</v>
      </c>
      <c r="AM16" s="197">
        <v>0.3</v>
      </c>
      <c r="AN16" s="197">
        <v>0.3</v>
      </c>
      <c r="AO16" s="197">
        <v>0.3</v>
      </c>
      <c r="AP16" s="197">
        <v>0.3</v>
      </c>
      <c r="AQ16" s="197">
        <v>0.3</v>
      </c>
      <c r="AR16" s="197">
        <v>0.3</v>
      </c>
      <c r="AS16" s="197">
        <v>0.3</v>
      </c>
      <c r="AT16" s="197">
        <v>0.3</v>
      </c>
      <c r="AU16" s="197">
        <v>0.3</v>
      </c>
      <c r="AV16" s="197">
        <v>0.3</v>
      </c>
      <c r="AW16" s="197">
        <v>0.3</v>
      </c>
      <c r="AX16" s="197">
        <v>0.3</v>
      </c>
      <c r="AY16" s="197">
        <v>0.3</v>
      </c>
      <c r="AZ16" s="197">
        <v>0.3</v>
      </c>
      <c r="BA16" s="197">
        <v>0.3</v>
      </c>
      <c r="BB16" s="197">
        <v>0.3</v>
      </c>
      <c r="BC16" s="197">
        <v>0.3</v>
      </c>
    </row>
    <row r="17">
      <c r="A17" s="117"/>
      <c r="B17" s="1" t="s">
        <v>300</v>
      </c>
      <c r="C17" s="1"/>
      <c r="D17" s="1"/>
      <c r="E17" s="195">
        <f>IF(YEAR(E$1)=YEAR($AR$2),$AR$3*((12-MONTH($AR$2))/12),IF(YEAR($AR$2)+1=YEAR(E$1),$AR$3*(1+AE37),D17*(1+AE37)))</f>
        <v>0</v>
      </c>
      <c r="F17" s="195">
        <f t="shared" ref="F17:Z17" si="40">IF(YEAR(F$1)=YEAR($AR$2),$AR$3*((13-MONTH($AR$2))/12)*(1+AF37),IF(YEAR(F$1)=YEAR($AR$2)+1,E17/((13-MONTH($AR$2))/12)*(1+AF37),IF(YEAR(F$1)=YEAR($AR$2)+5,0,E17*(1+AF37))))</f>
        <v>0</v>
      </c>
      <c r="G17" s="195">
        <f t="shared" si="40"/>
        <v>0</v>
      </c>
      <c r="H17" s="195">
        <f t="shared" si="40"/>
        <v>0</v>
      </c>
      <c r="I17" s="195">
        <f t="shared" si="40"/>
        <v>0</v>
      </c>
      <c r="J17" s="195">
        <f t="shared" si="40"/>
        <v>0</v>
      </c>
      <c r="K17" s="195">
        <f t="shared" si="40"/>
        <v>0</v>
      </c>
      <c r="L17" s="195">
        <f t="shared" si="40"/>
        <v>0</v>
      </c>
      <c r="M17" s="195">
        <f t="shared" si="40"/>
        <v>0</v>
      </c>
      <c r="N17" s="195">
        <f t="shared" si="40"/>
        <v>0</v>
      </c>
      <c r="O17" s="195">
        <f t="shared" si="40"/>
        <v>0</v>
      </c>
      <c r="P17" s="195">
        <f t="shared" si="40"/>
        <v>0</v>
      </c>
      <c r="Q17" s="195">
        <f t="shared" si="40"/>
        <v>0</v>
      </c>
      <c r="R17" s="195">
        <f t="shared" si="40"/>
        <v>0</v>
      </c>
      <c r="S17" s="195">
        <f t="shared" si="40"/>
        <v>0</v>
      </c>
      <c r="T17" s="195">
        <f t="shared" si="40"/>
        <v>0</v>
      </c>
      <c r="U17" s="195">
        <f t="shared" si="40"/>
        <v>0</v>
      </c>
      <c r="V17" s="195">
        <f t="shared" si="40"/>
        <v>0</v>
      </c>
      <c r="W17" s="195">
        <f t="shared" si="40"/>
        <v>0</v>
      </c>
      <c r="X17" s="195">
        <f t="shared" si="40"/>
        <v>6448000</v>
      </c>
      <c r="Y17" s="195">
        <f t="shared" si="40"/>
        <v>7460336</v>
      </c>
      <c r="Z17" s="195">
        <f t="shared" si="40"/>
        <v>8534624.384</v>
      </c>
      <c r="AA17" s="1"/>
      <c r="AB17" s="1"/>
      <c r="AC17" s="1"/>
      <c r="AD17" s="1" t="s">
        <v>324</v>
      </c>
      <c r="AE17" s="202">
        <f t="shared" ref="AE17:BC17" si="41">1-SUM(AE15:AE16)</f>
        <v>0.2</v>
      </c>
      <c r="AF17" s="202">
        <f t="shared" si="41"/>
        <v>0.2</v>
      </c>
      <c r="AG17" s="202">
        <f t="shared" si="41"/>
        <v>0.2</v>
      </c>
      <c r="AH17" s="202">
        <f t="shared" si="41"/>
        <v>0.2</v>
      </c>
      <c r="AI17" s="202">
        <f t="shared" si="41"/>
        <v>0.1</v>
      </c>
      <c r="AJ17" s="202">
        <f t="shared" si="41"/>
        <v>0.1</v>
      </c>
      <c r="AK17" s="202">
        <f t="shared" si="41"/>
        <v>0.1</v>
      </c>
      <c r="AL17" s="202">
        <f t="shared" si="41"/>
        <v>0.1</v>
      </c>
      <c r="AM17" s="202">
        <f t="shared" si="41"/>
        <v>0.1</v>
      </c>
      <c r="AN17" s="202">
        <f t="shared" si="41"/>
        <v>0.1</v>
      </c>
      <c r="AO17" s="202">
        <f t="shared" si="41"/>
        <v>0.1</v>
      </c>
      <c r="AP17" s="202">
        <f t="shared" si="41"/>
        <v>0.1</v>
      </c>
      <c r="AQ17" s="202">
        <f t="shared" si="41"/>
        <v>0.1</v>
      </c>
      <c r="AR17" s="202">
        <f t="shared" si="41"/>
        <v>0.1</v>
      </c>
      <c r="AS17" s="202">
        <f t="shared" si="41"/>
        <v>0.1</v>
      </c>
      <c r="AT17" s="202">
        <f t="shared" si="41"/>
        <v>0.1</v>
      </c>
      <c r="AU17" s="202">
        <f t="shared" si="41"/>
        <v>0.1</v>
      </c>
      <c r="AV17" s="202">
        <f t="shared" si="41"/>
        <v>0.2</v>
      </c>
      <c r="AW17" s="202">
        <f t="shared" si="41"/>
        <v>0.2</v>
      </c>
      <c r="AX17" s="202">
        <f t="shared" si="41"/>
        <v>0.2</v>
      </c>
      <c r="AY17" s="202">
        <f t="shared" si="41"/>
        <v>0.2</v>
      </c>
      <c r="AZ17" s="202">
        <f t="shared" si="41"/>
        <v>0.2</v>
      </c>
      <c r="BA17" s="202">
        <f t="shared" si="41"/>
        <v>0.2</v>
      </c>
      <c r="BB17" s="202">
        <f t="shared" si="41"/>
        <v>0.2</v>
      </c>
      <c r="BC17" s="202">
        <f t="shared" si="41"/>
        <v>0.2</v>
      </c>
    </row>
    <row r="18">
      <c r="A18" s="117"/>
      <c r="B18" s="1" t="s">
        <v>301</v>
      </c>
      <c r="C18" s="1"/>
      <c r="D18" s="1"/>
      <c r="E18" s="195">
        <f>IF(YEAR(E$1)=YEAR($AS$2),$AS$3*((12-MONTH($AS$2))/12),IF(YEAR($AS$2)+1=YEAR(E$1),$AS$3*(1+AE37),D18*(1+AE37)))</f>
        <v>0</v>
      </c>
      <c r="F18" s="195">
        <f t="shared" ref="F18:G18" si="42">IF(YEAR(F$1)=YEAR($AS$2),$AS$3*((13-MONTH($AS$2))/12)*(1+AF37),IF(YEAR(F$1)=YEAR($AS$2)+1,E18/((13-MONTH($AS$2))/12)*(1+AF37),IF(YEAR(F$1)=YEAR($AS$2)+5,0,E18*(1+AF37))))</f>
        <v>0</v>
      </c>
      <c r="G18" s="195">
        <f t="shared" si="42"/>
        <v>0</v>
      </c>
      <c r="H18" s="195">
        <f t="shared" ref="H18:Z18" si="43">IF(YEAR(H$1)=YEAR($AS$2),$AS$3*((13-MONTH($AS$2))/12)*(1+AH38),IF(YEAR(H$1)=YEAR($AS$2)+1,G18/((13-MONTH($AS$2))/12)*(1+AH38),IF(YEAR(H$1)=YEAR($AS$2)+5,0,G18*(1+AH38))))</f>
        <v>0</v>
      </c>
      <c r="I18" s="195">
        <f t="shared" si="43"/>
        <v>0</v>
      </c>
      <c r="J18" s="195">
        <f t="shared" si="43"/>
        <v>0</v>
      </c>
      <c r="K18" s="195">
        <f t="shared" si="43"/>
        <v>0</v>
      </c>
      <c r="L18" s="195">
        <f t="shared" si="43"/>
        <v>0</v>
      </c>
      <c r="M18" s="195">
        <f t="shared" si="43"/>
        <v>0</v>
      </c>
      <c r="N18" s="195">
        <f t="shared" si="43"/>
        <v>0</v>
      </c>
      <c r="O18" s="195">
        <f t="shared" si="43"/>
        <v>0</v>
      </c>
      <c r="P18" s="195">
        <f t="shared" si="43"/>
        <v>0</v>
      </c>
      <c r="Q18" s="195">
        <f t="shared" si="43"/>
        <v>0</v>
      </c>
      <c r="R18" s="195">
        <f t="shared" si="43"/>
        <v>0</v>
      </c>
      <c r="S18" s="195">
        <f t="shared" si="43"/>
        <v>0</v>
      </c>
      <c r="T18" s="195">
        <f t="shared" si="43"/>
        <v>0</v>
      </c>
      <c r="U18" s="195">
        <f t="shared" si="43"/>
        <v>0</v>
      </c>
      <c r="V18" s="195">
        <f t="shared" si="43"/>
        <v>0</v>
      </c>
      <c r="W18" s="195">
        <f t="shared" si="43"/>
        <v>0</v>
      </c>
      <c r="X18" s="195">
        <f t="shared" si="43"/>
        <v>0</v>
      </c>
      <c r="Y18" s="195">
        <f t="shared" si="43"/>
        <v>0</v>
      </c>
      <c r="Z18" s="195">
        <f t="shared" si="43"/>
        <v>4836000</v>
      </c>
      <c r="AA18" s="1"/>
      <c r="AB18" s="1"/>
      <c r="AC18" s="1"/>
    </row>
    <row r="19">
      <c r="A19" s="117"/>
      <c r="B19" s="1" t="s">
        <v>302</v>
      </c>
      <c r="C19" s="1"/>
      <c r="D19" s="1"/>
      <c r="E19" s="195">
        <f>IF(YEAR(E$1)=YEAR($AT$2),$AT$3*((12-MONTH($AT$2))/12),IF(YEAR($AT$2)+1=YEAR(E$1),$AT$3*(1+AE38),D19*(1+AE38)))</f>
        <v>0</v>
      </c>
      <c r="F19" s="195">
        <f t="shared" ref="F19:G19" si="44">IF(YEAR(F$1)=YEAR($AT$2),$AT$3*((13-MONTH($AT$2))/12)*(1+AF38),IF(YEAR(F$1)=YEAR($AT$2)+1,E19/((13-MONTH($AT$2))/12)*(1+AF38),IF(YEAR(F$1)=YEAR($AT$2)+5,0,E19*(1+AF38))))</f>
        <v>0</v>
      </c>
      <c r="G19" s="195">
        <f t="shared" si="44"/>
        <v>0</v>
      </c>
      <c r="H19" s="195">
        <f t="shared" ref="H19:Z19" si="45">IF(YEAR(H$1)=YEAR($AT$2),$AT$3*((13-MONTH($AT$2))/12)*(1+AH39),IF(YEAR(H$1)=YEAR($AT$2)+1,G19/((13-MONTH($AT$2))/12)*(1+AH39),IF(YEAR(H$1)=YEAR($AT$2)+5,0,G19*(1+AH39))))</f>
        <v>0</v>
      </c>
      <c r="I19" s="195">
        <f t="shared" si="45"/>
        <v>0</v>
      </c>
      <c r="J19" s="195">
        <f t="shared" si="45"/>
        <v>0</v>
      </c>
      <c r="K19" s="195">
        <f t="shared" si="45"/>
        <v>0</v>
      </c>
      <c r="L19" s="195">
        <f t="shared" si="45"/>
        <v>0</v>
      </c>
      <c r="M19" s="195">
        <f t="shared" si="45"/>
        <v>0</v>
      </c>
      <c r="N19" s="195">
        <f t="shared" si="45"/>
        <v>0</v>
      </c>
      <c r="O19" s="195">
        <f t="shared" si="45"/>
        <v>0</v>
      </c>
      <c r="P19" s="195">
        <f t="shared" si="45"/>
        <v>0</v>
      </c>
      <c r="Q19" s="195">
        <f t="shared" si="45"/>
        <v>0</v>
      </c>
      <c r="R19" s="195">
        <f t="shared" si="45"/>
        <v>0</v>
      </c>
      <c r="S19" s="195">
        <f t="shared" si="45"/>
        <v>0</v>
      </c>
      <c r="T19" s="195">
        <f t="shared" si="45"/>
        <v>0</v>
      </c>
      <c r="U19" s="195">
        <f t="shared" si="45"/>
        <v>0</v>
      </c>
      <c r="V19" s="195">
        <f t="shared" si="45"/>
        <v>0</v>
      </c>
      <c r="W19" s="195">
        <f t="shared" si="45"/>
        <v>0</v>
      </c>
      <c r="X19" s="195">
        <f t="shared" si="45"/>
        <v>0</v>
      </c>
      <c r="Y19" s="195">
        <f t="shared" si="45"/>
        <v>0</v>
      </c>
      <c r="Z19" s="195">
        <f t="shared" si="45"/>
        <v>0</v>
      </c>
      <c r="AA19" s="1"/>
      <c r="AB19" s="1"/>
      <c r="AC19" s="1"/>
      <c r="AD19" s="1"/>
      <c r="AE19" s="130"/>
      <c r="AF19" s="1"/>
      <c r="AG19" s="1"/>
      <c r="AH19" s="1"/>
      <c r="AI19" s="1"/>
      <c r="AJ19" s="1"/>
      <c r="AK19" s="1"/>
      <c r="AL19" s="1"/>
      <c r="AM19" s="1"/>
      <c r="AN19" s="1"/>
      <c r="AO19" s="1"/>
      <c r="AP19" s="1">
        <f>1372*1.91</f>
        <v>2620.52</v>
      </c>
      <c r="AQ19" s="1"/>
      <c r="AR19" s="1"/>
      <c r="AS19" s="1"/>
      <c r="AT19" s="1"/>
      <c r="AU19" s="1"/>
      <c r="AV19" s="1"/>
      <c r="AW19" s="1"/>
      <c r="AX19" s="1"/>
      <c r="AY19" s="1"/>
      <c r="AZ19" s="1"/>
      <c r="BA19" s="1"/>
      <c r="BB19" s="1"/>
      <c r="BC19" s="1"/>
    </row>
    <row r="20">
      <c r="A20" s="117"/>
      <c r="B20" s="1" t="s">
        <v>303</v>
      </c>
      <c r="C20" s="1"/>
      <c r="D20" s="1"/>
      <c r="E20" s="195">
        <f>IF(YEAR(E$1)=YEAR($AU$2),$AU$3*((12-MONTH($AU$2))/12),IF(YEAR($AU$2)+1=YEAR(E$1),$AU$3*(1+AE40),D20*(1+AE40)))</f>
        <v>0</v>
      </c>
      <c r="F20" s="195">
        <f t="shared" ref="F20:Z20" si="46">IF(YEAR(F$1)=YEAR($AU$2),$AU$3*((13-MONTH($AU$2))/12)*(1+AF40),IF(YEAR(F$1)=YEAR($AU$2)+1,E20/((13-MONTH($AU$2))/12)*(1+AF40),IF(YEAR(F$1)=YEAR($AU$2)+5,0,E20*(1+AF40))))</f>
        <v>0</v>
      </c>
      <c r="G20" s="195">
        <f t="shared" si="46"/>
        <v>0</v>
      </c>
      <c r="H20" s="195">
        <f t="shared" si="46"/>
        <v>0</v>
      </c>
      <c r="I20" s="195">
        <f t="shared" si="46"/>
        <v>0</v>
      </c>
      <c r="J20" s="195">
        <f t="shared" si="46"/>
        <v>0</v>
      </c>
      <c r="K20" s="195">
        <f t="shared" si="46"/>
        <v>0</v>
      </c>
      <c r="L20" s="195">
        <f t="shared" si="46"/>
        <v>0</v>
      </c>
      <c r="M20" s="195">
        <f t="shared" si="46"/>
        <v>0</v>
      </c>
      <c r="N20" s="195">
        <f t="shared" si="46"/>
        <v>0</v>
      </c>
      <c r="O20" s="195">
        <f t="shared" si="46"/>
        <v>0</v>
      </c>
      <c r="P20" s="195">
        <f t="shared" si="46"/>
        <v>0</v>
      </c>
      <c r="Q20" s="195">
        <f t="shared" si="46"/>
        <v>0</v>
      </c>
      <c r="R20" s="195">
        <f t="shared" si="46"/>
        <v>0</v>
      </c>
      <c r="S20" s="195">
        <f t="shared" si="46"/>
        <v>0</v>
      </c>
      <c r="T20" s="195">
        <f t="shared" si="46"/>
        <v>0</v>
      </c>
      <c r="U20" s="195">
        <f t="shared" si="46"/>
        <v>0</v>
      </c>
      <c r="V20" s="195">
        <f t="shared" si="46"/>
        <v>0</v>
      </c>
      <c r="W20" s="195">
        <f t="shared" si="46"/>
        <v>0</v>
      </c>
      <c r="X20" s="195">
        <f t="shared" si="46"/>
        <v>0</v>
      </c>
      <c r="Y20" s="195">
        <f t="shared" si="46"/>
        <v>0</v>
      </c>
      <c r="Z20" s="195">
        <f t="shared" si="46"/>
        <v>0</v>
      </c>
      <c r="AA20" s="1"/>
      <c r="AB20" s="1"/>
      <c r="AC20" s="1"/>
      <c r="AD20" s="1"/>
      <c r="AE20" s="1"/>
      <c r="AF20" s="130"/>
      <c r="AG20" s="1"/>
      <c r="AH20" s="1"/>
      <c r="AI20" s="1"/>
      <c r="AJ20" s="1"/>
      <c r="AK20" s="1"/>
      <c r="AL20" s="1"/>
      <c r="AM20" s="1"/>
      <c r="AN20" s="1"/>
      <c r="AO20" s="1"/>
      <c r="AP20" s="1"/>
      <c r="AQ20" s="1"/>
      <c r="AR20" s="1"/>
      <c r="AS20" s="1"/>
      <c r="AT20" s="1"/>
      <c r="AU20" s="1"/>
      <c r="AV20" s="1"/>
      <c r="AW20" s="1"/>
      <c r="AX20" s="1"/>
      <c r="AY20" s="1"/>
      <c r="AZ20" s="1"/>
      <c r="BA20" s="1"/>
      <c r="BB20" s="1"/>
      <c r="BC20" s="1"/>
    </row>
    <row r="21" ht="15.75" customHeight="1">
      <c r="A21" s="117"/>
      <c r="B21" s="204" t="s">
        <v>98</v>
      </c>
      <c r="C21" s="205">
        <f t="shared" ref="C21:Z21" si="47">SUM(C3:C20)</f>
        <v>14964005</v>
      </c>
      <c r="D21" s="205">
        <f t="shared" si="47"/>
        <v>14695757</v>
      </c>
      <c r="E21" s="206">
        <f t="shared" si="47"/>
        <v>16283610.63</v>
      </c>
      <c r="F21" s="206">
        <f t="shared" si="47"/>
        <v>40272422.08</v>
      </c>
      <c r="G21" s="206">
        <f t="shared" si="47"/>
        <v>67497092.2</v>
      </c>
      <c r="H21" s="206">
        <f t="shared" si="47"/>
        <v>82580796.57</v>
      </c>
      <c r="I21" s="206">
        <f t="shared" si="47"/>
        <v>105996990.9</v>
      </c>
      <c r="J21" s="206">
        <f t="shared" si="47"/>
        <v>121216304</v>
      </c>
      <c r="K21" s="206">
        <f t="shared" si="47"/>
        <v>130009860.3</v>
      </c>
      <c r="L21" s="206">
        <f t="shared" si="47"/>
        <v>128078516.2</v>
      </c>
      <c r="M21" s="206">
        <f t="shared" si="47"/>
        <v>147182014.7</v>
      </c>
      <c r="N21" s="206">
        <f t="shared" si="47"/>
        <v>146105229.8</v>
      </c>
      <c r="O21" s="206">
        <f t="shared" si="47"/>
        <v>163963625</v>
      </c>
      <c r="P21" s="206">
        <f t="shared" si="47"/>
        <v>158393297</v>
      </c>
      <c r="Q21" s="206">
        <f t="shared" si="47"/>
        <v>171834033.4</v>
      </c>
      <c r="R21" s="206">
        <f t="shared" si="47"/>
        <v>165279411.9</v>
      </c>
      <c r="S21" s="206">
        <f t="shared" si="47"/>
        <v>178042309.8</v>
      </c>
      <c r="T21" s="206">
        <f t="shared" si="47"/>
        <v>176395183.3</v>
      </c>
      <c r="U21" s="206">
        <f t="shared" si="47"/>
        <v>194317307.3</v>
      </c>
      <c r="V21" s="206">
        <f t="shared" si="47"/>
        <v>195732896.3</v>
      </c>
      <c r="W21" s="206">
        <f t="shared" si="47"/>
        <v>211013408.1</v>
      </c>
      <c r="X21" s="206">
        <f t="shared" si="47"/>
        <v>216632572.2</v>
      </c>
      <c r="Y21" s="206">
        <f t="shared" si="47"/>
        <v>230163726.9</v>
      </c>
      <c r="Z21" s="206">
        <f t="shared" si="47"/>
        <v>229708274.2</v>
      </c>
      <c r="AC21" s="1"/>
      <c r="AD21" s="1"/>
      <c r="AE21" s="187">
        <v>44562.0</v>
      </c>
      <c r="AF21" s="187">
        <v>44927.0</v>
      </c>
      <c r="AG21" s="187">
        <v>45292.0</v>
      </c>
      <c r="AH21" s="187">
        <v>45658.0</v>
      </c>
      <c r="AI21" s="187">
        <v>46023.0</v>
      </c>
      <c r="AJ21" s="187">
        <v>46388.0</v>
      </c>
      <c r="AK21" s="187">
        <v>46753.0</v>
      </c>
      <c r="AL21" s="187">
        <v>47119.0</v>
      </c>
      <c r="AM21" s="187">
        <v>47484.0</v>
      </c>
      <c r="AN21" s="187">
        <v>47849.0</v>
      </c>
      <c r="AO21" s="187">
        <v>48214.0</v>
      </c>
      <c r="AP21" s="187">
        <v>48610.0</v>
      </c>
      <c r="AQ21" s="187">
        <v>49006.0</v>
      </c>
      <c r="AR21" s="187">
        <v>49402.0</v>
      </c>
      <c r="AS21" s="187">
        <v>49798.0</v>
      </c>
      <c r="AT21" s="187">
        <v>50194.0</v>
      </c>
      <c r="AU21" s="187">
        <v>50589.0</v>
      </c>
      <c r="AV21" s="187">
        <v>50985.0</v>
      </c>
      <c r="AW21" s="187">
        <v>51382.0</v>
      </c>
      <c r="AX21" s="187">
        <v>51777.0</v>
      </c>
      <c r="AY21" s="187">
        <v>52173.0</v>
      </c>
      <c r="AZ21" s="187">
        <v>52568.0</v>
      </c>
      <c r="BA21" s="187"/>
      <c r="BB21" s="187"/>
      <c r="BC21" s="187"/>
    </row>
    <row r="22" ht="15.75" customHeight="1">
      <c r="A22" s="117"/>
      <c r="B22" s="1" t="s">
        <v>325</v>
      </c>
      <c r="C22" s="1"/>
      <c r="D22" s="198">
        <f t="shared" ref="D22:Z22" si="48">D21-C21</f>
        <v>-268248</v>
      </c>
      <c r="E22" s="195">
        <f t="shared" si="48"/>
        <v>1587853.631</v>
      </c>
      <c r="F22" s="195">
        <f t="shared" si="48"/>
        <v>23988811.45</v>
      </c>
      <c r="G22" s="195">
        <f t="shared" si="48"/>
        <v>27224670.12</v>
      </c>
      <c r="H22" s="195">
        <f t="shared" si="48"/>
        <v>15083704.38</v>
      </c>
      <c r="I22" s="195">
        <f t="shared" si="48"/>
        <v>23416194.28</v>
      </c>
      <c r="J22" s="195">
        <f t="shared" si="48"/>
        <v>15219313.1</v>
      </c>
      <c r="K22" s="195">
        <f t="shared" si="48"/>
        <v>8793556.394</v>
      </c>
      <c r="L22" s="195">
        <f t="shared" si="48"/>
        <v>-1931344.121</v>
      </c>
      <c r="M22" s="195">
        <f t="shared" si="48"/>
        <v>19103498.47</v>
      </c>
      <c r="N22" s="195">
        <f t="shared" si="48"/>
        <v>-1076784.858</v>
      </c>
      <c r="O22" s="195">
        <f t="shared" si="48"/>
        <v>17858395.19</v>
      </c>
      <c r="P22" s="195">
        <f t="shared" si="48"/>
        <v>-5570328.049</v>
      </c>
      <c r="Q22" s="195">
        <f t="shared" si="48"/>
        <v>13440736.41</v>
      </c>
      <c r="R22" s="195">
        <f t="shared" si="48"/>
        <v>-6554621.518</v>
      </c>
      <c r="S22" s="195">
        <f t="shared" si="48"/>
        <v>12762897.91</v>
      </c>
      <c r="T22" s="195">
        <f t="shared" si="48"/>
        <v>-1647126.479</v>
      </c>
      <c r="U22" s="195">
        <f t="shared" si="48"/>
        <v>17922123.98</v>
      </c>
      <c r="V22" s="195">
        <f t="shared" si="48"/>
        <v>1415589.031</v>
      </c>
      <c r="W22" s="195">
        <f t="shared" si="48"/>
        <v>15280511.75</v>
      </c>
      <c r="X22" s="195">
        <f t="shared" si="48"/>
        <v>5619164.167</v>
      </c>
      <c r="Y22" s="195">
        <f t="shared" si="48"/>
        <v>13531154.61</v>
      </c>
      <c r="Z22" s="195">
        <f t="shared" si="48"/>
        <v>-455452.6076</v>
      </c>
      <c r="AC22" s="1"/>
      <c r="AD22" s="1" t="s">
        <v>326</v>
      </c>
      <c r="AE22" s="1"/>
      <c r="AF22" s="130"/>
      <c r="AG22" s="1"/>
      <c r="AH22" s="1"/>
      <c r="AI22" s="1"/>
      <c r="AJ22" s="1"/>
      <c r="AK22" s="1"/>
      <c r="AL22" s="1"/>
      <c r="AM22" s="1"/>
      <c r="AN22" s="1"/>
      <c r="AO22" s="1"/>
      <c r="AP22" s="1"/>
      <c r="AQ22" s="1"/>
      <c r="AR22" s="1"/>
      <c r="AS22" s="1"/>
      <c r="AT22" s="1"/>
      <c r="AU22" s="1"/>
      <c r="AV22" s="1"/>
      <c r="AW22" s="1"/>
      <c r="AX22" s="1"/>
      <c r="AY22" s="1"/>
      <c r="AZ22" s="1"/>
      <c r="BA22" s="1"/>
      <c r="BB22" s="1"/>
      <c r="BC22" s="1"/>
    </row>
    <row r="23" ht="15.75" customHeight="1">
      <c r="A23" s="117"/>
      <c r="B23" s="1" t="s">
        <v>51</v>
      </c>
      <c r="C23" s="1"/>
      <c r="D23" s="207">
        <f t="shared" ref="D23:Z23" si="49">D21/C21-1</f>
        <v>-0.01792621695</v>
      </c>
      <c r="E23" s="207">
        <f t="shared" si="49"/>
        <v>0.1080484408</v>
      </c>
      <c r="F23" s="207">
        <f t="shared" si="49"/>
        <v>1.473187488</v>
      </c>
      <c r="G23" s="207">
        <f t="shared" si="49"/>
        <v>0.6760127332</v>
      </c>
      <c r="H23" s="207">
        <f t="shared" si="49"/>
        <v>0.2234719139</v>
      </c>
      <c r="I23" s="207">
        <f t="shared" si="49"/>
        <v>0.2835549577</v>
      </c>
      <c r="J23" s="207">
        <f t="shared" si="49"/>
        <v>0.1435825015</v>
      </c>
      <c r="K23" s="207">
        <f t="shared" si="49"/>
        <v>0.07254433692</v>
      </c>
      <c r="L23" s="207">
        <f t="shared" si="49"/>
        <v>-0.01485536648</v>
      </c>
      <c r="M23" s="207">
        <f t="shared" si="49"/>
        <v>0.1491545892</v>
      </c>
      <c r="N23" s="207">
        <f t="shared" si="49"/>
        <v>-0.007316008416</v>
      </c>
      <c r="O23" s="207">
        <f t="shared" si="49"/>
        <v>0.122229678</v>
      </c>
      <c r="P23" s="207">
        <f t="shared" si="49"/>
        <v>-0.03397295008</v>
      </c>
      <c r="Q23" s="207">
        <f t="shared" si="49"/>
        <v>0.08485672482</v>
      </c>
      <c r="R23" s="207">
        <f t="shared" si="49"/>
        <v>-0.03814507166</v>
      </c>
      <c r="S23" s="207">
        <f t="shared" si="49"/>
        <v>0.07722013145</v>
      </c>
      <c r="T23" s="207">
        <f t="shared" si="49"/>
        <v>-0.009251320546</v>
      </c>
      <c r="U23" s="207">
        <f t="shared" si="49"/>
        <v>0.1016021166</v>
      </c>
      <c r="V23" s="207">
        <f t="shared" si="49"/>
        <v>0.0072849354</v>
      </c>
      <c r="W23" s="207">
        <f t="shared" si="49"/>
        <v>0.07806818391</v>
      </c>
      <c r="X23" s="207">
        <f t="shared" si="49"/>
        <v>0.02662941762</v>
      </c>
      <c r="Y23" s="207">
        <f t="shared" si="49"/>
        <v>0.06246131165</v>
      </c>
      <c r="Z23" s="207">
        <f t="shared" si="49"/>
        <v>-0.001978820094</v>
      </c>
      <c r="AA23" s="1" t="s">
        <v>327</v>
      </c>
      <c r="AB23" s="1" t="s">
        <v>328</v>
      </c>
      <c r="AC23" s="1" t="s">
        <v>329</v>
      </c>
      <c r="AD23" s="1" t="s">
        <v>330</v>
      </c>
      <c r="AE23" s="1"/>
      <c r="AF23" s="197"/>
      <c r="AG23" s="1"/>
      <c r="AH23" s="1"/>
      <c r="AI23" s="1"/>
      <c r="AJ23" s="1"/>
      <c r="AK23" s="197">
        <v>0.05</v>
      </c>
      <c r="AL23" s="197">
        <v>0.05</v>
      </c>
      <c r="AM23" s="197">
        <v>0.05</v>
      </c>
      <c r="AN23" s="197">
        <v>0.05</v>
      </c>
      <c r="AO23" s="197">
        <v>0.05</v>
      </c>
      <c r="AP23" s="197">
        <v>0.05</v>
      </c>
      <c r="AQ23" s="197">
        <v>0.05</v>
      </c>
      <c r="AR23" s="197">
        <v>0.05</v>
      </c>
      <c r="AS23" s="197">
        <v>0.05</v>
      </c>
      <c r="AT23" s="197">
        <v>0.05</v>
      </c>
      <c r="AU23" s="197">
        <v>0.05</v>
      </c>
      <c r="AV23" s="197">
        <v>0.05</v>
      </c>
      <c r="AW23" s="197">
        <v>0.05</v>
      </c>
      <c r="AX23" s="197">
        <v>0.05</v>
      </c>
      <c r="AY23" s="197">
        <v>0.05</v>
      </c>
      <c r="AZ23" s="197">
        <v>0.05</v>
      </c>
      <c r="BA23" s="197"/>
      <c r="BB23" s="197"/>
      <c r="BC23" s="197"/>
    </row>
    <row r="24" ht="15.75" customHeight="1">
      <c r="A24" s="117"/>
      <c r="B24" s="1"/>
      <c r="C24" s="1"/>
      <c r="D24" s="1"/>
      <c r="E24" s="1"/>
      <c r="F24" s="1"/>
      <c r="G24" s="1"/>
      <c r="H24" s="1"/>
      <c r="I24" s="1"/>
      <c r="J24" s="1"/>
      <c r="K24" s="137"/>
      <c r="L24" s="137"/>
      <c r="M24" s="137"/>
      <c r="N24" s="137"/>
      <c r="O24" s="137"/>
      <c r="P24" s="137"/>
      <c r="Q24" s="137"/>
      <c r="R24" s="137"/>
      <c r="S24" s="1"/>
      <c r="T24" s="1"/>
      <c r="U24" s="1"/>
      <c r="V24" s="1"/>
      <c r="W24" s="1"/>
      <c r="X24" s="1"/>
      <c r="Y24" s="1"/>
      <c r="Z24" s="1"/>
      <c r="AA24" s="1" t="s">
        <v>331</v>
      </c>
      <c r="AB24" s="208">
        <v>0.612</v>
      </c>
      <c r="AC24" s="1" t="s">
        <v>332</v>
      </c>
      <c r="AD24" s="1" t="s">
        <v>333</v>
      </c>
      <c r="AE24" s="197"/>
      <c r="AF24" s="197">
        <f t="shared" ref="AF24:AZ24" si="50">IF(YEAR(AF$21)=YEAR($AE$2),$AB$24,IF(YEAR(AF$21)=YEAR($AE$2)+1,$AB$25,IF(YEAR(AF$21)=YEAR($AE$2)+2,$AB$26,IF(YEAR(AF$21)=YEAR($AE$2)+3,$AB$27,IF(YEAR(AF$21)=YEAR($AE$2)+4,$AB$28,IF(YEAR(AF$21)=YEAR($AV$2),$AB$24,IF(YEAR(AF$21)=YEAR($AV$2)+1,$AB$25,IF(YEAR(AF$21)=YEAR($AV$2)+2,$AB$26,IF(YEAR(AF$21)=YEAR($AV$2)+3,$AB$27,IF(YEAR(AF$21)=YEAR($AV$2)+4,$AB$28,IF(YEAR(AF$21)=YEAR($AZ$2),$AB$24,IF(YEAR(AF$21)=YEAR($AZ$2)+1,$AB$25,IF(YEAR(AF$21)=YEAR($AZ$2)+2,$AB$26,IF(YEAR(AF$21)=YEAR($AZ$2)+3,$AB$27,IF(YEAR(AF$21)=YEAR($AZ$2)+4,$AB$28,$AB$29)))))))))))))))</f>
        <v>0.06</v>
      </c>
      <c r="AG24" s="197">
        <f t="shared" si="50"/>
        <v>0.612</v>
      </c>
      <c r="AH24" s="197">
        <f t="shared" si="50"/>
        <v>0.157</v>
      </c>
      <c r="AI24" s="197">
        <f t="shared" si="50"/>
        <v>0.144</v>
      </c>
      <c r="AJ24" s="197">
        <f t="shared" si="50"/>
        <v>0.13</v>
      </c>
      <c r="AK24" s="197">
        <f t="shared" si="50"/>
        <v>0.117</v>
      </c>
      <c r="AL24" s="197">
        <f t="shared" si="50"/>
        <v>0.06</v>
      </c>
      <c r="AM24" s="197">
        <f t="shared" si="50"/>
        <v>0.06</v>
      </c>
      <c r="AN24" s="197">
        <f t="shared" si="50"/>
        <v>0.06</v>
      </c>
      <c r="AO24" s="197">
        <f t="shared" si="50"/>
        <v>0.612</v>
      </c>
      <c r="AP24" s="197">
        <f t="shared" si="50"/>
        <v>0.157</v>
      </c>
      <c r="AQ24" s="197">
        <f t="shared" si="50"/>
        <v>0.144</v>
      </c>
      <c r="AR24" s="197">
        <f t="shared" si="50"/>
        <v>0.13</v>
      </c>
      <c r="AS24" s="197">
        <f t="shared" si="50"/>
        <v>0.117</v>
      </c>
      <c r="AT24" s="197">
        <f t="shared" si="50"/>
        <v>0.06</v>
      </c>
      <c r="AU24" s="197">
        <f t="shared" si="50"/>
        <v>0.06</v>
      </c>
      <c r="AV24" s="197">
        <f t="shared" si="50"/>
        <v>0.06</v>
      </c>
      <c r="AW24" s="197">
        <f t="shared" si="50"/>
        <v>0.612</v>
      </c>
      <c r="AX24" s="197">
        <f t="shared" si="50"/>
        <v>0.157</v>
      </c>
      <c r="AY24" s="197">
        <f t="shared" si="50"/>
        <v>0.144</v>
      </c>
      <c r="AZ24" s="197">
        <f t="shared" si="50"/>
        <v>0.13</v>
      </c>
      <c r="BA24" s="197"/>
      <c r="BB24" s="197"/>
      <c r="BC24" s="197"/>
    </row>
    <row r="25" ht="15.75" customHeight="1">
      <c r="A25" s="117"/>
      <c r="B25" s="1" t="s">
        <v>334</v>
      </c>
      <c r="C25" s="131">
        <f>Summary!DV25</f>
        <v>261381</v>
      </c>
      <c r="D25" s="131">
        <f>Summary!DW25</f>
        <v>278353</v>
      </c>
      <c r="E25" s="195">
        <f>Summary!DX25</f>
        <v>442755.8737</v>
      </c>
      <c r="F25" s="195">
        <f>Summary!DY25</f>
        <v>3160720.855</v>
      </c>
      <c r="G25" s="195">
        <f>Summary!DZ25</f>
        <v>6195769.799</v>
      </c>
      <c r="H25" s="195">
        <f>Summary!EA25</f>
        <v>9873612.652</v>
      </c>
      <c r="I25" s="195">
        <f>Summary!EB25</f>
        <v>17950875.6</v>
      </c>
      <c r="J25" s="195">
        <f>Summary!EC25</f>
        <v>23782701.13</v>
      </c>
      <c r="K25" s="195">
        <f t="shared" ref="K25:Z25" si="51">J25*(1+AK42)</f>
        <v>24971836.19</v>
      </c>
      <c r="L25" s="195">
        <f t="shared" si="51"/>
        <v>26220428</v>
      </c>
      <c r="M25" s="195">
        <f t="shared" si="51"/>
        <v>27531449.4</v>
      </c>
      <c r="N25" s="195">
        <f t="shared" si="51"/>
        <v>28908021.87</v>
      </c>
      <c r="O25" s="195">
        <f t="shared" si="51"/>
        <v>30353422.96</v>
      </c>
      <c r="P25" s="195">
        <f t="shared" si="51"/>
        <v>31871094.11</v>
      </c>
      <c r="Q25" s="195">
        <f t="shared" si="51"/>
        <v>33464648.81</v>
      </c>
      <c r="R25" s="195">
        <f t="shared" si="51"/>
        <v>35137881.26</v>
      </c>
      <c r="S25" s="195">
        <f t="shared" si="51"/>
        <v>36894775.32</v>
      </c>
      <c r="T25" s="195">
        <f t="shared" si="51"/>
        <v>38739514.08</v>
      </c>
      <c r="U25" s="195">
        <f t="shared" si="51"/>
        <v>40676489.79</v>
      </c>
      <c r="V25" s="195">
        <f t="shared" si="51"/>
        <v>42710314.28</v>
      </c>
      <c r="W25" s="195">
        <f t="shared" si="51"/>
        <v>44845829.99</v>
      </c>
      <c r="X25" s="195">
        <f t="shared" si="51"/>
        <v>47088121.49</v>
      </c>
      <c r="Y25" s="195">
        <f t="shared" si="51"/>
        <v>49442527.57</v>
      </c>
      <c r="Z25" s="195">
        <f t="shared" si="51"/>
        <v>51914653.94</v>
      </c>
      <c r="AA25" s="1" t="s">
        <v>335</v>
      </c>
      <c r="AB25" s="208">
        <v>0.157</v>
      </c>
      <c r="AC25" s="1" t="s">
        <v>288</v>
      </c>
      <c r="AD25" s="1" t="s">
        <v>333</v>
      </c>
      <c r="AE25" s="197"/>
      <c r="AF25" s="197">
        <f t="shared" ref="AF25:AZ25" si="52">IF(YEAR(AF$21)=YEAR($AF$2),$AB$24,IF(YEAR(AF$21)=YEAR($AF$2)+1,$AB$25,IF(YEAR(AF$21)=YEAR($AF$2)+2,$AB$26,IF(YEAR(AF$21)=YEAR($AF$2)+3,$AB$27,IF(YEAR(AF$21)=YEAR($AF$2)+4,$AB$28,IF(YEAR(AF$21)=YEAR($AW$2),$AB$24,IF(YEAR(AF$21)=YEAR($AW$2)+1,$AB$25,IF(YEAR(AF$21)=YEAR($AW$2)+2,$AB$26,IF(YEAR(AF$21)=YEAR($AW$2)+3,$AB$27,IF(YEAR(AF$21)=YEAR($AW$2)+4,$AB$28,IF(YEAR(AF$21)=YEAR($BA$2),$AB$24,IF(YEAR(AF$21)=YEAR($BA$2)+1,$AB$25,IF(YEAR(AF$21)=YEAR($BA$2)+2,$AB$26,IF(YEAR(AF$21)=YEAR($BA$2)+3,$AB$27,IF(YEAR(AF$21)=YEAR($BA$2)+4,$AB$28,$AB$29)))))))))))))))</f>
        <v>0.06</v>
      </c>
      <c r="AG25" s="197">
        <f t="shared" si="52"/>
        <v>0.06</v>
      </c>
      <c r="AH25" s="197">
        <f t="shared" si="52"/>
        <v>0.06</v>
      </c>
      <c r="AI25" s="197">
        <f t="shared" si="52"/>
        <v>0.612</v>
      </c>
      <c r="AJ25" s="197">
        <f t="shared" si="52"/>
        <v>0.157</v>
      </c>
      <c r="AK25" s="197">
        <f t="shared" si="52"/>
        <v>0.144</v>
      </c>
      <c r="AL25" s="197">
        <f t="shared" si="52"/>
        <v>0.13</v>
      </c>
      <c r="AM25" s="197">
        <f t="shared" si="52"/>
        <v>0.117</v>
      </c>
      <c r="AN25" s="197">
        <f t="shared" si="52"/>
        <v>0.06</v>
      </c>
      <c r="AO25" s="197">
        <f t="shared" si="52"/>
        <v>0.06</v>
      </c>
      <c r="AP25" s="197">
        <f t="shared" si="52"/>
        <v>0.06</v>
      </c>
      <c r="AQ25" s="197">
        <f t="shared" si="52"/>
        <v>0.612</v>
      </c>
      <c r="AR25" s="197">
        <f t="shared" si="52"/>
        <v>0.157</v>
      </c>
      <c r="AS25" s="197">
        <f t="shared" si="52"/>
        <v>0.144</v>
      </c>
      <c r="AT25" s="197">
        <f t="shared" si="52"/>
        <v>0.13</v>
      </c>
      <c r="AU25" s="197">
        <f t="shared" si="52"/>
        <v>0.117</v>
      </c>
      <c r="AV25" s="197">
        <f t="shared" si="52"/>
        <v>0.06</v>
      </c>
      <c r="AW25" s="197">
        <f t="shared" si="52"/>
        <v>0.06</v>
      </c>
      <c r="AX25" s="197">
        <f t="shared" si="52"/>
        <v>0.06</v>
      </c>
      <c r="AY25" s="197">
        <f t="shared" si="52"/>
        <v>0.612</v>
      </c>
      <c r="AZ25" s="197">
        <f t="shared" si="52"/>
        <v>0.157</v>
      </c>
      <c r="BA25" s="197"/>
      <c r="BB25" s="197"/>
      <c r="BC25" s="197"/>
    </row>
    <row r="26" ht="15.75" customHeight="1">
      <c r="A26" s="122"/>
      <c r="B26" s="1" t="s">
        <v>332</v>
      </c>
      <c r="C26" s="1"/>
      <c r="D26" s="1"/>
      <c r="E26" s="195">
        <f>IF(YEAR(E$1)=YEAR($AE$2),$AE$5*((12-MONTH($AE$2))/12),IF(YEAR($AE$2)+1=YEAR(E$1),$AE$5*(1+AE43),D26*(1+AE43)))</f>
        <v>0</v>
      </c>
      <c r="F26" s="195">
        <f t="shared" ref="F26:Z26" si="53">IF(YEAR(F$1)=YEAR($AE$2),$AE$5*((13-MONTH($AE$2))/12)*(1+AF43),IF(YEAR(F$1)=YEAR($AE$2)+1,E26/((13-MONTH($AE$2))/12)*(1+AF43),IF(YEAR(F$1)&gt;=YEAR($AE$2)+5,0,E26*(1+AF43))))+IF(YEAR(F$1)=YEAR($AV$2),$AV$5*((13-MONTH($AV$2))/12)*(1+AF43),IF(YEAR(F$1)=YEAR($AV$2)+1,E26/((13-MONTH($AV$2))/12)*(1+AF43),IF(YEAR(F$1)&gt;=YEAR($AV$2)+5,0,IF(YEAR(F$1)&lt;YEAR($AV$2),0,E26*(1+AF43)))))</f>
        <v>0</v>
      </c>
      <c r="G26" s="195">
        <f t="shared" si="53"/>
        <v>2897000</v>
      </c>
      <c r="H26" s="195">
        <f t="shared" si="53"/>
        <v>3559543.9</v>
      </c>
      <c r="I26" s="195">
        <f t="shared" si="53"/>
        <v>4347270.965</v>
      </c>
      <c r="J26" s="195">
        <f t="shared" si="53"/>
        <v>4606368.315</v>
      </c>
      <c r="K26" s="195">
        <f t="shared" si="53"/>
        <v>4877222.771</v>
      </c>
      <c r="L26" s="195">
        <f t="shared" si="53"/>
        <v>0</v>
      </c>
      <c r="M26" s="195">
        <f t="shared" si="53"/>
        <v>0</v>
      </c>
      <c r="N26" s="195">
        <f t="shared" si="53"/>
        <v>0</v>
      </c>
      <c r="O26" s="195">
        <f t="shared" si="53"/>
        <v>3621250</v>
      </c>
      <c r="P26" s="195">
        <f t="shared" si="53"/>
        <v>4449429.875</v>
      </c>
      <c r="Q26" s="195">
        <f t="shared" si="53"/>
        <v>5434088.706</v>
      </c>
      <c r="R26" s="195">
        <f t="shared" si="53"/>
        <v>5757960.393</v>
      </c>
      <c r="S26" s="195">
        <f t="shared" si="53"/>
        <v>6096528.464</v>
      </c>
      <c r="T26" s="195">
        <f t="shared" si="53"/>
        <v>0</v>
      </c>
      <c r="U26" s="195">
        <f t="shared" si="53"/>
        <v>0</v>
      </c>
      <c r="V26" s="195">
        <f t="shared" si="53"/>
        <v>0</v>
      </c>
      <c r="W26" s="195">
        <f t="shared" si="53"/>
        <v>0</v>
      </c>
      <c r="X26" s="195">
        <f t="shared" si="53"/>
        <v>0</v>
      </c>
      <c r="Y26" s="195">
        <f t="shared" si="53"/>
        <v>0</v>
      </c>
      <c r="Z26" s="195">
        <f t="shared" si="53"/>
        <v>0</v>
      </c>
      <c r="AA26" s="1" t="s">
        <v>336</v>
      </c>
      <c r="AB26" s="208">
        <v>0.144</v>
      </c>
      <c r="AC26" s="1" t="s">
        <v>289</v>
      </c>
      <c r="AD26" s="1" t="s">
        <v>333</v>
      </c>
      <c r="AE26" s="197"/>
      <c r="AF26" s="197">
        <f t="shared" ref="AF26:AN26" si="54">IF(YEAR(AF$21)=YEAR($AG$2),$AB$24,IF(YEAR(AF$21)=YEAR($AG$2)+1,$AB$25,IF(YEAR(AF$21)=YEAR($AG$2)+2,$AB$26,IF(YEAR(AF$21)=YEAR($AG$2)+3,$AB$27,IF(YEAR(AF$21)=YEAR($AG$2)+4,$AB$28,$AB$29)))))</f>
        <v>0.06</v>
      </c>
      <c r="AG26" s="197">
        <f t="shared" si="54"/>
        <v>0.06</v>
      </c>
      <c r="AH26" s="197">
        <f t="shared" si="54"/>
        <v>0.06</v>
      </c>
      <c r="AI26" s="197">
        <f t="shared" si="54"/>
        <v>0.06</v>
      </c>
      <c r="AJ26" s="197">
        <f t="shared" si="54"/>
        <v>0.06</v>
      </c>
      <c r="AK26" s="197">
        <f t="shared" si="54"/>
        <v>0.612</v>
      </c>
      <c r="AL26" s="197">
        <f t="shared" si="54"/>
        <v>0.157</v>
      </c>
      <c r="AM26" s="197">
        <f t="shared" si="54"/>
        <v>0.144</v>
      </c>
      <c r="AN26" s="197">
        <f t="shared" si="54"/>
        <v>0.13</v>
      </c>
      <c r="AO26" s="197">
        <f t="shared" ref="AO26:AZ26" si="55">IF(YEAR(AO$21)=YEAR($AG$2),$AB$24,IF(YEAR(AO$21)=YEAR($AG$2)+1,$AB$25,IF(YEAR(AO$21)=YEAR($AG$2)+2,$AB$26,IF(YEAR(AO$21)=YEAR($AG$2)+3,$AB$27,IF(YEAR(AO$21)=YEAR($AG$2)+4,$AB$28,IF(YEAR(AO$21)=YEAR($AX$2),$AB$24,IF(YEAR(AO$21)=YEAR($AX$2)+1,$AB$25,IF(YEAR(AO$21)=YEAR($AX$2)+2,$AB$26,IF(YEAR(AO$21)=YEAR($AX$2)+3,$AB$27,IF(YEAR(AO$21)=YEAR($AX$2)+4,$AB$28,$AB$29))))))))))</f>
        <v>0.117</v>
      </c>
      <c r="AP26" s="197">
        <f t="shared" si="55"/>
        <v>0.06</v>
      </c>
      <c r="AQ26" s="197">
        <f t="shared" si="55"/>
        <v>0.06</v>
      </c>
      <c r="AR26" s="197">
        <f t="shared" si="55"/>
        <v>0.06</v>
      </c>
      <c r="AS26" s="197">
        <f t="shared" si="55"/>
        <v>0.612</v>
      </c>
      <c r="AT26" s="197">
        <f t="shared" si="55"/>
        <v>0.157</v>
      </c>
      <c r="AU26" s="197">
        <f t="shared" si="55"/>
        <v>0.144</v>
      </c>
      <c r="AV26" s="197">
        <f t="shared" si="55"/>
        <v>0.13</v>
      </c>
      <c r="AW26" s="197">
        <f t="shared" si="55"/>
        <v>0.117</v>
      </c>
      <c r="AX26" s="197">
        <f t="shared" si="55"/>
        <v>0.06</v>
      </c>
      <c r="AY26" s="197">
        <f t="shared" si="55"/>
        <v>0.06</v>
      </c>
      <c r="AZ26" s="197">
        <f t="shared" si="55"/>
        <v>0.06</v>
      </c>
      <c r="BA26" s="197"/>
      <c r="BB26" s="197"/>
      <c r="BC26" s="197"/>
    </row>
    <row r="27" ht="15.75" customHeight="1">
      <c r="A27" s="1"/>
      <c r="B27" s="1" t="s">
        <v>288</v>
      </c>
      <c r="C27" s="1"/>
      <c r="D27" s="1"/>
      <c r="E27" s="195">
        <f>IF(YEAR(E$1)=YEAR($AF$2),$AG$5*((12-MONTH($AF$2))/12),IF(YEAR($AF$2)+1=YEAR(E$1),$AF$5*(1+AE44),D27*(1+AE44)))</f>
        <v>0</v>
      </c>
      <c r="F27" s="195">
        <f t="shared" ref="F27:Z27" si="56">IF(YEAR(F$1)=YEAR($AF$2),$AF$5*((13-MONTH($AF$2))/12)*(1+AF44),IF(YEAR(F$1)=YEAR($AF$2)+1,E27/((13-MONTH($AF$2))/12)*(1+AF44),IF(YEAR(F$1)&gt;=YEAR($AF$2)+5,0,E27*(1+AF44))))+IF(YEAR(F$1)=YEAR($AW$2),$AW$5*((13-MONTH($AW$2))/12)*(1+AF44),IF(YEAR(F$1)=YEAR($AW$2)+1,E27/((13-MONTH($AW$2))/12)*(1+AF44),IF(YEAR(F$1)&gt;=YEAR($AW$2)+5,0,IF(YEAR(F$1)&lt;YEAR($AW$2),0,E27*(1+AF44)))))</f>
        <v>0</v>
      </c>
      <c r="G27" s="195">
        <f t="shared" si="56"/>
        <v>0</v>
      </c>
      <c r="H27" s="195">
        <f t="shared" si="56"/>
        <v>0</v>
      </c>
      <c r="I27" s="195">
        <f t="shared" si="56"/>
        <v>3122966</v>
      </c>
      <c r="J27" s="195">
        <f t="shared" si="56"/>
        <v>3837188.324</v>
      </c>
      <c r="K27" s="195">
        <f t="shared" si="56"/>
        <v>4686358.1</v>
      </c>
      <c r="L27" s="195">
        <f t="shared" si="56"/>
        <v>4965665.043</v>
      </c>
      <c r="M27" s="195">
        <f t="shared" si="56"/>
        <v>5257646.148</v>
      </c>
      <c r="N27" s="195">
        <f t="shared" si="56"/>
        <v>0</v>
      </c>
      <c r="O27" s="195">
        <f t="shared" si="56"/>
        <v>0</v>
      </c>
      <c r="P27" s="195">
        <f t="shared" si="56"/>
        <v>0</v>
      </c>
      <c r="Q27" s="195">
        <f t="shared" si="56"/>
        <v>2839060</v>
      </c>
      <c r="R27" s="195">
        <f t="shared" si="56"/>
        <v>3488353.022</v>
      </c>
      <c r="S27" s="195">
        <f t="shared" si="56"/>
        <v>4260325.546</v>
      </c>
      <c r="T27" s="195">
        <f t="shared" si="56"/>
        <v>4514240.948</v>
      </c>
      <c r="U27" s="195">
        <f t="shared" si="56"/>
        <v>4779678.316</v>
      </c>
      <c r="V27" s="195">
        <f t="shared" si="56"/>
        <v>0</v>
      </c>
      <c r="W27" s="195">
        <f t="shared" si="56"/>
        <v>0</v>
      </c>
      <c r="X27" s="195">
        <f t="shared" si="56"/>
        <v>0</v>
      </c>
      <c r="Y27" s="195">
        <f t="shared" si="56"/>
        <v>0</v>
      </c>
      <c r="Z27" s="195">
        <f t="shared" si="56"/>
        <v>0</v>
      </c>
      <c r="AA27" s="1" t="s">
        <v>337</v>
      </c>
      <c r="AB27" s="208">
        <v>0.13</v>
      </c>
      <c r="AC27" s="1" t="s">
        <v>290</v>
      </c>
      <c r="AD27" s="1" t="s">
        <v>333</v>
      </c>
      <c r="AE27" s="197"/>
      <c r="AF27" s="197">
        <f t="shared" ref="AF27:AN27" si="57">IF(YEAR(AF$21)=YEAR($AH$2),$AB$24,IF(YEAR(AF$21)=YEAR($AH$2)+1,$AB$25,IF(YEAR(AF$21)=YEAR($AH$2)+2,$AB$26,IF(YEAR(AF$21)=YEAR($AH$2)+3,$AB$27,IF(YEAR(AF$21)=YEAR($AH$2)+4,$AB$28,$AB$29)))))</f>
        <v>0.06</v>
      </c>
      <c r="AG27" s="197">
        <f t="shared" si="57"/>
        <v>0.06</v>
      </c>
      <c r="AH27" s="197">
        <f t="shared" si="57"/>
        <v>0.06</v>
      </c>
      <c r="AI27" s="197">
        <f t="shared" si="57"/>
        <v>0.06</v>
      </c>
      <c r="AJ27" s="197">
        <f t="shared" si="57"/>
        <v>0.06</v>
      </c>
      <c r="AK27" s="197">
        <f t="shared" si="57"/>
        <v>0.06</v>
      </c>
      <c r="AL27" s="197">
        <f t="shared" si="57"/>
        <v>0.06</v>
      </c>
      <c r="AM27" s="197">
        <f t="shared" si="57"/>
        <v>0.612</v>
      </c>
      <c r="AN27" s="197">
        <f t="shared" si="57"/>
        <v>0.157</v>
      </c>
      <c r="AO27" s="197">
        <f t="shared" ref="AO27:AZ27" si="58">IF(YEAR(AO$21)=YEAR($AH$2),$AB$24,IF(YEAR(AO$21)=YEAR($AH$2)+1,$AB$25,IF(YEAR(AO$21)=YEAR($AH$2)+2,$AB$26,IF(YEAR(AO$21)=YEAR($AH$2)+3,$AB$27,IF(YEAR(AO$21)=YEAR($AH$2)+4,$AB$28,IF(YEAR(AO$21)=YEAR($AY$2),$AB$24,IF(YEAR(AO$21)=YEAR($AY$2)+1,$AB$25,IF(YEAR(AO$21)=YEAR($AY$2)+2,$AB$26,IF(YEAR(AO$21)=YEAR($AY$2)+3,$AB$27,IF(YEAR(AO$21)=YEAR($AY$2)+4,$AB$28,$AB$29))))))))))</f>
        <v>0.144</v>
      </c>
      <c r="AP27" s="197">
        <f t="shared" si="58"/>
        <v>0.13</v>
      </c>
      <c r="AQ27" s="197">
        <f t="shared" si="58"/>
        <v>0.117</v>
      </c>
      <c r="AR27" s="197">
        <f t="shared" si="58"/>
        <v>0.06</v>
      </c>
      <c r="AS27" s="197">
        <f t="shared" si="58"/>
        <v>0.06</v>
      </c>
      <c r="AT27" s="197">
        <f t="shared" si="58"/>
        <v>0.06</v>
      </c>
      <c r="AU27" s="197">
        <f t="shared" si="58"/>
        <v>0.612</v>
      </c>
      <c r="AV27" s="197">
        <f t="shared" si="58"/>
        <v>0.157</v>
      </c>
      <c r="AW27" s="197">
        <f t="shared" si="58"/>
        <v>0.144</v>
      </c>
      <c r="AX27" s="197">
        <f t="shared" si="58"/>
        <v>0.13</v>
      </c>
      <c r="AY27" s="197">
        <f t="shared" si="58"/>
        <v>0.117</v>
      </c>
      <c r="AZ27" s="197">
        <f t="shared" si="58"/>
        <v>0.06</v>
      </c>
      <c r="BA27" s="197"/>
      <c r="BB27" s="197"/>
      <c r="BC27" s="197"/>
    </row>
    <row r="28" ht="15.75" customHeight="1">
      <c r="A28" s="117"/>
      <c r="B28" s="1" t="s">
        <v>289</v>
      </c>
      <c r="C28" s="1"/>
      <c r="D28" s="1"/>
      <c r="E28" s="209">
        <f>IF(YEAR(E$1)=YEAR($AG$2),$AG$5*((12-MONTH($AG$2))/12),IF(YEAR($AG$2)+1=YEAR(E$1),$AG$5*(1+AE45),D28*(1+AE45)))</f>
        <v>0</v>
      </c>
      <c r="F28" s="195">
        <f t="shared" ref="F28:J28" si="59">IF(YEAR(F$1)=YEAR($AG$2),$AG$5*((13-MONTH($AG$2))/12)*(1+AF45),IF(YEAR(F$1)=YEAR($AG$2)+1,E28/((13-MONTH($AG$2))/12)*(1+AF45),IF(YEAR(F$1)&gt;=YEAR($AG$2)+5,0,E28*(1+AF45))))+IF(YEAR(F$1)=YEAR($AY$2),$AY$5*((13-MONTH($AY$2))/12)*(1+AF45),IF(YEAR(F$1)=YEAR($AY$2)+1,E28/((13-MONTH($AY$2))/12)*(1+AF45),IF(YEAR(F$1)&gt;=YEAR($AY$2)+5,0,IF(YEAR(F$1)&lt;YEAR($AY$2),0,E28*(1+AF45)))))</f>
        <v>0</v>
      </c>
      <c r="G28" s="195">
        <f t="shared" si="59"/>
        <v>0</v>
      </c>
      <c r="H28" s="195">
        <f t="shared" si="59"/>
        <v>0</v>
      </c>
      <c r="I28" s="195">
        <f t="shared" si="59"/>
        <v>0</v>
      </c>
      <c r="J28" s="195">
        <f t="shared" si="59"/>
        <v>0</v>
      </c>
      <c r="K28" s="195">
        <f t="shared" ref="K28:X28" si="60">IF(YEAR(K$1)=YEAR($AG$2),$AG$5*((13-MONTH($AG$2))/12)*(1+AK45),IF(YEAR(K$1)=YEAR($AG$2)+1,J28/((13-MONTH($AG$2))/12)*(1+AK45),IF(YEAR(K$1)&gt;=YEAR($AG$2)+5,0,J28*(1+AK45))))+IF(YEAR(K$1)=YEAR($AX$2),$AX$5*((13-MONTH($AX$2))/12)*(1+AK45),IF(YEAR(K$1)=YEAR($AX$2)+1,J28/((13-MONTH($AX$2))/12)*(1+AK45),IF(YEAR(K$1)&gt;=YEAR($AX$2)+5,0,IF(YEAR(K$1)&lt;YEAR($AX$2),0,J28*(1+AK45)))))</f>
        <v>3650220</v>
      </c>
      <c r="L28" s="195">
        <f t="shared" si="60"/>
        <v>4485025.314</v>
      </c>
      <c r="M28" s="195">
        <f t="shared" si="60"/>
        <v>5477561.416</v>
      </c>
      <c r="N28" s="195">
        <f t="shared" si="60"/>
        <v>5804024.076</v>
      </c>
      <c r="O28" s="195">
        <f t="shared" si="60"/>
        <v>6145300.692</v>
      </c>
      <c r="P28" s="195">
        <f t="shared" si="60"/>
        <v>0</v>
      </c>
      <c r="Q28" s="195">
        <f t="shared" si="60"/>
        <v>0</v>
      </c>
      <c r="R28" s="195">
        <f t="shared" si="60"/>
        <v>0</v>
      </c>
      <c r="S28" s="195">
        <f t="shared" si="60"/>
        <v>2868030</v>
      </c>
      <c r="T28" s="195">
        <f t="shared" si="60"/>
        <v>3523948.461</v>
      </c>
      <c r="U28" s="195">
        <f t="shared" si="60"/>
        <v>4303798.255</v>
      </c>
      <c r="V28" s="195">
        <f t="shared" si="60"/>
        <v>4560304.631</v>
      </c>
      <c r="W28" s="195">
        <f t="shared" si="60"/>
        <v>4828450.544</v>
      </c>
      <c r="X28" s="195">
        <f t="shared" si="60"/>
        <v>0</v>
      </c>
      <c r="Y28" s="195">
        <f>IF(YEAR(Y$1)=YEAR($AG$2),$AG$5*((13-MONTH($AG$2))/12)*(1+AX45),IF(YEAR(Y$1)=YEAR($AG$2)+1,X28/((13-MONTH($AG$2))/12)*(1+AX45),IF(YEAR(Y$1)&gt;=YEAR($AG$2)+5,0,X28*(1+AX45))))+IF(YEAR(Y$1)=YEAR($AX$2),$AX$5*((13-MONTH($AX$2))/12)*(1+AX45),IF(YEAR(Y$1)=YEAR($AX$2)+1,X28/((13-MONTH($AX$2))/12)*(1+AX45),IF(YEAR(Y$1)&gt;=YEAR($AX$2)+5,0,IF(YEAR(Y$1)&lt;YEAR($AX$2),0,X28*(1+AX45)))))</f>
        <v>0</v>
      </c>
      <c r="Z28" s="195">
        <f>IF(YEAR(Z$1)=YEAR($AG$2),$AG$5*((13-MONTH($AG$2))/12)*(1+AZ45),IF(YEAR(Z$1)=YEAR($AG$2)+1,Y28/((13-MONTH($AG$2))/12)*(1+AZ45),IF(YEAR(Z$1)&gt;=YEAR($AG$2)+5,0,Y28*(1+AZ45))))+IF(YEAR(Z$1)=YEAR($AX$2),$AX$5*((13-MONTH($AX$2))/12)*(1+AZ45),IF(YEAR(Z$1)=YEAR($AX$2)+1,Y28/((13-MONTH($AX$2))/12)*(1+AZ45),IF(YEAR(Z$1)&gt;=YEAR($AX$2)+5,0,IF(YEAR(Z$1)&lt;YEAR($AX$2),0,Y28*(1+AZ45)))))</f>
        <v>0</v>
      </c>
      <c r="AA28" s="1" t="s">
        <v>338</v>
      </c>
      <c r="AB28" s="208">
        <v>0.117</v>
      </c>
      <c r="AC28" s="1" t="s">
        <v>314</v>
      </c>
      <c r="AD28" s="1" t="s">
        <v>333</v>
      </c>
      <c r="AE28" s="197"/>
      <c r="AF28" s="197">
        <f t="shared" ref="AF28:AZ28" si="61">IF(YEAR(AF$21)=YEAR($AI$2),$AB$24,IF(YEAR(AF$21)=YEAR($AI$2)+1,$AB$25,IF(YEAR(AF$21)=YEAR($AI$2)+2,$AB$26,IF(YEAR(AF$21)=YEAR($AI$2)+3,$AB$27,IF(YEAR(AF$21)=YEAR($AI$2)+4,$AB$28,$AB$29)))))</f>
        <v>0.612</v>
      </c>
      <c r="AG28" s="197">
        <f t="shared" si="61"/>
        <v>0.157</v>
      </c>
      <c r="AH28" s="197">
        <f t="shared" si="61"/>
        <v>0.144</v>
      </c>
      <c r="AI28" s="197">
        <f t="shared" si="61"/>
        <v>0.13</v>
      </c>
      <c r="AJ28" s="197">
        <f t="shared" si="61"/>
        <v>0.117</v>
      </c>
      <c r="AK28" s="197">
        <f t="shared" si="61"/>
        <v>0.06</v>
      </c>
      <c r="AL28" s="197">
        <f t="shared" si="61"/>
        <v>0.06</v>
      </c>
      <c r="AM28" s="197">
        <f t="shared" si="61"/>
        <v>0.06</v>
      </c>
      <c r="AN28" s="197">
        <f t="shared" si="61"/>
        <v>0.06</v>
      </c>
      <c r="AO28" s="197">
        <f t="shared" si="61"/>
        <v>0.06</v>
      </c>
      <c r="AP28" s="197">
        <f t="shared" si="61"/>
        <v>0.06</v>
      </c>
      <c r="AQ28" s="197">
        <f t="shared" si="61"/>
        <v>0.06</v>
      </c>
      <c r="AR28" s="197">
        <f t="shared" si="61"/>
        <v>0.06</v>
      </c>
      <c r="AS28" s="197">
        <f t="shared" si="61"/>
        <v>0.06</v>
      </c>
      <c r="AT28" s="197">
        <f t="shared" si="61"/>
        <v>0.06</v>
      </c>
      <c r="AU28" s="197">
        <f t="shared" si="61"/>
        <v>0.06</v>
      </c>
      <c r="AV28" s="197">
        <f t="shared" si="61"/>
        <v>0.06</v>
      </c>
      <c r="AW28" s="197">
        <f t="shared" si="61"/>
        <v>0.06</v>
      </c>
      <c r="AX28" s="197">
        <f t="shared" si="61"/>
        <v>0.06</v>
      </c>
      <c r="AY28" s="197">
        <f t="shared" si="61"/>
        <v>0.06</v>
      </c>
      <c r="AZ28" s="197">
        <f t="shared" si="61"/>
        <v>0.06</v>
      </c>
      <c r="BA28" s="197"/>
      <c r="BB28" s="197"/>
      <c r="BC28" s="197"/>
    </row>
    <row r="29" ht="15.75" customHeight="1">
      <c r="A29" s="117"/>
      <c r="B29" s="1" t="s">
        <v>290</v>
      </c>
      <c r="C29" s="1"/>
      <c r="D29" s="1"/>
      <c r="E29" s="209">
        <f>IF(YEAR(E$1)=YEAR($AH$2),$AH$5*((12-MONTH($AH$2))/12),IF(YEAR($AH$2)+1=YEAR(E$1),$AH$5*(1+AE46),D29*(1+AE46)))</f>
        <v>0</v>
      </c>
      <c r="F29" s="195">
        <f t="shared" ref="F29:K29" si="62">IF(YEAR(F$1)=YEAR($AH$2),$AH$5*((13-MONTH($AH$2))/12)*(1+AF46),IF(YEAR(F$1)=YEAR($AH$2)+1,E29/((13-MONTH($AH$2))/12)*(1+AF46),IF(YEAR(F$1)&gt;=YEAR($AH$2)+5,0,E29*(1+AF46))))+IF(YEAR(F$1)=YEAR($AX$2),$AX$5*((13-MONTH($AX$2))/12)*(1+AF46),IF(YEAR(F$1)=YEAR($AX$2)+1,E29/((13-MONTH($AX$2))/12)*(1+AF46),IF(YEAR(F$1)&gt;=YEAR($AX$2)+5,0,IF(YEAR(F$1)&lt;YEAR($AX$2),0,E29*(1+AF46)))))</f>
        <v>0</v>
      </c>
      <c r="G29" s="195">
        <f t="shared" si="62"/>
        <v>0</v>
      </c>
      <c r="H29" s="195">
        <f t="shared" si="62"/>
        <v>0</v>
      </c>
      <c r="I29" s="195">
        <f t="shared" si="62"/>
        <v>0</v>
      </c>
      <c r="J29" s="195">
        <f t="shared" si="62"/>
        <v>0</v>
      </c>
      <c r="K29" s="195">
        <f t="shared" si="62"/>
        <v>0</v>
      </c>
      <c r="L29" s="195">
        <f t="shared" ref="L29:W29" si="63">IF(YEAR(L$1)=YEAR($AH$2),$AH$5*((13-MONTH($AH$2))/12)*(1+AL46),IF(YEAR(L$1)=YEAR($AH$2)+1,K29/((13-MONTH($AH$2))/12)*(1+AL46),IF(YEAR(L$1)&gt;=YEAR($AH$2)+5,0,K29*(1+AL46))))+IF(YEAR(L$1)=YEAR($AY$2),$AY$5*((13-MONTH($AY$2))/12)*(1+AL46),IF(YEAR(L$1)=YEAR($AY$2)+1,K29/((13-MONTH($AY$2))/12)*(1+AL46),IF(YEAR(L$1)&gt;=YEAR($AY$2)+5,0,IF(YEAR(L$1)&lt;YEAR($AY$2),0,K29*(1+AL46)))))</f>
        <v>0</v>
      </c>
      <c r="M29" s="195">
        <f t="shared" si="63"/>
        <v>3708160</v>
      </c>
      <c r="N29" s="195">
        <f t="shared" si="63"/>
        <v>4556216.192</v>
      </c>
      <c r="O29" s="195">
        <f t="shared" si="63"/>
        <v>5564506.835</v>
      </c>
      <c r="P29" s="195">
        <f t="shared" si="63"/>
        <v>5896151.443</v>
      </c>
      <c r="Q29" s="195">
        <f t="shared" si="63"/>
        <v>6242845.148</v>
      </c>
      <c r="R29" s="195">
        <f t="shared" si="63"/>
        <v>0</v>
      </c>
      <c r="S29" s="195">
        <f t="shared" si="63"/>
        <v>0</v>
      </c>
      <c r="T29" s="195">
        <f t="shared" si="63"/>
        <v>0</v>
      </c>
      <c r="U29" s="195">
        <f t="shared" si="63"/>
        <v>3244640</v>
      </c>
      <c r="V29" s="195">
        <f t="shared" si="63"/>
        <v>3986689.168</v>
      </c>
      <c r="W29" s="195">
        <f t="shared" si="63"/>
        <v>4868943.481</v>
      </c>
      <c r="X29" s="195">
        <f>IF(YEAR(X$1)=YEAR($AH$2),$AH$5*((13-MONTH($AH$2))/12)*(1+AY46),IF(YEAR(X$1)=YEAR($AH$2)+1,W29/((13-MONTH($AH$2))/12)*(1+AY46),IF(YEAR(X$1)&gt;=YEAR($AH$2)+5,0,W29*(1+AY46))))+IF(YEAR(X$1)=YEAR($AY$2),$AY$5*((13-MONTH($AY$2))/12)*(1+AY46),IF(YEAR(X$1)=YEAR($AY$2)+1,W29/((13-MONTH($AY$2))/12)*(1+AY46),IF(YEAR(X$1)&gt;=YEAR($AY$2)+5,0,IF(YEAR(X$1)&lt;YEAR($AY$2),0,W29*(1+AY46)))))</f>
        <v>5155237.358</v>
      </c>
      <c r="Y29" s="195">
        <f t="shared" ref="Y29:Z29" si="64">IF(YEAR(Y$1)=YEAR($AH$2),$AH$5*((13-MONTH($AH$2))/12)*(1+AY46),IF(YEAR(Y$1)=YEAR($AH$2)+1,X29/((13-MONTH($AH$2))/12)*(1+AY46),IF(YEAR(Y$1)&gt;=YEAR($AH$2)+5,0,X29*(1+AY46))))+IF(YEAR(Y$1)=YEAR($AY$2),$AY$5*((13-MONTH($AY$2))/12)*(1+AY46),IF(YEAR(Y$1)=YEAR($AY$2)+1,X29/((13-MONTH($AY$2))/12)*(1+AY46),IF(YEAR(Y$1)&gt;=YEAR($AY$2)+5,0,IF(YEAR(Y$1)&lt;YEAR($AY$2),0,X29*(1+AY46)))))</f>
        <v>5458365.314</v>
      </c>
      <c r="Z29" s="195">
        <f t="shared" si="64"/>
        <v>0</v>
      </c>
      <c r="AA29" s="1" t="s">
        <v>339</v>
      </c>
      <c r="AB29" s="208">
        <v>0.06</v>
      </c>
      <c r="AC29" s="1" t="s">
        <v>292</v>
      </c>
      <c r="AD29" s="1" t="s">
        <v>333</v>
      </c>
      <c r="AE29" s="197"/>
      <c r="AF29" s="197">
        <f t="shared" ref="AF29:AZ29" si="65">IF(YEAR(AF$21)=YEAR($AJ$2),$AB$24,IF(YEAR(AF$21)=YEAR($AJ$2)+1,$AB$25,IF(YEAR(AF$21)=YEAR($AJ$2)+2,$AB$26,IF(YEAR(AF$21)=YEAR($AJ$2)+3,$AB$27,IF(YEAR(AF$21)=YEAR($AJ$2)+4,$AB$28,$AB$29)))))</f>
        <v>0.06</v>
      </c>
      <c r="AG29" s="197">
        <f t="shared" si="65"/>
        <v>0.06</v>
      </c>
      <c r="AH29" s="197">
        <f t="shared" si="65"/>
        <v>0.612</v>
      </c>
      <c r="AI29" s="197">
        <f t="shared" si="65"/>
        <v>0.157</v>
      </c>
      <c r="AJ29" s="197">
        <f t="shared" si="65"/>
        <v>0.144</v>
      </c>
      <c r="AK29" s="197">
        <f t="shared" si="65"/>
        <v>0.13</v>
      </c>
      <c r="AL29" s="197">
        <f t="shared" si="65"/>
        <v>0.117</v>
      </c>
      <c r="AM29" s="197">
        <f t="shared" si="65"/>
        <v>0.06</v>
      </c>
      <c r="AN29" s="197">
        <f t="shared" si="65"/>
        <v>0.06</v>
      </c>
      <c r="AO29" s="197">
        <f t="shared" si="65"/>
        <v>0.06</v>
      </c>
      <c r="AP29" s="197">
        <f t="shared" si="65"/>
        <v>0.06</v>
      </c>
      <c r="AQ29" s="197">
        <f t="shared" si="65"/>
        <v>0.06</v>
      </c>
      <c r="AR29" s="197">
        <f t="shared" si="65"/>
        <v>0.06</v>
      </c>
      <c r="AS29" s="197">
        <f t="shared" si="65"/>
        <v>0.06</v>
      </c>
      <c r="AT29" s="197">
        <f t="shared" si="65"/>
        <v>0.06</v>
      </c>
      <c r="AU29" s="197">
        <f t="shared" si="65"/>
        <v>0.06</v>
      </c>
      <c r="AV29" s="197">
        <f t="shared" si="65"/>
        <v>0.06</v>
      </c>
      <c r="AW29" s="197">
        <f t="shared" si="65"/>
        <v>0.06</v>
      </c>
      <c r="AX29" s="197">
        <f t="shared" si="65"/>
        <v>0.06</v>
      </c>
      <c r="AY29" s="197">
        <f t="shared" si="65"/>
        <v>0.06</v>
      </c>
      <c r="AZ29" s="197">
        <f t="shared" si="65"/>
        <v>0.06</v>
      </c>
      <c r="BA29" s="197"/>
      <c r="BB29" s="197"/>
      <c r="BC29" s="197"/>
    </row>
    <row r="30" ht="15.75" customHeight="1">
      <c r="A30" s="117"/>
      <c r="B30" s="1" t="s">
        <v>314</v>
      </c>
      <c r="C30" s="1"/>
      <c r="D30" s="1"/>
      <c r="E30" s="195">
        <f>IF(YEAR(E$1)=YEAR($AI$2),$AI$3*((12-MONTH($AI$2))/12),IF(YEAR($AI$2)+1=YEAR(E$1),$AI$3*(1+AE50),D30*(1+AE50)))</f>
        <v>0</v>
      </c>
      <c r="F30" s="195">
        <f>IF(YEAR(F$1)=YEAR($AI$2),$AI$5*((13-MONTH($AI$2))/12)*(1+AF47),IF(YEAR(F$1)=YEAR($AI$2)+1,E30/((13-MONTH($AI$2))/12)*(1+AF47),E30*(1+AF47)))</f>
        <v>1525476.766</v>
      </c>
      <c r="G30" s="195">
        <f t="shared" ref="G30:Z30" si="66">IF(YEAR(G$1)=YEAR($AI$2),$AI$5*((13-MONTH($AI$2))/12)*(1+AG47),IF(YEAR(G$1)=YEAR($AI$2)+1,F30/((13-MONTH($AI$2))/12)*(1+AG47),IF(YEAR(G$1)=YEAR($AI$2)+5,0,F30*(1+AG47))))</f>
        <v>1874353.303</v>
      </c>
      <c r="H30" s="195">
        <f t="shared" si="66"/>
        <v>2289147.689</v>
      </c>
      <c r="I30" s="195">
        <f t="shared" si="66"/>
        <v>2425580.891</v>
      </c>
      <c r="J30" s="195">
        <f t="shared" si="66"/>
        <v>2568205.047</v>
      </c>
      <c r="K30" s="195">
        <f t="shared" si="66"/>
        <v>0</v>
      </c>
      <c r="L30" s="195">
        <f t="shared" si="66"/>
        <v>0</v>
      </c>
      <c r="M30" s="195">
        <f t="shared" si="66"/>
        <v>0</v>
      </c>
      <c r="N30" s="195">
        <f t="shared" si="66"/>
        <v>0</v>
      </c>
      <c r="O30" s="195">
        <f t="shared" si="66"/>
        <v>0</v>
      </c>
      <c r="P30" s="195">
        <f t="shared" si="66"/>
        <v>0</v>
      </c>
      <c r="Q30" s="195">
        <f t="shared" si="66"/>
        <v>0</v>
      </c>
      <c r="R30" s="195">
        <f t="shared" si="66"/>
        <v>0</v>
      </c>
      <c r="S30" s="195">
        <f t="shared" si="66"/>
        <v>0</v>
      </c>
      <c r="T30" s="195">
        <f t="shared" si="66"/>
        <v>0</v>
      </c>
      <c r="U30" s="195">
        <f t="shared" si="66"/>
        <v>0</v>
      </c>
      <c r="V30" s="195">
        <f t="shared" si="66"/>
        <v>0</v>
      </c>
      <c r="W30" s="195">
        <f t="shared" si="66"/>
        <v>0</v>
      </c>
      <c r="X30" s="195">
        <f t="shared" si="66"/>
        <v>0</v>
      </c>
      <c r="Y30" s="195">
        <f t="shared" si="66"/>
        <v>0</v>
      </c>
      <c r="Z30" s="195">
        <f t="shared" si="66"/>
        <v>0</v>
      </c>
      <c r="AA30" s="1"/>
      <c r="AB30" s="1"/>
      <c r="AC30" s="1" t="s">
        <v>293</v>
      </c>
      <c r="AD30" s="1" t="s">
        <v>333</v>
      </c>
      <c r="AE30" s="197"/>
      <c r="AF30" s="197">
        <f t="shared" ref="AF30:AZ30" si="67">IF(YEAR(AF$21)=YEAR($AK$2),$AB$24,IF(YEAR(AF$21)=YEAR($AK$2)+1,$AB$25,IF(YEAR(AF$21)=YEAR($AK$2)+2,$AB$26,IF(YEAR(AF$21)=YEAR($AK$2)+3,$AB$27,IF(YEAR(AF$21)=YEAR($AK$2)+4,$AB$28,$AB$29)))))</f>
        <v>0.06</v>
      </c>
      <c r="AG30" s="197">
        <f t="shared" si="67"/>
        <v>0.06</v>
      </c>
      <c r="AH30" s="197">
        <f t="shared" si="67"/>
        <v>0.06</v>
      </c>
      <c r="AI30" s="197">
        <f t="shared" si="67"/>
        <v>0.06</v>
      </c>
      <c r="AJ30" s="197">
        <f t="shared" si="67"/>
        <v>0.612</v>
      </c>
      <c r="AK30" s="197">
        <f t="shared" si="67"/>
        <v>0.157</v>
      </c>
      <c r="AL30" s="197">
        <f t="shared" si="67"/>
        <v>0.144</v>
      </c>
      <c r="AM30" s="197">
        <f t="shared" si="67"/>
        <v>0.13</v>
      </c>
      <c r="AN30" s="197">
        <f t="shared" si="67"/>
        <v>0.117</v>
      </c>
      <c r="AO30" s="197">
        <f t="shared" si="67"/>
        <v>0.06</v>
      </c>
      <c r="AP30" s="197">
        <f t="shared" si="67"/>
        <v>0.06</v>
      </c>
      <c r="AQ30" s="197">
        <f t="shared" si="67"/>
        <v>0.06</v>
      </c>
      <c r="AR30" s="197">
        <f t="shared" si="67"/>
        <v>0.06</v>
      </c>
      <c r="AS30" s="197">
        <f t="shared" si="67"/>
        <v>0.06</v>
      </c>
      <c r="AT30" s="197">
        <f t="shared" si="67"/>
        <v>0.06</v>
      </c>
      <c r="AU30" s="197">
        <f t="shared" si="67"/>
        <v>0.06</v>
      </c>
      <c r="AV30" s="197">
        <f t="shared" si="67"/>
        <v>0.06</v>
      </c>
      <c r="AW30" s="197">
        <f t="shared" si="67"/>
        <v>0.06</v>
      </c>
      <c r="AX30" s="197">
        <f t="shared" si="67"/>
        <v>0.06</v>
      </c>
      <c r="AY30" s="197">
        <f t="shared" si="67"/>
        <v>0.06</v>
      </c>
      <c r="AZ30" s="197">
        <f t="shared" si="67"/>
        <v>0.06</v>
      </c>
      <c r="BA30" s="197"/>
      <c r="BB30" s="197"/>
      <c r="BC30" s="197"/>
    </row>
    <row r="31" ht="15.75" customHeight="1">
      <c r="A31" s="117"/>
      <c r="B31" s="1" t="s">
        <v>292</v>
      </c>
      <c r="C31" s="1"/>
      <c r="D31" s="1"/>
      <c r="E31" s="209">
        <f>IF(YEAR(E$1)=YEAR($AJ$2),$AJ$5*((12-MONTH($AJ$2))/12),IF(YEAR($AJ$2)+1=YEAR(E$1),$AJ$5*(1+AE48),D31*(1+AE48)))</f>
        <v>0</v>
      </c>
      <c r="F31" s="195">
        <f t="shared" ref="F31:Z31" si="68">IF(YEAR(F$1)=YEAR($AJ$2),$AJ$5*((13-MONTH($AJ$2))/12)*(1+AF48),IF(YEAR(F$1)=YEAR($AJ$2)+1,E31/((13-MONTH($AJ$2))/12)*(1+AF48),IF(YEAR(F$1)=YEAR($AJ$2)+5,0,E31*(1+AF48))))</f>
        <v>0</v>
      </c>
      <c r="G31" s="195">
        <f t="shared" si="68"/>
        <v>0</v>
      </c>
      <c r="H31" s="195">
        <f t="shared" si="68"/>
        <v>521460</v>
      </c>
      <c r="I31" s="195">
        <f t="shared" si="68"/>
        <v>640717.902</v>
      </c>
      <c r="J31" s="195">
        <f t="shared" si="68"/>
        <v>782508.7737</v>
      </c>
      <c r="K31" s="195">
        <f t="shared" si="68"/>
        <v>829146.2966</v>
      </c>
      <c r="L31" s="195">
        <f t="shared" si="68"/>
        <v>877900.0989</v>
      </c>
      <c r="M31" s="195">
        <f t="shared" si="68"/>
        <v>0</v>
      </c>
      <c r="N31" s="195">
        <f t="shared" si="68"/>
        <v>0</v>
      </c>
      <c r="O31" s="195">
        <f t="shared" si="68"/>
        <v>0</v>
      </c>
      <c r="P31" s="195">
        <f t="shared" si="68"/>
        <v>0</v>
      </c>
      <c r="Q31" s="195">
        <f t="shared" si="68"/>
        <v>0</v>
      </c>
      <c r="R31" s="195">
        <f t="shared" si="68"/>
        <v>0</v>
      </c>
      <c r="S31" s="195">
        <f t="shared" si="68"/>
        <v>0</v>
      </c>
      <c r="T31" s="195">
        <f t="shared" si="68"/>
        <v>0</v>
      </c>
      <c r="U31" s="195">
        <f t="shared" si="68"/>
        <v>0</v>
      </c>
      <c r="V31" s="195">
        <f t="shared" si="68"/>
        <v>0</v>
      </c>
      <c r="W31" s="195">
        <f t="shared" si="68"/>
        <v>0</v>
      </c>
      <c r="X31" s="195">
        <f t="shared" si="68"/>
        <v>0</v>
      </c>
      <c r="Y31" s="195">
        <f t="shared" si="68"/>
        <v>0</v>
      </c>
      <c r="Z31" s="195">
        <f t="shared" si="68"/>
        <v>0</v>
      </c>
      <c r="AA31" s="1"/>
      <c r="AB31" s="1"/>
      <c r="AC31" s="1" t="s">
        <v>294</v>
      </c>
      <c r="AD31" s="1" t="s">
        <v>333</v>
      </c>
      <c r="AE31" s="197"/>
      <c r="AF31" s="197">
        <f t="shared" ref="AF31:AZ31" si="69">IF(YEAR(AF$21)=YEAR($AL$2),$AB$24,IF(YEAR(AF$21)=YEAR($AL$2)+1,$AB$25,IF(YEAR(AF$21)=YEAR($AL$2)+2,$AB$26,IF(YEAR(AF$21)=YEAR($AL$2)+3,$AB$27,IF(YEAR(AF$21)=YEAR($AL$2)+4,$AB$28,$AB$29)))))</f>
        <v>0.06</v>
      </c>
      <c r="AG31" s="197">
        <f t="shared" si="69"/>
        <v>0.06</v>
      </c>
      <c r="AH31" s="197">
        <f t="shared" si="69"/>
        <v>0.06</v>
      </c>
      <c r="AI31" s="197">
        <f t="shared" si="69"/>
        <v>0.06</v>
      </c>
      <c r="AJ31" s="197">
        <f t="shared" si="69"/>
        <v>0.06</v>
      </c>
      <c r="AK31" s="197">
        <f t="shared" si="69"/>
        <v>0.06</v>
      </c>
      <c r="AL31" s="197">
        <f t="shared" si="69"/>
        <v>0.612</v>
      </c>
      <c r="AM31" s="197">
        <f t="shared" si="69"/>
        <v>0.157</v>
      </c>
      <c r="AN31" s="197">
        <f t="shared" si="69"/>
        <v>0.144</v>
      </c>
      <c r="AO31" s="197">
        <f t="shared" si="69"/>
        <v>0.13</v>
      </c>
      <c r="AP31" s="197">
        <f t="shared" si="69"/>
        <v>0.117</v>
      </c>
      <c r="AQ31" s="197">
        <f t="shared" si="69"/>
        <v>0.06</v>
      </c>
      <c r="AR31" s="197">
        <f t="shared" si="69"/>
        <v>0.06</v>
      </c>
      <c r="AS31" s="197">
        <f t="shared" si="69"/>
        <v>0.06</v>
      </c>
      <c r="AT31" s="197">
        <f t="shared" si="69"/>
        <v>0.06</v>
      </c>
      <c r="AU31" s="197">
        <f t="shared" si="69"/>
        <v>0.06</v>
      </c>
      <c r="AV31" s="197">
        <f t="shared" si="69"/>
        <v>0.06</v>
      </c>
      <c r="AW31" s="197">
        <f t="shared" si="69"/>
        <v>0.06</v>
      </c>
      <c r="AX31" s="197">
        <f t="shared" si="69"/>
        <v>0.06</v>
      </c>
      <c r="AY31" s="197">
        <f t="shared" si="69"/>
        <v>0.06</v>
      </c>
      <c r="AZ31" s="197">
        <f t="shared" si="69"/>
        <v>0.06</v>
      </c>
      <c r="BA31" s="197"/>
      <c r="BB31" s="197"/>
      <c r="BC31" s="197"/>
    </row>
    <row r="32" ht="15.75" customHeight="1">
      <c r="A32" s="117"/>
      <c r="B32" s="1" t="s">
        <v>293</v>
      </c>
      <c r="C32" s="1"/>
      <c r="D32" s="1"/>
      <c r="E32" s="209">
        <f>IF(YEAR(E$1)=YEAR($AK$2),$AK$5*((12-MONTH($AK$2))/12),IF(YEAR($AK$2)+1=YEAR(E$1),$AK$5*(1+AE49),D32*(1+AE49)))</f>
        <v>0</v>
      </c>
      <c r="F32" s="195">
        <f t="shared" ref="F32:Z32" si="70">IF(YEAR(F$1)=YEAR($AK$2),$AK$5*((13-MONTH($AK$2))/12)*(1+AF49),IF(YEAR(F$1)=YEAR($AK$2)+1,E32/((13-MONTH($AK$2))/12)*(1+AF49),IF(YEAR(F$1)=YEAR($AK$2)+5,0,E32*(1+AF49))))</f>
        <v>0</v>
      </c>
      <c r="G32" s="195">
        <f t="shared" si="70"/>
        <v>0</v>
      </c>
      <c r="H32" s="195">
        <f t="shared" si="70"/>
        <v>0</v>
      </c>
      <c r="I32" s="195">
        <f t="shared" si="70"/>
        <v>0</v>
      </c>
      <c r="J32" s="195">
        <f t="shared" si="70"/>
        <v>486696</v>
      </c>
      <c r="K32" s="195">
        <f t="shared" si="70"/>
        <v>598003.3752</v>
      </c>
      <c r="L32" s="195">
        <f t="shared" si="70"/>
        <v>730341.5221</v>
      </c>
      <c r="M32" s="195">
        <f t="shared" si="70"/>
        <v>773869.8769</v>
      </c>
      <c r="N32" s="195">
        <f t="shared" si="70"/>
        <v>819373.4256</v>
      </c>
      <c r="O32" s="195">
        <f t="shared" si="70"/>
        <v>0</v>
      </c>
      <c r="P32" s="195">
        <f t="shared" si="70"/>
        <v>0</v>
      </c>
      <c r="Q32" s="195">
        <f t="shared" si="70"/>
        <v>0</v>
      </c>
      <c r="R32" s="195">
        <f t="shared" si="70"/>
        <v>0</v>
      </c>
      <c r="S32" s="195">
        <f t="shared" si="70"/>
        <v>0</v>
      </c>
      <c r="T32" s="195">
        <f t="shared" si="70"/>
        <v>0</v>
      </c>
      <c r="U32" s="195">
        <f t="shared" si="70"/>
        <v>0</v>
      </c>
      <c r="V32" s="195">
        <f t="shared" si="70"/>
        <v>0</v>
      </c>
      <c r="W32" s="195">
        <f t="shared" si="70"/>
        <v>0</v>
      </c>
      <c r="X32" s="195">
        <f t="shared" si="70"/>
        <v>0</v>
      </c>
      <c r="Y32" s="195">
        <f t="shared" si="70"/>
        <v>0</v>
      </c>
      <c r="Z32" s="195">
        <f t="shared" si="70"/>
        <v>0</v>
      </c>
      <c r="AA32" s="1"/>
      <c r="AB32" s="1"/>
      <c r="AC32" s="1" t="s">
        <v>295</v>
      </c>
      <c r="AD32" s="1" t="s">
        <v>333</v>
      </c>
      <c r="AE32" s="197"/>
      <c r="AF32" s="197">
        <f t="shared" ref="AF32:AZ32" si="71">IF(YEAR(AF$21)=YEAR($AM$2),$AB$24,IF(YEAR(AF$21)=YEAR($AM$2)+1,$AB$25,IF(YEAR(AF$21)=YEAR($AM$2)+2,$AB$26,IF(YEAR(AF$21)=YEAR($AM$2)+3,$AB$27,IF(YEAR(AF$21)=YEAR($AM$2)+4,$AB$28,$AB$29)))))</f>
        <v>0.06</v>
      </c>
      <c r="AG32" s="197">
        <f t="shared" si="71"/>
        <v>0.06</v>
      </c>
      <c r="AH32" s="197">
        <f t="shared" si="71"/>
        <v>0.06</v>
      </c>
      <c r="AI32" s="197">
        <f t="shared" si="71"/>
        <v>0.06</v>
      </c>
      <c r="AJ32" s="197">
        <f t="shared" si="71"/>
        <v>0.06</v>
      </c>
      <c r="AK32" s="197">
        <f t="shared" si="71"/>
        <v>0.06</v>
      </c>
      <c r="AL32" s="197">
        <f t="shared" si="71"/>
        <v>0.06</v>
      </c>
      <c r="AM32" s="197">
        <f t="shared" si="71"/>
        <v>0.06</v>
      </c>
      <c r="AN32" s="197">
        <f t="shared" si="71"/>
        <v>0.612</v>
      </c>
      <c r="AO32" s="197">
        <f t="shared" si="71"/>
        <v>0.157</v>
      </c>
      <c r="AP32" s="197">
        <f t="shared" si="71"/>
        <v>0.144</v>
      </c>
      <c r="AQ32" s="197">
        <f t="shared" si="71"/>
        <v>0.13</v>
      </c>
      <c r="AR32" s="197">
        <f t="shared" si="71"/>
        <v>0.117</v>
      </c>
      <c r="AS32" s="197">
        <f t="shared" si="71"/>
        <v>0.06</v>
      </c>
      <c r="AT32" s="197">
        <f t="shared" si="71"/>
        <v>0.06</v>
      </c>
      <c r="AU32" s="197">
        <f t="shared" si="71"/>
        <v>0.06</v>
      </c>
      <c r="AV32" s="197">
        <f t="shared" si="71"/>
        <v>0.06</v>
      </c>
      <c r="AW32" s="197">
        <f t="shared" si="71"/>
        <v>0.06</v>
      </c>
      <c r="AX32" s="197">
        <f t="shared" si="71"/>
        <v>0.06</v>
      </c>
      <c r="AY32" s="197">
        <f t="shared" si="71"/>
        <v>0.06</v>
      </c>
      <c r="AZ32" s="197">
        <f t="shared" si="71"/>
        <v>0.06</v>
      </c>
      <c r="BA32" s="197"/>
      <c r="BB32" s="197"/>
      <c r="BC32" s="197"/>
    </row>
    <row r="33" ht="15.75" customHeight="1">
      <c r="A33" s="117"/>
      <c r="B33" s="1" t="s">
        <v>294</v>
      </c>
      <c r="C33" s="1"/>
      <c r="D33" s="1"/>
      <c r="E33" s="209">
        <f>IF(YEAR(E$1)=YEAR($AL$2),$AL$5*((12-MONTH($AL$2))/12),IF(YEAR($AL$2)+1=YEAR(E$1),$AL$5*(1+AE50),D33*(1+AE50)))</f>
        <v>0</v>
      </c>
      <c r="F33" s="195">
        <f t="shared" ref="F33:Z33" si="72">IF(YEAR(F$1)=YEAR($AL$2),$AL$5*((13-MONTH($AL$2))/12)*(1+AF50),IF(YEAR(F$1)=YEAR($AL$2)+1,E33/((13-MONTH($AL$2))/12)*(1+AF50),IF(YEAR(F$1)=YEAR($AL$2)+5,0,E33*(1+AF50))))</f>
        <v>0</v>
      </c>
      <c r="G33" s="195">
        <f t="shared" si="72"/>
        <v>0</v>
      </c>
      <c r="H33" s="195">
        <f t="shared" si="72"/>
        <v>0</v>
      </c>
      <c r="I33" s="195">
        <f t="shared" si="72"/>
        <v>0</v>
      </c>
      <c r="J33" s="195">
        <f t="shared" si="72"/>
        <v>0</v>
      </c>
      <c r="K33" s="195">
        <f t="shared" si="72"/>
        <v>0</v>
      </c>
      <c r="L33" s="195">
        <f t="shared" si="72"/>
        <v>1019744</v>
      </c>
      <c r="M33" s="195">
        <f t="shared" si="72"/>
        <v>1252959.453</v>
      </c>
      <c r="N33" s="195">
        <f t="shared" si="72"/>
        <v>1530239.38</v>
      </c>
      <c r="O33" s="195">
        <f t="shared" si="72"/>
        <v>1621441.647</v>
      </c>
      <c r="P33" s="195">
        <f t="shared" si="72"/>
        <v>1716782.416</v>
      </c>
      <c r="Q33" s="195">
        <f t="shared" si="72"/>
        <v>0</v>
      </c>
      <c r="R33" s="195">
        <f t="shared" si="72"/>
        <v>0</v>
      </c>
      <c r="S33" s="195">
        <f t="shared" si="72"/>
        <v>0</v>
      </c>
      <c r="T33" s="195">
        <f t="shared" si="72"/>
        <v>0</v>
      </c>
      <c r="U33" s="195">
        <f t="shared" si="72"/>
        <v>0</v>
      </c>
      <c r="V33" s="195">
        <f t="shared" si="72"/>
        <v>0</v>
      </c>
      <c r="W33" s="195">
        <f t="shared" si="72"/>
        <v>0</v>
      </c>
      <c r="X33" s="195">
        <f t="shared" si="72"/>
        <v>0</v>
      </c>
      <c r="Y33" s="195">
        <f t="shared" si="72"/>
        <v>0</v>
      </c>
      <c r="Z33" s="195">
        <f t="shared" si="72"/>
        <v>0</v>
      </c>
      <c r="AA33" s="1"/>
      <c r="AB33" s="1"/>
      <c r="AC33" s="1" t="s">
        <v>296</v>
      </c>
      <c r="AD33" s="1" t="s">
        <v>333</v>
      </c>
      <c r="AE33" s="197"/>
      <c r="AF33" s="197">
        <f t="shared" ref="AF33:AZ33" si="73">IF(YEAR(AF$21)=YEAR($AN$2),$AB$24,IF(YEAR(AF$21)=YEAR($AN$2)+1,$AB$25,IF(YEAR(AF$21)=YEAR($AN$2)+2,$AB$26,IF(YEAR(AF$21)=YEAR($AN$2)+3,$AB$27,IF(YEAR(AF$21)=YEAR($AN$2)+4,$AB$28,$AB$29)))))</f>
        <v>0.06</v>
      </c>
      <c r="AG33" s="197">
        <f t="shared" si="73"/>
        <v>0.06</v>
      </c>
      <c r="AH33" s="197">
        <f t="shared" si="73"/>
        <v>0.06</v>
      </c>
      <c r="AI33" s="197">
        <f t="shared" si="73"/>
        <v>0.06</v>
      </c>
      <c r="AJ33" s="197">
        <f t="shared" si="73"/>
        <v>0.06</v>
      </c>
      <c r="AK33" s="197">
        <f t="shared" si="73"/>
        <v>0.06</v>
      </c>
      <c r="AL33" s="197">
        <f t="shared" si="73"/>
        <v>0.06</v>
      </c>
      <c r="AM33" s="197">
        <f t="shared" si="73"/>
        <v>0.06</v>
      </c>
      <c r="AN33" s="197">
        <f t="shared" si="73"/>
        <v>0.06</v>
      </c>
      <c r="AO33" s="197">
        <f t="shared" si="73"/>
        <v>0.06</v>
      </c>
      <c r="AP33" s="197">
        <f t="shared" si="73"/>
        <v>0.612</v>
      </c>
      <c r="AQ33" s="197">
        <f t="shared" si="73"/>
        <v>0.157</v>
      </c>
      <c r="AR33" s="197">
        <f t="shared" si="73"/>
        <v>0.144</v>
      </c>
      <c r="AS33" s="197">
        <f t="shared" si="73"/>
        <v>0.13</v>
      </c>
      <c r="AT33" s="197">
        <f t="shared" si="73"/>
        <v>0.117</v>
      </c>
      <c r="AU33" s="197">
        <f t="shared" si="73"/>
        <v>0.06</v>
      </c>
      <c r="AV33" s="197">
        <f t="shared" si="73"/>
        <v>0.06</v>
      </c>
      <c r="AW33" s="197">
        <f t="shared" si="73"/>
        <v>0.06</v>
      </c>
      <c r="AX33" s="197">
        <f t="shared" si="73"/>
        <v>0.06</v>
      </c>
      <c r="AY33" s="197">
        <f t="shared" si="73"/>
        <v>0.06</v>
      </c>
      <c r="AZ33" s="197">
        <f t="shared" si="73"/>
        <v>0.06</v>
      </c>
      <c r="BA33" s="197"/>
      <c r="BB33" s="197"/>
      <c r="BC33" s="197"/>
    </row>
    <row r="34" ht="15.75" customHeight="1">
      <c r="A34" s="117"/>
      <c r="B34" s="1" t="s">
        <v>295</v>
      </c>
      <c r="C34" s="1"/>
      <c r="D34" s="1"/>
      <c r="E34" s="209">
        <f>IF(YEAR(E$1)=YEAR($AM$2),$AM$5*((12-MONTH($AM$2))/12),IF(YEAR($AM$2)+1=YEAR(E$1),$AM$5*(1+AE51),D34*(1+AE51)))</f>
        <v>0</v>
      </c>
      <c r="F34" s="195">
        <f t="shared" ref="F34:Z34" si="74">IF(YEAR(F$1)=YEAR($AM$2),$AM$5*((13-MONTH($AM$2))/12)*(1+AF51),IF(YEAR(F$1)=YEAR($AM$2)+1,E34/((13-MONTH($AM$2))/12)*(1+AF51),IF(YEAR(F$1)=YEAR($AM$2)+5,0,E34*(1+AF51))))</f>
        <v>0</v>
      </c>
      <c r="G34" s="195">
        <f t="shared" si="74"/>
        <v>0</v>
      </c>
      <c r="H34" s="195">
        <f t="shared" si="74"/>
        <v>0</v>
      </c>
      <c r="I34" s="195">
        <f t="shared" si="74"/>
        <v>0</v>
      </c>
      <c r="J34" s="195">
        <f t="shared" si="74"/>
        <v>0</v>
      </c>
      <c r="K34" s="195">
        <f t="shared" si="74"/>
        <v>0</v>
      </c>
      <c r="L34" s="195">
        <f t="shared" si="74"/>
        <v>0</v>
      </c>
      <c r="M34" s="195">
        <f t="shared" si="74"/>
        <v>0</v>
      </c>
      <c r="N34" s="195">
        <f t="shared" si="74"/>
        <v>1158800</v>
      </c>
      <c r="O34" s="195">
        <f t="shared" si="74"/>
        <v>1423817.56</v>
      </c>
      <c r="P34" s="195">
        <f t="shared" si="74"/>
        <v>1738908.386</v>
      </c>
      <c r="Q34" s="195">
        <f t="shared" si="74"/>
        <v>1842547.326</v>
      </c>
      <c r="R34" s="195">
        <f t="shared" si="74"/>
        <v>2058125.363</v>
      </c>
      <c r="S34" s="195">
        <f t="shared" si="74"/>
        <v>0</v>
      </c>
      <c r="T34" s="195">
        <f t="shared" si="74"/>
        <v>0</v>
      </c>
      <c r="U34" s="195">
        <f t="shared" si="74"/>
        <v>0</v>
      </c>
      <c r="V34" s="195">
        <f t="shared" si="74"/>
        <v>0</v>
      </c>
      <c r="W34" s="195">
        <f t="shared" si="74"/>
        <v>0</v>
      </c>
      <c r="X34" s="195">
        <f t="shared" si="74"/>
        <v>0</v>
      </c>
      <c r="Y34" s="195">
        <f t="shared" si="74"/>
        <v>0</v>
      </c>
      <c r="Z34" s="195">
        <f t="shared" si="74"/>
        <v>0</v>
      </c>
      <c r="AA34" s="1"/>
      <c r="AB34" s="1"/>
      <c r="AC34" s="1" t="s">
        <v>297</v>
      </c>
      <c r="AD34" s="1" t="s">
        <v>333</v>
      </c>
      <c r="AE34" s="197"/>
      <c r="AF34" s="197">
        <f t="shared" ref="AF34:AZ34" si="75">IF(YEAR(AF$21)=YEAR($AO$2),$AB$24,IF(YEAR(AF$21)=YEAR($AO$2)+1,$AB$25,IF(YEAR(AF$21)=YEAR($AO$2)+2,$AB$26,IF(YEAR(AF$21)=YEAR($AO$2)+3,$AB$27,IF(YEAR(AF$21)=YEAR($AO$2)+4,$AB$28,$AB$29)))))</f>
        <v>0.06</v>
      </c>
      <c r="AG34" s="197">
        <f t="shared" si="75"/>
        <v>0.06</v>
      </c>
      <c r="AH34" s="197">
        <f t="shared" si="75"/>
        <v>0.06</v>
      </c>
      <c r="AI34" s="197">
        <f t="shared" si="75"/>
        <v>0.06</v>
      </c>
      <c r="AJ34" s="197">
        <f t="shared" si="75"/>
        <v>0.06</v>
      </c>
      <c r="AK34" s="197">
        <f t="shared" si="75"/>
        <v>0.06</v>
      </c>
      <c r="AL34" s="197">
        <f t="shared" si="75"/>
        <v>0.06</v>
      </c>
      <c r="AM34" s="197">
        <f t="shared" si="75"/>
        <v>0.06</v>
      </c>
      <c r="AN34" s="197">
        <f t="shared" si="75"/>
        <v>0.06</v>
      </c>
      <c r="AO34" s="197">
        <f t="shared" si="75"/>
        <v>0.06</v>
      </c>
      <c r="AP34" s="197">
        <f t="shared" si="75"/>
        <v>0.06</v>
      </c>
      <c r="AQ34" s="197">
        <f t="shared" si="75"/>
        <v>0.06</v>
      </c>
      <c r="AR34" s="197">
        <f t="shared" si="75"/>
        <v>0.612</v>
      </c>
      <c r="AS34" s="197">
        <f t="shared" si="75"/>
        <v>0.157</v>
      </c>
      <c r="AT34" s="197">
        <f t="shared" si="75"/>
        <v>0.144</v>
      </c>
      <c r="AU34" s="197">
        <f t="shared" si="75"/>
        <v>0.13</v>
      </c>
      <c r="AV34" s="197">
        <f t="shared" si="75"/>
        <v>0.117</v>
      </c>
      <c r="AW34" s="197">
        <f t="shared" si="75"/>
        <v>0.06</v>
      </c>
      <c r="AX34" s="197">
        <f t="shared" si="75"/>
        <v>0.06</v>
      </c>
      <c r="AY34" s="197">
        <f t="shared" si="75"/>
        <v>0.06</v>
      </c>
      <c r="AZ34" s="197">
        <f t="shared" si="75"/>
        <v>0.06</v>
      </c>
      <c r="BA34" s="197"/>
      <c r="BB34" s="197"/>
      <c r="BC34" s="197"/>
    </row>
    <row r="35" ht="15.75" customHeight="1">
      <c r="A35" s="117"/>
      <c r="B35" s="1" t="s">
        <v>296</v>
      </c>
      <c r="C35" s="1"/>
      <c r="D35" s="1"/>
      <c r="E35" s="209">
        <f>IF(YEAR(E$1)=YEAR($AN$2),$AN$5*((12-MONTH($AN$2))/12),IF(YEAR($AN$2)+1=YEAR(E$1),$AN$5*(1+AE52),D35*(1+AE52)))</f>
        <v>0</v>
      </c>
      <c r="F35" s="195">
        <f t="shared" ref="F35:Z35" si="76">IF(YEAR(F$1)=YEAR($AN$2),$AN$5*((13-MONTH($AN$2))/12)*(1+AF52),IF(YEAR(F$1)=YEAR($AN$2)+1,E35/((13-MONTH($AN$2))/12)*(1+AF52),IF(YEAR(F$1)=YEAR($AN$2)+5,0,E35*(1+AF52))))</f>
        <v>0</v>
      </c>
      <c r="G35" s="195">
        <f t="shared" si="76"/>
        <v>0</v>
      </c>
      <c r="H35" s="195">
        <f t="shared" si="76"/>
        <v>0</v>
      </c>
      <c r="I35" s="195">
        <f t="shared" si="76"/>
        <v>0</v>
      </c>
      <c r="J35" s="195">
        <f t="shared" si="76"/>
        <v>0</v>
      </c>
      <c r="K35" s="195">
        <f t="shared" si="76"/>
        <v>0</v>
      </c>
      <c r="L35" s="195">
        <f t="shared" si="76"/>
        <v>0</v>
      </c>
      <c r="M35" s="195">
        <f t="shared" si="76"/>
        <v>0</v>
      </c>
      <c r="N35" s="195">
        <f t="shared" si="76"/>
        <v>0</v>
      </c>
      <c r="O35" s="195">
        <f t="shared" si="76"/>
        <v>0</v>
      </c>
      <c r="P35" s="195">
        <f t="shared" si="76"/>
        <v>851718</v>
      </c>
      <c r="Q35" s="195">
        <f t="shared" si="76"/>
        <v>1046505.907</v>
      </c>
      <c r="R35" s="195">
        <f t="shared" si="76"/>
        <v>1278097.664</v>
      </c>
      <c r="S35" s="195">
        <f t="shared" si="76"/>
        <v>1354272.284</v>
      </c>
      <c r="T35" s="195">
        <f t="shared" si="76"/>
        <v>1512722.142</v>
      </c>
      <c r="U35" s="195">
        <f t="shared" si="76"/>
        <v>0</v>
      </c>
      <c r="V35" s="195">
        <f t="shared" si="76"/>
        <v>0</v>
      </c>
      <c r="W35" s="195">
        <f t="shared" si="76"/>
        <v>0</v>
      </c>
      <c r="X35" s="195">
        <f t="shared" si="76"/>
        <v>0</v>
      </c>
      <c r="Y35" s="195">
        <f t="shared" si="76"/>
        <v>0</v>
      </c>
      <c r="Z35" s="195">
        <f t="shared" si="76"/>
        <v>0</v>
      </c>
      <c r="AA35" s="1"/>
      <c r="AB35" s="1"/>
      <c r="AC35" s="1" t="s">
        <v>298</v>
      </c>
      <c r="AD35" s="1" t="s">
        <v>333</v>
      </c>
      <c r="AE35" s="197"/>
      <c r="AF35" s="197">
        <f t="shared" ref="AF35:AZ35" si="77">IF(YEAR(AF$21)=YEAR($AP$2),$AB$24,IF(YEAR(AF$21)=YEAR($AP$2)+1,$AB$25,IF(YEAR(AF$21)=YEAR($AP$2)+2,$AB$26,IF(YEAR(AF$21)=YEAR($AP$2)+3,$AB$27,IF(YEAR(AF$21)=YEAR($AP$2)+4,$AB$28,$AB$29)))))</f>
        <v>0.06</v>
      </c>
      <c r="AG35" s="197">
        <f t="shared" si="77"/>
        <v>0.06</v>
      </c>
      <c r="AH35" s="197">
        <f t="shared" si="77"/>
        <v>0.06</v>
      </c>
      <c r="AI35" s="197">
        <f t="shared" si="77"/>
        <v>0.06</v>
      </c>
      <c r="AJ35" s="197">
        <f t="shared" si="77"/>
        <v>0.06</v>
      </c>
      <c r="AK35" s="197">
        <f t="shared" si="77"/>
        <v>0.06</v>
      </c>
      <c r="AL35" s="197">
        <f t="shared" si="77"/>
        <v>0.06</v>
      </c>
      <c r="AM35" s="197">
        <f t="shared" si="77"/>
        <v>0.06</v>
      </c>
      <c r="AN35" s="197">
        <f t="shared" si="77"/>
        <v>0.06</v>
      </c>
      <c r="AO35" s="197">
        <f t="shared" si="77"/>
        <v>0.06</v>
      </c>
      <c r="AP35" s="197">
        <f t="shared" si="77"/>
        <v>0.06</v>
      </c>
      <c r="AQ35" s="197">
        <f t="shared" si="77"/>
        <v>0.06</v>
      </c>
      <c r="AR35" s="197">
        <f t="shared" si="77"/>
        <v>0.06</v>
      </c>
      <c r="AS35" s="197">
        <f t="shared" si="77"/>
        <v>0.06</v>
      </c>
      <c r="AT35" s="197">
        <f t="shared" si="77"/>
        <v>0.612</v>
      </c>
      <c r="AU35" s="197">
        <f t="shared" si="77"/>
        <v>0.157</v>
      </c>
      <c r="AV35" s="197">
        <f t="shared" si="77"/>
        <v>0.144</v>
      </c>
      <c r="AW35" s="197">
        <f t="shared" si="77"/>
        <v>0.13</v>
      </c>
      <c r="AX35" s="197">
        <f t="shared" si="77"/>
        <v>0.117</v>
      </c>
      <c r="AY35" s="197">
        <f t="shared" si="77"/>
        <v>0.06</v>
      </c>
      <c r="AZ35" s="197">
        <f t="shared" si="77"/>
        <v>0.06</v>
      </c>
      <c r="BA35" s="197"/>
      <c r="BB35" s="197"/>
      <c r="BC35" s="197"/>
    </row>
    <row r="36" ht="15.75" customHeight="1">
      <c r="A36" s="117"/>
      <c r="B36" s="1" t="s">
        <v>297</v>
      </c>
      <c r="C36" s="1"/>
      <c r="D36" s="1"/>
      <c r="E36" s="209">
        <f>IF(YEAR(E$1)=YEAR($AO$2),$AO$5*((12-MONTH($AO$2))/12),IF(YEAR($AO$2)+1=YEAR(E$1),$AO$5*(1+AE53),D36*(1+AE53)))</f>
        <v>0</v>
      </c>
      <c r="F36" s="195">
        <f t="shared" ref="F36:Z36" si="78">IF(YEAR(F$1)=YEAR($AO$2),$AO$5*((13-MONTH($AO$2))/12)*(1+AF53),IF(YEAR(F$1)=YEAR($AO$2)+1,E36/((13-MONTH($AO$2))/12)*(1+AF53),IF(YEAR(F$1)=YEAR($AO$2)+5,0,E36*(1+AF53))))</f>
        <v>0</v>
      </c>
      <c r="G36" s="195">
        <f t="shared" si="78"/>
        <v>0</v>
      </c>
      <c r="H36" s="195">
        <f t="shared" si="78"/>
        <v>0</v>
      </c>
      <c r="I36" s="195">
        <f t="shared" si="78"/>
        <v>0</v>
      </c>
      <c r="J36" s="195">
        <f t="shared" si="78"/>
        <v>0</v>
      </c>
      <c r="K36" s="195">
        <f t="shared" si="78"/>
        <v>0</v>
      </c>
      <c r="L36" s="195">
        <f t="shared" si="78"/>
        <v>0</v>
      </c>
      <c r="M36" s="195">
        <f t="shared" si="78"/>
        <v>0</v>
      </c>
      <c r="N36" s="195">
        <f t="shared" si="78"/>
        <v>0</v>
      </c>
      <c r="O36" s="195">
        <f t="shared" si="78"/>
        <v>0</v>
      </c>
      <c r="P36" s="195">
        <f t="shared" si="78"/>
        <v>0</v>
      </c>
      <c r="Q36" s="195">
        <f t="shared" si="78"/>
        <v>0</v>
      </c>
      <c r="R36" s="195">
        <f t="shared" si="78"/>
        <v>1390560</v>
      </c>
      <c r="S36" s="195">
        <f t="shared" si="78"/>
        <v>1708581.072</v>
      </c>
      <c r="T36" s="195">
        <f t="shared" si="78"/>
        <v>2086690.063</v>
      </c>
      <c r="U36" s="195">
        <f t="shared" si="78"/>
        <v>2211056.791</v>
      </c>
      <c r="V36" s="195">
        <f t="shared" si="78"/>
        <v>2469750.436</v>
      </c>
      <c r="W36" s="195">
        <f t="shared" si="78"/>
        <v>0</v>
      </c>
      <c r="X36" s="195">
        <f t="shared" si="78"/>
        <v>0</v>
      </c>
      <c r="Y36" s="195">
        <f t="shared" si="78"/>
        <v>0</v>
      </c>
      <c r="Z36" s="195">
        <f t="shared" si="78"/>
        <v>0</v>
      </c>
      <c r="AA36" s="1"/>
      <c r="AB36" s="1"/>
      <c r="AC36" s="1" t="s">
        <v>299</v>
      </c>
      <c r="AD36" s="1" t="s">
        <v>333</v>
      </c>
      <c r="AE36" s="197"/>
      <c r="AF36" s="197">
        <f t="shared" ref="AF36:AZ36" si="79">IF(YEAR(AF$21)=YEAR($AQ$2),$AB$24,IF(YEAR(AF$21)=YEAR($AQ$2)+1,$AB$25,IF(YEAR(AF$21)=YEAR($AQ$2)+2,$AB$26,IF(YEAR(AF$21)=YEAR($AQ$2)+3,$AB$27,IF(YEAR(AF$21)=YEAR($AQ$2)+4,$AB$28,$AB$29)))))</f>
        <v>0.06</v>
      </c>
      <c r="AG36" s="197">
        <f t="shared" si="79"/>
        <v>0.06</v>
      </c>
      <c r="AH36" s="197">
        <f t="shared" si="79"/>
        <v>0.06</v>
      </c>
      <c r="AI36" s="197">
        <f t="shared" si="79"/>
        <v>0.06</v>
      </c>
      <c r="AJ36" s="197">
        <f t="shared" si="79"/>
        <v>0.06</v>
      </c>
      <c r="AK36" s="197">
        <f t="shared" si="79"/>
        <v>0.06</v>
      </c>
      <c r="AL36" s="197">
        <f t="shared" si="79"/>
        <v>0.06</v>
      </c>
      <c r="AM36" s="197">
        <f t="shared" si="79"/>
        <v>0.06</v>
      </c>
      <c r="AN36" s="197">
        <f t="shared" si="79"/>
        <v>0.06</v>
      </c>
      <c r="AO36" s="197">
        <f t="shared" si="79"/>
        <v>0.06</v>
      </c>
      <c r="AP36" s="197">
        <f t="shared" si="79"/>
        <v>0.06</v>
      </c>
      <c r="AQ36" s="197">
        <f t="shared" si="79"/>
        <v>0.06</v>
      </c>
      <c r="AR36" s="197">
        <f t="shared" si="79"/>
        <v>0.06</v>
      </c>
      <c r="AS36" s="197">
        <f t="shared" si="79"/>
        <v>0.06</v>
      </c>
      <c r="AT36" s="197">
        <f t="shared" si="79"/>
        <v>0.06</v>
      </c>
      <c r="AU36" s="197">
        <f t="shared" si="79"/>
        <v>0.06</v>
      </c>
      <c r="AV36" s="197">
        <f t="shared" si="79"/>
        <v>0.612</v>
      </c>
      <c r="AW36" s="197">
        <f t="shared" si="79"/>
        <v>0.157</v>
      </c>
      <c r="AX36" s="197">
        <f t="shared" si="79"/>
        <v>0.144</v>
      </c>
      <c r="AY36" s="197">
        <f t="shared" si="79"/>
        <v>0.13</v>
      </c>
      <c r="AZ36" s="197">
        <f t="shared" si="79"/>
        <v>0.117</v>
      </c>
      <c r="BA36" s="197"/>
      <c r="BB36" s="197"/>
      <c r="BC36" s="197"/>
    </row>
    <row r="37" ht="15.75" customHeight="1">
      <c r="A37" s="117"/>
      <c r="B37" s="1" t="s">
        <v>298</v>
      </c>
      <c r="C37" s="1"/>
      <c r="D37" s="1"/>
      <c r="E37" s="209">
        <f>IF(YEAR(E$1)=YEAR($AP$2),$AP$5*((12-MONTH($AP$2))/12),IF(YEAR($AP$2)+1=YEAR(E$1),$AP$5*(1+AE54),D37*(1+AE54)))</f>
        <v>0</v>
      </c>
      <c r="F37" s="195">
        <f t="shared" ref="F37:Z37" si="80">IF(YEAR(F$1)=YEAR($AP$2),$AP$5*((13-MONTH($AP$2))/12)*(1+AF54),IF(YEAR(F$1)=YEAR($AP$2)+1,E37/((13-MONTH($AP$2))/12)*(1+AF54),IF(YEAR(F$1)=YEAR($AP$2)+5,0,E37*(1+AF54))))</f>
        <v>0</v>
      </c>
      <c r="G37" s="195">
        <f t="shared" si="80"/>
        <v>0</v>
      </c>
      <c r="H37" s="195">
        <f t="shared" si="80"/>
        <v>0</v>
      </c>
      <c r="I37" s="195">
        <f t="shared" si="80"/>
        <v>0</v>
      </c>
      <c r="J37" s="195">
        <f t="shared" si="80"/>
        <v>0</v>
      </c>
      <c r="K37" s="195">
        <f t="shared" si="80"/>
        <v>0</v>
      </c>
      <c r="L37" s="195">
        <f t="shared" si="80"/>
        <v>0</v>
      </c>
      <c r="M37" s="195">
        <f t="shared" si="80"/>
        <v>0</v>
      </c>
      <c r="N37" s="195">
        <f t="shared" si="80"/>
        <v>0</v>
      </c>
      <c r="O37" s="195">
        <f t="shared" si="80"/>
        <v>0</v>
      </c>
      <c r="P37" s="195">
        <f t="shared" si="80"/>
        <v>0</v>
      </c>
      <c r="Q37" s="195">
        <f t="shared" si="80"/>
        <v>0</v>
      </c>
      <c r="R37" s="195">
        <f t="shared" si="80"/>
        <v>0</v>
      </c>
      <c r="S37" s="195">
        <f t="shared" si="80"/>
        <v>0</v>
      </c>
      <c r="T37" s="195">
        <f t="shared" si="80"/>
        <v>1297856</v>
      </c>
      <c r="U37" s="195">
        <f t="shared" si="80"/>
        <v>1594675.667</v>
      </c>
      <c r="V37" s="195">
        <f t="shared" si="80"/>
        <v>1947577.392</v>
      </c>
      <c r="W37" s="195">
        <f t="shared" si="80"/>
        <v>2063653.005</v>
      </c>
      <c r="X37" s="195">
        <f t="shared" si="80"/>
        <v>2305100.407</v>
      </c>
      <c r="Y37" s="195">
        <f t="shared" si="80"/>
        <v>0</v>
      </c>
      <c r="Z37" s="195">
        <f t="shared" si="80"/>
        <v>0</v>
      </c>
      <c r="AA37" s="1"/>
      <c r="AB37" s="1"/>
      <c r="AC37" s="1" t="s">
        <v>300</v>
      </c>
      <c r="AD37" s="1" t="s">
        <v>333</v>
      </c>
      <c r="AE37" s="197"/>
      <c r="AF37" s="197">
        <f t="shared" ref="AF37:AZ37" si="81">IF(YEAR(AF$21)=YEAR($AR$2),$AB$24,IF(YEAR(AF$21)=YEAR($AR$2)+1,$AB$25,IF(YEAR(AF$21)=YEAR($AR$2)+2,$AB$26,IF(YEAR(AF$21)=YEAR($AR$2)+3,$AB$27,IF(YEAR(AF$21)=YEAR($AR$2)+4,$AB$28,$AB$29)))))</f>
        <v>0.06</v>
      </c>
      <c r="AG37" s="197">
        <f t="shared" si="81"/>
        <v>0.06</v>
      </c>
      <c r="AH37" s="197">
        <f t="shared" si="81"/>
        <v>0.06</v>
      </c>
      <c r="AI37" s="197">
        <f t="shared" si="81"/>
        <v>0.06</v>
      </c>
      <c r="AJ37" s="197">
        <f t="shared" si="81"/>
        <v>0.06</v>
      </c>
      <c r="AK37" s="197">
        <f t="shared" si="81"/>
        <v>0.06</v>
      </c>
      <c r="AL37" s="197">
        <f t="shared" si="81"/>
        <v>0.06</v>
      </c>
      <c r="AM37" s="197">
        <f t="shared" si="81"/>
        <v>0.06</v>
      </c>
      <c r="AN37" s="197">
        <f t="shared" si="81"/>
        <v>0.06</v>
      </c>
      <c r="AO37" s="197">
        <f t="shared" si="81"/>
        <v>0.06</v>
      </c>
      <c r="AP37" s="197">
        <f t="shared" si="81"/>
        <v>0.06</v>
      </c>
      <c r="AQ37" s="197">
        <f t="shared" si="81"/>
        <v>0.06</v>
      </c>
      <c r="AR37" s="197">
        <f t="shared" si="81"/>
        <v>0.06</v>
      </c>
      <c r="AS37" s="197">
        <f t="shared" si="81"/>
        <v>0.06</v>
      </c>
      <c r="AT37" s="197">
        <f t="shared" si="81"/>
        <v>0.06</v>
      </c>
      <c r="AU37" s="197">
        <f t="shared" si="81"/>
        <v>0.06</v>
      </c>
      <c r="AV37" s="197">
        <f t="shared" si="81"/>
        <v>0.06</v>
      </c>
      <c r="AW37" s="197">
        <f t="shared" si="81"/>
        <v>0.06</v>
      </c>
      <c r="AX37" s="197">
        <f t="shared" si="81"/>
        <v>0.612</v>
      </c>
      <c r="AY37" s="197">
        <f t="shared" si="81"/>
        <v>0.157</v>
      </c>
      <c r="AZ37" s="197">
        <f t="shared" si="81"/>
        <v>0.144</v>
      </c>
      <c r="BA37" s="197"/>
      <c r="BB37" s="197"/>
      <c r="BC37" s="197"/>
    </row>
    <row r="38" ht="15.75" customHeight="1">
      <c r="A38" s="117"/>
      <c r="B38" s="1" t="s">
        <v>299</v>
      </c>
      <c r="C38" s="1"/>
      <c r="D38" s="1"/>
      <c r="E38" s="209">
        <f>IF(YEAR(E$1)=YEAR($AQ$2),$AQ$5*((12-MONTH($AQ$2))/12),IF(YEAR($AQ$2)+1=YEAR(E$1),$AQ$5*(1+AE55),D38*(1+AE55)))</f>
        <v>0</v>
      </c>
      <c r="F38" s="195">
        <f t="shared" ref="F38:Z38" si="82">IF(YEAR(F$1)=YEAR($AQ$2),$AQ$5*((13-MONTH($AQ$2))/12)*(1+AF55),IF(YEAR(F$1)=YEAR($AQ$2)+1,E38/((13-MONTH($AQ$2))/12)*(1+AF55),IF(YEAR(F$1)=YEAR($AQ$2)+5,0,E38*(1+AF55))))</f>
        <v>0</v>
      </c>
      <c r="G38" s="195">
        <f t="shared" si="82"/>
        <v>0</v>
      </c>
      <c r="H38" s="195">
        <f t="shared" si="82"/>
        <v>0</v>
      </c>
      <c r="I38" s="195">
        <f t="shared" si="82"/>
        <v>0</v>
      </c>
      <c r="J38" s="195">
        <f t="shared" si="82"/>
        <v>0</v>
      </c>
      <c r="K38" s="195">
        <f t="shared" si="82"/>
        <v>0</v>
      </c>
      <c r="L38" s="195">
        <f t="shared" si="82"/>
        <v>0</v>
      </c>
      <c r="M38" s="195">
        <f t="shared" si="82"/>
        <v>0</v>
      </c>
      <c r="N38" s="195">
        <f t="shared" si="82"/>
        <v>0</v>
      </c>
      <c r="O38" s="195">
        <f t="shared" si="82"/>
        <v>0</v>
      </c>
      <c r="P38" s="195">
        <f t="shared" si="82"/>
        <v>0</v>
      </c>
      <c r="Q38" s="195">
        <f t="shared" si="82"/>
        <v>0</v>
      </c>
      <c r="R38" s="195">
        <f t="shared" si="82"/>
        <v>0</v>
      </c>
      <c r="S38" s="195">
        <f t="shared" si="82"/>
        <v>0</v>
      </c>
      <c r="T38" s="195">
        <f t="shared" si="82"/>
        <v>0</v>
      </c>
      <c r="U38" s="195">
        <f t="shared" si="82"/>
        <v>0</v>
      </c>
      <c r="V38" s="195">
        <f t="shared" si="82"/>
        <v>1564380</v>
      </c>
      <c r="W38" s="195">
        <f t="shared" si="82"/>
        <v>1922153.706</v>
      </c>
      <c r="X38" s="195">
        <f t="shared" si="82"/>
        <v>2347526.321</v>
      </c>
      <c r="Y38" s="195">
        <f t="shared" si="82"/>
        <v>2487438.89</v>
      </c>
      <c r="Z38" s="195">
        <f t="shared" si="82"/>
        <v>2778469.24</v>
      </c>
      <c r="AA38" s="1"/>
      <c r="AB38" s="1"/>
      <c r="AC38" s="1" t="s">
        <v>301</v>
      </c>
      <c r="AD38" s="1" t="s">
        <v>333</v>
      </c>
      <c r="AE38" s="197"/>
      <c r="AF38" s="197">
        <f t="shared" ref="AF38:AY38" si="83">IF(YEAR(AF$21)=YEAR($AS$2),$AB$24,IF(YEAR(AG$21)=YEAR($AS$2)+1,$AB$25,IF(YEAR(AG$21)=YEAR($AS$2)+2,$AB$26,IF(YEAR(AG$21)=YEAR($AS$2)+3,$AB$27,IF(YEAR(AG$21)=YEAR($AS$2)+4,$AB$28,$AB$29)))))</f>
        <v>0.06</v>
      </c>
      <c r="AG38" s="197">
        <f t="shared" si="83"/>
        <v>0.06</v>
      </c>
      <c r="AH38" s="197">
        <f t="shared" si="83"/>
        <v>0.06</v>
      </c>
      <c r="AI38" s="197">
        <f t="shared" si="83"/>
        <v>0.06</v>
      </c>
      <c r="AJ38" s="197">
        <f t="shared" si="83"/>
        <v>0.06</v>
      </c>
      <c r="AK38" s="197">
        <f t="shared" si="83"/>
        <v>0.06</v>
      </c>
      <c r="AL38" s="197">
        <f t="shared" si="83"/>
        <v>0.06</v>
      </c>
      <c r="AM38" s="197">
        <f t="shared" si="83"/>
        <v>0.06</v>
      </c>
      <c r="AN38" s="197">
        <f t="shared" si="83"/>
        <v>0.06</v>
      </c>
      <c r="AO38" s="197">
        <f t="shared" si="83"/>
        <v>0.06</v>
      </c>
      <c r="AP38" s="197">
        <f t="shared" si="83"/>
        <v>0.06</v>
      </c>
      <c r="AQ38" s="197">
        <f t="shared" si="83"/>
        <v>0.06</v>
      </c>
      <c r="AR38" s="197">
        <f t="shared" si="83"/>
        <v>0.06</v>
      </c>
      <c r="AS38" s="197">
        <f t="shared" si="83"/>
        <v>0.06</v>
      </c>
      <c r="AT38" s="197">
        <f t="shared" si="83"/>
        <v>0.06</v>
      </c>
      <c r="AU38" s="197">
        <f t="shared" si="83"/>
        <v>0.06</v>
      </c>
      <c r="AV38" s="197">
        <f t="shared" si="83"/>
        <v>0.06</v>
      </c>
      <c r="AW38" s="197">
        <f t="shared" si="83"/>
        <v>0.06</v>
      </c>
      <c r="AX38" s="197">
        <f t="shared" si="83"/>
        <v>0.06</v>
      </c>
      <c r="AY38" s="197">
        <f t="shared" si="83"/>
        <v>0.06</v>
      </c>
      <c r="AZ38" s="197">
        <f>IF(YEAR(AZ$21)=YEAR($AS$2),$AB$24,IF(YEAR(BD$21)=YEAR($AS$2)+1,$AB$25,IF(YEAR(BD$21)=YEAR($AS$2)+2,$AB$26,IF(YEAR(BD$21)=YEAR($AS$2)+3,$AB$27,IF(YEAR(BD$21)=YEAR($AS$2)+4,$AB$28,$AB$29)))))</f>
        <v>0.612</v>
      </c>
      <c r="BA38" s="197"/>
      <c r="BB38" s="197"/>
      <c r="BC38" s="197"/>
    </row>
    <row r="39" ht="15.75" customHeight="1">
      <c r="A39" s="117"/>
      <c r="B39" s="1" t="s">
        <v>300</v>
      </c>
      <c r="C39" s="1"/>
      <c r="D39" s="1"/>
      <c r="E39" s="209">
        <f>IF(YEAR(E$1)=YEAR($AR$2),$AR$5*((12-MONTH($AR$2))/12),IF(YEAR($AR$2)+1=YEAR(E$1),$AR$5*(1+AE56),D39*(1+AE56)))</f>
        <v>0</v>
      </c>
      <c r="F39" s="195">
        <f t="shared" ref="F39:Z39" si="84">IF(YEAR(F$1)=YEAR($AR$2),$AR$5*((13-MONTH($AR$2))/12)*(1+AF56),IF(YEAR(F$1)=YEAR($AR$2)+1,E39/((13-MONTH($AR$2))/12)*(1+AF56),IF(YEAR(F$1)=YEAR($AR$2)+5,0,E39*(1+AF56))))</f>
        <v>0</v>
      </c>
      <c r="G39" s="195">
        <f t="shared" si="84"/>
        <v>0</v>
      </c>
      <c r="H39" s="195">
        <f t="shared" si="84"/>
        <v>0</v>
      </c>
      <c r="I39" s="195">
        <f t="shared" si="84"/>
        <v>0</v>
      </c>
      <c r="J39" s="195">
        <f t="shared" si="84"/>
        <v>0</v>
      </c>
      <c r="K39" s="195">
        <f t="shared" si="84"/>
        <v>0</v>
      </c>
      <c r="L39" s="195">
        <f t="shared" si="84"/>
        <v>0</v>
      </c>
      <c r="M39" s="195">
        <f t="shared" si="84"/>
        <v>0</v>
      </c>
      <c r="N39" s="195">
        <f t="shared" si="84"/>
        <v>0</v>
      </c>
      <c r="O39" s="195">
        <f t="shared" si="84"/>
        <v>0</v>
      </c>
      <c r="P39" s="195">
        <f t="shared" si="84"/>
        <v>0</v>
      </c>
      <c r="Q39" s="195">
        <f t="shared" si="84"/>
        <v>0</v>
      </c>
      <c r="R39" s="195">
        <f t="shared" si="84"/>
        <v>0</v>
      </c>
      <c r="S39" s="195">
        <f t="shared" si="84"/>
        <v>0</v>
      </c>
      <c r="T39" s="195">
        <f t="shared" si="84"/>
        <v>0</v>
      </c>
      <c r="U39" s="195">
        <f t="shared" si="84"/>
        <v>0</v>
      </c>
      <c r="V39" s="195">
        <f t="shared" si="84"/>
        <v>0</v>
      </c>
      <c r="W39" s="195">
        <f t="shared" si="84"/>
        <v>0</v>
      </c>
      <c r="X39" s="195">
        <f t="shared" si="84"/>
        <v>1946784</v>
      </c>
      <c r="Y39" s="195">
        <f t="shared" si="84"/>
        <v>2392013.501</v>
      </c>
      <c r="Z39" s="195">
        <f t="shared" si="84"/>
        <v>2921366.089</v>
      </c>
      <c r="AA39" s="1"/>
      <c r="AB39" s="1"/>
      <c r="AC39" s="1" t="s">
        <v>302</v>
      </c>
      <c r="AD39" s="1" t="s">
        <v>333</v>
      </c>
      <c r="AE39" s="197"/>
      <c r="AF39" s="197">
        <f t="shared" ref="AF39:AZ39" si="85">IF(YEAR(AF$21)=YEAR($AT$2),$AB$24,IF(YEAR(AF$21)=YEAR($AT$2)+1,$AB$25,IF(YEAR(AF$21)=YEAR($AT$2)+2,$AB$26,IF(YEAR(AF$21)=YEAR($AT$2)+3,$AB$27,IF(YEAR(AF$21)=YEAR($AT$2)+4,$AB$28,$AB$29)))))</f>
        <v>0.06</v>
      </c>
      <c r="AG39" s="197">
        <f t="shared" si="85"/>
        <v>0.06</v>
      </c>
      <c r="AH39" s="197">
        <f t="shared" si="85"/>
        <v>0.06</v>
      </c>
      <c r="AI39" s="197">
        <f t="shared" si="85"/>
        <v>0.06</v>
      </c>
      <c r="AJ39" s="197">
        <f t="shared" si="85"/>
        <v>0.06</v>
      </c>
      <c r="AK39" s="197">
        <f t="shared" si="85"/>
        <v>0.06</v>
      </c>
      <c r="AL39" s="197">
        <f t="shared" si="85"/>
        <v>0.06</v>
      </c>
      <c r="AM39" s="197">
        <f t="shared" si="85"/>
        <v>0.06</v>
      </c>
      <c r="AN39" s="197">
        <f t="shared" si="85"/>
        <v>0.06</v>
      </c>
      <c r="AO39" s="197">
        <f t="shared" si="85"/>
        <v>0.06</v>
      </c>
      <c r="AP39" s="197">
        <f t="shared" si="85"/>
        <v>0.06</v>
      </c>
      <c r="AQ39" s="197">
        <f t="shared" si="85"/>
        <v>0.06</v>
      </c>
      <c r="AR39" s="197">
        <f t="shared" si="85"/>
        <v>0.06</v>
      </c>
      <c r="AS39" s="197">
        <f t="shared" si="85"/>
        <v>0.06</v>
      </c>
      <c r="AT39" s="197">
        <f t="shared" si="85"/>
        <v>0.06</v>
      </c>
      <c r="AU39" s="197">
        <f t="shared" si="85"/>
        <v>0.06</v>
      </c>
      <c r="AV39" s="197">
        <f t="shared" si="85"/>
        <v>0.06</v>
      </c>
      <c r="AW39" s="197">
        <f t="shared" si="85"/>
        <v>0.06</v>
      </c>
      <c r="AX39" s="197">
        <f t="shared" si="85"/>
        <v>0.06</v>
      </c>
      <c r="AY39" s="197">
        <f t="shared" si="85"/>
        <v>0.06</v>
      </c>
      <c r="AZ39" s="197">
        <f t="shared" si="85"/>
        <v>0.06</v>
      </c>
      <c r="BA39" s="197"/>
      <c r="BB39" s="197"/>
      <c r="BC39" s="197"/>
    </row>
    <row r="40" ht="15.75" customHeight="1">
      <c r="A40" s="117"/>
      <c r="B40" s="1" t="s">
        <v>301</v>
      </c>
      <c r="C40" s="1"/>
      <c r="D40" s="1"/>
      <c r="E40" s="209">
        <f>IF(YEAR(E$1)=YEAR($AS$2),$AS$5*((12-MONTH($AS$2))/12),IF(YEAR($AS$2)+1=YEAR(E$1),$AS$5*(1+AE57),D40*(1+AE57)))</f>
        <v>0</v>
      </c>
      <c r="F40" s="195">
        <f t="shared" ref="F40:Z40" si="86">IF(YEAR(F$1)=YEAR($AS$2),$AS$5*((13-MONTH($AS$2))/12)*(1+AF57),IF(YEAR(F$1)=YEAR($AS$2)+1,E40/((13-MONTH($AS$2))/12)*(1+AF57),IF(YEAR(F$1)=YEAR($AS$2)+5,0,E40*(1+AF57))))</f>
        <v>0</v>
      </c>
      <c r="G40" s="195">
        <f t="shared" si="86"/>
        <v>0</v>
      </c>
      <c r="H40" s="195">
        <f t="shared" si="86"/>
        <v>0</v>
      </c>
      <c r="I40" s="195">
        <f t="shared" si="86"/>
        <v>0</v>
      </c>
      <c r="J40" s="195">
        <f t="shared" si="86"/>
        <v>0</v>
      </c>
      <c r="K40" s="195">
        <f t="shared" si="86"/>
        <v>0</v>
      </c>
      <c r="L40" s="195">
        <f t="shared" si="86"/>
        <v>0</v>
      </c>
      <c r="M40" s="195">
        <f t="shared" si="86"/>
        <v>0</v>
      </c>
      <c r="N40" s="195">
        <f t="shared" si="86"/>
        <v>0</v>
      </c>
      <c r="O40" s="195">
        <f t="shared" si="86"/>
        <v>0</v>
      </c>
      <c r="P40" s="195">
        <f t="shared" si="86"/>
        <v>0</v>
      </c>
      <c r="Q40" s="195">
        <f t="shared" si="86"/>
        <v>0</v>
      </c>
      <c r="R40" s="195">
        <f t="shared" si="86"/>
        <v>0</v>
      </c>
      <c r="S40" s="195">
        <f t="shared" si="86"/>
        <v>0</v>
      </c>
      <c r="T40" s="195">
        <f t="shared" si="86"/>
        <v>0</v>
      </c>
      <c r="U40" s="195">
        <f t="shared" si="86"/>
        <v>0</v>
      </c>
      <c r="V40" s="195">
        <f t="shared" si="86"/>
        <v>0</v>
      </c>
      <c r="W40" s="195">
        <f t="shared" si="86"/>
        <v>0</v>
      </c>
      <c r="X40" s="195">
        <f t="shared" si="86"/>
        <v>0</v>
      </c>
      <c r="Y40" s="195">
        <f t="shared" si="86"/>
        <v>0</v>
      </c>
      <c r="Z40" s="195">
        <f t="shared" si="86"/>
        <v>1390560</v>
      </c>
      <c r="AA40" s="1"/>
      <c r="AB40" s="1"/>
      <c r="AC40" s="1" t="s">
        <v>303</v>
      </c>
      <c r="AD40" s="1" t="s">
        <v>333</v>
      </c>
      <c r="AE40" s="197"/>
      <c r="AF40" s="197">
        <f t="shared" ref="AF40:AZ40" si="87">IF(YEAR(AF$21)=YEAR($AU$2),$AB$24,IF(YEAR(AF$21)=YEAR($AU$2)+1,$AB$25,IF(YEAR(AF$21)=YEAR($AU$2)+2,$AB$26,IF(YEAR(AF$21)=YEAR($AU$2)+3,$AB$27,IF(YEAR(AF$21)=YEAR($AU$2)+4,$AB$28,$AB$29)))))</f>
        <v>0.06</v>
      </c>
      <c r="AG40" s="197">
        <f t="shared" si="87"/>
        <v>0.06</v>
      </c>
      <c r="AH40" s="197">
        <f t="shared" si="87"/>
        <v>0.06</v>
      </c>
      <c r="AI40" s="197">
        <f t="shared" si="87"/>
        <v>0.06</v>
      </c>
      <c r="AJ40" s="197">
        <f t="shared" si="87"/>
        <v>0.06</v>
      </c>
      <c r="AK40" s="197">
        <f t="shared" si="87"/>
        <v>0.06</v>
      </c>
      <c r="AL40" s="197">
        <f t="shared" si="87"/>
        <v>0.06</v>
      </c>
      <c r="AM40" s="197">
        <f t="shared" si="87"/>
        <v>0.06</v>
      </c>
      <c r="AN40" s="197">
        <f t="shared" si="87"/>
        <v>0.06</v>
      </c>
      <c r="AO40" s="197">
        <f t="shared" si="87"/>
        <v>0.06</v>
      </c>
      <c r="AP40" s="197">
        <f t="shared" si="87"/>
        <v>0.06</v>
      </c>
      <c r="AQ40" s="197">
        <f t="shared" si="87"/>
        <v>0.06</v>
      </c>
      <c r="AR40" s="197">
        <f t="shared" si="87"/>
        <v>0.06</v>
      </c>
      <c r="AS40" s="197">
        <f t="shared" si="87"/>
        <v>0.06</v>
      </c>
      <c r="AT40" s="197">
        <f t="shared" si="87"/>
        <v>0.06</v>
      </c>
      <c r="AU40" s="197">
        <f t="shared" si="87"/>
        <v>0.06</v>
      </c>
      <c r="AV40" s="197">
        <f t="shared" si="87"/>
        <v>0.06</v>
      </c>
      <c r="AW40" s="197">
        <f t="shared" si="87"/>
        <v>0.06</v>
      </c>
      <c r="AX40" s="197">
        <f t="shared" si="87"/>
        <v>0.06</v>
      </c>
      <c r="AY40" s="197">
        <f t="shared" si="87"/>
        <v>0.06</v>
      </c>
      <c r="AZ40" s="197">
        <f t="shared" si="87"/>
        <v>0.06</v>
      </c>
      <c r="BA40" s="197"/>
      <c r="BB40" s="197"/>
      <c r="BC40" s="197"/>
    </row>
    <row r="41" ht="15.75" customHeight="1">
      <c r="A41" s="117"/>
      <c r="B41" s="1" t="s">
        <v>302</v>
      </c>
      <c r="C41" s="1"/>
      <c r="D41" s="1"/>
      <c r="E41" s="209">
        <f>IF(YEAR(E$1)=YEAR($AT$2),$AT$5*((12-MONTH($AT$2))/12),IF(YEAR($AT$2)+1=YEAR(E$1),$AT$5*(1+AE58),D41*(1+AE58)))</f>
        <v>0</v>
      </c>
      <c r="F41" s="195">
        <f t="shared" ref="F41:Z41" si="88">IF(YEAR(F$1)=YEAR($AT$2),$AT$5*((13-MONTH($AT$2))/12)*(1+AF58),IF(YEAR(F$1)=YEAR($AT$2)+1,E41/((13-MONTH($AT$2))/12)*(1+AF58),IF(YEAR(F$1)=YEAR($AT$2)+5,0,E41*(1+AF58))))</f>
        <v>0</v>
      </c>
      <c r="G41" s="195">
        <f t="shared" si="88"/>
        <v>0</v>
      </c>
      <c r="H41" s="195">
        <f t="shared" si="88"/>
        <v>0</v>
      </c>
      <c r="I41" s="195">
        <f t="shared" si="88"/>
        <v>0</v>
      </c>
      <c r="J41" s="195">
        <f t="shared" si="88"/>
        <v>0</v>
      </c>
      <c r="K41" s="195">
        <f t="shared" si="88"/>
        <v>0</v>
      </c>
      <c r="L41" s="195">
        <f t="shared" si="88"/>
        <v>0</v>
      </c>
      <c r="M41" s="195">
        <f t="shared" si="88"/>
        <v>0</v>
      </c>
      <c r="N41" s="195">
        <f t="shared" si="88"/>
        <v>0</v>
      </c>
      <c r="O41" s="195">
        <f t="shared" si="88"/>
        <v>0</v>
      </c>
      <c r="P41" s="195">
        <f t="shared" si="88"/>
        <v>0</v>
      </c>
      <c r="Q41" s="195">
        <f t="shared" si="88"/>
        <v>0</v>
      </c>
      <c r="R41" s="195">
        <f t="shared" si="88"/>
        <v>0</v>
      </c>
      <c r="S41" s="195">
        <f t="shared" si="88"/>
        <v>0</v>
      </c>
      <c r="T41" s="195">
        <f t="shared" si="88"/>
        <v>0</v>
      </c>
      <c r="U41" s="195">
        <f t="shared" si="88"/>
        <v>0</v>
      </c>
      <c r="V41" s="195">
        <f t="shared" si="88"/>
        <v>0</v>
      </c>
      <c r="W41" s="195">
        <f t="shared" si="88"/>
        <v>0</v>
      </c>
      <c r="X41" s="195">
        <f t="shared" si="88"/>
        <v>0</v>
      </c>
      <c r="Y41" s="195">
        <f t="shared" si="88"/>
        <v>0</v>
      </c>
      <c r="Z41" s="195">
        <f t="shared" si="88"/>
        <v>0</v>
      </c>
      <c r="AA41" s="1"/>
      <c r="AB41" s="1"/>
      <c r="AC41" s="1"/>
      <c r="AD41" s="1"/>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row>
    <row r="42" ht="15.75" customHeight="1">
      <c r="A42" s="117"/>
      <c r="B42" s="1" t="s">
        <v>303</v>
      </c>
      <c r="C42" s="1"/>
      <c r="D42" s="1"/>
      <c r="E42" s="209">
        <f>IF(YEAR(E$1)=YEAR($AU$2),$AU$5*((12-MONTH($AU$2))/12),IF(YEAR($AU$2)+1=YEAR(E$1),$AU$5*(1+AE59),D42*(1+AE59)))</f>
        <v>0</v>
      </c>
      <c r="F42" s="195">
        <f t="shared" ref="F42:Z42" si="89">IF(YEAR(F$1)=YEAR($AU$2),$AU$5*((13-MONTH($AU$2))/12)*(1+AF59),IF(YEAR(F$1)=YEAR($AU$2)+1,E42/((13-MONTH($AU$2))/12)*(1+AF59),IF(YEAR(F$1)=YEAR($AU$2)+5,0,E42*(1+AF59))))</f>
        <v>0</v>
      </c>
      <c r="G42" s="195">
        <f t="shared" si="89"/>
        <v>0</v>
      </c>
      <c r="H42" s="195">
        <f t="shared" si="89"/>
        <v>0</v>
      </c>
      <c r="I42" s="195">
        <f t="shared" si="89"/>
        <v>0</v>
      </c>
      <c r="J42" s="195">
        <f t="shared" si="89"/>
        <v>0</v>
      </c>
      <c r="K42" s="195">
        <f t="shared" si="89"/>
        <v>0</v>
      </c>
      <c r="L42" s="195">
        <f t="shared" si="89"/>
        <v>0</v>
      </c>
      <c r="M42" s="195">
        <f t="shared" si="89"/>
        <v>0</v>
      </c>
      <c r="N42" s="195">
        <f t="shared" si="89"/>
        <v>0</v>
      </c>
      <c r="O42" s="195">
        <f t="shared" si="89"/>
        <v>0</v>
      </c>
      <c r="P42" s="195">
        <f t="shared" si="89"/>
        <v>0</v>
      </c>
      <c r="Q42" s="195">
        <f t="shared" si="89"/>
        <v>0</v>
      </c>
      <c r="R42" s="195">
        <f t="shared" si="89"/>
        <v>0</v>
      </c>
      <c r="S42" s="195">
        <f t="shared" si="89"/>
        <v>0</v>
      </c>
      <c r="T42" s="195">
        <f t="shared" si="89"/>
        <v>0</v>
      </c>
      <c r="U42" s="195">
        <f t="shared" si="89"/>
        <v>0</v>
      </c>
      <c r="V42" s="195">
        <f t="shared" si="89"/>
        <v>0</v>
      </c>
      <c r="W42" s="195">
        <f t="shared" si="89"/>
        <v>0</v>
      </c>
      <c r="X42" s="195">
        <f t="shared" si="89"/>
        <v>0</v>
      </c>
      <c r="Y42" s="195">
        <f t="shared" si="89"/>
        <v>0</v>
      </c>
      <c r="Z42" s="195">
        <f t="shared" si="89"/>
        <v>0</v>
      </c>
      <c r="AA42" s="1" t="s">
        <v>340</v>
      </c>
      <c r="AB42" s="1" t="s">
        <v>328</v>
      </c>
      <c r="AC42" s="1" t="s">
        <v>329</v>
      </c>
      <c r="AD42" s="1" t="s">
        <v>341</v>
      </c>
      <c r="AE42" s="130"/>
      <c r="AF42" s="130"/>
      <c r="AG42" s="130"/>
      <c r="AH42" s="130"/>
      <c r="AI42" s="130"/>
      <c r="AJ42" s="130"/>
      <c r="AK42" s="197">
        <v>0.05</v>
      </c>
      <c r="AL42" s="197">
        <v>0.05</v>
      </c>
      <c r="AM42" s="197">
        <v>0.05</v>
      </c>
      <c r="AN42" s="197">
        <v>0.05</v>
      </c>
      <c r="AO42" s="197">
        <v>0.05</v>
      </c>
      <c r="AP42" s="197">
        <v>0.05</v>
      </c>
      <c r="AQ42" s="197">
        <v>0.05</v>
      </c>
      <c r="AR42" s="197">
        <v>0.05</v>
      </c>
      <c r="AS42" s="197">
        <v>0.05</v>
      </c>
      <c r="AT42" s="197">
        <v>0.05</v>
      </c>
      <c r="AU42" s="197">
        <v>0.05</v>
      </c>
      <c r="AV42" s="197">
        <v>0.05</v>
      </c>
      <c r="AW42" s="197">
        <v>0.05</v>
      </c>
      <c r="AX42" s="197">
        <v>0.05</v>
      </c>
      <c r="AY42" s="197">
        <v>0.05</v>
      </c>
      <c r="AZ42" s="197">
        <v>0.05</v>
      </c>
      <c r="BA42" s="197"/>
      <c r="BB42" s="197"/>
      <c r="BC42" s="197"/>
    </row>
    <row r="43" ht="15.75" customHeight="1">
      <c r="A43" s="117"/>
      <c r="B43" s="204" t="s">
        <v>73</v>
      </c>
      <c r="C43" s="205">
        <f t="shared" ref="C43:Z43" si="90">SUM(C25:C42)</f>
        <v>261381</v>
      </c>
      <c r="D43" s="205">
        <f t="shared" si="90"/>
        <v>278353</v>
      </c>
      <c r="E43" s="206">
        <f t="shared" si="90"/>
        <v>442755.8737</v>
      </c>
      <c r="F43" s="206">
        <f t="shared" si="90"/>
        <v>4686197.621</v>
      </c>
      <c r="G43" s="206">
        <f t="shared" si="90"/>
        <v>10967123.1</v>
      </c>
      <c r="H43" s="206">
        <f t="shared" si="90"/>
        <v>16243764.24</v>
      </c>
      <c r="I43" s="206">
        <f t="shared" si="90"/>
        <v>28487411.36</v>
      </c>
      <c r="J43" s="206">
        <f t="shared" si="90"/>
        <v>36063667.59</v>
      </c>
      <c r="K43" s="206">
        <f t="shared" si="90"/>
        <v>39612786.73</v>
      </c>
      <c r="L43" s="206">
        <f t="shared" si="90"/>
        <v>38299103.98</v>
      </c>
      <c r="M43" s="206">
        <f t="shared" si="90"/>
        <v>44001646.29</v>
      </c>
      <c r="N43" s="206">
        <f t="shared" si="90"/>
        <v>42776674.94</v>
      </c>
      <c r="O43" s="206">
        <f t="shared" si="90"/>
        <v>48729739.7</v>
      </c>
      <c r="P43" s="206">
        <f t="shared" si="90"/>
        <v>46524084.23</v>
      </c>
      <c r="Q43" s="206">
        <f t="shared" si="90"/>
        <v>50869695.9</v>
      </c>
      <c r="R43" s="206">
        <f t="shared" si="90"/>
        <v>49110977.7</v>
      </c>
      <c r="S43" s="206">
        <f t="shared" si="90"/>
        <v>53182512.68</v>
      </c>
      <c r="T43" s="206">
        <f t="shared" si="90"/>
        <v>51674971.7</v>
      </c>
      <c r="U43" s="206">
        <f t="shared" si="90"/>
        <v>56810338.82</v>
      </c>
      <c r="V43" s="206">
        <f t="shared" si="90"/>
        <v>57239015.91</v>
      </c>
      <c r="W43" s="206">
        <f t="shared" si="90"/>
        <v>58529030.73</v>
      </c>
      <c r="X43" s="206">
        <f t="shared" si="90"/>
        <v>58842769.58</v>
      </c>
      <c r="Y43" s="206">
        <f t="shared" si="90"/>
        <v>59780345.27</v>
      </c>
      <c r="Z43" s="206">
        <f t="shared" si="90"/>
        <v>59005049.27</v>
      </c>
      <c r="AA43" s="1" t="s">
        <v>331</v>
      </c>
      <c r="AB43" s="208">
        <v>0.1588</v>
      </c>
      <c r="AC43" s="1" t="s">
        <v>332</v>
      </c>
      <c r="AD43" s="1" t="s">
        <v>342</v>
      </c>
      <c r="AE43" s="197"/>
      <c r="AF43" s="197">
        <f t="shared" ref="AF43:AJ43" si="91">IF(YEAR(AF$21)=YEAR($AE$2),$AB$43,IF(YEAR(AF$21)=YEAR($AE$2)+1,$AB$44,IF(YEAR(AF$21)=YEAR($AE$2)+2,$AB$45,IF(YEAR(AF$21)=YEAR($AE$2)+3,$AB$46,IF(YEAR(AF$21)=YEAR($AE$2)+4,$AB$47,$AB$48)))))</f>
        <v>0.05</v>
      </c>
      <c r="AG43" s="197">
        <f t="shared" si="91"/>
        <v>0.1588</v>
      </c>
      <c r="AH43" s="197">
        <f t="shared" si="91"/>
        <v>0.2287</v>
      </c>
      <c r="AI43" s="197">
        <f t="shared" si="91"/>
        <v>0.2213</v>
      </c>
      <c r="AJ43" s="197">
        <f t="shared" si="91"/>
        <v>0.0596</v>
      </c>
      <c r="AK43" s="197">
        <f t="shared" ref="AK43:AZ43" si="92">IF(YEAR(AK$21)=YEAR($AE$2),$AB$43,IF(YEAR(AK$21)=YEAR($AE$2)+1,$AB$44,IF(YEAR(AK$21)=YEAR($AE$2)+2,$AB$45,IF(YEAR(AK$21)=YEAR($AE$2)+3,$AB$46,IF(YEAR(AK$21)=YEAR($AE$2)+4,$AB$47,IF(YEAR(AK$21)=YEAR($AV$2),$AB$43,IF(YEAR(AK$21)=YEAR($AV$2)+1,$AB$44,IF(YEAR(AK$21)=YEAR($AV$2)+2,$AB$45,IF(YEAR(AK$21)=YEAR($AV$2)+3,$AB$46,IF(YEAR(AK$21)=YEAR($AV$2)+4,$AB$47,$AB$48))))))))))</f>
        <v>0.0588</v>
      </c>
      <c r="AL43" s="197">
        <f t="shared" si="92"/>
        <v>0.05</v>
      </c>
      <c r="AM43" s="197">
        <f t="shared" si="92"/>
        <v>0.05</v>
      </c>
      <c r="AN43" s="197">
        <f t="shared" si="92"/>
        <v>0.05</v>
      </c>
      <c r="AO43" s="197">
        <f t="shared" si="92"/>
        <v>0.1588</v>
      </c>
      <c r="AP43" s="197">
        <f t="shared" si="92"/>
        <v>0.2287</v>
      </c>
      <c r="AQ43" s="197">
        <f t="shared" si="92"/>
        <v>0.2213</v>
      </c>
      <c r="AR43" s="197">
        <f t="shared" si="92"/>
        <v>0.0596</v>
      </c>
      <c r="AS43" s="197">
        <f t="shared" si="92"/>
        <v>0.0588</v>
      </c>
      <c r="AT43" s="197">
        <f t="shared" si="92"/>
        <v>0.05</v>
      </c>
      <c r="AU43" s="197">
        <f t="shared" si="92"/>
        <v>0.05</v>
      </c>
      <c r="AV43" s="197">
        <f t="shared" si="92"/>
        <v>0.05</v>
      </c>
      <c r="AW43" s="197">
        <f t="shared" si="92"/>
        <v>0.05</v>
      </c>
      <c r="AX43" s="197">
        <f t="shared" si="92"/>
        <v>0.05</v>
      </c>
      <c r="AY43" s="197">
        <f t="shared" si="92"/>
        <v>0.05</v>
      </c>
      <c r="AZ43" s="197">
        <f t="shared" si="92"/>
        <v>0.05</v>
      </c>
      <c r="BA43" s="197"/>
      <c r="BB43" s="197"/>
      <c r="BC43" s="197"/>
    </row>
    <row r="44" ht="15.75" customHeight="1">
      <c r="A44" s="117"/>
      <c r="B44" s="4" t="s">
        <v>104</v>
      </c>
      <c r="C44" s="118">
        <f t="shared" ref="C44:Z44" si="93">C21-C43</f>
        <v>14702624</v>
      </c>
      <c r="D44" s="118">
        <f t="shared" si="93"/>
        <v>14417404</v>
      </c>
      <c r="E44" s="210">
        <f t="shared" si="93"/>
        <v>15840854.76</v>
      </c>
      <c r="F44" s="210">
        <f t="shared" si="93"/>
        <v>35586224.46</v>
      </c>
      <c r="G44" s="210">
        <f t="shared" si="93"/>
        <v>56529969.1</v>
      </c>
      <c r="H44" s="210">
        <f t="shared" si="93"/>
        <v>66337032.33</v>
      </c>
      <c r="I44" s="210">
        <f t="shared" si="93"/>
        <v>77509579.49</v>
      </c>
      <c r="J44" s="210">
        <f t="shared" si="93"/>
        <v>85152636.36</v>
      </c>
      <c r="K44" s="210">
        <f t="shared" si="93"/>
        <v>90397073.61</v>
      </c>
      <c r="L44" s="210">
        <f t="shared" si="93"/>
        <v>89779412.25</v>
      </c>
      <c r="M44" s="210">
        <f t="shared" si="93"/>
        <v>103180368.4</v>
      </c>
      <c r="N44" s="210">
        <f t="shared" si="93"/>
        <v>103328554.9</v>
      </c>
      <c r="O44" s="210">
        <f t="shared" si="93"/>
        <v>115233885.3</v>
      </c>
      <c r="P44" s="210">
        <f t="shared" si="93"/>
        <v>111869212.8</v>
      </c>
      <c r="Q44" s="210">
        <f t="shared" si="93"/>
        <v>120964337.5</v>
      </c>
      <c r="R44" s="210">
        <f t="shared" si="93"/>
        <v>116168434.2</v>
      </c>
      <c r="S44" s="210">
        <f t="shared" si="93"/>
        <v>124859797.1</v>
      </c>
      <c r="T44" s="210">
        <f t="shared" si="93"/>
        <v>124720211.6</v>
      </c>
      <c r="U44" s="210">
        <f t="shared" si="93"/>
        <v>137506968.5</v>
      </c>
      <c r="V44" s="210">
        <f t="shared" si="93"/>
        <v>138493880.4</v>
      </c>
      <c r="W44" s="210">
        <f t="shared" si="93"/>
        <v>152484377.3</v>
      </c>
      <c r="X44" s="210">
        <f t="shared" si="93"/>
        <v>157789802.7</v>
      </c>
      <c r="Y44" s="210">
        <f t="shared" si="93"/>
        <v>170383381.6</v>
      </c>
      <c r="Z44" s="210">
        <f t="shared" si="93"/>
        <v>170703225</v>
      </c>
      <c r="AA44" s="1" t="s">
        <v>335</v>
      </c>
      <c r="AB44" s="208">
        <v>0.2287</v>
      </c>
      <c r="AC44" s="1" t="s">
        <v>288</v>
      </c>
      <c r="AD44" s="1" t="s">
        <v>342</v>
      </c>
      <c r="AE44" s="197"/>
      <c r="AF44" s="197">
        <f t="shared" ref="AF44:AZ44" si="94">IF(YEAR(AF$21)=YEAR($AF$2),$AB$43,IF(YEAR(AF$21)=YEAR($AF$2)+1,$AB$44,IF(YEAR(AF$21)=YEAR($AF$2)+2,$AB$45,IF(YEAR(AF$21)=YEAR($AF$2)+3,$AB$46,IF(YEAR(AF$21)=YEAR($AF$2)+4,$AB$47,IF(YEAR(AF$21)=YEAR($AW$2),$AB$43,IF(YEAR(AF$21)=YEAR($AW$2)+1,$AB$44,IF(YEAR(AF$21)=YEAR($AW$2)+2,$AB$45,IF(YEAR(AF$21)=YEAR($AW$2)+3,$AB$46,IF(YEAR(AF$21)=YEAR($AW$2)+4,$AB$47,$AB$48))))))))))</f>
        <v>0.05</v>
      </c>
      <c r="AG44" s="197">
        <f t="shared" si="94"/>
        <v>0.05</v>
      </c>
      <c r="AH44" s="197">
        <f t="shared" si="94"/>
        <v>0.05</v>
      </c>
      <c r="AI44" s="197">
        <f t="shared" si="94"/>
        <v>0.1588</v>
      </c>
      <c r="AJ44" s="197">
        <f t="shared" si="94"/>
        <v>0.2287</v>
      </c>
      <c r="AK44" s="197">
        <f t="shared" si="94"/>
        <v>0.2213</v>
      </c>
      <c r="AL44" s="197">
        <f t="shared" si="94"/>
        <v>0.0596</v>
      </c>
      <c r="AM44" s="197">
        <f t="shared" si="94"/>
        <v>0.0588</v>
      </c>
      <c r="AN44" s="197">
        <f t="shared" si="94"/>
        <v>0.05</v>
      </c>
      <c r="AO44" s="197">
        <f t="shared" si="94"/>
        <v>0.05</v>
      </c>
      <c r="AP44" s="197">
        <f t="shared" si="94"/>
        <v>0.05</v>
      </c>
      <c r="AQ44" s="197">
        <f t="shared" si="94"/>
        <v>0.1588</v>
      </c>
      <c r="AR44" s="197">
        <f t="shared" si="94"/>
        <v>0.2287</v>
      </c>
      <c r="AS44" s="197">
        <f t="shared" si="94"/>
        <v>0.2213</v>
      </c>
      <c r="AT44" s="197">
        <f t="shared" si="94"/>
        <v>0.0596</v>
      </c>
      <c r="AU44" s="197">
        <f t="shared" si="94"/>
        <v>0.0588</v>
      </c>
      <c r="AV44" s="197">
        <f t="shared" si="94"/>
        <v>0.05</v>
      </c>
      <c r="AW44" s="197">
        <f t="shared" si="94"/>
        <v>0.05</v>
      </c>
      <c r="AX44" s="197">
        <f t="shared" si="94"/>
        <v>0.05</v>
      </c>
      <c r="AY44" s="197">
        <f t="shared" si="94"/>
        <v>0.05</v>
      </c>
      <c r="AZ44" s="197">
        <f t="shared" si="94"/>
        <v>0.05</v>
      </c>
      <c r="BA44" s="197"/>
      <c r="BB44" s="197"/>
      <c r="BC44" s="197"/>
    </row>
    <row r="45" ht="15.75" customHeight="1">
      <c r="A45" s="117"/>
      <c r="B45" s="136" t="s">
        <v>75</v>
      </c>
      <c r="C45" s="168">
        <f t="shared" ref="C45:Z45" si="95">C44/C21</f>
        <v>0.9825326843</v>
      </c>
      <c r="D45" s="168">
        <f t="shared" si="95"/>
        <v>0.9810589546</v>
      </c>
      <c r="E45" s="168">
        <f t="shared" si="95"/>
        <v>0.9728097236</v>
      </c>
      <c r="F45" s="168">
        <f t="shared" si="95"/>
        <v>0.883637552</v>
      </c>
      <c r="G45" s="168">
        <f t="shared" si="95"/>
        <v>0.8375171027</v>
      </c>
      <c r="H45" s="168">
        <f t="shared" si="95"/>
        <v>0.803298528</v>
      </c>
      <c r="I45" s="168">
        <f t="shared" si="95"/>
        <v>0.7312432067</v>
      </c>
      <c r="J45" s="168">
        <f t="shared" si="95"/>
        <v>0.7024850089</v>
      </c>
      <c r="K45" s="168">
        <f t="shared" si="95"/>
        <v>0.6953093663</v>
      </c>
      <c r="L45" s="168">
        <f t="shared" si="95"/>
        <v>0.7009716766</v>
      </c>
      <c r="M45" s="168">
        <f t="shared" si="95"/>
        <v>0.7010392446</v>
      </c>
      <c r="N45" s="168">
        <f t="shared" si="95"/>
        <v>0.7072200975</v>
      </c>
      <c r="O45" s="168">
        <f t="shared" si="95"/>
        <v>0.7028015227</v>
      </c>
      <c r="P45" s="168">
        <f t="shared" si="95"/>
        <v>0.7062749175</v>
      </c>
      <c r="Q45" s="168">
        <f t="shared" si="95"/>
        <v>0.7039602988</v>
      </c>
      <c r="R45" s="168">
        <f t="shared" si="95"/>
        <v>0.7028608879</v>
      </c>
      <c r="S45" s="168">
        <f t="shared" si="95"/>
        <v>0.7012928402</v>
      </c>
      <c r="T45" s="168">
        <f t="shared" si="95"/>
        <v>0.7070499844</v>
      </c>
      <c r="U45" s="168">
        <f t="shared" si="95"/>
        <v>0.7076413851</v>
      </c>
      <c r="V45" s="168">
        <f t="shared" si="95"/>
        <v>0.7075656827</v>
      </c>
      <c r="W45" s="168">
        <f t="shared" si="95"/>
        <v>0.7226288544</v>
      </c>
      <c r="X45" s="168">
        <f t="shared" si="95"/>
        <v>0.728375244</v>
      </c>
      <c r="Y45" s="168">
        <f t="shared" si="95"/>
        <v>0.7402703454</v>
      </c>
      <c r="Z45" s="168">
        <f t="shared" si="95"/>
        <v>0.7431305012</v>
      </c>
      <c r="AA45" s="1" t="s">
        <v>336</v>
      </c>
      <c r="AB45" s="208">
        <v>0.2213</v>
      </c>
      <c r="AC45" s="1" t="s">
        <v>289</v>
      </c>
      <c r="AD45" s="1" t="s">
        <v>342</v>
      </c>
      <c r="AE45" s="197"/>
      <c r="AF45" s="197">
        <f t="shared" ref="AF45:AN45" si="96">IF(YEAR(AF$21)=YEAR($AG$2),$AB$43,IF(YEAR(AF$21)=YEAR($AG$2)+1,$AB$44,IF(YEAR(AF$21)=YEAR($AG$2)+2,$AB$45,IF(YEAR(AF$21)=YEAR($AG$2)+3,$AB$46,IF(YEAR(AF$21)=YEAR($AG$2)+4,$AB$47,$AB$48)))))</f>
        <v>0.05</v>
      </c>
      <c r="AG45" s="197">
        <f t="shared" si="96"/>
        <v>0.05</v>
      </c>
      <c r="AH45" s="197">
        <f t="shared" si="96"/>
        <v>0.05</v>
      </c>
      <c r="AI45" s="197">
        <f t="shared" si="96"/>
        <v>0.05</v>
      </c>
      <c r="AJ45" s="197">
        <f t="shared" si="96"/>
        <v>0.05</v>
      </c>
      <c r="AK45" s="197">
        <f t="shared" si="96"/>
        <v>0.1588</v>
      </c>
      <c r="AL45" s="197">
        <f t="shared" si="96"/>
        <v>0.2287</v>
      </c>
      <c r="AM45" s="197">
        <f t="shared" si="96"/>
        <v>0.2213</v>
      </c>
      <c r="AN45" s="197">
        <f t="shared" si="96"/>
        <v>0.0596</v>
      </c>
      <c r="AO45" s="197">
        <f t="shared" ref="AO45:AZ45" si="97">IF(YEAR(AO$21)=YEAR($AG$2),$AB$43,IF(YEAR(AO$21)=YEAR($AG$2)+1,$AB$44,IF(YEAR(AO$21)=YEAR($AG$2)+2,$AB$45,IF(YEAR(AO$21)=YEAR($AG$2)+3,$AB$46,IF(YEAR(AO$21)=YEAR($AG$2)+4,$AB$47,IF(YEAR(AO$21)=YEAR($AX$2),$AB$43,IF(YEAR(AO$21)=YEAR($AX$2)+1,$AB$44,IF(YEAR(AO$21)=YEAR($AX$2)+2,$AB$45,IF(YEAR(AO$21)=YEAR($AX$2)+3,$AB$46,IF(YEAR(AO$21)=YEAR($AX$2)+4,$AB$47,$AB$48))))))))))</f>
        <v>0.0588</v>
      </c>
      <c r="AP45" s="197">
        <f t="shared" si="97"/>
        <v>0.05</v>
      </c>
      <c r="AQ45" s="197">
        <f t="shared" si="97"/>
        <v>0.05</v>
      </c>
      <c r="AR45" s="197">
        <f t="shared" si="97"/>
        <v>0.05</v>
      </c>
      <c r="AS45" s="197">
        <f t="shared" si="97"/>
        <v>0.1588</v>
      </c>
      <c r="AT45" s="197">
        <f t="shared" si="97"/>
        <v>0.2287</v>
      </c>
      <c r="AU45" s="197">
        <f t="shared" si="97"/>
        <v>0.2213</v>
      </c>
      <c r="AV45" s="197">
        <f t="shared" si="97"/>
        <v>0.0596</v>
      </c>
      <c r="AW45" s="197">
        <f t="shared" si="97"/>
        <v>0.0588</v>
      </c>
      <c r="AX45" s="197">
        <f t="shared" si="97"/>
        <v>0.05</v>
      </c>
      <c r="AY45" s="197">
        <f t="shared" si="97"/>
        <v>0.05</v>
      </c>
      <c r="AZ45" s="197">
        <f t="shared" si="97"/>
        <v>0.05</v>
      </c>
      <c r="BA45" s="197"/>
      <c r="BB45" s="197"/>
      <c r="BC45" s="197"/>
    </row>
    <row r="46" ht="15.75" customHeight="1">
      <c r="A46" s="122"/>
      <c r="B46" s="1"/>
      <c r="C46" s="1"/>
      <c r="D46" s="1"/>
      <c r="E46" s="1"/>
      <c r="F46" s="1"/>
      <c r="G46" s="1"/>
      <c r="H46" s="1"/>
      <c r="I46" s="1"/>
      <c r="J46" s="1"/>
      <c r="K46" s="137"/>
      <c r="L46" s="137"/>
      <c r="M46" s="137"/>
      <c r="N46" s="137"/>
      <c r="O46" s="137"/>
      <c r="P46" s="137"/>
      <c r="Q46" s="137"/>
      <c r="R46" s="137"/>
      <c r="S46" s="1"/>
      <c r="T46" s="1"/>
      <c r="U46" s="1"/>
      <c r="V46" s="1"/>
      <c r="W46" s="1"/>
      <c r="X46" s="1"/>
      <c r="Y46" s="1"/>
      <c r="Z46" s="1"/>
      <c r="AA46" s="1" t="s">
        <v>337</v>
      </c>
      <c r="AB46" s="208">
        <v>0.0596</v>
      </c>
      <c r="AC46" s="1" t="s">
        <v>290</v>
      </c>
      <c r="AD46" s="1" t="s">
        <v>342</v>
      </c>
      <c r="AE46" s="197"/>
      <c r="AF46" s="197">
        <f t="shared" ref="AF46:AN46" si="98">IF(YEAR(AF$21)=YEAR($AH$2),$AB$43,IF(YEAR(AF$21)=YEAR($AH$2)+1,$AB$44,IF(YEAR(AF$21)=YEAR($AH$2)+2,$AB$45,IF(YEAR(AF$21)=YEAR($AH$2)+3,$AB$46,IF(YEAR(AF$21)=YEAR($AH$2)+4,$AB$47,$AB$48)))))</f>
        <v>0.05</v>
      </c>
      <c r="AG46" s="197">
        <f t="shared" si="98"/>
        <v>0.05</v>
      </c>
      <c r="AH46" s="197">
        <f t="shared" si="98"/>
        <v>0.05</v>
      </c>
      <c r="AI46" s="197">
        <f t="shared" si="98"/>
        <v>0.05</v>
      </c>
      <c r="AJ46" s="197">
        <f t="shared" si="98"/>
        <v>0.05</v>
      </c>
      <c r="AK46" s="197">
        <f t="shared" si="98"/>
        <v>0.05</v>
      </c>
      <c r="AL46" s="197">
        <f t="shared" si="98"/>
        <v>0.05</v>
      </c>
      <c r="AM46" s="197">
        <f t="shared" si="98"/>
        <v>0.1588</v>
      </c>
      <c r="AN46" s="197">
        <f t="shared" si="98"/>
        <v>0.2287</v>
      </c>
      <c r="AO46" s="197">
        <f t="shared" ref="AO46:AZ46" si="99">IF(YEAR(AO$21)=YEAR($AH$2),$AB$43,IF(YEAR(AO$21)=YEAR($AH$2)+1,$AB$44,IF(YEAR(AO$21)=YEAR($AH$2)+2,$AB$45,IF(YEAR(AO$21)=YEAR($AH$2)+3,$AB$46,IF(YEAR(AO$21)=YEAR($AH$2)+4,$AB$47,IF(YEAR(AO$21)=YEAR($AY$2),$AB$43,IF(YEAR(AO$21)=YEAR($AY$2)+1,$AB$44,IF(YEAR(AO$21)=YEAR($AY$2)+2,$AB$45,IF(YEAR(AO$21)=YEAR($AY$2)+3,$AB$46,IF(YEAR(AO$21)=YEAR($AY$2)+4,$AB$47,$AB$48))))))))))</f>
        <v>0.2213</v>
      </c>
      <c r="AP46" s="197">
        <f t="shared" si="99"/>
        <v>0.0596</v>
      </c>
      <c r="AQ46" s="197">
        <f t="shared" si="99"/>
        <v>0.0588</v>
      </c>
      <c r="AR46" s="197">
        <f t="shared" si="99"/>
        <v>0.05</v>
      </c>
      <c r="AS46" s="197">
        <f t="shared" si="99"/>
        <v>0.05</v>
      </c>
      <c r="AT46" s="197">
        <f t="shared" si="99"/>
        <v>0.05</v>
      </c>
      <c r="AU46" s="197">
        <f t="shared" si="99"/>
        <v>0.1588</v>
      </c>
      <c r="AV46" s="197">
        <f t="shared" si="99"/>
        <v>0.2287</v>
      </c>
      <c r="AW46" s="197">
        <f t="shared" si="99"/>
        <v>0.2213</v>
      </c>
      <c r="AX46" s="197">
        <f t="shared" si="99"/>
        <v>0.0596</v>
      </c>
      <c r="AY46" s="197">
        <f t="shared" si="99"/>
        <v>0.0588</v>
      </c>
      <c r="AZ46" s="197">
        <f t="shared" si="99"/>
        <v>0.05</v>
      </c>
      <c r="BA46" s="197"/>
      <c r="BB46" s="197"/>
      <c r="BC46" s="197"/>
    </row>
    <row r="47" ht="15.75" customHeight="1">
      <c r="A47" s="1"/>
      <c r="B47" s="1" t="s">
        <v>343</v>
      </c>
      <c r="C47" s="131">
        <f>Summary!DV41</f>
        <v>772149</v>
      </c>
      <c r="D47" s="131">
        <f>Summary!DW41</f>
        <v>775953</v>
      </c>
      <c r="E47" s="195">
        <f>Summary!DX41</f>
        <v>958859.2638</v>
      </c>
      <c r="F47" s="195">
        <f>Summary!DY41</f>
        <v>5415063.116</v>
      </c>
      <c r="G47" s="195">
        <f>Summary!DZ41</f>
        <v>7552327.98</v>
      </c>
      <c r="H47" s="195">
        <f>Summary!EA41</f>
        <v>9462850.525</v>
      </c>
      <c r="I47" s="195">
        <f>Summary!EB41</f>
        <v>12488121.08</v>
      </c>
      <c r="J47" s="195">
        <f>Summary!EC41</f>
        <v>15220765.83</v>
      </c>
      <c r="K47" s="195">
        <f t="shared" ref="K47:Z47" si="100">J47*(1+AK61)</f>
        <v>15981804.12</v>
      </c>
      <c r="L47" s="195">
        <f t="shared" si="100"/>
        <v>16780894.33</v>
      </c>
      <c r="M47" s="195">
        <f t="shared" si="100"/>
        <v>17619939.04</v>
      </c>
      <c r="N47" s="195">
        <f t="shared" si="100"/>
        <v>18500935.99</v>
      </c>
      <c r="O47" s="195">
        <f t="shared" si="100"/>
        <v>19425982.79</v>
      </c>
      <c r="P47" s="195">
        <f t="shared" si="100"/>
        <v>20397281.93</v>
      </c>
      <c r="Q47" s="195">
        <f t="shared" si="100"/>
        <v>21417146.03</v>
      </c>
      <c r="R47" s="195">
        <f t="shared" si="100"/>
        <v>22488003.33</v>
      </c>
      <c r="S47" s="195">
        <f t="shared" si="100"/>
        <v>23612403.5</v>
      </c>
      <c r="T47" s="195">
        <f t="shared" si="100"/>
        <v>24793023.67</v>
      </c>
      <c r="U47" s="195">
        <f t="shared" si="100"/>
        <v>26032674.86</v>
      </c>
      <c r="V47" s="195">
        <f t="shared" si="100"/>
        <v>27334308.6</v>
      </c>
      <c r="W47" s="195">
        <f t="shared" si="100"/>
        <v>28701024.03</v>
      </c>
      <c r="X47" s="195">
        <f t="shared" si="100"/>
        <v>30136075.23</v>
      </c>
      <c r="Y47" s="195">
        <f t="shared" si="100"/>
        <v>31642878.99</v>
      </c>
      <c r="Z47" s="195">
        <f t="shared" si="100"/>
        <v>33225022.94</v>
      </c>
      <c r="AA47" s="1" t="s">
        <v>338</v>
      </c>
      <c r="AB47" s="208">
        <v>0.0588</v>
      </c>
      <c r="AC47" s="1" t="s">
        <v>314</v>
      </c>
      <c r="AD47" s="1" t="s">
        <v>342</v>
      </c>
      <c r="AE47" s="197"/>
      <c r="AF47" s="197">
        <f t="shared" ref="AF47:AP47" si="101">IF(YEAR(AF$21)=YEAR($AI$2),$AB$43,IF(YEAR(AF$21)=YEAR($AI$2)+1,$AB$44,IF(YEAR(AF$21)=YEAR($AI$2)+2,$AB$45,IF(YEAR(AF$21)=YEAR($AI$2)+3,$AB$46,IF(YEAR(AF$21)=YEAR($AI$2)+4,$AB$47,$AB$48)))))</f>
        <v>0.1588</v>
      </c>
      <c r="AG47" s="197">
        <f t="shared" si="101"/>
        <v>0.2287</v>
      </c>
      <c r="AH47" s="197">
        <f t="shared" si="101"/>
        <v>0.2213</v>
      </c>
      <c r="AI47" s="197">
        <f t="shared" si="101"/>
        <v>0.0596</v>
      </c>
      <c r="AJ47" s="197">
        <f t="shared" si="101"/>
        <v>0.0588</v>
      </c>
      <c r="AK47" s="197">
        <f t="shared" si="101"/>
        <v>0.05</v>
      </c>
      <c r="AL47" s="197">
        <f t="shared" si="101"/>
        <v>0.05</v>
      </c>
      <c r="AM47" s="197">
        <f t="shared" si="101"/>
        <v>0.05</v>
      </c>
      <c r="AN47" s="197">
        <f t="shared" si="101"/>
        <v>0.05</v>
      </c>
      <c r="AO47" s="197">
        <f t="shared" si="101"/>
        <v>0.05</v>
      </c>
      <c r="AP47" s="197">
        <f t="shared" si="101"/>
        <v>0.05</v>
      </c>
      <c r="AQ47" s="197">
        <f t="shared" ref="AQ47:AZ47" si="102">IF(YEAR(AQ$21)=YEAR($AI$2),$AB$43,IF(YEAR(AQ$21)=YEAR($AI$2)+1,$AB$44,IF(YEAR(AQ$21)=YEAR($AI$2)+2,$AB$45,IF(YEAR(AQ$21)=YEAR($AI$2)+3,$AB$46,IF(YEAR(AQ$21)=YEAR($AI$2)+4,$AB$28,$AB$29)))))</f>
        <v>0.06</v>
      </c>
      <c r="AR47" s="197">
        <f t="shared" si="102"/>
        <v>0.06</v>
      </c>
      <c r="AS47" s="197">
        <f t="shared" si="102"/>
        <v>0.06</v>
      </c>
      <c r="AT47" s="197">
        <f t="shared" si="102"/>
        <v>0.06</v>
      </c>
      <c r="AU47" s="197">
        <f t="shared" si="102"/>
        <v>0.06</v>
      </c>
      <c r="AV47" s="197">
        <f t="shared" si="102"/>
        <v>0.06</v>
      </c>
      <c r="AW47" s="197">
        <f t="shared" si="102"/>
        <v>0.06</v>
      </c>
      <c r="AX47" s="197">
        <f t="shared" si="102"/>
        <v>0.06</v>
      </c>
      <c r="AY47" s="197">
        <f t="shared" si="102"/>
        <v>0.06</v>
      </c>
      <c r="AZ47" s="197">
        <f t="shared" si="102"/>
        <v>0.06</v>
      </c>
      <c r="BA47" s="197"/>
      <c r="BB47" s="197"/>
      <c r="BC47" s="197"/>
    </row>
    <row r="48" ht="15.75" customHeight="1">
      <c r="A48" s="117"/>
      <c r="B48" s="1" t="s">
        <v>332</v>
      </c>
      <c r="C48" s="1"/>
      <c r="D48" s="1"/>
      <c r="E48" s="195">
        <f>IF(YEAR(E$1)=YEAR($AE$2),$AE$8*((12-MONTH($AE$2))/12),IF(YEAR($AE$2)+1=YEAR(E$1),$AE$8*(1+AE62),D48*(1+AE62)))</f>
        <v>0</v>
      </c>
      <c r="F48" s="195">
        <f>IF(YEAR(F$1)=YEAR($AE$2),$AE$8*((13-MONTH($AE$2))/12)*(1+AF62),IF(YEAR(F$1)=YEAR($AE$2)+1,E48/((13-MONTH($AE$2))/12)*(1+AF62),E48*(1+AF62)))</f>
        <v>0</v>
      </c>
      <c r="G48" s="195">
        <f t="shared" ref="G48:H48" si="103">IF(YEAR(G$1)=YEAR($AE$2),$AE$8*((13-MONTH($AE$2))/12)*(1+AG62),IF(YEAR(G$1)=YEAR($AE$2)+1,F48/((13-MONTH($AE$2))/12)*(1+AG62),IF(YEAR(G$1)=YEAR($AE$2)+5,0,F48*(1+AG62))))</f>
        <v>3334100</v>
      </c>
      <c r="H48" s="195">
        <f t="shared" si="103"/>
        <v>4095275.03</v>
      </c>
      <c r="I48" s="195">
        <f>IF(YEAR(I$1)=YEAR($AE$2),$AE$8*((13-MONTH($AE$2))/12)*(1+AE62),IF(YEAR(I$1)=YEAR($AE$2)+1,H48/((13-MONTH($AE$2))/12)*(1+AE62),IF(YEAR(I$1)=YEAR($AE$2)+5,0,H48*(1+AE62))))</f>
        <v>4095275.03</v>
      </c>
      <c r="J48" s="195">
        <f t="shared" ref="J48:N48" si="104">IF(YEAR(J$1)=YEAR($AE$2),$AE$8*((13-MONTH($AE$2))/12)*(1+AJ62),IF(YEAR(J$1)=YEAR($AE$2)+1,I48/((13-MONTH($AE$2))/12)*(1+AJ62),IF(YEAR(J$1)=YEAR($AE$2)+5,0,I48*(1+AJ62))))</f>
        <v>3448221.575</v>
      </c>
      <c r="K48" s="195">
        <f t="shared" si="104"/>
        <v>3606839.768</v>
      </c>
      <c r="L48" s="195">
        <f t="shared" si="104"/>
        <v>0</v>
      </c>
      <c r="M48" s="195">
        <f t="shared" si="104"/>
        <v>0</v>
      </c>
      <c r="N48" s="195">
        <f t="shared" si="104"/>
        <v>0</v>
      </c>
      <c r="O48" s="195">
        <f t="shared" ref="O48:Z48" si="105">IF(YEAR(O$1)=YEAR($AE$2),$AE$8*((13-MONTH($AE$2))/12)*(1+AO62),IF(YEAR(O$1)=YEAR($AE$2)+1,N48/((13-MONTH($AE$2))/12)*(1+AO62),IF(YEAR(O$1)&gt;=YEAR($AE$2)+5,0,N48*(1+AO62))))+IF(YEAR(O$1)=YEAR($AV$2),$AV$8*((13-MONTH($AV$2))/12)*(1+AO62),IF(YEAR(O$1)=YEAR($AV$2)+1,N48/((13-MONTH($AV$2))/12)*(1+AO62),IF(YEAR(O$1)&gt;=YEAR($AV$2)+5,0,IF(YEAR(O$1)&lt;YEAR($AV$2),0,N48*(1+AO62)))))</f>
        <v>4643925</v>
      </c>
      <c r="P48" s="195">
        <f t="shared" si="105"/>
        <v>5704133.078</v>
      </c>
      <c r="Q48" s="195">
        <f t="shared" si="105"/>
        <v>6425705.912</v>
      </c>
      <c r="R48" s="195">
        <f t="shared" si="105"/>
        <v>5410444.378</v>
      </c>
      <c r="S48" s="195">
        <f t="shared" si="105"/>
        <v>5659324.819</v>
      </c>
      <c r="T48" s="195">
        <f t="shared" si="105"/>
        <v>0</v>
      </c>
      <c r="U48" s="195">
        <f t="shared" si="105"/>
        <v>0</v>
      </c>
      <c r="V48" s="195">
        <f t="shared" si="105"/>
        <v>0</v>
      </c>
      <c r="W48" s="195">
        <f t="shared" si="105"/>
        <v>0</v>
      </c>
      <c r="X48" s="195">
        <f t="shared" si="105"/>
        <v>0</v>
      </c>
      <c r="Y48" s="195">
        <f t="shared" si="105"/>
        <v>0</v>
      </c>
      <c r="Z48" s="195">
        <f t="shared" si="105"/>
        <v>0</v>
      </c>
      <c r="AA48" s="1" t="s">
        <v>339</v>
      </c>
      <c r="AB48" s="208">
        <v>0.05</v>
      </c>
      <c r="AC48" s="1" t="s">
        <v>292</v>
      </c>
      <c r="AD48" s="1" t="s">
        <v>342</v>
      </c>
      <c r="AE48" s="197"/>
      <c r="AF48" s="197">
        <f t="shared" ref="AF48:AP48" si="106">IF(YEAR(AF$21)=YEAR($AJ$2),$AB$43,IF(YEAR(AF$21)=YEAR($AJ$2)+1,$AB$44,IF(YEAR(AF$21)=YEAR($AJ$2)+2,$AB$45,IF(YEAR(AF$21)=YEAR($AJ$2)+3,$AB$46,IF(YEAR(AF$21)=YEAR($AJ$2)+4,$AB$47,$AB$48)))))</f>
        <v>0.05</v>
      </c>
      <c r="AG48" s="197">
        <f t="shared" si="106"/>
        <v>0.05</v>
      </c>
      <c r="AH48" s="197">
        <f t="shared" si="106"/>
        <v>0.1588</v>
      </c>
      <c r="AI48" s="197">
        <f t="shared" si="106"/>
        <v>0.2287</v>
      </c>
      <c r="AJ48" s="197">
        <f t="shared" si="106"/>
        <v>0.2213</v>
      </c>
      <c r="AK48" s="197">
        <f t="shared" si="106"/>
        <v>0.0596</v>
      </c>
      <c r="AL48" s="197">
        <f t="shared" si="106"/>
        <v>0.0588</v>
      </c>
      <c r="AM48" s="197">
        <f t="shared" si="106"/>
        <v>0.05</v>
      </c>
      <c r="AN48" s="197">
        <f t="shared" si="106"/>
        <v>0.05</v>
      </c>
      <c r="AO48" s="197">
        <f t="shared" si="106"/>
        <v>0.05</v>
      </c>
      <c r="AP48" s="197">
        <f t="shared" si="106"/>
        <v>0.05</v>
      </c>
      <c r="AQ48" s="197">
        <f t="shared" ref="AQ48:AZ48" si="107">IF(YEAR(AQ$21)=YEAR($AJ$2),$AB$43,IF(YEAR(AQ$21)=YEAR($AJ$2)+1,$AB$44,IF(YEAR(AQ$21)=YEAR($AJ$2)+2,$AB$45,IF(YEAR(AQ$21)=YEAR($AJ$2)+3,$AB$46,IF(YEAR(AQ$21)=YEAR($AJ$2)+4,$AB$28,$AB$29)))))</f>
        <v>0.06</v>
      </c>
      <c r="AR48" s="197">
        <f t="shared" si="107"/>
        <v>0.06</v>
      </c>
      <c r="AS48" s="197">
        <f t="shared" si="107"/>
        <v>0.06</v>
      </c>
      <c r="AT48" s="197">
        <f t="shared" si="107"/>
        <v>0.06</v>
      </c>
      <c r="AU48" s="197">
        <f t="shared" si="107"/>
        <v>0.06</v>
      </c>
      <c r="AV48" s="197">
        <f t="shared" si="107"/>
        <v>0.06</v>
      </c>
      <c r="AW48" s="197">
        <f t="shared" si="107"/>
        <v>0.06</v>
      </c>
      <c r="AX48" s="197">
        <f t="shared" si="107"/>
        <v>0.06</v>
      </c>
      <c r="AY48" s="197">
        <f t="shared" si="107"/>
        <v>0.06</v>
      </c>
      <c r="AZ48" s="197">
        <f t="shared" si="107"/>
        <v>0.06</v>
      </c>
      <c r="BA48" s="197"/>
      <c r="BB48" s="197"/>
      <c r="BC48" s="197"/>
    </row>
    <row r="49" ht="15.75" customHeight="1">
      <c r="A49" s="122"/>
      <c r="B49" s="1" t="s">
        <v>288</v>
      </c>
      <c r="C49" s="1"/>
      <c r="D49" s="1"/>
      <c r="E49" s="195">
        <f>IF(YEAR(E$1)=YEAR($AF$2),$AF$8*((12-MONTH($AF$2))/12),IF(YEAR($AF$2)+1=YEAR(E$1),$AF$8*(1+AE63),D49*(1+AE63)))</f>
        <v>0</v>
      </c>
      <c r="F49" s="195">
        <f t="shared" ref="F49:H49" si="108">IF(YEAR(F$1)=YEAR($AF$2),$AF$8*((13-MONTH($AF$2))/12)*(1+AF63),IF(YEAR(F$1)=YEAR($AF$2)+1,E49/((13-MONTH($AF$2))/12)*(1+AF63),IF(YEAR(F$1)=YEAR($AF$2)+5,0,E49*(1+AF63))))</f>
        <v>0</v>
      </c>
      <c r="G49" s="195">
        <f t="shared" si="108"/>
        <v>0</v>
      </c>
      <c r="H49" s="195">
        <f t="shared" si="108"/>
        <v>0</v>
      </c>
      <c r="I49" s="195">
        <f>IF(YEAR(I$1)=YEAR($AF$2),$AF$8*((13-MONTH($AF$2))/12)*(1+AF63),IF(YEAR(I$1)=YEAR($AF$2)+1,H49/((13-MONTH($AF$2))/12)*(1+AF63),IF(YEAR(I$1)=YEAR($AF$2)+5,0,H49*(1+AF63))))</f>
        <v>2252250</v>
      </c>
      <c r="J49" s="195">
        <f t="shared" ref="J49:N49" si="109">IF(YEAR(J$1)=YEAR($AF$2),$AF$8*((13-MONTH($AF$2))/12)*(1+AJ63),IF(YEAR(J$1)=YEAR($AF$2)+1,I49/((13-MONTH($AF$2))/12)*(1+AJ63),IF(YEAR(J$1)=YEAR($AF$2)+5,0,I49*(1+AJ63))))</f>
        <v>2766438.675</v>
      </c>
      <c r="K49" s="195">
        <f t="shared" si="109"/>
        <v>3116393.167</v>
      </c>
      <c r="L49" s="195">
        <f t="shared" si="109"/>
        <v>2624003.047</v>
      </c>
      <c r="M49" s="195">
        <f t="shared" si="109"/>
        <v>2744707.187</v>
      </c>
      <c r="N49" s="195">
        <f t="shared" si="109"/>
        <v>0</v>
      </c>
      <c r="O49" s="195">
        <f t="shared" ref="O49:Z49" si="110">IF(YEAR(O$1)=YEAR($AF$2),$AF$8*((13-MONTH($AF$2))/12)*(1+AO63),IF(YEAR(O$1)=YEAR($AF$2)+1,N49/((13-MONTH($AF$2))/12)*(1+AO63),IF(YEAR(O$1)&gt;=YEAR($AF$2)+5,0,N49*(1+AO63))))+IF(YEAR(O$1)=YEAR($AW$2),$AW$8*((13-MONTH($AW$2))/12)*(1+AO63),IF(YEAR(O$1)=YEAR($AW$2)+1,N49/((13-MONTH($AW$2))/12)*(1+AO63),IF(YEAR(O$1)&gt;=YEAR($AW$2)+5,0,IF(YEAR(O$1)&lt;YEAR($AW$2),0,N49*(1+AO63)))))</f>
        <v>0</v>
      </c>
      <c r="P49" s="195">
        <f t="shared" si="110"/>
        <v>0</v>
      </c>
      <c r="Q49" s="195">
        <f t="shared" si="110"/>
        <v>3715140</v>
      </c>
      <c r="R49" s="195">
        <f t="shared" si="110"/>
        <v>4563306.462</v>
      </c>
      <c r="S49" s="195">
        <f t="shared" si="110"/>
        <v>5140564.729</v>
      </c>
      <c r="T49" s="195">
        <f t="shared" si="110"/>
        <v>4328355.502</v>
      </c>
      <c r="U49" s="195">
        <f t="shared" si="110"/>
        <v>4527459.855</v>
      </c>
      <c r="V49" s="195">
        <f t="shared" si="110"/>
        <v>0</v>
      </c>
      <c r="W49" s="195">
        <f t="shared" si="110"/>
        <v>0</v>
      </c>
      <c r="X49" s="195">
        <f t="shared" si="110"/>
        <v>0</v>
      </c>
      <c r="Y49" s="195">
        <f t="shared" si="110"/>
        <v>0</v>
      </c>
      <c r="Z49" s="195">
        <f t="shared" si="110"/>
        <v>0</v>
      </c>
      <c r="AA49" s="1"/>
      <c r="AB49" s="1"/>
      <c r="AC49" s="1" t="s">
        <v>293</v>
      </c>
      <c r="AD49" s="1" t="s">
        <v>342</v>
      </c>
      <c r="AE49" s="197"/>
      <c r="AF49" s="197">
        <f t="shared" ref="AF49:AP49" si="111">IF(YEAR(AF$21)=YEAR($AK$2),$AB$43,IF(YEAR(AF$21)=YEAR($AK$2)+1,$AB$44,IF(YEAR(AF$21)=YEAR($AK$2)+2,$AB$45,IF(YEAR(AF$21)=YEAR($AK$2)+3,$AB$46,IF(YEAR(AF$21)=YEAR($AK$2)+4,$AB$47,$AB$48)))))</f>
        <v>0.05</v>
      </c>
      <c r="AG49" s="197">
        <f t="shared" si="111"/>
        <v>0.05</v>
      </c>
      <c r="AH49" s="197">
        <f t="shared" si="111"/>
        <v>0.05</v>
      </c>
      <c r="AI49" s="197">
        <f t="shared" si="111"/>
        <v>0.05</v>
      </c>
      <c r="AJ49" s="197">
        <f t="shared" si="111"/>
        <v>0.1588</v>
      </c>
      <c r="AK49" s="197">
        <f t="shared" si="111"/>
        <v>0.2287</v>
      </c>
      <c r="AL49" s="197">
        <f t="shared" si="111"/>
        <v>0.2213</v>
      </c>
      <c r="AM49" s="197">
        <f t="shared" si="111"/>
        <v>0.0596</v>
      </c>
      <c r="AN49" s="197">
        <f t="shared" si="111"/>
        <v>0.0588</v>
      </c>
      <c r="AO49" s="197">
        <f t="shared" si="111"/>
        <v>0.05</v>
      </c>
      <c r="AP49" s="197">
        <f t="shared" si="111"/>
        <v>0.05</v>
      </c>
      <c r="AQ49" s="197">
        <f t="shared" ref="AQ49:AZ49" si="112">IF(YEAR(AQ$21)=YEAR($AK$2),$AB$43,IF(YEAR(AQ$21)=YEAR($AK$2)+1,$AB$44,IF(YEAR(AQ$21)=YEAR($AK$2)+2,$AB$45,IF(YEAR(AQ$21)=YEAR($AK$2)+3,$AB$46,IF(YEAR(AQ$21)=YEAR($AK$2)+4,$AB$28,$AB$29)))))</f>
        <v>0.06</v>
      </c>
      <c r="AR49" s="197">
        <f t="shared" si="112"/>
        <v>0.06</v>
      </c>
      <c r="AS49" s="197">
        <f t="shared" si="112"/>
        <v>0.06</v>
      </c>
      <c r="AT49" s="197">
        <f t="shared" si="112"/>
        <v>0.06</v>
      </c>
      <c r="AU49" s="197">
        <f t="shared" si="112"/>
        <v>0.06</v>
      </c>
      <c r="AV49" s="197">
        <f t="shared" si="112"/>
        <v>0.06</v>
      </c>
      <c r="AW49" s="197">
        <f t="shared" si="112"/>
        <v>0.06</v>
      </c>
      <c r="AX49" s="197">
        <f t="shared" si="112"/>
        <v>0.06</v>
      </c>
      <c r="AY49" s="197">
        <f t="shared" si="112"/>
        <v>0.06</v>
      </c>
      <c r="AZ49" s="197">
        <f t="shared" si="112"/>
        <v>0.06</v>
      </c>
      <c r="BA49" s="197"/>
      <c r="BB49" s="197"/>
      <c r="BC49" s="197"/>
    </row>
    <row r="50" ht="15.75" customHeight="1">
      <c r="A50" s="122"/>
      <c r="B50" s="1" t="s">
        <v>289</v>
      </c>
      <c r="C50" s="1"/>
      <c r="D50" s="1"/>
      <c r="E50" s="195">
        <f>IF(YEAR(E$1)=YEAR($AG$2),$AG$8*((12-MONTH($AG$2))/12),IF(YEAR($AG$2)+1=YEAR(E$1),$AG$8*(1+AE64),D50*(1+AE64)))</f>
        <v>0</v>
      </c>
      <c r="F50" s="195">
        <f t="shared" ref="F50:H50" si="113">IF(YEAR(F$1)=YEAR($AG$2),$AG$8*((13-MONTH($AG$2))/12)*(1+AF64),IF(YEAR(F$1)=YEAR($AG$2)+1,E50/((13-MONTH($AG$2))/12)*(1+AF64),IF(YEAR(F$1)=YEAR($AG$2)+5,0,E50*(1+AF64))))</f>
        <v>0</v>
      </c>
      <c r="G50" s="195">
        <f t="shared" si="113"/>
        <v>0</v>
      </c>
      <c r="H50" s="195">
        <f t="shared" si="113"/>
        <v>0</v>
      </c>
      <c r="I50" s="195">
        <f>IF(YEAR(I$1)=YEAR($AG$2),$AG$8*((13-MONTH($AG$2))/12)*(1+AG64),IF(YEAR(I$1)=YEAR($AG$2)+1,H50/((13-MONTH($AG$2))/12)*(1+AG64),IF(YEAR(I$1)=YEAR($AG$2)+5,0,H50*(1+AG64))))</f>
        <v>0</v>
      </c>
      <c r="J50" s="195">
        <f t="shared" ref="J50:P50" si="114">IF(YEAR(J$1)=YEAR($AG$2),$AG$8*((13-MONTH($AG$2))/12)*(1+AJ64),IF(YEAR(J$1)=YEAR($AG$2)+1,I50/((13-MONTH($AG$2))/12)*(1+AJ64),IF(YEAR(J$1)=YEAR($AG$2)+5,0,I50*(1+AJ64))))</f>
        <v>0</v>
      </c>
      <c r="K50" s="195">
        <f t="shared" si="114"/>
        <v>5734652</v>
      </c>
      <c r="L50" s="195">
        <f t="shared" si="114"/>
        <v>7043873.052</v>
      </c>
      <c r="M50" s="195">
        <f t="shared" si="114"/>
        <v>7934922.993</v>
      </c>
      <c r="N50" s="195">
        <f t="shared" si="114"/>
        <v>6681205.16</v>
      </c>
      <c r="O50" s="195">
        <f t="shared" si="114"/>
        <v>6988540.597</v>
      </c>
      <c r="P50" s="195">
        <f t="shared" si="114"/>
        <v>0</v>
      </c>
      <c r="Q50" s="195">
        <f t="shared" ref="Q50:Z50" si="115">IF(YEAR(Q$1)=YEAR($AG$2),$AG$8*((13-MONTH($AG$2))/12)*(1+AQ64),IF(YEAR(Q$1)=YEAR($AG$2)+1,P50/((13-MONTH($AG$2))/12)*(1+AQ64),IF(YEAR(Q$1)&gt;=YEAR($AG$2)+5,0,P50*(1+AQ64))))+IF(YEAR(Q$1)=YEAR($AX$2),$AX$8*((13-MONTH($AX$2))/12)*(1+AQ64),IF(YEAR(Q$1)=YEAR($AX$2)+1,P50/((13-MONTH($AX$2))/12)*(1+AQ64),IF(YEAR(Q$1)&gt;=YEAR($AX$2)+5,0,IF(YEAR(Q$1)&lt;YEAR($AX$2),0,P50*(1+AQ64)))))</f>
        <v>0</v>
      </c>
      <c r="R50" s="195">
        <f t="shared" si="115"/>
        <v>0</v>
      </c>
      <c r="S50" s="195">
        <f t="shared" si="115"/>
        <v>4401012</v>
      </c>
      <c r="T50" s="195">
        <f t="shared" si="115"/>
        <v>5405763.04</v>
      </c>
      <c r="U50" s="195">
        <f t="shared" si="115"/>
        <v>6089592.064</v>
      </c>
      <c r="V50" s="195">
        <f t="shared" si="115"/>
        <v>5127436.518</v>
      </c>
      <c r="W50" s="195">
        <f t="shared" si="115"/>
        <v>5363298.598</v>
      </c>
      <c r="X50" s="195">
        <f t="shared" si="115"/>
        <v>0</v>
      </c>
      <c r="Y50" s="195">
        <f t="shared" si="115"/>
        <v>0</v>
      </c>
      <c r="Z50" s="195">
        <f t="shared" si="115"/>
        <v>0</v>
      </c>
      <c r="AA50" s="1"/>
      <c r="AB50" s="1"/>
      <c r="AC50" s="1" t="s">
        <v>294</v>
      </c>
      <c r="AD50" s="1" t="s">
        <v>342</v>
      </c>
      <c r="AE50" s="197"/>
      <c r="AF50" s="197">
        <f t="shared" ref="AF50:AP50" si="116">IF(YEAR(AF$21)=YEAR($AL$2),$AB$43,IF(YEAR(AF$21)=YEAR($AL$2)+1,$AB$44,IF(YEAR(AF$21)=YEAR($AL$2)+2,$AB$45,IF(YEAR(AF$21)=YEAR($AL$2)+3,$AB$46,IF(YEAR(AF$21)=YEAR($AL$2)+4,$AB$47,$AB$48)))))</f>
        <v>0.05</v>
      </c>
      <c r="AG50" s="197">
        <f t="shared" si="116"/>
        <v>0.05</v>
      </c>
      <c r="AH50" s="197">
        <f t="shared" si="116"/>
        <v>0.05</v>
      </c>
      <c r="AI50" s="197">
        <f t="shared" si="116"/>
        <v>0.05</v>
      </c>
      <c r="AJ50" s="197">
        <f t="shared" si="116"/>
        <v>0.05</v>
      </c>
      <c r="AK50" s="197">
        <f t="shared" si="116"/>
        <v>0.05</v>
      </c>
      <c r="AL50" s="197">
        <f t="shared" si="116"/>
        <v>0.1588</v>
      </c>
      <c r="AM50" s="197">
        <f t="shared" si="116"/>
        <v>0.2287</v>
      </c>
      <c r="AN50" s="197">
        <f t="shared" si="116"/>
        <v>0.2213</v>
      </c>
      <c r="AO50" s="197">
        <f t="shared" si="116"/>
        <v>0.0596</v>
      </c>
      <c r="AP50" s="197">
        <f t="shared" si="116"/>
        <v>0.0588</v>
      </c>
      <c r="AQ50" s="197">
        <f t="shared" ref="AQ50:AZ50" si="117">IF(YEAR(AQ$21)=YEAR($AL$2),$AB$43,IF(YEAR(AQ$21)=YEAR($AL$2)+1,$AB$44,IF(YEAR(AQ$21)=YEAR($AL$2)+2,$AB$45,IF(YEAR(AQ$21)=YEAR($AL$2)+3,$AB$46,IF(YEAR(AQ$21)=YEAR($AL$2)+4,$AB$28,$AB$29)))))</f>
        <v>0.06</v>
      </c>
      <c r="AR50" s="197">
        <f t="shared" si="117"/>
        <v>0.06</v>
      </c>
      <c r="AS50" s="197">
        <f t="shared" si="117"/>
        <v>0.06</v>
      </c>
      <c r="AT50" s="197">
        <f t="shared" si="117"/>
        <v>0.06</v>
      </c>
      <c r="AU50" s="197">
        <f t="shared" si="117"/>
        <v>0.06</v>
      </c>
      <c r="AV50" s="197">
        <f t="shared" si="117"/>
        <v>0.06</v>
      </c>
      <c r="AW50" s="197">
        <f t="shared" si="117"/>
        <v>0.06</v>
      </c>
      <c r="AX50" s="197">
        <f t="shared" si="117"/>
        <v>0.06</v>
      </c>
      <c r="AY50" s="197">
        <f t="shared" si="117"/>
        <v>0.06</v>
      </c>
      <c r="AZ50" s="197">
        <f t="shared" si="117"/>
        <v>0.06</v>
      </c>
      <c r="BA50" s="197"/>
      <c r="BB50" s="197"/>
      <c r="BC50" s="197"/>
    </row>
    <row r="51" ht="15.75" customHeight="1">
      <c r="A51" s="122"/>
      <c r="B51" s="1" t="s">
        <v>290</v>
      </c>
      <c r="C51" s="1"/>
      <c r="D51" s="1"/>
      <c r="E51" s="195">
        <f>IF(YEAR(E$1)=YEAR($AH$2),$AH$8*((12-MONTH($AH$2))/12),IF(YEAR($AH$2)+1=YEAR(E$1),$AH$8*(1+AE65),D51*(1+AE65)))</f>
        <v>0</v>
      </c>
      <c r="F51" s="195">
        <f t="shared" ref="F51:H51" si="118">IF(YEAR(F$1)=YEAR($AH$2),$AH$8*((13-MONTH($AH$2))/12)*(1+AF65),IF(YEAR(F$1)=YEAR($AH$2)+1,E51/((13-MONTH($AH$2))/12)*(1+AF65),IF(YEAR(F$1)=YEAR($AH$2)+5,0,E51*(1+AF65))))</f>
        <v>0</v>
      </c>
      <c r="G51" s="195">
        <f t="shared" si="118"/>
        <v>0</v>
      </c>
      <c r="H51" s="195">
        <f t="shared" si="118"/>
        <v>0</v>
      </c>
      <c r="I51" s="195">
        <f>IF(YEAR(I$1)=YEAR($AH$2),$AH$8*((13-MONTH($AH$2))/12)*(1+AH65),IF(YEAR(I$1)=YEAR($AH$2)+1,H51/((13-MONTH($AH$2))/12)*(1+AH65),IF(YEAR(I$1)=YEAR($AH$2)+5,0,H51*(1+AH65))))</f>
        <v>0</v>
      </c>
      <c r="J51" s="195">
        <f t="shared" ref="J51:R51" si="119">IF(YEAR(J$1)=YEAR($AH$2),$AH$8*((13-MONTH($AH$2))/12)*(1+AJ65),IF(YEAR(J$1)=YEAR($AH$2)+1,I51/((13-MONTH($AH$2))/12)*(1+AJ65),IF(YEAR(J$1)=YEAR($AH$2)+5,0,I51*(1+AJ65))))</f>
        <v>0</v>
      </c>
      <c r="K51" s="195">
        <f t="shared" si="119"/>
        <v>0</v>
      </c>
      <c r="L51" s="195">
        <f t="shared" si="119"/>
        <v>0</v>
      </c>
      <c r="M51" s="195">
        <f t="shared" si="119"/>
        <v>7163552</v>
      </c>
      <c r="N51" s="195">
        <f t="shared" si="119"/>
        <v>8798990.922</v>
      </c>
      <c r="O51" s="195">
        <f t="shared" si="119"/>
        <v>9912063.273</v>
      </c>
      <c r="P51" s="195">
        <f t="shared" si="119"/>
        <v>8345957.276</v>
      </c>
      <c r="Q51" s="195">
        <f t="shared" si="119"/>
        <v>8729871.311</v>
      </c>
      <c r="R51" s="195">
        <f t="shared" si="119"/>
        <v>0</v>
      </c>
      <c r="S51" s="195">
        <f t="shared" ref="S51:Z51" si="120">IF(YEAR(S$1)=YEAR($AH$2),$AH$8*((13-MONTH($AH$2))/12)*(1+AS65),IF(YEAR(S$1)=YEAR($AH$2)+1,R51/((13-MONTH($AH$2))/12)*(1+AS65),IF(YEAR(S$1)&gt;=YEAR($AH$2)+5,0,R51*(1+AS65))))+IF(YEAR(S$1)=YEAR($AY$2),$AY$8*((13-MONTH($AY$2))/12)*(1+AS65),IF(YEAR(S$1)=YEAR($AY$2)+1,R51/((13-MONTH($AY$2))/12)*(1+AS65),IF(YEAR(S$1)&gt;=YEAR($AY$2)+5,0,IF(YEAR(S$1)&lt;YEAR($AY$2),0,R51*(1+AS65)))))</f>
        <v>0</v>
      </c>
      <c r="T51" s="195">
        <f t="shared" si="120"/>
        <v>0</v>
      </c>
      <c r="U51" s="195">
        <f t="shared" si="120"/>
        <v>6268108</v>
      </c>
      <c r="V51" s="195">
        <f t="shared" si="120"/>
        <v>7699117.056</v>
      </c>
      <c r="W51" s="195">
        <f t="shared" si="120"/>
        <v>8673055.364</v>
      </c>
      <c r="X51" s="195">
        <f t="shared" si="120"/>
        <v>7302712.617</v>
      </c>
      <c r="Y51" s="195">
        <f t="shared" si="120"/>
        <v>7638637.397</v>
      </c>
      <c r="Z51" s="195">
        <f t="shared" si="120"/>
        <v>0</v>
      </c>
      <c r="AA51" s="1"/>
      <c r="AB51" s="1"/>
      <c r="AC51" s="1" t="s">
        <v>295</v>
      </c>
      <c r="AD51" s="1" t="s">
        <v>342</v>
      </c>
      <c r="AE51" s="197"/>
      <c r="AF51" s="197">
        <f t="shared" ref="AF51:AP51" si="121">IF(YEAR(AF$21)=YEAR($AM$2),$AB$43,IF(YEAR(AF$21)=YEAR($AM$2)+1,$AB$44,IF(YEAR(AF$21)=YEAR($AM$2)+2,$AB$45,IF(YEAR(AF$21)=YEAR($AM$2)+3,$AB$46,IF(YEAR(AF$21)=YEAR($AM$2)+4,$AB$47,$AB$48)))))</f>
        <v>0.05</v>
      </c>
      <c r="AG51" s="197">
        <f t="shared" si="121"/>
        <v>0.05</v>
      </c>
      <c r="AH51" s="197">
        <f t="shared" si="121"/>
        <v>0.05</v>
      </c>
      <c r="AI51" s="197">
        <f t="shared" si="121"/>
        <v>0.05</v>
      </c>
      <c r="AJ51" s="197">
        <f t="shared" si="121"/>
        <v>0.05</v>
      </c>
      <c r="AK51" s="197">
        <f t="shared" si="121"/>
        <v>0.05</v>
      </c>
      <c r="AL51" s="197">
        <f t="shared" si="121"/>
        <v>0.05</v>
      </c>
      <c r="AM51" s="197">
        <f t="shared" si="121"/>
        <v>0.05</v>
      </c>
      <c r="AN51" s="197">
        <f t="shared" si="121"/>
        <v>0.1588</v>
      </c>
      <c r="AO51" s="197">
        <f t="shared" si="121"/>
        <v>0.2287</v>
      </c>
      <c r="AP51" s="197">
        <f t="shared" si="121"/>
        <v>0.2213</v>
      </c>
      <c r="AQ51" s="197">
        <f t="shared" ref="AQ51:AZ51" si="122">IF(YEAR(AQ$21)=YEAR($AM$2),$AB$43,IF(YEAR(AQ$21)=YEAR($AM$2)+1,$AB$44,IF(YEAR(AQ$21)=YEAR($AM$2)+2,$AB$45,IF(YEAR(AQ$21)=YEAR($AM$2)+3,$AB$46,IF(YEAR(AQ$21)=YEAR($AM$2)+4,$AB$28,$AB$29)))))</f>
        <v>0.0596</v>
      </c>
      <c r="AR51" s="197">
        <f t="shared" si="122"/>
        <v>0.117</v>
      </c>
      <c r="AS51" s="197">
        <f t="shared" si="122"/>
        <v>0.06</v>
      </c>
      <c r="AT51" s="197">
        <f t="shared" si="122"/>
        <v>0.06</v>
      </c>
      <c r="AU51" s="197">
        <f t="shared" si="122"/>
        <v>0.06</v>
      </c>
      <c r="AV51" s="197">
        <f t="shared" si="122"/>
        <v>0.06</v>
      </c>
      <c r="AW51" s="197">
        <f t="shared" si="122"/>
        <v>0.06</v>
      </c>
      <c r="AX51" s="197">
        <f t="shared" si="122"/>
        <v>0.06</v>
      </c>
      <c r="AY51" s="197">
        <f t="shared" si="122"/>
        <v>0.06</v>
      </c>
      <c r="AZ51" s="197">
        <f t="shared" si="122"/>
        <v>0.06</v>
      </c>
      <c r="BA51" s="197"/>
      <c r="BB51" s="197"/>
      <c r="BC51" s="197"/>
    </row>
    <row r="52" ht="15.75" customHeight="1">
      <c r="A52" s="122"/>
      <c r="B52" s="1" t="s">
        <v>314</v>
      </c>
      <c r="C52" s="117"/>
      <c r="D52" s="117"/>
      <c r="E52" s="195">
        <f>IF(YEAR(E$1)=YEAR($AI$2),$AI$8*((12-MONTH($AI$2))/12),IF(YEAR($AI$2)+1=YEAR(E$1),$AI$8*(1+AE66),D52*(1+AE66)))</f>
        <v>0</v>
      </c>
      <c r="F52" s="195">
        <f t="shared" ref="F52:Z52" si="123">IF(YEAR(F$1)=YEAR($AI$2),$AI$8*((13-MONTH($AI$2))/12)*(1+AF66),IF(YEAR(F$1)=YEAR($AI$2)+1,E52/((13-MONTH($AI$2))/12)*(1+AF66),IF(YEAR(F$1)=YEAR($AI$2)+5,0,E52*(1+AF66))))</f>
        <v>3672257.758</v>
      </c>
      <c r="G52" s="195">
        <f t="shared" si="123"/>
        <v>4510634.205</v>
      </c>
      <c r="H52" s="195">
        <f t="shared" si="123"/>
        <v>5081229.432</v>
      </c>
      <c r="I52" s="195">
        <f t="shared" si="123"/>
        <v>4278395.181</v>
      </c>
      <c r="J52" s="195">
        <f t="shared" si="123"/>
        <v>4475201.36</v>
      </c>
      <c r="K52" s="195">
        <f t="shared" si="123"/>
        <v>0</v>
      </c>
      <c r="L52" s="195">
        <f t="shared" si="123"/>
        <v>0</v>
      </c>
      <c r="M52" s="195">
        <f t="shared" si="123"/>
        <v>0</v>
      </c>
      <c r="N52" s="195">
        <f t="shared" si="123"/>
        <v>0</v>
      </c>
      <c r="O52" s="195">
        <f t="shared" si="123"/>
        <v>0</v>
      </c>
      <c r="P52" s="195">
        <f t="shared" si="123"/>
        <v>0</v>
      </c>
      <c r="Q52" s="195">
        <f t="shared" si="123"/>
        <v>0</v>
      </c>
      <c r="R52" s="195">
        <f t="shared" si="123"/>
        <v>0</v>
      </c>
      <c r="S52" s="195">
        <f t="shared" si="123"/>
        <v>0</v>
      </c>
      <c r="T52" s="195">
        <f t="shared" si="123"/>
        <v>0</v>
      </c>
      <c r="U52" s="195">
        <f t="shared" si="123"/>
        <v>0</v>
      </c>
      <c r="V52" s="195">
        <f t="shared" si="123"/>
        <v>0</v>
      </c>
      <c r="W52" s="195">
        <f t="shared" si="123"/>
        <v>0</v>
      </c>
      <c r="X52" s="195">
        <f t="shared" si="123"/>
        <v>0</v>
      </c>
      <c r="Y52" s="195">
        <f t="shared" si="123"/>
        <v>0</v>
      </c>
      <c r="Z52" s="195">
        <f t="shared" si="123"/>
        <v>0</v>
      </c>
      <c r="AA52" s="1"/>
      <c r="AB52" s="1"/>
      <c r="AC52" s="1" t="s">
        <v>296</v>
      </c>
      <c r="AD52" s="1" t="s">
        <v>342</v>
      </c>
      <c r="AE52" s="197"/>
      <c r="AF52" s="197">
        <f t="shared" ref="AF52:AP52" si="124">IF(YEAR(AF$21)=YEAR($AN$2),$AB$43,IF(YEAR(AF$21)=YEAR($AN$2)+1,$AB$44,IF(YEAR(AF$21)=YEAR($AN$2)+2,$AB$45,IF(YEAR(AF$21)=YEAR($AN$2)+3,$AB$46,IF(YEAR(AF$21)=YEAR($AN$2)+4,$AB$47,$AB$48)))))</f>
        <v>0.05</v>
      </c>
      <c r="AG52" s="197">
        <f t="shared" si="124"/>
        <v>0.05</v>
      </c>
      <c r="AH52" s="197">
        <f t="shared" si="124"/>
        <v>0.05</v>
      </c>
      <c r="AI52" s="197">
        <f t="shared" si="124"/>
        <v>0.05</v>
      </c>
      <c r="AJ52" s="197">
        <f t="shared" si="124"/>
        <v>0.05</v>
      </c>
      <c r="AK52" s="197">
        <f t="shared" si="124"/>
        <v>0.05</v>
      </c>
      <c r="AL52" s="197">
        <f t="shared" si="124"/>
        <v>0.05</v>
      </c>
      <c r="AM52" s="197">
        <f t="shared" si="124"/>
        <v>0.05</v>
      </c>
      <c r="AN52" s="197">
        <f t="shared" si="124"/>
        <v>0.05</v>
      </c>
      <c r="AO52" s="197">
        <f t="shared" si="124"/>
        <v>0.05</v>
      </c>
      <c r="AP52" s="197">
        <f t="shared" si="124"/>
        <v>0.1588</v>
      </c>
      <c r="AQ52" s="197">
        <f t="shared" ref="AQ52:AZ52" si="125">IF(YEAR(AQ$21)=YEAR($AN$2),$AB$43,IF(YEAR(AQ$21)=YEAR($AN$2)+1,$AB$44,IF(YEAR(AQ$21)=YEAR($AN$2)+2,$AB$45,IF(YEAR(AQ$21)=YEAR($AN$2)+3,$AB$46,IF(YEAR(AQ$21)=YEAR($AN$2)+4,$AB$28,$AB$29)))))</f>
        <v>0.2287</v>
      </c>
      <c r="AR52" s="197">
        <f t="shared" si="125"/>
        <v>0.2213</v>
      </c>
      <c r="AS52" s="197">
        <f t="shared" si="125"/>
        <v>0.0596</v>
      </c>
      <c r="AT52" s="197">
        <f t="shared" si="125"/>
        <v>0.117</v>
      </c>
      <c r="AU52" s="197">
        <f t="shared" si="125"/>
        <v>0.06</v>
      </c>
      <c r="AV52" s="197">
        <f t="shared" si="125"/>
        <v>0.06</v>
      </c>
      <c r="AW52" s="197">
        <f t="shared" si="125"/>
        <v>0.06</v>
      </c>
      <c r="AX52" s="197">
        <f t="shared" si="125"/>
        <v>0.06</v>
      </c>
      <c r="AY52" s="197">
        <f t="shared" si="125"/>
        <v>0.06</v>
      </c>
      <c r="AZ52" s="197">
        <f t="shared" si="125"/>
        <v>0.06</v>
      </c>
      <c r="BA52" s="197"/>
      <c r="BB52" s="197"/>
      <c r="BC52" s="197"/>
    </row>
    <row r="53" ht="15.75" customHeight="1">
      <c r="A53" s="122"/>
      <c r="B53" s="1" t="s">
        <v>292</v>
      </c>
      <c r="C53" s="117"/>
      <c r="D53" s="117"/>
      <c r="E53" s="195">
        <f>IF(YEAR(E$1)=YEAR($AJ$2),$AJ$8*((12-MONTH($AJ$2))/12),IF(YEAR($AJ$2)+1=YEAR(E$1),$AJ$8*(1+AE67),D53*(1+AE67)))</f>
        <v>0</v>
      </c>
      <c r="F53" s="195">
        <f t="shared" ref="F53:Z53" si="126">IF(YEAR(F$1)=YEAR($AJ$2),$AJ$8*((13-MONTH($AJ$2))/12)*(1+AF67),IF(YEAR(F$1)=YEAR($AJ$2)+1,E53/((13-MONTH($AJ$2))/12)*(1+AF67),IF(YEAR(F$1)=YEAR($AJ$2)+5,0,E53*(1+AF67))))</f>
        <v>0</v>
      </c>
      <c r="G53" s="195">
        <f t="shared" si="126"/>
        <v>0</v>
      </c>
      <c r="H53" s="195">
        <f t="shared" si="126"/>
        <v>838288</v>
      </c>
      <c r="I53" s="195">
        <f t="shared" si="126"/>
        <v>1029669.15</v>
      </c>
      <c r="J53" s="195">
        <f t="shared" si="126"/>
        <v>1159922.298</v>
      </c>
      <c r="K53" s="195">
        <f t="shared" si="126"/>
        <v>976654.5749</v>
      </c>
      <c r="L53" s="195">
        <f t="shared" si="126"/>
        <v>1021580.685</v>
      </c>
      <c r="M53" s="195">
        <f t="shared" si="126"/>
        <v>0</v>
      </c>
      <c r="N53" s="195">
        <f t="shared" si="126"/>
        <v>0</v>
      </c>
      <c r="O53" s="195">
        <f t="shared" si="126"/>
        <v>0</v>
      </c>
      <c r="P53" s="195">
        <f t="shared" si="126"/>
        <v>0</v>
      </c>
      <c r="Q53" s="195">
        <f t="shared" si="126"/>
        <v>0</v>
      </c>
      <c r="R53" s="195">
        <f t="shared" si="126"/>
        <v>0</v>
      </c>
      <c r="S53" s="195">
        <f t="shared" si="126"/>
        <v>0</v>
      </c>
      <c r="T53" s="195">
        <f t="shared" si="126"/>
        <v>0</v>
      </c>
      <c r="U53" s="195">
        <f t="shared" si="126"/>
        <v>0</v>
      </c>
      <c r="V53" s="195">
        <f t="shared" si="126"/>
        <v>0</v>
      </c>
      <c r="W53" s="195">
        <f t="shared" si="126"/>
        <v>0</v>
      </c>
      <c r="X53" s="195">
        <f t="shared" si="126"/>
        <v>0</v>
      </c>
      <c r="Y53" s="195">
        <f t="shared" si="126"/>
        <v>0</v>
      </c>
      <c r="Z53" s="195">
        <f t="shared" si="126"/>
        <v>0</v>
      </c>
      <c r="AA53" s="1"/>
      <c r="AB53" s="1"/>
      <c r="AC53" s="1" t="s">
        <v>297</v>
      </c>
      <c r="AD53" s="1" t="s">
        <v>342</v>
      </c>
      <c r="AE53" s="197"/>
      <c r="AF53" s="197">
        <f t="shared" ref="AF53:AP53" si="127">IF(YEAR(AF$21)=YEAR($AO$2),$AB$43,IF(YEAR(AF$21)=YEAR($AO$2)+1,$AB$44,IF(YEAR(AF$21)=YEAR($AO$2)+2,$AB$45,IF(YEAR(AF$21)=YEAR($AO$2)+3,$AB$46,IF(YEAR(AF$21)=YEAR($AO$2)+4,$AB$47,$AB$48)))))</f>
        <v>0.05</v>
      </c>
      <c r="AG53" s="197">
        <f t="shared" si="127"/>
        <v>0.05</v>
      </c>
      <c r="AH53" s="197">
        <f t="shared" si="127"/>
        <v>0.05</v>
      </c>
      <c r="AI53" s="197">
        <f t="shared" si="127"/>
        <v>0.05</v>
      </c>
      <c r="AJ53" s="197">
        <f t="shared" si="127"/>
        <v>0.05</v>
      </c>
      <c r="AK53" s="197">
        <f t="shared" si="127"/>
        <v>0.05</v>
      </c>
      <c r="AL53" s="197">
        <f t="shared" si="127"/>
        <v>0.05</v>
      </c>
      <c r="AM53" s="197">
        <f t="shared" si="127"/>
        <v>0.05</v>
      </c>
      <c r="AN53" s="197">
        <f t="shared" si="127"/>
        <v>0.05</v>
      </c>
      <c r="AO53" s="197">
        <f t="shared" si="127"/>
        <v>0.05</v>
      </c>
      <c r="AP53" s="197">
        <f t="shared" si="127"/>
        <v>0.05</v>
      </c>
      <c r="AQ53" s="197">
        <f t="shared" ref="AQ53:AZ53" si="128">IF(YEAR(AQ$21)=YEAR($AO$2),$AB$43,IF(YEAR(AQ$21)=YEAR($AO$2)+1,$AB$44,IF(YEAR(AQ$21)=YEAR($AO$2)+2,$AB$45,IF(YEAR(AQ$21)=YEAR($AO$2)+3,$AB$46,IF(YEAR(AQ$21)=YEAR($AO$2)+4,$AB$28,$AB$29)))))</f>
        <v>0.06</v>
      </c>
      <c r="AR53" s="197">
        <f t="shared" si="128"/>
        <v>0.1588</v>
      </c>
      <c r="AS53" s="197">
        <f t="shared" si="128"/>
        <v>0.2287</v>
      </c>
      <c r="AT53" s="197">
        <f t="shared" si="128"/>
        <v>0.2213</v>
      </c>
      <c r="AU53" s="197">
        <f t="shared" si="128"/>
        <v>0.0596</v>
      </c>
      <c r="AV53" s="197">
        <f t="shared" si="128"/>
        <v>0.117</v>
      </c>
      <c r="AW53" s="197">
        <f t="shared" si="128"/>
        <v>0.06</v>
      </c>
      <c r="AX53" s="197">
        <f t="shared" si="128"/>
        <v>0.06</v>
      </c>
      <c r="AY53" s="197">
        <f t="shared" si="128"/>
        <v>0.06</v>
      </c>
      <c r="AZ53" s="197">
        <f t="shared" si="128"/>
        <v>0.06</v>
      </c>
      <c r="BA53" s="197"/>
      <c r="BB53" s="197"/>
      <c r="BC53" s="197"/>
    </row>
    <row r="54" ht="15.75" customHeight="1">
      <c r="A54" s="122"/>
      <c r="B54" s="1" t="s">
        <v>293</v>
      </c>
      <c r="C54" s="117"/>
      <c r="D54" s="117"/>
      <c r="E54" s="195"/>
      <c r="F54" s="195">
        <f t="shared" ref="F54:Z54" si="129">IF(YEAR(F$1)=YEAR($AK$2),$AK$8*((13-MONTH($AK$2))/12)*(1+AF68),IF(YEAR(F$1)=YEAR($AK$2)+1,E54/((13-MONTH($AK$2))/12)*(1+AF68),IF(YEAR(F$1)=YEAR($AK$2)+5,0,E54*(1+AF68))))</f>
        <v>0</v>
      </c>
      <c r="G54" s="195">
        <f t="shared" si="129"/>
        <v>0</v>
      </c>
      <c r="H54" s="195">
        <f t="shared" si="129"/>
        <v>0</v>
      </c>
      <c r="I54" s="195">
        <f t="shared" si="129"/>
        <v>0</v>
      </c>
      <c r="J54" s="195">
        <f t="shared" si="129"/>
        <v>876392</v>
      </c>
      <c r="K54" s="195">
        <f t="shared" si="129"/>
        <v>1076472.294</v>
      </c>
      <c r="L54" s="195">
        <f t="shared" si="129"/>
        <v>1212646.039</v>
      </c>
      <c r="M54" s="195">
        <f t="shared" si="129"/>
        <v>1021047.965</v>
      </c>
      <c r="N54" s="195">
        <f t="shared" si="129"/>
        <v>1068016.171</v>
      </c>
      <c r="O54" s="195">
        <f t="shared" si="129"/>
        <v>0</v>
      </c>
      <c r="P54" s="195">
        <f t="shared" si="129"/>
        <v>0</v>
      </c>
      <c r="Q54" s="195">
        <f t="shared" si="129"/>
        <v>0</v>
      </c>
      <c r="R54" s="195">
        <f t="shared" si="129"/>
        <v>0</v>
      </c>
      <c r="S54" s="195">
        <f t="shared" si="129"/>
        <v>0</v>
      </c>
      <c r="T54" s="195">
        <f t="shared" si="129"/>
        <v>0</v>
      </c>
      <c r="U54" s="195">
        <f t="shared" si="129"/>
        <v>0</v>
      </c>
      <c r="V54" s="195">
        <f t="shared" si="129"/>
        <v>0</v>
      </c>
      <c r="W54" s="195">
        <f t="shared" si="129"/>
        <v>0</v>
      </c>
      <c r="X54" s="195">
        <f t="shared" si="129"/>
        <v>0</v>
      </c>
      <c r="Y54" s="195">
        <f t="shared" si="129"/>
        <v>0</v>
      </c>
      <c r="Z54" s="195">
        <f t="shared" si="129"/>
        <v>0</v>
      </c>
      <c r="AA54" s="1"/>
      <c r="AB54" s="1"/>
      <c r="AC54" s="1" t="s">
        <v>298</v>
      </c>
      <c r="AD54" s="1" t="s">
        <v>342</v>
      </c>
      <c r="AE54" s="197"/>
      <c r="AF54" s="197">
        <f t="shared" ref="AF54:AP54" si="130">IF(YEAR(AF$21)=YEAR($AP$2),$AB$43,IF(YEAR(AF$21)=YEAR($AP$2)+1,$AB$44,IF(YEAR(AF$21)=YEAR($AP$2)+2,$AB$45,IF(YEAR(AF$21)=YEAR($AP$2)+3,$AB$46,IF(YEAR(AF$21)=YEAR($AP$2)+4,$AB$47,$AB$48)))))</f>
        <v>0.05</v>
      </c>
      <c r="AG54" s="197">
        <f t="shared" si="130"/>
        <v>0.05</v>
      </c>
      <c r="AH54" s="197">
        <f t="shared" si="130"/>
        <v>0.05</v>
      </c>
      <c r="AI54" s="197">
        <f t="shared" si="130"/>
        <v>0.05</v>
      </c>
      <c r="AJ54" s="197">
        <f t="shared" si="130"/>
        <v>0.05</v>
      </c>
      <c r="AK54" s="197">
        <f t="shared" si="130"/>
        <v>0.05</v>
      </c>
      <c r="AL54" s="197">
        <f t="shared" si="130"/>
        <v>0.05</v>
      </c>
      <c r="AM54" s="197">
        <f t="shared" si="130"/>
        <v>0.05</v>
      </c>
      <c r="AN54" s="197">
        <f t="shared" si="130"/>
        <v>0.05</v>
      </c>
      <c r="AO54" s="197">
        <f t="shared" si="130"/>
        <v>0.05</v>
      </c>
      <c r="AP54" s="197">
        <f t="shared" si="130"/>
        <v>0.05</v>
      </c>
      <c r="AQ54" s="197">
        <f t="shared" ref="AQ54:AZ54" si="131">IF(YEAR(AQ$21)=YEAR($AP$2),$AB$43,IF(YEAR(AQ$21)=YEAR($AP$2)+1,$AB$44,IF(YEAR(AQ$21)=YEAR($AP$2)+2,$AB$45,IF(YEAR(AQ$21)=YEAR($AP$2)+3,$AB$46,IF(YEAR(AQ$21)=YEAR($AP$2)+4,$AB$28,$AB$29)))))</f>
        <v>0.06</v>
      </c>
      <c r="AR54" s="197">
        <f t="shared" si="131"/>
        <v>0.06</v>
      </c>
      <c r="AS54" s="197">
        <f t="shared" si="131"/>
        <v>0.06</v>
      </c>
      <c r="AT54" s="197">
        <f t="shared" si="131"/>
        <v>0.1588</v>
      </c>
      <c r="AU54" s="197">
        <f t="shared" si="131"/>
        <v>0.2287</v>
      </c>
      <c r="AV54" s="197">
        <f t="shared" si="131"/>
        <v>0.2213</v>
      </c>
      <c r="AW54" s="197">
        <f t="shared" si="131"/>
        <v>0.0596</v>
      </c>
      <c r="AX54" s="197">
        <f t="shared" si="131"/>
        <v>0.117</v>
      </c>
      <c r="AY54" s="197">
        <f t="shared" si="131"/>
        <v>0.06</v>
      </c>
      <c r="AZ54" s="197">
        <f t="shared" si="131"/>
        <v>0.06</v>
      </c>
      <c r="BA54" s="197"/>
      <c r="BB54" s="197"/>
      <c r="BC54" s="197"/>
    </row>
    <row r="55" ht="15.75" customHeight="1">
      <c r="A55" s="122"/>
      <c r="B55" s="1" t="s">
        <v>294</v>
      </c>
      <c r="C55" s="117"/>
      <c r="D55" s="117"/>
      <c r="E55" s="195">
        <f>IF(YEAR(E$1)=YEAR($AL$2),$AL$8*((12-MONTH($AL$2))/12),IF(YEAR($AL$2)+1=YEAR(E$1),$AL$8*(1+AE69),D55*(1+AE69)))</f>
        <v>0</v>
      </c>
      <c r="F55" s="195">
        <f t="shared" ref="F55:Z55" si="132">IF(YEAR(F$1)=YEAR($AL$2),$AL$8*((13-MONTH($AL$2))/12)*(1+AF69),IF(YEAR(F$1)=YEAR($AL$2)+1,E55/((13-MONTH($AL$2))/12)*(1+AF69),IF(YEAR(F$1)=YEAR($AL$2)+5,0,E55*(1+AF69))))</f>
        <v>0</v>
      </c>
      <c r="G55" s="195">
        <f t="shared" si="132"/>
        <v>0</v>
      </c>
      <c r="H55" s="195">
        <f t="shared" si="132"/>
        <v>0</v>
      </c>
      <c r="I55" s="195">
        <f t="shared" si="132"/>
        <v>0</v>
      </c>
      <c r="J55" s="195">
        <f t="shared" si="132"/>
        <v>0</v>
      </c>
      <c r="K55" s="195">
        <f t="shared" si="132"/>
        <v>0</v>
      </c>
      <c r="L55" s="195">
        <f t="shared" si="132"/>
        <v>1638472</v>
      </c>
      <c r="M55" s="195">
        <f t="shared" si="132"/>
        <v>2012535.158</v>
      </c>
      <c r="N55" s="195">
        <f t="shared" si="132"/>
        <v>2267120.855</v>
      </c>
      <c r="O55" s="195">
        <f t="shared" si="132"/>
        <v>1908915.76</v>
      </c>
      <c r="P55" s="195">
        <f t="shared" si="132"/>
        <v>1996725.885</v>
      </c>
      <c r="Q55" s="195">
        <f t="shared" si="132"/>
        <v>0</v>
      </c>
      <c r="R55" s="195">
        <f t="shared" si="132"/>
        <v>0</v>
      </c>
      <c r="S55" s="195">
        <f t="shared" si="132"/>
        <v>0</v>
      </c>
      <c r="T55" s="195">
        <f t="shared" si="132"/>
        <v>0</v>
      </c>
      <c r="U55" s="195">
        <f t="shared" si="132"/>
        <v>0</v>
      </c>
      <c r="V55" s="195">
        <f t="shared" si="132"/>
        <v>0</v>
      </c>
      <c r="W55" s="195">
        <f t="shared" si="132"/>
        <v>0</v>
      </c>
      <c r="X55" s="195">
        <f t="shared" si="132"/>
        <v>0</v>
      </c>
      <c r="Y55" s="195">
        <f t="shared" si="132"/>
        <v>0</v>
      </c>
      <c r="Z55" s="195">
        <f t="shared" si="132"/>
        <v>0</v>
      </c>
      <c r="AA55" s="1"/>
      <c r="AB55" s="1"/>
      <c r="AC55" s="1" t="s">
        <v>299</v>
      </c>
      <c r="AD55" s="1" t="s">
        <v>342</v>
      </c>
      <c r="AE55" s="197"/>
      <c r="AF55" s="197">
        <f t="shared" ref="AF55:AP55" si="133">IF(YEAR(AF$21)=YEAR($AQ$2),$AB$43,IF(YEAR(AF$21)=YEAR($AQ$2)+1,$AB$44,IF(YEAR(AF$21)=YEAR($AQ$2)+2,$AB$45,IF(YEAR(AF$21)=YEAR($AQ$2)+3,$AB$46,IF(YEAR(AF$21)=YEAR($AQ$2)+4,$AB$47,$AB$48)))))</f>
        <v>0.05</v>
      </c>
      <c r="AG55" s="197">
        <f t="shared" si="133"/>
        <v>0.05</v>
      </c>
      <c r="AH55" s="197">
        <f t="shared" si="133"/>
        <v>0.05</v>
      </c>
      <c r="AI55" s="197">
        <f t="shared" si="133"/>
        <v>0.05</v>
      </c>
      <c r="AJ55" s="197">
        <f t="shared" si="133"/>
        <v>0.05</v>
      </c>
      <c r="AK55" s="197">
        <f t="shared" si="133"/>
        <v>0.05</v>
      </c>
      <c r="AL55" s="197">
        <f t="shared" si="133"/>
        <v>0.05</v>
      </c>
      <c r="AM55" s="197">
        <f t="shared" si="133"/>
        <v>0.05</v>
      </c>
      <c r="AN55" s="197">
        <f t="shared" si="133"/>
        <v>0.05</v>
      </c>
      <c r="AO55" s="197">
        <f t="shared" si="133"/>
        <v>0.05</v>
      </c>
      <c r="AP55" s="197">
        <f t="shared" si="133"/>
        <v>0.05</v>
      </c>
      <c r="AQ55" s="197">
        <f t="shared" ref="AQ55:AZ55" si="134">IF(YEAR(AQ$21)=YEAR($AQ$2),$AB$43,IF(YEAR(AQ$21)=YEAR($AQ$2)+1,$AB$44,IF(YEAR(AQ$21)=YEAR($AQ$2)+2,$AB$45,IF(YEAR(AQ$21)=YEAR($AQ$2)+3,$AB$46,IF(YEAR(AQ$21)=YEAR($AQ$2)+4,$AB$28,$AB$29)))))</f>
        <v>0.06</v>
      </c>
      <c r="AR55" s="197">
        <f t="shared" si="134"/>
        <v>0.06</v>
      </c>
      <c r="AS55" s="197">
        <f t="shared" si="134"/>
        <v>0.06</v>
      </c>
      <c r="AT55" s="197">
        <f t="shared" si="134"/>
        <v>0.06</v>
      </c>
      <c r="AU55" s="197">
        <f t="shared" si="134"/>
        <v>0.06</v>
      </c>
      <c r="AV55" s="197">
        <f t="shared" si="134"/>
        <v>0.1588</v>
      </c>
      <c r="AW55" s="197">
        <f t="shared" si="134"/>
        <v>0.2287</v>
      </c>
      <c r="AX55" s="197">
        <f t="shared" si="134"/>
        <v>0.2213</v>
      </c>
      <c r="AY55" s="197">
        <f t="shared" si="134"/>
        <v>0.0596</v>
      </c>
      <c r="AZ55" s="197">
        <f t="shared" si="134"/>
        <v>0.117</v>
      </c>
      <c r="BA55" s="197"/>
      <c r="BB55" s="197"/>
      <c r="BC55" s="197"/>
    </row>
    <row r="56" ht="15.75" customHeight="1">
      <c r="A56" s="122"/>
      <c r="B56" s="1" t="s">
        <v>295</v>
      </c>
      <c r="C56" s="117"/>
      <c r="D56" s="117"/>
      <c r="E56" s="195">
        <f>IF(YEAR(E$1)=YEAR($AM$2),$AM$8*((12-MONTH($AM$2))/12),IF(YEAR($AM$2)+1=YEAR(E$1),$AM$8*(1+AE70),D56*(1+AE70)))</f>
        <v>0</v>
      </c>
      <c r="F56" s="195">
        <f t="shared" ref="F56:Z56" si="135">IF(YEAR(F$1)=YEAR($AM$2),$AM$8*((13-MONTH($AM$2))/12)*(1+AF70),IF(YEAR(F$1)=YEAR($AM$2)+1,E56/((13-MONTH($AM$2))/12)*(1+AF70),IF(YEAR(F$1)=YEAR($AM$2)+5,0,E56*(1+AF70))))</f>
        <v>0</v>
      </c>
      <c r="G56" s="195">
        <f t="shared" si="135"/>
        <v>0</v>
      </c>
      <c r="H56" s="195">
        <f t="shared" si="135"/>
        <v>0</v>
      </c>
      <c r="I56" s="195">
        <f t="shared" si="135"/>
        <v>0</v>
      </c>
      <c r="J56" s="195">
        <f t="shared" si="135"/>
        <v>0</v>
      </c>
      <c r="K56" s="195">
        <f t="shared" si="135"/>
        <v>0</v>
      </c>
      <c r="L56" s="195">
        <f t="shared" si="135"/>
        <v>0</v>
      </c>
      <c r="M56" s="195">
        <f t="shared" si="135"/>
        <v>0</v>
      </c>
      <c r="N56" s="195">
        <f t="shared" si="135"/>
        <v>2333870</v>
      </c>
      <c r="O56" s="195">
        <f t="shared" si="135"/>
        <v>2866692.521</v>
      </c>
      <c r="P56" s="195">
        <f t="shared" si="135"/>
        <v>3229329.125</v>
      </c>
      <c r="Q56" s="195">
        <f t="shared" si="135"/>
        <v>2719095.123</v>
      </c>
      <c r="R56" s="195">
        <f t="shared" si="135"/>
        <v>3037229.253</v>
      </c>
      <c r="S56" s="195">
        <f t="shared" si="135"/>
        <v>0</v>
      </c>
      <c r="T56" s="195">
        <f t="shared" si="135"/>
        <v>0</v>
      </c>
      <c r="U56" s="195">
        <f t="shared" si="135"/>
        <v>0</v>
      </c>
      <c r="V56" s="195">
        <f t="shared" si="135"/>
        <v>0</v>
      </c>
      <c r="W56" s="195">
        <f t="shared" si="135"/>
        <v>0</v>
      </c>
      <c r="X56" s="195">
        <f t="shared" si="135"/>
        <v>0</v>
      </c>
      <c r="Y56" s="195">
        <f t="shared" si="135"/>
        <v>0</v>
      </c>
      <c r="Z56" s="195">
        <f t="shared" si="135"/>
        <v>0</v>
      </c>
      <c r="AA56" s="1"/>
      <c r="AB56" s="1"/>
      <c r="AC56" s="1" t="s">
        <v>300</v>
      </c>
      <c r="AD56" s="1" t="s">
        <v>342</v>
      </c>
      <c r="AE56" s="197"/>
      <c r="AF56" s="197">
        <f t="shared" ref="AF56:AP56" si="136">IF(YEAR(AF$21)=YEAR($AR$2),$AB$43,IF(YEAR(AF$21)=YEAR($AR$2)+1,$AB$44,IF(YEAR(AF$21)=YEAR($AR$2)+2,$AB$45,IF(YEAR(AF$21)=YEAR($AR$2)+3,$AB$46,IF(YEAR(AF$21)=YEAR($AR$2)+4,$AB$47,$AB$48)))))</f>
        <v>0.05</v>
      </c>
      <c r="AG56" s="197">
        <f t="shared" si="136"/>
        <v>0.05</v>
      </c>
      <c r="AH56" s="197">
        <f t="shared" si="136"/>
        <v>0.05</v>
      </c>
      <c r="AI56" s="197">
        <f t="shared" si="136"/>
        <v>0.05</v>
      </c>
      <c r="AJ56" s="197">
        <f t="shared" si="136"/>
        <v>0.05</v>
      </c>
      <c r="AK56" s="197">
        <f t="shared" si="136"/>
        <v>0.05</v>
      </c>
      <c r="AL56" s="197">
        <f t="shared" si="136"/>
        <v>0.05</v>
      </c>
      <c r="AM56" s="197">
        <f t="shared" si="136"/>
        <v>0.05</v>
      </c>
      <c r="AN56" s="197">
        <f t="shared" si="136"/>
        <v>0.05</v>
      </c>
      <c r="AO56" s="197">
        <f t="shared" si="136"/>
        <v>0.05</v>
      </c>
      <c r="AP56" s="197">
        <f t="shared" si="136"/>
        <v>0.05</v>
      </c>
      <c r="AQ56" s="197">
        <f t="shared" ref="AQ56:AZ56" si="137">IF(YEAR(AQ$21)=YEAR($AR$2),$AB$43,IF(YEAR(AQ$21)=YEAR($AR$2)+1,$AB$44,IF(YEAR(AQ$21)=YEAR($AR$2)+2,$AB$45,IF(YEAR(AQ$21)=YEAR($AR$2)+3,$AB$46,IF(YEAR(AQ$21)=YEAR($AR$2)+4,$AB$28,$AB$29)))))</f>
        <v>0.06</v>
      </c>
      <c r="AR56" s="197">
        <f t="shared" si="137"/>
        <v>0.06</v>
      </c>
      <c r="AS56" s="197">
        <f t="shared" si="137"/>
        <v>0.06</v>
      </c>
      <c r="AT56" s="197">
        <f t="shared" si="137"/>
        <v>0.06</v>
      </c>
      <c r="AU56" s="197">
        <f t="shared" si="137"/>
        <v>0.06</v>
      </c>
      <c r="AV56" s="197">
        <f t="shared" si="137"/>
        <v>0.06</v>
      </c>
      <c r="AW56" s="197">
        <f t="shared" si="137"/>
        <v>0.06</v>
      </c>
      <c r="AX56" s="197">
        <f t="shared" si="137"/>
        <v>0.1588</v>
      </c>
      <c r="AY56" s="197">
        <f t="shared" si="137"/>
        <v>0.2287</v>
      </c>
      <c r="AZ56" s="197">
        <f t="shared" si="137"/>
        <v>0.2213</v>
      </c>
      <c r="BA56" s="197"/>
      <c r="BB56" s="197"/>
      <c r="BC56" s="197"/>
    </row>
    <row r="57" ht="15.75" customHeight="1">
      <c r="A57" s="122"/>
      <c r="B57" s="1" t="s">
        <v>296</v>
      </c>
      <c r="C57" s="117"/>
      <c r="D57" s="117"/>
      <c r="E57" s="195">
        <f>IF(YEAR(E$1)=YEAR($AN$2),$AN$8*((12-MONTH($AN$2))/12),IF(YEAR($AN$2)+1=YEAR(E$1),$AN$8*(1+AE71),D57*(1+AE71)))</f>
        <v>0</v>
      </c>
      <c r="F57" s="195">
        <f t="shared" ref="F57:Z57" si="138">IF(YEAR(F$1)=YEAR($AN$2),$AN$8*((13-MONTH($AN$2))/12)*(1+AF71),IF(YEAR(F$1)=YEAR($AN$2)+1,E57/((13-MONTH($AN$2))/12)*(1+AF71),IF(YEAR(F$1)=YEAR($AN$2)+5,0,E57*(1+AF71))))</f>
        <v>0</v>
      </c>
      <c r="G57" s="195">
        <f t="shared" si="138"/>
        <v>0</v>
      </c>
      <c r="H57" s="195">
        <f t="shared" si="138"/>
        <v>0</v>
      </c>
      <c r="I57" s="195">
        <f t="shared" si="138"/>
        <v>0</v>
      </c>
      <c r="J57" s="195">
        <f t="shared" si="138"/>
        <v>0</v>
      </c>
      <c r="K57" s="195">
        <f t="shared" si="138"/>
        <v>0</v>
      </c>
      <c r="L57" s="195">
        <f t="shared" si="138"/>
        <v>0</v>
      </c>
      <c r="M57" s="195">
        <f t="shared" si="138"/>
        <v>0</v>
      </c>
      <c r="N57" s="195">
        <f t="shared" si="138"/>
        <v>0</v>
      </c>
      <c r="O57" s="195">
        <f t="shared" si="138"/>
        <v>0</v>
      </c>
      <c r="P57" s="195">
        <f t="shared" si="138"/>
        <v>1533686</v>
      </c>
      <c r="Q57" s="195">
        <f t="shared" si="138"/>
        <v>1883826.514</v>
      </c>
      <c r="R57" s="195">
        <f t="shared" si="138"/>
        <v>2122130.568</v>
      </c>
      <c r="S57" s="195">
        <f t="shared" si="138"/>
        <v>1786833.938</v>
      </c>
      <c r="T57" s="195">
        <f t="shared" si="138"/>
        <v>1995893.509</v>
      </c>
      <c r="U57" s="195">
        <f t="shared" si="138"/>
        <v>0</v>
      </c>
      <c r="V57" s="195">
        <f t="shared" si="138"/>
        <v>0</v>
      </c>
      <c r="W57" s="195">
        <f t="shared" si="138"/>
        <v>0</v>
      </c>
      <c r="X57" s="195">
        <f t="shared" si="138"/>
        <v>0</v>
      </c>
      <c r="Y57" s="195">
        <f t="shared" si="138"/>
        <v>0</v>
      </c>
      <c r="Z57" s="195">
        <f t="shared" si="138"/>
        <v>0</v>
      </c>
      <c r="AA57" s="1"/>
      <c r="AB57" s="1">
        <f>2520*(1+AB62)</f>
        <v>4801.104</v>
      </c>
      <c r="AC57" s="1" t="s">
        <v>301</v>
      </c>
      <c r="AD57" s="1" t="s">
        <v>342</v>
      </c>
      <c r="AE57" s="197"/>
      <c r="AF57" s="197">
        <f t="shared" ref="AF57:AP57" si="139">IF(YEAR(AF$21)=YEAR($AS$2),$AB$43,IF(YEAR(AF$21)=YEAR($AS$2)+1,$AB$44,IF(YEAR(AF$21)=YEAR($AS$2)+2,$AB$45,IF(YEAR(AF$21)=YEAR($AS$2)+3,$AB$46,IF(YEAR(AF$21)=YEAR($AS$2)+4,$AB$47,$AB$48)))))</f>
        <v>0.05</v>
      </c>
      <c r="AG57" s="197">
        <f t="shared" si="139"/>
        <v>0.05</v>
      </c>
      <c r="AH57" s="197">
        <f t="shared" si="139"/>
        <v>0.05</v>
      </c>
      <c r="AI57" s="197">
        <f t="shared" si="139"/>
        <v>0.05</v>
      </c>
      <c r="AJ57" s="197">
        <f t="shared" si="139"/>
        <v>0.05</v>
      </c>
      <c r="AK57" s="197">
        <f t="shared" si="139"/>
        <v>0.05</v>
      </c>
      <c r="AL57" s="197">
        <f t="shared" si="139"/>
        <v>0.05</v>
      </c>
      <c r="AM57" s="197">
        <f t="shared" si="139"/>
        <v>0.05</v>
      </c>
      <c r="AN57" s="197">
        <f t="shared" si="139"/>
        <v>0.05</v>
      </c>
      <c r="AO57" s="197">
        <f t="shared" si="139"/>
        <v>0.05</v>
      </c>
      <c r="AP57" s="197">
        <f t="shared" si="139"/>
        <v>0.05</v>
      </c>
      <c r="AQ57" s="197">
        <f t="shared" ref="AQ57:AZ57" si="140">IF(YEAR(AQ$21)=YEAR($AS$2),$AB$43,IF(YEAR(AQ$21)=YEAR($AS$2)+1,$AB$44,IF(YEAR(AQ$21)=YEAR($AS$2)+2,$AB$45,IF(YEAR(AQ$21)=YEAR($AS$2)+3,$AB$46,IF(YEAR(AQ$21)=YEAR($AS$2)+4,$AB$28,$AB$29)))))</f>
        <v>0.06</v>
      </c>
      <c r="AR57" s="197">
        <f t="shared" si="140"/>
        <v>0.06</v>
      </c>
      <c r="AS57" s="197">
        <f t="shared" si="140"/>
        <v>0.06</v>
      </c>
      <c r="AT57" s="197">
        <f t="shared" si="140"/>
        <v>0.06</v>
      </c>
      <c r="AU57" s="197">
        <f t="shared" si="140"/>
        <v>0.06</v>
      </c>
      <c r="AV57" s="197">
        <f t="shared" si="140"/>
        <v>0.06</v>
      </c>
      <c r="AW57" s="197">
        <f t="shared" si="140"/>
        <v>0.06</v>
      </c>
      <c r="AX57" s="197">
        <f t="shared" si="140"/>
        <v>0.06</v>
      </c>
      <c r="AY57" s="197">
        <f t="shared" si="140"/>
        <v>0.06</v>
      </c>
      <c r="AZ57" s="197">
        <f t="shared" si="140"/>
        <v>0.1588</v>
      </c>
      <c r="BA57" s="197"/>
      <c r="BB57" s="197"/>
      <c r="BC57" s="197"/>
    </row>
    <row r="58" ht="15.75" customHeight="1">
      <c r="A58" s="122"/>
      <c r="B58" s="1" t="s">
        <v>297</v>
      </c>
      <c r="C58" s="117"/>
      <c r="D58" s="117"/>
      <c r="E58" s="195">
        <f>IF(YEAR(E$1)=YEAR($AO$2),$AO$8*((12-MONTH($AO$2))/12),IF(YEAR($AO$2)+1=YEAR(E$1),$AO$8*(1+AE72),D58*(1+AE72)))</f>
        <v>0</v>
      </c>
      <c r="F58" s="195">
        <f t="shared" ref="F58:Z58" si="141">IF(YEAR(F$1)=YEAR($AO$2),$AO$8*((13-MONTH($AO$2))/12)*(1+AF72),IF(YEAR(F$1)=YEAR($AO$2)+1,E58/((13-MONTH($AO$2))/12)*(1+AF72),IF(YEAR(F$1)=YEAR($AO$2)+5,0,E58*(1+AF72))))</f>
        <v>0</v>
      </c>
      <c r="G58" s="195">
        <f t="shared" si="141"/>
        <v>0</v>
      </c>
      <c r="H58" s="195">
        <f t="shared" si="141"/>
        <v>0</v>
      </c>
      <c r="I58" s="195">
        <f t="shared" si="141"/>
        <v>0</v>
      </c>
      <c r="J58" s="195">
        <f t="shared" si="141"/>
        <v>0</v>
      </c>
      <c r="K58" s="195">
        <f t="shared" si="141"/>
        <v>0</v>
      </c>
      <c r="L58" s="195">
        <f t="shared" si="141"/>
        <v>0</v>
      </c>
      <c r="M58" s="195">
        <f t="shared" si="141"/>
        <v>0</v>
      </c>
      <c r="N58" s="195">
        <f t="shared" si="141"/>
        <v>0</v>
      </c>
      <c r="O58" s="195">
        <f t="shared" si="141"/>
        <v>0</v>
      </c>
      <c r="P58" s="195">
        <f t="shared" si="141"/>
        <v>0</v>
      </c>
      <c r="Q58" s="195">
        <f t="shared" si="141"/>
        <v>0</v>
      </c>
      <c r="R58" s="195">
        <f t="shared" si="141"/>
        <v>2686332</v>
      </c>
      <c r="S58" s="195">
        <f t="shared" si="141"/>
        <v>3299621.596</v>
      </c>
      <c r="T58" s="195">
        <f t="shared" si="141"/>
        <v>3717023.727</v>
      </c>
      <c r="U58" s="195">
        <f t="shared" si="141"/>
        <v>3129733.979</v>
      </c>
      <c r="V58" s="195">
        <f t="shared" si="141"/>
        <v>3495912.854</v>
      </c>
      <c r="W58" s="195">
        <f t="shared" si="141"/>
        <v>0</v>
      </c>
      <c r="X58" s="195">
        <f t="shared" si="141"/>
        <v>0</v>
      </c>
      <c r="Y58" s="195">
        <f t="shared" si="141"/>
        <v>0</v>
      </c>
      <c r="Z58" s="195">
        <f t="shared" si="141"/>
        <v>0</v>
      </c>
      <c r="AA58" s="1"/>
      <c r="AB58" s="1"/>
      <c r="AC58" s="1" t="s">
        <v>302</v>
      </c>
      <c r="AD58" s="1" t="s">
        <v>342</v>
      </c>
      <c r="AE58" s="197"/>
      <c r="AF58" s="197">
        <f t="shared" ref="AF58:AP58" si="142">IF(YEAR(AF$21)=YEAR($AT$2),$AB$43,IF(YEAR(AF$21)=YEAR($AT$2)+1,$AB$44,IF(YEAR(AF$21)=YEAR($AT$2)+2,$AB$45,IF(YEAR(AF$21)=YEAR($AT$2)+3,$AB$46,IF(YEAR(AF$21)=YEAR($AT$2)+4,$AB$47,$AB$48)))))</f>
        <v>0.05</v>
      </c>
      <c r="AG58" s="197">
        <f t="shared" si="142"/>
        <v>0.05</v>
      </c>
      <c r="AH58" s="197">
        <f t="shared" si="142"/>
        <v>0.05</v>
      </c>
      <c r="AI58" s="197">
        <f t="shared" si="142"/>
        <v>0.05</v>
      </c>
      <c r="AJ58" s="197">
        <f t="shared" si="142"/>
        <v>0.05</v>
      </c>
      <c r="AK58" s="197">
        <f t="shared" si="142"/>
        <v>0.05</v>
      </c>
      <c r="AL58" s="197">
        <f t="shared" si="142"/>
        <v>0.05</v>
      </c>
      <c r="AM58" s="197">
        <f t="shared" si="142"/>
        <v>0.05</v>
      </c>
      <c r="AN58" s="197">
        <f t="shared" si="142"/>
        <v>0.05</v>
      </c>
      <c r="AO58" s="197">
        <f t="shared" si="142"/>
        <v>0.05</v>
      </c>
      <c r="AP58" s="197">
        <f t="shared" si="142"/>
        <v>0.05</v>
      </c>
      <c r="AQ58" s="197">
        <f t="shared" ref="AQ58:AZ58" si="143">IF(YEAR(AQ$21)=YEAR($AT$2),$AB$43,IF(YEAR(AQ$21)=YEAR($AT$2)+1,$AB$44,IF(YEAR(AQ$21)=YEAR($AT$2)+2,$AB$45,IF(YEAR(AQ$21)=YEAR($AT$2)+3,$AB$46,IF(YEAR(AQ$21)=YEAR($AT$2)+4,$AB$28,$AB$29)))))</f>
        <v>0.06</v>
      </c>
      <c r="AR58" s="197">
        <f t="shared" si="143"/>
        <v>0.06</v>
      </c>
      <c r="AS58" s="197">
        <f t="shared" si="143"/>
        <v>0.06</v>
      </c>
      <c r="AT58" s="197">
        <f t="shared" si="143"/>
        <v>0.06</v>
      </c>
      <c r="AU58" s="197">
        <f t="shared" si="143"/>
        <v>0.06</v>
      </c>
      <c r="AV58" s="197">
        <f t="shared" si="143"/>
        <v>0.06</v>
      </c>
      <c r="AW58" s="197">
        <f t="shared" si="143"/>
        <v>0.06</v>
      </c>
      <c r="AX58" s="197">
        <f t="shared" si="143"/>
        <v>0.06</v>
      </c>
      <c r="AY58" s="197">
        <f t="shared" si="143"/>
        <v>0.06</v>
      </c>
      <c r="AZ58" s="197">
        <f t="shared" si="143"/>
        <v>0.06</v>
      </c>
      <c r="BA58" s="197"/>
      <c r="BB58" s="197"/>
      <c r="BC58" s="197"/>
    </row>
    <row r="59" ht="15.75" customHeight="1">
      <c r="A59" s="122"/>
      <c r="B59" s="1" t="s">
        <v>298</v>
      </c>
      <c r="C59" s="117"/>
      <c r="D59" s="117"/>
      <c r="E59" s="195">
        <f>IF(YEAR(E$1)=YEAR($AP$2),$AP$8*((12-MONTH($AP$2))/12),IF(YEAR($AP$2)+1=YEAR(E$1),$AP$8*(1+AE73),D59*(1+AE73)))</f>
        <v>0</v>
      </c>
      <c r="F59" s="195">
        <f t="shared" ref="F59:Z59" si="144">IF(YEAR(F$1)=YEAR($AP$2),$AP$8*((13-MONTH($AP$2))/12)*(1+AF73),IF(YEAR(F$1)=YEAR($AP$2)+1,E59/((13-MONTH($AP$2))/12)*(1+AF73),IF(YEAR(F$1)=YEAR($AP$2)+5,0,E59*(1+AF73))))</f>
        <v>0</v>
      </c>
      <c r="G59" s="195">
        <f t="shared" si="144"/>
        <v>0</v>
      </c>
      <c r="H59" s="195">
        <f t="shared" si="144"/>
        <v>0</v>
      </c>
      <c r="I59" s="195">
        <f t="shared" si="144"/>
        <v>0</v>
      </c>
      <c r="J59" s="195">
        <f t="shared" si="144"/>
        <v>0</v>
      </c>
      <c r="K59" s="195">
        <f t="shared" si="144"/>
        <v>0</v>
      </c>
      <c r="L59" s="195">
        <f t="shared" si="144"/>
        <v>0</v>
      </c>
      <c r="M59" s="195">
        <f t="shared" si="144"/>
        <v>0</v>
      </c>
      <c r="N59" s="195">
        <f t="shared" si="144"/>
        <v>0</v>
      </c>
      <c r="O59" s="195">
        <f t="shared" si="144"/>
        <v>0</v>
      </c>
      <c r="P59" s="195">
        <f t="shared" si="144"/>
        <v>0</v>
      </c>
      <c r="Q59" s="195">
        <f t="shared" si="144"/>
        <v>0</v>
      </c>
      <c r="R59" s="195">
        <f t="shared" si="144"/>
        <v>0</v>
      </c>
      <c r="S59" s="195">
        <f t="shared" si="144"/>
        <v>0</v>
      </c>
      <c r="T59" s="195">
        <f t="shared" si="144"/>
        <v>2613934.4</v>
      </c>
      <c r="U59" s="195">
        <f t="shared" si="144"/>
        <v>3210695.624</v>
      </c>
      <c r="V59" s="195">
        <f t="shared" si="144"/>
        <v>3616848.62</v>
      </c>
      <c r="W59" s="195">
        <f t="shared" si="144"/>
        <v>3045386.538</v>
      </c>
      <c r="X59" s="195">
        <f t="shared" si="144"/>
        <v>3401696.763</v>
      </c>
      <c r="Y59" s="195">
        <f t="shared" si="144"/>
        <v>0</v>
      </c>
      <c r="Z59" s="195">
        <f t="shared" si="144"/>
        <v>0</v>
      </c>
      <c r="AA59" s="1"/>
      <c r="AB59" s="1"/>
      <c r="AC59" s="1" t="s">
        <v>303</v>
      </c>
      <c r="AD59" s="1" t="s">
        <v>342</v>
      </c>
      <c r="AE59" s="197"/>
      <c r="AF59" s="197">
        <f t="shared" ref="AF59:AP59" si="145">IF(YEAR(AF$21)=YEAR($AU$2),$AB$43,IF(YEAR(AF$21)=YEAR($AU$2)+1,$AB$44,IF(YEAR(AF$21)=YEAR($AU$2)+2,$AB$45,IF(YEAR(AF$21)=YEAR($AU$2)+3,$AB$46,IF(YEAR(AF$21)=YEAR($AU$2)+4,$AB$47,$AB$48)))))</f>
        <v>0.05</v>
      </c>
      <c r="AG59" s="197">
        <f t="shared" si="145"/>
        <v>0.05</v>
      </c>
      <c r="AH59" s="197">
        <f t="shared" si="145"/>
        <v>0.05</v>
      </c>
      <c r="AI59" s="197">
        <f t="shared" si="145"/>
        <v>0.05</v>
      </c>
      <c r="AJ59" s="197">
        <f t="shared" si="145"/>
        <v>0.05</v>
      </c>
      <c r="AK59" s="197">
        <f t="shared" si="145"/>
        <v>0.05</v>
      </c>
      <c r="AL59" s="197">
        <f t="shared" si="145"/>
        <v>0.05</v>
      </c>
      <c r="AM59" s="197">
        <f t="shared" si="145"/>
        <v>0.05</v>
      </c>
      <c r="AN59" s="197">
        <f t="shared" si="145"/>
        <v>0.05</v>
      </c>
      <c r="AO59" s="197">
        <f t="shared" si="145"/>
        <v>0.05</v>
      </c>
      <c r="AP59" s="197">
        <f t="shared" si="145"/>
        <v>0.05</v>
      </c>
      <c r="AQ59" s="197">
        <f t="shared" ref="AQ59:AZ59" si="146">IF(YEAR(AQ$21)=YEAR($AU$2),$AB$43,IF(YEAR(AQ$21)=YEAR($AU$2)+1,$AB$44,IF(YEAR(AQ$21)=YEAR($AU$2)+2,$AB$45,IF(YEAR(AQ$21)=YEAR($AU$2)+3,$AB$46,IF(YEAR(AQ$21)=YEAR($AU$2)+4,$AB$28,$AB$29)))))</f>
        <v>0.06</v>
      </c>
      <c r="AR59" s="197">
        <f t="shared" si="146"/>
        <v>0.06</v>
      </c>
      <c r="AS59" s="197">
        <f t="shared" si="146"/>
        <v>0.06</v>
      </c>
      <c r="AT59" s="197">
        <f t="shared" si="146"/>
        <v>0.06</v>
      </c>
      <c r="AU59" s="197">
        <f t="shared" si="146"/>
        <v>0.06</v>
      </c>
      <c r="AV59" s="197">
        <f t="shared" si="146"/>
        <v>0.06</v>
      </c>
      <c r="AW59" s="197">
        <f t="shared" si="146"/>
        <v>0.06</v>
      </c>
      <c r="AX59" s="197">
        <f t="shared" si="146"/>
        <v>0.06</v>
      </c>
      <c r="AY59" s="197">
        <f t="shared" si="146"/>
        <v>0.06</v>
      </c>
      <c r="AZ59" s="197">
        <f t="shared" si="146"/>
        <v>0.06</v>
      </c>
      <c r="BA59" s="197"/>
      <c r="BB59" s="197"/>
      <c r="BC59" s="197"/>
    </row>
    <row r="60" ht="15.75" customHeight="1">
      <c r="A60" s="122"/>
      <c r="B60" s="1" t="s">
        <v>299</v>
      </c>
      <c r="C60" s="117"/>
      <c r="D60" s="117"/>
      <c r="E60" s="195">
        <f>IF(YEAR(E$1)=YEAR($AQ$2),$AQ$8*((12-MONTH($AQ$2))/12),IF(YEAR($AQ$2)+1=YEAR(E$1),$AQ$8*(1+AE74),D60*(1+AE74)))</f>
        <v>0</v>
      </c>
      <c r="F60" s="195">
        <f t="shared" ref="F60:Z60" si="147">IF(YEAR(F$1)=YEAR($AQ$2),$AQ$8*((13-MONTH($AQ$2))/12)*(1+AF74),IF(YEAR(F$1)=YEAR($AQ$2)+1,E60/((13-MONTH($AQ$2))/12)*(1+AF74),IF(YEAR(F$1)=YEAR($AQ$2)+5,0,E60*(1+AF74))))</f>
        <v>0</v>
      </c>
      <c r="G60" s="195">
        <f t="shared" si="147"/>
        <v>0</v>
      </c>
      <c r="H60" s="195">
        <f t="shared" si="147"/>
        <v>0</v>
      </c>
      <c r="I60" s="195">
        <f t="shared" si="147"/>
        <v>0</v>
      </c>
      <c r="J60" s="195">
        <f t="shared" si="147"/>
        <v>0</v>
      </c>
      <c r="K60" s="195">
        <f t="shared" si="147"/>
        <v>0</v>
      </c>
      <c r="L60" s="195">
        <f t="shared" si="147"/>
        <v>0</v>
      </c>
      <c r="M60" s="195">
        <f t="shared" si="147"/>
        <v>0</v>
      </c>
      <c r="N60" s="195">
        <f t="shared" si="147"/>
        <v>0</v>
      </c>
      <c r="O60" s="195">
        <f t="shared" si="147"/>
        <v>0</v>
      </c>
      <c r="P60" s="195">
        <f t="shared" si="147"/>
        <v>0</v>
      </c>
      <c r="Q60" s="195">
        <f t="shared" si="147"/>
        <v>0</v>
      </c>
      <c r="R60" s="195">
        <f t="shared" si="147"/>
        <v>0</v>
      </c>
      <c r="S60" s="195">
        <f t="shared" si="147"/>
        <v>0</v>
      </c>
      <c r="T60" s="195">
        <f t="shared" si="147"/>
        <v>0</v>
      </c>
      <c r="U60" s="195">
        <f t="shared" si="147"/>
        <v>0</v>
      </c>
      <c r="V60" s="195">
        <f t="shared" si="147"/>
        <v>2457708</v>
      </c>
      <c r="W60" s="195">
        <f t="shared" si="147"/>
        <v>3018802.736</v>
      </c>
      <c r="X60" s="195">
        <f t="shared" si="147"/>
        <v>3400681.283</v>
      </c>
      <c r="Y60" s="195">
        <f t="shared" si="147"/>
        <v>2863373.64</v>
      </c>
      <c r="Z60" s="195">
        <f t="shared" si="147"/>
        <v>3198388.356</v>
      </c>
      <c r="AA60" s="1"/>
      <c r="AB60" s="1"/>
      <c r="AC60" s="1"/>
      <c r="AD60" s="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211"/>
      <c r="BA60" s="211"/>
      <c r="BB60" s="211"/>
      <c r="BC60" s="211"/>
    </row>
    <row r="61" ht="15.75" customHeight="1">
      <c r="A61" s="122"/>
      <c r="B61" s="1" t="s">
        <v>300</v>
      </c>
      <c r="C61" s="117"/>
      <c r="D61" s="117"/>
      <c r="E61" s="195">
        <f>IF(YEAR(E$1)=YEAR($AR$2),$AR$8*((12-MONTH($AR$2))/12),IF(YEAR($AR$2)+1=YEAR(E$1),$AR$8*(1+AE75),D61*(1+AE75)))</f>
        <v>0</v>
      </c>
      <c r="F61" s="195">
        <f t="shared" ref="F61:Z61" si="148">IF(YEAR(F$1)=YEAR($AR$2),$AR$8*((13-MONTH($AR$2))/12)*(1+AF75),IF(YEAR(F$1)=YEAR($AR$2)+1,E61/((13-MONTH($AR$2))/12)*(1+AF75),IF(YEAR(F$1)=YEAR($AR$2)+5,0,E61*(1+AF75))))</f>
        <v>0</v>
      </c>
      <c r="G61" s="195">
        <f t="shared" si="148"/>
        <v>0</v>
      </c>
      <c r="H61" s="195">
        <f t="shared" si="148"/>
        <v>0</v>
      </c>
      <c r="I61" s="195">
        <f t="shared" si="148"/>
        <v>0</v>
      </c>
      <c r="J61" s="195">
        <f t="shared" si="148"/>
        <v>0</v>
      </c>
      <c r="K61" s="195">
        <f t="shared" si="148"/>
        <v>0</v>
      </c>
      <c r="L61" s="195">
        <f t="shared" si="148"/>
        <v>0</v>
      </c>
      <c r="M61" s="195">
        <f t="shared" si="148"/>
        <v>0</v>
      </c>
      <c r="N61" s="195">
        <f t="shared" si="148"/>
        <v>0</v>
      </c>
      <c r="O61" s="195">
        <f t="shared" si="148"/>
        <v>0</v>
      </c>
      <c r="P61" s="195">
        <f t="shared" si="148"/>
        <v>0</v>
      </c>
      <c r="Q61" s="195">
        <f t="shared" si="148"/>
        <v>0</v>
      </c>
      <c r="R61" s="195">
        <f t="shared" si="148"/>
        <v>0</v>
      </c>
      <c r="S61" s="195">
        <f t="shared" si="148"/>
        <v>0</v>
      </c>
      <c r="T61" s="195">
        <f t="shared" si="148"/>
        <v>0</v>
      </c>
      <c r="U61" s="195">
        <f t="shared" si="148"/>
        <v>0</v>
      </c>
      <c r="V61" s="195">
        <f t="shared" si="148"/>
        <v>0</v>
      </c>
      <c r="W61" s="195">
        <f t="shared" si="148"/>
        <v>0</v>
      </c>
      <c r="X61" s="195">
        <f t="shared" si="148"/>
        <v>3429360</v>
      </c>
      <c r="Y61" s="195">
        <f t="shared" si="148"/>
        <v>4212282.888</v>
      </c>
      <c r="Z61" s="195">
        <f t="shared" si="148"/>
        <v>4745136.673</v>
      </c>
      <c r="AA61" s="137" t="s">
        <v>344</v>
      </c>
      <c r="AB61" s="1" t="s">
        <v>328</v>
      </c>
      <c r="AC61" s="1" t="s">
        <v>329</v>
      </c>
      <c r="AD61" s="1" t="s">
        <v>345</v>
      </c>
      <c r="AE61" s="211"/>
      <c r="AF61" s="211"/>
      <c r="AG61" s="211"/>
      <c r="AH61" s="211"/>
      <c r="AI61" s="211"/>
      <c r="AJ61" s="211"/>
      <c r="AK61" s="197">
        <v>0.05</v>
      </c>
      <c r="AL61" s="197">
        <v>0.05</v>
      </c>
      <c r="AM61" s="197">
        <v>0.05</v>
      </c>
      <c r="AN61" s="197">
        <v>0.05</v>
      </c>
      <c r="AO61" s="197">
        <v>0.05</v>
      </c>
      <c r="AP61" s="197">
        <v>0.05</v>
      </c>
      <c r="AQ61" s="197">
        <v>0.05</v>
      </c>
      <c r="AR61" s="197">
        <v>0.05</v>
      </c>
      <c r="AS61" s="197">
        <v>0.05</v>
      </c>
      <c r="AT61" s="197">
        <v>0.05</v>
      </c>
      <c r="AU61" s="197">
        <v>0.05</v>
      </c>
      <c r="AV61" s="197">
        <v>0.05</v>
      </c>
      <c r="AW61" s="197">
        <v>0.05</v>
      </c>
      <c r="AX61" s="197">
        <v>0.05</v>
      </c>
      <c r="AY61" s="197">
        <v>0.05</v>
      </c>
      <c r="AZ61" s="197">
        <v>0.05</v>
      </c>
      <c r="BA61" s="197"/>
      <c r="BB61" s="197"/>
      <c r="BC61" s="197"/>
    </row>
    <row r="62" ht="15.75" customHeight="1">
      <c r="A62" s="130"/>
      <c r="B62" s="1" t="s">
        <v>301</v>
      </c>
      <c r="C62" s="117"/>
      <c r="D62" s="117"/>
      <c r="E62" s="195">
        <f>IF(YEAR(E$1)=YEAR($AS$2),$AS$8*((12-MONTH($AS$2))/12),IF(YEAR($AS$2)+1=YEAR(E$1),$AS$8*(1+AE76),D62*(1+AE76)))</f>
        <v>0</v>
      </c>
      <c r="F62" s="195">
        <f t="shared" ref="F62:Z62" si="149">IF(YEAR(F$1)=YEAR($AS$2),$AS$8*((13-MONTH($AS$2))/12)*(1+AF76),IF(YEAR(F$1)=YEAR($AS$2)+1,E62/((13-MONTH($AS$2))/12)*(1+AF76),IF(YEAR(F$1)=YEAR($AS$2)+5,0,E62*(1+AF76))))</f>
        <v>0</v>
      </c>
      <c r="G62" s="195">
        <f t="shared" si="149"/>
        <v>0</v>
      </c>
      <c r="H62" s="195">
        <f t="shared" si="149"/>
        <v>0</v>
      </c>
      <c r="I62" s="195">
        <f t="shared" si="149"/>
        <v>0</v>
      </c>
      <c r="J62" s="195">
        <f t="shared" si="149"/>
        <v>0</v>
      </c>
      <c r="K62" s="195">
        <f t="shared" si="149"/>
        <v>0</v>
      </c>
      <c r="L62" s="195">
        <f t="shared" si="149"/>
        <v>0</v>
      </c>
      <c r="M62" s="195">
        <f t="shared" si="149"/>
        <v>0</v>
      </c>
      <c r="N62" s="195">
        <f t="shared" si="149"/>
        <v>0</v>
      </c>
      <c r="O62" s="195">
        <f t="shared" si="149"/>
        <v>0</v>
      </c>
      <c r="P62" s="195">
        <f t="shared" si="149"/>
        <v>0</v>
      </c>
      <c r="Q62" s="195">
        <f t="shared" si="149"/>
        <v>0</v>
      </c>
      <c r="R62" s="195">
        <f t="shared" si="149"/>
        <v>0</v>
      </c>
      <c r="S62" s="195">
        <f t="shared" si="149"/>
        <v>0</v>
      </c>
      <c r="T62" s="195">
        <f t="shared" si="149"/>
        <v>0</v>
      </c>
      <c r="U62" s="195">
        <f t="shared" si="149"/>
        <v>0</v>
      </c>
      <c r="V62" s="195">
        <f t="shared" si="149"/>
        <v>0</v>
      </c>
      <c r="W62" s="195">
        <f t="shared" si="149"/>
        <v>0</v>
      </c>
      <c r="X62" s="195">
        <f t="shared" si="149"/>
        <v>0</v>
      </c>
      <c r="Y62" s="195">
        <f t="shared" si="149"/>
        <v>0</v>
      </c>
      <c r="Z62" s="195">
        <f t="shared" si="149"/>
        <v>2800644</v>
      </c>
      <c r="AA62" s="137" t="s">
        <v>331</v>
      </c>
      <c r="AB62" s="208">
        <v>0.9052</v>
      </c>
      <c r="AC62" s="1" t="s">
        <v>332</v>
      </c>
      <c r="AD62" s="1" t="s">
        <v>345</v>
      </c>
      <c r="AE62" s="212"/>
      <c r="AF62" s="197">
        <f t="shared" ref="AF62:AJ62" si="150">IF(YEAR(AF$21)=YEAR($AE$2),$AB$62,IF(YEAR(AF$21)=YEAR($AE$2)+1,$AB$63,IF(YEAR(AF$21)=YEAR($AE$2)+2,$AB$64,IF(YEAR(AF$21)=YEAR($AE$2)+3,$AB$65,IF(YEAR(AF$21)=YEAR($AE$2)+4,$AB$66,$AB$67)))))</f>
        <v>0.05</v>
      </c>
      <c r="AG62" s="197">
        <f t="shared" si="150"/>
        <v>0.9052</v>
      </c>
      <c r="AH62" s="197">
        <f t="shared" si="150"/>
        <v>0.2283</v>
      </c>
      <c r="AI62" s="197">
        <f t="shared" si="150"/>
        <v>0.1265</v>
      </c>
      <c r="AJ62" s="197">
        <f t="shared" si="150"/>
        <v>-0.158</v>
      </c>
      <c r="AK62" s="197">
        <f t="shared" ref="AK62:AZ62" si="151">IF(YEAR(AK$21)=YEAR($AE$2),$AB$62,IF(YEAR(AK$21)=YEAR($AE$2)+1,$AB$63,IF(YEAR(AK$21)=YEAR($AE$2)+2,$AB$64,IF(YEAR(AK$21)=YEAR($AE$2)+3,$AB$65,IF(YEAR(AK$21)=YEAR($AE$2)+4,$AB$66,IF(YEAR(AK$21)=YEAR($AV$2),$AB$62,IF(YEAR(AK$21)=YEAR($AV$2)+1,$AB$63,IF(YEAR(AK$21)=YEAR($AV$2)+2,$AB$64,IF(YEAR(AK$21)=YEAR($AV$2)+3,$AB$65,IF(YEAR(AK$21)=YEAR($AV$2)+4,$AB$66,$AB$67))))))))))</f>
        <v>0.046</v>
      </c>
      <c r="AL62" s="197">
        <f t="shared" si="151"/>
        <v>0.05</v>
      </c>
      <c r="AM62" s="197">
        <f t="shared" si="151"/>
        <v>0.05</v>
      </c>
      <c r="AN62" s="197">
        <f t="shared" si="151"/>
        <v>0.05</v>
      </c>
      <c r="AO62" s="197">
        <f t="shared" si="151"/>
        <v>0.9052</v>
      </c>
      <c r="AP62" s="197">
        <f t="shared" si="151"/>
        <v>0.2283</v>
      </c>
      <c r="AQ62" s="197">
        <f t="shared" si="151"/>
        <v>0.1265</v>
      </c>
      <c r="AR62" s="197">
        <f t="shared" si="151"/>
        <v>-0.158</v>
      </c>
      <c r="AS62" s="197">
        <f t="shared" si="151"/>
        <v>0.046</v>
      </c>
      <c r="AT62" s="197">
        <f t="shared" si="151"/>
        <v>0.05</v>
      </c>
      <c r="AU62" s="197">
        <f t="shared" si="151"/>
        <v>0.05</v>
      </c>
      <c r="AV62" s="197">
        <f t="shared" si="151"/>
        <v>0.05</v>
      </c>
      <c r="AW62" s="197">
        <f t="shared" si="151"/>
        <v>0.05</v>
      </c>
      <c r="AX62" s="197">
        <f t="shared" si="151"/>
        <v>0.05</v>
      </c>
      <c r="AY62" s="197">
        <f t="shared" si="151"/>
        <v>0.05</v>
      </c>
      <c r="AZ62" s="197">
        <f t="shared" si="151"/>
        <v>0.05</v>
      </c>
      <c r="BA62" s="197"/>
      <c r="BB62" s="197"/>
      <c r="BC62" s="197"/>
    </row>
    <row r="63" ht="15.75" customHeight="1">
      <c r="A63" s="117"/>
      <c r="B63" s="1" t="s">
        <v>302</v>
      </c>
      <c r="C63" s="117"/>
      <c r="D63" s="117"/>
      <c r="E63" s="195">
        <f>IF(YEAR(E$1)=YEAR($AT$2),$AT$8*((12-MONTH($AT$2))/12),IF(YEAR($AT$2)+1=YEAR(E$1),$AT$8*(1+AE77),D63*(1+AE77)))</f>
        <v>0</v>
      </c>
      <c r="F63" s="195">
        <f t="shared" ref="F63:Z63" si="152">IF(YEAR(F$1)=YEAR($AT$2),$AT$8*((13-MONTH($AT$2))/12)*(1+AF77),IF(YEAR(F$1)=YEAR($AT$2)+1,E63/((13-MONTH($AT$2))/12)*(1+AF77),IF(YEAR(F$1)=YEAR($AT$2)+5,0,E63*(1+AF77))))</f>
        <v>0</v>
      </c>
      <c r="G63" s="195">
        <f t="shared" si="152"/>
        <v>0</v>
      </c>
      <c r="H63" s="195">
        <f t="shared" si="152"/>
        <v>0</v>
      </c>
      <c r="I63" s="195">
        <f t="shared" si="152"/>
        <v>0</v>
      </c>
      <c r="J63" s="195">
        <f t="shared" si="152"/>
        <v>0</v>
      </c>
      <c r="K63" s="195">
        <f t="shared" si="152"/>
        <v>0</v>
      </c>
      <c r="L63" s="195">
        <f t="shared" si="152"/>
        <v>0</v>
      </c>
      <c r="M63" s="195">
        <f t="shared" si="152"/>
        <v>0</v>
      </c>
      <c r="N63" s="195">
        <f t="shared" si="152"/>
        <v>0</v>
      </c>
      <c r="O63" s="195">
        <f t="shared" si="152"/>
        <v>0</v>
      </c>
      <c r="P63" s="195">
        <f t="shared" si="152"/>
        <v>0</v>
      </c>
      <c r="Q63" s="195">
        <f t="shared" si="152"/>
        <v>0</v>
      </c>
      <c r="R63" s="195">
        <f t="shared" si="152"/>
        <v>0</v>
      </c>
      <c r="S63" s="195">
        <f t="shared" si="152"/>
        <v>0</v>
      </c>
      <c r="T63" s="195">
        <f t="shared" si="152"/>
        <v>0</v>
      </c>
      <c r="U63" s="195">
        <f t="shared" si="152"/>
        <v>0</v>
      </c>
      <c r="V63" s="195">
        <f t="shared" si="152"/>
        <v>0</v>
      </c>
      <c r="W63" s="195">
        <f t="shared" si="152"/>
        <v>0</v>
      </c>
      <c r="X63" s="195">
        <f t="shared" si="152"/>
        <v>0</v>
      </c>
      <c r="Y63" s="195">
        <f t="shared" si="152"/>
        <v>0</v>
      </c>
      <c r="Z63" s="195">
        <f t="shared" si="152"/>
        <v>0</v>
      </c>
      <c r="AA63" s="137" t="s">
        <v>335</v>
      </c>
      <c r="AB63" s="208">
        <v>0.2283</v>
      </c>
      <c r="AC63" s="1" t="s">
        <v>288</v>
      </c>
      <c r="AD63" s="1" t="s">
        <v>345</v>
      </c>
      <c r="AE63" s="212"/>
      <c r="AF63" s="197">
        <f t="shared" ref="AF63:AZ63" si="153">IF(YEAR(AF$21)=YEAR($AF$2),$AB$62,IF(YEAR(AF$21)=YEAR($AF$2)+1,$AB$63,IF(YEAR(AF$21)=YEAR($AF$2)+2,$AB$64,IF(YEAR(AF$21)=YEAR($AF$2)+3,$AB$65,IF(YEAR(AF$21)=YEAR($AF$2)+4,$AB$66,IF(YEAR(AF$21)=YEAR($AW$2),$AB$62,IF(YEAR(AF$21)=YEAR($AW$2)+1,$AB$63,IF(YEAR(AF$21)=YEAR($AW$2)+2,$AB$64,IF(YEAR(AF$21)=YEAR($AW$2)+3,$AB$65,IF(YEAR(AF$21)=YEAR($AW$2)+4,$AB$66,$AB$67))))))))))</f>
        <v>0.05</v>
      </c>
      <c r="AG63" s="197">
        <f t="shared" si="153"/>
        <v>0.05</v>
      </c>
      <c r="AH63" s="197">
        <f t="shared" si="153"/>
        <v>0.05</v>
      </c>
      <c r="AI63" s="197">
        <f t="shared" si="153"/>
        <v>0.9052</v>
      </c>
      <c r="AJ63" s="197">
        <f t="shared" si="153"/>
        <v>0.2283</v>
      </c>
      <c r="AK63" s="197">
        <f t="shared" si="153"/>
        <v>0.1265</v>
      </c>
      <c r="AL63" s="197">
        <f t="shared" si="153"/>
        <v>-0.158</v>
      </c>
      <c r="AM63" s="197">
        <f t="shared" si="153"/>
        <v>0.046</v>
      </c>
      <c r="AN63" s="197">
        <f t="shared" si="153"/>
        <v>0.05</v>
      </c>
      <c r="AO63" s="197">
        <f t="shared" si="153"/>
        <v>0.05</v>
      </c>
      <c r="AP63" s="197">
        <f t="shared" si="153"/>
        <v>0.05</v>
      </c>
      <c r="AQ63" s="197">
        <f t="shared" si="153"/>
        <v>0.9052</v>
      </c>
      <c r="AR63" s="197">
        <f t="shared" si="153"/>
        <v>0.2283</v>
      </c>
      <c r="AS63" s="197">
        <f t="shared" si="153"/>
        <v>0.1265</v>
      </c>
      <c r="AT63" s="197">
        <f t="shared" si="153"/>
        <v>-0.158</v>
      </c>
      <c r="AU63" s="197">
        <f t="shared" si="153"/>
        <v>0.046</v>
      </c>
      <c r="AV63" s="197">
        <f t="shared" si="153"/>
        <v>0.05</v>
      </c>
      <c r="AW63" s="197">
        <f t="shared" si="153"/>
        <v>0.05</v>
      </c>
      <c r="AX63" s="197">
        <f t="shared" si="153"/>
        <v>0.05</v>
      </c>
      <c r="AY63" s="197">
        <f t="shared" si="153"/>
        <v>0.05</v>
      </c>
      <c r="AZ63" s="197">
        <f t="shared" si="153"/>
        <v>0.05</v>
      </c>
      <c r="BA63" s="197"/>
      <c r="BB63" s="197"/>
      <c r="BC63" s="197"/>
    </row>
    <row r="64" ht="15.75" customHeight="1">
      <c r="A64" s="117"/>
      <c r="B64" s="1" t="s">
        <v>303</v>
      </c>
      <c r="C64" s="117"/>
      <c r="D64" s="117"/>
      <c r="E64" s="195">
        <f>IF(YEAR(E$1)=YEAR($AU$2),$AU$8*((12-MONTH($AU$2))/12),IF(YEAR($AU$2)+1=YEAR(E$1),$AU$8*(1+AE78),D64*(1+AE78)))</f>
        <v>0</v>
      </c>
      <c r="F64" s="195">
        <f t="shared" ref="F64:Z64" si="154">IF(YEAR(F$1)=YEAR($AU$2),$AU$8*((13-MONTH($AU$2))/12)*(1+AF78),IF(YEAR(F$1)=YEAR($AU$2)+1,E64/((13-MONTH($AU$2))/12)*(1+AF78),IF(YEAR(F$1)=YEAR($AU$2)+5,0,E64*(1+AF78))))</f>
        <v>0</v>
      </c>
      <c r="G64" s="195">
        <f t="shared" si="154"/>
        <v>0</v>
      </c>
      <c r="H64" s="195">
        <f t="shared" si="154"/>
        <v>0</v>
      </c>
      <c r="I64" s="195">
        <f t="shared" si="154"/>
        <v>0</v>
      </c>
      <c r="J64" s="195">
        <f t="shared" si="154"/>
        <v>0</v>
      </c>
      <c r="K64" s="195">
        <f t="shared" si="154"/>
        <v>0</v>
      </c>
      <c r="L64" s="195">
        <f t="shared" si="154"/>
        <v>0</v>
      </c>
      <c r="M64" s="195">
        <f t="shared" si="154"/>
        <v>0</v>
      </c>
      <c r="N64" s="195">
        <f t="shared" si="154"/>
        <v>0</v>
      </c>
      <c r="O64" s="195">
        <f t="shared" si="154"/>
        <v>0</v>
      </c>
      <c r="P64" s="195">
        <f t="shared" si="154"/>
        <v>0</v>
      </c>
      <c r="Q64" s="195">
        <f t="shared" si="154"/>
        <v>0</v>
      </c>
      <c r="R64" s="195">
        <f t="shared" si="154"/>
        <v>0</v>
      </c>
      <c r="S64" s="195">
        <f t="shared" si="154"/>
        <v>0</v>
      </c>
      <c r="T64" s="195">
        <f t="shared" si="154"/>
        <v>0</v>
      </c>
      <c r="U64" s="195">
        <f t="shared" si="154"/>
        <v>0</v>
      </c>
      <c r="V64" s="195">
        <f t="shared" si="154"/>
        <v>0</v>
      </c>
      <c r="W64" s="195">
        <f t="shared" si="154"/>
        <v>0</v>
      </c>
      <c r="X64" s="195">
        <f t="shared" si="154"/>
        <v>0</v>
      </c>
      <c r="Y64" s="195">
        <f t="shared" si="154"/>
        <v>0</v>
      </c>
      <c r="Z64" s="195">
        <f t="shared" si="154"/>
        <v>0</v>
      </c>
      <c r="AA64" s="137" t="s">
        <v>336</v>
      </c>
      <c r="AB64" s="208">
        <v>0.1265</v>
      </c>
      <c r="AC64" s="1" t="s">
        <v>289</v>
      </c>
      <c r="AD64" s="1" t="s">
        <v>345</v>
      </c>
      <c r="AE64" s="212"/>
      <c r="AF64" s="197">
        <f t="shared" ref="AF64:AN64" si="155">IF(YEAR(AF$21)=YEAR($AG$2),$AB$62,IF(YEAR(AF$21)=YEAR($AG$2)+1,$AB$63,IF(YEAR(AF$21)=YEAR($AG$2)+2,$AB$64,IF(YEAR(AF$21)=YEAR($AG$2)+3,$AB$65,IF(YEAR(AF$21)=YEAR($AG$2)+4,$AB$66,$AB$67)))))</f>
        <v>0.05</v>
      </c>
      <c r="AG64" s="197">
        <f t="shared" si="155"/>
        <v>0.05</v>
      </c>
      <c r="AH64" s="197">
        <f t="shared" si="155"/>
        <v>0.05</v>
      </c>
      <c r="AI64" s="197">
        <f t="shared" si="155"/>
        <v>0.05</v>
      </c>
      <c r="AJ64" s="197">
        <f t="shared" si="155"/>
        <v>0.05</v>
      </c>
      <c r="AK64" s="197">
        <f t="shared" si="155"/>
        <v>0.9052</v>
      </c>
      <c r="AL64" s="197">
        <f t="shared" si="155"/>
        <v>0.2283</v>
      </c>
      <c r="AM64" s="197">
        <f t="shared" si="155"/>
        <v>0.1265</v>
      </c>
      <c r="AN64" s="197">
        <f t="shared" si="155"/>
        <v>-0.158</v>
      </c>
      <c r="AO64" s="197">
        <f t="shared" ref="AO64:AZ64" si="156">IF(YEAR(AO$21)=YEAR($AG$2),$AB$62,IF(YEAR(AO$21)=YEAR($AG$2)+1,$AB$63,IF(YEAR(AO$21)=YEAR($AG$2)+2,$AB$64,IF(YEAR(AO$21)=YEAR($AG$2)+3,$AB$65,IF(YEAR(AO$21)=YEAR($AG$2)+4,$AB$66,IF(YEAR(AO$21)=YEAR($AX$2),$AB$62,IF(YEAR(AO$21)=YEAR($AX$2)+1,$AB$63,IF(YEAR(AO$21)=YEAR($AX$2)+2,$AB$64,IF(YEAR(AO$21)=YEAR($AX$2)+3,$AB$65,IF(YEAR(AO$21)=YEAR($AX$2)+4,$AB$66,$AB$67))))))))))</f>
        <v>0.046</v>
      </c>
      <c r="AP64" s="197">
        <f t="shared" si="156"/>
        <v>0.05</v>
      </c>
      <c r="AQ64" s="197">
        <f t="shared" si="156"/>
        <v>0.05</v>
      </c>
      <c r="AR64" s="197">
        <f t="shared" si="156"/>
        <v>0.05</v>
      </c>
      <c r="AS64" s="197">
        <f t="shared" si="156"/>
        <v>0.9052</v>
      </c>
      <c r="AT64" s="197">
        <f t="shared" si="156"/>
        <v>0.2283</v>
      </c>
      <c r="AU64" s="197">
        <f t="shared" si="156"/>
        <v>0.1265</v>
      </c>
      <c r="AV64" s="197">
        <f t="shared" si="156"/>
        <v>-0.158</v>
      </c>
      <c r="AW64" s="197">
        <f t="shared" si="156"/>
        <v>0.046</v>
      </c>
      <c r="AX64" s="197">
        <f t="shared" si="156"/>
        <v>0.05</v>
      </c>
      <c r="AY64" s="197">
        <f t="shared" si="156"/>
        <v>0.05</v>
      </c>
      <c r="AZ64" s="197">
        <f t="shared" si="156"/>
        <v>0.05</v>
      </c>
      <c r="BA64" s="197"/>
      <c r="BB64" s="197"/>
      <c r="BC64" s="197"/>
    </row>
    <row r="65" ht="15.75" customHeight="1">
      <c r="A65" s="117"/>
      <c r="B65" s="204" t="s">
        <v>114</v>
      </c>
      <c r="C65" s="213">
        <f t="shared" ref="C65:Z65" si="157">SUM(C47:C64)</f>
        <v>772149</v>
      </c>
      <c r="D65" s="213">
        <f t="shared" si="157"/>
        <v>775953</v>
      </c>
      <c r="E65" s="214">
        <f t="shared" si="157"/>
        <v>958859.2638</v>
      </c>
      <c r="F65" s="214">
        <f t="shared" si="157"/>
        <v>9087320.874</v>
      </c>
      <c r="G65" s="214">
        <f t="shared" si="157"/>
        <v>15397062.18</v>
      </c>
      <c r="H65" s="214">
        <f t="shared" si="157"/>
        <v>19477642.99</v>
      </c>
      <c r="I65" s="214">
        <f t="shared" si="157"/>
        <v>24143710.45</v>
      </c>
      <c r="J65" s="214">
        <f t="shared" si="157"/>
        <v>27946941.74</v>
      </c>
      <c r="K65" s="214">
        <f t="shared" si="157"/>
        <v>30492815.92</v>
      </c>
      <c r="L65" s="214">
        <f t="shared" si="157"/>
        <v>30321469.15</v>
      </c>
      <c r="M65" s="214">
        <f t="shared" si="157"/>
        <v>38496704.34</v>
      </c>
      <c r="N65" s="214">
        <f t="shared" si="157"/>
        <v>39650139.1</v>
      </c>
      <c r="O65" s="214">
        <f t="shared" si="157"/>
        <v>45746119.95</v>
      </c>
      <c r="P65" s="214">
        <f t="shared" si="157"/>
        <v>41207113.3</v>
      </c>
      <c r="Q65" s="214">
        <f t="shared" si="157"/>
        <v>44890784.89</v>
      </c>
      <c r="R65" s="214">
        <f t="shared" si="157"/>
        <v>40307445.99</v>
      </c>
      <c r="S65" s="214">
        <f t="shared" si="157"/>
        <v>43899760.58</v>
      </c>
      <c r="T65" s="214">
        <f t="shared" si="157"/>
        <v>42853993.85</v>
      </c>
      <c r="U65" s="214">
        <f t="shared" si="157"/>
        <v>49258264.38</v>
      </c>
      <c r="V65" s="214">
        <f t="shared" si="157"/>
        <v>49731331.65</v>
      </c>
      <c r="W65" s="214">
        <f t="shared" si="157"/>
        <v>48801567.27</v>
      </c>
      <c r="X65" s="214">
        <f t="shared" si="157"/>
        <v>47670525.89</v>
      </c>
      <c r="Y65" s="214">
        <f t="shared" si="157"/>
        <v>46357172.92</v>
      </c>
      <c r="Z65" s="214">
        <f t="shared" si="157"/>
        <v>43969191.97</v>
      </c>
      <c r="AA65" s="137" t="s">
        <v>337</v>
      </c>
      <c r="AB65" s="208">
        <v>-0.158</v>
      </c>
      <c r="AC65" s="1" t="s">
        <v>290</v>
      </c>
      <c r="AD65" s="1" t="s">
        <v>345</v>
      </c>
      <c r="AE65" s="212"/>
      <c r="AF65" s="197">
        <f t="shared" ref="AF65:AN65" si="158">IF(YEAR(AF$21)=YEAR($AH$2),$AB$62,IF(YEAR(AF$21)=YEAR($AH$2)+1,$AB$63,IF(YEAR(AF$21)=YEAR($AH$2)+2,$AB$64,IF(YEAR(AF$21)=YEAR($AH$2)+3,$AB$65,IF(YEAR(AF$21)=YEAR($AH$2)+4,$AB$66,$AB$67)))))</f>
        <v>0.05</v>
      </c>
      <c r="AG65" s="197">
        <f t="shared" si="158"/>
        <v>0.05</v>
      </c>
      <c r="AH65" s="197">
        <f t="shared" si="158"/>
        <v>0.05</v>
      </c>
      <c r="AI65" s="197">
        <f t="shared" si="158"/>
        <v>0.05</v>
      </c>
      <c r="AJ65" s="197">
        <f t="shared" si="158"/>
        <v>0.05</v>
      </c>
      <c r="AK65" s="197">
        <f t="shared" si="158"/>
        <v>0.05</v>
      </c>
      <c r="AL65" s="197">
        <f t="shared" si="158"/>
        <v>0.05</v>
      </c>
      <c r="AM65" s="197">
        <f t="shared" si="158"/>
        <v>0.9052</v>
      </c>
      <c r="AN65" s="197">
        <f t="shared" si="158"/>
        <v>0.2283</v>
      </c>
      <c r="AO65" s="197">
        <f t="shared" ref="AO65:AZ65" si="159">IF(YEAR(AO$21)=YEAR($AH$2),$AB$62,IF(YEAR(AO$21)=YEAR($AH$2)+1,$AB$63,IF(YEAR(AO$21)=YEAR($AH$2)+2,$AB$64,IF(YEAR(AO$21)=YEAR($AH$2)+3,$AB$65,IF(YEAR(AO$21)=YEAR($AH$2)+4,$AB$66,IF(YEAR(AO$21)=YEAR($AY$2),$AB$62,IF(YEAR(AO$21)=YEAR($AY$2)+1,$AB$63,IF(YEAR(AO$21)=YEAR($AY$2)+2,$AB$64,IF(YEAR(AO$21)=YEAR($AY$2)+3,$AB$65,IF(YEAR(AO$21)=YEAR($AY$2)+4,$AB$66,$AB$67))))))))))</f>
        <v>0.1265</v>
      </c>
      <c r="AP65" s="197">
        <f t="shared" si="159"/>
        <v>-0.158</v>
      </c>
      <c r="AQ65" s="197">
        <f t="shared" si="159"/>
        <v>0.046</v>
      </c>
      <c r="AR65" s="197">
        <f t="shared" si="159"/>
        <v>0.05</v>
      </c>
      <c r="AS65" s="197">
        <f t="shared" si="159"/>
        <v>0.05</v>
      </c>
      <c r="AT65" s="197">
        <f t="shared" si="159"/>
        <v>0.05</v>
      </c>
      <c r="AU65" s="197">
        <f t="shared" si="159"/>
        <v>0.9052</v>
      </c>
      <c r="AV65" s="197">
        <f t="shared" si="159"/>
        <v>0.2283</v>
      </c>
      <c r="AW65" s="197">
        <f t="shared" si="159"/>
        <v>0.1265</v>
      </c>
      <c r="AX65" s="197">
        <f t="shared" si="159"/>
        <v>-0.158</v>
      </c>
      <c r="AY65" s="197">
        <f t="shared" si="159"/>
        <v>0.046</v>
      </c>
      <c r="AZ65" s="197">
        <f t="shared" si="159"/>
        <v>0.05</v>
      </c>
      <c r="BA65" s="197"/>
      <c r="BB65" s="197"/>
      <c r="BC65" s="197"/>
    </row>
    <row r="66" ht="15.75" customHeight="1">
      <c r="A66" s="117"/>
      <c r="B66" s="1"/>
      <c r="C66" s="1"/>
      <c r="D66" s="1"/>
      <c r="E66" s="215"/>
      <c r="F66" s="215"/>
      <c r="G66" s="215"/>
      <c r="H66" s="215"/>
      <c r="I66" s="215"/>
      <c r="J66" s="215"/>
      <c r="K66" s="215"/>
      <c r="L66" s="215"/>
      <c r="M66" s="215"/>
      <c r="N66" s="215"/>
      <c r="O66" s="215"/>
      <c r="P66" s="215"/>
      <c r="Q66" s="215"/>
      <c r="R66" s="215"/>
      <c r="S66" s="215"/>
      <c r="T66" s="215"/>
      <c r="U66" s="215"/>
      <c r="V66" s="215"/>
      <c r="W66" s="215"/>
      <c r="X66" s="215"/>
      <c r="Y66" s="215"/>
      <c r="Z66" s="215"/>
      <c r="AA66" s="1" t="s">
        <v>338</v>
      </c>
      <c r="AB66" s="208">
        <v>0.046</v>
      </c>
      <c r="AC66" s="1" t="s">
        <v>314</v>
      </c>
      <c r="AD66" s="1" t="s">
        <v>345</v>
      </c>
      <c r="AE66" s="212"/>
      <c r="AF66" s="197">
        <f t="shared" ref="AF66:AP66" si="160">IF(YEAR(AF$21)=YEAR($AI$2),$AB$62,IF(YEAR(AF$21)=YEAR($AI$2)+1,$AB$63,IF(YEAR(AF$21)=YEAR($AI$2)+2,$AB$64,IF(YEAR(AF$21)=YEAR($AI$2)+3,$AB$65,IF(YEAR(AF$21)=YEAR($AI$2)+4,$AB$66,$AB$67)))))</f>
        <v>0.9052</v>
      </c>
      <c r="AG66" s="197">
        <f t="shared" si="160"/>
        <v>0.2283</v>
      </c>
      <c r="AH66" s="197">
        <f t="shared" si="160"/>
        <v>0.1265</v>
      </c>
      <c r="AI66" s="197">
        <f t="shared" si="160"/>
        <v>-0.158</v>
      </c>
      <c r="AJ66" s="197">
        <f t="shared" si="160"/>
        <v>0.046</v>
      </c>
      <c r="AK66" s="197">
        <f t="shared" si="160"/>
        <v>0.05</v>
      </c>
      <c r="AL66" s="197">
        <f t="shared" si="160"/>
        <v>0.05</v>
      </c>
      <c r="AM66" s="197">
        <f t="shared" si="160"/>
        <v>0.05</v>
      </c>
      <c r="AN66" s="197">
        <f t="shared" si="160"/>
        <v>0.05</v>
      </c>
      <c r="AO66" s="197">
        <f t="shared" si="160"/>
        <v>0.05</v>
      </c>
      <c r="AP66" s="197">
        <f t="shared" si="160"/>
        <v>0.05</v>
      </c>
      <c r="AQ66" s="197">
        <f t="shared" ref="AQ66:AZ66" si="161">IF(YEAR(AQ$21)=YEAR($AI$2),$AB$62,IF(YEAR(AQ$21)=YEAR($AI$2)+1,$AB$63,IF(YEAR(AQ$21)=YEAR($AI$2)+2,$AB$64,IF(YEAR(AQ$21)=YEAR($AI$2)+3,$AB$65,IF(YEAR(AQ$21)=YEAR($AI$2)+4,$AB$28,$AB$29)))))</f>
        <v>0.06</v>
      </c>
      <c r="AR66" s="197">
        <f t="shared" si="161"/>
        <v>0.06</v>
      </c>
      <c r="AS66" s="197">
        <f t="shared" si="161"/>
        <v>0.06</v>
      </c>
      <c r="AT66" s="197">
        <f t="shared" si="161"/>
        <v>0.06</v>
      </c>
      <c r="AU66" s="197">
        <f t="shared" si="161"/>
        <v>0.06</v>
      </c>
      <c r="AV66" s="197">
        <f t="shared" si="161"/>
        <v>0.06</v>
      </c>
      <c r="AW66" s="197">
        <f t="shared" si="161"/>
        <v>0.06</v>
      </c>
      <c r="AX66" s="197">
        <f t="shared" si="161"/>
        <v>0.06</v>
      </c>
      <c r="AY66" s="197">
        <f t="shared" si="161"/>
        <v>0.06</v>
      </c>
      <c r="AZ66" s="197">
        <f t="shared" si="161"/>
        <v>0.06</v>
      </c>
      <c r="BA66" s="197"/>
      <c r="BB66" s="197"/>
      <c r="BC66" s="197"/>
    </row>
    <row r="67" ht="15.75" customHeight="1">
      <c r="A67" s="117"/>
      <c r="B67" s="1" t="s">
        <v>346</v>
      </c>
      <c r="C67" s="131">
        <f t="shared" ref="C67:Z67" si="162">C3-C25-C47</f>
        <v>13930475</v>
      </c>
      <c r="D67" s="131">
        <f t="shared" si="162"/>
        <v>13641451</v>
      </c>
      <c r="E67" s="195">
        <f t="shared" si="162"/>
        <v>14881995.49</v>
      </c>
      <c r="F67" s="195">
        <f t="shared" si="162"/>
        <v>25616174.11</v>
      </c>
      <c r="G67" s="195">
        <f t="shared" si="162"/>
        <v>38653897.57</v>
      </c>
      <c r="H67" s="195">
        <f t="shared" si="162"/>
        <v>44258762.6</v>
      </c>
      <c r="I67" s="195">
        <f t="shared" si="162"/>
        <v>45064219.29</v>
      </c>
      <c r="J67" s="195">
        <f t="shared" si="162"/>
        <v>45995605.54</v>
      </c>
      <c r="K67" s="195">
        <f t="shared" si="162"/>
        <v>48295385.81</v>
      </c>
      <c r="L67" s="195">
        <f t="shared" si="162"/>
        <v>50710155.11</v>
      </c>
      <c r="M67" s="195">
        <f t="shared" si="162"/>
        <v>53245662.86</v>
      </c>
      <c r="N67" s="195">
        <f t="shared" si="162"/>
        <v>55907946</v>
      </c>
      <c r="O67" s="195">
        <f t="shared" si="162"/>
        <v>58703343.3</v>
      </c>
      <c r="P67" s="195">
        <f t="shared" si="162"/>
        <v>61638510.47</v>
      </c>
      <c r="Q67" s="195">
        <f t="shared" si="162"/>
        <v>64720435.99</v>
      </c>
      <c r="R67" s="195">
        <f t="shared" si="162"/>
        <v>67956457.79</v>
      </c>
      <c r="S67" s="195">
        <f t="shared" si="162"/>
        <v>71354280.68</v>
      </c>
      <c r="T67" s="195">
        <f t="shared" si="162"/>
        <v>74921994.72</v>
      </c>
      <c r="U67" s="195">
        <f t="shared" si="162"/>
        <v>78668094.45</v>
      </c>
      <c r="V67" s="195">
        <f t="shared" si="162"/>
        <v>82601499.17</v>
      </c>
      <c r="W67" s="195">
        <f t="shared" si="162"/>
        <v>86731574.13</v>
      </c>
      <c r="X67" s="195">
        <f t="shared" si="162"/>
        <v>91068152.84</v>
      </c>
      <c r="Y67" s="195">
        <f t="shared" si="162"/>
        <v>95621560.48</v>
      </c>
      <c r="Z67" s="195">
        <f t="shared" si="162"/>
        <v>100402638.5</v>
      </c>
      <c r="AA67" s="1" t="s">
        <v>339</v>
      </c>
      <c r="AB67" s="208">
        <v>0.05</v>
      </c>
      <c r="AC67" s="1" t="s">
        <v>292</v>
      </c>
      <c r="AD67" s="1" t="s">
        <v>345</v>
      </c>
      <c r="AE67" s="212"/>
      <c r="AF67" s="197">
        <f t="shared" ref="AF67:AP67" si="163">IF(YEAR(AF$21)=YEAR($AJ$2),$AB$62,IF(YEAR(AF$21)=YEAR($AJ$2)+1,$AB$63,IF(YEAR(AF$21)=YEAR($AJ$2)+2,$AB$64,IF(YEAR(AF$21)=YEAR($AJ$2)+3,$AB$65,IF(YEAR(AF$21)=YEAR($AJ$2)+4,$AB$66,$AB$67)))))</f>
        <v>0.05</v>
      </c>
      <c r="AG67" s="197">
        <f t="shared" si="163"/>
        <v>0.05</v>
      </c>
      <c r="AH67" s="197">
        <f t="shared" si="163"/>
        <v>0.9052</v>
      </c>
      <c r="AI67" s="197">
        <f t="shared" si="163"/>
        <v>0.2283</v>
      </c>
      <c r="AJ67" s="197">
        <f t="shared" si="163"/>
        <v>0.1265</v>
      </c>
      <c r="AK67" s="197">
        <f t="shared" si="163"/>
        <v>-0.158</v>
      </c>
      <c r="AL67" s="197">
        <f t="shared" si="163"/>
        <v>0.046</v>
      </c>
      <c r="AM67" s="197">
        <f t="shared" si="163"/>
        <v>0.05</v>
      </c>
      <c r="AN67" s="197">
        <f t="shared" si="163"/>
        <v>0.05</v>
      </c>
      <c r="AO67" s="197">
        <f t="shared" si="163"/>
        <v>0.05</v>
      </c>
      <c r="AP67" s="197">
        <f t="shared" si="163"/>
        <v>0.05</v>
      </c>
      <c r="AQ67" s="197">
        <f t="shared" ref="AQ67:AZ67" si="164">IF(YEAR(AQ$21)=YEAR($AJ$2),$AB$62,IF(YEAR(AQ$21)=YEAR($AJ$2)+1,$AB$63,IF(YEAR(AQ$21)=YEAR($AJ$2)+2,$AB$64,IF(YEAR(AQ$21)=YEAR($AJ$2)+3,$AB$65,IF(YEAR(AQ$21)=YEAR($AJ$2)+4,$AB$28,$AB$29)))))</f>
        <v>0.06</v>
      </c>
      <c r="AR67" s="197">
        <f t="shared" si="164"/>
        <v>0.06</v>
      </c>
      <c r="AS67" s="197">
        <f t="shared" si="164"/>
        <v>0.06</v>
      </c>
      <c r="AT67" s="197">
        <f t="shared" si="164"/>
        <v>0.06</v>
      </c>
      <c r="AU67" s="197">
        <f t="shared" si="164"/>
        <v>0.06</v>
      </c>
      <c r="AV67" s="197">
        <f t="shared" si="164"/>
        <v>0.06</v>
      </c>
      <c r="AW67" s="197">
        <f t="shared" si="164"/>
        <v>0.06</v>
      </c>
      <c r="AX67" s="197">
        <f t="shared" si="164"/>
        <v>0.06</v>
      </c>
      <c r="AY67" s="197">
        <f t="shared" si="164"/>
        <v>0.06</v>
      </c>
      <c r="AZ67" s="197">
        <f t="shared" si="164"/>
        <v>0.06</v>
      </c>
      <c r="BA67" s="197"/>
      <c r="BB67" s="197"/>
      <c r="BC67" s="197"/>
    </row>
    <row r="68" ht="15.75" customHeight="1">
      <c r="A68" s="117"/>
      <c r="B68" s="1" t="s">
        <v>332</v>
      </c>
      <c r="C68" s="1"/>
      <c r="D68" s="1"/>
      <c r="E68" s="195">
        <f t="shared" ref="E68:Z68" si="165">E4-E26-E48</f>
        <v>0</v>
      </c>
      <c r="F68" s="195">
        <f t="shared" si="165"/>
        <v>0</v>
      </c>
      <c r="G68" s="195">
        <f t="shared" si="165"/>
        <v>1828900</v>
      </c>
      <c r="H68" s="195">
        <f t="shared" si="165"/>
        <v>1670601.07</v>
      </c>
      <c r="I68" s="195">
        <f t="shared" si="165"/>
        <v>2225734.485</v>
      </c>
      <c r="J68" s="195">
        <f t="shared" si="165"/>
        <v>4000567.053</v>
      </c>
      <c r="K68" s="195">
        <f t="shared" si="165"/>
        <v>4981547.765</v>
      </c>
      <c r="L68" s="195">
        <f t="shared" si="165"/>
        <v>0</v>
      </c>
      <c r="M68" s="195">
        <f t="shared" si="165"/>
        <v>0</v>
      </c>
      <c r="N68" s="195">
        <f t="shared" si="165"/>
        <v>0</v>
      </c>
      <c r="O68" s="195">
        <f t="shared" si="165"/>
        <v>1809825</v>
      </c>
      <c r="P68" s="195">
        <f t="shared" si="165"/>
        <v>1503212.048</v>
      </c>
      <c r="Q68" s="195">
        <f t="shared" si="165"/>
        <v>1475555.982</v>
      </c>
      <c r="R68" s="195">
        <f t="shared" si="165"/>
        <v>3900541.407</v>
      </c>
      <c r="S68" s="195">
        <f t="shared" si="165"/>
        <v>5076159.597</v>
      </c>
      <c r="T68" s="195">
        <f t="shared" si="165"/>
        <v>0</v>
      </c>
      <c r="U68" s="195">
        <f t="shared" si="165"/>
        <v>0</v>
      </c>
      <c r="V68" s="195">
        <f t="shared" si="165"/>
        <v>0</v>
      </c>
      <c r="W68" s="195">
        <f t="shared" si="165"/>
        <v>10075000</v>
      </c>
      <c r="X68" s="195">
        <f t="shared" si="165"/>
        <v>11656775</v>
      </c>
      <c r="Y68" s="195">
        <f t="shared" si="165"/>
        <v>13335350.6</v>
      </c>
      <c r="Z68" s="195">
        <f t="shared" si="165"/>
        <v>15068946.18</v>
      </c>
      <c r="AA68" s="1"/>
      <c r="AB68" s="1"/>
      <c r="AC68" s="1" t="s">
        <v>293</v>
      </c>
      <c r="AD68" s="1" t="s">
        <v>345</v>
      </c>
      <c r="AE68" s="212"/>
      <c r="AF68" s="197">
        <f t="shared" ref="AF68:AP68" si="166">IF(YEAR(AF$21)=YEAR($AK$2),$AB$62,IF(YEAR(AF$21)=YEAR($AK$2)+1,$AB$63,IF(YEAR(AF$21)=YEAR($AK$2)+2,$AB$64,IF(YEAR(AF$21)=YEAR($AK$2)+3,$AB$65,IF(YEAR(AF$21)=YEAR($AK$2)+4,$AB$66,$AB$67)))))</f>
        <v>0.05</v>
      </c>
      <c r="AG68" s="197">
        <f t="shared" si="166"/>
        <v>0.05</v>
      </c>
      <c r="AH68" s="197">
        <f t="shared" si="166"/>
        <v>0.05</v>
      </c>
      <c r="AI68" s="197">
        <f t="shared" si="166"/>
        <v>0.05</v>
      </c>
      <c r="AJ68" s="197">
        <f t="shared" si="166"/>
        <v>0.9052</v>
      </c>
      <c r="AK68" s="197">
        <f t="shared" si="166"/>
        <v>0.2283</v>
      </c>
      <c r="AL68" s="197">
        <f t="shared" si="166"/>
        <v>0.1265</v>
      </c>
      <c r="AM68" s="197">
        <f t="shared" si="166"/>
        <v>-0.158</v>
      </c>
      <c r="AN68" s="197">
        <f t="shared" si="166"/>
        <v>0.046</v>
      </c>
      <c r="AO68" s="197">
        <f t="shared" si="166"/>
        <v>0.05</v>
      </c>
      <c r="AP68" s="197">
        <f t="shared" si="166"/>
        <v>0.05</v>
      </c>
      <c r="AQ68" s="197">
        <f t="shared" ref="AQ68:AZ68" si="167">IF(YEAR(AQ$21)=YEAR($AK$2),$AB$62,IF(YEAR(AQ$21)=YEAR($AK$2)+1,$AB$63,IF(YEAR(AQ$21)=YEAR($AK$2)+2,$AB$64,IF(YEAR(AQ$21)=YEAR($AK$2)+3,$AB$65,IF(YEAR(AQ$21)=YEAR($AK$2)+4,$AB$28,$AB$29)))))</f>
        <v>0.06</v>
      </c>
      <c r="AR68" s="197">
        <f t="shared" si="167"/>
        <v>0.06</v>
      </c>
      <c r="AS68" s="197">
        <f t="shared" si="167"/>
        <v>0.06</v>
      </c>
      <c r="AT68" s="197">
        <f t="shared" si="167"/>
        <v>0.06</v>
      </c>
      <c r="AU68" s="197">
        <f t="shared" si="167"/>
        <v>0.06</v>
      </c>
      <c r="AV68" s="197">
        <f t="shared" si="167"/>
        <v>0.06</v>
      </c>
      <c r="AW68" s="197">
        <f t="shared" si="167"/>
        <v>0.06</v>
      </c>
      <c r="AX68" s="197">
        <f t="shared" si="167"/>
        <v>0.06</v>
      </c>
      <c r="AY68" s="197">
        <f t="shared" si="167"/>
        <v>0.06</v>
      </c>
      <c r="AZ68" s="197">
        <f t="shared" si="167"/>
        <v>0.06</v>
      </c>
      <c r="BA68" s="197"/>
      <c r="BB68" s="197"/>
      <c r="BC68" s="197"/>
    </row>
    <row r="69" ht="15.75" customHeight="1">
      <c r="A69" s="117"/>
      <c r="B69" s="1" t="s">
        <v>288</v>
      </c>
      <c r="C69" s="1"/>
      <c r="D69" s="1"/>
      <c r="E69" s="195">
        <f t="shared" ref="E69:Z69" si="168">E5-E27-E49</f>
        <v>0</v>
      </c>
      <c r="F69" s="195">
        <f t="shared" si="168"/>
        <v>0</v>
      </c>
      <c r="G69" s="195">
        <f t="shared" si="168"/>
        <v>0</v>
      </c>
      <c r="H69" s="195">
        <f t="shared" si="168"/>
        <v>0</v>
      </c>
      <c r="I69" s="195">
        <f t="shared" si="168"/>
        <v>3490784</v>
      </c>
      <c r="J69" s="195">
        <f t="shared" si="168"/>
        <v>3654335.001</v>
      </c>
      <c r="K69" s="195">
        <f t="shared" si="168"/>
        <v>3932357.26</v>
      </c>
      <c r="L69" s="195">
        <f t="shared" si="168"/>
        <v>5671004.547</v>
      </c>
      <c r="M69" s="195">
        <f t="shared" si="168"/>
        <v>6809818</v>
      </c>
      <c r="N69" s="195">
        <f t="shared" si="168"/>
        <v>0</v>
      </c>
      <c r="O69" s="195">
        <f t="shared" si="168"/>
        <v>0</v>
      </c>
      <c r="P69" s="195">
        <f t="shared" si="168"/>
        <v>0</v>
      </c>
      <c r="Q69" s="195">
        <f t="shared" si="168"/>
        <v>1505800</v>
      </c>
      <c r="R69" s="195">
        <f t="shared" si="168"/>
        <v>1273760.516</v>
      </c>
      <c r="S69" s="195">
        <f t="shared" si="168"/>
        <v>1267390.205</v>
      </c>
      <c r="T69" s="195">
        <f t="shared" si="168"/>
        <v>3212560.492</v>
      </c>
      <c r="U69" s="195">
        <f t="shared" si="168"/>
        <v>4158472.133</v>
      </c>
      <c r="V69" s="195">
        <f t="shared" si="168"/>
        <v>0</v>
      </c>
      <c r="W69" s="195">
        <f t="shared" si="168"/>
        <v>0</v>
      </c>
      <c r="X69" s="195">
        <f t="shared" si="168"/>
        <v>0</v>
      </c>
      <c r="Y69" s="195">
        <f t="shared" si="168"/>
        <v>8060000</v>
      </c>
      <c r="Z69" s="195">
        <f t="shared" si="168"/>
        <v>9325420</v>
      </c>
      <c r="AA69" s="1"/>
      <c r="AB69" s="1"/>
      <c r="AC69" s="1" t="s">
        <v>294</v>
      </c>
      <c r="AD69" s="1" t="s">
        <v>345</v>
      </c>
      <c r="AE69" s="212"/>
      <c r="AF69" s="197">
        <f t="shared" ref="AF69:AP69" si="169">IF(YEAR(AF$21)=YEAR($AL$2),$AB$62,IF(YEAR(AF$21)=YEAR($AL$2)+1,$AB$63,IF(YEAR(AF$21)=YEAR($AL$2)+2,$AB$64,IF(YEAR(AF$21)=YEAR($AL$2)+3,$AB$65,IF(YEAR(AF$21)=YEAR($AL$2)+4,$AB$66,$AB$67)))))</f>
        <v>0.05</v>
      </c>
      <c r="AG69" s="197">
        <f t="shared" si="169"/>
        <v>0.05</v>
      </c>
      <c r="AH69" s="197">
        <f t="shared" si="169"/>
        <v>0.05</v>
      </c>
      <c r="AI69" s="197">
        <f t="shared" si="169"/>
        <v>0.05</v>
      </c>
      <c r="AJ69" s="197">
        <f t="shared" si="169"/>
        <v>0.05</v>
      </c>
      <c r="AK69" s="197">
        <f t="shared" si="169"/>
        <v>0.05</v>
      </c>
      <c r="AL69" s="197">
        <f t="shared" si="169"/>
        <v>0.9052</v>
      </c>
      <c r="AM69" s="197">
        <f t="shared" si="169"/>
        <v>0.2283</v>
      </c>
      <c r="AN69" s="197">
        <f t="shared" si="169"/>
        <v>0.1265</v>
      </c>
      <c r="AO69" s="197">
        <f t="shared" si="169"/>
        <v>-0.158</v>
      </c>
      <c r="AP69" s="197">
        <f t="shared" si="169"/>
        <v>0.046</v>
      </c>
      <c r="AQ69" s="197">
        <f t="shared" ref="AQ69:AZ69" si="170">IF(YEAR(AQ$21)=YEAR($AL$2),$AB$62,IF(YEAR(AQ$21)=YEAR($AL$2)+1,$AB$63,IF(YEAR(AQ$21)=YEAR($AL$2)+2,$AB$64,IF(YEAR(AQ$21)=YEAR($AL$2)+3,$AB$65,IF(YEAR(AQ$21)=YEAR($AL$2)+4,$AB$28,$AB$29)))))</f>
        <v>0.06</v>
      </c>
      <c r="AR69" s="197">
        <f t="shared" si="170"/>
        <v>0.06</v>
      </c>
      <c r="AS69" s="197">
        <f t="shared" si="170"/>
        <v>0.06</v>
      </c>
      <c r="AT69" s="197">
        <f t="shared" si="170"/>
        <v>0.06</v>
      </c>
      <c r="AU69" s="197">
        <f t="shared" si="170"/>
        <v>0.06</v>
      </c>
      <c r="AV69" s="197">
        <f t="shared" si="170"/>
        <v>0.06</v>
      </c>
      <c r="AW69" s="197">
        <f t="shared" si="170"/>
        <v>0.06</v>
      </c>
      <c r="AX69" s="197">
        <f t="shared" si="170"/>
        <v>0.06</v>
      </c>
      <c r="AY69" s="197">
        <f t="shared" si="170"/>
        <v>0.06</v>
      </c>
      <c r="AZ69" s="197">
        <f t="shared" si="170"/>
        <v>0.06</v>
      </c>
      <c r="BA69" s="197"/>
      <c r="BB69" s="197"/>
      <c r="BC69" s="197"/>
    </row>
    <row r="70" ht="15.75" customHeight="1">
      <c r="A70" s="117"/>
      <c r="B70" s="1" t="s">
        <v>289</v>
      </c>
      <c r="C70" s="1"/>
      <c r="D70" s="1"/>
      <c r="E70" s="195">
        <f t="shared" ref="E70:Z70" si="171">E6-E28-E50</f>
        <v>0</v>
      </c>
      <c r="F70" s="195">
        <f t="shared" si="171"/>
        <v>0</v>
      </c>
      <c r="G70" s="195">
        <f t="shared" si="171"/>
        <v>0</v>
      </c>
      <c r="H70" s="195">
        <f t="shared" si="171"/>
        <v>0</v>
      </c>
      <c r="I70" s="195">
        <f t="shared" si="171"/>
        <v>0</v>
      </c>
      <c r="J70" s="195">
        <f t="shared" si="171"/>
        <v>0</v>
      </c>
      <c r="K70" s="195">
        <f t="shared" si="171"/>
        <v>1899128</v>
      </c>
      <c r="L70" s="195">
        <f t="shared" si="171"/>
        <v>1526689.634</v>
      </c>
      <c r="M70" s="195">
        <f t="shared" si="171"/>
        <v>1523108.263</v>
      </c>
      <c r="N70" s="195">
        <f t="shared" si="171"/>
        <v>4391990.483</v>
      </c>
      <c r="O70" s="195">
        <f t="shared" si="171"/>
        <v>5718013.137</v>
      </c>
      <c r="P70" s="195">
        <f t="shared" si="171"/>
        <v>0</v>
      </c>
      <c r="Q70" s="195">
        <f t="shared" si="171"/>
        <v>0</v>
      </c>
      <c r="R70" s="195">
        <f t="shared" si="171"/>
        <v>0</v>
      </c>
      <c r="S70" s="195">
        <f t="shared" si="171"/>
        <v>1596958</v>
      </c>
      <c r="T70" s="195">
        <f t="shared" si="171"/>
        <v>1328250.499</v>
      </c>
      <c r="U70" s="195">
        <f t="shared" si="171"/>
        <v>1341718.208</v>
      </c>
      <c r="V70" s="195">
        <f t="shared" si="171"/>
        <v>2751473.89</v>
      </c>
      <c r="W70" s="195">
        <f t="shared" si="171"/>
        <v>3702854.058</v>
      </c>
      <c r="X70" s="195">
        <f t="shared" si="171"/>
        <v>0</v>
      </c>
      <c r="Y70" s="195">
        <f t="shared" si="171"/>
        <v>0</v>
      </c>
      <c r="Z70" s="195">
        <f t="shared" si="171"/>
        <v>0</v>
      </c>
      <c r="AA70" s="1"/>
      <c r="AB70" s="1"/>
      <c r="AC70" s="1" t="s">
        <v>295</v>
      </c>
      <c r="AD70" s="1" t="s">
        <v>345</v>
      </c>
      <c r="AE70" s="212"/>
      <c r="AF70" s="197">
        <f t="shared" ref="AF70:AP70" si="172">IF(YEAR(AF$21)=YEAR($AM$2),$AB$62,IF(YEAR(AF$21)=YEAR($AM$2)+1,$AB$63,IF(YEAR(AF$21)=YEAR($AM$2)+2,$AB$64,IF(YEAR(AF$21)=YEAR($AM$2)+3,$AB$65,IF(YEAR(AF$21)=YEAR($AM$2)+4,$AB$66,$AB$67)))))</f>
        <v>0.05</v>
      </c>
      <c r="AG70" s="197">
        <f t="shared" si="172"/>
        <v>0.05</v>
      </c>
      <c r="AH70" s="197">
        <f t="shared" si="172"/>
        <v>0.05</v>
      </c>
      <c r="AI70" s="197">
        <f t="shared" si="172"/>
        <v>0.05</v>
      </c>
      <c r="AJ70" s="197">
        <f t="shared" si="172"/>
        <v>0.05</v>
      </c>
      <c r="AK70" s="197">
        <f t="shared" si="172"/>
        <v>0.05</v>
      </c>
      <c r="AL70" s="197">
        <f t="shared" si="172"/>
        <v>0.05</v>
      </c>
      <c r="AM70" s="197">
        <f t="shared" si="172"/>
        <v>0.05</v>
      </c>
      <c r="AN70" s="197">
        <f t="shared" si="172"/>
        <v>0.9052</v>
      </c>
      <c r="AO70" s="197">
        <f t="shared" si="172"/>
        <v>0.2283</v>
      </c>
      <c r="AP70" s="197">
        <f t="shared" si="172"/>
        <v>0.1265</v>
      </c>
      <c r="AQ70" s="197">
        <f t="shared" ref="AQ70:AZ70" si="173">IF(YEAR(AQ$21)=YEAR($AM$2),$AB$62,IF(YEAR(AQ$21)=YEAR($AM$2)+1,$AB$63,IF(YEAR(AQ$21)=YEAR($AM$2)+2,$AB$64,IF(YEAR(AQ$21)=YEAR($AM$2)+3,$AB$65,IF(YEAR(AQ$21)=YEAR($AM$2)+4,$AB$28,$AB$29)))))</f>
        <v>-0.158</v>
      </c>
      <c r="AR70" s="197">
        <f t="shared" si="173"/>
        <v>0.117</v>
      </c>
      <c r="AS70" s="197">
        <f t="shared" si="173"/>
        <v>0.06</v>
      </c>
      <c r="AT70" s="197">
        <f t="shared" si="173"/>
        <v>0.06</v>
      </c>
      <c r="AU70" s="197">
        <f t="shared" si="173"/>
        <v>0.06</v>
      </c>
      <c r="AV70" s="197">
        <f t="shared" si="173"/>
        <v>0.06</v>
      </c>
      <c r="AW70" s="197">
        <f t="shared" si="173"/>
        <v>0.06</v>
      </c>
      <c r="AX70" s="197">
        <f t="shared" si="173"/>
        <v>0.06</v>
      </c>
      <c r="AY70" s="197">
        <f t="shared" si="173"/>
        <v>0.06</v>
      </c>
      <c r="AZ70" s="197">
        <f t="shared" si="173"/>
        <v>0.06</v>
      </c>
      <c r="BA70" s="197"/>
      <c r="BB70" s="197"/>
      <c r="BC70" s="197"/>
    </row>
    <row r="71" ht="15.75" customHeight="1">
      <c r="A71" s="117"/>
      <c r="B71" s="1" t="s">
        <v>290</v>
      </c>
      <c r="C71" s="1"/>
      <c r="D71" s="1"/>
      <c r="E71" s="195">
        <f t="shared" ref="E71:Z71" si="174">E7-E29-E51</f>
        <v>0</v>
      </c>
      <c r="F71" s="195">
        <f t="shared" si="174"/>
        <v>0</v>
      </c>
      <c r="G71" s="195">
        <f t="shared" si="174"/>
        <v>0</v>
      </c>
      <c r="H71" s="195">
        <f t="shared" si="174"/>
        <v>0</v>
      </c>
      <c r="I71" s="195">
        <f t="shared" si="174"/>
        <v>0</v>
      </c>
      <c r="J71" s="195">
        <f t="shared" si="174"/>
        <v>0</v>
      </c>
      <c r="K71" s="195">
        <f t="shared" si="174"/>
        <v>0</v>
      </c>
      <c r="L71" s="195">
        <f t="shared" si="174"/>
        <v>0</v>
      </c>
      <c r="M71" s="195">
        <f t="shared" si="174"/>
        <v>2024288</v>
      </c>
      <c r="N71" s="195">
        <f t="shared" si="174"/>
        <v>1565464.886</v>
      </c>
      <c r="O71" s="195">
        <f t="shared" si="174"/>
        <v>1592678.66</v>
      </c>
      <c r="P71" s="195">
        <f t="shared" si="174"/>
        <v>5046142.389</v>
      </c>
      <c r="Q71" s="195">
        <f t="shared" si="174"/>
        <v>6572260.029</v>
      </c>
      <c r="R71" s="195">
        <f t="shared" si="174"/>
        <v>0</v>
      </c>
      <c r="S71" s="195">
        <f t="shared" si="174"/>
        <v>0</v>
      </c>
      <c r="T71" s="195">
        <f t="shared" si="174"/>
        <v>0</v>
      </c>
      <c r="U71" s="195">
        <f t="shared" si="174"/>
        <v>1771252</v>
      </c>
      <c r="V71" s="195">
        <f t="shared" si="174"/>
        <v>918421.7756</v>
      </c>
      <c r="W71" s="195">
        <f t="shared" si="174"/>
        <v>877237.9871</v>
      </c>
      <c r="X71" s="195">
        <f t="shared" si="174"/>
        <v>3835787.646</v>
      </c>
      <c r="Y71" s="195">
        <f t="shared" si="174"/>
        <v>5103102.211</v>
      </c>
      <c r="Z71" s="195">
        <f t="shared" si="174"/>
        <v>0</v>
      </c>
      <c r="AA71" s="1"/>
      <c r="AB71" s="1"/>
      <c r="AC71" s="1" t="s">
        <v>296</v>
      </c>
      <c r="AD71" s="1" t="s">
        <v>345</v>
      </c>
      <c r="AE71" s="212"/>
      <c r="AF71" s="197">
        <f t="shared" ref="AF71:AP71" si="175">IF(YEAR(AF$21)=YEAR($AN$2),$AB$62,IF(YEAR(AF$21)=YEAR($AN$2)+1,$AB$63,IF(YEAR(AF$21)=YEAR($AN$2)+2,$AB$64,IF(YEAR(AF$21)=YEAR($AN$2)+3,$AB$65,IF(YEAR(AF$21)=YEAR($AN$2)+4,$AB$66,$AB$67)))))</f>
        <v>0.05</v>
      </c>
      <c r="AG71" s="197">
        <f t="shared" si="175"/>
        <v>0.05</v>
      </c>
      <c r="AH71" s="197">
        <f t="shared" si="175"/>
        <v>0.05</v>
      </c>
      <c r="AI71" s="197">
        <f t="shared" si="175"/>
        <v>0.05</v>
      </c>
      <c r="AJ71" s="197">
        <f t="shared" si="175"/>
        <v>0.05</v>
      </c>
      <c r="AK71" s="197">
        <f t="shared" si="175"/>
        <v>0.05</v>
      </c>
      <c r="AL71" s="197">
        <f t="shared" si="175"/>
        <v>0.05</v>
      </c>
      <c r="AM71" s="197">
        <f t="shared" si="175"/>
        <v>0.05</v>
      </c>
      <c r="AN71" s="197">
        <f t="shared" si="175"/>
        <v>0.05</v>
      </c>
      <c r="AO71" s="197">
        <f t="shared" si="175"/>
        <v>0.05</v>
      </c>
      <c r="AP71" s="197">
        <f t="shared" si="175"/>
        <v>0.9052</v>
      </c>
      <c r="AQ71" s="197">
        <f t="shared" ref="AQ71:AZ71" si="176">IF(YEAR(AQ$21)=YEAR($AN$2),$AB$62,IF(YEAR(AQ$21)=YEAR($AN$2)+1,$AB$63,IF(YEAR(AQ$21)=YEAR($AN$2)+2,$AB$64,IF(YEAR(AQ$21)=YEAR($AN$2)+3,$AB$65,IF(YEAR(AQ$21)=YEAR($AN$2)+4,$AB$28,$AB$29)))))</f>
        <v>0.2283</v>
      </c>
      <c r="AR71" s="197">
        <f t="shared" si="176"/>
        <v>0.1265</v>
      </c>
      <c r="AS71" s="197">
        <f t="shared" si="176"/>
        <v>-0.158</v>
      </c>
      <c r="AT71" s="197">
        <f t="shared" si="176"/>
        <v>0.117</v>
      </c>
      <c r="AU71" s="197">
        <f t="shared" si="176"/>
        <v>0.06</v>
      </c>
      <c r="AV71" s="197">
        <f t="shared" si="176"/>
        <v>0.06</v>
      </c>
      <c r="AW71" s="197">
        <f t="shared" si="176"/>
        <v>0.06</v>
      </c>
      <c r="AX71" s="197">
        <f t="shared" si="176"/>
        <v>0.06</v>
      </c>
      <c r="AY71" s="197">
        <f t="shared" si="176"/>
        <v>0.06</v>
      </c>
      <c r="AZ71" s="197">
        <f t="shared" si="176"/>
        <v>0.06</v>
      </c>
      <c r="BA71" s="197"/>
      <c r="BB71" s="197"/>
      <c r="BC71" s="197"/>
    </row>
    <row r="72" ht="15.75" customHeight="1">
      <c r="A72" s="117"/>
      <c r="B72" s="1" t="s">
        <v>314</v>
      </c>
      <c r="C72" s="117"/>
      <c r="D72" s="117"/>
      <c r="E72" s="195">
        <f t="shared" ref="E72:Z72" si="177">E8-E30-E52</f>
        <v>0</v>
      </c>
      <c r="F72" s="195">
        <f t="shared" si="177"/>
        <v>882729.4752</v>
      </c>
      <c r="G72" s="195">
        <f t="shared" si="177"/>
        <v>650109.3405</v>
      </c>
      <c r="H72" s="195">
        <f t="shared" si="177"/>
        <v>677773.6738</v>
      </c>
      <c r="I72" s="195">
        <f t="shared" si="177"/>
        <v>2390434.325</v>
      </c>
      <c r="J72" s="195">
        <f t="shared" si="177"/>
        <v>3115050.007</v>
      </c>
      <c r="K72" s="195">
        <f t="shared" si="177"/>
        <v>0</v>
      </c>
      <c r="L72" s="195">
        <f t="shared" si="177"/>
        <v>0</v>
      </c>
      <c r="M72" s="195">
        <f t="shared" si="177"/>
        <v>0</v>
      </c>
      <c r="N72" s="195">
        <f t="shared" si="177"/>
        <v>0</v>
      </c>
      <c r="O72" s="195">
        <f t="shared" si="177"/>
        <v>0</v>
      </c>
      <c r="P72" s="195">
        <f t="shared" si="177"/>
        <v>0</v>
      </c>
      <c r="Q72" s="195">
        <f t="shared" si="177"/>
        <v>0</v>
      </c>
      <c r="R72" s="195">
        <f t="shared" si="177"/>
        <v>0</v>
      </c>
      <c r="S72" s="195">
        <f t="shared" si="177"/>
        <v>0</v>
      </c>
      <c r="T72" s="195">
        <f t="shared" si="177"/>
        <v>0</v>
      </c>
      <c r="U72" s="195">
        <f t="shared" si="177"/>
        <v>0</v>
      </c>
      <c r="V72" s="195">
        <f t="shared" si="177"/>
        <v>0</v>
      </c>
      <c r="W72" s="195">
        <f t="shared" si="177"/>
        <v>0</v>
      </c>
      <c r="X72" s="195">
        <f t="shared" si="177"/>
        <v>0</v>
      </c>
      <c r="Y72" s="195">
        <f t="shared" si="177"/>
        <v>0</v>
      </c>
      <c r="Z72" s="195">
        <f t="shared" si="177"/>
        <v>0</v>
      </c>
      <c r="AA72" s="1"/>
      <c r="AB72" s="1"/>
      <c r="AC72" s="1" t="s">
        <v>297</v>
      </c>
      <c r="AD72" s="1" t="s">
        <v>345</v>
      </c>
      <c r="AE72" s="212"/>
      <c r="AF72" s="197">
        <f t="shared" ref="AF72:AP72" si="178">IF(YEAR(AF$21)=YEAR($AO$2),$AB$62,IF(YEAR(AF$21)=YEAR($AO$2)+1,$AB$63,IF(YEAR(AF$21)=YEAR($AO$2)+2,$AB$64,IF(YEAR(AF$21)=YEAR($AO$2)+3,$AB$65,IF(YEAR(AF$21)=YEAR($AO$2)+4,$AB$66,$AB$67)))))</f>
        <v>0.05</v>
      </c>
      <c r="AG72" s="197">
        <f t="shared" si="178"/>
        <v>0.05</v>
      </c>
      <c r="AH72" s="197">
        <f t="shared" si="178"/>
        <v>0.05</v>
      </c>
      <c r="AI72" s="197">
        <f t="shared" si="178"/>
        <v>0.05</v>
      </c>
      <c r="AJ72" s="197">
        <f t="shared" si="178"/>
        <v>0.05</v>
      </c>
      <c r="AK72" s="197">
        <f t="shared" si="178"/>
        <v>0.05</v>
      </c>
      <c r="AL72" s="197">
        <f t="shared" si="178"/>
        <v>0.05</v>
      </c>
      <c r="AM72" s="197">
        <f t="shared" si="178"/>
        <v>0.05</v>
      </c>
      <c r="AN72" s="197">
        <f t="shared" si="178"/>
        <v>0.05</v>
      </c>
      <c r="AO72" s="197">
        <f t="shared" si="178"/>
        <v>0.05</v>
      </c>
      <c r="AP72" s="197">
        <f t="shared" si="178"/>
        <v>0.05</v>
      </c>
      <c r="AQ72" s="197">
        <f t="shared" ref="AQ72:AZ72" si="179">IF(YEAR(AQ$21)=YEAR($AO$2),$AB$62,IF(YEAR(AQ$21)=YEAR($AO$2)+1,$AB$63,IF(YEAR(AQ$21)=YEAR($AO$2)+2,$AB$64,IF(YEAR(AQ$21)=YEAR($AO$2)+3,$AB$65,IF(YEAR(AQ$21)=YEAR($AO$2)+4,$AB$28,$AB$29)))))</f>
        <v>0.06</v>
      </c>
      <c r="AR72" s="197">
        <f t="shared" si="179"/>
        <v>0.9052</v>
      </c>
      <c r="AS72" s="197">
        <f t="shared" si="179"/>
        <v>0.2283</v>
      </c>
      <c r="AT72" s="197">
        <f t="shared" si="179"/>
        <v>0.1265</v>
      </c>
      <c r="AU72" s="197">
        <f t="shared" si="179"/>
        <v>-0.158</v>
      </c>
      <c r="AV72" s="197">
        <f t="shared" si="179"/>
        <v>0.117</v>
      </c>
      <c r="AW72" s="197">
        <f t="shared" si="179"/>
        <v>0.06</v>
      </c>
      <c r="AX72" s="197">
        <f t="shared" si="179"/>
        <v>0.06</v>
      </c>
      <c r="AY72" s="197">
        <f t="shared" si="179"/>
        <v>0.06</v>
      </c>
      <c r="AZ72" s="197">
        <f t="shared" si="179"/>
        <v>0.06</v>
      </c>
      <c r="BA72" s="197"/>
      <c r="BB72" s="197"/>
      <c r="BC72" s="197"/>
    </row>
    <row r="73" ht="15.75" customHeight="1">
      <c r="A73" s="117"/>
      <c r="B73" s="1" t="s">
        <v>292</v>
      </c>
      <c r="C73" s="117"/>
      <c r="D73" s="117"/>
      <c r="E73" s="195">
        <f t="shared" ref="E73:Z73" si="180">E9-E31-E53</f>
        <v>0</v>
      </c>
      <c r="F73" s="195">
        <f t="shared" si="180"/>
        <v>0</v>
      </c>
      <c r="G73" s="195">
        <f t="shared" si="180"/>
        <v>0</v>
      </c>
      <c r="H73" s="195">
        <f t="shared" si="180"/>
        <v>252252</v>
      </c>
      <c r="I73" s="195">
        <f t="shared" si="180"/>
        <v>194696.9476</v>
      </c>
      <c r="J73" s="195">
        <f t="shared" si="180"/>
        <v>191225.0244</v>
      </c>
      <c r="K73" s="195">
        <f t="shared" si="180"/>
        <v>605230.517</v>
      </c>
      <c r="L73" s="195">
        <f t="shared" si="180"/>
        <v>793641.2768</v>
      </c>
      <c r="M73" s="195">
        <f t="shared" si="180"/>
        <v>0</v>
      </c>
      <c r="N73" s="195">
        <f t="shared" si="180"/>
        <v>0</v>
      </c>
      <c r="O73" s="195">
        <f t="shared" si="180"/>
        <v>0</v>
      </c>
      <c r="P73" s="195">
        <f t="shared" si="180"/>
        <v>0</v>
      </c>
      <c r="Q73" s="195">
        <f t="shared" si="180"/>
        <v>0</v>
      </c>
      <c r="R73" s="195">
        <f t="shared" si="180"/>
        <v>0</v>
      </c>
      <c r="S73" s="195">
        <f t="shared" si="180"/>
        <v>0</v>
      </c>
      <c r="T73" s="195">
        <f t="shared" si="180"/>
        <v>0</v>
      </c>
      <c r="U73" s="195">
        <f t="shared" si="180"/>
        <v>0</v>
      </c>
      <c r="V73" s="195">
        <f t="shared" si="180"/>
        <v>0</v>
      </c>
      <c r="W73" s="195">
        <f t="shared" si="180"/>
        <v>0</v>
      </c>
      <c r="X73" s="195">
        <f t="shared" si="180"/>
        <v>0</v>
      </c>
      <c r="Y73" s="195">
        <f t="shared" si="180"/>
        <v>0</v>
      </c>
      <c r="Z73" s="195">
        <f t="shared" si="180"/>
        <v>0</v>
      </c>
      <c r="AA73" s="1"/>
      <c r="AB73" s="1"/>
      <c r="AC73" s="1" t="s">
        <v>298</v>
      </c>
      <c r="AD73" s="1" t="s">
        <v>345</v>
      </c>
      <c r="AE73" s="212"/>
      <c r="AF73" s="197">
        <f t="shared" ref="AF73:AP73" si="181">IF(YEAR(AF$21)=YEAR($AP$2),$AB$62,IF(YEAR(AF$21)=YEAR($AP$2)+1,$AB$63,IF(YEAR(AF$21)=YEAR($AP$2)+2,$AB$64,IF(YEAR(AF$21)=YEAR($AP$2)+3,$AB$65,IF(YEAR(AF$21)=YEAR($AP$2)+4,$AB$66,$AB$67)))))</f>
        <v>0.05</v>
      </c>
      <c r="AG73" s="197">
        <f t="shared" si="181"/>
        <v>0.05</v>
      </c>
      <c r="AH73" s="197">
        <f t="shared" si="181"/>
        <v>0.05</v>
      </c>
      <c r="AI73" s="197">
        <f t="shared" si="181"/>
        <v>0.05</v>
      </c>
      <c r="AJ73" s="197">
        <f t="shared" si="181"/>
        <v>0.05</v>
      </c>
      <c r="AK73" s="197">
        <f t="shared" si="181"/>
        <v>0.05</v>
      </c>
      <c r="AL73" s="197">
        <f t="shared" si="181"/>
        <v>0.05</v>
      </c>
      <c r="AM73" s="197">
        <f t="shared" si="181"/>
        <v>0.05</v>
      </c>
      <c r="AN73" s="197">
        <f t="shared" si="181"/>
        <v>0.05</v>
      </c>
      <c r="AO73" s="197">
        <f t="shared" si="181"/>
        <v>0.05</v>
      </c>
      <c r="AP73" s="197">
        <f t="shared" si="181"/>
        <v>0.05</v>
      </c>
      <c r="AQ73" s="197">
        <f t="shared" ref="AQ73:AZ73" si="182">IF(YEAR(AQ$21)=YEAR($AP$2),$AB$62,IF(YEAR(AQ$21)=YEAR($AP$2)+1,$AB$63,IF(YEAR(AQ$21)=YEAR($AP$2)+2,$AB$64,IF(YEAR(AQ$21)=YEAR($AP$2)+3,$AB$65,IF(YEAR(AQ$21)=YEAR($AP$2)+4,$AB$28,$AB$29)))))</f>
        <v>0.06</v>
      </c>
      <c r="AR73" s="197">
        <f t="shared" si="182"/>
        <v>0.06</v>
      </c>
      <c r="AS73" s="197">
        <f t="shared" si="182"/>
        <v>0.06</v>
      </c>
      <c r="AT73" s="197">
        <f t="shared" si="182"/>
        <v>0.9052</v>
      </c>
      <c r="AU73" s="197">
        <f t="shared" si="182"/>
        <v>0.2283</v>
      </c>
      <c r="AV73" s="197">
        <f t="shared" si="182"/>
        <v>0.1265</v>
      </c>
      <c r="AW73" s="197">
        <f t="shared" si="182"/>
        <v>-0.158</v>
      </c>
      <c r="AX73" s="197">
        <f t="shared" si="182"/>
        <v>0.117</v>
      </c>
      <c r="AY73" s="197">
        <f t="shared" si="182"/>
        <v>0.06</v>
      </c>
      <c r="AZ73" s="197">
        <f t="shared" si="182"/>
        <v>0.06</v>
      </c>
      <c r="BA73" s="197"/>
      <c r="BB73" s="197"/>
      <c r="BC73" s="197"/>
    </row>
    <row r="74" ht="15.75" customHeight="1">
      <c r="A74" s="117"/>
      <c r="B74" s="1" t="s">
        <v>293</v>
      </c>
      <c r="C74" s="117"/>
      <c r="D74" s="117"/>
      <c r="E74" s="195">
        <f t="shared" ref="E74:Z74" si="183">E10-E32-E54</f>
        <v>0</v>
      </c>
      <c r="F74" s="195">
        <f t="shared" si="183"/>
        <v>0</v>
      </c>
      <c r="G74" s="195">
        <f t="shared" si="183"/>
        <v>0</v>
      </c>
      <c r="H74" s="195">
        <f t="shared" si="183"/>
        <v>0</v>
      </c>
      <c r="I74" s="195">
        <f t="shared" si="183"/>
        <v>0</v>
      </c>
      <c r="J74" s="195">
        <f t="shared" si="183"/>
        <v>248912</v>
      </c>
      <c r="K74" s="195">
        <f t="shared" si="183"/>
        <v>190608.3312</v>
      </c>
      <c r="L74" s="195">
        <f t="shared" si="183"/>
        <v>190668.5351</v>
      </c>
      <c r="M74" s="195">
        <f t="shared" si="183"/>
        <v>616113.547</v>
      </c>
      <c r="N74" s="195">
        <f t="shared" si="183"/>
        <v>805732.4643</v>
      </c>
      <c r="O74" s="195">
        <f t="shared" si="183"/>
        <v>0</v>
      </c>
      <c r="P74" s="195">
        <f t="shared" si="183"/>
        <v>0</v>
      </c>
      <c r="Q74" s="195">
        <f t="shared" si="183"/>
        <v>0</v>
      </c>
      <c r="R74" s="195">
        <f t="shared" si="183"/>
        <v>0</v>
      </c>
      <c r="S74" s="195">
        <f t="shared" si="183"/>
        <v>0</v>
      </c>
      <c r="T74" s="195">
        <f t="shared" si="183"/>
        <v>0</v>
      </c>
      <c r="U74" s="195">
        <f t="shared" si="183"/>
        <v>0</v>
      </c>
      <c r="V74" s="195">
        <f t="shared" si="183"/>
        <v>0</v>
      </c>
      <c r="W74" s="195">
        <f t="shared" si="183"/>
        <v>0</v>
      </c>
      <c r="X74" s="195">
        <f t="shared" si="183"/>
        <v>0</v>
      </c>
      <c r="Y74" s="195">
        <f t="shared" si="183"/>
        <v>0</v>
      </c>
      <c r="Z74" s="195">
        <f t="shared" si="183"/>
        <v>0</v>
      </c>
      <c r="AA74" s="1"/>
      <c r="AB74" s="1"/>
      <c r="AC74" s="1" t="s">
        <v>299</v>
      </c>
      <c r="AD74" s="1" t="s">
        <v>345</v>
      </c>
      <c r="AE74" s="212"/>
      <c r="AF74" s="197">
        <f t="shared" ref="AF74:AP74" si="184">IF(YEAR(AF$21)=YEAR($AQ$2),$AB$62,IF(YEAR(AF$21)=YEAR($AQ$2)+1,$AB$63,IF(YEAR(AF$21)=YEAR($AQ$2)+2,$AB$64,IF(YEAR(AF$21)=YEAR($AQ$2)+3,$AB$65,IF(YEAR(AF$21)=YEAR($AQ$2)+4,$AB$66,$AB$67)))))</f>
        <v>0.05</v>
      </c>
      <c r="AG74" s="197">
        <f t="shared" si="184"/>
        <v>0.05</v>
      </c>
      <c r="AH74" s="197">
        <f t="shared" si="184"/>
        <v>0.05</v>
      </c>
      <c r="AI74" s="197">
        <f t="shared" si="184"/>
        <v>0.05</v>
      </c>
      <c r="AJ74" s="197">
        <f t="shared" si="184"/>
        <v>0.05</v>
      </c>
      <c r="AK74" s="197">
        <f t="shared" si="184"/>
        <v>0.05</v>
      </c>
      <c r="AL74" s="197">
        <f t="shared" si="184"/>
        <v>0.05</v>
      </c>
      <c r="AM74" s="197">
        <f t="shared" si="184"/>
        <v>0.05</v>
      </c>
      <c r="AN74" s="197">
        <f t="shared" si="184"/>
        <v>0.05</v>
      </c>
      <c r="AO74" s="197">
        <f t="shared" si="184"/>
        <v>0.05</v>
      </c>
      <c r="AP74" s="197">
        <f t="shared" si="184"/>
        <v>0.05</v>
      </c>
      <c r="AQ74" s="197">
        <f t="shared" ref="AQ74:AZ74" si="185">IF(YEAR(AQ$21)=YEAR($AQ$2),$AB$62,IF(YEAR(AQ$21)=YEAR($AQ$2)+1,$AB$63,IF(YEAR(AQ$21)=YEAR($AQ$2)+2,$AB$64,IF(YEAR(AQ$21)=YEAR($AQ$2)+3,$AB$65,IF(YEAR(AQ$21)=YEAR($AQ$2)+4,$AB$28,$AB$29)))))</f>
        <v>0.06</v>
      </c>
      <c r="AR74" s="197">
        <f t="shared" si="185"/>
        <v>0.06</v>
      </c>
      <c r="AS74" s="197">
        <f t="shared" si="185"/>
        <v>0.06</v>
      </c>
      <c r="AT74" s="197">
        <f t="shared" si="185"/>
        <v>0.06</v>
      </c>
      <c r="AU74" s="197">
        <f t="shared" si="185"/>
        <v>0.06</v>
      </c>
      <c r="AV74" s="197">
        <f t="shared" si="185"/>
        <v>0.9052</v>
      </c>
      <c r="AW74" s="197">
        <f t="shared" si="185"/>
        <v>0.2283</v>
      </c>
      <c r="AX74" s="197">
        <f t="shared" si="185"/>
        <v>0.1265</v>
      </c>
      <c r="AY74" s="197">
        <f t="shared" si="185"/>
        <v>-0.158</v>
      </c>
      <c r="AZ74" s="197">
        <f t="shared" si="185"/>
        <v>0.117</v>
      </c>
      <c r="BA74" s="197"/>
      <c r="BB74" s="197"/>
      <c r="BC74" s="197"/>
    </row>
    <row r="75" ht="15.75" customHeight="1">
      <c r="A75" s="117"/>
      <c r="B75" s="1" t="s">
        <v>294</v>
      </c>
      <c r="C75" s="117"/>
      <c r="D75" s="117"/>
      <c r="E75" s="195">
        <f t="shared" ref="E75:Z75" si="186">E11-E33-E55</f>
        <v>0</v>
      </c>
      <c r="F75" s="195">
        <f t="shared" si="186"/>
        <v>0</v>
      </c>
      <c r="G75" s="195">
        <f t="shared" si="186"/>
        <v>0</v>
      </c>
      <c r="H75" s="195">
        <f t="shared" si="186"/>
        <v>0</v>
      </c>
      <c r="I75" s="195">
        <f t="shared" si="186"/>
        <v>0</v>
      </c>
      <c r="J75" s="195">
        <f t="shared" si="186"/>
        <v>0</v>
      </c>
      <c r="K75" s="195">
        <f t="shared" si="186"/>
        <v>0</v>
      </c>
      <c r="L75" s="195">
        <f t="shared" si="186"/>
        <v>565784</v>
      </c>
      <c r="M75" s="195">
        <f t="shared" si="186"/>
        <v>464673.3896</v>
      </c>
      <c r="N75" s="195">
        <f t="shared" si="186"/>
        <v>469951.9573</v>
      </c>
      <c r="O75" s="195">
        <f t="shared" si="186"/>
        <v>1291705.37</v>
      </c>
      <c r="P75" s="195">
        <f t="shared" si="186"/>
        <v>1672735.821</v>
      </c>
      <c r="Q75" s="195">
        <f t="shared" si="186"/>
        <v>0</v>
      </c>
      <c r="R75" s="195">
        <f t="shared" si="186"/>
        <v>0</v>
      </c>
      <c r="S75" s="195">
        <f t="shared" si="186"/>
        <v>0</v>
      </c>
      <c r="T75" s="195">
        <f t="shared" si="186"/>
        <v>0</v>
      </c>
      <c r="U75" s="195">
        <f t="shared" si="186"/>
        <v>0</v>
      </c>
      <c r="V75" s="195">
        <f t="shared" si="186"/>
        <v>0</v>
      </c>
      <c r="W75" s="195">
        <f t="shared" si="186"/>
        <v>0</v>
      </c>
      <c r="X75" s="195">
        <f t="shared" si="186"/>
        <v>0</v>
      </c>
      <c r="Y75" s="195">
        <f t="shared" si="186"/>
        <v>0</v>
      </c>
      <c r="Z75" s="195">
        <f t="shared" si="186"/>
        <v>0</v>
      </c>
      <c r="AA75" s="1"/>
      <c r="AB75" s="1"/>
      <c r="AC75" s="1" t="s">
        <v>300</v>
      </c>
      <c r="AD75" s="1" t="s">
        <v>345</v>
      </c>
      <c r="AE75" s="212"/>
      <c r="AF75" s="197">
        <f t="shared" ref="AF75:AP75" si="187">IF(YEAR(AF$21)=YEAR($AR$2),$AB$62,IF(YEAR(AF$21)=YEAR($AR$2)+1,$AB$63,IF(YEAR(AF$21)=YEAR($AR$2)+2,$AB$64,IF(YEAR(AF$21)=YEAR($AR$2)+3,$AB$65,IF(YEAR(AF$21)=YEAR($AR$2)+4,$AB$66,$AB$67)))))</f>
        <v>0.05</v>
      </c>
      <c r="AG75" s="197">
        <f t="shared" si="187"/>
        <v>0.05</v>
      </c>
      <c r="AH75" s="197">
        <f t="shared" si="187"/>
        <v>0.05</v>
      </c>
      <c r="AI75" s="197">
        <f t="shared" si="187"/>
        <v>0.05</v>
      </c>
      <c r="AJ75" s="197">
        <f t="shared" si="187"/>
        <v>0.05</v>
      </c>
      <c r="AK75" s="197">
        <f t="shared" si="187"/>
        <v>0.05</v>
      </c>
      <c r="AL75" s="197">
        <f t="shared" si="187"/>
        <v>0.05</v>
      </c>
      <c r="AM75" s="197">
        <f t="shared" si="187"/>
        <v>0.05</v>
      </c>
      <c r="AN75" s="197">
        <f t="shared" si="187"/>
        <v>0.05</v>
      </c>
      <c r="AO75" s="197">
        <f t="shared" si="187"/>
        <v>0.05</v>
      </c>
      <c r="AP75" s="197">
        <f t="shared" si="187"/>
        <v>0.05</v>
      </c>
      <c r="AQ75" s="197">
        <f t="shared" ref="AQ75:AZ75" si="188">IF(YEAR(AQ$21)=YEAR($AR$2),$AB$62,IF(YEAR(AQ$21)=YEAR($AR$2)+1,$AB$63,IF(YEAR(AQ$21)=YEAR($AR$2)+2,$AB$64,IF(YEAR(AQ$21)=YEAR($AR$2)+3,$AB$65,IF(YEAR(AQ$21)=YEAR($AR$2)+4,$AB$28,$AB$29)))))</f>
        <v>0.06</v>
      </c>
      <c r="AR75" s="197">
        <f t="shared" si="188"/>
        <v>0.06</v>
      </c>
      <c r="AS75" s="197">
        <f t="shared" si="188"/>
        <v>0.06</v>
      </c>
      <c r="AT75" s="197">
        <f t="shared" si="188"/>
        <v>0.06</v>
      </c>
      <c r="AU75" s="197">
        <f t="shared" si="188"/>
        <v>0.06</v>
      </c>
      <c r="AV75" s="197">
        <f t="shared" si="188"/>
        <v>0.06</v>
      </c>
      <c r="AW75" s="197">
        <f t="shared" si="188"/>
        <v>0.06</v>
      </c>
      <c r="AX75" s="197">
        <f t="shared" si="188"/>
        <v>0.9052</v>
      </c>
      <c r="AY75" s="197">
        <f t="shared" si="188"/>
        <v>0.2283</v>
      </c>
      <c r="AZ75" s="197">
        <f t="shared" si="188"/>
        <v>0.1265</v>
      </c>
      <c r="BA75" s="197"/>
      <c r="BB75" s="197"/>
      <c r="BC75" s="197"/>
    </row>
    <row r="76" ht="15.75" customHeight="1">
      <c r="A76" s="117"/>
      <c r="B76" s="1" t="s">
        <v>295</v>
      </c>
      <c r="C76" s="117"/>
      <c r="D76" s="117"/>
      <c r="E76" s="195">
        <f t="shared" ref="E76:Z76" si="189">E12-E34-E56</f>
        <v>0</v>
      </c>
      <c r="F76" s="195">
        <f t="shared" si="189"/>
        <v>0</v>
      </c>
      <c r="G76" s="195">
        <f t="shared" si="189"/>
        <v>0</v>
      </c>
      <c r="H76" s="195">
        <f t="shared" si="189"/>
        <v>0</v>
      </c>
      <c r="I76" s="195">
        <f t="shared" si="189"/>
        <v>0</v>
      </c>
      <c r="J76" s="195">
        <f t="shared" si="189"/>
        <v>0</v>
      </c>
      <c r="K76" s="195">
        <f t="shared" si="189"/>
        <v>0</v>
      </c>
      <c r="L76" s="195">
        <f t="shared" si="189"/>
        <v>0</v>
      </c>
      <c r="M76" s="195">
        <f t="shared" si="189"/>
        <v>0</v>
      </c>
      <c r="N76" s="195">
        <f t="shared" si="189"/>
        <v>537330</v>
      </c>
      <c r="O76" s="195">
        <f t="shared" si="189"/>
        <v>372199.919</v>
      </c>
      <c r="P76" s="195">
        <f t="shared" si="189"/>
        <v>365902.7291</v>
      </c>
      <c r="Q76" s="195">
        <f t="shared" si="189"/>
        <v>1465936.022</v>
      </c>
      <c r="R76" s="195">
        <f t="shared" si="189"/>
        <v>1637450.537</v>
      </c>
      <c r="S76" s="195">
        <f t="shared" si="189"/>
        <v>0</v>
      </c>
      <c r="T76" s="195">
        <f t="shared" si="189"/>
        <v>0</v>
      </c>
      <c r="U76" s="195">
        <f t="shared" si="189"/>
        <v>0</v>
      </c>
      <c r="V76" s="195">
        <f t="shared" si="189"/>
        <v>0</v>
      </c>
      <c r="W76" s="195">
        <f t="shared" si="189"/>
        <v>0</v>
      </c>
      <c r="X76" s="195">
        <f t="shared" si="189"/>
        <v>0</v>
      </c>
      <c r="Y76" s="195">
        <f t="shared" si="189"/>
        <v>0</v>
      </c>
      <c r="Z76" s="195">
        <f t="shared" si="189"/>
        <v>0</v>
      </c>
      <c r="AA76" s="1"/>
      <c r="AB76" s="1"/>
      <c r="AC76" s="1" t="s">
        <v>301</v>
      </c>
      <c r="AD76" s="1" t="s">
        <v>345</v>
      </c>
      <c r="AE76" s="212"/>
      <c r="AF76" s="197">
        <f t="shared" ref="AF76:AP76" si="190">IF(YEAR(AF$21)=YEAR($AS$2),$AB$62,IF(YEAR(AF$21)=YEAR($AS$2)+1,$AB$63,IF(YEAR(AF$21)=YEAR($AS$2)+2,$AB$64,IF(YEAR(AF$21)=YEAR($AS$2)+3,$AB$65,IF(YEAR(AF$21)=YEAR($AS$2)+4,$AB$66,$AB$67)))))</f>
        <v>0.05</v>
      </c>
      <c r="AG76" s="197">
        <f t="shared" si="190"/>
        <v>0.05</v>
      </c>
      <c r="AH76" s="197">
        <f t="shared" si="190"/>
        <v>0.05</v>
      </c>
      <c r="AI76" s="197">
        <f t="shared" si="190"/>
        <v>0.05</v>
      </c>
      <c r="AJ76" s="197">
        <f t="shared" si="190"/>
        <v>0.05</v>
      </c>
      <c r="AK76" s="197">
        <f t="shared" si="190"/>
        <v>0.05</v>
      </c>
      <c r="AL76" s="197">
        <f t="shared" si="190"/>
        <v>0.05</v>
      </c>
      <c r="AM76" s="197">
        <f t="shared" si="190"/>
        <v>0.05</v>
      </c>
      <c r="AN76" s="197">
        <f t="shared" si="190"/>
        <v>0.05</v>
      </c>
      <c r="AO76" s="197">
        <f t="shared" si="190"/>
        <v>0.05</v>
      </c>
      <c r="AP76" s="197">
        <f t="shared" si="190"/>
        <v>0.05</v>
      </c>
      <c r="AQ76" s="197">
        <f t="shared" ref="AQ76:AZ76" si="191">IF(YEAR(AQ$21)=YEAR($AS$2),$AB$62,IF(YEAR(AQ$21)=YEAR($AS$2)+1,$AB$63,IF(YEAR(AQ$21)=YEAR($AS$2)+2,$AB$64,IF(YEAR(AQ$21)=YEAR($AS$2)+3,$AB$65,IF(YEAR(AQ$21)=YEAR($AS$2)+4,$AB$28,$AB$29)))))</f>
        <v>0.06</v>
      </c>
      <c r="AR76" s="197">
        <f t="shared" si="191"/>
        <v>0.06</v>
      </c>
      <c r="AS76" s="197">
        <f t="shared" si="191"/>
        <v>0.06</v>
      </c>
      <c r="AT76" s="197">
        <f t="shared" si="191"/>
        <v>0.06</v>
      </c>
      <c r="AU76" s="197">
        <f t="shared" si="191"/>
        <v>0.06</v>
      </c>
      <c r="AV76" s="197">
        <f t="shared" si="191"/>
        <v>0.06</v>
      </c>
      <c r="AW76" s="197">
        <f t="shared" si="191"/>
        <v>0.06</v>
      </c>
      <c r="AX76" s="197">
        <f t="shared" si="191"/>
        <v>0.06</v>
      </c>
      <c r="AY76" s="197">
        <f t="shared" si="191"/>
        <v>0.06</v>
      </c>
      <c r="AZ76" s="197">
        <f t="shared" si="191"/>
        <v>0.9052</v>
      </c>
      <c r="BA76" s="197"/>
      <c r="BB76" s="197"/>
      <c r="BC76" s="197"/>
    </row>
    <row r="77" ht="15.75" customHeight="1">
      <c r="A77" s="117"/>
      <c r="B77" s="1" t="s">
        <v>296</v>
      </c>
      <c r="C77" s="117"/>
      <c r="D77" s="117"/>
      <c r="E77" s="195">
        <f t="shared" ref="E77:Z77" si="192">E13-E35-E57</f>
        <v>0</v>
      </c>
      <c r="F77" s="195">
        <f t="shared" si="192"/>
        <v>0</v>
      </c>
      <c r="G77" s="195">
        <f t="shared" si="192"/>
        <v>0</v>
      </c>
      <c r="H77" s="195">
        <f t="shared" si="192"/>
        <v>0</v>
      </c>
      <c r="I77" s="195">
        <f t="shared" si="192"/>
        <v>0</v>
      </c>
      <c r="J77" s="195">
        <f t="shared" si="192"/>
        <v>0</v>
      </c>
      <c r="K77" s="195">
        <f t="shared" si="192"/>
        <v>0</v>
      </c>
      <c r="L77" s="195">
        <f t="shared" si="192"/>
        <v>0</v>
      </c>
      <c r="M77" s="195">
        <f t="shared" si="192"/>
        <v>0</v>
      </c>
      <c r="N77" s="195">
        <f t="shared" si="192"/>
        <v>0</v>
      </c>
      <c r="O77" s="195">
        <f t="shared" si="192"/>
        <v>0</v>
      </c>
      <c r="P77" s="195">
        <f t="shared" si="192"/>
        <v>435596</v>
      </c>
      <c r="Q77" s="195">
        <f t="shared" si="192"/>
        <v>333564.5796</v>
      </c>
      <c r="R77" s="195">
        <f t="shared" si="192"/>
        <v>333669.9365</v>
      </c>
      <c r="S77" s="195">
        <f t="shared" si="192"/>
        <v>1078198.707</v>
      </c>
      <c r="T77" s="195">
        <f t="shared" si="192"/>
        <v>1204347.956</v>
      </c>
      <c r="U77" s="195">
        <f t="shared" si="192"/>
        <v>0</v>
      </c>
      <c r="V77" s="195">
        <f t="shared" si="192"/>
        <v>0</v>
      </c>
      <c r="W77" s="195">
        <f t="shared" si="192"/>
        <v>0</v>
      </c>
      <c r="X77" s="195">
        <f t="shared" si="192"/>
        <v>0</v>
      </c>
      <c r="Y77" s="195">
        <f t="shared" si="192"/>
        <v>0</v>
      </c>
      <c r="Z77" s="195">
        <f t="shared" si="192"/>
        <v>0</v>
      </c>
      <c r="AA77" s="1"/>
      <c r="AB77" s="1"/>
      <c r="AC77" s="1" t="s">
        <v>302</v>
      </c>
      <c r="AD77" s="1" t="s">
        <v>345</v>
      </c>
      <c r="AE77" s="212"/>
      <c r="AF77" s="197">
        <f t="shared" ref="AF77:AP77" si="193">IF(YEAR(AF$21)=YEAR($AT$2),$AB$62,IF(YEAR(AF$21)=YEAR($AT$2)+1,$AB$63,IF(YEAR(AF$21)=YEAR($AT$2)+2,$AB$64,IF(YEAR(AF$21)=YEAR($AT$2)+3,$AB$65,IF(YEAR(AF$21)=YEAR($AT$2)+4,$AB$66,$AB$67)))))</f>
        <v>0.05</v>
      </c>
      <c r="AG77" s="197">
        <f t="shared" si="193"/>
        <v>0.05</v>
      </c>
      <c r="AH77" s="197">
        <f t="shared" si="193"/>
        <v>0.05</v>
      </c>
      <c r="AI77" s="197">
        <f t="shared" si="193"/>
        <v>0.05</v>
      </c>
      <c r="AJ77" s="197">
        <f t="shared" si="193"/>
        <v>0.05</v>
      </c>
      <c r="AK77" s="197">
        <f t="shared" si="193"/>
        <v>0.05</v>
      </c>
      <c r="AL77" s="197">
        <f t="shared" si="193"/>
        <v>0.05</v>
      </c>
      <c r="AM77" s="197">
        <f t="shared" si="193"/>
        <v>0.05</v>
      </c>
      <c r="AN77" s="197">
        <f t="shared" si="193"/>
        <v>0.05</v>
      </c>
      <c r="AO77" s="197">
        <f t="shared" si="193"/>
        <v>0.05</v>
      </c>
      <c r="AP77" s="197">
        <f t="shared" si="193"/>
        <v>0.05</v>
      </c>
      <c r="AQ77" s="197">
        <f t="shared" ref="AQ77:AZ77" si="194">IF(YEAR(AQ$21)=YEAR($AT$2),$AB$62,IF(YEAR(AQ$21)=YEAR($AT$2)+1,$AB$63,IF(YEAR(AQ$21)=YEAR($AT$2)+2,$AB$64,IF(YEAR(AQ$21)=YEAR($AT$2)+3,$AB$65,IF(YEAR(AQ$21)=YEAR($AT$2)+4,$AB$28,$AB$29)))))</f>
        <v>0.06</v>
      </c>
      <c r="AR77" s="197">
        <f t="shared" si="194"/>
        <v>0.06</v>
      </c>
      <c r="AS77" s="197">
        <f t="shared" si="194"/>
        <v>0.06</v>
      </c>
      <c r="AT77" s="197">
        <f t="shared" si="194"/>
        <v>0.06</v>
      </c>
      <c r="AU77" s="197">
        <f t="shared" si="194"/>
        <v>0.06</v>
      </c>
      <c r="AV77" s="197">
        <f t="shared" si="194"/>
        <v>0.06</v>
      </c>
      <c r="AW77" s="197">
        <f t="shared" si="194"/>
        <v>0.06</v>
      </c>
      <c r="AX77" s="197">
        <f t="shared" si="194"/>
        <v>0.06</v>
      </c>
      <c r="AY77" s="197">
        <f t="shared" si="194"/>
        <v>0.06</v>
      </c>
      <c r="AZ77" s="197">
        <f t="shared" si="194"/>
        <v>0.06</v>
      </c>
      <c r="BA77" s="197"/>
      <c r="BB77" s="197"/>
      <c r="BC77" s="197"/>
    </row>
    <row r="78" ht="15.75" customHeight="1">
      <c r="A78" s="117"/>
      <c r="B78" s="1" t="s">
        <v>297</v>
      </c>
      <c r="C78" s="117"/>
      <c r="D78" s="117"/>
      <c r="E78" s="195">
        <f t="shared" ref="E78:Z78" si="195">E14-E36-E58</f>
        <v>0</v>
      </c>
      <c r="F78" s="195">
        <f t="shared" si="195"/>
        <v>0</v>
      </c>
      <c r="G78" s="195">
        <f t="shared" si="195"/>
        <v>0</v>
      </c>
      <c r="H78" s="195">
        <f t="shared" si="195"/>
        <v>0</v>
      </c>
      <c r="I78" s="195">
        <f t="shared" si="195"/>
        <v>0</v>
      </c>
      <c r="J78" s="195">
        <f t="shared" si="195"/>
        <v>0</v>
      </c>
      <c r="K78" s="195">
        <f t="shared" si="195"/>
        <v>0</v>
      </c>
      <c r="L78" s="195">
        <f t="shared" si="195"/>
        <v>0</v>
      </c>
      <c r="M78" s="195">
        <f t="shared" si="195"/>
        <v>0</v>
      </c>
      <c r="N78" s="195">
        <f t="shared" si="195"/>
        <v>0</v>
      </c>
      <c r="O78" s="195">
        <f t="shared" si="195"/>
        <v>0</v>
      </c>
      <c r="P78" s="195">
        <f t="shared" si="195"/>
        <v>0</v>
      </c>
      <c r="Q78" s="195">
        <f t="shared" si="195"/>
        <v>0</v>
      </c>
      <c r="R78" s="195">
        <f t="shared" si="195"/>
        <v>759108</v>
      </c>
      <c r="S78" s="195">
        <f t="shared" si="195"/>
        <v>587049.3324</v>
      </c>
      <c r="T78" s="195">
        <f t="shared" si="195"/>
        <v>597254.4973</v>
      </c>
      <c r="U78" s="195">
        <f t="shared" si="195"/>
        <v>1892303.396</v>
      </c>
      <c r="V78" s="195">
        <f t="shared" si="195"/>
        <v>1267430.876</v>
      </c>
      <c r="W78" s="195">
        <f t="shared" si="195"/>
        <v>0</v>
      </c>
      <c r="X78" s="195">
        <f t="shared" si="195"/>
        <v>0</v>
      </c>
      <c r="Y78" s="195">
        <f t="shared" si="195"/>
        <v>0</v>
      </c>
      <c r="Z78" s="195">
        <f t="shared" si="195"/>
        <v>0</v>
      </c>
      <c r="AA78" s="1"/>
      <c r="AB78" s="1"/>
      <c r="AC78" s="1" t="s">
        <v>303</v>
      </c>
      <c r="AD78" s="1" t="s">
        <v>345</v>
      </c>
      <c r="AE78" s="212"/>
      <c r="AF78" s="197">
        <f t="shared" ref="AF78:AP78" si="196">IF(YEAR(AF$21)=YEAR($AU$2),$AB$62,IF(YEAR(AF$21)=YEAR($AU$2)+1,$AB$63,IF(YEAR(AF$21)=YEAR($AU$2)+2,$AB$64,IF(YEAR(AF$21)=YEAR($AU$2)+3,$AB$65,IF(YEAR(AF$21)=YEAR($AU$2)+4,$AB$66,$AB$67)))))</f>
        <v>0.05</v>
      </c>
      <c r="AG78" s="197">
        <f t="shared" si="196"/>
        <v>0.05</v>
      </c>
      <c r="AH78" s="197">
        <f t="shared" si="196"/>
        <v>0.05</v>
      </c>
      <c r="AI78" s="197">
        <f t="shared" si="196"/>
        <v>0.05</v>
      </c>
      <c r="AJ78" s="197">
        <f t="shared" si="196"/>
        <v>0.05</v>
      </c>
      <c r="AK78" s="197">
        <f t="shared" si="196"/>
        <v>0.05</v>
      </c>
      <c r="AL78" s="197">
        <f t="shared" si="196"/>
        <v>0.05</v>
      </c>
      <c r="AM78" s="197">
        <f t="shared" si="196"/>
        <v>0.05</v>
      </c>
      <c r="AN78" s="197">
        <f t="shared" si="196"/>
        <v>0.05</v>
      </c>
      <c r="AO78" s="197">
        <f t="shared" si="196"/>
        <v>0.05</v>
      </c>
      <c r="AP78" s="197">
        <f t="shared" si="196"/>
        <v>0.05</v>
      </c>
      <c r="AQ78" s="197">
        <f t="shared" ref="AQ78:AZ78" si="197">IF(YEAR(AQ$21)=YEAR($AU$2),$AB$62,IF(YEAR(AQ$21)=YEAR($AU$2)+1,$AB$63,IF(YEAR(AQ$21)=YEAR($AU$2)+2,$AB$64,IF(YEAR(AQ$21)=YEAR($AU$2)+3,$AB$65,IF(YEAR(AQ$21)=YEAR($AU$2)+4,$AB$28,$AB$29)))))</f>
        <v>0.06</v>
      </c>
      <c r="AR78" s="197">
        <f t="shared" si="197"/>
        <v>0.06</v>
      </c>
      <c r="AS78" s="197">
        <f t="shared" si="197"/>
        <v>0.06</v>
      </c>
      <c r="AT78" s="197">
        <f t="shared" si="197"/>
        <v>0.06</v>
      </c>
      <c r="AU78" s="197">
        <f t="shared" si="197"/>
        <v>0.06</v>
      </c>
      <c r="AV78" s="197">
        <f t="shared" si="197"/>
        <v>0.06</v>
      </c>
      <c r="AW78" s="197">
        <f t="shared" si="197"/>
        <v>0.06</v>
      </c>
      <c r="AX78" s="197">
        <f t="shared" si="197"/>
        <v>0.06</v>
      </c>
      <c r="AY78" s="197">
        <f t="shared" si="197"/>
        <v>0.06</v>
      </c>
      <c r="AZ78" s="197">
        <f t="shared" si="197"/>
        <v>0.06</v>
      </c>
      <c r="BA78" s="197"/>
      <c r="BB78" s="197"/>
      <c r="BC78" s="197"/>
    </row>
    <row r="79" ht="15.75" customHeight="1">
      <c r="A79" s="117"/>
      <c r="B79" s="1" t="s">
        <v>298</v>
      </c>
      <c r="C79" s="117"/>
      <c r="D79" s="117"/>
      <c r="E79" s="195">
        <f t="shared" ref="E79:Z79" si="198">E15-E37-E59</f>
        <v>0</v>
      </c>
      <c r="F79" s="195">
        <f t="shared" si="198"/>
        <v>0</v>
      </c>
      <c r="G79" s="195">
        <f t="shared" si="198"/>
        <v>0</v>
      </c>
      <c r="H79" s="195">
        <f t="shared" si="198"/>
        <v>0</v>
      </c>
      <c r="I79" s="195">
        <f t="shared" si="198"/>
        <v>0</v>
      </c>
      <c r="J79" s="195">
        <f t="shared" si="198"/>
        <v>0</v>
      </c>
      <c r="K79" s="195">
        <f t="shared" si="198"/>
        <v>0</v>
      </c>
      <c r="L79" s="195">
        <f t="shared" si="198"/>
        <v>0</v>
      </c>
      <c r="M79" s="195">
        <f t="shared" si="198"/>
        <v>0</v>
      </c>
      <c r="N79" s="195">
        <f t="shared" si="198"/>
        <v>0</v>
      </c>
      <c r="O79" s="195">
        <f t="shared" si="198"/>
        <v>0</v>
      </c>
      <c r="P79" s="195">
        <f t="shared" si="198"/>
        <v>0</v>
      </c>
      <c r="Q79" s="195">
        <f t="shared" si="198"/>
        <v>0</v>
      </c>
      <c r="R79" s="195">
        <f t="shared" si="198"/>
        <v>0</v>
      </c>
      <c r="S79" s="195">
        <f t="shared" si="198"/>
        <v>0</v>
      </c>
      <c r="T79" s="195">
        <f t="shared" si="198"/>
        <v>601809.6</v>
      </c>
      <c r="U79" s="195">
        <f t="shared" si="198"/>
        <v>416863.9093</v>
      </c>
      <c r="V79" s="195">
        <f t="shared" si="198"/>
        <v>409811.0566</v>
      </c>
      <c r="W79" s="195">
        <f t="shared" si="198"/>
        <v>1641848.345</v>
      </c>
      <c r="X79" s="195">
        <f t="shared" si="198"/>
        <v>1833944.601</v>
      </c>
      <c r="Y79" s="195">
        <f t="shared" si="198"/>
        <v>0</v>
      </c>
      <c r="Z79" s="195">
        <f t="shared" si="198"/>
        <v>0</v>
      </c>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row>
    <row r="80" ht="15.75" customHeight="1">
      <c r="A80" s="117"/>
      <c r="B80" s="1" t="s">
        <v>299</v>
      </c>
      <c r="C80" s="117"/>
      <c r="D80" s="117"/>
      <c r="E80" s="195">
        <f t="shared" ref="E80:Z80" si="199">E16-E38-E60</f>
        <v>0</v>
      </c>
      <c r="F80" s="195">
        <f t="shared" si="199"/>
        <v>0</v>
      </c>
      <c r="G80" s="195">
        <f t="shared" si="199"/>
        <v>0</v>
      </c>
      <c r="H80" s="195">
        <f t="shared" si="199"/>
        <v>0</v>
      </c>
      <c r="I80" s="195">
        <f t="shared" si="199"/>
        <v>0</v>
      </c>
      <c r="J80" s="195">
        <f t="shared" si="199"/>
        <v>0</v>
      </c>
      <c r="K80" s="195">
        <f t="shared" si="199"/>
        <v>0</v>
      </c>
      <c r="L80" s="195">
        <f t="shared" si="199"/>
        <v>0</v>
      </c>
      <c r="M80" s="195">
        <f t="shared" si="199"/>
        <v>0</v>
      </c>
      <c r="N80" s="195">
        <f t="shared" si="199"/>
        <v>0</v>
      </c>
      <c r="O80" s="195">
        <f t="shared" si="199"/>
        <v>0</v>
      </c>
      <c r="P80" s="195">
        <f t="shared" si="199"/>
        <v>0</v>
      </c>
      <c r="Q80" s="195">
        <f t="shared" si="199"/>
        <v>0</v>
      </c>
      <c r="R80" s="195">
        <f t="shared" si="199"/>
        <v>0</v>
      </c>
      <c r="S80" s="195">
        <f t="shared" si="199"/>
        <v>0</v>
      </c>
      <c r="T80" s="195">
        <f t="shared" si="199"/>
        <v>0</v>
      </c>
      <c r="U80" s="195">
        <f t="shared" si="199"/>
        <v>0</v>
      </c>
      <c r="V80" s="195">
        <f t="shared" si="199"/>
        <v>813912</v>
      </c>
      <c r="W80" s="195">
        <f t="shared" si="199"/>
        <v>654295.5576</v>
      </c>
      <c r="X80" s="195">
        <f t="shared" si="199"/>
        <v>652760.6843</v>
      </c>
      <c r="Y80" s="195">
        <f t="shared" si="199"/>
        <v>1050155.758</v>
      </c>
      <c r="Z80" s="195">
        <f t="shared" si="199"/>
        <v>424110.6922</v>
      </c>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1" ht="15.75" customHeight="1">
      <c r="A81" s="117"/>
      <c r="B81" s="1" t="s">
        <v>300</v>
      </c>
      <c r="C81" s="117"/>
      <c r="D81" s="117"/>
      <c r="E81" s="195">
        <f t="shared" ref="E81:Z81" si="200">E17-E39-E61</f>
        <v>0</v>
      </c>
      <c r="F81" s="195">
        <f t="shared" si="200"/>
        <v>0</v>
      </c>
      <c r="G81" s="195">
        <f t="shared" si="200"/>
        <v>0</v>
      </c>
      <c r="H81" s="195">
        <f t="shared" si="200"/>
        <v>0</v>
      </c>
      <c r="I81" s="195">
        <f t="shared" si="200"/>
        <v>0</v>
      </c>
      <c r="J81" s="195">
        <f t="shared" si="200"/>
        <v>0</v>
      </c>
      <c r="K81" s="195">
        <f t="shared" si="200"/>
        <v>0</v>
      </c>
      <c r="L81" s="195">
        <f t="shared" si="200"/>
        <v>0</v>
      </c>
      <c r="M81" s="195">
        <f t="shared" si="200"/>
        <v>0</v>
      </c>
      <c r="N81" s="195">
        <f t="shared" si="200"/>
        <v>0</v>
      </c>
      <c r="O81" s="195">
        <f t="shared" si="200"/>
        <v>0</v>
      </c>
      <c r="P81" s="195">
        <f t="shared" si="200"/>
        <v>0</v>
      </c>
      <c r="Q81" s="195">
        <f t="shared" si="200"/>
        <v>0</v>
      </c>
      <c r="R81" s="195">
        <f t="shared" si="200"/>
        <v>0</v>
      </c>
      <c r="S81" s="195">
        <f t="shared" si="200"/>
        <v>0</v>
      </c>
      <c r="T81" s="195">
        <f t="shared" si="200"/>
        <v>0</v>
      </c>
      <c r="U81" s="195">
        <f t="shared" si="200"/>
        <v>0</v>
      </c>
      <c r="V81" s="195">
        <f t="shared" si="200"/>
        <v>0</v>
      </c>
      <c r="W81" s="195">
        <f t="shared" si="200"/>
        <v>0</v>
      </c>
      <c r="X81" s="195">
        <f t="shared" si="200"/>
        <v>1071856</v>
      </c>
      <c r="Y81" s="195">
        <f t="shared" si="200"/>
        <v>856039.6112</v>
      </c>
      <c r="Z81" s="195">
        <f t="shared" si="200"/>
        <v>868121.6221</v>
      </c>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row>
    <row r="82" ht="15.75" customHeight="1">
      <c r="A82" s="117"/>
      <c r="B82" s="1" t="s">
        <v>301</v>
      </c>
      <c r="C82" s="117"/>
      <c r="D82" s="117"/>
      <c r="E82" s="195">
        <f t="shared" ref="E82:Z82" si="201">E18-E40-E62</f>
        <v>0</v>
      </c>
      <c r="F82" s="195">
        <f t="shared" si="201"/>
        <v>0</v>
      </c>
      <c r="G82" s="195">
        <f t="shared" si="201"/>
        <v>0</v>
      </c>
      <c r="H82" s="195">
        <f t="shared" si="201"/>
        <v>0</v>
      </c>
      <c r="I82" s="195">
        <f t="shared" si="201"/>
        <v>0</v>
      </c>
      <c r="J82" s="195">
        <f t="shared" si="201"/>
        <v>0</v>
      </c>
      <c r="K82" s="195">
        <f t="shared" si="201"/>
        <v>0</v>
      </c>
      <c r="L82" s="195">
        <f t="shared" si="201"/>
        <v>0</v>
      </c>
      <c r="M82" s="195">
        <f t="shared" si="201"/>
        <v>0</v>
      </c>
      <c r="N82" s="195">
        <f t="shared" si="201"/>
        <v>0</v>
      </c>
      <c r="O82" s="195">
        <f t="shared" si="201"/>
        <v>0</v>
      </c>
      <c r="P82" s="195">
        <f t="shared" si="201"/>
        <v>0</v>
      </c>
      <c r="Q82" s="195">
        <f t="shared" si="201"/>
        <v>0</v>
      </c>
      <c r="R82" s="195">
        <f t="shared" si="201"/>
        <v>0</v>
      </c>
      <c r="S82" s="195">
        <f t="shared" si="201"/>
        <v>0</v>
      </c>
      <c r="T82" s="195">
        <f t="shared" si="201"/>
        <v>0</v>
      </c>
      <c r="U82" s="195">
        <f t="shared" si="201"/>
        <v>0</v>
      </c>
      <c r="V82" s="195">
        <f t="shared" si="201"/>
        <v>0</v>
      </c>
      <c r="W82" s="195">
        <f t="shared" si="201"/>
        <v>0</v>
      </c>
      <c r="X82" s="195">
        <f t="shared" si="201"/>
        <v>0</v>
      </c>
      <c r="Y82" s="195">
        <f t="shared" si="201"/>
        <v>0</v>
      </c>
      <c r="Z82" s="195">
        <f t="shared" si="201"/>
        <v>644796</v>
      </c>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row>
    <row r="83" ht="15.75" customHeight="1">
      <c r="A83" s="117"/>
      <c r="B83" s="1" t="s">
        <v>302</v>
      </c>
      <c r="C83" s="117"/>
      <c r="D83" s="117"/>
      <c r="E83" s="195">
        <f t="shared" ref="E83:Z83" si="202">E19-E41-E63</f>
        <v>0</v>
      </c>
      <c r="F83" s="195">
        <f t="shared" si="202"/>
        <v>0</v>
      </c>
      <c r="G83" s="195">
        <f t="shared" si="202"/>
        <v>0</v>
      </c>
      <c r="H83" s="195">
        <f t="shared" si="202"/>
        <v>0</v>
      </c>
      <c r="I83" s="195">
        <f t="shared" si="202"/>
        <v>0</v>
      </c>
      <c r="J83" s="195">
        <f t="shared" si="202"/>
        <v>0</v>
      </c>
      <c r="K83" s="195">
        <f t="shared" si="202"/>
        <v>0</v>
      </c>
      <c r="L83" s="195">
        <f t="shared" si="202"/>
        <v>0</v>
      </c>
      <c r="M83" s="195">
        <f t="shared" si="202"/>
        <v>0</v>
      </c>
      <c r="N83" s="195">
        <f t="shared" si="202"/>
        <v>0</v>
      </c>
      <c r="O83" s="195">
        <f t="shared" si="202"/>
        <v>0</v>
      </c>
      <c r="P83" s="195">
        <f t="shared" si="202"/>
        <v>0</v>
      </c>
      <c r="Q83" s="195">
        <f t="shared" si="202"/>
        <v>0</v>
      </c>
      <c r="R83" s="195">
        <f t="shared" si="202"/>
        <v>0</v>
      </c>
      <c r="S83" s="195">
        <f t="shared" si="202"/>
        <v>0</v>
      </c>
      <c r="T83" s="195">
        <f t="shared" si="202"/>
        <v>0</v>
      </c>
      <c r="U83" s="195">
        <f t="shared" si="202"/>
        <v>0</v>
      </c>
      <c r="V83" s="195">
        <f t="shared" si="202"/>
        <v>0</v>
      </c>
      <c r="W83" s="195">
        <f t="shared" si="202"/>
        <v>0</v>
      </c>
      <c r="X83" s="195">
        <f t="shared" si="202"/>
        <v>0</v>
      </c>
      <c r="Y83" s="195">
        <f t="shared" si="202"/>
        <v>0</v>
      </c>
      <c r="Z83" s="195">
        <f t="shared" si="202"/>
        <v>0</v>
      </c>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row>
    <row r="84" ht="15.75" customHeight="1">
      <c r="A84" s="117"/>
      <c r="B84" s="1" t="s">
        <v>303</v>
      </c>
      <c r="C84" s="117"/>
      <c r="D84" s="117"/>
      <c r="E84" s="195">
        <f t="shared" ref="E84:Z84" si="203">E20-E42-E64</f>
        <v>0</v>
      </c>
      <c r="F84" s="195">
        <f t="shared" si="203"/>
        <v>0</v>
      </c>
      <c r="G84" s="195">
        <f t="shared" si="203"/>
        <v>0</v>
      </c>
      <c r="H84" s="195">
        <f t="shared" si="203"/>
        <v>0</v>
      </c>
      <c r="I84" s="195">
        <f t="shared" si="203"/>
        <v>0</v>
      </c>
      <c r="J84" s="195">
        <f t="shared" si="203"/>
        <v>0</v>
      </c>
      <c r="K84" s="195">
        <f t="shared" si="203"/>
        <v>0</v>
      </c>
      <c r="L84" s="195">
        <f t="shared" si="203"/>
        <v>0</v>
      </c>
      <c r="M84" s="195">
        <f t="shared" si="203"/>
        <v>0</v>
      </c>
      <c r="N84" s="195">
        <f t="shared" si="203"/>
        <v>0</v>
      </c>
      <c r="O84" s="195">
        <f t="shared" si="203"/>
        <v>0</v>
      </c>
      <c r="P84" s="195">
        <f t="shared" si="203"/>
        <v>0</v>
      </c>
      <c r="Q84" s="195">
        <f t="shared" si="203"/>
        <v>0</v>
      </c>
      <c r="R84" s="195">
        <f t="shared" si="203"/>
        <v>0</v>
      </c>
      <c r="S84" s="195">
        <f t="shared" si="203"/>
        <v>0</v>
      </c>
      <c r="T84" s="195">
        <f t="shared" si="203"/>
        <v>0</v>
      </c>
      <c r="U84" s="195">
        <f t="shared" si="203"/>
        <v>0</v>
      </c>
      <c r="V84" s="195">
        <f t="shared" si="203"/>
        <v>0</v>
      </c>
      <c r="W84" s="195">
        <f t="shared" si="203"/>
        <v>0</v>
      </c>
      <c r="X84" s="195">
        <f t="shared" si="203"/>
        <v>0</v>
      </c>
      <c r="Y84" s="195">
        <f t="shared" si="203"/>
        <v>0</v>
      </c>
      <c r="Z84" s="195">
        <f t="shared" si="203"/>
        <v>0</v>
      </c>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row>
    <row r="85" ht="15.75" customHeight="1">
      <c r="A85" s="117"/>
      <c r="B85" s="204" t="s">
        <v>106</v>
      </c>
      <c r="C85" s="205">
        <f t="shared" ref="C85:Z85" si="204">C21-C43-C65</f>
        <v>13930475</v>
      </c>
      <c r="D85" s="205">
        <f t="shared" si="204"/>
        <v>13641451</v>
      </c>
      <c r="E85" s="214">
        <f t="shared" si="204"/>
        <v>14881995.49</v>
      </c>
      <c r="F85" s="214">
        <f t="shared" si="204"/>
        <v>26498903.58</v>
      </c>
      <c r="G85" s="214">
        <f t="shared" si="204"/>
        <v>41132906.91</v>
      </c>
      <c r="H85" s="214">
        <f t="shared" si="204"/>
        <v>46859389.35</v>
      </c>
      <c r="I85" s="214">
        <f t="shared" si="204"/>
        <v>53365869.05</v>
      </c>
      <c r="J85" s="214">
        <f t="shared" si="204"/>
        <v>57205694.62</v>
      </c>
      <c r="K85" s="214">
        <f t="shared" si="204"/>
        <v>59904257.69</v>
      </c>
      <c r="L85" s="214">
        <f t="shared" si="204"/>
        <v>59457943.1</v>
      </c>
      <c r="M85" s="214">
        <f t="shared" si="204"/>
        <v>64683664.06</v>
      </c>
      <c r="N85" s="214">
        <f t="shared" si="204"/>
        <v>63678415.8</v>
      </c>
      <c r="O85" s="214">
        <f t="shared" si="204"/>
        <v>69487765.39</v>
      </c>
      <c r="P85" s="214">
        <f t="shared" si="204"/>
        <v>70662099.46</v>
      </c>
      <c r="Q85" s="214">
        <f t="shared" si="204"/>
        <v>76073552.61</v>
      </c>
      <c r="R85" s="214">
        <f t="shared" si="204"/>
        <v>75860988.19</v>
      </c>
      <c r="S85" s="214">
        <f t="shared" si="204"/>
        <v>80960036.52</v>
      </c>
      <c r="T85" s="214">
        <f t="shared" si="204"/>
        <v>81866217.76</v>
      </c>
      <c r="U85" s="214">
        <f t="shared" si="204"/>
        <v>88248704.1</v>
      </c>
      <c r="V85" s="214">
        <f t="shared" si="204"/>
        <v>88762548.77</v>
      </c>
      <c r="W85" s="214">
        <f t="shared" si="204"/>
        <v>103682810.1</v>
      </c>
      <c r="X85" s="214">
        <f t="shared" si="204"/>
        <v>110119276.8</v>
      </c>
      <c r="Y85" s="214">
        <f t="shared" si="204"/>
        <v>124026208.7</v>
      </c>
      <c r="Z85" s="214">
        <f t="shared" si="204"/>
        <v>126734033</v>
      </c>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row>
    <row r="86" ht="15.75" customHeight="1">
      <c r="A86" s="117"/>
      <c r="B86" s="136" t="s">
        <v>347</v>
      </c>
      <c r="C86" s="125"/>
      <c r="D86" s="198">
        <f t="shared" ref="D86:Z86" si="205">D85-C85</f>
        <v>-289024</v>
      </c>
      <c r="E86" s="216">
        <f t="shared" si="205"/>
        <v>1240544.493</v>
      </c>
      <c r="F86" s="216">
        <f t="shared" si="205"/>
        <v>11616908.09</v>
      </c>
      <c r="G86" s="216">
        <f t="shared" si="205"/>
        <v>14634003.33</v>
      </c>
      <c r="H86" s="216">
        <f t="shared" si="205"/>
        <v>5726482.435</v>
      </c>
      <c r="I86" s="216">
        <f t="shared" si="205"/>
        <v>6506479.698</v>
      </c>
      <c r="J86" s="216">
        <f t="shared" si="205"/>
        <v>3839825.577</v>
      </c>
      <c r="K86" s="216">
        <f t="shared" si="205"/>
        <v>2698563.066</v>
      </c>
      <c r="L86" s="216">
        <f t="shared" si="205"/>
        <v>-446314.5903</v>
      </c>
      <c r="M86" s="216">
        <f t="shared" si="205"/>
        <v>5225720.963</v>
      </c>
      <c r="N86" s="216">
        <f t="shared" si="205"/>
        <v>-1005248.266</v>
      </c>
      <c r="O86" s="216">
        <f t="shared" si="205"/>
        <v>5809349.595</v>
      </c>
      <c r="P86" s="216">
        <f t="shared" si="205"/>
        <v>1174334.066</v>
      </c>
      <c r="Q86" s="216">
        <f t="shared" si="205"/>
        <v>5411453.149</v>
      </c>
      <c r="R86" s="216">
        <f t="shared" si="205"/>
        <v>-212564.417</v>
      </c>
      <c r="S86" s="216">
        <f t="shared" si="205"/>
        <v>5099048.335</v>
      </c>
      <c r="T86" s="216">
        <f t="shared" si="205"/>
        <v>906181.237</v>
      </c>
      <c r="U86" s="216">
        <f t="shared" si="205"/>
        <v>6382486.338</v>
      </c>
      <c r="V86" s="216">
        <f t="shared" si="205"/>
        <v>513844.6739</v>
      </c>
      <c r="W86" s="216">
        <f t="shared" si="205"/>
        <v>14920261.31</v>
      </c>
      <c r="X86" s="216">
        <f t="shared" si="205"/>
        <v>6436466.691</v>
      </c>
      <c r="Y86" s="216">
        <f t="shared" si="205"/>
        <v>13906931.89</v>
      </c>
      <c r="Z86" s="216">
        <f t="shared" si="205"/>
        <v>2707824.336</v>
      </c>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row>
    <row r="87" ht="15.75" customHeight="1">
      <c r="A87" s="118"/>
      <c r="B87" s="136" t="s">
        <v>181</v>
      </c>
      <c r="C87" s="168">
        <f t="shared" ref="C87:Z87" si="206">C85/C21</f>
        <v>0.9309322604</v>
      </c>
      <c r="D87" s="168">
        <f t="shared" si="206"/>
        <v>0.9282577958</v>
      </c>
      <c r="E87" s="168">
        <f t="shared" si="206"/>
        <v>0.9139247941</v>
      </c>
      <c r="F87" s="168">
        <f t="shared" si="206"/>
        <v>0.6579913056</v>
      </c>
      <c r="G87" s="168">
        <f t="shared" si="206"/>
        <v>0.6094026509</v>
      </c>
      <c r="H87" s="168">
        <f t="shared" si="206"/>
        <v>0.5674368775</v>
      </c>
      <c r="I87" s="168">
        <f t="shared" si="206"/>
        <v>0.5034658873</v>
      </c>
      <c r="J87" s="168">
        <f t="shared" si="206"/>
        <v>0.4719306954</v>
      </c>
      <c r="K87" s="168">
        <f t="shared" si="206"/>
        <v>0.4607670336</v>
      </c>
      <c r="L87" s="168">
        <f t="shared" si="206"/>
        <v>0.4642304178</v>
      </c>
      <c r="M87" s="168">
        <f t="shared" si="206"/>
        <v>0.4394807626</v>
      </c>
      <c r="N87" s="168">
        <f t="shared" si="206"/>
        <v>0.4358394006</v>
      </c>
      <c r="O87" s="168">
        <f t="shared" si="206"/>
        <v>0.4237998847</v>
      </c>
      <c r="P87" s="168">
        <f t="shared" si="206"/>
        <v>0.4461179911</v>
      </c>
      <c r="Q87" s="168">
        <f t="shared" si="206"/>
        <v>0.4427152823</v>
      </c>
      <c r="R87" s="168">
        <f t="shared" si="206"/>
        <v>0.4589863149</v>
      </c>
      <c r="S87" s="168">
        <f t="shared" si="206"/>
        <v>0.4547235801</v>
      </c>
      <c r="T87" s="168">
        <f t="shared" si="206"/>
        <v>0.4641068777</v>
      </c>
      <c r="U87" s="168">
        <f t="shared" si="206"/>
        <v>0.4541474217</v>
      </c>
      <c r="V87" s="168">
        <f t="shared" si="206"/>
        <v>0.4534881486</v>
      </c>
      <c r="W87" s="168">
        <f t="shared" si="206"/>
        <v>0.4913565021</v>
      </c>
      <c r="X87" s="168">
        <f t="shared" si="206"/>
        <v>0.508322805</v>
      </c>
      <c r="Y87" s="168">
        <f t="shared" si="206"/>
        <v>0.5388607943</v>
      </c>
      <c r="Z87" s="168">
        <f t="shared" si="206"/>
        <v>0.551717318</v>
      </c>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row>
    <row r="88" ht="15.75" customHeight="1">
      <c r="A88" s="117"/>
      <c r="B88" s="1" t="s">
        <v>348</v>
      </c>
      <c r="C88" s="1"/>
      <c r="D88" s="1"/>
      <c r="E88" s="217">
        <f t="shared" ref="E88:Z88" si="207">IF(E85&lt;$AB$3,$AC$2,IF(AND(E85&gt;$AB$3,E85&lt;$AB$4),$AC$3,IF(AND(E85&gt;$AB$4,E85&lt;$AB$5),$AC$4,IF(AND(E85&gt;$AB$5,E85&lt;$AB$6),$AC$5,IF(AND(E85&gt;$AB$6,E85&lt;$AB$7),$AC$6,IF(AND(E85&gt;$AB$7,E85&lt;$AB$8),$AC$7,IF(AND(E85&gt;$AB$8,E85&lt;$AB$9),$AC$8,IF(AND(E85&gt;$AB$9,E85&lt;$AB$10),$AC$9,IF(AND(E85&gt;$AB$10,E85&lt;$AB$11),$AC$10,IF(AND(E85&gt;$AB$11,E85&lt;$AB$12),$AC$11,IF(AND(E85&gt;$AB$12,E85&lt;$AB$13),$AC$12,IF(AND(E85&gt;$AB$13,E85&lt;$AB$14),$AC$13,IF(E85&gt;$AB$14,$AC$14)))))))))))))</f>
        <v>12</v>
      </c>
      <c r="F88" s="217">
        <f t="shared" si="207"/>
        <v>15</v>
      </c>
      <c r="G88" s="217">
        <f t="shared" si="207"/>
        <v>18</v>
      </c>
      <c r="H88" s="217">
        <f t="shared" si="207"/>
        <v>19</v>
      </c>
      <c r="I88" s="217">
        <f t="shared" si="207"/>
        <v>20</v>
      </c>
      <c r="J88" s="217">
        <f t="shared" si="207"/>
        <v>20</v>
      </c>
      <c r="K88" s="217">
        <f t="shared" si="207"/>
        <v>20</v>
      </c>
      <c r="L88" s="217">
        <f t="shared" si="207"/>
        <v>20</v>
      </c>
      <c r="M88" s="217">
        <f t="shared" si="207"/>
        <v>20</v>
      </c>
      <c r="N88" s="217">
        <f t="shared" si="207"/>
        <v>20</v>
      </c>
      <c r="O88" s="217">
        <f t="shared" si="207"/>
        <v>20</v>
      </c>
      <c r="P88" s="217">
        <f t="shared" si="207"/>
        <v>20</v>
      </c>
      <c r="Q88" s="217">
        <f t="shared" si="207"/>
        <v>20</v>
      </c>
      <c r="R88" s="217">
        <f t="shared" si="207"/>
        <v>20</v>
      </c>
      <c r="S88" s="217">
        <f t="shared" si="207"/>
        <v>20</v>
      </c>
      <c r="T88" s="217">
        <f t="shared" si="207"/>
        <v>20</v>
      </c>
      <c r="U88" s="217">
        <f t="shared" si="207"/>
        <v>20</v>
      </c>
      <c r="V88" s="217">
        <f t="shared" si="207"/>
        <v>20</v>
      </c>
      <c r="W88" s="217">
        <f t="shared" si="207"/>
        <v>20</v>
      </c>
      <c r="X88" s="217">
        <f t="shared" si="207"/>
        <v>20</v>
      </c>
      <c r="Y88" s="217">
        <f t="shared" si="207"/>
        <v>20</v>
      </c>
      <c r="Z88" s="217">
        <f t="shared" si="207"/>
        <v>20</v>
      </c>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row>
    <row r="89" ht="15.75" customHeight="1">
      <c r="A89" s="218"/>
      <c r="B89" s="1" t="s">
        <v>349</v>
      </c>
      <c r="C89" s="1"/>
      <c r="D89" s="1"/>
      <c r="E89" s="215">
        <v>6.0</v>
      </c>
      <c r="F89" s="215">
        <v>6.475641038E7</v>
      </c>
      <c r="G89" s="215">
        <v>1.961999436E8</v>
      </c>
      <c r="H89" s="215">
        <v>2.241424462E8</v>
      </c>
      <c r="I89" s="215">
        <v>3.195573611E8</v>
      </c>
      <c r="J89" s="215">
        <v>3.410460599E8</v>
      </c>
      <c r="K89" s="215">
        <v>3.812509924E8</v>
      </c>
      <c r="L89" s="215">
        <v>3.254445879E8</v>
      </c>
      <c r="M89" s="215">
        <f t="shared" ref="M89:Z89" si="208">IF(M85&lt;$AB$3,M85*$AC$2,IF(AND(M85&gt;$AB$3,M85&lt;$AB$4),M85*$AC$3,IF(AND(M85&gt;$AB$4,M85&lt;$AB$5),M85*$AC$4,IF(AND(M85&gt;$AB$5,M85&lt;$AB$6),M85*$AC$5,IF(AND(M85&gt;$AB$6,M85&lt;$AB$7),M85*$AC$6,IF(AND(M85&gt;$AB$7,M85&lt;$AB$8),M85*$AC$7,IF(AND(M85&gt;$AB$8,M85&lt;$AB$9),M85*$AC$8,IF(AND(M85&gt;$AB$9,M85&lt;$AB$10),M85*$AC$9,IF(AND(M85&gt;$AB$10,M85&lt;$AB$11),M85*$AC$10,IF(AND(M85&gt;$AB$11,M85&lt;$AB$12),M85*$AC$11,IF(AND(M85&gt;$AB$12,M85&lt;$AB$13),M85*$AC$12,IF(AND(M85&gt;$AB$13,M85&lt;$AB$14),M85*$AC$13,IF(M85&gt;$AB$14,M85*$AC$14,0)))))))))))))</f>
        <v>1293673281</v>
      </c>
      <c r="N89" s="215">
        <f t="shared" si="208"/>
        <v>1273568316</v>
      </c>
      <c r="O89" s="215">
        <f t="shared" si="208"/>
        <v>1389755308</v>
      </c>
      <c r="P89" s="215">
        <f t="shared" si="208"/>
        <v>1413241989</v>
      </c>
      <c r="Q89" s="215">
        <f t="shared" si="208"/>
        <v>1521471052</v>
      </c>
      <c r="R89" s="215">
        <f t="shared" si="208"/>
        <v>1517219764</v>
      </c>
      <c r="S89" s="215">
        <f t="shared" si="208"/>
        <v>1619200730</v>
      </c>
      <c r="T89" s="215">
        <f t="shared" si="208"/>
        <v>1637324355</v>
      </c>
      <c r="U89" s="215">
        <f t="shared" si="208"/>
        <v>1764974082</v>
      </c>
      <c r="V89" s="215">
        <f t="shared" si="208"/>
        <v>1775250975</v>
      </c>
      <c r="W89" s="215">
        <f t="shared" si="208"/>
        <v>2073656202</v>
      </c>
      <c r="X89" s="215">
        <f t="shared" si="208"/>
        <v>2202385535</v>
      </c>
      <c r="Y89" s="215">
        <f t="shared" si="208"/>
        <v>2480524173</v>
      </c>
      <c r="Z89" s="215">
        <f t="shared" si="208"/>
        <v>2534680660</v>
      </c>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row>
    <row r="90" ht="15.75" customHeight="1">
      <c r="A90" s="218"/>
      <c r="B90" s="1"/>
      <c r="C90" s="1"/>
      <c r="D90" s="1"/>
      <c r="E90" s="219"/>
      <c r="F90" s="219"/>
      <c r="G90" s="219"/>
      <c r="H90" s="219"/>
      <c r="I90" s="219"/>
      <c r="J90" s="219"/>
      <c r="K90" s="219"/>
      <c r="L90" s="219"/>
      <c r="M90" s="219"/>
      <c r="N90" s="219"/>
      <c r="O90" s="219"/>
      <c r="P90" s="219"/>
      <c r="Q90" s="219"/>
      <c r="R90" s="219"/>
      <c r="S90" s="219"/>
      <c r="T90" s="219"/>
      <c r="U90" s="219"/>
      <c r="V90" s="219"/>
      <c r="W90" s="219"/>
      <c r="X90" s="219"/>
      <c r="Y90" s="219"/>
      <c r="Z90" s="219"/>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row>
    <row r="91" ht="15.75" customHeight="1">
      <c r="A91" s="218"/>
      <c r="B91" s="1"/>
      <c r="C91" s="1"/>
      <c r="D91" s="1"/>
      <c r="E91" s="219"/>
      <c r="F91" s="219"/>
      <c r="G91" s="219"/>
      <c r="H91" s="219"/>
      <c r="I91" s="219"/>
      <c r="J91" s="219"/>
      <c r="K91" s="219"/>
      <c r="L91" s="219"/>
      <c r="M91" s="219"/>
      <c r="N91" s="219"/>
      <c r="O91" s="219"/>
      <c r="P91" s="219"/>
      <c r="Q91" s="219"/>
      <c r="R91" s="219"/>
      <c r="S91" s="219"/>
      <c r="T91" s="219"/>
      <c r="U91" s="219"/>
      <c r="V91" s="219"/>
      <c r="W91" s="219"/>
      <c r="X91" s="219"/>
      <c r="Y91" s="219"/>
      <c r="Z91" s="219"/>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row>
    <row r="92" ht="15.75" customHeight="1">
      <c r="A92" s="117" t="s">
        <v>342</v>
      </c>
      <c r="B92" s="1"/>
      <c r="C92" s="1"/>
      <c r="D92" s="1"/>
      <c r="E92" s="219"/>
      <c r="F92" s="219"/>
      <c r="G92" s="219"/>
      <c r="H92" s="219"/>
      <c r="I92" s="219"/>
      <c r="J92" s="219"/>
      <c r="K92" s="219"/>
      <c r="L92" s="219"/>
      <c r="M92" s="219"/>
      <c r="N92" s="219"/>
      <c r="O92" s="219"/>
      <c r="P92" s="219"/>
      <c r="Q92" s="219"/>
      <c r="R92" s="219"/>
      <c r="S92" s="219"/>
      <c r="T92" s="219"/>
      <c r="U92" s="219"/>
      <c r="V92" s="219"/>
      <c r="W92" s="219"/>
      <c r="X92" s="219"/>
      <c r="Y92" s="219"/>
      <c r="Z92" s="219"/>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row>
    <row r="93" ht="15.75" customHeight="1">
      <c r="A93" s="218">
        <v>0.02</v>
      </c>
      <c r="B93" s="1" t="s">
        <v>71</v>
      </c>
      <c r="C93" s="117" t="str">
        <f>Summary!#REF!</f>
        <v>#ERROR!</v>
      </c>
      <c r="D93" s="117" t="str">
        <f>Summary!#REF!</f>
        <v>#ERROR!</v>
      </c>
      <c r="E93" s="219" t="str">
        <f>Summary!#REF!</f>
        <v>#ERROR!</v>
      </c>
      <c r="F93" s="219" t="str">
        <f>Summary!#REF!</f>
        <v>#ERROR!</v>
      </c>
      <c r="G93" s="219" t="str">
        <f>Summary!#REF!</f>
        <v>#ERROR!</v>
      </c>
      <c r="H93" s="219" t="str">
        <f>Summary!#REF!</f>
        <v>#ERROR!</v>
      </c>
      <c r="I93" s="219" t="str">
        <f>Summary!#REF!</f>
        <v>#ERROR!</v>
      </c>
      <c r="J93" s="219" t="str">
        <f>Summary!#REF!</f>
        <v>#ERROR!</v>
      </c>
      <c r="K93" s="219" t="str">
        <f t="shared" ref="K93:Z93" si="209">J93*1.02</f>
        <v>#ERROR!</v>
      </c>
      <c r="L93" s="219" t="str">
        <f t="shared" si="209"/>
        <v>#ERROR!</v>
      </c>
      <c r="M93" s="219" t="str">
        <f t="shared" si="209"/>
        <v>#ERROR!</v>
      </c>
      <c r="N93" s="219" t="str">
        <f t="shared" si="209"/>
        <v>#ERROR!</v>
      </c>
      <c r="O93" s="219" t="str">
        <f t="shared" si="209"/>
        <v>#ERROR!</v>
      </c>
      <c r="P93" s="219" t="str">
        <f t="shared" si="209"/>
        <v>#ERROR!</v>
      </c>
      <c r="Q93" s="219" t="str">
        <f t="shared" si="209"/>
        <v>#ERROR!</v>
      </c>
      <c r="R93" s="219" t="str">
        <f t="shared" si="209"/>
        <v>#ERROR!</v>
      </c>
      <c r="S93" s="219" t="str">
        <f t="shared" si="209"/>
        <v>#ERROR!</v>
      </c>
      <c r="T93" s="219" t="str">
        <f t="shared" si="209"/>
        <v>#ERROR!</v>
      </c>
      <c r="U93" s="219" t="str">
        <f t="shared" si="209"/>
        <v>#ERROR!</v>
      </c>
      <c r="V93" s="219" t="str">
        <f t="shared" si="209"/>
        <v>#ERROR!</v>
      </c>
      <c r="W93" s="219" t="str">
        <f t="shared" si="209"/>
        <v>#ERROR!</v>
      </c>
      <c r="X93" s="219" t="str">
        <f t="shared" si="209"/>
        <v>#ERROR!</v>
      </c>
      <c r="Y93" s="219" t="str">
        <f t="shared" si="209"/>
        <v>#ERROR!</v>
      </c>
      <c r="Z93" s="219" t="str">
        <f t="shared" si="209"/>
        <v>#ERROR!</v>
      </c>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row>
    <row r="94" ht="15.75" customHeight="1">
      <c r="A94" s="117"/>
      <c r="B94" s="1"/>
      <c r="C94" s="1" t="str">
        <f>Summary!DV51</f>
        <v/>
      </c>
      <c r="D94" s="1"/>
      <c r="E94" s="219"/>
      <c r="F94" s="219"/>
      <c r="G94" s="219"/>
      <c r="H94" s="219"/>
      <c r="I94" s="219"/>
      <c r="J94" s="219"/>
      <c r="K94" s="219"/>
      <c r="L94" s="219"/>
      <c r="M94" s="219"/>
      <c r="N94" s="219"/>
      <c r="O94" s="219"/>
      <c r="P94" s="219"/>
      <c r="Q94" s="219"/>
      <c r="R94" s="219"/>
      <c r="S94" s="219"/>
      <c r="T94" s="219"/>
      <c r="U94" s="219"/>
      <c r="V94" s="219"/>
      <c r="W94" s="219"/>
      <c r="X94" s="219"/>
      <c r="Y94" s="219"/>
      <c r="Z94" s="219"/>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row>
    <row r="95" ht="15.75" customHeight="1">
      <c r="A95" s="117"/>
      <c r="B95" s="1" t="s">
        <v>350</v>
      </c>
      <c r="C95" s="117" t="str">
        <f t="shared" ref="C95:Z95" si="210">C85+C93</f>
        <v>#ERROR!</v>
      </c>
      <c r="D95" s="117" t="str">
        <f t="shared" si="210"/>
        <v>#ERROR!</v>
      </c>
      <c r="E95" s="219" t="str">
        <f t="shared" si="210"/>
        <v>#ERROR!</v>
      </c>
      <c r="F95" s="219" t="str">
        <f t="shared" si="210"/>
        <v>#ERROR!</v>
      </c>
      <c r="G95" s="219" t="str">
        <f t="shared" si="210"/>
        <v>#ERROR!</v>
      </c>
      <c r="H95" s="219" t="str">
        <f t="shared" si="210"/>
        <v>#ERROR!</v>
      </c>
      <c r="I95" s="219" t="str">
        <f t="shared" si="210"/>
        <v>#ERROR!</v>
      </c>
      <c r="J95" s="219" t="str">
        <f t="shared" si="210"/>
        <v>#ERROR!</v>
      </c>
      <c r="K95" s="219" t="str">
        <f t="shared" si="210"/>
        <v>#ERROR!</v>
      </c>
      <c r="L95" s="219" t="str">
        <f t="shared" si="210"/>
        <v>#ERROR!</v>
      </c>
      <c r="M95" s="219" t="str">
        <f t="shared" si="210"/>
        <v>#ERROR!</v>
      </c>
      <c r="N95" s="219" t="str">
        <f t="shared" si="210"/>
        <v>#ERROR!</v>
      </c>
      <c r="O95" s="219" t="str">
        <f t="shared" si="210"/>
        <v>#ERROR!</v>
      </c>
      <c r="P95" s="219" t="str">
        <f t="shared" si="210"/>
        <v>#ERROR!</v>
      </c>
      <c r="Q95" s="219" t="str">
        <f t="shared" si="210"/>
        <v>#ERROR!</v>
      </c>
      <c r="R95" s="219" t="str">
        <f t="shared" si="210"/>
        <v>#ERROR!</v>
      </c>
      <c r="S95" s="219" t="str">
        <f t="shared" si="210"/>
        <v>#ERROR!</v>
      </c>
      <c r="T95" s="219" t="str">
        <f t="shared" si="210"/>
        <v>#ERROR!</v>
      </c>
      <c r="U95" s="219" t="str">
        <f t="shared" si="210"/>
        <v>#ERROR!</v>
      </c>
      <c r="V95" s="219" t="str">
        <f t="shared" si="210"/>
        <v>#ERROR!</v>
      </c>
      <c r="W95" s="219" t="str">
        <f t="shared" si="210"/>
        <v>#ERROR!</v>
      </c>
      <c r="X95" s="219" t="str">
        <f t="shared" si="210"/>
        <v>#ERROR!</v>
      </c>
      <c r="Y95" s="219" t="str">
        <f t="shared" si="210"/>
        <v>#ERROR!</v>
      </c>
      <c r="Z95" s="219" t="str">
        <f t="shared" si="210"/>
        <v>#ERROR!</v>
      </c>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row>
    <row r="96" ht="15.75" customHeight="1">
      <c r="A96" s="117"/>
      <c r="B96" s="1" t="s">
        <v>351</v>
      </c>
      <c r="C96" s="125" t="str">
        <f t="shared" ref="C96:Z96" si="211">C95/C21</f>
        <v>#ERROR!</v>
      </c>
      <c r="D96" s="125" t="str">
        <f t="shared" si="211"/>
        <v>#ERROR!</v>
      </c>
      <c r="E96" s="125" t="str">
        <f t="shared" si="211"/>
        <v>#ERROR!</v>
      </c>
      <c r="F96" s="125" t="str">
        <f t="shared" si="211"/>
        <v>#ERROR!</v>
      </c>
      <c r="G96" s="125" t="str">
        <f t="shared" si="211"/>
        <v>#ERROR!</v>
      </c>
      <c r="H96" s="125" t="str">
        <f t="shared" si="211"/>
        <v>#ERROR!</v>
      </c>
      <c r="I96" s="125" t="str">
        <f t="shared" si="211"/>
        <v>#ERROR!</v>
      </c>
      <c r="J96" s="125" t="str">
        <f t="shared" si="211"/>
        <v>#ERROR!</v>
      </c>
      <c r="K96" s="125" t="str">
        <f t="shared" si="211"/>
        <v>#ERROR!</v>
      </c>
      <c r="L96" s="125" t="str">
        <f t="shared" si="211"/>
        <v>#ERROR!</v>
      </c>
      <c r="M96" s="125" t="str">
        <f t="shared" si="211"/>
        <v>#ERROR!</v>
      </c>
      <c r="N96" s="125" t="str">
        <f t="shared" si="211"/>
        <v>#ERROR!</v>
      </c>
      <c r="O96" s="125" t="str">
        <f t="shared" si="211"/>
        <v>#ERROR!</v>
      </c>
      <c r="P96" s="125" t="str">
        <f t="shared" si="211"/>
        <v>#ERROR!</v>
      </c>
      <c r="Q96" s="125" t="str">
        <f t="shared" si="211"/>
        <v>#ERROR!</v>
      </c>
      <c r="R96" s="125" t="str">
        <f t="shared" si="211"/>
        <v>#ERROR!</v>
      </c>
      <c r="S96" s="125" t="str">
        <f t="shared" si="211"/>
        <v>#ERROR!</v>
      </c>
      <c r="T96" s="125" t="str">
        <f t="shared" si="211"/>
        <v>#ERROR!</v>
      </c>
      <c r="U96" s="125" t="str">
        <f t="shared" si="211"/>
        <v>#ERROR!</v>
      </c>
      <c r="V96" s="125" t="str">
        <f t="shared" si="211"/>
        <v>#ERROR!</v>
      </c>
      <c r="W96" s="125" t="str">
        <f t="shared" si="211"/>
        <v>#ERROR!</v>
      </c>
      <c r="X96" s="125" t="str">
        <f t="shared" si="211"/>
        <v>#ERROR!</v>
      </c>
      <c r="Y96" s="125" t="str">
        <f t="shared" si="211"/>
        <v>#ERROR!</v>
      </c>
      <c r="Z96" s="125" t="str">
        <f t="shared" si="211"/>
        <v>#ERROR!</v>
      </c>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row>
    <row r="97" ht="15.75" customHeight="1">
      <c r="A97" s="117"/>
      <c r="B97" s="1"/>
      <c r="C97" s="1"/>
      <c r="D97" s="1"/>
      <c r="E97" s="1"/>
      <c r="F97" s="1"/>
      <c r="G97" s="1"/>
      <c r="H97" s="1"/>
      <c r="I97" s="1"/>
      <c r="J97" s="1"/>
      <c r="K97" s="137"/>
      <c r="L97" s="137"/>
      <c r="M97" s="137"/>
      <c r="N97" s="137"/>
      <c r="O97" s="137"/>
      <c r="P97" s="137"/>
      <c r="Q97" s="137"/>
      <c r="R97" s="137"/>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row>
    <row r="98" ht="15.75" customHeight="1">
      <c r="A98" s="117"/>
      <c r="B98" s="117" t="s">
        <v>182</v>
      </c>
      <c r="C98" s="131">
        <f>Summary!DV47</f>
        <v>42614</v>
      </c>
      <c r="D98" s="131">
        <f>Summary!DW47</f>
        <v>38749</v>
      </c>
      <c r="E98" s="195">
        <f>Summary!DX47</f>
        <v>35124</v>
      </c>
      <c r="F98" s="195">
        <f>Summary!DY47</f>
        <v>0</v>
      </c>
      <c r="G98" s="195">
        <f>Summary!DZ47</f>
        <v>0</v>
      </c>
      <c r="H98" s="195">
        <f>Summary!EA47</f>
        <v>0</v>
      </c>
      <c r="I98" s="195">
        <f>Summary!EB47</f>
        <v>0</v>
      </c>
      <c r="J98" s="195">
        <f>Summary!EC47</f>
        <v>0</v>
      </c>
      <c r="K98" s="195" t="str">
        <f>Summary!EF47</f>
        <v/>
      </c>
      <c r="L98" s="195" t="str">
        <f>Summary!EG47</f>
        <v/>
      </c>
      <c r="M98" s="195" t="str">
        <f>Summary!EH47</f>
        <v/>
      </c>
      <c r="N98" s="195" t="str">
        <f>Summary!EI47</f>
        <v/>
      </c>
      <c r="O98" s="195" t="str">
        <f>Summary!EJ47</f>
        <v/>
      </c>
      <c r="P98" s="195" t="str">
        <f>Summary!EK47</f>
        <v/>
      </c>
      <c r="Q98" s="195" t="str">
        <f>Summary!EL47</f>
        <v/>
      </c>
      <c r="R98" s="195" t="str">
        <f>Summary!EM47</f>
        <v/>
      </c>
      <c r="S98" s="215"/>
      <c r="T98" s="215"/>
      <c r="U98" s="215"/>
      <c r="V98" s="215"/>
      <c r="W98" s="215"/>
      <c r="X98" s="215"/>
      <c r="Y98" s="215"/>
      <c r="Z98" s="215"/>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row>
    <row r="99" ht="15.75" customHeight="1">
      <c r="A99" s="1"/>
      <c r="B99" s="117" t="s">
        <v>183</v>
      </c>
      <c r="C99" s="131">
        <f>Summary!DV48</f>
        <v>20704</v>
      </c>
      <c r="D99" s="131">
        <f>Summary!DW48</f>
        <v>21760</v>
      </c>
      <c r="E99" s="195">
        <f>Summary!DX48</f>
        <v>25251.45851</v>
      </c>
      <c r="F99" s="195">
        <f>Summary!DY48</f>
        <v>72320.96642</v>
      </c>
      <c r="G99" s="195">
        <f>Summary!DZ48</f>
        <v>94388.78683</v>
      </c>
      <c r="H99" s="195">
        <f>Summary!EA48</f>
        <v>106046.2278</v>
      </c>
      <c r="I99" s="195">
        <f>Summary!EB48</f>
        <v>117602.2108</v>
      </c>
      <c r="J99" s="195">
        <f>Summary!EC48</f>
        <v>126302.5321</v>
      </c>
      <c r="K99" s="195">
        <f t="shared" ref="K99:Z99" si="212">J99*1.05</f>
        <v>132617.6587</v>
      </c>
      <c r="L99" s="195">
        <f t="shared" si="212"/>
        <v>139248.5416</v>
      </c>
      <c r="M99" s="195">
        <f t="shared" si="212"/>
        <v>146210.9687</v>
      </c>
      <c r="N99" s="195">
        <f t="shared" si="212"/>
        <v>153521.5171</v>
      </c>
      <c r="O99" s="195">
        <f t="shared" si="212"/>
        <v>161197.593</v>
      </c>
      <c r="P99" s="195">
        <f t="shared" si="212"/>
        <v>169257.4726</v>
      </c>
      <c r="Q99" s="195">
        <f t="shared" si="212"/>
        <v>177720.3462</v>
      </c>
      <c r="R99" s="195">
        <f t="shared" si="212"/>
        <v>186606.3636</v>
      </c>
      <c r="S99" s="195">
        <f t="shared" si="212"/>
        <v>195936.6817</v>
      </c>
      <c r="T99" s="195">
        <f t="shared" si="212"/>
        <v>205733.5158</v>
      </c>
      <c r="U99" s="195">
        <f t="shared" si="212"/>
        <v>216020.1916</v>
      </c>
      <c r="V99" s="195">
        <f t="shared" si="212"/>
        <v>226821.2012</v>
      </c>
      <c r="W99" s="195">
        <f t="shared" si="212"/>
        <v>238162.2613</v>
      </c>
      <c r="X99" s="195">
        <f t="shared" si="212"/>
        <v>250070.3743</v>
      </c>
      <c r="Y99" s="195">
        <f t="shared" si="212"/>
        <v>262573.893</v>
      </c>
      <c r="Z99" s="195">
        <f t="shared" si="212"/>
        <v>275702.5877</v>
      </c>
      <c r="AA99" s="13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row>
    <row r="100" ht="15.75" customHeight="1">
      <c r="A100" s="118"/>
      <c r="B100" s="1"/>
      <c r="C100" s="1"/>
      <c r="D100" s="1"/>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row>
    <row r="101" ht="15.75" customHeight="1">
      <c r="A101" s="220"/>
      <c r="B101" s="1" t="s">
        <v>352</v>
      </c>
      <c r="C101" s="117"/>
      <c r="D101" s="117"/>
      <c r="E101" s="215"/>
      <c r="F101" s="215"/>
      <c r="G101" s="215"/>
      <c r="H101" s="215"/>
      <c r="I101" s="215"/>
      <c r="J101" s="215">
        <f>IFERROR(__xludf.DUMMYFUNCTION("Filter(J67:J84,J67:J84&gt;1,K67:K84&lt;1)"),3115050.0066971174)</f>
        <v>3115050.007</v>
      </c>
      <c r="K101" s="215">
        <f>IFERROR(__xludf.DUMMYFUNCTION("Filter(K67:K84,K67:K84&gt;1,L67:L84&lt;1)"),4981547.765452882)</f>
        <v>4981547.765</v>
      </c>
      <c r="L101" s="215">
        <f>IFERROR(__xludf.DUMMYFUNCTION("Filter(L67:L84,L67:L84&gt;1,M67:M84&lt;1)"),793641.2767680781)</f>
        <v>793641.2768</v>
      </c>
      <c r="M101" s="215">
        <f>IFERROR(__xludf.DUMMYFUNCTION("Filter(M67:M84,M67:M84&gt;1,N67:N84&lt;1)"),6809818.000365488)</f>
        <v>6809818</v>
      </c>
      <c r="N101" s="215">
        <f>IFERROR(__xludf.DUMMYFUNCTION("Filter(N67:N84,N67:N84&gt;1,O67:O84&lt;1)"),805732.4643306094)</f>
        <v>805732.4643</v>
      </c>
      <c r="O101" s="215">
        <f>IFERROR(__xludf.DUMMYFUNCTION("Filter(O67:O84,O67:O84&gt;1,P67:P84&lt;1)"),5718013.137310094)</f>
        <v>5718013.137</v>
      </c>
      <c r="P101" s="215">
        <f>IFERROR(__xludf.DUMMYFUNCTION("Filter(P67:P84,P67:P84&gt;1,Q67:Q84&lt;1)"),1672735.8214033442)</f>
        <v>1672735.821</v>
      </c>
      <c r="Q101" s="215">
        <f>IFERROR(__xludf.DUMMYFUNCTION("Filter(Q67:Q84,Q67:Q84&gt;1,R67:R84&lt;1)"),6572260.029238775)</f>
        <v>6572260.029</v>
      </c>
      <c r="R101" s="215">
        <f>IFERROR(__xludf.DUMMYFUNCTION("Filter(R67:R84,R67:R84&gt;1,S67:S84&lt;1)"),1637450.5367900925)</f>
        <v>1637450.537</v>
      </c>
      <c r="S101" s="215">
        <f>IFERROR(__xludf.DUMMYFUNCTION("Filter(S67:S84,S67:S84&gt;1,T67:T84&lt;1)"),5076159.597353809)</f>
        <v>5076159.597</v>
      </c>
      <c r="T101" s="215">
        <f>IFERROR(__xludf.DUMMYFUNCTION("Filter(T67:T84,T67:T84&gt;1,U67:U84&lt;1)"),1204347.9560173478)</f>
        <v>1204347.956</v>
      </c>
      <c r="U101" s="215">
        <f>IFERROR(__xludf.DUMMYFUNCTION("Filter(U67:U84,U67:U84&gt;1,V67:V84&lt;1)"),4158472.1333127692)</f>
        <v>4158472.133</v>
      </c>
      <c r="V101" s="215">
        <f>IFERROR(__xludf.DUMMYFUNCTION("Filter(V67:V84,V67:V84&gt;1,W67:W84&lt;1)"),1267430.8758977023)</f>
        <v>1267430.876</v>
      </c>
      <c r="W101" s="215">
        <f>IFERROR(__xludf.DUMMYFUNCTION("Filter(W67:W84,W67:W84&gt;1,X67:X84&lt;1)"),3702854.0577442637)</f>
        <v>3702854.058</v>
      </c>
      <c r="X101" s="215">
        <f>IFERROR(__xludf.DUMMYFUNCTION("Filter(X67:X84,X67:X84&gt;1,Y67:Y84&lt;1)"),1833944.6012049029)</f>
        <v>1833944.601</v>
      </c>
      <c r="Y101" s="215">
        <f>IFERROR(__xludf.DUMMYFUNCTION("Filter(Y67:Y84,Y67:Y84&gt;1,Z67:Z84&lt;1)"),5103102.210663566)</f>
        <v>5103102.211</v>
      </c>
      <c r="Z101" s="215" t="str">
        <f>IFERROR(__xludf.DUMMYFUNCTION("Filter(Z67:Z84,Z67:Z84&gt;1,AA67:AA84&lt;1)"),"#REF!")</f>
        <v>#REF!</v>
      </c>
      <c r="AA101" s="22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row>
    <row r="102" ht="15.75" customHeight="1">
      <c r="A102" s="220"/>
      <c r="B102" s="1" t="s">
        <v>353</v>
      </c>
      <c r="C102" s="117"/>
      <c r="D102" s="117"/>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2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row>
    <row r="103" ht="15.75" customHeight="1">
      <c r="A103" s="220"/>
      <c r="B103" s="1" t="s">
        <v>354</v>
      </c>
      <c r="C103" s="117"/>
      <c r="D103" s="117"/>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2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row>
    <row r="104" ht="15.75" customHeight="1">
      <c r="A104" s="220"/>
      <c r="B104" s="1" t="s">
        <v>355</v>
      </c>
      <c r="C104" s="117"/>
      <c r="D104" s="117"/>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c r="AA104" s="22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row>
    <row r="105" ht="15.75" customHeight="1">
      <c r="A105" s="220"/>
      <c r="B105" s="1" t="s">
        <v>356</v>
      </c>
      <c r="C105" s="117"/>
      <c r="D105" s="117"/>
      <c r="E105" s="215"/>
      <c r="F105" s="215"/>
      <c r="G105" s="215"/>
      <c r="H105" s="215"/>
      <c r="I105" s="215"/>
      <c r="J105" s="215">
        <v>2.367438005E7</v>
      </c>
      <c r="K105" s="215">
        <v>3.785976302E7</v>
      </c>
      <c r="L105" s="215">
        <v>3015836.852</v>
      </c>
      <c r="M105" s="215">
        <v>6.4693271E7</v>
      </c>
      <c r="N105" s="215">
        <v>3061783.364</v>
      </c>
      <c r="O105" s="215">
        <v>5.43211248E7</v>
      </c>
      <c r="P105" s="215">
        <v>6356396.121</v>
      </c>
      <c r="Q105" s="215">
        <v>6.243647028E7</v>
      </c>
      <c r="R105" s="215">
        <v>6222312.04</v>
      </c>
      <c r="S105" s="215">
        <v>4.822351617E7</v>
      </c>
      <c r="T105" s="215">
        <v>4576522.233</v>
      </c>
      <c r="U105" s="215">
        <v>3.160438821E7</v>
      </c>
      <c r="V105" s="215">
        <v>4816237.328</v>
      </c>
      <c r="W105" s="215">
        <v>2.814169084E7</v>
      </c>
      <c r="X105" s="215">
        <v>6968989.485</v>
      </c>
      <c r="Y105" s="215">
        <v>4.8479471E7</v>
      </c>
      <c r="Z105" s="215" t="s">
        <v>357</v>
      </c>
      <c r="AA105" s="22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row>
    <row r="106" ht="15.75" customHeight="1">
      <c r="A106" s="220"/>
      <c r="B106" s="1" t="s">
        <v>353</v>
      </c>
      <c r="C106" s="117"/>
      <c r="D106" s="117"/>
      <c r="E106" s="215"/>
      <c r="F106" s="215"/>
      <c r="G106" s="215"/>
      <c r="H106" s="215"/>
      <c r="I106" s="215"/>
      <c r="J106" s="215">
        <v>0.0</v>
      </c>
      <c r="K106" s="215">
        <v>0.0</v>
      </c>
      <c r="L106" s="215">
        <v>0.0</v>
      </c>
      <c r="M106" s="215">
        <v>0.0</v>
      </c>
      <c r="N106" s="215">
        <v>0.0</v>
      </c>
      <c r="O106" s="215">
        <v>0.0</v>
      </c>
      <c r="P106" s="215">
        <v>0.0</v>
      </c>
      <c r="Q106" s="215">
        <v>0.0</v>
      </c>
      <c r="R106" s="215">
        <v>0.0</v>
      </c>
      <c r="S106" s="215">
        <v>0.0</v>
      </c>
      <c r="T106" s="215">
        <v>0.0</v>
      </c>
      <c r="U106" s="215">
        <v>0.0</v>
      </c>
      <c r="V106" s="215">
        <v>0.0</v>
      </c>
      <c r="W106" s="215">
        <v>0.0</v>
      </c>
      <c r="X106" s="215">
        <v>0.0</v>
      </c>
      <c r="Y106" s="215">
        <v>0.0</v>
      </c>
      <c r="Z106" s="215">
        <v>0.0</v>
      </c>
      <c r="AA106" s="22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row>
    <row r="107" ht="15.75" customHeight="1">
      <c r="A107" s="220"/>
      <c r="B107" s="1" t="s">
        <v>354</v>
      </c>
      <c r="C107" s="117"/>
      <c r="D107" s="117"/>
      <c r="E107" s="215"/>
      <c r="F107" s="215"/>
      <c r="G107" s="215"/>
      <c r="H107" s="215"/>
      <c r="I107" s="215"/>
      <c r="J107" s="215">
        <v>0.0</v>
      </c>
      <c r="K107" s="215">
        <v>0.0</v>
      </c>
      <c r="L107" s="215">
        <v>0.0</v>
      </c>
      <c r="M107" s="215">
        <v>0.0</v>
      </c>
      <c r="N107" s="215">
        <v>0.0</v>
      </c>
      <c r="O107" s="215">
        <v>0.0</v>
      </c>
      <c r="P107" s="215">
        <v>0.0</v>
      </c>
      <c r="Q107" s="215">
        <v>0.0</v>
      </c>
      <c r="R107" s="215">
        <v>0.0</v>
      </c>
      <c r="S107" s="215">
        <v>0.0</v>
      </c>
      <c r="T107" s="215">
        <v>0.0</v>
      </c>
      <c r="U107" s="215">
        <v>0.0</v>
      </c>
      <c r="V107" s="215">
        <v>0.0</v>
      </c>
      <c r="W107" s="215">
        <v>0.0</v>
      </c>
      <c r="X107" s="215">
        <v>0.0</v>
      </c>
      <c r="Y107" s="215">
        <v>0.0</v>
      </c>
      <c r="Z107" s="215">
        <v>0.0</v>
      </c>
      <c r="AA107" s="22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row>
    <row r="108" ht="15.75" customHeight="1">
      <c r="A108" s="220"/>
      <c r="B108" s="1" t="s">
        <v>355</v>
      </c>
      <c r="C108" s="117"/>
      <c r="D108" s="117"/>
      <c r="E108" s="215"/>
      <c r="F108" s="215"/>
      <c r="G108" s="215"/>
      <c r="H108" s="215"/>
      <c r="I108" s="215"/>
      <c r="J108" s="215">
        <v>0.0</v>
      </c>
      <c r="K108" s="215">
        <v>0.0</v>
      </c>
      <c r="L108" s="215">
        <v>0.0</v>
      </c>
      <c r="M108" s="215">
        <v>0.0</v>
      </c>
      <c r="N108" s="215">
        <v>0.0</v>
      </c>
      <c r="O108" s="215">
        <v>0.0</v>
      </c>
      <c r="P108" s="215">
        <v>0.0</v>
      </c>
      <c r="Q108" s="215">
        <v>0.0</v>
      </c>
      <c r="R108" s="215">
        <v>0.0</v>
      </c>
      <c r="S108" s="215">
        <v>0.0</v>
      </c>
      <c r="T108" s="215">
        <v>0.0</v>
      </c>
      <c r="U108" s="215">
        <v>0.0</v>
      </c>
      <c r="V108" s="215">
        <v>0.0</v>
      </c>
      <c r="W108" s="215">
        <v>0.0</v>
      </c>
      <c r="X108" s="215">
        <v>0.0</v>
      </c>
      <c r="Y108" s="215">
        <v>0.0</v>
      </c>
      <c r="Z108" s="215">
        <v>0.0</v>
      </c>
      <c r="AA108" s="22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row>
    <row r="109" ht="15.75" customHeight="1">
      <c r="A109" s="220"/>
      <c r="B109" s="1" t="s">
        <v>358</v>
      </c>
      <c r="C109" s="117"/>
      <c r="D109" s="117"/>
      <c r="E109" s="215"/>
      <c r="F109" s="215"/>
      <c r="G109" s="215"/>
      <c r="H109" s="215"/>
      <c r="I109" s="215"/>
      <c r="J109" s="215">
        <f>IFERROR(__xludf.DUMMYFUNCTION("filter(F68:F84,J68:J84&gt;1,K68:K84&lt;1)"),882729.4751999998)</f>
        <v>882729.4752</v>
      </c>
      <c r="K109" s="215">
        <f>IFERROR(__xludf.DUMMYFUNCTION("filter(G68:G84,K68:K84&gt;1,L68:L84&lt;1)"),1828900.000000001)</f>
        <v>1828900</v>
      </c>
      <c r="L109" s="215">
        <f>IFERROR(__xludf.DUMMYFUNCTION("filter(H68:H84,L68:L84&gt;1,M68:M84&lt;1)"),252251.99999999988)</f>
        <v>252252</v>
      </c>
      <c r="M109" s="215">
        <f>IFERROR(__xludf.DUMMYFUNCTION("filter(I68:I84,M68:M84&gt;1,N68:N84&lt;1)"),3490784.0)</f>
        <v>3490784</v>
      </c>
      <c r="N109" s="215">
        <f>IFERROR(__xludf.DUMMYFUNCTION("filter(J68:J84,N68:N84&gt;1,O68:O84&lt;1)"),248912.00000000012)</f>
        <v>248912</v>
      </c>
      <c r="O109" s="215">
        <f>IFERROR(__xludf.DUMMYFUNCTION("filter(K68:K84,O68:O84&gt;1,P68:P84&lt;1)"),1899127.999999999)</f>
        <v>1899128</v>
      </c>
      <c r="P109" s="215">
        <f>IFERROR(__xludf.DUMMYFUNCTION("filter(L68:L84,P68:P84&gt;1,Q68:Q84&lt;1)"),565783.9999999998)</f>
        <v>565784</v>
      </c>
      <c r="Q109" s="215">
        <f>IFERROR(__xludf.DUMMYFUNCTION("filter(M68:M84,Q68:Q84&gt;1,R68:R84&lt;1)"),2024288.0)</f>
        <v>2024288</v>
      </c>
      <c r="R109" s="215">
        <f>IFERROR(__xludf.DUMMYFUNCTION("filter(N68:N84,R68:R84&gt;1,S68:S84&lt;1)"),537330.0000000005)</f>
        <v>537330</v>
      </c>
      <c r="S109" s="215">
        <f>IFERROR(__xludf.DUMMYFUNCTION("filter(O68:O84,S68:S84&gt;1,T68:T84&lt;1)"),1809825.0)</f>
        <v>1809825</v>
      </c>
      <c r="T109" s="215">
        <f>IFERROR(__xludf.DUMMYFUNCTION("filter(P68:P84,T68:T84&gt;1,U68:U84&lt;1)"),435596.00000000023)</f>
        <v>435596</v>
      </c>
      <c r="U109" s="215">
        <f>IFERROR(__xludf.DUMMYFUNCTION("filter(Q68:Q84,U68:U84&gt;1,V68:V84&lt;1)"),1505800.000000001)</f>
        <v>1505800</v>
      </c>
      <c r="V109" s="215">
        <f>IFERROR(__xludf.DUMMYFUNCTION("filter(R68:R84,V68:V84&gt;1,W68:W84&lt;1)"),759108.0)</f>
        <v>759108</v>
      </c>
      <c r="W109" s="215">
        <f>IFERROR(__xludf.DUMMYFUNCTION("filter(S68:S84,W68:W84&gt;1,X68:X84&lt;1)"),1596958.0)</f>
        <v>1596958</v>
      </c>
      <c r="X109" s="215">
        <f>IFERROR(__xludf.DUMMYFUNCTION("filter(T68:T84,X68:X84&gt;1,Y68:Y84&lt;1)"),601809.6000000001)</f>
        <v>601809.6</v>
      </c>
      <c r="Y109" s="215">
        <f>IFERROR(__xludf.DUMMYFUNCTION("filter(U68:U84,Y68:Y84&gt;1,Z68:Z84&lt;1)"),1771252.0)</f>
        <v>1771252</v>
      </c>
      <c r="Z109" s="215" t="str">
        <f>IFERROR(__xludf.DUMMYFUNCTION("filter(V68:V84,Z68:Z84&gt;1,AA68:AA84&lt;1)"),"#REF!")</f>
        <v>#REF!</v>
      </c>
      <c r="AA109" s="22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row>
    <row r="110" ht="15.75" customHeight="1">
      <c r="A110" s="220"/>
      <c r="B110" s="1" t="s">
        <v>353</v>
      </c>
      <c r="C110" s="117"/>
      <c r="D110" s="117"/>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2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row>
    <row r="111" ht="15.75" customHeight="1">
      <c r="A111" s="220"/>
      <c r="B111" s="1" t="s">
        <v>354</v>
      </c>
      <c r="C111" s="117"/>
      <c r="D111" s="117"/>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c r="AA111" s="22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row>
    <row r="112" ht="15.75" customHeight="1">
      <c r="A112" s="220"/>
      <c r="B112" s="1" t="s">
        <v>355</v>
      </c>
      <c r="C112" s="117"/>
      <c r="D112" s="117"/>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c r="AA112" s="22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row>
    <row r="113" ht="15.75" customHeight="1">
      <c r="A113" s="220"/>
      <c r="B113" s="1" t="s">
        <v>359</v>
      </c>
      <c r="C113" s="117"/>
      <c r="D113" s="117"/>
      <c r="E113" s="215"/>
      <c r="F113" s="215"/>
      <c r="G113" s="215"/>
      <c r="H113" s="215"/>
      <c r="I113" s="215"/>
      <c r="J113" s="215">
        <v>3530917.901</v>
      </c>
      <c r="K113" s="215">
        <v>7315600.0</v>
      </c>
      <c r="L113" s="215">
        <v>1009008.0</v>
      </c>
      <c r="M113" s="215">
        <v>2.7926272E7</v>
      </c>
      <c r="N113" s="215">
        <v>995648.0</v>
      </c>
      <c r="O113" s="215">
        <v>7596512.0</v>
      </c>
      <c r="P113" s="215">
        <v>2263136.0</v>
      </c>
      <c r="Q113" s="215">
        <v>1.2145728E7</v>
      </c>
      <c r="R113" s="215">
        <v>2149320.0</v>
      </c>
      <c r="S113" s="215">
        <v>7239300.0</v>
      </c>
      <c r="T113" s="215">
        <v>1742384.0</v>
      </c>
      <c r="U113" s="215">
        <v>6023200.0</v>
      </c>
      <c r="V113" s="215">
        <v>3036432.0</v>
      </c>
      <c r="W113" s="215">
        <v>6387832.0</v>
      </c>
      <c r="X113" s="215">
        <v>2407238.4</v>
      </c>
      <c r="Y113" s="215">
        <v>7085008.0</v>
      </c>
      <c r="Z113" s="215" t="s">
        <v>357</v>
      </c>
      <c r="AA113" s="22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row>
    <row r="114" ht="15.75" customHeight="1">
      <c r="B114" s="1" t="s">
        <v>353</v>
      </c>
      <c r="C114" s="117"/>
      <c r="D114" s="117"/>
      <c r="E114" s="215"/>
      <c r="F114" s="215"/>
      <c r="G114" s="215"/>
      <c r="H114" s="215"/>
      <c r="I114" s="215"/>
      <c r="J114" s="215">
        <v>0.0</v>
      </c>
      <c r="K114" s="215">
        <v>0.0</v>
      </c>
      <c r="L114" s="215">
        <v>0.0</v>
      </c>
      <c r="M114" s="215">
        <v>0.0</v>
      </c>
      <c r="N114" s="215">
        <v>0.0</v>
      </c>
      <c r="O114" s="215">
        <v>0.0</v>
      </c>
      <c r="P114" s="215">
        <v>0.0</v>
      </c>
      <c r="Q114" s="215">
        <v>0.0</v>
      </c>
      <c r="R114" s="215">
        <v>0.0</v>
      </c>
      <c r="S114" s="215">
        <v>0.0</v>
      </c>
      <c r="T114" s="215">
        <v>0.0</v>
      </c>
      <c r="U114" s="215">
        <v>0.0</v>
      </c>
      <c r="V114" s="215">
        <v>0.0</v>
      </c>
      <c r="W114" s="215">
        <v>0.0</v>
      </c>
      <c r="X114" s="215">
        <v>0.0</v>
      </c>
      <c r="Y114" s="215">
        <v>0.0</v>
      </c>
      <c r="Z114" s="215">
        <v>0.0</v>
      </c>
      <c r="AA114" s="22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row>
    <row r="115" ht="15.75" customHeight="1">
      <c r="B115" s="1" t="s">
        <v>354</v>
      </c>
      <c r="C115" s="117"/>
      <c r="D115" s="117"/>
      <c r="E115" s="215"/>
      <c r="F115" s="215"/>
      <c r="G115" s="215"/>
      <c r="H115" s="215"/>
      <c r="I115" s="215"/>
      <c r="J115" s="215">
        <v>0.0</v>
      </c>
      <c r="K115" s="215">
        <v>0.0</v>
      </c>
      <c r="L115" s="215">
        <v>0.0</v>
      </c>
      <c r="M115" s="215">
        <v>0.0</v>
      </c>
      <c r="N115" s="215">
        <v>0.0</v>
      </c>
      <c r="O115" s="215">
        <v>0.0</v>
      </c>
      <c r="P115" s="215">
        <v>0.0</v>
      </c>
      <c r="Q115" s="215">
        <v>0.0</v>
      </c>
      <c r="R115" s="215">
        <v>0.0</v>
      </c>
      <c r="S115" s="215">
        <v>0.0</v>
      </c>
      <c r="T115" s="215">
        <v>0.0</v>
      </c>
      <c r="U115" s="215">
        <v>0.0</v>
      </c>
      <c r="V115" s="215">
        <v>0.0</v>
      </c>
      <c r="W115" s="215">
        <v>0.0</v>
      </c>
      <c r="X115" s="215">
        <v>0.0</v>
      </c>
      <c r="Y115" s="215">
        <v>0.0</v>
      </c>
      <c r="Z115" s="215">
        <v>0.0</v>
      </c>
      <c r="AA115" s="22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row>
    <row r="116" ht="15.75" customHeight="1">
      <c r="A116" s="220"/>
      <c r="B116" s="1" t="s">
        <v>355</v>
      </c>
      <c r="C116" s="117"/>
      <c r="D116" s="117"/>
      <c r="E116" s="215"/>
      <c r="F116" s="215"/>
      <c r="G116" s="215"/>
      <c r="H116" s="215"/>
      <c r="I116" s="215"/>
      <c r="J116" s="215">
        <v>0.0</v>
      </c>
      <c r="K116" s="215">
        <v>0.0</v>
      </c>
      <c r="L116" s="215">
        <v>0.0</v>
      </c>
      <c r="M116" s="215">
        <v>0.0</v>
      </c>
      <c r="N116" s="215">
        <v>0.0</v>
      </c>
      <c r="O116" s="215">
        <v>0.0</v>
      </c>
      <c r="P116" s="215">
        <v>0.0</v>
      </c>
      <c r="Q116" s="215">
        <v>0.0</v>
      </c>
      <c r="R116" s="215">
        <v>0.0</v>
      </c>
      <c r="S116" s="215">
        <v>0.0</v>
      </c>
      <c r="T116" s="215">
        <v>0.0</v>
      </c>
      <c r="U116" s="215">
        <v>0.0</v>
      </c>
      <c r="V116" s="215">
        <v>0.0</v>
      </c>
      <c r="W116" s="215">
        <v>0.0</v>
      </c>
      <c r="X116" s="215">
        <v>0.0</v>
      </c>
      <c r="Y116" s="215">
        <v>0.0</v>
      </c>
      <c r="Z116" s="215">
        <v>0.0</v>
      </c>
      <c r="AA116" s="22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row>
    <row r="117" ht="15.75" customHeight="1">
      <c r="A117" s="222" t="s">
        <v>360</v>
      </c>
      <c r="B117" s="1" t="s">
        <v>361</v>
      </c>
      <c r="C117" s="117"/>
      <c r="D117" s="117"/>
      <c r="E117" s="215"/>
      <c r="F117" s="215"/>
      <c r="G117" s="215"/>
      <c r="H117" s="215"/>
      <c r="I117" s="215"/>
      <c r="J117" s="215">
        <f t="shared" ref="J117:Z117" si="213">(J105-J113)*$A$118</f>
        <v>4632996.294</v>
      </c>
      <c r="K117" s="215">
        <f t="shared" si="213"/>
        <v>7025157.495</v>
      </c>
      <c r="L117" s="215">
        <f t="shared" si="213"/>
        <v>461570.636</v>
      </c>
      <c r="M117" s="215">
        <f t="shared" si="213"/>
        <v>8456409.77</v>
      </c>
      <c r="N117" s="215">
        <f t="shared" si="213"/>
        <v>475211.1337</v>
      </c>
      <c r="O117" s="215">
        <f t="shared" si="213"/>
        <v>10746660.94</v>
      </c>
      <c r="P117" s="215">
        <f t="shared" si="213"/>
        <v>941449.8278</v>
      </c>
      <c r="Q117" s="215">
        <f t="shared" si="213"/>
        <v>11566870.72</v>
      </c>
      <c r="R117" s="215">
        <f t="shared" si="213"/>
        <v>936788.1692</v>
      </c>
      <c r="S117" s="215">
        <f t="shared" si="213"/>
        <v>9426369.719</v>
      </c>
      <c r="T117" s="215">
        <f t="shared" si="213"/>
        <v>651851.7936</v>
      </c>
      <c r="U117" s="215">
        <f t="shared" si="213"/>
        <v>5883673.288</v>
      </c>
      <c r="V117" s="215">
        <f t="shared" si="213"/>
        <v>409355.2254</v>
      </c>
      <c r="W117" s="215">
        <f t="shared" si="213"/>
        <v>5003387.533</v>
      </c>
      <c r="X117" s="215">
        <f t="shared" si="213"/>
        <v>1049202.75</v>
      </c>
      <c r="Y117" s="215">
        <f t="shared" si="213"/>
        <v>9520726.49</v>
      </c>
      <c r="Z117" s="215" t="str">
        <f t="shared" si="213"/>
        <v>#VALUE!</v>
      </c>
      <c r="AA117" s="22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row>
    <row r="118" ht="15.75" customHeight="1">
      <c r="A118" s="218">
        <v>0.23</v>
      </c>
      <c r="B118" s="1" t="s">
        <v>353</v>
      </c>
      <c r="C118" s="117"/>
      <c r="D118" s="117"/>
      <c r="E118" s="215"/>
      <c r="F118" s="215"/>
      <c r="G118" s="215"/>
      <c r="H118" s="215"/>
      <c r="I118" s="215"/>
      <c r="J118" s="215">
        <f t="shared" ref="J118:Z118" si="214">(J106-J114)*$A$118</f>
        <v>0</v>
      </c>
      <c r="K118" s="215">
        <f t="shared" si="214"/>
        <v>0</v>
      </c>
      <c r="L118" s="215">
        <f t="shared" si="214"/>
        <v>0</v>
      </c>
      <c r="M118" s="215">
        <f t="shared" si="214"/>
        <v>0</v>
      </c>
      <c r="N118" s="215">
        <f t="shared" si="214"/>
        <v>0</v>
      </c>
      <c r="O118" s="215">
        <f t="shared" si="214"/>
        <v>0</v>
      </c>
      <c r="P118" s="215">
        <f t="shared" si="214"/>
        <v>0</v>
      </c>
      <c r="Q118" s="215">
        <f t="shared" si="214"/>
        <v>0</v>
      </c>
      <c r="R118" s="215">
        <f t="shared" si="214"/>
        <v>0</v>
      </c>
      <c r="S118" s="215">
        <f t="shared" si="214"/>
        <v>0</v>
      </c>
      <c r="T118" s="215">
        <f t="shared" si="214"/>
        <v>0</v>
      </c>
      <c r="U118" s="215">
        <f t="shared" si="214"/>
        <v>0</v>
      </c>
      <c r="V118" s="215">
        <f t="shared" si="214"/>
        <v>0</v>
      </c>
      <c r="W118" s="215">
        <f t="shared" si="214"/>
        <v>0</v>
      </c>
      <c r="X118" s="215">
        <f t="shared" si="214"/>
        <v>0</v>
      </c>
      <c r="Y118" s="215">
        <f t="shared" si="214"/>
        <v>0</v>
      </c>
      <c r="Z118" s="215">
        <f t="shared" si="214"/>
        <v>0</v>
      </c>
      <c r="AA118" s="22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row>
    <row r="119" ht="15.75" customHeight="1">
      <c r="A119" s="220"/>
      <c r="B119" s="1" t="s">
        <v>354</v>
      </c>
      <c r="C119" s="117"/>
      <c r="D119" s="117"/>
      <c r="E119" s="215"/>
      <c r="F119" s="215"/>
      <c r="G119" s="215"/>
      <c r="H119" s="215"/>
      <c r="I119" s="215"/>
      <c r="J119" s="215">
        <f t="shared" ref="J119:Z119" si="215">(J107-J115)*$A$118</f>
        <v>0</v>
      </c>
      <c r="K119" s="215">
        <f t="shared" si="215"/>
        <v>0</v>
      </c>
      <c r="L119" s="215">
        <f t="shared" si="215"/>
        <v>0</v>
      </c>
      <c r="M119" s="215">
        <f t="shared" si="215"/>
        <v>0</v>
      </c>
      <c r="N119" s="215">
        <f t="shared" si="215"/>
        <v>0</v>
      </c>
      <c r="O119" s="215">
        <f t="shared" si="215"/>
        <v>0</v>
      </c>
      <c r="P119" s="215">
        <f t="shared" si="215"/>
        <v>0</v>
      </c>
      <c r="Q119" s="215">
        <f t="shared" si="215"/>
        <v>0</v>
      </c>
      <c r="R119" s="215">
        <f t="shared" si="215"/>
        <v>0</v>
      </c>
      <c r="S119" s="215">
        <f t="shared" si="215"/>
        <v>0</v>
      </c>
      <c r="T119" s="215">
        <f t="shared" si="215"/>
        <v>0</v>
      </c>
      <c r="U119" s="215">
        <f t="shared" si="215"/>
        <v>0</v>
      </c>
      <c r="V119" s="215">
        <f t="shared" si="215"/>
        <v>0</v>
      </c>
      <c r="W119" s="215">
        <f t="shared" si="215"/>
        <v>0</v>
      </c>
      <c r="X119" s="215">
        <f t="shared" si="215"/>
        <v>0</v>
      </c>
      <c r="Y119" s="215">
        <f t="shared" si="215"/>
        <v>0</v>
      </c>
      <c r="Z119" s="215">
        <f t="shared" si="215"/>
        <v>0</v>
      </c>
      <c r="AA119" s="22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row>
    <row r="120" ht="15.75" customHeight="1">
      <c r="A120" s="220"/>
      <c r="B120" s="1" t="s">
        <v>355</v>
      </c>
      <c r="C120" s="117"/>
      <c r="D120" s="117"/>
      <c r="E120" s="215"/>
      <c r="F120" s="215"/>
      <c r="G120" s="215"/>
      <c r="H120" s="215"/>
      <c r="I120" s="215"/>
      <c r="J120" s="215">
        <f t="shared" ref="J120:Z120" si="216">(J108-J116)*$A$118</f>
        <v>0</v>
      </c>
      <c r="K120" s="215">
        <f t="shared" si="216"/>
        <v>0</v>
      </c>
      <c r="L120" s="215">
        <f t="shared" si="216"/>
        <v>0</v>
      </c>
      <c r="M120" s="215">
        <f t="shared" si="216"/>
        <v>0</v>
      </c>
      <c r="N120" s="215">
        <f t="shared" si="216"/>
        <v>0</v>
      </c>
      <c r="O120" s="215">
        <f t="shared" si="216"/>
        <v>0</v>
      </c>
      <c r="P120" s="215">
        <f t="shared" si="216"/>
        <v>0</v>
      </c>
      <c r="Q120" s="215">
        <f t="shared" si="216"/>
        <v>0</v>
      </c>
      <c r="R120" s="215">
        <f t="shared" si="216"/>
        <v>0</v>
      </c>
      <c r="S120" s="215">
        <f t="shared" si="216"/>
        <v>0</v>
      </c>
      <c r="T120" s="215">
        <f t="shared" si="216"/>
        <v>0</v>
      </c>
      <c r="U120" s="215">
        <f t="shared" si="216"/>
        <v>0</v>
      </c>
      <c r="V120" s="215">
        <f t="shared" si="216"/>
        <v>0</v>
      </c>
      <c r="W120" s="215">
        <f t="shared" si="216"/>
        <v>0</v>
      </c>
      <c r="X120" s="215">
        <f t="shared" si="216"/>
        <v>0</v>
      </c>
      <c r="Y120" s="215">
        <f t="shared" si="216"/>
        <v>0</v>
      </c>
      <c r="Z120" s="215">
        <f t="shared" si="216"/>
        <v>0</v>
      </c>
      <c r="AA120" s="22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row>
    <row r="121" ht="15.75" customHeight="1">
      <c r="A121" s="220"/>
      <c r="B121" s="1" t="s">
        <v>362</v>
      </c>
      <c r="C121" s="117"/>
      <c r="D121" s="117"/>
      <c r="E121" s="215"/>
      <c r="F121" s="215"/>
      <c r="G121" s="215"/>
      <c r="H121" s="215"/>
      <c r="I121" s="215"/>
      <c r="J121" s="215">
        <f t="shared" ref="J121:Z121" si="217">(J105-J117)*0.9</f>
        <v>17137245.38</v>
      </c>
      <c r="K121" s="215">
        <f t="shared" si="217"/>
        <v>27751144.97</v>
      </c>
      <c r="L121" s="215">
        <f t="shared" si="217"/>
        <v>2298839.594</v>
      </c>
      <c r="M121" s="215">
        <f t="shared" si="217"/>
        <v>50613175.11</v>
      </c>
      <c r="N121" s="215">
        <f t="shared" si="217"/>
        <v>2327915.007</v>
      </c>
      <c r="O121" s="215">
        <f t="shared" si="217"/>
        <v>39217017.47</v>
      </c>
      <c r="P121" s="215">
        <f t="shared" si="217"/>
        <v>4873451.664</v>
      </c>
      <c r="Q121" s="215">
        <f t="shared" si="217"/>
        <v>45782639.6</v>
      </c>
      <c r="R121" s="215">
        <f t="shared" si="217"/>
        <v>4756971.484</v>
      </c>
      <c r="S121" s="215">
        <f t="shared" si="217"/>
        <v>34917431.81</v>
      </c>
      <c r="T121" s="215">
        <f t="shared" si="217"/>
        <v>3532203.395</v>
      </c>
      <c r="U121" s="215">
        <f t="shared" si="217"/>
        <v>23148643.43</v>
      </c>
      <c r="V121" s="215">
        <f t="shared" si="217"/>
        <v>3966193.892</v>
      </c>
      <c r="W121" s="215">
        <f t="shared" si="217"/>
        <v>20824472.98</v>
      </c>
      <c r="X121" s="215">
        <f t="shared" si="217"/>
        <v>5327808.062</v>
      </c>
      <c r="Y121" s="215">
        <f t="shared" si="217"/>
        <v>35062870.06</v>
      </c>
      <c r="Z121" s="215" t="str">
        <f t="shared" si="217"/>
        <v>#VALUE!</v>
      </c>
      <c r="AA121" s="22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row>
    <row r="122" ht="15.75" customHeight="1">
      <c r="A122" s="220"/>
      <c r="B122" s="1" t="s">
        <v>353</v>
      </c>
      <c r="C122" s="117"/>
      <c r="D122" s="117"/>
      <c r="E122" s="215"/>
      <c r="F122" s="215"/>
      <c r="G122" s="215"/>
      <c r="H122" s="215"/>
      <c r="I122" s="215"/>
      <c r="J122" s="215">
        <f t="shared" ref="J122:Z122" si="218">(J106-J118)*0.9</f>
        <v>0</v>
      </c>
      <c r="K122" s="215">
        <f t="shared" si="218"/>
        <v>0</v>
      </c>
      <c r="L122" s="215">
        <f t="shared" si="218"/>
        <v>0</v>
      </c>
      <c r="M122" s="215">
        <f t="shared" si="218"/>
        <v>0</v>
      </c>
      <c r="N122" s="215">
        <f t="shared" si="218"/>
        <v>0</v>
      </c>
      <c r="O122" s="215">
        <f t="shared" si="218"/>
        <v>0</v>
      </c>
      <c r="P122" s="215">
        <f t="shared" si="218"/>
        <v>0</v>
      </c>
      <c r="Q122" s="215">
        <f t="shared" si="218"/>
        <v>0</v>
      </c>
      <c r="R122" s="215">
        <f t="shared" si="218"/>
        <v>0</v>
      </c>
      <c r="S122" s="215">
        <f t="shared" si="218"/>
        <v>0</v>
      </c>
      <c r="T122" s="215">
        <f t="shared" si="218"/>
        <v>0</v>
      </c>
      <c r="U122" s="215">
        <f t="shared" si="218"/>
        <v>0</v>
      </c>
      <c r="V122" s="215">
        <f t="shared" si="218"/>
        <v>0</v>
      </c>
      <c r="W122" s="215">
        <f t="shared" si="218"/>
        <v>0</v>
      </c>
      <c r="X122" s="215">
        <f t="shared" si="218"/>
        <v>0</v>
      </c>
      <c r="Y122" s="215">
        <f t="shared" si="218"/>
        <v>0</v>
      </c>
      <c r="Z122" s="215">
        <f t="shared" si="218"/>
        <v>0</v>
      </c>
      <c r="AA122" s="22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row>
    <row r="123" ht="15.75" customHeight="1">
      <c r="A123" s="220"/>
      <c r="B123" s="1" t="s">
        <v>354</v>
      </c>
      <c r="C123" s="117"/>
      <c r="D123" s="117"/>
      <c r="E123" s="215"/>
      <c r="F123" s="215"/>
      <c r="G123" s="215"/>
      <c r="H123" s="215"/>
      <c r="I123" s="215"/>
      <c r="J123" s="215">
        <f t="shared" ref="J123:Z123" si="219">(J107-J119)*0.9</f>
        <v>0</v>
      </c>
      <c r="K123" s="215">
        <f t="shared" si="219"/>
        <v>0</v>
      </c>
      <c r="L123" s="215">
        <f t="shared" si="219"/>
        <v>0</v>
      </c>
      <c r="M123" s="215">
        <f t="shared" si="219"/>
        <v>0</v>
      </c>
      <c r="N123" s="215">
        <f t="shared" si="219"/>
        <v>0</v>
      </c>
      <c r="O123" s="215">
        <f t="shared" si="219"/>
        <v>0</v>
      </c>
      <c r="P123" s="215">
        <f t="shared" si="219"/>
        <v>0</v>
      </c>
      <c r="Q123" s="215">
        <f t="shared" si="219"/>
        <v>0</v>
      </c>
      <c r="R123" s="215">
        <f t="shared" si="219"/>
        <v>0</v>
      </c>
      <c r="S123" s="215">
        <f t="shared" si="219"/>
        <v>0</v>
      </c>
      <c r="T123" s="215">
        <f t="shared" si="219"/>
        <v>0</v>
      </c>
      <c r="U123" s="215">
        <f t="shared" si="219"/>
        <v>0</v>
      </c>
      <c r="V123" s="215">
        <f t="shared" si="219"/>
        <v>0</v>
      </c>
      <c r="W123" s="215">
        <f t="shared" si="219"/>
        <v>0</v>
      </c>
      <c r="X123" s="215">
        <f t="shared" si="219"/>
        <v>0</v>
      </c>
      <c r="Y123" s="215">
        <f t="shared" si="219"/>
        <v>0</v>
      </c>
      <c r="Z123" s="215">
        <f t="shared" si="219"/>
        <v>0</v>
      </c>
      <c r="AA123" s="22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row>
    <row r="124" ht="15.75" customHeight="1">
      <c r="A124" s="220"/>
      <c r="B124" s="1" t="s">
        <v>355</v>
      </c>
      <c r="C124" s="117"/>
      <c r="D124" s="117"/>
      <c r="E124" s="215"/>
      <c r="F124" s="215"/>
      <c r="G124" s="215"/>
      <c r="H124" s="215"/>
      <c r="I124" s="215"/>
      <c r="J124" s="215">
        <f t="shared" ref="J124:Z124" si="220">(J108-J120)*0.9</f>
        <v>0</v>
      </c>
      <c r="K124" s="215">
        <f t="shared" si="220"/>
        <v>0</v>
      </c>
      <c r="L124" s="215">
        <f t="shared" si="220"/>
        <v>0</v>
      </c>
      <c r="M124" s="215">
        <f t="shared" si="220"/>
        <v>0</v>
      </c>
      <c r="N124" s="215">
        <f t="shared" si="220"/>
        <v>0</v>
      </c>
      <c r="O124" s="215">
        <f t="shared" si="220"/>
        <v>0</v>
      </c>
      <c r="P124" s="215">
        <f t="shared" si="220"/>
        <v>0</v>
      </c>
      <c r="Q124" s="215">
        <f t="shared" si="220"/>
        <v>0</v>
      </c>
      <c r="R124" s="215">
        <f t="shared" si="220"/>
        <v>0</v>
      </c>
      <c r="S124" s="215">
        <f t="shared" si="220"/>
        <v>0</v>
      </c>
      <c r="T124" s="215">
        <f t="shared" si="220"/>
        <v>0</v>
      </c>
      <c r="U124" s="215">
        <f t="shared" si="220"/>
        <v>0</v>
      </c>
      <c r="V124" s="215">
        <f t="shared" si="220"/>
        <v>0</v>
      </c>
      <c r="W124" s="215">
        <f t="shared" si="220"/>
        <v>0</v>
      </c>
      <c r="X124" s="215">
        <f t="shared" si="220"/>
        <v>0</v>
      </c>
      <c r="Y124" s="215">
        <f t="shared" si="220"/>
        <v>0</v>
      </c>
      <c r="Z124" s="215">
        <f t="shared" si="220"/>
        <v>0</v>
      </c>
      <c r="AA124" s="22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row>
    <row r="125" ht="15.75" customHeight="1">
      <c r="A125" s="220"/>
      <c r="B125" s="1" t="s">
        <v>363</v>
      </c>
      <c r="C125" s="117"/>
      <c r="D125" s="117"/>
      <c r="E125" s="215"/>
      <c r="F125" s="215"/>
      <c r="G125" s="215">
        <f t="shared" ref="G125:I125" si="221">SUMIFS(G68:G84,G68:G84,"&gt;1",H68:H84,"&lt;1")*$A$125</f>
        <v>0</v>
      </c>
      <c r="H125" s="215">
        <f t="shared" si="221"/>
        <v>0</v>
      </c>
      <c r="I125" s="215">
        <f t="shared" si="221"/>
        <v>0</v>
      </c>
      <c r="J125" s="215">
        <f t="shared" ref="J125:Z125" si="222">SUM(J121:J124)</f>
        <v>17137245.38</v>
      </c>
      <c r="K125" s="215">
        <f t="shared" si="222"/>
        <v>27751144.97</v>
      </c>
      <c r="L125" s="215">
        <f t="shared" si="222"/>
        <v>2298839.594</v>
      </c>
      <c r="M125" s="215">
        <f t="shared" si="222"/>
        <v>50613175.11</v>
      </c>
      <c r="N125" s="215">
        <f t="shared" si="222"/>
        <v>2327915.007</v>
      </c>
      <c r="O125" s="215">
        <f t="shared" si="222"/>
        <v>39217017.47</v>
      </c>
      <c r="P125" s="215">
        <f t="shared" si="222"/>
        <v>4873451.664</v>
      </c>
      <c r="Q125" s="215">
        <f t="shared" si="222"/>
        <v>45782639.6</v>
      </c>
      <c r="R125" s="215">
        <f t="shared" si="222"/>
        <v>4756971.484</v>
      </c>
      <c r="S125" s="215">
        <f t="shared" si="222"/>
        <v>34917431.81</v>
      </c>
      <c r="T125" s="215">
        <f t="shared" si="222"/>
        <v>3532203.395</v>
      </c>
      <c r="U125" s="215">
        <f t="shared" si="222"/>
        <v>23148643.43</v>
      </c>
      <c r="V125" s="215">
        <f t="shared" si="222"/>
        <v>3966193.892</v>
      </c>
      <c r="W125" s="215">
        <f t="shared" si="222"/>
        <v>20824472.98</v>
      </c>
      <c r="X125" s="215">
        <f t="shared" si="222"/>
        <v>5327808.062</v>
      </c>
      <c r="Y125" s="215">
        <f t="shared" si="222"/>
        <v>35062870.06</v>
      </c>
      <c r="Z125" s="215" t="str">
        <f t="shared" si="222"/>
        <v>#VALUE!</v>
      </c>
      <c r="AA125" s="22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row>
    <row r="126" ht="15.75" customHeight="1">
      <c r="A126" s="117"/>
      <c r="B126" s="1" t="s">
        <v>364</v>
      </c>
      <c r="C126" s="117" t="str">
        <f t="shared" ref="C126:Z126" si="223">C224</f>
        <v/>
      </c>
      <c r="D126" s="117" t="str">
        <f t="shared" si="223"/>
        <v/>
      </c>
      <c r="E126" s="215">
        <f t="shared" si="223"/>
        <v>0</v>
      </c>
      <c r="F126" s="215">
        <f t="shared" si="223"/>
        <v>-287150.0372</v>
      </c>
      <c r="G126" s="215">
        <f t="shared" si="223"/>
        <v>-798730.0419</v>
      </c>
      <c r="H126" s="215">
        <f t="shared" si="223"/>
        <v>-908311.7678</v>
      </c>
      <c r="I126" s="215">
        <f t="shared" si="223"/>
        <v>-1288961.82</v>
      </c>
      <c r="J126" s="215">
        <f t="shared" si="223"/>
        <v>-1536071.425</v>
      </c>
      <c r="K126" s="215">
        <f t="shared" si="223"/>
        <v>-1678120.526</v>
      </c>
      <c r="L126" s="215">
        <f t="shared" si="223"/>
        <v>-1480342.769</v>
      </c>
      <c r="M126" s="215">
        <f t="shared" si="223"/>
        <v>-1942801.894</v>
      </c>
      <c r="N126" s="215">
        <f t="shared" si="223"/>
        <v>-1927967.862</v>
      </c>
      <c r="O126" s="215">
        <f t="shared" si="223"/>
        <v>-1804500.716</v>
      </c>
      <c r="P126" s="215">
        <f t="shared" si="223"/>
        <v>-1683682.01</v>
      </c>
      <c r="Q126" s="215">
        <f t="shared" si="223"/>
        <v>-1476346.971</v>
      </c>
      <c r="R126" s="215">
        <f t="shared" si="223"/>
        <v>-1119317.536</v>
      </c>
      <c r="S126" s="215">
        <f t="shared" si="223"/>
        <v>-912315.185</v>
      </c>
      <c r="T126" s="215">
        <f t="shared" si="223"/>
        <v>-965397.9276</v>
      </c>
      <c r="U126" s="215">
        <f t="shared" si="223"/>
        <v>-770618.8065</v>
      </c>
      <c r="V126" s="215">
        <f t="shared" si="223"/>
        <v>-884800.6673</v>
      </c>
      <c r="W126" s="215">
        <f t="shared" si="223"/>
        <v>-809065.1871</v>
      </c>
      <c r="X126" s="215">
        <f t="shared" si="223"/>
        <v>-958912.9167</v>
      </c>
      <c r="Y126" s="215">
        <f t="shared" si="223"/>
        <v>-980394.4189</v>
      </c>
      <c r="Z126" s="215">
        <f t="shared" si="223"/>
        <v>-1041345.238</v>
      </c>
      <c r="AA126" s="221" t="s">
        <v>365</v>
      </c>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row>
    <row r="127" ht="15.75" customHeight="1">
      <c r="A127" s="117"/>
      <c r="B127" s="1" t="s">
        <v>366</v>
      </c>
      <c r="C127" s="117"/>
      <c r="D127" s="117"/>
      <c r="E127" s="195"/>
      <c r="F127" s="195">
        <f t="shared" ref="F127:Z127" si="224">-E129*$AA$127</f>
        <v>-6254584.575</v>
      </c>
      <c r="G127" s="195">
        <f t="shared" si="224"/>
        <v>-8351636.162</v>
      </c>
      <c r="H127" s="195">
        <f t="shared" si="224"/>
        <v>-13393023.81</v>
      </c>
      <c r="I127" s="195">
        <f t="shared" si="224"/>
        <v>-13629843.17</v>
      </c>
      <c r="J127" s="195">
        <f t="shared" si="224"/>
        <v>-16098373.98</v>
      </c>
      <c r="K127" s="195">
        <f t="shared" si="224"/>
        <v>-23764520.67</v>
      </c>
      <c r="L127" s="195">
        <f t="shared" si="224"/>
        <v>-26073660.4</v>
      </c>
      <c r="M127" s="195">
        <f t="shared" si="224"/>
        <v>-14306683.01</v>
      </c>
      <c r="N127" s="195">
        <f t="shared" si="224"/>
        <v>-41538480.18</v>
      </c>
      <c r="O127" s="195">
        <f t="shared" si="224"/>
        <v>-9402271.721</v>
      </c>
      <c r="P127" s="195">
        <f t="shared" si="224"/>
        <v>-40881461.39</v>
      </c>
      <c r="Q127" s="195">
        <f t="shared" si="224"/>
        <v>-13776483.1</v>
      </c>
      <c r="R127" s="195">
        <f t="shared" si="224"/>
        <v>-44698769.55</v>
      </c>
      <c r="S127" s="195">
        <f t="shared" si="224"/>
        <v>-14537571.81</v>
      </c>
      <c r="T127" s="195">
        <f t="shared" si="224"/>
        <v>-42097290.75</v>
      </c>
      <c r="U127" s="195">
        <f t="shared" si="224"/>
        <v>-17694599.56</v>
      </c>
      <c r="V127" s="195">
        <f t="shared" si="224"/>
        <v>-38940765.77</v>
      </c>
      <c r="W127" s="195">
        <f t="shared" si="224"/>
        <v>-22124069.11</v>
      </c>
      <c r="X127" s="195">
        <f t="shared" si="224"/>
        <v>-42561114.33</v>
      </c>
      <c r="Y127" s="195">
        <f t="shared" si="224"/>
        <v>-30104334.63</v>
      </c>
      <c r="Z127" s="195">
        <f t="shared" si="224"/>
        <v>-53651545.83</v>
      </c>
      <c r="AA127" s="223">
        <v>0.42</v>
      </c>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row>
    <row r="128" ht="15.75" customHeight="1">
      <c r="A128" s="117"/>
      <c r="B128" s="1"/>
      <c r="C128" s="117"/>
      <c r="D128" s="117"/>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row>
    <row r="129" ht="15.75" customHeight="1">
      <c r="A129" s="117"/>
      <c r="B129" s="224" t="s">
        <v>184</v>
      </c>
      <c r="C129" s="225">
        <f t="shared" ref="C129:Z129" si="225">C85+(C98-C99+C125+C126+C127)</f>
        <v>13952385</v>
      </c>
      <c r="D129" s="225">
        <f t="shared" si="225"/>
        <v>13658440</v>
      </c>
      <c r="E129" s="226">
        <f t="shared" si="225"/>
        <v>14891868.03</v>
      </c>
      <c r="F129" s="226">
        <f t="shared" si="225"/>
        <v>19884848.01</v>
      </c>
      <c r="G129" s="226">
        <f t="shared" si="225"/>
        <v>31888151.92</v>
      </c>
      <c r="H129" s="226">
        <f t="shared" si="225"/>
        <v>32452007.54</v>
      </c>
      <c r="I129" s="226">
        <f t="shared" si="225"/>
        <v>38329461.85</v>
      </c>
      <c r="J129" s="226">
        <f t="shared" si="225"/>
        <v>56582192.07</v>
      </c>
      <c r="K129" s="226">
        <f t="shared" si="225"/>
        <v>62080143.81</v>
      </c>
      <c r="L129" s="226">
        <f t="shared" si="225"/>
        <v>34063530.98</v>
      </c>
      <c r="M129" s="226">
        <f t="shared" si="225"/>
        <v>98901143.29</v>
      </c>
      <c r="N129" s="226">
        <f t="shared" si="225"/>
        <v>22386361.24</v>
      </c>
      <c r="O129" s="226">
        <f t="shared" si="225"/>
        <v>97336812.83</v>
      </c>
      <c r="P129" s="226">
        <f t="shared" si="225"/>
        <v>32801150.25</v>
      </c>
      <c r="Q129" s="226">
        <f t="shared" si="225"/>
        <v>106425641.8</v>
      </c>
      <c r="R129" s="226">
        <f t="shared" si="225"/>
        <v>34613266.22</v>
      </c>
      <c r="S129" s="226">
        <f t="shared" si="225"/>
        <v>100231644.6</v>
      </c>
      <c r="T129" s="226">
        <f t="shared" si="225"/>
        <v>42129998.96</v>
      </c>
      <c r="U129" s="226">
        <f t="shared" si="225"/>
        <v>92716108.97</v>
      </c>
      <c r="V129" s="226">
        <f t="shared" si="225"/>
        <v>52676355.03</v>
      </c>
      <c r="W129" s="226">
        <f t="shared" si="225"/>
        <v>101335986.5</v>
      </c>
      <c r="X129" s="226">
        <f t="shared" si="225"/>
        <v>71676987.21</v>
      </c>
      <c r="Y129" s="226">
        <f t="shared" si="225"/>
        <v>127741775.8</v>
      </c>
      <c r="Z129" s="226" t="str">
        <f t="shared" si="225"/>
        <v>#VALUE!</v>
      </c>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row>
    <row r="130" ht="15.75" customHeight="1">
      <c r="A130" s="117"/>
      <c r="B130" s="1"/>
      <c r="C130" s="1"/>
      <c r="D130" s="1"/>
      <c r="E130" s="227"/>
      <c r="F130" s="215"/>
      <c r="G130" s="215"/>
      <c r="H130" s="215"/>
      <c r="I130" s="215"/>
      <c r="J130" s="215"/>
      <c r="K130" s="215"/>
      <c r="L130" s="215"/>
      <c r="M130" s="215"/>
      <c r="N130" s="215"/>
      <c r="O130" s="215"/>
      <c r="P130" s="215"/>
      <c r="Q130" s="215"/>
      <c r="R130" s="215"/>
      <c r="S130" s="215"/>
      <c r="T130" s="215"/>
      <c r="U130" s="215"/>
      <c r="V130" s="215"/>
      <c r="W130" s="215"/>
      <c r="X130" s="215"/>
      <c r="Y130" s="215"/>
      <c r="Z130" s="215"/>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row>
    <row r="131" ht="15.75" customHeight="1">
      <c r="A131" s="117"/>
      <c r="B131" s="1"/>
      <c r="C131" s="1"/>
      <c r="D131" s="1"/>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row>
    <row r="132" ht="15.75" customHeight="1">
      <c r="A132" s="228" t="s">
        <v>367</v>
      </c>
      <c r="B132" s="229" t="s">
        <v>368</v>
      </c>
      <c r="C132" s="228" t="s">
        <v>369</v>
      </c>
      <c r="D132" s="230"/>
      <c r="E132" s="231" t="str">
        <f>Summary!#REF!+E129</f>
        <v>#ERROR!</v>
      </c>
      <c r="F132" s="231" t="str">
        <f t="shared" ref="F132:Z132" si="226">E225+F129</f>
        <v>#ERROR!</v>
      </c>
      <c r="G132" s="231" t="str">
        <f t="shared" si="226"/>
        <v>#ERROR!</v>
      </c>
      <c r="H132" s="231" t="str">
        <f t="shared" si="226"/>
        <v>#ERROR!</v>
      </c>
      <c r="I132" s="231" t="str">
        <f t="shared" si="226"/>
        <v>#ERROR!</v>
      </c>
      <c r="J132" s="231" t="str">
        <f t="shared" si="226"/>
        <v>#ERROR!</v>
      </c>
      <c r="K132" s="231" t="str">
        <f t="shared" si="226"/>
        <v>#ERROR!</v>
      </c>
      <c r="L132" s="231" t="str">
        <f t="shared" si="226"/>
        <v>#ERROR!</v>
      </c>
      <c r="M132" s="231" t="str">
        <f t="shared" si="226"/>
        <v>#ERROR!</v>
      </c>
      <c r="N132" s="231" t="str">
        <f t="shared" si="226"/>
        <v>#ERROR!</v>
      </c>
      <c r="O132" s="231" t="str">
        <f t="shared" si="226"/>
        <v>#ERROR!</v>
      </c>
      <c r="P132" s="231" t="str">
        <f t="shared" si="226"/>
        <v>#ERROR!</v>
      </c>
      <c r="Q132" s="231" t="str">
        <f t="shared" si="226"/>
        <v>#ERROR!</v>
      </c>
      <c r="R132" s="231" t="str">
        <f t="shared" si="226"/>
        <v>#ERROR!</v>
      </c>
      <c r="S132" s="231" t="str">
        <f t="shared" si="226"/>
        <v>#ERROR!</v>
      </c>
      <c r="T132" s="231" t="str">
        <f t="shared" si="226"/>
        <v>#ERROR!</v>
      </c>
      <c r="U132" s="231" t="str">
        <f t="shared" si="226"/>
        <v>#ERROR!</v>
      </c>
      <c r="V132" s="231" t="str">
        <f t="shared" si="226"/>
        <v>#ERROR!</v>
      </c>
      <c r="W132" s="231" t="str">
        <f t="shared" si="226"/>
        <v>#ERROR!</v>
      </c>
      <c r="X132" s="231" t="str">
        <f t="shared" si="226"/>
        <v>#ERROR!</v>
      </c>
      <c r="Y132" s="231" t="str">
        <f t="shared" si="226"/>
        <v>#ERROR!</v>
      </c>
      <c r="Z132" s="231" t="str">
        <f t="shared" si="226"/>
        <v>#ERROR!</v>
      </c>
      <c r="AA132" s="1"/>
      <c r="AB132" s="232" t="s">
        <v>370</v>
      </c>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row>
    <row r="133" ht="15.75" customHeight="1">
      <c r="B133" s="4" t="s">
        <v>371</v>
      </c>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
      <c r="AB133" s="1" t="s">
        <v>372</v>
      </c>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row>
    <row r="134" ht="15.75" customHeight="1">
      <c r="A134" s="117"/>
      <c r="B134" s="233"/>
      <c r="C134" s="117"/>
      <c r="D134" s="117"/>
      <c r="E134" s="117"/>
      <c r="F134" s="117"/>
      <c r="G134" s="131"/>
      <c r="H134" s="117"/>
      <c r="I134" s="117"/>
      <c r="J134" s="117"/>
      <c r="K134" s="117"/>
      <c r="L134" s="117"/>
      <c r="M134" s="117"/>
      <c r="N134" s="117"/>
      <c r="O134" s="117"/>
      <c r="P134" s="117"/>
      <c r="Q134" s="117"/>
      <c r="R134" s="117"/>
      <c r="S134" s="117"/>
      <c r="T134" s="117"/>
      <c r="U134" s="117"/>
      <c r="V134" s="117"/>
      <c r="W134" s="117"/>
      <c r="X134" s="117"/>
      <c r="Y134" s="117"/>
      <c r="Z134" s="117"/>
      <c r="AA134" s="1"/>
      <c r="AB134" s="201">
        <v>5.0</v>
      </c>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row>
    <row r="135" ht="15.75" customHeight="1">
      <c r="A135" s="117" t="s">
        <v>373</v>
      </c>
      <c r="B135" s="1"/>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
      <c r="AB135" s="1" t="s">
        <v>374</v>
      </c>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row>
    <row r="136" ht="15.75" customHeight="1">
      <c r="A136" s="117"/>
      <c r="B136" s="4" t="s">
        <v>332</v>
      </c>
      <c r="C136" s="117"/>
      <c r="D136" s="117"/>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1"/>
      <c r="AB136" s="234">
        <v>0.075</v>
      </c>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row>
    <row r="137" ht="15.75" customHeight="1">
      <c r="A137" s="122"/>
      <c r="B137" s="1" t="s">
        <v>375</v>
      </c>
      <c r="C137" s="131">
        <f t="shared" ref="C137:C139" si="229">-AE12</f>
        <v>-1500000</v>
      </c>
      <c r="D137" s="117"/>
      <c r="E137" s="195">
        <f t="shared" ref="E137:P137" si="227">IF(YEAR(E$1)=YEAR($AE$2),PMT($AB$136,$AB$134,$C137,0)*((12-MONTH($AE$2))/12),IF(YEAR(E$1)=YEAR($AE$2)+$AB$134,PMT($AB$136,5,$C137,0)*(MONTH($AE$2))/12,IF(AND(YEAR(E$1)&gt;YEAR($AE$2),YEAR(E$1)&lt;YEAR($AE$2)+$AB$134),(PMT($AB$136,$AB$134,$C137,0)),0)))</f>
        <v>0</v>
      </c>
      <c r="F137" s="195">
        <f t="shared" si="227"/>
        <v>0</v>
      </c>
      <c r="G137" s="195">
        <f t="shared" si="227"/>
        <v>339851.487</v>
      </c>
      <c r="H137" s="195">
        <f t="shared" si="227"/>
        <v>370747.0767</v>
      </c>
      <c r="I137" s="195">
        <f t="shared" si="227"/>
        <v>370747.0767</v>
      </c>
      <c r="J137" s="195">
        <f t="shared" si="227"/>
        <v>370747.0767</v>
      </c>
      <c r="K137" s="195">
        <f t="shared" si="227"/>
        <v>370747.0767</v>
      </c>
      <c r="L137" s="195">
        <f t="shared" si="227"/>
        <v>30895.58972</v>
      </c>
      <c r="M137" s="195">
        <f t="shared" si="227"/>
        <v>0</v>
      </c>
      <c r="N137" s="195">
        <f t="shared" si="227"/>
        <v>0</v>
      </c>
      <c r="O137" s="195">
        <f t="shared" si="227"/>
        <v>0</v>
      </c>
      <c r="P137" s="195">
        <f t="shared" si="227"/>
        <v>0</v>
      </c>
      <c r="Q137" s="195">
        <f t="shared" ref="Q137:Z137" si="228">IF(YEAR(Q$1)=YEAR($AE$2),PMT($AB$136,$AB$134,$C137,0)*((12-MONTH($AE$2)+1)/12),IF(YEAR(Q$1)=YEAR($AE$2)+$AB$134,PMT($AB$136,5,$C137,0)*(MONTH($AE$2)-1)/12,IF(AND(YEAR(Q$1)&gt;YEAR($AE$2),YEAR(Q$1)&lt;YEAR($AE$2)+$AB$134),(PMT($AB$136,$AB$134,$C137,0)),0)))</f>
        <v>0</v>
      </c>
      <c r="R137" s="195">
        <f t="shared" si="228"/>
        <v>0</v>
      </c>
      <c r="S137" s="195">
        <f t="shared" si="228"/>
        <v>0</v>
      </c>
      <c r="T137" s="195">
        <f t="shared" si="228"/>
        <v>0</v>
      </c>
      <c r="U137" s="195">
        <f t="shared" si="228"/>
        <v>0</v>
      </c>
      <c r="V137" s="195">
        <f t="shared" si="228"/>
        <v>0</v>
      </c>
      <c r="W137" s="195">
        <f t="shared" si="228"/>
        <v>0</v>
      </c>
      <c r="X137" s="195">
        <f t="shared" si="228"/>
        <v>0</v>
      </c>
      <c r="Y137" s="195">
        <f t="shared" si="228"/>
        <v>0</v>
      </c>
      <c r="Z137" s="195">
        <f t="shared" si="228"/>
        <v>0</v>
      </c>
      <c r="AA137" s="1"/>
      <c r="AB137" s="1" t="s">
        <v>376</v>
      </c>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row>
    <row r="138" ht="15.75" customHeight="1">
      <c r="A138" s="122"/>
      <c r="B138" s="1" t="s">
        <v>377</v>
      </c>
      <c r="C138" s="131">
        <f t="shared" si="229"/>
        <v>-900000</v>
      </c>
      <c r="D138" s="117"/>
      <c r="E138" s="195">
        <v>0.0</v>
      </c>
      <c r="F138" s="195">
        <v>0.0</v>
      </c>
      <c r="G138" s="195">
        <v>0.0</v>
      </c>
      <c r="H138" s="195">
        <v>0.0</v>
      </c>
      <c r="I138" s="195">
        <v>0.0</v>
      </c>
      <c r="J138" s="195">
        <v>0.0</v>
      </c>
      <c r="K138" s="195">
        <v>0.0</v>
      </c>
      <c r="L138" s="195">
        <v>0.0</v>
      </c>
      <c r="M138" s="195">
        <v>0.0</v>
      </c>
      <c r="N138" s="195">
        <v>0.0</v>
      </c>
      <c r="O138" s="195">
        <v>0.0</v>
      </c>
      <c r="P138" s="195">
        <v>0.0</v>
      </c>
      <c r="Q138" s="195">
        <v>0.0</v>
      </c>
      <c r="R138" s="195">
        <v>0.0</v>
      </c>
      <c r="S138" s="195">
        <v>0.0</v>
      </c>
      <c r="T138" s="195">
        <v>0.0</v>
      </c>
      <c r="U138" s="195">
        <v>0.0</v>
      </c>
      <c r="V138" s="195">
        <v>0.0</v>
      </c>
      <c r="W138" s="195">
        <v>0.0</v>
      </c>
      <c r="X138" s="195">
        <v>0.0</v>
      </c>
      <c r="Y138" s="195">
        <v>0.0</v>
      </c>
      <c r="Z138" s="195">
        <v>0.0</v>
      </c>
      <c r="AA138" s="1"/>
      <c r="AB138" s="234">
        <v>0.0097</v>
      </c>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row>
    <row r="139" ht="15.75" customHeight="1">
      <c r="A139" s="122"/>
      <c r="B139" s="1" t="s">
        <v>378</v>
      </c>
      <c r="C139" s="131">
        <f t="shared" si="229"/>
        <v>-600000</v>
      </c>
      <c r="D139" s="117"/>
      <c r="E139" s="195">
        <f t="shared" ref="E139:H139" si="230">IF(OR(YEAR(E$1)=YEAR($AE$2)+1,YEAR(E$1)=YEAR($AE$2)+2),-($C139*$AB$138),IF(YEAR(E$1)=YEAR($AE$2)+3,PMT($AB$136,$AB$134,$C139,0)*((12-MONTH($AE$2))/12),IF(YEAR(E$1)=YEAR($AE$2)+($AB$134+3),PMT($AB$136,$AB$134,$C139,0)*(MONTH($AE$2))/12,IF(AND(YEAR(E$1)&gt;YEAR($AE$2)+3,YEAR(E$1)&lt;YEAR($AE$2)+$AB$134+4),PMT($AB$136,$AB$134,$C139,0),0))))</f>
        <v>0</v>
      </c>
      <c r="F139" s="195">
        <f t="shared" si="230"/>
        <v>0</v>
      </c>
      <c r="G139" s="195">
        <f t="shared" si="230"/>
        <v>0</v>
      </c>
      <c r="H139" s="195">
        <f t="shared" si="230"/>
        <v>5820</v>
      </c>
      <c r="I139" s="195">
        <f t="shared" ref="I139:N139" si="231">IF(OR(YEAR(I$1)=YEAR($AE$2)+1,YEAR(I$1)=YEAR($AE$2)+2),-($C139*$AB$138),IF(YEAR(I$1)=YEAR($AE$2)+3,PMT($AB$136,$AB$134,$C139,0)*((12-MONTH($AE$2)+1)/12),IF(YEAR(I$1)=YEAR($AE$2)+($AB$134+3),PMT($AB$136,$AB$134,$C139,0)*(MONTH($AE$2)-1)/12,IF(AND(YEAR(I$1)&gt;YEAR($AE$2)+3,YEAR(I$1)&lt;YEAR($AE$2)+$AB$134+4),PMT($AB$136,$AB$134,$C139,0),0))))</f>
        <v>5820</v>
      </c>
      <c r="J139" s="195">
        <f t="shared" si="231"/>
        <v>148298.8307</v>
      </c>
      <c r="K139" s="195">
        <f t="shared" si="231"/>
        <v>148298.8307</v>
      </c>
      <c r="L139" s="195">
        <f t="shared" si="231"/>
        <v>148298.8307</v>
      </c>
      <c r="M139" s="195">
        <f t="shared" si="231"/>
        <v>148298.8307</v>
      </c>
      <c r="N139" s="195">
        <f t="shared" si="231"/>
        <v>148298.8307</v>
      </c>
      <c r="O139" s="195">
        <f>IF(OR(YEAR(O$1)=YEAR($AE$2)+1,YEAR(O$1)=YEAR($AE$2)+2),-($C139*$AB$138),IF(YEAR(O$1)=YEAR($AE$2)+3,PMT($AB$136,$AB$134,$C139,0)*((12-MONTH($AE$2)+1)/12),IF(YEAR(O$1)=YEAR($AE$2)+($AB$134+3),PMT($AB$136,$AB$134,$C139,0)*(MONTH($AE$2))/12,IF(AND(YEAR(O$1)&gt;YEAR($AE$2)+3,YEAR(O$1)&lt;YEAR($AE$2)+$AB$134+4),PMT($AB$136,$AB$134,$C139,0),0))))</f>
        <v>12358.23589</v>
      </c>
      <c r="P139" s="195">
        <f t="shared" ref="P139:Z139" si="232">IF(OR(YEAR(P$1)=YEAR($AE$2)+1,YEAR(P$1)=YEAR($AE$2)+2),-($C139*$AB$138),IF(YEAR(P$1)=YEAR($AE$2)+3,PMT($AB$136,$AB$134,$C139,0)*((12-MONTH($AE$2))/12),IF(YEAR(P$1)=YEAR($AE$2)+($AB$134+3),PMT($AB$136,$AB$134,$C139,0)*(MONTH($AE$2))/12,IF(AND(YEAR(P$1)&gt;YEAR($AE$2)+3,YEAR(P$1)&lt;YEAR($AE$2)+$AB$134+4),PMT($AB$136,$AB$134,$C139,0),0))))</f>
        <v>0</v>
      </c>
      <c r="Q139" s="195">
        <f t="shared" si="232"/>
        <v>0</v>
      </c>
      <c r="R139" s="195">
        <f t="shared" si="232"/>
        <v>0</v>
      </c>
      <c r="S139" s="195">
        <f t="shared" si="232"/>
        <v>0</v>
      </c>
      <c r="T139" s="195">
        <f t="shared" si="232"/>
        <v>0</v>
      </c>
      <c r="U139" s="195">
        <f t="shared" si="232"/>
        <v>0</v>
      </c>
      <c r="V139" s="195">
        <f t="shared" si="232"/>
        <v>0</v>
      </c>
      <c r="W139" s="195">
        <f t="shared" si="232"/>
        <v>0</v>
      </c>
      <c r="X139" s="195">
        <f t="shared" si="232"/>
        <v>0</v>
      </c>
      <c r="Y139" s="195">
        <f t="shared" si="232"/>
        <v>0</v>
      </c>
      <c r="Z139" s="195">
        <f t="shared" si="232"/>
        <v>0</v>
      </c>
      <c r="AA139" s="1"/>
      <c r="AB139" s="1" t="s">
        <v>379</v>
      </c>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row>
    <row r="140" ht="15.75" customHeight="1">
      <c r="A140" s="122"/>
      <c r="B140" s="1"/>
      <c r="C140" s="117"/>
      <c r="D140" s="117"/>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1"/>
      <c r="AB140" s="197">
        <v>0.62</v>
      </c>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row>
    <row r="141" ht="15.75" customHeight="1">
      <c r="A141" s="122"/>
      <c r="B141" s="4" t="s">
        <v>288</v>
      </c>
      <c r="C141" s="117"/>
      <c r="D141" s="117"/>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row>
    <row r="142" ht="15.75" customHeight="1">
      <c r="A142" s="1"/>
      <c r="B142" s="1" t="s">
        <v>380</v>
      </c>
      <c r="C142" s="131">
        <f t="shared" ref="C142:C144" si="235">-AF12</f>
        <v>-1320000</v>
      </c>
      <c r="D142" s="117"/>
      <c r="E142" s="195">
        <f t="shared" ref="E142:F142" si="233">IF(YEAR(E$1)=YEAR($AF$2),PMT($AB$136,$AB$134,$C142,0)*((12-MONTH($AF$2)+1)/12),IF(YEAR(E$1)=YEAR($AF$2)+$AB$134,PMT($AB$136,5,$C142,0)*(MONTH($AF$2)-1)/12,IF(AND(YEAR(E$1)&gt;YEAR($AF$2),YEAR(E$1)&lt;YEAR($AF$2)+$AB$134),(PMT($AB$136,$AB$134,$C142,0)),0)))</f>
        <v>0</v>
      </c>
      <c r="F142" s="195">
        <f t="shared" si="233"/>
        <v>0</v>
      </c>
      <c r="G142" s="195">
        <f t="shared" ref="G142:Z142" si="234">IF(YEAR(G$1)=YEAR($AF$2),PMT($AB$136,$AB$134,$C142,0)*((12-MONTH($AF$2))/12),IF(YEAR(G$1)=YEAR($AF$2)+$AB$134,PMT($AB$136,5,$C142,0)*(MONTH($AF$2))/12,IF(AND(YEAR(G$1)&gt;YEAR($AF$2),YEAR(G$1)&lt;YEAR($AF$2)+$AB$134),(PMT($AB$136,$AB$134,$C142,0)),0)))</f>
        <v>0</v>
      </c>
      <c r="H142" s="195">
        <f t="shared" si="234"/>
        <v>0</v>
      </c>
      <c r="I142" s="195">
        <f t="shared" si="234"/>
        <v>299069.3085</v>
      </c>
      <c r="J142" s="195">
        <f t="shared" si="234"/>
        <v>326257.4275</v>
      </c>
      <c r="K142" s="195">
        <f t="shared" si="234"/>
        <v>326257.4275</v>
      </c>
      <c r="L142" s="195">
        <f t="shared" si="234"/>
        <v>326257.4275</v>
      </c>
      <c r="M142" s="195">
        <f t="shared" si="234"/>
        <v>326257.4275</v>
      </c>
      <c r="N142" s="195">
        <f t="shared" si="234"/>
        <v>27188.11896</v>
      </c>
      <c r="O142" s="195">
        <f t="shared" si="234"/>
        <v>0</v>
      </c>
      <c r="P142" s="195">
        <f t="shared" si="234"/>
        <v>0</v>
      </c>
      <c r="Q142" s="195">
        <f t="shared" si="234"/>
        <v>0</v>
      </c>
      <c r="R142" s="195">
        <f t="shared" si="234"/>
        <v>0</v>
      </c>
      <c r="S142" s="195">
        <f t="shared" si="234"/>
        <v>0</v>
      </c>
      <c r="T142" s="195">
        <f t="shared" si="234"/>
        <v>0</v>
      </c>
      <c r="U142" s="195">
        <f t="shared" si="234"/>
        <v>0</v>
      </c>
      <c r="V142" s="195">
        <f t="shared" si="234"/>
        <v>0</v>
      </c>
      <c r="W142" s="195">
        <f t="shared" si="234"/>
        <v>0</v>
      </c>
      <c r="X142" s="195">
        <f t="shared" si="234"/>
        <v>0</v>
      </c>
      <c r="Y142" s="195">
        <f t="shared" si="234"/>
        <v>0</v>
      </c>
      <c r="Z142" s="195">
        <f t="shared" si="234"/>
        <v>0</v>
      </c>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row>
    <row r="143" ht="15.75" customHeight="1">
      <c r="A143" s="1"/>
      <c r="B143" s="1" t="s">
        <v>381</v>
      </c>
      <c r="C143" s="131">
        <f t="shared" si="235"/>
        <v>-792000</v>
      </c>
      <c r="D143" s="117"/>
      <c r="E143" s="195">
        <v>0.0</v>
      </c>
      <c r="F143" s="195">
        <v>0.0</v>
      </c>
      <c r="G143" s="195">
        <v>0.0</v>
      </c>
      <c r="H143" s="195">
        <v>0.0</v>
      </c>
      <c r="I143" s="195">
        <v>0.0</v>
      </c>
      <c r="J143" s="195">
        <v>0.0</v>
      </c>
      <c r="K143" s="195">
        <v>0.0</v>
      </c>
      <c r="L143" s="195">
        <v>0.0</v>
      </c>
      <c r="M143" s="195">
        <v>0.0</v>
      </c>
      <c r="N143" s="195">
        <v>0.0</v>
      </c>
      <c r="O143" s="195">
        <v>0.0</v>
      </c>
      <c r="P143" s="195">
        <v>0.0</v>
      </c>
      <c r="Q143" s="195">
        <v>0.0</v>
      </c>
      <c r="R143" s="195">
        <v>0.0</v>
      </c>
      <c r="S143" s="195">
        <v>0.0</v>
      </c>
      <c r="T143" s="195">
        <v>0.0</v>
      </c>
      <c r="U143" s="195">
        <v>0.0</v>
      </c>
      <c r="V143" s="195">
        <v>0.0</v>
      </c>
      <c r="W143" s="195">
        <v>0.0</v>
      </c>
      <c r="X143" s="195">
        <v>0.0</v>
      </c>
      <c r="Y143" s="195">
        <v>0.0</v>
      </c>
      <c r="Z143" s="195">
        <v>0.0</v>
      </c>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row>
    <row r="144" ht="15.75" customHeight="1">
      <c r="A144" s="1"/>
      <c r="B144" s="1" t="s">
        <v>382</v>
      </c>
      <c r="C144" s="131">
        <f t="shared" si="235"/>
        <v>-528000</v>
      </c>
      <c r="D144" s="117"/>
      <c r="E144" s="195">
        <f>IF(OR(YEAR(E$1)=YEAR($AF$2)+1,YEAR(E$1)=YEAR($AF$2)+2),-($C144*$AB$138),IF(YEAR(E$1)=YEAR($AF$2)+3,PMT($AB$136,$AB$134,$C144,0)*((12-MONTH($AF$2))/12),IF(YEAR(E$1)=YEAR($AF$2)+($AB$134+3),PMT($AB$136,$AB$134,$C144,0)*(MONTH($AF$2))/12,IF(AND(YEAR(E$1)&gt;YEAR($AF$2)+3,YEAR(E$1)&lt;YEAR($AF$2)+$AB$134+4),PMT($AB$136,$AB$134,$C144,0),0))))</f>
        <v>0</v>
      </c>
      <c r="F144" s="195">
        <f t="shared" ref="F144:O144" si="236">IF(OR(YEAR(F$1)=YEAR($AF$2)+1,YEAR(F$1)=YEAR($AF$2)+2),-($C144*$AB$138),IF(YEAR(F$1)=YEAR($AF$2)+3,PMT($AB$136,$AB$134,$C144,0)*((12-MONTH($AF$2)+1)/12),IF(YEAR(F$1)=YEAR($AF$2)+($AB$134+3),PMT($AB$136,$AB$134,$C144,0)*(MONTH($AF$2)-1)/12,IF(AND(YEAR(F$1)&gt;YEAR($AF$2)+3,YEAR(F$1)&lt;YEAR($AF$2)+$AB$134+4),PMT($AB$136,$AB$134,$C144,0),0))))</f>
        <v>0</v>
      </c>
      <c r="G144" s="195">
        <f t="shared" si="236"/>
        <v>0</v>
      </c>
      <c r="H144" s="195">
        <f t="shared" si="236"/>
        <v>0</v>
      </c>
      <c r="I144" s="195">
        <f t="shared" si="236"/>
        <v>0</v>
      </c>
      <c r="J144" s="195">
        <f t="shared" si="236"/>
        <v>5121.6</v>
      </c>
      <c r="K144" s="195">
        <f t="shared" si="236"/>
        <v>5121.6</v>
      </c>
      <c r="L144" s="195">
        <f t="shared" si="236"/>
        <v>130502.971</v>
      </c>
      <c r="M144" s="195">
        <f t="shared" si="236"/>
        <v>130502.971</v>
      </c>
      <c r="N144" s="195">
        <f t="shared" si="236"/>
        <v>130502.971</v>
      </c>
      <c r="O144" s="195">
        <f t="shared" si="236"/>
        <v>130502.971</v>
      </c>
      <c r="P144" s="195">
        <f t="shared" ref="P144:Z144" si="237">IF(OR(YEAR(P$1)=YEAR($AF$2)+1,YEAR(P$1)=YEAR($AF$2)+2),-($C144*$AB$138),IF(YEAR(P$1)=YEAR($AF$2)+3,PMT($AB$136,$AB$134,$C144,0)*((12-MONTH($AF$2))/12),IF(YEAR(P$1)=YEAR($AF$2)+($AB$134+3),PMT($AB$136,$AB$134,$C144,0)*(MONTH($AF$2))/12,IF(AND(YEAR(P$1)&gt;YEAR($AF$2)+3,YEAR(P$1)&lt;YEAR($AF$2)+$AB$134+4),PMT($AB$136,$AB$134,$C144,0),0))))</f>
        <v>130502.971</v>
      </c>
      <c r="Q144" s="195">
        <f t="shared" si="237"/>
        <v>10875.24758</v>
      </c>
      <c r="R144" s="195">
        <f t="shared" si="237"/>
        <v>0</v>
      </c>
      <c r="S144" s="195">
        <f t="shared" si="237"/>
        <v>0</v>
      </c>
      <c r="T144" s="195">
        <f t="shared" si="237"/>
        <v>0</v>
      </c>
      <c r="U144" s="195">
        <f t="shared" si="237"/>
        <v>0</v>
      </c>
      <c r="V144" s="195">
        <f t="shared" si="237"/>
        <v>0</v>
      </c>
      <c r="W144" s="195">
        <f t="shared" si="237"/>
        <v>0</v>
      </c>
      <c r="X144" s="195">
        <f t="shared" si="237"/>
        <v>0</v>
      </c>
      <c r="Y144" s="195">
        <f t="shared" si="237"/>
        <v>0</v>
      </c>
      <c r="Z144" s="195">
        <f t="shared" si="237"/>
        <v>0</v>
      </c>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row>
    <row r="145" ht="15.75" customHeight="1">
      <c r="A145" s="1"/>
      <c r="B145" s="1"/>
      <c r="C145" s="117"/>
      <c r="D145" s="117"/>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row>
    <row r="146" ht="15.75" customHeight="1">
      <c r="A146" s="1"/>
      <c r="B146" s="4" t="s">
        <v>289</v>
      </c>
      <c r="C146" s="117"/>
      <c r="D146" s="117"/>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row>
    <row r="147" ht="15.75" customHeight="1">
      <c r="A147" s="117"/>
      <c r="B147" s="1" t="s">
        <v>383</v>
      </c>
      <c r="C147" s="131">
        <f t="shared" ref="C147:C149" si="239">-AG12</f>
        <v>-1680000</v>
      </c>
      <c r="D147" s="117"/>
      <c r="E147" s="195">
        <f t="shared" ref="E147:Z147" si="238">IF(YEAR(E$1)=YEAR($AG$2),PMT($AB$136,$AB$134,$C147,0)*((12-MONTH($AG$2))/12),IF(YEAR(E$1)=YEAR($AG$2)+$AB$134,PMT($AB$136,5,$C147,0)*(MONTH($AG$2))/12,IF(AND(YEAR(E$1)&gt;YEAR($AG$2),YEAR(E$1)&lt;YEAR($AG$2)+$AB$134),(PMT($AB$136,$AB$134,$C147,0)),0)))</f>
        <v>0</v>
      </c>
      <c r="F147" s="195">
        <f t="shared" si="238"/>
        <v>0</v>
      </c>
      <c r="G147" s="195">
        <f t="shared" si="238"/>
        <v>0</v>
      </c>
      <c r="H147" s="195">
        <f t="shared" si="238"/>
        <v>0</v>
      </c>
      <c r="I147" s="195">
        <f t="shared" si="238"/>
        <v>0</v>
      </c>
      <c r="J147" s="195">
        <f t="shared" si="238"/>
        <v>0</v>
      </c>
      <c r="K147" s="195">
        <f t="shared" si="238"/>
        <v>380633.6654</v>
      </c>
      <c r="L147" s="195">
        <f t="shared" si="238"/>
        <v>415236.7259</v>
      </c>
      <c r="M147" s="195">
        <f t="shared" si="238"/>
        <v>415236.7259</v>
      </c>
      <c r="N147" s="195">
        <f t="shared" si="238"/>
        <v>415236.7259</v>
      </c>
      <c r="O147" s="195">
        <f t="shared" si="238"/>
        <v>415236.7259</v>
      </c>
      <c r="P147" s="195">
        <f t="shared" si="238"/>
        <v>34603.06049</v>
      </c>
      <c r="Q147" s="195">
        <f t="shared" si="238"/>
        <v>0</v>
      </c>
      <c r="R147" s="195">
        <f t="shared" si="238"/>
        <v>0</v>
      </c>
      <c r="S147" s="195">
        <f t="shared" si="238"/>
        <v>0</v>
      </c>
      <c r="T147" s="195">
        <f t="shared" si="238"/>
        <v>0</v>
      </c>
      <c r="U147" s="195">
        <f t="shared" si="238"/>
        <v>0</v>
      </c>
      <c r="V147" s="195">
        <f t="shared" si="238"/>
        <v>0</v>
      </c>
      <c r="W147" s="195">
        <f t="shared" si="238"/>
        <v>0</v>
      </c>
      <c r="X147" s="195">
        <f t="shared" si="238"/>
        <v>0</v>
      </c>
      <c r="Y147" s="195">
        <f t="shared" si="238"/>
        <v>0</v>
      </c>
      <c r="Z147" s="195">
        <f t="shared" si="238"/>
        <v>0</v>
      </c>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row>
    <row r="148" ht="15.75" customHeight="1">
      <c r="A148" s="117"/>
      <c r="B148" s="1" t="s">
        <v>384</v>
      </c>
      <c r="C148" s="131">
        <f t="shared" si="239"/>
        <v>-1008000</v>
      </c>
      <c r="D148" s="117"/>
      <c r="E148" s="195">
        <v>0.0</v>
      </c>
      <c r="F148" s="195">
        <v>0.0</v>
      </c>
      <c r="G148" s="195">
        <v>0.0</v>
      </c>
      <c r="H148" s="195">
        <v>0.0</v>
      </c>
      <c r="I148" s="195">
        <v>0.0</v>
      </c>
      <c r="J148" s="195">
        <v>0.0</v>
      </c>
      <c r="K148" s="195">
        <v>0.0</v>
      </c>
      <c r="L148" s="195">
        <v>0.0</v>
      </c>
      <c r="M148" s="195">
        <v>0.0</v>
      </c>
      <c r="N148" s="195">
        <v>0.0</v>
      </c>
      <c r="O148" s="195">
        <v>0.0</v>
      </c>
      <c r="P148" s="195">
        <v>0.0</v>
      </c>
      <c r="Q148" s="195">
        <v>0.0</v>
      </c>
      <c r="R148" s="195">
        <v>0.0</v>
      </c>
      <c r="S148" s="195">
        <v>0.0</v>
      </c>
      <c r="T148" s="195">
        <v>0.0</v>
      </c>
      <c r="U148" s="195">
        <v>0.0</v>
      </c>
      <c r="V148" s="195">
        <v>0.0</v>
      </c>
      <c r="W148" s="195">
        <v>0.0</v>
      </c>
      <c r="X148" s="195">
        <v>0.0</v>
      </c>
      <c r="Y148" s="195">
        <v>0.0</v>
      </c>
      <c r="Z148" s="195">
        <v>0.0</v>
      </c>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row>
    <row r="149" ht="15.75" customHeight="1">
      <c r="A149" s="117"/>
      <c r="B149" s="1" t="s">
        <v>385</v>
      </c>
      <c r="C149" s="131">
        <f t="shared" si="239"/>
        <v>-672000</v>
      </c>
      <c r="D149" s="117"/>
      <c r="E149" s="195">
        <f t="shared" ref="E149:I149" si="240">IF(OR(YEAR(E$1)=YEAR($AG$2)+1,YEAR(E$1)=YEAR($AG$2)+2),-($C149*$AB$138),IF(YEAR(E$1)=YEAR($AG$2)+3,PMT($AB$136,$AB$134,$C149,0)*((12-MONTH($AG$2))/12),IF(YEAR(E$1)=YEAR($AG$2)+($AB$134+3),PMT($AB$136,$AB$134,$C149,0)*(MONTH($AG$2))/12,IF(AND(YEAR(E$1)&gt;YEAR($AG$2)+3,YEAR(E$1)&lt;YEAR($AG$2)+$AB$134+4),PMT($AB$136,$AB$134,$C149,0),0))))</f>
        <v>0</v>
      </c>
      <c r="F149" s="195">
        <f t="shared" si="240"/>
        <v>0</v>
      </c>
      <c r="G149" s="195">
        <f t="shared" si="240"/>
        <v>0</v>
      </c>
      <c r="H149" s="195">
        <f t="shared" si="240"/>
        <v>0</v>
      </c>
      <c r="I149" s="195">
        <f t="shared" si="240"/>
        <v>0</v>
      </c>
      <c r="J149" s="195">
        <f t="shared" ref="J149:O149" si="241">IF(OR(YEAR(J$1)=YEAR($AG$2)+1,YEAR(J$1)=YEAR($AG$2)+2),-($C149*$AB$138),IF(YEAR(J$1)=YEAR($AG$2)+3,PMT($AB$136,$AB$134,$C149,0)*((12-MONTH($AG$2)+1)/12),IF(YEAR(J$1)=YEAR($AG$2)+($AB$134+3),PMT($AB$136,$AB$134,$C149,0)*(MONTH($AG$2)-1)/12,IF(AND(YEAR(J$1)&gt;YEAR($AG$2)+3,YEAR(J$1)&lt;YEAR($AG$2)+$AB$134+4),PMT($AB$136,$AB$134,$C149,0),0))))</f>
        <v>0</v>
      </c>
      <c r="K149" s="195">
        <f t="shared" si="241"/>
        <v>0</v>
      </c>
      <c r="L149" s="195">
        <f t="shared" si="241"/>
        <v>6518.4</v>
      </c>
      <c r="M149" s="195">
        <f t="shared" si="241"/>
        <v>6518.4</v>
      </c>
      <c r="N149" s="195">
        <f t="shared" si="241"/>
        <v>166094.6904</v>
      </c>
      <c r="O149" s="195">
        <f t="shared" si="241"/>
        <v>166094.6904</v>
      </c>
      <c r="P149" s="195">
        <f t="shared" ref="P149:Z149" si="242">IF(OR(YEAR(P$1)=YEAR($AG$2)+1,YEAR(P$1)=YEAR($AG$2)+2),-($C149*$AB$138),IF(YEAR(P$1)=YEAR($AG$2)+3,PMT($AB$136,$AB$134,$C149,0)*((12-MONTH($AG$2))/12),IF(YEAR(P$1)=YEAR($AG$2)+($AB$134+3),PMT($AB$136,$AB$134,$C149,0)*(MONTH($AG$2))/12,IF(AND(YEAR(P$1)&gt;YEAR($AG$2)+3,YEAR(P$1)&lt;YEAR($AG$2)+$AB$134+4),PMT($AB$136,$AB$134,$C149,0),0))))</f>
        <v>166094.6904</v>
      </c>
      <c r="Q149" s="195">
        <f t="shared" si="242"/>
        <v>166094.6904</v>
      </c>
      <c r="R149" s="195">
        <f t="shared" si="242"/>
        <v>166094.6904</v>
      </c>
      <c r="S149" s="195">
        <f t="shared" si="242"/>
        <v>13841.2242</v>
      </c>
      <c r="T149" s="195">
        <f t="shared" si="242"/>
        <v>0</v>
      </c>
      <c r="U149" s="195">
        <f t="shared" si="242"/>
        <v>0</v>
      </c>
      <c r="V149" s="195">
        <f t="shared" si="242"/>
        <v>0</v>
      </c>
      <c r="W149" s="195">
        <f t="shared" si="242"/>
        <v>0</v>
      </c>
      <c r="X149" s="195">
        <f t="shared" si="242"/>
        <v>0</v>
      </c>
      <c r="Y149" s="195">
        <f t="shared" si="242"/>
        <v>0</v>
      </c>
      <c r="Z149" s="195">
        <f t="shared" si="242"/>
        <v>0</v>
      </c>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row>
    <row r="150" ht="15.75" customHeight="1">
      <c r="A150" s="117"/>
      <c r="B150" s="1"/>
      <c r="C150" s="117"/>
      <c r="D150" s="117"/>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row>
    <row r="151" ht="15.75" customHeight="1">
      <c r="A151" s="117"/>
      <c r="B151" s="4" t="s">
        <v>290</v>
      </c>
      <c r="C151" s="117"/>
      <c r="D151" s="117"/>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row>
    <row r="152" ht="15.75" customHeight="1">
      <c r="A152" s="117"/>
      <c r="B152" s="1" t="s">
        <v>386</v>
      </c>
      <c r="C152" s="131">
        <f t="shared" ref="C152:C154" si="245">-AH12</f>
        <v>-2080000</v>
      </c>
      <c r="D152" s="117"/>
      <c r="E152" s="195">
        <f t="shared" ref="E152:F152" si="243">IF(YEAR(E$1)=YEAR($AH$2),PMT($AB$136,$AB$134,$C152,0)*((12-MONTH($AH$2)+1)/12),IF(YEAR(E$1)=YEAR($AH$2)+$AB$134,PMT($AB$136,5,$C152,0)*(MONTH($AH$2)-1)/12,IF(AND(YEAR(E$1)&gt;YEAR($AH$2),YEAR(E$1)&lt;YEAR($AH$2)+$AB$134),(PMT($AB$136,$AB$134,$C152,0)),0)))</f>
        <v>0</v>
      </c>
      <c r="F152" s="195">
        <f t="shared" si="243"/>
        <v>0</v>
      </c>
      <c r="G152" s="195">
        <f t="shared" ref="G152:Z152" si="244">IF(YEAR(G$1)=YEAR($AH$2),PMT($AB$136,$AB$134,$C152,0)*((12-MONTH($AH$2))/12),IF(YEAR(G$1)=YEAR($AH$2)+$AB$134,PMT($AB$136,5,$C152,0)*(MONTH($AH$2))/12,IF(AND(YEAR(G$1)&gt;YEAR($AH$2),YEAR(G$1)&lt;YEAR($AH$2)+$AB$134),(PMT($AB$136,$AB$134,$C152,0)),0)))</f>
        <v>0</v>
      </c>
      <c r="H152" s="195">
        <f t="shared" si="244"/>
        <v>0</v>
      </c>
      <c r="I152" s="195">
        <f t="shared" si="244"/>
        <v>0</v>
      </c>
      <c r="J152" s="195">
        <f t="shared" si="244"/>
        <v>0</v>
      </c>
      <c r="K152" s="195">
        <f t="shared" si="244"/>
        <v>0</v>
      </c>
      <c r="L152" s="195">
        <f t="shared" si="244"/>
        <v>0</v>
      </c>
      <c r="M152" s="195">
        <f t="shared" si="244"/>
        <v>471260.7286</v>
      </c>
      <c r="N152" s="195">
        <f t="shared" si="244"/>
        <v>514102.613</v>
      </c>
      <c r="O152" s="195">
        <f t="shared" si="244"/>
        <v>514102.613</v>
      </c>
      <c r="P152" s="195">
        <f t="shared" si="244"/>
        <v>514102.613</v>
      </c>
      <c r="Q152" s="195">
        <f t="shared" si="244"/>
        <v>514102.613</v>
      </c>
      <c r="R152" s="195">
        <f t="shared" si="244"/>
        <v>42841.88442</v>
      </c>
      <c r="S152" s="195">
        <f t="shared" si="244"/>
        <v>0</v>
      </c>
      <c r="T152" s="195">
        <f t="shared" si="244"/>
        <v>0</v>
      </c>
      <c r="U152" s="195">
        <f t="shared" si="244"/>
        <v>0</v>
      </c>
      <c r="V152" s="195">
        <f t="shared" si="244"/>
        <v>0</v>
      </c>
      <c r="W152" s="195">
        <f t="shared" si="244"/>
        <v>0</v>
      </c>
      <c r="X152" s="195">
        <f t="shared" si="244"/>
        <v>0</v>
      </c>
      <c r="Y152" s="195">
        <f t="shared" si="244"/>
        <v>0</v>
      </c>
      <c r="Z152" s="195">
        <f t="shared" si="244"/>
        <v>0</v>
      </c>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row>
    <row r="153" ht="15.75" customHeight="1">
      <c r="A153" s="117"/>
      <c r="B153" s="1" t="s">
        <v>387</v>
      </c>
      <c r="C153" s="131">
        <f t="shared" si="245"/>
        <v>-1248000</v>
      </c>
      <c r="D153" s="117"/>
      <c r="E153" s="195">
        <v>0.0</v>
      </c>
      <c r="F153" s="195">
        <v>0.0</v>
      </c>
      <c r="G153" s="195">
        <v>0.0</v>
      </c>
      <c r="H153" s="195">
        <v>0.0</v>
      </c>
      <c r="I153" s="195">
        <v>0.0</v>
      </c>
      <c r="J153" s="195">
        <v>0.0</v>
      </c>
      <c r="K153" s="195">
        <v>0.0</v>
      </c>
      <c r="L153" s="195">
        <v>0.0</v>
      </c>
      <c r="M153" s="195">
        <v>0.0</v>
      </c>
      <c r="N153" s="195">
        <v>0.0</v>
      </c>
      <c r="O153" s="195">
        <v>0.0</v>
      </c>
      <c r="P153" s="195">
        <v>0.0</v>
      </c>
      <c r="Q153" s="195">
        <v>0.0</v>
      </c>
      <c r="R153" s="195">
        <v>0.0</v>
      </c>
      <c r="S153" s="195">
        <v>0.0</v>
      </c>
      <c r="T153" s="195">
        <v>0.0</v>
      </c>
      <c r="U153" s="195">
        <v>0.0</v>
      </c>
      <c r="V153" s="195">
        <v>0.0</v>
      </c>
      <c r="W153" s="195">
        <v>0.0</v>
      </c>
      <c r="X153" s="195">
        <v>0.0</v>
      </c>
      <c r="Y153" s="195">
        <v>0.0</v>
      </c>
      <c r="Z153" s="195">
        <v>0.0</v>
      </c>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row>
    <row r="154" ht="15.75" customHeight="1">
      <c r="A154" s="117"/>
      <c r="B154" s="1" t="s">
        <v>388</v>
      </c>
      <c r="C154" s="131">
        <f t="shared" si="245"/>
        <v>-832000</v>
      </c>
      <c r="D154" s="117"/>
      <c r="E154" s="195">
        <f t="shared" ref="E154:J154" si="246">IF(OR(YEAR(E$1)=YEAR($AH$2)+1,YEAR(E$1)=YEAR($AH$2)+2),-($C154*$AB$138),IF(YEAR(E$1)=YEAR($AH$2)+3,PMT($AB$136,$AB$134,$C154,0)*((12-MONTH($AH$2))/12),IF(YEAR(E$1)=YEAR($AH$2)+($AB$134+3),PMT($AB$136,$AB$134,$C154,0)*(MONTH($AH$2))/12,IF(AND(YEAR(E$1)&gt;YEAR($AH$2)+3,YEAR(E$1)&lt;YEAR($AH$2)+$AB$134+4),PMT($AB$136,$AB$134,$C154,0),0))))</f>
        <v>0</v>
      </c>
      <c r="F154" s="195">
        <f t="shared" si="246"/>
        <v>0</v>
      </c>
      <c r="G154" s="195">
        <f t="shared" si="246"/>
        <v>0</v>
      </c>
      <c r="H154" s="195">
        <f t="shared" si="246"/>
        <v>0</v>
      </c>
      <c r="I154" s="195">
        <f t="shared" si="246"/>
        <v>0</v>
      </c>
      <c r="J154" s="195">
        <f t="shared" si="246"/>
        <v>0</v>
      </c>
      <c r="K154" s="195">
        <f t="shared" ref="K154:Z154" si="247">IF(OR(YEAR(K$1)=YEAR($AH$2)+1,YEAR(K$1)=YEAR($AH$2)+2),-($C154*$AB$138),IF(YEAR(K$1)=YEAR($AH$2)+3,PMT($AB$136,$AB$134,$C154,0)*((12-MONTH($AH$2)+1)/12),IF(YEAR(K$1)=YEAR($AH$2)+($AB$134+3),PMT($AB$136,$AB$134,$C154,0)*(MONTH($AH$2)-1)/12,IF(AND(YEAR(K$1)&gt;YEAR($AH$2)+3,YEAR(K$1)&lt;YEAR($AH$2)+$AB$134+4),PMT($AB$136,$AB$134,$C154,0),0))))</f>
        <v>0</v>
      </c>
      <c r="L154" s="195">
        <f t="shared" si="247"/>
        <v>0</v>
      </c>
      <c r="M154" s="195">
        <f t="shared" si="247"/>
        <v>0</v>
      </c>
      <c r="N154" s="195">
        <f t="shared" si="247"/>
        <v>8070.4</v>
      </c>
      <c r="O154" s="195">
        <f t="shared" si="247"/>
        <v>8070.4</v>
      </c>
      <c r="P154" s="195">
        <f t="shared" si="247"/>
        <v>205641.0452</v>
      </c>
      <c r="Q154" s="195">
        <f t="shared" si="247"/>
        <v>205641.0452</v>
      </c>
      <c r="R154" s="195">
        <f t="shared" si="247"/>
        <v>205641.0452</v>
      </c>
      <c r="S154" s="195">
        <f t="shared" si="247"/>
        <v>205641.0452</v>
      </c>
      <c r="T154" s="195">
        <f t="shared" si="247"/>
        <v>205641.0452</v>
      </c>
      <c r="U154" s="195">
        <f t="shared" si="247"/>
        <v>0</v>
      </c>
      <c r="V154" s="195">
        <f t="shared" si="247"/>
        <v>0</v>
      </c>
      <c r="W154" s="195">
        <f t="shared" si="247"/>
        <v>0</v>
      </c>
      <c r="X154" s="195">
        <f t="shared" si="247"/>
        <v>0</v>
      </c>
      <c r="Y154" s="195">
        <f t="shared" si="247"/>
        <v>0</v>
      </c>
      <c r="Z154" s="195">
        <f t="shared" si="247"/>
        <v>0</v>
      </c>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row>
    <row r="155" ht="15.75" customHeight="1">
      <c r="A155" s="117"/>
      <c r="B155" s="1"/>
      <c r="C155" s="117"/>
      <c r="D155" s="117"/>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row>
    <row r="156" ht="15.75" customHeight="1">
      <c r="A156" s="117"/>
      <c r="B156" s="4" t="s">
        <v>389</v>
      </c>
      <c r="C156" s="117"/>
      <c r="D156" s="117"/>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row>
    <row r="157" ht="15.75" customHeight="1">
      <c r="A157" s="1"/>
      <c r="B157" s="1" t="s">
        <v>390</v>
      </c>
      <c r="C157" s="131">
        <f>-AI$12</f>
        <v>-1267392</v>
      </c>
      <c r="D157" s="117"/>
      <c r="E157" s="195">
        <f t="shared" ref="E157:Z157" si="248">IF(YEAR(E$1)=YEAR($AI$2),PMT($AB$136,$AB$134,$C157,0)*((12-MONTH($AI$2))/12),IF(YEAR(E$1)=YEAR($AI$2)+$AB$134,PMT($AB$136,5,$C157,0)*(MONTH($AI$2))/12,IF(AND(YEAR(E$1)&gt;YEAR($AI$2),YEAR(E$1)&lt;YEAR($AI$2)+$AB$134),(PMT($AB$136,$AB$134,$C157,0)),0)))</f>
        <v>0</v>
      </c>
      <c r="F157" s="195">
        <f t="shared" si="248"/>
        <v>287150.0372</v>
      </c>
      <c r="G157" s="195">
        <f t="shared" si="248"/>
        <v>313254.586</v>
      </c>
      <c r="H157" s="195">
        <f t="shared" si="248"/>
        <v>313254.586</v>
      </c>
      <c r="I157" s="195">
        <f t="shared" si="248"/>
        <v>313254.586</v>
      </c>
      <c r="J157" s="195">
        <f t="shared" si="248"/>
        <v>313254.586</v>
      </c>
      <c r="K157" s="195">
        <f t="shared" si="248"/>
        <v>26104.54883</v>
      </c>
      <c r="L157" s="195">
        <f t="shared" si="248"/>
        <v>0</v>
      </c>
      <c r="M157" s="195">
        <f t="shared" si="248"/>
        <v>0</v>
      </c>
      <c r="N157" s="195">
        <f t="shared" si="248"/>
        <v>0</v>
      </c>
      <c r="O157" s="195">
        <f t="shared" si="248"/>
        <v>0</v>
      </c>
      <c r="P157" s="195">
        <f t="shared" si="248"/>
        <v>0</v>
      </c>
      <c r="Q157" s="195">
        <f t="shared" si="248"/>
        <v>0</v>
      </c>
      <c r="R157" s="195">
        <f t="shared" si="248"/>
        <v>0</v>
      </c>
      <c r="S157" s="195">
        <f t="shared" si="248"/>
        <v>0</v>
      </c>
      <c r="T157" s="195">
        <f t="shared" si="248"/>
        <v>0</v>
      </c>
      <c r="U157" s="195">
        <f t="shared" si="248"/>
        <v>0</v>
      </c>
      <c r="V157" s="195">
        <f t="shared" si="248"/>
        <v>0</v>
      </c>
      <c r="W157" s="195">
        <f t="shared" si="248"/>
        <v>0</v>
      </c>
      <c r="X157" s="195">
        <f t="shared" si="248"/>
        <v>0</v>
      </c>
      <c r="Y157" s="195">
        <f t="shared" si="248"/>
        <v>0</v>
      </c>
      <c r="Z157" s="195">
        <f t="shared" si="248"/>
        <v>0</v>
      </c>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row>
    <row r="158" ht="15.75" customHeight="1">
      <c r="A158" s="1"/>
      <c r="B158" s="1" t="s">
        <v>391</v>
      </c>
      <c r="C158" s="131">
        <f>-AI$13</f>
        <v>-633696</v>
      </c>
      <c r="D158" s="117"/>
      <c r="E158" s="195">
        <f t="shared" ref="E158:Z158" si="249">IF(YEAR(E$1)=YEAR($AI$2)+1,PMT($AB$136,$AB$134,$C158,0)*((12-MONTH($AI$2))/12),IF(YEAR(E$1)=YEAR($AI$2)+($AB$134+1),PMT($AB$136,5,$C158,0)*(MONTH($AI$2))/12,IF(AND(YEAR(E$1)&gt;YEAR($AI$2)+1,YEAR(E$1)&lt;YEAR($AI$2)+$AB$134+2),PMT($AB$136,$AB$134,$C158,0),0)))</f>
        <v>0</v>
      </c>
      <c r="F158" s="195">
        <f t="shared" si="249"/>
        <v>0</v>
      </c>
      <c r="G158" s="195">
        <f t="shared" si="249"/>
        <v>143575.0186</v>
      </c>
      <c r="H158" s="195">
        <f t="shared" si="249"/>
        <v>156627.293</v>
      </c>
      <c r="I158" s="195">
        <f t="shared" si="249"/>
        <v>156627.293</v>
      </c>
      <c r="J158" s="195">
        <f t="shared" si="249"/>
        <v>156627.293</v>
      </c>
      <c r="K158" s="195">
        <f t="shared" si="249"/>
        <v>156627.293</v>
      </c>
      <c r="L158" s="195">
        <f t="shared" si="249"/>
        <v>13052.27442</v>
      </c>
      <c r="M158" s="195">
        <f t="shared" si="249"/>
        <v>0</v>
      </c>
      <c r="N158" s="195">
        <f t="shared" si="249"/>
        <v>0</v>
      </c>
      <c r="O158" s="195">
        <f t="shared" si="249"/>
        <v>0</v>
      </c>
      <c r="P158" s="195">
        <f t="shared" si="249"/>
        <v>0</v>
      </c>
      <c r="Q158" s="195">
        <f t="shared" si="249"/>
        <v>0</v>
      </c>
      <c r="R158" s="195">
        <f t="shared" si="249"/>
        <v>0</v>
      </c>
      <c r="S158" s="195">
        <f t="shared" si="249"/>
        <v>0</v>
      </c>
      <c r="T158" s="195">
        <f t="shared" si="249"/>
        <v>0</v>
      </c>
      <c r="U158" s="195">
        <f t="shared" si="249"/>
        <v>0</v>
      </c>
      <c r="V158" s="195">
        <f t="shared" si="249"/>
        <v>0</v>
      </c>
      <c r="W158" s="195">
        <f t="shared" si="249"/>
        <v>0</v>
      </c>
      <c r="X158" s="195">
        <f t="shared" si="249"/>
        <v>0</v>
      </c>
      <c r="Y158" s="195">
        <f t="shared" si="249"/>
        <v>0</v>
      </c>
      <c r="Z158" s="195">
        <f t="shared" si="249"/>
        <v>0</v>
      </c>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row>
    <row r="159" ht="15.75" customHeight="1">
      <c r="A159" s="1"/>
      <c r="B159" s="1" t="s">
        <v>392</v>
      </c>
      <c r="C159" s="131">
        <f>-AI$14</f>
        <v>-211232</v>
      </c>
      <c r="D159" s="117"/>
      <c r="E159" s="195">
        <f t="shared" ref="E159:Z159" si="250">IF(OR(YEAR(E$1)=YEAR($AI$2)+1,YEAR(E$1)=YEAR($AI$2)+2),-($C159*$AB$138),IF(YEAR(E$1)=YEAR($AI$2)+3,PMT($AB$136,$AB$134,$C159,0)*((12-MONTH($AI$2))/12),IF(YEAR(E$1)=YEAR($AI$2)+($AB$134+3),PMT($AB$136,$AB$134,$C159,0)*(MONTH($AI$2))/12,IF(AND(YEAR(E$1)&gt;YEAR($AI$2)+3,YEAR(E$1)&lt;YEAR($AI$2)+$AB$134+4),PMT($AB$136,$AB$134,$C159,0),0))))</f>
        <v>0</v>
      </c>
      <c r="F159" s="195">
        <f t="shared" si="250"/>
        <v>0</v>
      </c>
      <c r="G159" s="195">
        <f t="shared" si="250"/>
        <v>2048.9504</v>
      </c>
      <c r="H159" s="195">
        <f t="shared" si="250"/>
        <v>2048.9504</v>
      </c>
      <c r="I159" s="195">
        <f t="shared" si="250"/>
        <v>47858.33953</v>
      </c>
      <c r="J159" s="195">
        <f t="shared" si="250"/>
        <v>52209.09767</v>
      </c>
      <c r="K159" s="195">
        <f t="shared" si="250"/>
        <v>52209.09767</v>
      </c>
      <c r="L159" s="195">
        <f t="shared" si="250"/>
        <v>52209.09767</v>
      </c>
      <c r="M159" s="195">
        <f t="shared" si="250"/>
        <v>52209.09767</v>
      </c>
      <c r="N159" s="195">
        <f t="shared" si="250"/>
        <v>4350.758139</v>
      </c>
      <c r="O159" s="195">
        <f t="shared" si="250"/>
        <v>0</v>
      </c>
      <c r="P159" s="195">
        <f t="shared" si="250"/>
        <v>0</v>
      </c>
      <c r="Q159" s="195">
        <f t="shared" si="250"/>
        <v>0</v>
      </c>
      <c r="R159" s="195">
        <f t="shared" si="250"/>
        <v>0</v>
      </c>
      <c r="S159" s="195">
        <f t="shared" si="250"/>
        <v>0</v>
      </c>
      <c r="T159" s="195">
        <f t="shared" si="250"/>
        <v>0</v>
      </c>
      <c r="U159" s="195">
        <f t="shared" si="250"/>
        <v>0</v>
      </c>
      <c r="V159" s="195">
        <f t="shared" si="250"/>
        <v>0</v>
      </c>
      <c r="W159" s="195">
        <f t="shared" si="250"/>
        <v>0</v>
      </c>
      <c r="X159" s="195">
        <f t="shared" si="250"/>
        <v>0</v>
      </c>
      <c r="Y159" s="195">
        <f t="shared" si="250"/>
        <v>0</v>
      </c>
      <c r="Z159" s="195">
        <f t="shared" si="250"/>
        <v>0</v>
      </c>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row>
    <row r="160" ht="15.75" customHeight="1">
      <c r="A160" s="1"/>
      <c r="B160" s="1"/>
      <c r="C160" s="117"/>
      <c r="D160" s="117"/>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row>
    <row r="161" ht="15.75" customHeight="1">
      <c r="A161" s="1"/>
      <c r="B161" s="4" t="s">
        <v>393</v>
      </c>
      <c r="C161" s="117"/>
      <c r="D161" s="117"/>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row>
    <row r="162" ht="15.75" customHeight="1">
      <c r="A162" s="1"/>
      <c r="B162" s="1" t="s">
        <v>390</v>
      </c>
      <c r="C162" s="131">
        <f t="shared" ref="C162:C164" si="252">-AJ12</f>
        <v>-264000</v>
      </c>
      <c r="D162" s="117"/>
      <c r="E162" s="195">
        <f t="shared" ref="E162:Z162" si="251">IF(YEAR(E$1)=YEAR($AJ$2),PMT($AB$136,$AB$134,$C162,0)*((12-MONTH($AJ$2))/12),IF(YEAR(E$1)=YEAR($AJ$2)+$AB$134,PMT($AB$136,5,$C162,0)*(MONTH($AJ$2))/12,IF(AND(YEAR(E$1)&gt;YEAR($AJ$2),YEAR(E$1)&lt;YEAR($AJ$2)+$AB$134),(PMT($AB$136,$AB$134,$C162,0)),0)))</f>
        <v>0</v>
      </c>
      <c r="F162" s="195">
        <f t="shared" si="251"/>
        <v>0</v>
      </c>
      <c r="G162" s="195">
        <f t="shared" si="251"/>
        <v>0</v>
      </c>
      <c r="H162" s="195">
        <f t="shared" si="251"/>
        <v>59813.8617</v>
      </c>
      <c r="I162" s="195">
        <f t="shared" si="251"/>
        <v>65251.4855</v>
      </c>
      <c r="J162" s="195">
        <f t="shared" si="251"/>
        <v>65251.4855</v>
      </c>
      <c r="K162" s="195">
        <f t="shared" si="251"/>
        <v>65251.4855</v>
      </c>
      <c r="L162" s="195">
        <f t="shared" si="251"/>
        <v>65251.4855</v>
      </c>
      <c r="M162" s="195">
        <f t="shared" si="251"/>
        <v>5437.623791</v>
      </c>
      <c r="N162" s="195">
        <f t="shared" si="251"/>
        <v>0</v>
      </c>
      <c r="O162" s="195">
        <f t="shared" si="251"/>
        <v>0</v>
      </c>
      <c r="P162" s="195">
        <f t="shared" si="251"/>
        <v>0</v>
      </c>
      <c r="Q162" s="195">
        <f t="shared" si="251"/>
        <v>0</v>
      </c>
      <c r="R162" s="195">
        <f t="shared" si="251"/>
        <v>0</v>
      </c>
      <c r="S162" s="195">
        <f t="shared" si="251"/>
        <v>0</v>
      </c>
      <c r="T162" s="195">
        <f t="shared" si="251"/>
        <v>0</v>
      </c>
      <c r="U162" s="195">
        <f t="shared" si="251"/>
        <v>0</v>
      </c>
      <c r="V162" s="195">
        <f t="shared" si="251"/>
        <v>0</v>
      </c>
      <c r="W162" s="195">
        <f t="shared" si="251"/>
        <v>0</v>
      </c>
      <c r="X162" s="195">
        <f t="shared" si="251"/>
        <v>0</v>
      </c>
      <c r="Y162" s="195">
        <f t="shared" si="251"/>
        <v>0</v>
      </c>
      <c r="Z162" s="195">
        <f t="shared" si="251"/>
        <v>0</v>
      </c>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row>
    <row r="163" ht="15.75" customHeight="1">
      <c r="A163" s="1"/>
      <c r="B163" s="1" t="s">
        <v>391</v>
      </c>
      <c r="C163" s="131">
        <f t="shared" si="252"/>
        <v>-132000</v>
      </c>
      <c r="D163" s="117"/>
      <c r="E163" s="195">
        <f t="shared" ref="E163:Z163" si="253">IF(YEAR(E$1)=YEAR($AJ$2)+1,PMT($AB$136,$AB$134,$C163,0)*((12-MONTH($AJ$2))/12),IF(YEAR(E$1)=YEAR($AJ$2)+($AB$134+1),PMT($AB$136,5,$C163,0)*(MONTH($AJ$2))/12,IF(AND(YEAR(E$1)&gt;YEAR($AJ$2)+1,YEAR(E$1)&lt;YEAR($AJ$2)+$AB$134+2),PMT($AB$136,$AB$134,$C163,0),0)))</f>
        <v>0</v>
      </c>
      <c r="F163" s="195">
        <f t="shared" si="253"/>
        <v>0</v>
      </c>
      <c r="G163" s="195">
        <f t="shared" si="253"/>
        <v>0</v>
      </c>
      <c r="H163" s="195">
        <f t="shared" si="253"/>
        <v>0</v>
      </c>
      <c r="I163" s="195">
        <f t="shared" si="253"/>
        <v>29906.93085</v>
      </c>
      <c r="J163" s="195">
        <f t="shared" si="253"/>
        <v>32625.74275</v>
      </c>
      <c r="K163" s="195">
        <f t="shared" si="253"/>
        <v>32625.74275</v>
      </c>
      <c r="L163" s="195">
        <f t="shared" si="253"/>
        <v>32625.74275</v>
      </c>
      <c r="M163" s="195">
        <f t="shared" si="253"/>
        <v>32625.74275</v>
      </c>
      <c r="N163" s="195">
        <f t="shared" si="253"/>
        <v>2718.811896</v>
      </c>
      <c r="O163" s="195">
        <f t="shared" si="253"/>
        <v>0</v>
      </c>
      <c r="P163" s="195">
        <f t="shared" si="253"/>
        <v>0</v>
      </c>
      <c r="Q163" s="195">
        <f t="shared" si="253"/>
        <v>0</v>
      </c>
      <c r="R163" s="195">
        <f t="shared" si="253"/>
        <v>0</v>
      </c>
      <c r="S163" s="195">
        <f t="shared" si="253"/>
        <v>0</v>
      </c>
      <c r="T163" s="195">
        <f t="shared" si="253"/>
        <v>0</v>
      </c>
      <c r="U163" s="195">
        <f t="shared" si="253"/>
        <v>0</v>
      </c>
      <c r="V163" s="195">
        <f t="shared" si="253"/>
        <v>0</v>
      </c>
      <c r="W163" s="195">
        <f t="shared" si="253"/>
        <v>0</v>
      </c>
      <c r="X163" s="195">
        <f t="shared" si="253"/>
        <v>0</v>
      </c>
      <c r="Y163" s="195">
        <f t="shared" si="253"/>
        <v>0</v>
      </c>
      <c r="Z163" s="195">
        <f t="shared" si="253"/>
        <v>0</v>
      </c>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row>
    <row r="164" ht="15.75" customHeight="1">
      <c r="A164" s="1"/>
      <c r="B164" s="1" t="s">
        <v>392</v>
      </c>
      <c r="C164" s="131">
        <f t="shared" si="252"/>
        <v>-44000</v>
      </c>
      <c r="D164" s="117"/>
      <c r="E164" s="195">
        <f t="shared" ref="E164:Z164" si="254">IF(OR(YEAR(E$1)=YEAR($AJ$2)+1,YEAR(E$1)=YEAR($AJ$2)+2),-($C164*$AB$138),IF(YEAR(E$1)=YEAR($AJ$2)+3,PMT($AB$136,$AB$134,$C164,0)*((12-MONTH($AJ$2))/12),IF(YEAR(E$1)=YEAR($AJ$2)+($AB$134+3),PMT($AB$136,$AB$134,$C164,0)*(MONTH($AJ$2))/12,IF(AND(YEAR(E$1)&gt;YEAR($AJ$2)+3,YEAR(E$1)&lt;YEAR($AJ$2)+$AB$134+4),PMT($AB$136,$AB$134,$C164,0),0))))</f>
        <v>0</v>
      </c>
      <c r="F164" s="195">
        <f t="shared" si="254"/>
        <v>0</v>
      </c>
      <c r="G164" s="195">
        <f t="shared" si="254"/>
        <v>0</v>
      </c>
      <c r="H164" s="195">
        <f t="shared" si="254"/>
        <v>0</v>
      </c>
      <c r="I164" s="195">
        <f t="shared" si="254"/>
        <v>426.8</v>
      </c>
      <c r="J164" s="195">
        <f t="shared" si="254"/>
        <v>426.8</v>
      </c>
      <c r="K164" s="195">
        <f t="shared" si="254"/>
        <v>9968.976951</v>
      </c>
      <c r="L164" s="195">
        <f t="shared" si="254"/>
        <v>10875.24758</v>
      </c>
      <c r="M164" s="195">
        <f t="shared" si="254"/>
        <v>10875.24758</v>
      </c>
      <c r="N164" s="195">
        <f t="shared" si="254"/>
        <v>10875.24758</v>
      </c>
      <c r="O164" s="195">
        <f t="shared" si="254"/>
        <v>10875.24758</v>
      </c>
      <c r="P164" s="195">
        <f t="shared" si="254"/>
        <v>906.2706319</v>
      </c>
      <c r="Q164" s="195">
        <f t="shared" si="254"/>
        <v>0</v>
      </c>
      <c r="R164" s="195">
        <f t="shared" si="254"/>
        <v>0</v>
      </c>
      <c r="S164" s="195">
        <f t="shared" si="254"/>
        <v>0</v>
      </c>
      <c r="T164" s="195">
        <f t="shared" si="254"/>
        <v>0</v>
      </c>
      <c r="U164" s="195">
        <f t="shared" si="254"/>
        <v>0</v>
      </c>
      <c r="V164" s="195">
        <f t="shared" si="254"/>
        <v>0</v>
      </c>
      <c r="W164" s="195">
        <f t="shared" si="254"/>
        <v>0</v>
      </c>
      <c r="X164" s="195">
        <f t="shared" si="254"/>
        <v>0</v>
      </c>
      <c r="Y164" s="195">
        <f t="shared" si="254"/>
        <v>0</v>
      </c>
      <c r="Z164" s="195">
        <f t="shared" si="254"/>
        <v>0</v>
      </c>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row>
    <row r="165" ht="15.75" customHeight="1">
      <c r="A165" s="1"/>
      <c r="B165" s="1"/>
      <c r="C165" s="117"/>
      <c r="D165" s="117"/>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row>
    <row r="166" ht="15.75" customHeight="1">
      <c r="A166" s="1"/>
      <c r="B166" s="4" t="s">
        <v>394</v>
      </c>
      <c r="C166" s="117"/>
      <c r="D166" s="117"/>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c r="AA166" s="1"/>
      <c r="AB166" s="1"/>
      <c r="AC166" s="1"/>
      <c r="AD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row>
    <row r="167" ht="15.75" customHeight="1">
      <c r="A167" s="1"/>
      <c r="B167" s="1" t="s">
        <v>390</v>
      </c>
      <c r="C167" s="131">
        <f>-AK$12</f>
        <v>-288000</v>
      </c>
      <c r="D167" s="117"/>
      <c r="E167" s="195">
        <f t="shared" ref="E167:Z167" si="255">IF(YEAR(E$1)=YEAR($AK$2),PMT($AB$136,$AB$134,$C167,0)*((12-MONTH($AK$2))/12),IF(YEAR(E$1)=YEAR($AK$2)+$AB$134,PMT($AB$136,5,$C167,0)*(MONTH($AK$2))/12,IF(AND(YEAR(E$1)&gt;YEAR($AK$2),YEAR(E$1)&lt;YEAR($AK$2)+$AB$134),(PMT($AB$136,$AB$134,$C167,0)),0)))</f>
        <v>0</v>
      </c>
      <c r="F167" s="195">
        <f t="shared" si="255"/>
        <v>0</v>
      </c>
      <c r="G167" s="195">
        <f t="shared" si="255"/>
        <v>0</v>
      </c>
      <c r="H167" s="195">
        <f t="shared" si="255"/>
        <v>0</v>
      </c>
      <c r="I167" s="195">
        <f t="shared" si="255"/>
        <v>0</v>
      </c>
      <c r="J167" s="195">
        <f t="shared" si="255"/>
        <v>65251.4855</v>
      </c>
      <c r="K167" s="195">
        <f t="shared" si="255"/>
        <v>71183.43872</v>
      </c>
      <c r="L167" s="195">
        <f t="shared" si="255"/>
        <v>71183.43872</v>
      </c>
      <c r="M167" s="195">
        <f t="shared" si="255"/>
        <v>71183.43872</v>
      </c>
      <c r="N167" s="195">
        <f t="shared" si="255"/>
        <v>71183.43872</v>
      </c>
      <c r="O167" s="195">
        <f t="shared" si="255"/>
        <v>5931.953227</v>
      </c>
      <c r="P167" s="195">
        <f t="shared" si="255"/>
        <v>0</v>
      </c>
      <c r="Q167" s="195">
        <f t="shared" si="255"/>
        <v>0</v>
      </c>
      <c r="R167" s="195">
        <f t="shared" si="255"/>
        <v>0</v>
      </c>
      <c r="S167" s="195">
        <f t="shared" si="255"/>
        <v>0</v>
      </c>
      <c r="T167" s="195">
        <f t="shared" si="255"/>
        <v>0</v>
      </c>
      <c r="U167" s="195">
        <f t="shared" si="255"/>
        <v>0</v>
      </c>
      <c r="V167" s="195">
        <f t="shared" si="255"/>
        <v>0</v>
      </c>
      <c r="W167" s="195">
        <f t="shared" si="255"/>
        <v>0</v>
      </c>
      <c r="X167" s="195">
        <f t="shared" si="255"/>
        <v>0</v>
      </c>
      <c r="Y167" s="195">
        <f t="shared" si="255"/>
        <v>0</v>
      </c>
      <c r="Z167" s="195">
        <f t="shared" si="255"/>
        <v>0</v>
      </c>
      <c r="AA167" s="1"/>
      <c r="AB167" s="1"/>
      <c r="AC167" s="1"/>
      <c r="AD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row>
    <row r="168" ht="15.75" customHeight="1">
      <c r="A168" s="1"/>
      <c r="B168" s="1" t="s">
        <v>391</v>
      </c>
      <c r="C168" s="131">
        <f>-AK$13</f>
        <v>-144000</v>
      </c>
      <c r="D168" s="117"/>
      <c r="E168" s="195">
        <f t="shared" ref="E168:Z168" si="256">IF(YEAR(E$1)=YEAR($AK$2)+1,PMT($AB$136,$AB$134,$C168,0)*((12-MONTH($AK$2))/12),IF(YEAR(E$1)=YEAR($AK$2)+($AB$134+1),PMT($AB$136,5,$C168,0)*(MONTH($AK$2))/12,IF(AND(YEAR(E$1)&gt;YEAR($AK$2)+1,YEAR(E$1)&lt;YEAR($AK$2)+$AB$134+2),PMT($AB$136,$AB$134,$C168,0),0)))</f>
        <v>0</v>
      </c>
      <c r="F168" s="195">
        <f t="shared" si="256"/>
        <v>0</v>
      </c>
      <c r="G168" s="195">
        <f t="shared" si="256"/>
        <v>0</v>
      </c>
      <c r="H168" s="195">
        <f t="shared" si="256"/>
        <v>0</v>
      </c>
      <c r="I168" s="195">
        <f t="shared" si="256"/>
        <v>0</v>
      </c>
      <c r="J168" s="195">
        <f t="shared" si="256"/>
        <v>0</v>
      </c>
      <c r="K168" s="195">
        <f t="shared" si="256"/>
        <v>32625.74275</v>
      </c>
      <c r="L168" s="195">
        <f t="shared" si="256"/>
        <v>35591.71936</v>
      </c>
      <c r="M168" s="195">
        <f t="shared" si="256"/>
        <v>35591.71936</v>
      </c>
      <c r="N168" s="195">
        <f t="shared" si="256"/>
        <v>35591.71936</v>
      </c>
      <c r="O168" s="195">
        <f t="shared" si="256"/>
        <v>35591.71936</v>
      </c>
      <c r="P168" s="195">
        <f t="shared" si="256"/>
        <v>2965.976613</v>
      </c>
      <c r="Q168" s="195">
        <f t="shared" si="256"/>
        <v>0</v>
      </c>
      <c r="R168" s="195">
        <f t="shared" si="256"/>
        <v>0</v>
      </c>
      <c r="S168" s="195">
        <f t="shared" si="256"/>
        <v>0</v>
      </c>
      <c r="T168" s="195">
        <f t="shared" si="256"/>
        <v>0</v>
      </c>
      <c r="U168" s="195">
        <f t="shared" si="256"/>
        <v>0</v>
      </c>
      <c r="V168" s="195">
        <f t="shared" si="256"/>
        <v>0</v>
      </c>
      <c r="W168" s="195">
        <f t="shared" si="256"/>
        <v>0</v>
      </c>
      <c r="X168" s="195">
        <f t="shared" si="256"/>
        <v>0</v>
      </c>
      <c r="Y168" s="195">
        <f t="shared" si="256"/>
        <v>0</v>
      </c>
      <c r="Z168" s="195">
        <f t="shared" si="256"/>
        <v>0</v>
      </c>
      <c r="AA168" s="1"/>
      <c r="AB168" s="1"/>
      <c r="AC168" s="1"/>
      <c r="AD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row>
    <row r="169" ht="15.75" customHeight="1">
      <c r="A169" s="1"/>
      <c r="B169" s="1" t="s">
        <v>392</v>
      </c>
      <c r="C169" s="131">
        <f>-AK$14</f>
        <v>-48000</v>
      </c>
      <c r="D169" s="117"/>
      <c r="E169" s="195">
        <f t="shared" ref="E169:Z169" si="257">IF(OR(YEAR(E$1)=YEAR($AK$2)+1,YEAR(E$1)=YEAR($AK$2)+2),-($C169*$AB$138),IF(YEAR(E$1)=YEAR($AK$2)+3,PMT($AB$136,$AB$134,$C169,0)*((12-MONTH($AK$2))/12),IF(YEAR(E$1)=YEAR($AK$2)+($AB$134+3),PMT($AB$136,$AB$134,$C169,0)*(MONTH($AK$2))/12,IF(AND(YEAR(E$1)&gt;YEAR($AK$2)+3,YEAR(E$1)&lt;YEAR($AK$2)+$AB$134+4),PMT($AB$136,$AB$134,$C169,0),0))))</f>
        <v>0</v>
      </c>
      <c r="F169" s="195">
        <f t="shared" si="257"/>
        <v>0</v>
      </c>
      <c r="G169" s="195">
        <f t="shared" si="257"/>
        <v>0</v>
      </c>
      <c r="H169" s="195">
        <f t="shared" si="257"/>
        <v>0</v>
      </c>
      <c r="I169" s="195">
        <f t="shared" si="257"/>
        <v>0</v>
      </c>
      <c r="J169" s="195">
        <f t="shared" si="257"/>
        <v>0</v>
      </c>
      <c r="K169" s="195">
        <f t="shared" si="257"/>
        <v>465.6</v>
      </c>
      <c r="L169" s="195">
        <f t="shared" si="257"/>
        <v>465.6</v>
      </c>
      <c r="M169" s="195">
        <f t="shared" si="257"/>
        <v>10875.24758</v>
      </c>
      <c r="N169" s="195">
        <f t="shared" si="257"/>
        <v>11863.90645</v>
      </c>
      <c r="O169" s="195">
        <f t="shared" si="257"/>
        <v>11863.90645</v>
      </c>
      <c r="P169" s="195">
        <f t="shared" si="257"/>
        <v>11863.90645</v>
      </c>
      <c r="Q169" s="195">
        <f t="shared" si="257"/>
        <v>11863.90645</v>
      </c>
      <c r="R169" s="195">
        <f t="shared" si="257"/>
        <v>988.6588711</v>
      </c>
      <c r="S169" s="195">
        <f t="shared" si="257"/>
        <v>0</v>
      </c>
      <c r="T169" s="195">
        <f t="shared" si="257"/>
        <v>0</v>
      </c>
      <c r="U169" s="195">
        <f t="shared" si="257"/>
        <v>0</v>
      </c>
      <c r="V169" s="195">
        <f t="shared" si="257"/>
        <v>0</v>
      </c>
      <c r="W169" s="195">
        <f t="shared" si="257"/>
        <v>0</v>
      </c>
      <c r="X169" s="195">
        <f t="shared" si="257"/>
        <v>0</v>
      </c>
      <c r="Y169" s="195">
        <f t="shared" si="257"/>
        <v>0</v>
      </c>
      <c r="Z169" s="195">
        <f t="shared" si="257"/>
        <v>0</v>
      </c>
      <c r="AA169" s="1"/>
      <c r="AB169" s="1"/>
      <c r="AC169" s="1"/>
      <c r="AD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row>
    <row r="170" ht="15.75" customHeight="1">
      <c r="A170" s="1"/>
      <c r="B170" s="1"/>
      <c r="C170" s="117"/>
      <c r="D170" s="117"/>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c r="AA170" s="1"/>
      <c r="AB170" s="1"/>
      <c r="AC170" s="1"/>
      <c r="AD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row>
    <row r="171" ht="15.75" customHeight="1">
      <c r="A171" s="1"/>
      <c r="B171" s="4" t="s">
        <v>395</v>
      </c>
      <c r="C171" s="117"/>
      <c r="D171" s="117"/>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c r="AA171" s="1"/>
      <c r="AB171" s="1"/>
      <c r="AC171" s="1"/>
      <c r="AD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row>
    <row r="172" ht="15.75" customHeight="1">
      <c r="A172" s="1"/>
      <c r="B172" s="1" t="s">
        <v>390</v>
      </c>
      <c r="C172" s="131">
        <f>-AL$12</f>
        <v>-624000</v>
      </c>
      <c r="D172" s="117"/>
      <c r="E172" s="195">
        <f t="shared" ref="E172:Z172" si="258">IF(YEAR(E$1)=YEAR($AL$2),PMT($AB$136,$AB$134,$C172,0)*((12-MONTH($AL$2))/12),IF(YEAR(E$1)=YEAR($AL$2)+$AB$134,PMT($AB$136,5,$C172,0)*(MONTH($AL$2))/12,IF(AND(YEAR(E$1)&gt;YEAR($AL$2),YEAR(E$1)&lt;YEAR($AL$2)+$AB$134),(PMT($AB$136,$AB$134,$C172,0)),0)))</f>
        <v>0</v>
      </c>
      <c r="F172" s="195">
        <f t="shared" si="258"/>
        <v>0</v>
      </c>
      <c r="G172" s="195">
        <f t="shared" si="258"/>
        <v>0</v>
      </c>
      <c r="H172" s="195">
        <f t="shared" si="258"/>
        <v>0</v>
      </c>
      <c r="I172" s="195">
        <f t="shared" si="258"/>
        <v>0</v>
      </c>
      <c r="J172" s="195">
        <f t="shared" si="258"/>
        <v>0</v>
      </c>
      <c r="K172" s="195">
        <f t="shared" si="258"/>
        <v>0</v>
      </c>
      <c r="L172" s="195">
        <f t="shared" si="258"/>
        <v>141378.2186</v>
      </c>
      <c r="M172" s="195">
        <f t="shared" si="258"/>
        <v>154230.7839</v>
      </c>
      <c r="N172" s="195">
        <f t="shared" si="258"/>
        <v>154230.7839</v>
      </c>
      <c r="O172" s="195">
        <f t="shared" si="258"/>
        <v>154230.7839</v>
      </c>
      <c r="P172" s="195">
        <f t="shared" si="258"/>
        <v>154230.7839</v>
      </c>
      <c r="Q172" s="195">
        <f t="shared" si="258"/>
        <v>12852.56532</v>
      </c>
      <c r="R172" s="195">
        <f t="shared" si="258"/>
        <v>0</v>
      </c>
      <c r="S172" s="195">
        <f t="shared" si="258"/>
        <v>0</v>
      </c>
      <c r="T172" s="195">
        <f t="shared" si="258"/>
        <v>0</v>
      </c>
      <c r="U172" s="195">
        <f t="shared" si="258"/>
        <v>0</v>
      </c>
      <c r="V172" s="195">
        <f t="shared" si="258"/>
        <v>0</v>
      </c>
      <c r="W172" s="195">
        <f t="shared" si="258"/>
        <v>0</v>
      </c>
      <c r="X172" s="195">
        <f t="shared" si="258"/>
        <v>0</v>
      </c>
      <c r="Y172" s="195">
        <f t="shared" si="258"/>
        <v>0</v>
      </c>
      <c r="Z172" s="195">
        <f t="shared" si="258"/>
        <v>0</v>
      </c>
      <c r="AA172" s="1"/>
      <c r="AB172" s="1"/>
      <c r="AC172" s="1"/>
      <c r="AD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row>
    <row r="173" ht="15.75" customHeight="1">
      <c r="A173" s="1"/>
      <c r="B173" s="1" t="s">
        <v>391</v>
      </c>
      <c r="C173" s="131">
        <f>-AL$13</f>
        <v>-312000</v>
      </c>
      <c r="D173" s="117"/>
      <c r="E173" s="195">
        <f t="shared" ref="E173:Z173" si="259">IF(YEAR(E$1)=YEAR($AL$2)+1,PMT($AB$136,$AB$134,$C173,0)*((12-MONTH($AL$2))/12),IF(YEAR(E$1)=YEAR($AL$2)+($AB$134+1),PMT($AB$136,5,$C173,0)*(MONTH($AL$2))/12,IF(AND(YEAR(E$1)&gt;YEAR($AL$2)+1,YEAR(E$1)&lt;YEAR($AL$2)+$AB$134+2),PMT($AB$136,$AB$134,$C173,0),0)))</f>
        <v>0</v>
      </c>
      <c r="F173" s="195">
        <f t="shared" si="259"/>
        <v>0</v>
      </c>
      <c r="G173" s="195">
        <f t="shared" si="259"/>
        <v>0</v>
      </c>
      <c r="H173" s="195">
        <f t="shared" si="259"/>
        <v>0</v>
      </c>
      <c r="I173" s="195">
        <f t="shared" si="259"/>
        <v>0</v>
      </c>
      <c r="J173" s="195">
        <f t="shared" si="259"/>
        <v>0</v>
      </c>
      <c r="K173" s="195">
        <f t="shared" si="259"/>
        <v>0</v>
      </c>
      <c r="L173" s="195">
        <f t="shared" si="259"/>
        <v>0</v>
      </c>
      <c r="M173" s="195">
        <f t="shared" si="259"/>
        <v>70689.10929</v>
      </c>
      <c r="N173" s="195">
        <f t="shared" si="259"/>
        <v>77115.39195</v>
      </c>
      <c r="O173" s="195">
        <f t="shared" si="259"/>
        <v>77115.39195</v>
      </c>
      <c r="P173" s="195">
        <f t="shared" si="259"/>
        <v>77115.39195</v>
      </c>
      <c r="Q173" s="195">
        <f t="shared" si="259"/>
        <v>77115.39195</v>
      </c>
      <c r="R173" s="195">
        <f t="shared" si="259"/>
        <v>6426.282662</v>
      </c>
      <c r="S173" s="195">
        <f t="shared" si="259"/>
        <v>0</v>
      </c>
      <c r="T173" s="195">
        <f t="shared" si="259"/>
        <v>0</v>
      </c>
      <c r="U173" s="195">
        <f t="shared" si="259"/>
        <v>0</v>
      </c>
      <c r="V173" s="195">
        <f t="shared" si="259"/>
        <v>0</v>
      </c>
      <c r="W173" s="195">
        <f t="shared" si="259"/>
        <v>0</v>
      </c>
      <c r="X173" s="195">
        <f t="shared" si="259"/>
        <v>0</v>
      </c>
      <c r="Y173" s="195">
        <f t="shared" si="259"/>
        <v>0</v>
      </c>
      <c r="Z173" s="195">
        <f t="shared" si="259"/>
        <v>0</v>
      </c>
      <c r="AA173" s="1"/>
      <c r="AB173" s="1"/>
      <c r="AC173" s="1"/>
      <c r="AD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row>
    <row r="174" ht="15.75" customHeight="1">
      <c r="A174" s="1"/>
      <c r="B174" s="1" t="s">
        <v>392</v>
      </c>
      <c r="C174" s="131">
        <f>-AL$14</f>
        <v>-104000</v>
      </c>
      <c r="D174" s="117"/>
      <c r="E174" s="195">
        <f t="shared" ref="E174:Z174" si="260">IF(OR(YEAR(E$1)=YEAR($AL$2)+1,YEAR(E$1)=YEAR($AL$2)+2),-($C174*$AB$138),IF(YEAR(E$1)=YEAR($AL$2)+3,PMT($AB$136,$AB$134,$C174,0)*((12-MONTH($AL$2))/12),IF(YEAR(E$1)=YEAR($AL$2)+($AB$134+3),PMT($AB$136,$AB$134,$C174,0)*(MONTH($AL$2))/12,IF(AND(YEAR(E$1)&gt;YEAR($AL$2)+3,YEAR(E$1)&lt;YEAR($AL$2)+$AB$134+4),PMT($AB$136,$AB$134,$C174,0),0))))</f>
        <v>0</v>
      </c>
      <c r="F174" s="195">
        <f t="shared" si="260"/>
        <v>0</v>
      </c>
      <c r="G174" s="195">
        <f t="shared" si="260"/>
        <v>0</v>
      </c>
      <c r="H174" s="195">
        <f t="shared" si="260"/>
        <v>0</v>
      </c>
      <c r="I174" s="195">
        <f t="shared" si="260"/>
        <v>0</v>
      </c>
      <c r="J174" s="195">
        <f t="shared" si="260"/>
        <v>0</v>
      </c>
      <c r="K174" s="195">
        <f t="shared" si="260"/>
        <v>0</v>
      </c>
      <c r="L174" s="195">
        <f t="shared" si="260"/>
        <v>0</v>
      </c>
      <c r="M174" s="195">
        <f t="shared" si="260"/>
        <v>1008.8</v>
      </c>
      <c r="N174" s="195">
        <f t="shared" si="260"/>
        <v>1008.8</v>
      </c>
      <c r="O174" s="195">
        <f t="shared" si="260"/>
        <v>23563.03643</v>
      </c>
      <c r="P174" s="195">
        <f t="shared" si="260"/>
        <v>25705.13065</v>
      </c>
      <c r="Q174" s="195">
        <f t="shared" si="260"/>
        <v>25705.13065</v>
      </c>
      <c r="R174" s="195">
        <f t="shared" si="260"/>
        <v>25705.13065</v>
      </c>
      <c r="S174" s="195">
        <f t="shared" si="260"/>
        <v>25705.13065</v>
      </c>
      <c r="T174" s="195">
        <f t="shared" si="260"/>
        <v>2142.094221</v>
      </c>
      <c r="U174" s="195">
        <f t="shared" si="260"/>
        <v>0</v>
      </c>
      <c r="V174" s="195">
        <f t="shared" si="260"/>
        <v>0</v>
      </c>
      <c r="W174" s="195">
        <f t="shared" si="260"/>
        <v>0</v>
      </c>
      <c r="X174" s="195">
        <f t="shared" si="260"/>
        <v>0</v>
      </c>
      <c r="Y174" s="195">
        <f t="shared" si="260"/>
        <v>0</v>
      </c>
      <c r="Z174" s="195">
        <f t="shared" si="260"/>
        <v>0</v>
      </c>
      <c r="AA174" s="1"/>
      <c r="AB174" s="1"/>
      <c r="AC174" s="1"/>
      <c r="AD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row>
    <row r="175" ht="15.75" customHeight="1">
      <c r="A175" s="1"/>
      <c r="B175" s="1"/>
      <c r="C175" s="117"/>
      <c r="D175" s="117"/>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row>
    <row r="176" ht="15.75" customHeight="1">
      <c r="A176" s="1"/>
      <c r="B176" s="4" t="s">
        <v>396</v>
      </c>
      <c r="C176" s="117"/>
      <c r="D176" s="117"/>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row>
    <row r="177" ht="15.75" customHeight="1">
      <c r="A177" s="1"/>
      <c r="B177" s="1" t="s">
        <v>390</v>
      </c>
      <c r="C177" s="131">
        <f>-AM$12</f>
        <v>-660000</v>
      </c>
      <c r="D177" s="117"/>
      <c r="E177" s="195">
        <f t="shared" ref="E177:Z177" si="261">IF(YEAR(E$1)=YEAR($AM$2),PMT($AB$136,$AB$134,$C177,0)*((12-MONTH($AM$2))/12),IF(YEAR(E$1)=YEAR($AM$2)+$AB$134,PMT($AB$136,5,$C177,0)*(MONTH($AM$2))/12,IF(AND(YEAR(E$1)&gt;YEAR($AM$2),YEAR(E$1)&lt;YEAR($AM$2)+$AB$134),(PMT($AB$136,$AB$134,$C177,0)),0)))</f>
        <v>0</v>
      </c>
      <c r="F177" s="195">
        <f t="shared" si="261"/>
        <v>0</v>
      </c>
      <c r="G177" s="195">
        <f t="shared" si="261"/>
        <v>0</v>
      </c>
      <c r="H177" s="195">
        <f t="shared" si="261"/>
        <v>0</v>
      </c>
      <c r="I177" s="195">
        <f t="shared" si="261"/>
        <v>0</v>
      </c>
      <c r="J177" s="195">
        <f t="shared" si="261"/>
        <v>0</v>
      </c>
      <c r="K177" s="195">
        <f t="shared" si="261"/>
        <v>0</v>
      </c>
      <c r="L177" s="195">
        <f t="shared" si="261"/>
        <v>0</v>
      </c>
      <c r="M177" s="195">
        <f t="shared" si="261"/>
        <v>0</v>
      </c>
      <c r="N177" s="195">
        <f t="shared" si="261"/>
        <v>149534.6543</v>
      </c>
      <c r="O177" s="195">
        <f t="shared" si="261"/>
        <v>163128.7137</v>
      </c>
      <c r="P177" s="195">
        <f t="shared" si="261"/>
        <v>163128.7137</v>
      </c>
      <c r="Q177" s="195">
        <f t="shared" si="261"/>
        <v>163128.7137</v>
      </c>
      <c r="R177" s="195">
        <f t="shared" si="261"/>
        <v>163128.7137</v>
      </c>
      <c r="S177" s="195">
        <f t="shared" si="261"/>
        <v>13594.05948</v>
      </c>
      <c r="T177" s="195">
        <f t="shared" si="261"/>
        <v>0</v>
      </c>
      <c r="U177" s="195">
        <f t="shared" si="261"/>
        <v>0</v>
      </c>
      <c r="V177" s="195">
        <f t="shared" si="261"/>
        <v>0</v>
      </c>
      <c r="W177" s="195">
        <f t="shared" si="261"/>
        <v>0</v>
      </c>
      <c r="X177" s="195">
        <f t="shared" si="261"/>
        <v>0</v>
      </c>
      <c r="Y177" s="195">
        <f t="shared" si="261"/>
        <v>0</v>
      </c>
      <c r="Z177" s="195">
        <f t="shared" si="261"/>
        <v>0</v>
      </c>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row>
    <row r="178" ht="15.75" customHeight="1">
      <c r="A178" s="1"/>
      <c r="B178" s="1" t="s">
        <v>391</v>
      </c>
      <c r="C178" s="131">
        <f>-AM$13</f>
        <v>-330000</v>
      </c>
      <c r="D178" s="117"/>
      <c r="E178" s="195">
        <f t="shared" ref="E178:Z178" si="262">IF(YEAR(E$1)=YEAR($AM$2)+1,PMT($AB$136,$AB$134,$C178,0)*((12-MONTH($AM$2))/12),IF(YEAR(E$1)=YEAR($AM$2)+($AB$134+1),PMT($AB$136,5,$C178,0)*(MONTH($AM$2))/12,IF(AND(YEAR(E$1)&gt;YEAR($AM$2)+1,YEAR(E$1)&lt;YEAR($AM$2)+$AB$134+2),PMT($AB$136,$AB$134,$C178,0),0)))</f>
        <v>0</v>
      </c>
      <c r="F178" s="195">
        <f t="shared" si="262"/>
        <v>0</v>
      </c>
      <c r="G178" s="195">
        <f t="shared" si="262"/>
        <v>0</v>
      </c>
      <c r="H178" s="195">
        <f t="shared" si="262"/>
        <v>0</v>
      </c>
      <c r="I178" s="195">
        <f t="shared" si="262"/>
        <v>0</v>
      </c>
      <c r="J178" s="195">
        <f t="shared" si="262"/>
        <v>0</v>
      </c>
      <c r="K178" s="195">
        <f t="shared" si="262"/>
        <v>0</v>
      </c>
      <c r="L178" s="195">
        <f t="shared" si="262"/>
        <v>0</v>
      </c>
      <c r="M178" s="195">
        <f t="shared" si="262"/>
        <v>0</v>
      </c>
      <c r="N178" s="195">
        <f t="shared" si="262"/>
        <v>0</v>
      </c>
      <c r="O178" s="195">
        <f t="shared" si="262"/>
        <v>74767.32713</v>
      </c>
      <c r="P178" s="195">
        <f t="shared" si="262"/>
        <v>81564.35687</v>
      </c>
      <c r="Q178" s="195">
        <f t="shared" si="262"/>
        <v>81564.35687</v>
      </c>
      <c r="R178" s="195">
        <f t="shared" si="262"/>
        <v>81564.35687</v>
      </c>
      <c r="S178" s="195">
        <f t="shared" si="262"/>
        <v>81564.35687</v>
      </c>
      <c r="T178" s="195">
        <f t="shared" si="262"/>
        <v>6797.029739</v>
      </c>
      <c r="U178" s="195">
        <f t="shared" si="262"/>
        <v>0</v>
      </c>
      <c r="V178" s="195">
        <f t="shared" si="262"/>
        <v>0</v>
      </c>
      <c r="W178" s="195">
        <f t="shared" si="262"/>
        <v>0</v>
      </c>
      <c r="X178" s="195">
        <f t="shared" si="262"/>
        <v>0</v>
      </c>
      <c r="Y178" s="195">
        <f t="shared" si="262"/>
        <v>0</v>
      </c>
      <c r="Z178" s="195">
        <f t="shared" si="262"/>
        <v>0</v>
      </c>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row>
    <row r="179" ht="15.75" customHeight="1">
      <c r="A179" s="1"/>
      <c r="B179" s="1" t="s">
        <v>392</v>
      </c>
      <c r="C179" s="131">
        <f>-AM$14</f>
        <v>-110000</v>
      </c>
      <c r="D179" s="117"/>
      <c r="E179" s="195">
        <f t="shared" ref="E179:Z179" si="263">IF(OR(YEAR(E$1)=YEAR($AM$2)+1,YEAR(E$1)=YEAR($AM$2)+2),-($C179*$AB$138),IF(YEAR(E$1)=YEAR($AM$2)+3,PMT($AB$136,$AB$134,$C179,0)*((12-MONTH($AM$2))/12),IF(YEAR(E$1)=YEAR($AM$2)+($AB$134+3),PMT($AB$136,$AB$134,$C179,0)*(MONTH($AM$2))/12,IF(AND(YEAR(E$1)&gt;YEAR($AM$2)+3,YEAR(E$1)&lt;YEAR($AM$2)+$AB$134+4),PMT($AB$136,$AB$134,$C179,0),0))))</f>
        <v>0</v>
      </c>
      <c r="F179" s="195">
        <f t="shared" si="263"/>
        <v>0</v>
      </c>
      <c r="G179" s="195">
        <f t="shared" si="263"/>
        <v>0</v>
      </c>
      <c r="H179" s="195">
        <f t="shared" si="263"/>
        <v>0</v>
      </c>
      <c r="I179" s="195">
        <f t="shared" si="263"/>
        <v>0</v>
      </c>
      <c r="J179" s="195">
        <f t="shared" si="263"/>
        <v>0</v>
      </c>
      <c r="K179" s="195">
        <f t="shared" si="263"/>
        <v>0</v>
      </c>
      <c r="L179" s="195">
        <f t="shared" si="263"/>
        <v>0</v>
      </c>
      <c r="M179" s="195">
        <f t="shared" si="263"/>
        <v>0</v>
      </c>
      <c r="N179" s="195">
        <f t="shared" si="263"/>
        <v>0</v>
      </c>
      <c r="O179" s="195">
        <f t="shared" si="263"/>
        <v>1067</v>
      </c>
      <c r="P179" s="195">
        <f t="shared" si="263"/>
        <v>1067</v>
      </c>
      <c r="Q179" s="195">
        <f t="shared" si="263"/>
        <v>24922.44238</v>
      </c>
      <c r="R179" s="195">
        <f t="shared" si="263"/>
        <v>27188.11896</v>
      </c>
      <c r="S179" s="195">
        <f t="shared" si="263"/>
        <v>27188.11896</v>
      </c>
      <c r="T179" s="195">
        <f t="shared" si="263"/>
        <v>27188.11896</v>
      </c>
      <c r="U179" s="195">
        <f t="shared" si="263"/>
        <v>27188.11896</v>
      </c>
      <c r="V179" s="195">
        <f t="shared" si="263"/>
        <v>2265.67658</v>
      </c>
      <c r="W179" s="195">
        <f t="shared" si="263"/>
        <v>0</v>
      </c>
      <c r="X179" s="195">
        <f t="shared" si="263"/>
        <v>0</v>
      </c>
      <c r="Y179" s="195">
        <f t="shared" si="263"/>
        <v>0</v>
      </c>
      <c r="Z179" s="195">
        <f t="shared" si="263"/>
        <v>0</v>
      </c>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row>
    <row r="180" ht="15.75" customHeight="1">
      <c r="A180" s="1"/>
      <c r="B180" s="1"/>
      <c r="C180" s="117"/>
      <c r="D180" s="117"/>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row>
    <row r="181" ht="15.75" customHeight="1">
      <c r="A181" s="1"/>
      <c r="B181" s="4" t="s">
        <v>397</v>
      </c>
      <c r="C181" s="117"/>
      <c r="D181" s="117"/>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row>
    <row r="182" ht="15.75" customHeight="1">
      <c r="A182" s="1"/>
      <c r="B182" s="1" t="s">
        <v>390</v>
      </c>
      <c r="C182" s="131">
        <f>-AN$12</f>
        <v>-504000</v>
      </c>
      <c r="D182" s="117"/>
      <c r="E182" s="195">
        <f t="shared" ref="E182:Z182" si="264">IF(YEAR(E$1)=YEAR($AN$2),PMT($AB$136,$AB$134,$C182,0)*((12-MONTH($AN$2))/12),IF(YEAR(E$1)=YEAR($AN$2)+$AB$134,PMT($AB$136,5,$C182,0)*(MONTH($AN$2))/12,IF(AND(YEAR(E$1)&gt;YEAR($AN$2),YEAR(E$1)&lt;YEAR($AN$2)+$AB$134),(PMT($AB$136,$AB$134,$C182,0)),0)))</f>
        <v>0</v>
      </c>
      <c r="F182" s="195">
        <f t="shared" si="264"/>
        <v>0</v>
      </c>
      <c r="G182" s="195">
        <f t="shared" si="264"/>
        <v>0</v>
      </c>
      <c r="H182" s="195">
        <f t="shared" si="264"/>
        <v>0</v>
      </c>
      <c r="I182" s="195">
        <f t="shared" si="264"/>
        <v>0</v>
      </c>
      <c r="J182" s="195">
        <f t="shared" si="264"/>
        <v>0</v>
      </c>
      <c r="K182" s="195">
        <f t="shared" si="264"/>
        <v>0</v>
      </c>
      <c r="L182" s="195">
        <f t="shared" si="264"/>
        <v>0</v>
      </c>
      <c r="M182" s="195">
        <f t="shared" si="264"/>
        <v>0</v>
      </c>
      <c r="N182" s="195">
        <f t="shared" si="264"/>
        <v>0</v>
      </c>
      <c r="O182" s="195">
        <f t="shared" si="264"/>
        <v>0</v>
      </c>
      <c r="P182" s="195">
        <f t="shared" si="264"/>
        <v>114190.0996</v>
      </c>
      <c r="Q182" s="195">
        <f t="shared" si="264"/>
        <v>124571.0178</v>
      </c>
      <c r="R182" s="195">
        <f t="shared" si="264"/>
        <v>124571.0178</v>
      </c>
      <c r="S182" s="195">
        <f t="shared" si="264"/>
        <v>124571.0178</v>
      </c>
      <c r="T182" s="195">
        <f t="shared" si="264"/>
        <v>124571.0178</v>
      </c>
      <c r="U182" s="195">
        <f t="shared" si="264"/>
        <v>10380.91815</v>
      </c>
      <c r="V182" s="195">
        <f t="shared" si="264"/>
        <v>0</v>
      </c>
      <c r="W182" s="195">
        <f t="shared" si="264"/>
        <v>0</v>
      </c>
      <c r="X182" s="195">
        <f t="shared" si="264"/>
        <v>0</v>
      </c>
      <c r="Y182" s="195">
        <f t="shared" si="264"/>
        <v>0</v>
      </c>
      <c r="Z182" s="195">
        <f t="shared" si="264"/>
        <v>0</v>
      </c>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row>
    <row r="183" ht="15.75" customHeight="1">
      <c r="A183" s="1"/>
      <c r="B183" s="1" t="s">
        <v>391</v>
      </c>
      <c r="C183" s="131">
        <f>-AN$13</f>
        <v>-252000</v>
      </c>
      <c r="D183" s="117"/>
      <c r="E183" s="195">
        <f t="shared" ref="E183:Z183" si="265">IF(YEAR(E$1)=YEAR($AN$2)+1,PMT($AB$136,$AB$134,$C183,0)*((12-MONTH($AN$2))/12),IF(YEAR(E$1)=YEAR($AN$2)+($AB$134+1),PMT($AB$136,5,$C183,0)*(MONTH($AN$2))/12,IF(AND(YEAR(E$1)&gt;YEAR($AN$2)+1,YEAR(E$1)&lt;YEAR($AN$2)+$AB$134+2),PMT($AB$136,$AB$134,$C183,0),0)))</f>
        <v>0</v>
      </c>
      <c r="F183" s="195">
        <f t="shared" si="265"/>
        <v>0</v>
      </c>
      <c r="G183" s="195">
        <f t="shared" si="265"/>
        <v>0</v>
      </c>
      <c r="H183" s="195">
        <f t="shared" si="265"/>
        <v>0</v>
      </c>
      <c r="I183" s="195">
        <f t="shared" si="265"/>
        <v>0</v>
      </c>
      <c r="J183" s="195">
        <f t="shared" si="265"/>
        <v>0</v>
      </c>
      <c r="K183" s="195">
        <f t="shared" si="265"/>
        <v>0</v>
      </c>
      <c r="L183" s="195">
        <f t="shared" si="265"/>
        <v>0</v>
      </c>
      <c r="M183" s="195">
        <f t="shared" si="265"/>
        <v>0</v>
      </c>
      <c r="N183" s="195">
        <f t="shared" si="265"/>
        <v>0</v>
      </c>
      <c r="O183" s="195">
        <f t="shared" si="265"/>
        <v>0</v>
      </c>
      <c r="P183" s="195">
        <f t="shared" si="265"/>
        <v>0</v>
      </c>
      <c r="Q183" s="195">
        <f t="shared" si="265"/>
        <v>57095.04981</v>
      </c>
      <c r="R183" s="195">
        <f t="shared" si="265"/>
        <v>62285.50888</v>
      </c>
      <c r="S183" s="195">
        <f t="shared" si="265"/>
        <v>62285.50888</v>
      </c>
      <c r="T183" s="195">
        <f t="shared" si="265"/>
        <v>62285.50888</v>
      </c>
      <c r="U183" s="195">
        <f t="shared" si="265"/>
        <v>62285.50888</v>
      </c>
      <c r="V183" s="195">
        <f t="shared" si="265"/>
        <v>5190.459074</v>
      </c>
      <c r="W183" s="195">
        <f t="shared" si="265"/>
        <v>0</v>
      </c>
      <c r="X183" s="195">
        <f t="shared" si="265"/>
        <v>0</v>
      </c>
      <c r="Y183" s="195">
        <f t="shared" si="265"/>
        <v>0</v>
      </c>
      <c r="Z183" s="195">
        <f t="shared" si="265"/>
        <v>0</v>
      </c>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row>
    <row r="184" ht="15.75" customHeight="1">
      <c r="A184" s="1"/>
      <c r="B184" s="1" t="s">
        <v>392</v>
      </c>
      <c r="C184" s="131">
        <f>-AN$14</f>
        <v>-84000</v>
      </c>
      <c r="D184" s="117"/>
      <c r="E184" s="195">
        <f t="shared" ref="E184:Z184" si="266">IF(OR(YEAR(E$1)=YEAR($AN$2)+1,YEAR(E$1)=YEAR($AN$2)+2),-($C184*$AB$138),IF(YEAR(E$1)=YEAR($AN$2)+3,PMT($AB$136,$AB$134,$C184,0)*((12-MONTH($AN$2))/12),IF(YEAR(E$1)=YEAR($AN$2)+($AB$134+3),PMT($AB$136,$AB$134,$C184,0)*(MONTH($AN$2))/12,IF(AND(YEAR(E$1)&gt;YEAR($AN$2)+3,YEAR(E$1)&lt;YEAR($AN$2)+$AB$134+4),PMT($AB$136,$AB$134,$C184,0),0))))</f>
        <v>0</v>
      </c>
      <c r="F184" s="195">
        <f t="shared" si="266"/>
        <v>0</v>
      </c>
      <c r="G184" s="195">
        <f t="shared" si="266"/>
        <v>0</v>
      </c>
      <c r="H184" s="195">
        <f t="shared" si="266"/>
        <v>0</v>
      </c>
      <c r="I184" s="195">
        <f t="shared" si="266"/>
        <v>0</v>
      </c>
      <c r="J184" s="195">
        <f t="shared" si="266"/>
        <v>0</v>
      </c>
      <c r="K184" s="195">
        <f t="shared" si="266"/>
        <v>0</v>
      </c>
      <c r="L184" s="195">
        <f t="shared" si="266"/>
        <v>0</v>
      </c>
      <c r="M184" s="195">
        <f t="shared" si="266"/>
        <v>0</v>
      </c>
      <c r="N184" s="195">
        <f t="shared" si="266"/>
        <v>0</v>
      </c>
      <c r="O184" s="195">
        <f t="shared" si="266"/>
        <v>0</v>
      </c>
      <c r="P184" s="195">
        <f t="shared" si="266"/>
        <v>0</v>
      </c>
      <c r="Q184" s="195">
        <f t="shared" si="266"/>
        <v>814.8</v>
      </c>
      <c r="R184" s="195">
        <f t="shared" si="266"/>
        <v>814.8</v>
      </c>
      <c r="S184" s="195">
        <f t="shared" si="266"/>
        <v>19031.68327</v>
      </c>
      <c r="T184" s="195">
        <f t="shared" si="266"/>
        <v>20761.83629</v>
      </c>
      <c r="U184" s="195">
        <f t="shared" si="266"/>
        <v>20761.83629</v>
      </c>
      <c r="V184" s="195">
        <f t="shared" si="266"/>
        <v>20761.83629</v>
      </c>
      <c r="W184" s="195">
        <f t="shared" si="266"/>
        <v>20761.83629</v>
      </c>
      <c r="X184" s="195">
        <f t="shared" si="266"/>
        <v>1730.153025</v>
      </c>
      <c r="Y184" s="195">
        <f t="shared" si="266"/>
        <v>0</v>
      </c>
      <c r="Z184" s="195">
        <f t="shared" si="266"/>
        <v>0</v>
      </c>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row>
    <row r="185" ht="15.75" customHeight="1">
      <c r="A185" s="1"/>
      <c r="B185" s="1"/>
      <c r="C185" s="117"/>
      <c r="D185" s="117"/>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row>
    <row r="186" ht="15.75" customHeight="1">
      <c r="A186" s="1"/>
      <c r="B186" s="4" t="s">
        <v>398</v>
      </c>
      <c r="C186" s="117"/>
      <c r="D186" s="117"/>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row>
    <row r="187" ht="15.75" customHeight="1">
      <c r="A187" s="1"/>
      <c r="B187" s="1" t="s">
        <v>390</v>
      </c>
      <c r="C187" s="131">
        <f>-AO$12</f>
        <v>-936000</v>
      </c>
      <c r="D187" s="117"/>
      <c r="E187" s="195">
        <f t="shared" ref="E187:Z187" si="267">IF(YEAR(E$1)=YEAR($AO$2),PMT($AB$136,$AB$134,$C187,0)*((12-MONTH($AO$2))/12),IF(YEAR(E$1)=YEAR($AO$2)+$AB$134,PMT($AB$136,5,$C187,0)*(MONTH($AO$2))/12,IF(AND(YEAR(E$1)&gt;YEAR($AO$2),YEAR(E$1)&lt;YEAR($AO$2)+$AB$134),(PMT($AB$136,$AB$134,$C187,0)),0)))</f>
        <v>0</v>
      </c>
      <c r="F187" s="195">
        <f t="shared" si="267"/>
        <v>0</v>
      </c>
      <c r="G187" s="195">
        <f t="shared" si="267"/>
        <v>0</v>
      </c>
      <c r="H187" s="195">
        <f t="shared" si="267"/>
        <v>0</v>
      </c>
      <c r="I187" s="195">
        <f t="shared" si="267"/>
        <v>0</v>
      </c>
      <c r="J187" s="195">
        <f t="shared" si="267"/>
        <v>0</v>
      </c>
      <c r="K187" s="195">
        <f t="shared" si="267"/>
        <v>0</v>
      </c>
      <c r="L187" s="195">
        <f t="shared" si="267"/>
        <v>0</v>
      </c>
      <c r="M187" s="195">
        <f t="shared" si="267"/>
        <v>0</v>
      </c>
      <c r="N187" s="195">
        <f t="shared" si="267"/>
        <v>0</v>
      </c>
      <c r="O187" s="195">
        <f t="shared" si="267"/>
        <v>0</v>
      </c>
      <c r="P187" s="195">
        <f t="shared" si="267"/>
        <v>0</v>
      </c>
      <c r="Q187" s="195">
        <f t="shared" si="267"/>
        <v>0</v>
      </c>
      <c r="R187" s="195">
        <f t="shared" si="267"/>
        <v>212067.3279</v>
      </c>
      <c r="S187" s="195">
        <f t="shared" si="267"/>
        <v>231346.1758</v>
      </c>
      <c r="T187" s="195">
        <f t="shared" si="267"/>
        <v>231346.1758</v>
      </c>
      <c r="U187" s="195">
        <f t="shared" si="267"/>
        <v>231346.1758</v>
      </c>
      <c r="V187" s="195">
        <f t="shared" si="267"/>
        <v>231346.1758</v>
      </c>
      <c r="W187" s="195">
        <f t="shared" si="267"/>
        <v>19278.84799</v>
      </c>
      <c r="X187" s="195">
        <f t="shared" si="267"/>
        <v>0</v>
      </c>
      <c r="Y187" s="195">
        <f t="shared" si="267"/>
        <v>0</v>
      </c>
      <c r="Z187" s="195">
        <f t="shared" si="267"/>
        <v>0</v>
      </c>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row>
    <row r="188" ht="15.75" customHeight="1">
      <c r="A188" s="1"/>
      <c r="B188" s="1" t="s">
        <v>391</v>
      </c>
      <c r="C188" s="131">
        <f>-AO$13</f>
        <v>-468000</v>
      </c>
      <c r="D188" s="117"/>
      <c r="E188" s="195">
        <f t="shared" ref="E188:Z188" si="268">IF(YEAR(E$1)=YEAR($AO$2)+1,PMT($AB$136,$AB$134,$C188,0)*((12-MONTH($AO$2))/12),IF(YEAR(E$1)=YEAR($AO$2)+($AB$134+1),PMT($AB$136,5,$C188,0)*(MONTH($AO$2))/12,IF(AND(YEAR(E$1)&gt;YEAR($AO$2)+1,YEAR(E$1)&lt;YEAR($AO$2)+$AB$134+2),PMT($AB$136,$AB$134,$C188,0),0)))</f>
        <v>0</v>
      </c>
      <c r="F188" s="195">
        <f t="shared" si="268"/>
        <v>0</v>
      </c>
      <c r="G188" s="195">
        <f t="shared" si="268"/>
        <v>0</v>
      </c>
      <c r="H188" s="195">
        <f t="shared" si="268"/>
        <v>0</v>
      </c>
      <c r="I188" s="195">
        <f t="shared" si="268"/>
        <v>0</v>
      </c>
      <c r="J188" s="195">
        <f t="shared" si="268"/>
        <v>0</v>
      </c>
      <c r="K188" s="195">
        <f t="shared" si="268"/>
        <v>0</v>
      </c>
      <c r="L188" s="195">
        <f t="shared" si="268"/>
        <v>0</v>
      </c>
      <c r="M188" s="195">
        <f t="shared" si="268"/>
        <v>0</v>
      </c>
      <c r="N188" s="195">
        <f t="shared" si="268"/>
        <v>0</v>
      </c>
      <c r="O188" s="195">
        <f t="shared" si="268"/>
        <v>0</v>
      </c>
      <c r="P188" s="195">
        <f t="shared" si="268"/>
        <v>0</v>
      </c>
      <c r="Q188" s="195">
        <f t="shared" si="268"/>
        <v>0</v>
      </c>
      <c r="R188" s="195">
        <f t="shared" si="268"/>
        <v>0</v>
      </c>
      <c r="S188" s="195">
        <f t="shared" si="268"/>
        <v>106033.6639</v>
      </c>
      <c r="T188" s="195">
        <f t="shared" si="268"/>
        <v>115673.0879</v>
      </c>
      <c r="U188" s="195">
        <f t="shared" si="268"/>
        <v>115673.0879</v>
      </c>
      <c r="V188" s="195">
        <f t="shared" si="268"/>
        <v>115673.0879</v>
      </c>
      <c r="W188" s="195">
        <f t="shared" si="268"/>
        <v>115673.0879</v>
      </c>
      <c r="X188" s="195">
        <f t="shared" si="268"/>
        <v>9639.423994</v>
      </c>
      <c r="Y188" s="195">
        <f t="shared" si="268"/>
        <v>0</v>
      </c>
      <c r="Z188" s="195">
        <f t="shared" si="268"/>
        <v>0</v>
      </c>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row>
    <row r="189" ht="15.75" customHeight="1">
      <c r="A189" s="1"/>
      <c r="B189" s="1" t="s">
        <v>392</v>
      </c>
      <c r="C189" s="131">
        <f>-AO$14</f>
        <v>-156000</v>
      </c>
      <c r="D189" s="117"/>
      <c r="E189" s="195">
        <f t="shared" ref="E189:Z189" si="269">IF(OR(YEAR(E$1)=YEAR($AO$2)+1,YEAR(E$1)=YEAR($AO$2)+2),-($C189*$AB$138),IF(YEAR(E$1)=YEAR($AO$2)+3,PMT($AB$136,$AB$134,$C189,0)*((12-MONTH($AO$2))/12),IF(YEAR(E$1)=YEAR($AO$2)+($AB$134+3),PMT($AB$136,$AB$134,$C189,0)*(MONTH($AO$2))/12,IF(AND(YEAR(E$1)&gt;YEAR($AO$2)+3,YEAR(E$1)&lt;YEAR($AO$2)+$AB$134+4),PMT($AB$136,$AB$134,$C189,0),0))))</f>
        <v>0</v>
      </c>
      <c r="F189" s="195">
        <f t="shared" si="269"/>
        <v>0</v>
      </c>
      <c r="G189" s="195">
        <f t="shared" si="269"/>
        <v>0</v>
      </c>
      <c r="H189" s="195">
        <f t="shared" si="269"/>
        <v>0</v>
      </c>
      <c r="I189" s="195">
        <f t="shared" si="269"/>
        <v>0</v>
      </c>
      <c r="J189" s="195">
        <f t="shared" si="269"/>
        <v>0</v>
      </c>
      <c r="K189" s="195">
        <f t="shared" si="269"/>
        <v>0</v>
      </c>
      <c r="L189" s="195">
        <f t="shared" si="269"/>
        <v>0</v>
      </c>
      <c r="M189" s="195">
        <f t="shared" si="269"/>
        <v>0</v>
      </c>
      <c r="N189" s="195">
        <f t="shared" si="269"/>
        <v>0</v>
      </c>
      <c r="O189" s="195">
        <f t="shared" si="269"/>
        <v>0</v>
      </c>
      <c r="P189" s="195">
        <f t="shared" si="269"/>
        <v>0</v>
      </c>
      <c r="Q189" s="195">
        <f t="shared" si="269"/>
        <v>0</v>
      </c>
      <c r="R189" s="195">
        <f t="shared" si="269"/>
        <v>0</v>
      </c>
      <c r="S189" s="195">
        <f t="shared" si="269"/>
        <v>1513.2</v>
      </c>
      <c r="T189" s="195">
        <f t="shared" si="269"/>
        <v>1513.2</v>
      </c>
      <c r="U189" s="195">
        <f t="shared" si="269"/>
        <v>35344.55464</v>
      </c>
      <c r="V189" s="195">
        <f t="shared" si="269"/>
        <v>38557.69597</v>
      </c>
      <c r="W189" s="195">
        <f t="shared" si="269"/>
        <v>38557.69597</v>
      </c>
      <c r="X189" s="195">
        <f t="shared" si="269"/>
        <v>38557.69597</v>
      </c>
      <c r="Y189" s="195">
        <f t="shared" si="269"/>
        <v>38557.69597</v>
      </c>
      <c r="Z189" s="195">
        <f t="shared" si="269"/>
        <v>3213.141331</v>
      </c>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row>
    <row r="190" ht="15.75" customHeight="1">
      <c r="A190" s="1"/>
      <c r="B190" s="1"/>
      <c r="C190" s="117"/>
      <c r="D190" s="117"/>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row>
    <row r="191" ht="15.75" customHeight="1">
      <c r="A191" s="1"/>
      <c r="B191" s="4" t="s">
        <v>399</v>
      </c>
      <c r="C191" s="117"/>
      <c r="D191" s="117"/>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row>
    <row r="192" ht="15.75" customHeight="1">
      <c r="A192" s="1"/>
      <c r="B192" s="1" t="s">
        <v>390</v>
      </c>
      <c r="C192" s="131">
        <f>-AP$12</f>
        <v>-739200</v>
      </c>
      <c r="D192" s="117"/>
      <c r="E192" s="195">
        <f t="shared" ref="E192:Z192" si="270">IF(YEAR(E$1)=YEAR($AP$2),PMT($AB$136,$AB$134,$C192,0)*((12-MONTH($AP$2))/12),IF(YEAR(E$1)=YEAR($AP$2)+$AB$134,PMT($AB$136,5,$C192,0)*(MONTH($AP$2))/12,IF(AND(YEAR(E$1)&gt;YEAR($AP$2),YEAR(E$1)&lt;YEAR($AP$2)+$AB$134),(PMT($AB$136,$AB$134,$C192,0)),0)))</f>
        <v>0</v>
      </c>
      <c r="F192" s="195">
        <f t="shared" si="270"/>
        <v>0</v>
      </c>
      <c r="G192" s="195">
        <f t="shared" si="270"/>
        <v>0</v>
      </c>
      <c r="H192" s="195">
        <f t="shared" si="270"/>
        <v>0</v>
      </c>
      <c r="I192" s="195">
        <f t="shared" si="270"/>
        <v>0</v>
      </c>
      <c r="J192" s="195">
        <f t="shared" si="270"/>
        <v>0</v>
      </c>
      <c r="K192" s="195">
        <f t="shared" si="270"/>
        <v>0</v>
      </c>
      <c r="L192" s="195">
        <f t="shared" si="270"/>
        <v>0</v>
      </c>
      <c r="M192" s="195">
        <f t="shared" si="270"/>
        <v>0</v>
      </c>
      <c r="N192" s="195">
        <f t="shared" si="270"/>
        <v>0</v>
      </c>
      <c r="O192" s="195">
        <f t="shared" si="270"/>
        <v>0</v>
      </c>
      <c r="P192" s="195">
        <f t="shared" si="270"/>
        <v>0</v>
      </c>
      <c r="Q192" s="195">
        <f t="shared" si="270"/>
        <v>0</v>
      </c>
      <c r="R192" s="195">
        <f t="shared" si="270"/>
        <v>0</v>
      </c>
      <c r="S192" s="195">
        <f t="shared" si="270"/>
        <v>0</v>
      </c>
      <c r="T192" s="195">
        <f t="shared" si="270"/>
        <v>167478.8128</v>
      </c>
      <c r="U192" s="195">
        <f t="shared" si="270"/>
        <v>182704.1594</v>
      </c>
      <c r="V192" s="195">
        <f t="shared" si="270"/>
        <v>182704.1594</v>
      </c>
      <c r="W192" s="195">
        <f t="shared" si="270"/>
        <v>182704.1594</v>
      </c>
      <c r="X192" s="195">
        <f t="shared" si="270"/>
        <v>182704.1594</v>
      </c>
      <c r="Y192" s="195">
        <f t="shared" si="270"/>
        <v>15225.34662</v>
      </c>
      <c r="Z192" s="195">
        <f t="shared" si="270"/>
        <v>0</v>
      </c>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row>
    <row r="193" ht="15.75" customHeight="1">
      <c r="A193" s="1"/>
      <c r="B193" s="1" t="s">
        <v>391</v>
      </c>
      <c r="C193" s="131">
        <f>-AP$13</f>
        <v>-369600</v>
      </c>
      <c r="D193" s="117"/>
      <c r="E193" s="195">
        <f t="shared" ref="E193:Z193" si="271">IF(YEAR(E$1)=YEAR($AP$2)+1,PMT($AB$136,$AB$134,$C193,0)*((12-MONTH($AP$2))/12),IF(YEAR(E$1)=YEAR($AP$2)+($AB$134+1),PMT($AB$136,5,$C193,0)*(MONTH($AP$2))/12,IF(AND(YEAR(E$1)&gt;YEAR($AP$2)+1,YEAR(E$1)&lt;YEAR($AP$2)+$AB$134+2),PMT($AB$136,$AB$134,$C193,0),0)))</f>
        <v>0</v>
      </c>
      <c r="F193" s="195">
        <f t="shared" si="271"/>
        <v>0</v>
      </c>
      <c r="G193" s="195">
        <f t="shared" si="271"/>
        <v>0</v>
      </c>
      <c r="H193" s="195">
        <f t="shared" si="271"/>
        <v>0</v>
      </c>
      <c r="I193" s="195">
        <f t="shared" si="271"/>
        <v>0</v>
      </c>
      <c r="J193" s="195">
        <f t="shared" si="271"/>
        <v>0</v>
      </c>
      <c r="K193" s="195">
        <f t="shared" si="271"/>
        <v>0</v>
      </c>
      <c r="L193" s="195">
        <f t="shared" si="271"/>
        <v>0</v>
      </c>
      <c r="M193" s="195">
        <f t="shared" si="271"/>
        <v>0</v>
      </c>
      <c r="N193" s="195">
        <f t="shared" si="271"/>
        <v>0</v>
      </c>
      <c r="O193" s="195">
        <f t="shared" si="271"/>
        <v>0</v>
      </c>
      <c r="P193" s="195">
        <f t="shared" si="271"/>
        <v>0</v>
      </c>
      <c r="Q193" s="195">
        <f t="shared" si="271"/>
        <v>0</v>
      </c>
      <c r="R193" s="195">
        <f t="shared" si="271"/>
        <v>0</v>
      </c>
      <c r="S193" s="195">
        <f t="shared" si="271"/>
        <v>0</v>
      </c>
      <c r="T193" s="195">
        <f t="shared" si="271"/>
        <v>0</v>
      </c>
      <c r="U193" s="195">
        <f t="shared" si="271"/>
        <v>83739.40639</v>
      </c>
      <c r="V193" s="195">
        <f t="shared" si="271"/>
        <v>91352.07969</v>
      </c>
      <c r="W193" s="195">
        <f t="shared" si="271"/>
        <v>91352.07969</v>
      </c>
      <c r="X193" s="195">
        <f t="shared" si="271"/>
        <v>91352.07969</v>
      </c>
      <c r="Y193" s="195">
        <f t="shared" si="271"/>
        <v>91352.07969</v>
      </c>
      <c r="Z193" s="195">
        <f t="shared" si="271"/>
        <v>7612.673308</v>
      </c>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row>
    <row r="194" ht="15.75" customHeight="1">
      <c r="A194" s="1"/>
      <c r="B194" s="1" t="s">
        <v>392</v>
      </c>
      <c r="C194" s="131">
        <f>-AP$14</f>
        <v>-123200</v>
      </c>
      <c r="D194" s="117"/>
      <c r="E194" s="195">
        <f t="shared" ref="E194:Z194" si="272">IF(OR(YEAR(E$1)=YEAR($AP$2)+1,YEAR(E$1)=YEAR($AP$2)+2),-($C194*$AB$138),IF(YEAR(E$1)=YEAR($AP$2)+3,PMT($AB$136,$AB$134,$C194,0)*((12-MONTH($AP$2))/12),IF(YEAR(E$1)=YEAR($AP$2)+($AB$134+3),PMT($AB$136,$AB$134,$C194,0)*(MONTH($AP$2))/12,IF(AND(YEAR(E$1)&gt;YEAR($AP$2)+3,YEAR(E$1)&lt;YEAR($AP$2)+$AB$134+4),PMT($AB$136,$AB$134,$C194,0),0))))</f>
        <v>0</v>
      </c>
      <c r="F194" s="195">
        <f t="shared" si="272"/>
        <v>0</v>
      </c>
      <c r="G194" s="195">
        <f t="shared" si="272"/>
        <v>0</v>
      </c>
      <c r="H194" s="195">
        <f t="shared" si="272"/>
        <v>0</v>
      </c>
      <c r="I194" s="195">
        <f t="shared" si="272"/>
        <v>0</v>
      </c>
      <c r="J194" s="195">
        <f t="shared" si="272"/>
        <v>0</v>
      </c>
      <c r="K194" s="195">
        <f t="shared" si="272"/>
        <v>0</v>
      </c>
      <c r="L194" s="195">
        <f t="shared" si="272"/>
        <v>0</v>
      </c>
      <c r="M194" s="195">
        <f t="shared" si="272"/>
        <v>0</v>
      </c>
      <c r="N194" s="195">
        <f t="shared" si="272"/>
        <v>0</v>
      </c>
      <c r="O194" s="195">
        <f t="shared" si="272"/>
        <v>0</v>
      </c>
      <c r="P194" s="195">
        <f t="shared" si="272"/>
        <v>0</v>
      </c>
      <c r="Q194" s="195">
        <f t="shared" si="272"/>
        <v>0</v>
      </c>
      <c r="R194" s="195">
        <f t="shared" si="272"/>
        <v>0</v>
      </c>
      <c r="S194" s="195">
        <f t="shared" si="272"/>
        <v>0</v>
      </c>
      <c r="T194" s="195">
        <f t="shared" si="272"/>
        <v>0</v>
      </c>
      <c r="U194" s="195">
        <f t="shared" si="272"/>
        <v>1195.04</v>
      </c>
      <c r="V194" s="195">
        <f t="shared" si="272"/>
        <v>1195.04</v>
      </c>
      <c r="W194" s="195">
        <f t="shared" si="272"/>
        <v>27913.13546</v>
      </c>
      <c r="X194" s="195">
        <f t="shared" si="272"/>
        <v>30450.69323</v>
      </c>
      <c r="Y194" s="195">
        <f t="shared" si="272"/>
        <v>30450.69323</v>
      </c>
      <c r="Z194" s="195">
        <f t="shared" si="272"/>
        <v>30450.69323</v>
      </c>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row>
    <row r="195" ht="15.75" customHeight="1">
      <c r="A195" s="1"/>
      <c r="B195" s="1"/>
      <c r="C195" s="117"/>
      <c r="D195" s="117"/>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row>
    <row r="196" ht="15.75" customHeight="1">
      <c r="A196" s="1"/>
      <c r="B196" s="4" t="s">
        <v>400</v>
      </c>
      <c r="C196" s="117"/>
      <c r="D196" s="117"/>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row>
    <row r="197" ht="15.75" customHeight="1">
      <c r="A197" s="1"/>
      <c r="B197" s="1" t="s">
        <v>390</v>
      </c>
      <c r="C197" s="131">
        <f>-AQ$12</f>
        <v>-864000</v>
      </c>
      <c r="D197" s="117"/>
      <c r="E197" s="195">
        <f t="shared" ref="E197:Z197" si="273">IF(YEAR(E$1)=YEAR($AQ$2),PMT($AB$136,$AB$134,$C197,0)*((12-MONTH($AQ$2))/12),IF(YEAR(E$1)=YEAR($AQ$2)+$AB$134,PMT($AB$136,5,$C197,0)*(MONTH($AQ$2))/12,IF(AND(YEAR(E$1)&gt;YEAR($AQ$2),YEAR(E$1)&lt;YEAR($AQ$2)+$AB$134),(PMT($AB$136,$AB$134,$C197,0)),0)))</f>
        <v>0</v>
      </c>
      <c r="F197" s="195">
        <f t="shared" si="273"/>
        <v>0</v>
      </c>
      <c r="G197" s="195">
        <f t="shared" si="273"/>
        <v>0</v>
      </c>
      <c r="H197" s="195">
        <f t="shared" si="273"/>
        <v>0</v>
      </c>
      <c r="I197" s="195">
        <f t="shared" si="273"/>
        <v>0</v>
      </c>
      <c r="J197" s="195">
        <f t="shared" si="273"/>
        <v>0</v>
      </c>
      <c r="K197" s="195">
        <f t="shared" si="273"/>
        <v>0</v>
      </c>
      <c r="L197" s="195">
        <f t="shared" si="273"/>
        <v>0</v>
      </c>
      <c r="M197" s="195">
        <f t="shared" si="273"/>
        <v>0</v>
      </c>
      <c r="N197" s="195">
        <f t="shared" si="273"/>
        <v>0</v>
      </c>
      <c r="O197" s="195">
        <f t="shared" si="273"/>
        <v>0</v>
      </c>
      <c r="P197" s="195">
        <f t="shared" si="273"/>
        <v>0</v>
      </c>
      <c r="Q197" s="195">
        <f t="shared" si="273"/>
        <v>0</v>
      </c>
      <c r="R197" s="195">
        <f t="shared" si="273"/>
        <v>0</v>
      </c>
      <c r="S197" s="195">
        <f t="shared" si="273"/>
        <v>0</v>
      </c>
      <c r="T197" s="195">
        <f t="shared" si="273"/>
        <v>0</v>
      </c>
      <c r="U197" s="195">
        <f t="shared" si="273"/>
        <v>0</v>
      </c>
      <c r="V197" s="195">
        <f t="shared" si="273"/>
        <v>195754.4565</v>
      </c>
      <c r="W197" s="195">
        <f t="shared" si="273"/>
        <v>213550.3162</v>
      </c>
      <c r="X197" s="195">
        <f t="shared" si="273"/>
        <v>213550.3162</v>
      </c>
      <c r="Y197" s="195">
        <f t="shared" si="273"/>
        <v>213550.3162</v>
      </c>
      <c r="Z197" s="195">
        <f t="shared" si="273"/>
        <v>213550.3162</v>
      </c>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row>
    <row r="198" ht="15.75" customHeight="1">
      <c r="A198" s="1"/>
      <c r="B198" s="1" t="s">
        <v>391</v>
      </c>
      <c r="C198" s="131">
        <f>-AQ$13</f>
        <v>-432000</v>
      </c>
      <c r="D198" s="117"/>
      <c r="E198" s="195">
        <f t="shared" ref="E198:Z198" si="274">IF(YEAR(E$1)=YEAR($AQ$2)+1,PMT($AB$136,$AB$134,$C198,0)*((12-MONTH($AQ$2))/12),IF(YEAR(E$1)=YEAR($AQ$2)+($AB$134+1),PMT($AB$136,5,$C198,0)*(MONTH($AQ$2))/12,IF(AND(YEAR(E$1)&gt;YEAR($AQ$2)+1,YEAR(E$1)&lt;YEAR($AQ$2)+$AB$134+2),PMT($AB$136,$AB$134,$C198,0),0)))</f>
        <v>0</v>
      </c>
      <c r="F198" s="195">
        <f t="shared" si="274"/>
        <v>0</v>
      </c>
      <c r="G198" s="195">
        <f t="shared" si="274"/>
        <v>0</v>
      </c>
      <c r="H198" s="195">
        <f t="shared" si="274"/>
        <v>0</v>
      </c>
      <c r="I198" s="195">
        <f t="shared" si="274"/>
        <v>0</v>
      </c>
      <c r="J198" s="195">
        <f t="shared" si="274"/>
        <v>0</v>
      </c>
      <c r="K198" s="195">
        <f t="shared" si="274"/>
        <v>0</v>
      </c>
      <c r="L198" s="195">
        <f t="shared" si="274"/>
        <v>0</v>
      </c>
      <c r="M198" s="195">
        <f t="shared" si="274"/>
        <v>0</v>
      </c>
      <c r="N198" s="195">
        <f t="shared" si="274"/>
        <v>0</v>
      </c>
      <c r="O198" s="195">
        <f t="shared" si="274"/>
        <v>0</v>
      </c>
      <c r="P198" s="195">
        <f t="shared" si="274"/>
        <v>0</v>
      </c>
      <c r="Q198" s="195">
        <f t="shared" si="274"/>
        <v>0</v>
      </c>
      <c r="R198" s="195">
        <f t="shared" si="274"/>
        <v>0</v>
      </c>
      <c r="S198" s="195">
        <f t="shared" si="274"/>
        <v>0</v>
      </c>
      <c r="T198" s="195">
        <f t="shared" si="274"/>
        <v>0</v>
      </c>
      <c r="U198" s="195">
        <f t="shared" si="274"/>
        <v>0</v>
      </c>
      <c r="V198" s="195">
        <f t="shared" si="274"/>
        <v>0</v>
      </c>
      <c r="W198" s="195">
        <f t="shared" si="274"/>
        <v>97877.22824</v>
      </c>
      <c r="X198" s="195">
        <f t="shared" si="274"/>
        <v>106775.1581</v>
      </c>
      <c r="Y198" s="195">
        <f t="shared" si="274"/>
        <v>106775.1581</v>
      </c>
      <c r="Z198" s="195">
        <f t="shared" si="274"/>
        <v>106775.1581</v>
      </c>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row>
    <row r="199" ht="15.75" customHeight="1">
      <c r="A199" s="1"/>
      <c r="B199" s="1" t="s">
        <v>392</v>
      </c>
      <c r="C199" s="131">
        <f>-AQ$14</f>
        <v>-144000</v>
      </c>
      <c r="D199" s="117"/>
      <c r="E199" s="195">
        <f t="shared" ref="E199:Z199" si="275">IF(OR(YEAR(E$1)=YEAR($AQ$2)+1,YEAR(E$1)=YEAR($AQ$2)+2),-($C199*$AB$138),IF(YEAR(E$1)=YEAR($AQ$2)+3,PMT($AB$136,$AB$134,$C199,0)*((12-MONTH($AQ$2))/12),IF(YEAR(E$1)=YEAR($AQ$2)+($AB$134+3),PMT($AB$136,$AB$134,$C199,0)*(MONTH($AQ$2))/12,IF(AND(YEAR(E$1)&gt;YEAR($AQ$2)+3,YEAR(E$1)&lt;YEAR($AQ$2)+$AB$134+4),PMT($AB$136,$AB$134,$C199,0),0))))</f>
        <v>0</v>
      </c>
      <c r="F199" s="195">
        <f t="shared" si="275"/>
        <v>0</v>
      </c>
      <c r="G199" s="195">
        <f t="shared" si="275"/>
        <v>0</v>
      </c>
      <c r="H199" s="195">
        <f t="shared" si="275"/>
        <v>0</v>
      </c>
      <c r="I199" s="195">
        <f t="shared" si="275"/>
        <v>0</v>
      </c>
      <c r="J199" s="195">
        <f t="shared" si="275"/>
        <v>0</v>
      </c>
      <c r="K199" s="195">
        <f t="shared" si="275"/>
        <v>0</v>
      </c>
      <c r="L199" s="195">
        <f t="shared" si="275"/>
        <v>0</v>
      </c>
      <c r="M199" s="195">
        <f t="shared" si="275"/>
        <v>0</v>
      </c>
      <c r="N199" s="195">
        <f t="shared" si="275"/>
        <v>0</v>
      </c>
      <c r="O199" s="195">
        <f t="shared" si="275"/>
        <v>0</v>
      </c>
      <c r="P199" s="195">
        <f t="shared" si="275"/>
        <v>0</v>
      </c>
      <c r="Q199" s="195">
        <f t="shared" si="275"/>
        <v>0</v>
      </c>
      <c r="R199" s="195">
        <f t="shared" si="275"/>
        <v>0</v>
      </c>
      <c r="S199" s="195">
        <f t="shared" si="275"/>
        <v>0</v>
      </c>
      <c r="T199" s="195">
        <f t="shared" si="275"/>
        <v>0</v>
      </c>
      <c r="U199" s="195">
        <f t="shared" si="275"/>
        <v>0</v>
      </c>
      <c r="V199" s="195">
        <f t="shared" si="275"/>
        <v>0</v>
      </c>
      <c r="W199" s="195">
        <f t="shared" si="275"/>
        <v>1396.8</v>
      </c>
      <c r="X199" s="195">
        <f t="shared" si="275"/>
        <v>1396.8</v>
      </c>
      <c r="Y199" s="195">
        <f t="shared" si="275"/>
        <v>32625.74275</v>
      </c>
      <c r="Z199" s="195">
        <f t="shared" si="275"/>
        <v>35591.71936</v>
      </c>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row>
    <row r="200" ht="15.75" customHeight="1">
      <c r="A200" s="1"/>
      <c r="B200" s="1"/>
      <c r="C200" s="117"/>
      <c r="D200" s="117"/>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row>
    <row r="201" ht="15.75" customHeight="1">
      <c r="A201" s="1"/>
      <c r="B201" s="4" t="s">
        <v>401</v>
      </c>
      <c r="C201" s="117"/>
      <c r="D201" s="117"/>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row>
    <row r="202" ht="15.75" customHeight="1">
      <c r="A202" s="1"/>
      <c r="B202" s="1" t="s">
        <v>390</v>
      </c>
      <c r="C202" s="131">
        <f>-AR$12</f>
        <v>-1248000</v>
      </c>
      <c r="D202" s="117"/>
      <c r="E202" s="195">
        <f t="shared" ref="E202:Z202" si="276">IF(YEAR(E$1)=YEAR($AR$2),PMT($AB$136,$AB$134,$C202,0)*((12-MONTH($AR$2))/12),IF(YEAR(E$1)=YEAR($AR$2)+$AB$134,PMT($AB$136,5,$C202,0)*(MONTH($AR$2))/12,IF(AND(YEAR(E$1)&gt;YEAR($AR$2),YEAR(E$1)&lt;YEAR($AR$2)+$AB$134),(PMT($AB$136,$AB$134,$C202,0)),0)))</f>
        <v>0</v>
      </c>
      <c r="F202" s="195">
        <f t="shared" si="276"/>
        <v>0</v>
      </c>
      <c r="G202" s="195">
        <f t="shared" si="276"/>
        <v>0</v>
      </c>
      <c r="H202" s="195">
        <f t="shared" si="276"/>
        <v>0</v>
      </c>
      <c r="I202" s="195">
        <f t="shared" si="276"/>
        <v>0</v>
      </c>
      <c r="J202" s="195">
        <f t="shared" si="276"/>
        <v>0</v>
      </c>
      <c r="K202" s="195">
        <f t="shared" si="276"/>
        <v>0</v>
      </c>
      <c r="L202" s="195">
        <f t="shared" si="276"/>
        <v>0</v>
      </c>
      <c r="M202" s="195">
        <f t="shared" si="276"/>
        <v>0</v>
      </c>
      <c r="N202" s="195">
        <f t="shared" si="276"/>
        <v>0</v>
      </c>
      <c r="O202" s="195">
        <f t="shared" si="276"/>
        <v>0</v>
      </c>
      <c r="P202" s="195">
        <f t="shared" si="276"/>
        <v>0</v>
      </c>
      <c r="Q202" s="195">
        <f t="shared" si="276"/>
        <v>0</v>
      </c>
      <c r="R202" s="195">
        <f t="shared" si="276"/>
        <v>0</v>
      </c>
      <c r="S202" s="195">
        <f t="shared" si="276"/>
        <v>0</v>
      </c>
      <c r="T202" s="195">
        <f t="shared" si="276"/>
        <v>0</v>
      </c>
      <c r="U202" s="195">
        <f t="shared" si="276"/>
        <v>0</v>
      </c>
      <c r="V202" s="195">
        <f t="shared" si="276"/>
        <v>0</v>
      </c>
      <c r="W202" s="195">
        <f t="shared" si="276"/>
        <v>0</v>
      </c>
      <c r="X202" s="195">
        <f t="shared" si="276"/>
        <v>282756.4371</v>
      </c>
      <c r="Y202" s="195">
        <f t="shared" si="276"/>
        <v>308461.5678</v>
      </c>
      <c r="Z202" s="195">
        <f t="shared" si="276"/>
        <v>308461.5678</v>
      </c>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row>
    <row r="203" ht="15.75" customHeight="1">
      <c r="A203" s="1"/>
      <c r="B203" s="1" t="s">
        <v>391</v>
      </c>
      <c r="C203" s="131">
        <f>-AR$13</f>
        <v>-624000</v>
      </c>
      <c r="D203" s="117"/>
      <c r="E203" s="195">
        <f t="shared" ref="E203:Z203" si="277">IF(YEAR(E$1)=YEAR($AR$2)+1,PMT($AB$136,$AB$134,$C203,0)*((12-MONTH($AR$2))/12),IF(YEAR(E$1)=YEAR($AR$2)+($AB$134+1),PMT($AB$136,5,$C203,0)*(MONTH($AR$2))/12,IF(AND(YEAR(E$1)&gt;YEAR($AR$2)+1,YEAR(E$1)&lt;YEAR($AR$2)+$AB$134+2),PMT($AB$136,$AB$134,$C203,0),0)))</f>
        <v>0</v>
      </c>
      <c r="F203" s="195">
        <f t="shared" si="277"/>
        <v>0</v>
      </c>
      <c r="G203" s="195">
        <f t="shared" si="277"/>
        <v>0</v>
      </c>
      <c r="H203" s="195">
        <f t="shared" si="277"/>
        <v>0</v>
      </c>
      <c r="I203" s="195">
        <f t="shared" si="277"/>
        <v>0</v>
      </c>
      <c r="J203" s="195">
        <f t="shared" si="277"/>
        <v>0</v>
      </c>
      <c r="K203" s="195">
        <f t="shared" si="277"/>
        <v>0</v>
      </c>
      <c r="L203" s="195">
        <f t="shared" si="277"/>
        <v>0</v>
      </c>
      <c r="M203" s="195">
        <f t="shared" si="277"/>
        <v>0</v>
      </c>
      <c r="N203" s="195">
        <f t="shared" si="277"/>
        <v>0</v>
      </c>
      <c r="O203" s="195">
        <f t="shared" si="277"/>
        <v>0</v>
      </c>
      <c r="P203" s="195">
        <f t="shared" si="277"/>
        <v>0</v>
      </c>
      <c r="Q203" s="195">
        <f t="shared" si="277"/>
        <v>0</v>
      </c>
      <c r="R203" s="195">
        <f t="shared" si="277"/>
        <v>0</v>
      </c>
      <c r="S203" s="195">
        <f t="shared" si="277"/>
        <v>0</v>
      </c>
      <c r="T203" s="195">
        <f t="shared" si="277"/>
        <v>0</v>
      </c>
      <c r="U203" s="195">
        <f t="shared" si="277"/>
        <v>0</v>
      </c>
      <c r="V203" s="195">
        <f t="shared" si="277"/>
        <v>0</v>
      </c>
      <c r="W203" s="195">
        <f t="shared" si="277"/>
        <v>0</v>
      </c>
      <c r="X203" s="195">
        <f t="shared" si="277"/>
        <v>0</v>
      </c>
      <c r="Y203" s="195">
        <f t="shared" si="277"/>
        <v>141378.2186</v>
      </c>
      <c r="Z203" s="195">
        <f t="shared" si="277"/>
        <v>154230.7839</v>
      </c>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row>
    <row r="204" ht="15.75" customHeight="1">
      <c r="A204" s="1"/>
      <c r="B204" s="1" t="s">
        <v>392</v>
      </c>
      <c r="C204" s="131">
        <f>-AR$14</f>
        <v>-208000</v>
      </c>
      <c r="D204" s="117"/>
      <c r="E204" s="195">
        <f t="shared" ref="E204:Z204" si="278">IF(OR(YEAR(E$1)=YEAR($AR$2)+1,YEAR(E$1)=YEAR($AR$2)+2),-($C204*$AB$138),IF(YEAR(E$1)=YEAR($AR$2)+3,PMT($AB$136,$AB$134,$C204,0)*((12-MONTH($AR$2))/12),IF(YEAR(E$1)=YEAR($AR$2)+($AB$134+3),PMT($AB$136,$AB$134,$C204,0)*(MONTH($AR$2))/12,IF(AND(YEAR(E$1)&gt;YEAR($AR$2)+3,YEAR(E$1)&lt;YEAR($AR$2)+$AB$134+4),PMT($AB$136,$AB$134,$C204,0),0))))</f>
        <v>0</v>
      </c>
      <c r="F204" s="195">
        <f t="shared" si="278"/>
        <v>0</v>
      </c>
      <c r="G204" s="195">
        <f t="shared" si="278"/>
        <v>0</v>
      </c>
      <c r="H204" s="195">
        <f t="shared" si="278"/>
        <v>0</v>
      </c>
      <c r="I204" s="195">
        <f t="shared" si="278"/>
        <v>0</v>
      </c>
      <c r="J204" s="195">
        <f t="shared" si="278"/>
        <v>0</v>
      </c>
      <c r="K204" s="195">
        <f t="shared" si="278"/>
        <v>0</v>
      </c>
      <c r="L204" s="195">
        <f t="shared" si="278"/>
        <v>0</v>
      </c>
      <c r="M204" s="195">
        <f t="shared" si="278"/>
        <v>0</v>
      </c>
      <c r="N204" s="195">
        <f t="shared" si="278"/>
        <v>0</v>
      </c>
      <c r="O204" s="195">
        <f t="shared" si="278"/>
        <v>0</v>
      </c>
      <c r="P204" s="195">
        <f t="shared" si="278"/>
        <v>0</v>
      </c>
      <c r="Q204" s="195">
        <f t="shared" si="278"/>
        <v>0</v>
      </c>
      <c r="R204" s="195">
        <f t="shared" si="278"/>
        <v>0</v>
      </c>
      <c r="S204" s="195">
        <f t="shared" si="278"/>
        <v>0</v>
      </c>
      <c r="T204" s="195">
        <f t="shared" si="278"/>
        <v>0</v>
      </c>
      <c r="U204" s="195">
        <f t="shared" si="278"/>
        <v>0</v>
      </c>
      <c r="V204" s="195">
        <f t="shared" si="278"/>
        <v>0</v>
      </c>
      <c r="W204" s="195">
        <f t="shared" si="278"/>
        <v>0</v>
      </c>
      <c r="X204" s="195">
        <f t="shared" si="278"/>
        <v>0</v>
      </c>
      <c r="Y204" s="195">
        <f t="shared" si="278"/>
        <v>2017.6</v>
      </c>
      <c r="Z204" s="195">
        <f t="shared" si="278"/>
        <v>2017.6</v>
      </c>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row>
    <row r="205" ht="15.75" customHeight="1">
      <c r="A205" s="1"/>
      <c r="B205" s="1"/>
      <c r="C205" s="117"/>
      <c r="D205" s="117"/>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row>
    <row r="206" ht="15.75" customHeight="1">
      <c r="A206" s="1"/>
      <c r="B206" s="4" t="s">
        <v>402</v>
      </c>
      <c r="C206" s="117"/>
      <c r="D206" s="117"/>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row>
    <row r="207" ht="15.75" customHeight="1">
      <c r="A207" s="1"/>
      <c r="B207" s="1" t="s">
        <v>390</v>
      </c>
      <c r="C207" s="131">
        <f>-AS$12</f>
        <v>-792000</v>
      </c>
      <c r="D207" s="117"/>
      <c r="E207" s="195">
        <f t="shared" ref="E207:Z207" si="279">IF(YEAR(E$1)=YEAR($AS$2),PMT($AB$136,$AB$134,$C207,0)*((12-MONTH($AS$2))/12),IF(YEAR(E$1)=YEAR($AS$2)+$AB$134,PMT($AB$136,5,$C207,0)*(MONTH($AS$2))/12,IF(AND(YEAR(E$1)&gt;YEAR($AS$2),YEAR(E$1)&lt;YEAR($AS$2)+$AB$134),(PMT($AB$136,$AB$134,$C207,0)),0)))</f>
        <v>0</v>
      </c>
      <c r="F207" s="195">
        <f t="shared" si="279"/>
        <v>0</v>
      </c>
      <c r="G207" s="195">
        <f t="shared" si="279"/>
        <v>0</v>
      </c>
      <c r="H207" s="195">
        <f t="shared" si="279"/>
        <v>0</v>
      </c>
      <c r="I207" s="195">
        <f t="shared" si="279"/>
        <v>0</v>
      </c>
      <c r="J207" s="195">
        <f t="shared" si="279"/>
        <v>0</v>
      </c>
      <c r="K207" s="195">
        <f t="shared" si="279"/>
        <v>0</v>
      </c>
      <c r="L207" s="195">
        <f t="shared" si="279"/>
        <v>0</v>
      </c>
      <c r="M207" s="195">
        <f t="shared" si="279"/>
        <v>0</v>
      </c>
      <c r="N207" s="195">
        <f t="shared" si="279"/>
        <v>0</v>
      </c>
      <c r="O207" s="195">
        <f t="shared" si="279"/>
        <v>0</v>
      </c>
      <c r="P207" s="195">
        <f t="shared" si="279"/>
        <v>0</v>
      </c>
      <c r="Q207" s="195">
        <f t="shared" si="279"/>
        <v>0</v>
      </c>
      <c r="R207" s="195">
        <f t="shared" si="279"/>
        <v>0</v>
      </c>
      <c r="S207" s="195">
        <f t="shared" si="279"/>
        <v>0</v>
      </c>
      <c r="T207" s="195">
        <f t="shared" si="279"/>
        <v>0</v>
      </c>
      <c r="U207" s="195">
        <f t="shared" si="279"/>
        <v>0</v>
      </c>
      <c r="V207" s="195">
        <f t="shared" si="279"/>
        <v>0</v>
      </c>
      <c r="W207" s="195">
        <f t="shared" si="279"/>
        <v>0</v>
      </c>
      <c r="X207" s="195">
        <f t="shared" si="279"/>
        <v>0</v>
      </c>
      <c r="Y207" s="195">
        <f t="shared" si="279"/>
        <v>0</v>
      </c>
      <c r="Z207" s="195">
        <f t="shared" si="279"/>
        <v>179441.5851</v>
      </c>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row>
    <row r="208" ht="15.75" customHeight="1">
      <c r="A208" s="1"/>
      <c r="B208" s="1" t="s">
        <v>391</v>
      </c>
      <c r="C208" s="131">
        <f>-AS$13</f>
        <v>-396000</v>
      </c>
      <c r="D208" s="117"/>
      <c r="E208" s="195">
        <f t="shared" ref="E208:Z208" si="280">IF(YEAR(E$1)=YEAR($AS$2)+1,PMT($AB$136,$AB$134,$C208,0)*((12-MONTH($AS$2))/12),IF(YEAR(E$1)=YEAR($AS$2)+($AB$134+1),PMT($AB$136,5,$C208,0)*(MONTH($AS$2))/12,IF(AND(YEAR(E$1)&gt;YEAR($AS$2)+1,YEAR(E$1)&lt;YEAR($AS$2)+$AB$134+2),PMT($AB$136,$AB$134,$C208,0),0)))</f>
        <v>0</v>
      </c>
      <c r="F208" s="195">
        <f t="shared" si="280"/>
        <v>0</v>
      </c>
      <c r="G208" s="195">
        <f t="shared" si="280"/>
        <v>0</v>
      </c>
      <c r="H208" s="195">
        <f t="shared" si="280"/>
        <v>0</v>
      </c>
      <c r="I208" s="195">
        <f t="shared" si="280"/>
        <v>0</v>
      </c>
      <c r="J208" s="195">
        <f t="shared" si="280"/>
        <v>0</v>
      </c>
      <c r="K208" s="195">
        <f t="shared" si="280"/>
        <v>0</v>
      </c>
      <c r="L208" s="195">
        <f t="shared" si="280"/>
        <v>0</v>
      </c>
      <c r="M208" s="195">
        <f t="shared" si="280"/>
        <v>0</v>
      </c>
      <c r="N208" s="195">
        <f t="shared" si="280"/>
        <v>0</v>
      </c>
      <c r="O208" s="195">
        <f t="shared" si="280"/>
        <v>0</v>
      </c>
      <c r="P208" s="195">
        <f t="shared" si="280"/>
        <v>0</v>
      </c>
      <c r="Q208" s="195">
        <f t="shared" si="280"/>
        <v>0</v>
      </c>
      <c r="R208" s="195">
        <f t="shared" si="280"/>
        <v>0</v>
      </c>
      <c r="S208" s="195">
        <f t="shared" si="280"/>
        <v>0</v>
      </c>
      <c r="T208" s="195">
        <f t="shared" si="280"/>
        <v>0</v>
      </c>
      <c r="U208" s="195">
        <f t="shared" si="280"/>
        <v>0</v>
      </c>
      <c r="V208" s="195">
        <f t="shared" si="280"/>
        <v>0</v>
      </c>
      <c r="W208" s="195">
        <f t="shared" si="280"/>
        <v>0</v>
      </c>
      <c r="X208" s="195">
        <f t="shared" si="280"/>
        <v>0</v>
      </c>
      <c r="Y208" s="195">
        <f t="shared" si="280"/>
        <v>0</v>
      </c>
      <c r="Z208" s="195">
        <f t="shared" si="280"/>
        <v>0</v>
      </c>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row>
    <row r="209" ht="15.75" customHeight="1">
      <c r="A209" s="1"/>
      <c r="B209" s="1" t="s">
        <v>392</v>
      </c>
      <c r="C209" s="131">
        <f>-AS$14</f>
        <v>-132000</v>
      </c>
      <c r="D209" s="117"/>
      <c r="E209" s="195">
        <f t="shared" ref="E209:Z209" si="281">IF(OR(YEAR(E$1)=YEAR($AS$2)+1,YEAR(E$1)=YEAR($AS$2)+2),-($C209*$AB$138),IF(YEAR(E$1)=YEAR($AS$2)+3,PMT($AB$136,$AB$134,$C209,0)*((12-MONTH($AS$2))/12),IF(YEAR(E$1)=YEAR($AS$2)+($AB$134+3),PMT($AB$136,$AB$134,$C209,0)*(MONTH($AS$2))/12,IF(AND(YEAR(E$1)&gt;YEAR($AS$2)+3,YEAR(E$1)&lt;YEAR($AS$2)+$AB$134+4),PMT($AB$136,$AB$134,$C209,0),0))))</f>
        <v>0</v>
      </c>
      <c r="F209" s="195">
        <f t="shared" si="281"/>
        <v>0</v>
      </c>
      <c r="G209" s="195">
        <f t="shared" si="281"/>
        <v>0</v>
      </c>
      <c r="H209" s="195">
        <f t="shared" si="281"/>
        <v>0</v>
      </c>
      <c r="I209" s="195">
        <f t="shared" si="281"/>
        <v>0</v>
      </c>
      <c r="J209" s="195">
        <f t="shared" si="281"/>
        <v>0</v>
      </c>
      <c r="K209" s="195">
        <f t="shared" si="281"/>
        <v>0</v>
      </c>
      <c r="L209" s="195">
        <f t="shared" si="281"/>
        <v>0</v>
      </c>
      <c r="M209" s="195">
        <f t="shared" si="281"/>
        <v>0</v>
      </c>
      <c r="N209" s="195">
        <f t="shared" si="281"/>
        <v>0</v>
      </c>
      <c r="O209" s="195">
        <f t="shared" si="281"/>
        <v>0</v>
      </c>
      <c r="P209" s="195">
        <f t="shared" si="281"/>
        <v>0</v>
      </c>
      <c r="Q209" s="195">
        <f t="shared" si="281"/>
        <v>0</v>
      </c>
      <c r="R209" s="195">
        <f t="shared" si="281"/>
        <v>0</v>
      </c>
      <c r="S209" s="195">
        <f t="shared" si="281"/>
        <v>0</v>
      </c>
      <c r="T209" s="195">
        <f t="shared" si="281"/>
        <v>0</v>
      </c>
      <c r="U209" s="195">
        <f t="shared" si="281"/>
        <v>0</v>
      </c>
      <c r="V209" s="195">
        <f t="shared" si="281"/>
        <v>0</v>
      </c>
      <c r="W209" s="195">
        <f t="shared" si="281"/>
        <v>0</v>
      </c>
      <c r="X209" s="195">
        <f t="shared" si="281"/>
        <v>0</v>
      </c>
      <c r="Y209" s="195">
        <f t="shared" si="281"/>
        <v>0</v>
      </c>
      <c r="Z209" s="195">
        <f t="shared" si="281"/>
        <v>0</v>
      </c>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row>
    <row r="210" ht="15.75" customHeight="1">
      <c r="A210" s="1"/>
      <c r="B210" s="1"/>
      <c r="C210" s="117"/>
      <c r="D210" s="117"/>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row>
    <row r="211" ht="15.75" customHeight="1">
      <c r="A211" s="1"/>
      <c r="B211" s="4" t="s">
        <v>403</v>
      </c>
      <c r="C211" s="117"/>
      <c r="D211" s="117"/>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row>
    <row r="212" ht="15.75" customHeight="1">
      <c r="A212" s="1"/>
      <c r="B212" s="1" t="s">
        <v>390</v>
      </c>
      <c r="C212" s="131">
        <f>-AT$12</f>
        <v>-1152000</v>
      </c>
      <c r="D212" s="117"/>
      <c r="E212" s="195">
        <f t="shared" ref="E212:Z212" si="282">IF(YEAR(E$1)=YEAR($AT$2),PMT($AB$136,$AB$134,$C212,0)*((12-MONTH($AT$2))/12),IF(YEAR(E$1)=YEAR($AT$2)+$AB$134,PMT($AB$136,5,$C212,0)*(MONTH($AT$2))/12,IF(AND(YEAR(E$1)&gt;YEAR($AT$2),YEAR(E$1)&lt;YEAR($AT$2)+$AB$134),(PMT($AB$136,$AB$134,$C212,0)),0)))</f>
        <v>0</v>
      </c>
      <c r="F212" s="195">
        <f t="shared" si="282"/>
        <v>0</v>
      </c>
      <c r="G212" s="195">
        <f t="shared" si="282"/>
        <v>0</v>
      </c>
      <c r="H212" s="195">
        <f t="shared" si="282"/>
        <v>0</v>
      </c>
      <c r="I212" s="195">
        <f t="shared" si="282"/>
        <v>0</v>
      </c>
      <c r="J212" s="195">
        <f t="shared" si="282"/>
        <v>0</v>
      </c>
      <c r="K212" s="195">
        <f t="shared" si="282"/>
        <v>0</v>
      </c>
      <c r="L212" s="195">
        <f t="shared" si="282"/>
        <v>0</v>
      </c>
      <c r="M212" s="195">
        <f t="shared" si="282"/>
        <v>0</v>
      </c>
      <c r="N212" s="195">
        <f t="shared" si="282"/>
        <v>0</v>
      </c>
      <c r="O212" s="195">
        <f t="shared" si="282"/>
        <v>0</v>
      </c>
      <c r="P212" s="195">
        <f t="shared" si="282"/>
        <v>0</v>
      </c>
      <c r="Q212" s="195">
        <f t="shared" si="282"/>
        <v>0</v>
      </c>
      <c r="R212" s="195">
        <f t="shared" si="282"/>
        <v>0</v>
      </c>
      <c r="S212" s="195">
        <f t="shared" si="282"/>
        <v>0</v>
      </c>
      <c r="T212" s="195">
        <f t="shared" si="282"/>
        <v>0</v>
      </c>
      <c r="U212" s="195">
        <f t="shared" si="282"/>
        <v>0</v>
      </c>
      <c r="V212" s="195">
        <f t="shared" si="282"/>
        <v>0</v>
      </c>
      <c r="W212" s="195">
        <f t="shared" si="282"/>
        <v>0</v>
      </c>
      <c r="X212" s="195">
        <f t="shared" si="282"/>
        <v>0</v>
      </c>
      <c r="Y212" s="195">
        <f t="shared" si="282"/>
        <v>0</v>
      </c>
      <c r="Z212" s="195">
        <f t="shared" si="282"/>
        <v>0</v>
      </c>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row>
    <row r="213" ht="15.75" customHeight="1">
      <c r="A213" s="1"/>
      <c r="B213" s="1" t="s">
        <v>391</v>
      </c>
      <c r="C213" s="131">
        <f>-AT$13</f>
        <v>-576000</v>
      </c>
      <c r="D213" s="117"/>
      <c r="E213" s="195">
        <f t="shared" ref="E213:Z213" si="283">IF(YEAR(E$1)=YEAR($AT$2)+1,PMT($AB$136,$AB$134,$C213,0)*((12-MONTH($AT$2))/12),IF(YEAR(E$1)=YEAR($AT$2)+($AB$134+1),PMT($AB$136,5,$C213,0)*(MONTH($AT$2))/12,IF(AND(YEAR(E$1)&gt;YEAR($AT$2)+1,YEAR(E$1)&lt;YEAR($AT$2)+$AB$134+2),PMT($AB$136,$AB$134,$C213,0),0)))</f>
        <v>0</v>
      </c>
      <c r="F213" s="195">
        <f t="shared" si="283"/>
        <v>0</v>
      </c>
      <c r="G213" s="195">
        <f t="shared" si="283"/>
        <v>0</v>
      </c>
      <c r="H213" s="195">
        <f t="shared" si="283"/>
        <v>0</v>
      </c>
      <c r="I213" s="195">
        <f t="shared" si="283"/>
        <v>0</v>
      </c>
      <c r="J213" s="195">
        <f t="shared" si="283"/>
        <v>0</v>
      </c>
      <c r="K213" s="195">
        <f t="shared" si="283"/>
        <v>0</v>
      </c>
      <c r="L213" s="195">
        <f t="shared" si="283"/>
        <v>0</v>
      </c>
      <c r="M213" s="195">
        <f t="shared" si="283"/>
        <v>0</v>
      </c>
      <c r="N213" s="195">
        <f t="shared" si="283"/>
        <v>0</v>
      </c>
      <c r="O213" s="195">
        <f t="shared" si="283"/>
        <v>0</v>
      </c>
      <c r="P213" s="195">
        <f t="shared" si="283"/>
        <v>0</v>
      </c>
      <c r="Q213" s="195">
        <f t="shared" si="283"/>
        <v>0</v>
      </c>
      <c r="R213" s="195">
        <f t="shared" si="283"/>
        <v>0</v>
      </c>
      <c r="S213" s="195">
        <f t="shared" si="283"/>
        <v>0</v>
      </c>
      <c r="T213" s="195">
        <f t="shared" si="283"/>
        <v>0</v>
      </c>
      <c r="U213" s="195">
        <f t="shared" si="283"/>
        <v>0</v>
      </c>
      <c r="V213" s="195">
        <f t="shared" si="283"/>
        <v>0</v>
      </c>
      <c r="W213" s="195">
        <f t="shared" si="283"/>
        <v>0</v>
      </c>
      <c r="X213" s="195">
        <f t="shared" si="283"/>
        <v>0</v>
      </c>
      <c r="Y213" s="195">
        <f t="shared" si="283"/>
        <v>0</v>
      </c>
      <c r="Z213" s="195">
        <f t="shared" si="283"/>
        <v>0</v>
      </c>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row>
    <row r="214" ht="15.75" customHeight="1">
      <c r="A214" s="1"/>
      <c r="B214" s="1" t="s">
        <v>392</v>
      </c>
      <c r="C214" s="131">
        <f>-AT$14</f>
        <v>-192000</v>
      </c>
      <c r="D214" s="117"/>
      <c r="E214" s="195">
        <f t="shared" ref="E214:Z214" si="284">IF(OR(YEAR(E$1)=YEAR($AT$2)+1,YEAR(E$1)=YEAR($AT$2)+2),-($C214*$AB$138),IF(YEAR(E$1)=YEAR($AT$2)+3,PMT($AB$136,$AB$134,$C214,0)*((12-MONTH($AT$2))/12),IF(YEAR(E$1)=YEAR($AT$2)+($AB$134+3),PMT($AB$136,$AB$134,$C214,0)*(MONTH($AT$2))/12,IF(AND(YEAR(E$1)&gt;YEAR($AT$2)+3,YEAR(E$1)&lt;YEAR($AT$2)+$AB$134+4),PMT($AB$136,$AB$134,$C214,0),0))))</f>
        <v>0</v>
      </c>
      <c r="F214" s="195">
        <f t="shared" si="284"/>
        <v>0</v>
      </c>
      <c r="G214" s="195">
        <f t="shared" si="284"/>
        <v>0</v>
      </c>
      <c r="H214" s="195">
        <f t="shared" si="284"/>
        <v>0</v>
      </c>
      <c r="I214" s="195">
        <f t="shared" si="284"/>
        <v>0</v>
      </c>
      <c r="J214" s="195">
        <f t="shared" si="284"/>
        <v>0</v>
      </c>
      <c r="K214" s="195">
        <f t="shared" si="284"/>
        <v>0</v>
      </c>
      <c r="L214" s="195">
        <f t="shared" si="284"/>
        <v>0</v>
      </c>
      <c r="M214" s="195">
        <f t="shared" si="284"/>
        <v>0</v>
      </c>
      <c r="N214" s="195">
        <f t="shared" si="284"/>
        <v>0</v>
      </c>
      <c r="O214" s="195">
        <f t="shared" si="284"/>
        <v>0</v>
      </c>
      <c r="P214" s="195">
        <f t="shared" si="284"/>
        <v>0</v>
      </c>
      <c r="Q214" s="195">
        <f t="shared" si="284"/>
        <v>0</v>
      </c>
      <c r="R214" s="195">
        <f t="shared" si="284"/>
        <v>0</v>
      </c>
      <c r="S214" s="195">
        <f t="shared" si="284"/>
        <v>0</v>
      </c>
      <c r="T214" s="195">
        <f t="shared" si="284"/>
        <v>0</v>
      </c>
      <c r="U214" s="195">
        <f t="shared" si="284"/>
        <v>0</v>
      </c>
      <c r="V214" s="195">
        <f t="shared" si="284"/>
        <v>0</v>
      </c>
      <c r="W214" s="195">
        <f t="shared" si="284"/>
        <v>0</v>
      </c>
      <c r="X214" s="195">
        <f t="shared" si="284"/>
        <v>0</v>
      </c>
      <c r="Y214" s="195">
        <f t="shared" si="284"/>
        <v>0</v>
      </c>
      <c r="Z214" s="195">
        <f t="shared" si="284"/>
        <v>0</v>
      </c>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row>
    <row r="215" ht="15.75" customHeight="1">
      <c r="A215" s="1"/>
      <c r="B215" s="1"/>
      <c r="C215" s="117"/>
      <c r="D215" s="117"/>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row>
    <row r="216" ht="15.75" customHeight="1">
      <c r="A216" s="1"/>
      <c r="B216" s="4" t="s">
        <v>404</v>
      </c>
      <c r="C216" s="117"/>
      <c r="D216" s="117"/>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row>
    <row r="217" ht="15.75" customHeight="1">
      <c r="A217" s="1"/>
      <c r="B217" s="1" t="s">
        <v>390</v>
      </c>
      <c r="C217" s="131">
        <f>-AU$12</f>
        <v>-1404000</v>
      </c>
      <c r="D217" s="117"/>
      <c r="E217" s="195">
        <f t="shared" ref="E217:Z217" si="285">IF(YEAR(E$1)=YEAR($AU$2),PMT($AB$136,$AB$134,$C217,0)*((12-MONTH($AU$2))/12),IF(YEAR(E$1)=YEAR($AU$2)+$AB$134,PMT($AB$136,5,$C217,0)*(MONTH($AU$2))/12,IF(AND(YEAR(E$1)&gt;YEAR($AU$2),YEAR(E$1)&lt;YEAR($AU$2)+$AB$134),(PMT($AB$136,$AB$134,$C217,0)),0)))</f>
        <v>0</v>
      </c>
      <c r="F217" s="195">
        <f t="shared" si="285"/>
        <v>0</v>
      </c>
      <c r="G217" s="195">
        <f t="shared" si="285"/>
        <v>0</v>
      </c>
      <c r="H217" s="195">
        <f t="shared" si="285"/>
        <v>0</v>
      </c>
      <c r="I217" s="195">
        <f t="shared" si="285"/>
        <v>0</v>
      </c>
      <c r="J217" s="195">
        <f t="shared" si="285"/>
        <v>0</v>
      </c>
      <c r="K217" s="195">
        <f t="shared" si="285"/>
        <v>0</v>
      </c>
      <c r="L217" s="195">
        <f t="shared" si="285"/>
        <v>0</v>
      </c>
      <c r="M217" s="195">
        <f t="shared" si="285"/>
        <v>0</v>
      </c>
      <c r="N217" s="195">
        <f t="shared" si="285"/>
        <v>0</v>
      </c>
      <c r="O217" s="195">
        <f t="shared" si="285"/>
        <v>0</v>
      </c>
      <c r="P217" s="195">
        <f t="shared" si="285"/>
        <v>0</v>
      </c>
      <c r="Q217" s="195">
        <f t="shared" si="285"/>
        <v>0</v>
      </c>
      <c r="R217" s="195">
        <f t="shared" si="285"/>
        <v>0</v>
      </c>
      <c r="S217" s="195">
        <f t="shared" si="285"/>
        <v>0</v>
      </c>
      <c r="T217" s="195">
        <f t="shared" si="285"/>
        <v>0</v>
      </c>
      <c r="U217" s="195">
        <f t="shared" si="285"/>
        <v>0</v>
      </c>
      <c r="V217" s="195">
        <f t="shared" si="285"/>
        <v>0</v>
      </c>
      <c r="W217" s="195">
        <f t="shared" si="285"/>
        <v>0</v>
      </c>
      <c r="X217" s="195">
        <f t="shared" si="285"/>
        <v>0</v>
      </c>
      <c r="Y217" s="195">
        <f t="shared" si="285"/>
        <v>0</v>
      </c>
      <c r="Z217" s="195">
        <f t="shared" si="285"/>
        <v>0</v>
      </c>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row>
    <row r="218" ht="15.75" customHeight="1">
      <c r="A218" s="1"/>
      <c r="B218" s="1" t="s">
        <v>391</v>
      </c>
      <c r="C218" s="131">
        <f>-AU$13</f>
        <v>-702000</v>
      </c>
      <c r="D218" s="117"/>
      <c r="E218" s="195">
        <f t="shared" ref="E218:Z218" si="286">IF(YEAR(E$1)=YEAR($AU$2)+1,PMT($AB$136,$AB$134,$C218,0)*((12-MONTH($AU$2))/12),IF(YEAR(E$1)=YEAR($AU$2)+($AB$134+1),PMT($AB$136,5,$C218,0)*(MONTH($AU$2))/12,IF(AND(YEAR(E$1)&gt;YEAR($AU$2)+1,YEAR(E$1)&lt;YEAR($AU$2)+$AB$134+2),PMT($AB$136,$AB$134,$C218,0),0)))</f>
        <v>0</v>
      </c>
      <c r="F218" s="195">
        <f t="shared" si="286"/>
        <v>0</v>
      </c>
      <c r="G218" s="195">
        <f t="shared" si="286"/>
        <v>0</v>
      </c>
      <c r="H218" s="195">
        <f t="shared" si="286"/>
        <v>0</v>
      </c>
      <c r="I218" s="195">
        <f t="shared" si="286"/>
        <v>0</v>
      </c>
      <c r="J218" s="195">
        <f t="shared" si="286"/>
        <v>0</v>
      </c>
      <c r="K218" s="195">
        <f t="shared" si="286"/>
        <v>0</v>
      </c>
      <c r="L218" s="195">
        <f t="shared" si="286"/>
        <v>0</v>
      </c>
      <c r="M218" s="195">
        <f t="shared" si="286"/>
        <v>0</v>
      </c>
      <c r="N218" s="195">
        <f t="shared" si="286"/>
        <v>0</v>
      </c>
      <c r="O218" s="195">
        <f t="shared" si="286"/>
        <v>0</v>
      </c>
      <c r="P218" s="195">
        <f t="shared" si="286"/>
        <v>0</v>
      </c>
      <c r="Q218" s="195">
        <f t="shared" si="286"/>
        <v>0</v>
      </c>
      <c r="R218" s="195">
        <f t="shared" si="286"/>
        <v>0</v>
      </c>
      <c r="S218" s="195">
        <f t="shared" si="286"/>
        <v>0</v>
      </c>
      <c r="T218" s="195">
        <f t="shared" si="286"/>
        <v>0</v>
      </c>
      <c r="U218" s="195">
        <f t="shared" si="286"/>
        <v>0</v>
      </c>
      <c r="V218" s="195">
        <f t="shared" si="286"/>
        <v>0</v>
      </c>
      <c r="W218" s="195">
        <f t="shared" si="286"/>
        <v>0</v>
      </c>
      <c r="X218" s="195">
        <f t="shared" si="286"/>
        <v>0</v>
      </c>
      <c r="Y218" s="195">
        <f t="shared" si="286"/>
        <v>0</v>
      </c>
      <c r="Z218" s="195">
        <f t="shared" si="286"/>
        <v>0</v>
      </c>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row>
    <row r="219" ht="15.75" customHeight="1">
      <c r="A219" s="1"/>
      <c r="B219" s="1" t="s">
        <v>392</v>
      </c>
      <c r="C219" s="131">
        <f>-AU$14</f>
        <v>-234000</v>
      </c>
      <c r="D219" s="117"/>
      <c r="E219" s="195">
        <f t="shared" ref="E219:Z219" si="287">IF(OR(YEAR(E$1)=YEAR($AU$2)+1,YEAR(E$1)=YEAR($AU$2)+2),-($C219*$AB$138),IF(YEAR(E$1)=YEAR($AU$2)+3,PMT($AB$136,$AB$134,$C219,0)*((12-MONTH($AU$2))/12),IF(YEAR(E$1)=YEAR($AU$2)+($AB$134+3),PMT($AB$136,$AB$134,$C219,0)*(MONTH($AU$2))/12,IF(AND(YEAR(E$1)&gt;YEAR($AU$2)+3,YEAR(E$1)&lt;YEAR($AU$2)+$AB$134+4),PMT($AB$136,$AB$134,$C219,0),0))))</f>
        <v>0</v>
      </c>
      <c r="F219" s="195">
        <f t="shared" si="287"/>
        <v>0</v>
      </c>
      <c r="G219" s="195">
        <f t="shared" si="287"/>
        <v>0</v>
      </c>
      <c r="H219" s="195">
        <f t="shared" si="287"/>
        <v>0</v>
      </c>
      <c r="I219" s="195">
        <f t="shared" si="287"/>
        <v>0</v>
      </c>
      <c r="J219" s="195">
        <f t="shared" si="287"/>
        <v>0</v>
      </c>
      <c r="K219" s="195">
        <f t="shared" si="287"/>
        <v>0</v>
      </c>
      <c r="L219" s="195">
        <f t="shared" si="287"/>
        <v>0</v>
      </c>
      <c r="M219" s="195">
        <f t="shared" si="287"/>
        <v>0</v>
      </c>
      <c r="N219" s="195">
        <f t="shared" si="287"/>
        <v>0</v>
      </c>
      <c r="O219" s="195">
        <f t="shared" si="287"/>
        <v>0</v>
      </c>
      <c r="P219" s="195">
        <f t="shared" si="287"/>
        <v>0</v>
      </c>
      <c r="Q219" s="195">
        <f t="shared" si="287"/>
        <v>0</v>
      </c>
      <c r="R219" s="195">
        <f t="shared" si="287"/>
        <v>0</v>
      </c>
      <c r="S219" s="195">
        <f t="shared" si="287"/>
        <v>0</v>
      </c>
      <c r="T219" s="195">
        <f t="shared" si="287"/>
        <v>0</v>
      </c>
      <c r="U219" s="195">
        <f t="shared" si="287"/>
        <v>0</v>
      </c>
      <c r="V219" s="195">
        <f t="shared" si="287"/>
        <v>0</v>
      </c>
      <c r="W219" s="195">
        <f t="shared" si="287"/>
        <v>0</v>
      </c>
      <c r="X219" s="195">
        <f t="shared" si="287"/>
        <v>0</v>
      </c>
      <c r="Y219" s="195">
        <f t="shared" si="287"/>
        <v>0</v>
      </c>
      <c r="Z219" s="195">
        <f t="shared" si="287"/>
        <v>0</v>
      </c>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row>
    <row r="220" ht="15.75" customHeight="1">
      <c r="A220" s="1"/>
      <c r="B220" s="1"/>
      <c r="C220" s="117"/>
      <c r="D220" s="117"/>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row>
    <row r="221" ht="15.75" customHeight="1">
      <c r="A221" s="1"/>
      <c r="B221" s="1" t="s">
        <v>405</v>
      </c>
      <c r="C221" s="117"/>
      <c r="D221" s="117"/>
      <c r="E221" s="195">
        <f t="shared" ref="E221:Z221" si="288">E129*-$AB$140</f>
        <v>-9232958.182</v>
      </c>
      <c r="F221" s="195">
        <f t="shared" si="288"/>
        <v>-12328605.76</v>
      </c>
      <c r="G221" s="195">
        <f t="shared" si="288"/>
        <v>-19770654.19</v>
      </c>
      <c r="H221" s="195">
        <f t="shared" si="288"/>
        <v>-20120244.68</v>
      </c>
      <c r="I221" s="195">
        <f t="shared" si="288"/>
        <v>-23764266.34</v>
      </c>
      <c r="J221" s="195">
        <f t="shared" si="288"/>
        <v>-35080959.08</v>
      </c>
      <c r="K221" s="195">
        <f t="shared" si="288"/>
        <v>-38489689.16</v>
      </c>
      <c r="L221" s="195">
        <f t="shared" si="288"/>
        <v>-21119389.21</v>
      </c>
      <c r="M221" s="195">
        <f t="shared" si="288"/>
        <v>-61318708.84</v>
      </c>
      <c r="N221" s="195">
        <f t="shared" si="288"/>
        <v>-13879543.97</v>
      </c>
      <c r="O221" s="195">
        <f t="shared" si="288"/>
        <v>-60348823.96</v>
      </c>
      <c r="P221" s="195">
        <f t="shared" si="288"/>
        <v>-20336713.15</v>
      </c>
      <c r="Q221" s="195">
        <f t="shared" si="288"/>
        <v>-65983897.91</v>
      </c>
      <c r="R221" s="195">
        <f t="shared" si="288"/>
        <v>-21460225.06</v>
      </c>
      <c r="S221" s="195">
        <f t="shared" si="288"/>
        <v>-62143619.68</v>
      </c>
      <c r="T221" s="195">
        <f t="shared" si="288"/>
        <v>-26120599.36</v>
      </c>
      <c r="U221" s="195">
        <f t="shared" si="288"/>
        <v>-57483987.56</v>
      </c>
      <c r="V221" s="195">
        <f t="shared" si="288"/>
        <v>-32659340.12</v>
      </c>
      <c r="W221" s="195">
        <f t="shared" si="288"/>
        <v>-62828311.63</v>
      </c>
      <c r="X221" s="195">
        <f t="shared" si="288"/>
        <v>-44439732.07</v>
      </c>
      <c r="Y221" s="195">
        <f t="shared" si="288"/>
        <v>-79199900.98</v>
      </c>
      <c r="Z221" s="195" t="str">
        <f t="shared" si="288"/>
        <v>#VALUE!</v>
      </c>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row>
    <row r="222" ht="15.75" customHeight="1">
      <c r="A222" s="1"/>
      <c r="B222" s="1" t="s">
        <v>406</v>
      </c>
      <c r="C222" s="117"/>
      <c r="D222" s="117"/>
      <c r="E222" s="195">
        <f t="shared" ref="E222:Z222" si="289">E129*-0.03</f>
        <v>-446756.041</v>
      </c>
      <c r="F222" s="195">
        <f t="shared" si="289"/>
        <v>-596545.4402</v>
      </c>
      <c r="G222" s="195">
        <f t="shared" si="289"/>
        <v>-956644.5576</v>
      </c>
      <c r="H222" s="195">
        <f t="shared" si="289"/>
        <v>-973560.2263</v>
      </c>
      <c r="I222" s="195">
        <f t="shared" si="289"/>
        <v>-1149883.855</v>
      </c>
      <c r="J222" s="195">
        <f t="shared" si="289"/>
        <v>-1697465.762</v>
      </c>
      <c r="K222" s="195">
        <f t="shared" si="289"/>
        <v>-1862404.314</v>
      </c>
      <c r="L222" s="195">
        <f t="shared" si="289"/>
        <v>-1021905.929</v>
      </c>
      <c r="M222" s="195">
        <f t="shared" si="289"/>
        <v>-2967034.299</v>
      </c>
      <c r="N222" s="195">
        <f t="shared" si="289"/>
        <v>-671590.8372</v>
      </c>
      <c r="O222" s="195">
        <f t="shared" si="289"/>
        <v>-2920104.385</v>
      </c>
      <c r="P222" s="195">
        <f t="shared" si="289"/>
        <v>-984034.5074</v>
      </c>
      <c r="Q222" s="195">
        <f t="shared" si="289"/>
        <v>-3192769.254</v>
      </c>
      <c r="R222" s="195">
        <f t="shared" si="289"/>
        <v>-1038397.987</v>
      </c>
      <c r="S222" s="195">
        <f t="shared" si="289"/>
        <v>-3006949.339</v>
      </c>
      <c r="T222" s="195">
        <f t="shared" si="289"/>
        <v>-1263899.969</v>
      </c>
      <c r="U222" s="195">
        <f t="shared" si="289"/>
        <v>-2781483.269</v>
      </c>
      <c r="V222" s="195">
        <f t="shared" si="289"/>
        <v>-1580290.651</v>
      </c>
      <c r="W222" s="195">
        <f t="shared" si="289"/>
        <v>-3040079.595</v>
      </c>
      <c r="X222" s="195">
        <f t="shared" si="289"/>
        <v>-2150309.616</v>
      </c>
      <c r="Y222" s="195">
        <f t="shared" si="289"/>
        <v>-3832253.273</v>
      </c>
      <c r="Z222" s="195" t="str">
        <f t="shared" si="289"/>
        <v>#VALUE!</v>
      </c>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row>
    <row r="223" ht="15.75" customHeight="1">
      <c r="A223" s="1"/>
      <c r="B223" s="1" t="s">
        <v>407</v>
      </c>
      <c r="C223" s="117"/>
      <c r="D223" s="117"/>
      <c r="E223" s="195">
        <f t="shared" ref="E223:Z223" si="290">E129*-0.13</f>
        <v>-1935942.845</v>
      </c>
      <c r="F223" s="195">
        <f t="shared" si="290"/>
        <v>-2585030.241</v>
      </c>
      <c r="G223" s="195">
        <f t="shared" si="290"/>
        <v>-4145459.75</v>
      </c>
      <c r="H223" s="195">
        <f t="shared" si="290"/>
        <v>-4218760.981</v>
      </c>
      <c r="I223" s="195">
        <f t="shared" si="290"/>
        <v>-4982830.04</v>
      </c>
      <c r="J223" s="195">
        <f t="shared" si="290"/>
        <v>-7355684.969</v>
      </c>
      <c r="K223" s="195">
        <f t="shared" si="290"/>
        <v>-8070418.695</v>
      </c>
      <c r="L223" s="195">
        <f t="shared" si="290"/>
        <v>-4428259.028</v>
      </c>
      <c r="M223" s="195">
        <f t="shared" si="290"/>
        <v>-12857148.63</v>
      </c>
      <c r="N223" s="195">
        <f t="shared" si="290"/>
        <v>-2910226.961</v>
      </c>
      <c r="O223" s="195">
        <f t="shared" si="290"/>
        <v>-12653785.67</v>
      </c>
      <c r="P223" s="195">
        <f t="shared" si="290"/>
        <v>-4264149.532</v>
      </c>
      <c r="Q223" s="195">
        <f t="shared" si="290"/>
        <v>-13835333.43</v>
      </c>
      <c r="R223" s="195">
        <f t="shared" si="290"/>
        <v>-4499724.609</v>
      </c>
      <c r="S223" s="195">
        <f t="shared" si="290"/>
        <v>-13030113.8</v>
      </c>
      <c r="T223" s="195">
        <f t="shared" si="290"/>
        <v>-5476899.865</v>
      </c>
      <c r="U223" s="195">
        <f t="shared" si="290"/>
        <v>-12053094.17</v>
      </c>
      <c r="V223" s="195">
        <f t="shared" si="290"/>
        <v>-6847926.154</v>
      </c>
      <c r="W223" s="195">
        <f t="shared" si="290"/>
        <v>-13173678.24</v>
      </c>
      <c r="X223" s="195">
        <f t="shared" si="290"/>
        <v>-9318008.338</v>
      </c>
      <c r="Y223" s="195">
        <f t="shared" si="290"/>
        <v>-16606430.85</v>
      </c>
      <c r="Z223" s="195" t="str">
        <f t="shared" si="290"/>
        <v>#VALUE!</v>
      </c>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row>
    <row r="224" ht="15.75" customHeight="1">
      <c r="A224" s="1"/>
      <c r="B224" s="1" t="s">
        <v>408</v>
      </c>
      <c r="C224" s="117"/>
      <c r="D224" s="117"/>
      <c r="E224" s="195">
        <f t="shared" ref="E224:Z224" si="291">-SUM(E137:E219)</f>
        <v>0</v>
      </c>
      <c r="F224" s="195">
        <f t="shared" si="291"/>
        <v>-287150.0372</v>
      </c>
      <c r="G224" s="195">
        <f t="shared" si="291"/>
        <v>-798730.0419</v>
      </c>
      <c r="H224" s="195">
        <f t="shared" si="291"/>
        <v>-908311.7678</v>
      </c>
      <c r="I224" s="195">
        <f t="shared" si="291"/>
        <v>-1288961.82</v>
      </c>
      <c r="J224" s="195">
        <f t="shared" si="291"/>
        <v>-1536071.425</v>
      </c>
      <c r="K224" s="195">
        <f t="shared" si="291"/>
        <v>-1678120.526</v>
      </c>
      <c r="L224" s="195">
        <f t="shared" si="291"/>
        <v>-1480342.769</v>
      </c>
      <c r="M224" s="195">
        <f t="shared" si="291"/>
        <v>-1942801.894</v>
      </c>
      <c r="N224" s="195">
        <f t="shared" si="291"/>
        <v>-1927967.862</v>
      </c>
      <c r="O224" s="195">
        <f t="shared" si="291"/>
        <v>-1804500.716</v>
      </c>
      <c r="P224" s="195">
        <f t="shared" si="291"/>
        <v>-1683682.01</v>
      </c>
      <c r="Q224" s="195">
        <f t="shared" si="291"/>
        <v>-1476346.971</v>
      </c>
      <c r="R224" s="195">
        <f t="shared" si="291"/>
        <v>-1119317.536</v>
      </c>
      <c r="S224" s="195">
        <f t="shared" si="291"/>
        <v>-912315.185</v>
      </c>
      <c r="T224" s="195">
        <f t="shared" si="291"/>
        <v>-965397.9276</v>
      </c>
      <c r="U224" s="195">
        <f t="shared" si="291"/>
        <v>-770618.8065</v>
      </c>
      <c r="V224" s="195">
        <f t="shared" si="291"/>
        <v>-884800.6673</v>
      </c>
      <c r="W224" s="195">
        <f t="shared" si="291"/>
        <v>-809065.1871</v>
      </c>
      <c r="X224" s="195">
        <f t="shared" si="291"/>
        <v>-958912.9167</v>
      </c>
      <c r="Y224" s="195">
        <f t="shared" si="291"/>
        <v>-980394.4189</v>
      </c>
      <c r="Z224" s="195">
        <f t="shared" si="291"/>
        <v>-1041345.238</v>
      </c>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row>
    <row r="225" ht="15.75" customHeight="1">
      <c r="A225" s="1"/>
      <c r="B225" s="235" t="s">
        <v>409</v>
      </c>
      <c r="C225" s="236"/>
      <c r="D225" s="236"/>
      <c r="E225" s="237" t="str">
        <f t="shared" ref="E225:Z225" si="292">SUM(E132,E136,E221:E224)</f>
        <v>#ERROR!</v>
      </c>
      <c r="F225" s="237" t="str">
        <f t="shared" si="292"/>
        <v>#ERROR!</v>
      </c>
      <c r="G225" s="237" t="str">
        <f t="shared" si="292"/>
        <v>#ERROR!</v>
      </c>
      <c r="H225" s="237" t="str">
        <f t="shared" si="292"/>
        <v>#ERROR!</v>
      </c>
      <c r="I225" s="237" t="str">
        <f t="shared" si="292"/>
        <v>#ERROR!</v>
      </c>
      <c r="J225" s="237" t="str">
        <f t="shared" si="292"/>
        <v>#ERROR!</v>
      </c>
      <c r="K225" s="237" t="str">
        <f t="shared" si="292"/>
        <v>#ERROR!</v>
      </c>
      <c r="L225" s="237" t="str">
        <f t="shared" si="292"/>
        <v>#ERROR!</v>
      </c>
      <c r="M225" s="237" t="str">
        <f t="shared" si="292"/>
        <v>#ERROR!</v>
      </c>
      <c r="N225" s="237" t="str">
        <f t="shared" si="292"/>
        <v>#ERROR!</v>
      </c>
      <c r="O225" s="237" t="str">
        <f t="shared" si="292"/>
        <v>#ERROR!</v>
      </c>
      <c r="P225" s="237" t="str">
        <f t="shared" si="292"/>
        <v>#ERROR!</v>
      </c>
      <c r="Q225" s="237" t="str">
        <f t="shared" si="292"/>
        <v>#ERROR!</v>
      </c>
      <c r="R225" s="237" t="str">
        <f t="shared" si="292"/>
        <v>#ERROR!</v>
      </c>
      <c r="S225" s="237" t="str">
        <f t="shared" si="292"/>
        <v>#ERROR!</v>
      </c>
      <c r="T225" s="237" t="str">
        <f t="shared" si="292"/>
        <v>#ERROR!</v>
      </c>
      <c r="U225" s="237" t="str">
        <f t="shared" si="292"/>
        <v>#ERROR!</v>
      </c>
      <c r="V225" s="237" t="str">
        <f t="shared" si="292"/>
        <v>#ERROR!</v>
      </c>
      <c r="W225" s="237" t="str">
        <f t="shared" si="292"/>
        <v>#ERROR!</v>
      </c>
      <c r="X225" s="237" t="str">
        <f t="shared" si="292"/>
        <v>#ERROR!</v>
      </c>
      <c r="Y225" s="237" t="str">
        <f t="shared" si="292"/>
        <v>#ERROR!</v>
      </c>
      <c r="Z225" s="237" t="str">
        <f t="shared" si="292"/>
        <v>#ERROR!</v>
      </c>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row>
    <row r="270" ht="15.75" customHeight="1">
      <c r="A270" s="1"/>
      <c r="B270" s="1"/>
      <c r="C270" s="1"/>
      <c r="D270" s="1"/>
      <c r="E270" s="1"/>
      <c r="F270" s="1"/>
      <c r="G270" s="1"/>
      <c r="H270" s="1"/>
      <c r="I270" s="1"/>
      <c r="J270" s="1"/>
      <c r="K270" s="1"/>
      <c r="L270" s="1" t="s">
        <v>410</v>
      </c>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row>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2" width="35.86"/>
    <col customWidth="1" min="3" max="4" width="8.0"/>
    <col customWidth="1" min="5" max="18" width="9.14"/>
    <col customWidth="1" min="19" max="19" width="10.71"/>
    <col customWidth="1" min="20" max="20" width="9.14"/>
    <col customWidth="1" min="21" max="24" width="10.71"/>
  </cols>
  <sheetData>
    <row r="1">
      <c r="A1" s="4"/>
      <c r="B1" s="4"/>
      <c r="C1" s="187"/>
      <c r="D1" s="187"/>
      <c r="E1" s="187"/>
      <c r="F1" s="187"/>
      <c r="G1" s="187"/>
      <c r="H1" s="187"/>
      <c r="I1" s="187"/>
      <c r="J1" s="187"/>
      <c r="K1" s="187"/>
      <c r="L1" s="187"/>
      <c r="M1" s="187"/>
      <c r="N1" s="187"/>
      <c r="O1" s="187"/>
      <c r="P1" s="187"/>
      <c r="Q1" s="187"/>
      <c r="R1" s="187"/>
      <c r="S1" s="187"/>
      <c r="T1" s="187"/>
      <c r="U1" s="187"/>
      <c r="V1" s="187"/>
      <c r="W1" s="187"/>
      <c r="X1" s="187"/>
    </row>
    <row r="2">
      <c r="A2" s="4"/>
      <c r="B2" s="4" t="s">
        <v>284</v>
      </c>
      <c r="C2" s="187">
        <v>44562.0</v>
      </c>
      <c r="D2" s="187">
        <v>44927.0</v>
      </c>
      <c r="E2" s="187">
        <v>45292.0</v>
      </c>
      <c r="F2" s="187">
        <v>45658.0</v>
      </c>
      <c r="G2" s="187">
        <v>46023.0</v>
      </c>
      <c r="H2" s="187">
        <v>46388.0</v>
      </c>
      <c r="I2" s="187">
        <v>46753.0</v>
      </c>
      <c r="J2" s="187">
        <v>47119.0</v>
      </c>
      <c r="K2" s="187">
        <v>47484.0</v>
      </c>
      <c r="L2" s="187">
        <v>47849.0</v>
      </c>
      <c r="M2" s="187">
        <v>48214.0</v>
      </c>
      <c r="N2" s="187">
        <v>48580.0</v>
      </c>
      <c r="O2" s="187">
        <v>48945.0</v>
      </c>
      <c r="P2" s="187">
        <v>49310.0</v>
      </c>
      <c r="Q2" s="187">
        <v>49675.0</v>
      </c>
      <c r="R2" s="187">
        <v>50041.0</v>
      </c>
      <c r="S2" s="187">
        <v>50406.0</v>
      </c>
      <c r="T2" s="187">
        <v>50771.0</v>
      </c>
      <c r="U2" s="187">
        <v>51136.0</v>
      </c>
      <c r="V2" s="187">
        <v>51502.0</v>
      </c>
      <c r="W2" s="187">
        <v>51867.0</v>
      </c>
      <c r="X2" s="187">
        <v>52232.0</v>
      </c>
    </row>
    <row r="3">
      <c r="A3" s="1"/>
      <c r="B3" s="1" t="s">
        <v>306</v>
      </c>
      <c r="C3" s="215" t="str">
        <f t="shared" ref="C3:X3" si="1">#REF!</f>
        <v>#REF!</v>
      </c>
      <c r="D3" s="215" t="str">
        <f t="shared" si="1"/>
        <v>#REF!</v>
      </c>
      <c r="E3" s="215" t="str">
        <f t="shared" si="1"/>
        <v>#REF!</v>
      </c>
      <c r="F3" s="215" t="str">
        <f t="shared" si="1"/>
        <v>#REF!</v>
      </c>
      <c r="G3" s="215" t="str">
        <f t="shared" si="1"/>
        <v>#REF!</v>
      </c>
      <c r="H3" s="215" t="str">
        <f t="shared" si="1"/>
        <v>#REF!</v>
      </c>
      <c r="I3" s="215" t="str">
        <f t="shared" si="1"/>
        <v>#REF!</v>
      </c>
      <c r="J3" s="215" t="str">
        <f t="shared" si="1"/>
        <v>#REF!</v>
      </c>
      <c r="K3" s="215" t="str">
        <f t="shared" si="1"/>
        <v>#REF!</v>
      </c>
      <c r="L3" s="215" t="str">
        <f t="shared" si="1"/>
        <v>#REF!</v>
      </c>
      <c r="M3" s="215" t="str">
        <f t="shared" si="1"/>
        <v>#REF!</v>
      </c>
      <c r="N3" s="215" t="str">
        <f t="shared" si="1"/>
        <v>#REF!</v>
      </c>
      <c r="O3" s="215" t="str">
        <f t="shared" si="1"/>
        <v>#REF!</v>
      </c>
      <c r="P3" s="215" t="str">
        <f t="shared" si="1"/>
        <v>#REF!</v>
      </c>
      <c r="Q3" s="215" t="str">
        <f t="shared" si="1"/>
        <v>#REF!</v>
      </c>
      <c r="R3" s="215" t="str">
        <f t="shared" si="1"/>
        <v>#REF!</v>
      </c>
      <c r="S3" s="215" t="str">
        <f t="shared" si="1"/>
        <v>#REF!</v>
      </c>
      <c r="T3" s="215" t="str">
        <f t="shared" si="1"/>
        <v>#REF!</v>
      </c>
      <c r="U3" s="215" t="str">
        <f t="shared" si="1"/>
        <v>#REF!</v>
      </c>
      <c r="V3" s="215" t="str">
        <f t="shared" si="1"/>
        <v>#REF!</v>
      </c>
      <c r="W3" s="215" t="str">
        <f t="shared" si="1"/>
        <v>#REF!</v>
      </c>
      <c r="X3" s="215" t="str">
        <f t="shared" si="1"/>
        <v>#REF!</v>
      </c>
    </row>
    <row r="4">
      <c r="A4" s="1"/>
      <c r="B4" s="1" t="s">
        <v>308</v>
      </c>
      <c r="C4" s="215" t="str">
        <f t="shared" ref="C4:X4" si="2">#REF!</f>
        <v>#REF!</v>
      </c>
      <c r="D4" s="215" t="str">
        <f t="shared" si="2"/>
        <v>#REF!</v>
      </c>
      <c r="E4" s="215" t="str">
        <f t="shared" si="2"/>
        <v>#REF!</v>
      </c>
      <c r="F4" s="215" t="str">
        <f t="shared" si="2"/>
        <v>#REF!</v>
      </c>
      <c r="G4" s="215" t="str">
        <f t="shared" si="2"/>
        <v>#REF!</v>
      </c>
      <c r="H4" s="215" t="str">
        <f t="shared" si="2"/>
        <v>#REF!</v>
      </c>
      <c r="I4" s="215" t="str">
        <f t="shared" si="2"/>
        <v>#REF!</v>
      </c>
      <c r="J4" s="215" t="str">
        <f t="shared" si="2"/>
        <v>#REF!</v>
      </c>
      <c r="K4" s="215" t="str">
        <f t="shared" si="2"/>
        <v>#REF!</v>
      </c>
      <c r="L4" s="215" t="str">
        <f t="shared" si="2"/>
        <v>#REF!</v>
      </c>
      <c r="M4" s="215" t="str">
        <f t="shared" si="2"/>
        <v>#REF!</v>
      </c>
      <c r="N4" s="215" t="str">
        <f t="shared" si="2"/>
        <v>#REF!</v>
      </c>
      <c r="O4" s="215" t="str">
        <f t="shared" si="2"/>
        <v>#REF!</v>
      </c>
      <c r="P4" s="215" t="str">
        <f t="shared" si="2"/>
        <v>#REF!</v>
      </c>
      <c r="Q4" s="215" t="str">
        <f t="shared" si="2"/>
        <v>#REF!</v>
      </c>
      <c r="R4" s="215" t="str">
        <f t="shared" si="2"/>
        <v>#REF!</v>
      </c>
      <c r="S4" s="215" t="str">
        <f t="shared" si="2"/>
        <v>#REF!</v>
      </c>
      <c r="T4" s="215" t="str">
        <f t="shared" si="2"/>
        <v>#REF!</v>
      </c>
      <c r="U4" s="215" t="str">
        <f t="shared" si="2"/>
        <v>#REF!</v>
      </c>
      <c r="V4" s="215" t="str">
        <f t="shared" si="2"/>
        <v>#REF!</v>
      </c>
      <c r="W4" s="215" t="str">
        <f t="shared" si="2"/>
        <v>#REF!</v>
      </c>
      <c r="X4" s="215" t="str">
        <f t="shared" si="2"/>
        <v>#REF!</v>
      </c>
    </row>
    <row r="5">
      <c r="A5" s="1"/>
      <c r="B5" s="1" t="s">
        <v>310</v>
      </c>
      <c r="C5" s="215" t="str">
        <f t="shared" ref="C5:X5" si="3">#REF!</f>
        <v>#REF!</v>
      </c>
      <c r="D5" s="215" t="str">
        <f t="shared" si="3"/>
        <v>#REF!</v>
      </c>
      <c r="E5" s="215" t="str">
        <f t="shared" si="3"/>
        <v>#REF!</v>
      </c>
      <c r="F5" s="215" t="str">
        <f t="shared" si="3"/>
        <v>#REF!</v>
      </c>
      <c r="G5" s="215" t="str">
        <f t="shared" si="3"/>
        <v>#REF!</v>
      </c>
      <c r="H5" s="215" t="str">
        <f t="shared" si="3"/>
        <v>#REF!</v>
      </c>
      <c r="I5" s="215" t="str">
        <f t="shared" si="3"/>
        <v>#REF!</v>
      </c>
      <c r="J5" s="215" t="str">
        <f t="shared" si="3"/>
        <v>#REF!</v>
      </c>
      <c r="K5" s="215" t="str">
        <f t="shared" si="3"/>
        <v>#REF!</v>
      </c>
      <c r="L5" s="215" t="str">
        <f t="shared" si="3"/>
        <v>#REF!</v>
      </c>
      <c r="M5" s="215" t="str">
        <f t="shared" si="3"/>
        <v>#REF!</v>
      </c>
      <c r="N5" s="215" t="str">
        <f t="shared" si="3"/>
        <v>#REF!</v>
      </c>
      <c r="O5" s="215" t="str">
        <f t="shared" si="3"/>
        <v>#REF!</v>
      </c>
      <c r="P5" s="215" t="str">
        <f t="shared" si="3"/>
        <v>#REF!</v>
      </c>
      <c r="Q5" s="215" t="str">
        <f t="shared" si="3"/>
        <v>#REF!</v>
      </c>
      <c r="R5" s="215" t="str">
        <f t="shared" si="3"/>
        <v>#REF!</v>
      </c>
      <c r="S5" s="215" t="str">
        <f t="shared" si="3"/>
        <v>#REF!</v>
      </c>
      <c r="T5" s="215" t="str">
        <f t="shared" si="3"/>
        <v>#REF!</v>
      </c>
      <c r="U5" s="215" t="str">
        <f t="shared" si="3"/>
        <v>#REF!</v>
      </c>
      <c r="V5" s="215" t="str">
        <f t="shared" si="3"/>
        <v>#REF!</v>
      </c>
      <c r="W5" s="215" t="str">
        <f t="shared" si="3"/>
        <v>#REF!</v>
      </c>
      <c r="X5" s="215" t="str">
        <f t="shared" si="3"/>
        <v>#REF!</v>
      </c>
    </row>
    <row r="6">
      <c r="A6" s="1"/>
      <c r="B6" s="1" t="s">
        <v>311</v>
      </c>
      <c r="C6" s="215" t="str">
        <f t="shared" ref="C6:X6" si="4">#REF!</f>
        <v>#REF!</v>
      </c>
      <c r="D6" s="215" t="str">
        <f t="shared" si="4"/>
        <v>#REF!</v>
      </c>
      <c r="E6" s="215" t="str">
        <f t="shared" si="4"/>
        <v>#REF!</v>
      </c>
      <c r="F6" s="215" t="str">
        <f t="shared" si="4"/>
        <v>#REF!</v>
      </c>
      <c r="G6" s="215" t="str">
        <f t="shared" si="4"/>
        <v>#REF!</v>
      </c>
      <c r="H6" s="215" t="str">
        <f t="shared" si="4"/>
        <v>#REF!</v>
      </c>
      <c r="I6" s="215" t="str">
        <f t="shared" si="4"/>
        <v>#REF!</v>
      </c>
      <c r="J6" s="215" t="str">
        <f t="shared" si="4"/>
        <v>#REF!</v>
      </c>
      <c r="K6" s="215" t="str">
        <f t="shared" si="4"/>
        <v>#REF!</v>
      </c>
      <c r="L6" s="215" t="str">
        <f t="shared" si="4"/>
        <v>#REF!</v>
      </c>
      <c r="M6" s="215" t="str">
        <f t="shared" si="4"/>
        <v>#REF!</v>
      </c>
      <c r="N6" s="215" t="str">
        <f t="shared" si="4"/>
        <v>#REF!</v>
      </c>
      <c r="O6" s="215" t="str">
        <f t="shared" si="4"/>
        <v>#REF!</v>
      </c>
      <c r="P6" s="215" t="str">
        <f t="shared" si="4"/>
        <v>#REF!</v>
      </c>
      <c r="Q6" s="215" t="str">
        <f t="shared" si="4"/>
        <v>#REF!</v>
      </c>
      <c r="R6" s="215" t="str">
        <f t="shared" si="4"/>
        <v>#REF!</v>
      </c>
      <c r="S6" s="215" t="str">
        <f t="shared" si="4"/>
        <v>#REF!</v>
      </c>
      <c r="T6" s="215" t="str">
        <f t="shared" si="4"/>
        <v>#REF!</v>
      </c>
      <c r="U6" s="215" t="str">
        <f t="shared" si="4"/>
        <v>#REF!</v>
      </c>
      <c r="V6" s="215" t="str">
        <f t="shared" si="4"/>
        <v>#REF!</v>
      </c>
      <c r="W6" s="215" t="str">
        <f t="shared" si="4"/>
        <v>#REF!</v>
      </c>
      <c r="X6" s="215" t="str">
        <f t="shared" si="4"/>
        <v>#REF!</v>
      </c>
    </row>
    <row r="7">
      <c r="A7" s="1"/>
      <c r="B7" s="1" t="s">
        <v>312</v>
      </c>
      <c r="C7" s="215" t="str">
        <f t="shared" ref="C7:X7" si="5">#REF!</f>
        <v>#REF!</v>
      </c>
      <c r="D7" s="215" t="str">
        <f t="shared" si="5"/>
        <v>#REF!</v>
      </c>
      <c r="E7" s="215" t="str">
        <f t="shared" si="5"/>
        <v>#REF!</v>
      </c>
      <c r="F7" s="215" t="str">
        <f t="shared" si="5"/>
        <v>#REF!</v>
      </c>
      <c r="G7" s="215" t="str">
        <f t="shared" si="5"/>
        <v>#REF!</v>
      </c>
      <c r="H7" s="215" t="str">
        <f t="shared" si="5"/>
        <v>#REF!</v>
      </c>
      <c r="I7" s="215" t="str">
        <f t="shared" si="5"/>
        <v>#REF!</v>
      </c>
      <c r="J7" s="215" t="str">
        <f t="shared" si="5"/>
        <v>#REF!</v>
      </c>
      <c r="K7" s="215" t="str">
        <f t="shared" si="5"/>
        <v>#REF!</v>
      </c>
      <c r="L7" s="215" t="str">
        <f t="shared" si="5"/>
        <v>#REF!</v>
      </c>
      <c r="M7" s="215" t="str">
        <f t="shared" si="5"/>
        <v>#REF!</v>
      </c>
      <c r="N7" s="215" t="str">
        <f t="shared" si="5"/>
        <v>#REF!</v>
      </c>
      <c r="O7" s="215" t="str">
        <f t="shared" si="5"/>
        <v>#REF!</v>
      </c>
      <c r="P7" s="215" t="str">
        <f t="shared" si="5"/>
        <v>#REF!</v>
      </c>
      <c r="Q7" s="215" t="str">
        <f t="shared" si="5"/>
        <v>#REF!</v>
      </c>
      <c r="R7" s="215" t="str">
        <f t="shared" si="5"/>
        <v>#REF!</v>
      </c>
      <c r="S7" s="215" t="str">
        <f t="shared" si="5"/>
        <v>#REF!</v>
      </c>
      <c r="T7" s="215" t="str">
        <f t="shared" si="5"/>
        <v>#REF!</v>
      </c>
      <c r="U7" s="215" t="str">
        <f t="shared" si="5"/>
        <v>#REF!</v>
      </c>
      <c r="V7" s="215" t="str">
        <f t="shared" si="5"/>
        <v>#REF!</v>
      </c>
      <c r="W7" s="215" t="str">
        <f t="shared" si="5"/>
        <v>#REF!</v>
      </c>
      <c r="X7" s="215" t="str">
        <f t="shared" si="5"/>
        <v>#REF!</v>
      </c>
    </row>
    <row r="8">
      <c r="A8" s="1"/>
      <c r="B8" s="1" t="s">
        <v>314</v>
      </c>
      <c r="C8" s="215" t="str">
        <f t="shared" ref="C8:X8" si="6">#REF!</f>
        <v>#REF!</v>
      </c>
      <c r="D8" s="215" t="str">
        <f t="shared" si="6"/>
        <v>#REF!</v>
      </c>
      <c r="E8" s="215" t="str">
        <f t="shared" si="6"/>
        <v>#REF!</v>
      </c>
      <c r="F8" s="215" t="str">
        <f t="shared" si="6"/>
        <v>#REF!</v>
      </c>
      <c r="G8" s="215" t="str">
        <f t="shared" si="6"/>
        <v>#REF!</v>
      </c>
      <c r="H8" s="215" t="str">
        <f t="shared" si="6"/>
        <v>#REF!</v>
      </c>
      <c r="I8" s="215" t="str">
        <f t="shared" si="6"/>
        <v>#REF!</v>
      </c>
      <c r="J8" s="215" t="str">
        <f t="shared" si="6"/>
        <v>#REF!</v>
      </c>
      <c r="K8" s="215" t="str">
        <f t="shared" si="6"/>
        <v>#REF!</v>
      </c>
      <c r="L8" s="215" t="str">
        <f t="shared" si="6"/>
        <v>#REF!</v>
      </c>
      <c r="M8" s="215" t="str">
        <f t="shared" si="6"/>
        <v>#REF!</v>
      </c>
      <c r="N8" s="215" t="str">
        <f t="shared" si="6"/>
        <v>#REF!</v>
      </c>
      <c r="O8" s="215" t="str">
        <f t="shared" si="6"/>
        <v>#REF!</v>
      </c>
      <c r="P8" s="215" t="str">
        <f t="shared" si="6"/>
        <v>#REF!</v>
      </c>
      <c r="Q8" s="215" t="str">
        <f t="shared" si="6"/>
        <v>#REF!</v>
      </c>
      <c r="R8" s="215" t="str">
        <f t="shared" si="6"/>
        <v>#REF!</v>
      </c>
      <c r="S8" s="215" t="str">
        <f t="shared" si="6"/>
        <v>#REF!</v>
      </c>
      <c r="T8" s="215" t="str">
        <f t="shared" si="6"/>
        <v>#REF!</v>
      </c>
      <c r="U8" s="215" t="str">
        <f t="shared" si="6"/>
        <v>#REF!</v>
      </c>
      <c r="V8" s="215" t="str">
        <f t="shared" si="6"/>
        <v>#REF!</v>
      </c>
      <c r="W8" s="215" t="str">
        <f t="shared" si="6"/>
        <v>#REF!</v>
      </c>
      <c r="X8" s="215" t="str">
        <f t="shared" si="6"/>
        <v>#REF!</v>
      </c>
    </row>
    <row r="9">
      <c r="A9" s="1"/>
      <c r="B9" s="1" t="s">
        <v>292</v>
      </c>
      <c r="C9" s="215" t="str">
        <f t="shared" ref="C9:X9" si="7">#REF!</f>
        <v>#REF!</v>
      </c>
      <c r="D9" s="215" t="str">
        <f t="shared" si="7"/>
        <v>#REF!</v>
      </c>
      <c r="E9" s="215" t="str">
        <f t="shared" si="7"/>
        <v>#REF!</v>
      </c>
      <c r="F9" s="215" t="str">
        <f t="shared" si="7"/>
        <v>#REF!</v>
      </c>
      <c r="G9" s="215" t="str">
        <f t="shared" si="7"/>
        <v>#REF!</v>
      </c>
      <c r="H9" s="215" t="str">
        <f t="shared" si="7"/>
        <v>#REF!</v>
      </c>
      <c r="I9" s="215" t="str">
        <f t="shared" si="7"/>
        <v>#REF!</v>
      </c>
      <c r="J9" s="215" t="str">
        <f t="shared" si="7"/>
        <v>#REF!</v>
      </c>
      <c r="K9" s="215" t="str">
        <f t="shared" si="7"/>
        <v>#REF!</v>
      </c>
      <c r="L9" s="215" t="str">
        <f t="shared" si="7"/>
        <v>#REF!</v>
      </c>
      <c r="M9" s="215" t="str">
        <f t="shared" si="7"/>
        <v>#REF!</v>
      </c>
      <c r="N9" s="215" t="str">
        <f t="shared" si="7"/>
        <v>#REF!</v>
      </c>
      <c r="O9" s="215" t="str">
        <f t="shared" si="7"/>
        <v>#REF!</v>
      </c>
      <c r="P9" s="215" t="str">
        <f t="shared" si="7"/>
        <v>#REF!</v>
      </c>
      <c r="Q9" s="215" t="str">
        <f t="shared" si="7"/>
        <v>#REF!</v>
      </c>
      <c r="R9" s="215" t="str">
        <f t="shared" si="7"/>
        <v>#REF!</v>
      </c>
      <c r="S9" s="215" t="str">
        <f t="shared" si="7"/>
        <v>#REF!</v>
      </c>
      <c r="T9" s="215" t="str">
        <f t="shared" si="7"/>
        <v>#REF!</v>
      </c>
      <c r="U9" s="215" t="str">
        <f t="shared" si="7"/>
        <v>#REF!</v>
      </c>
      <c r="V9" s="215" t="str">
        <f t="shared" si="7"/>
        <v>#REF!</v>
      </c>
      <c r="W9" s="215" t="str">
        <f t="shared" si="7"/>
        <v>#REF!</v>
      </c>
      <c r="X9" s="215" t="str">
        <f t="shared" si="7"/>
        <v>#REF!</v>
      </c>
    </row>
    <row r="10">
      <c r="A10" s="1"/>
      <c r="B10" s="1" t="s">
        <v>293</v>
      </c>
      <c r="C10" s="215" t="str">
        <f t="shared" ref="C10:X10" si="8">#REF!</f>
        <v>#REF!</v>
      </c>
      <c r="D10" s="215" t="str">
        <f t="shared" si="8"/>
        <v>#REF!</v>
      </c>
      <c r="E10" s="215" t="str">
        <f t="shared" si="8"/>
        <v>#REF!</v>
      </c>
      <c r="F10" s="215" t="str">
        <f t="shared" si="8"/>
        <v>#REF!</v>
      </c>
      <c r="G10" s="215" t="str">
        <f t="shared" si="8"/>
        <v>#REF!</v>
      </c>
      <c r="H10" s="215" t="str">
        <f t="shared" si="8"/>
        <v>#REF!</v>
      </c>
      <c r="I10" s="215" t="str">
        <f t="shared" si="8"/>
        <v>#REF!</v>
      </c>
      <c r="J10" s="215" t="str">
        <f t="shared" si="8"/>
        <v>#REF!</v>
      </c>
      <c r="K10" s="215" t="str">
        <f t="shared" si="8"/>
        <v>#REF!</v>
      </c>
      <c r="L10" s="215" t="str">
        <f t="shared" si="8"/>
        <v>#REF!</v>
      </c>
      <c r="M10" s="215" t="str">
        <f t="shared" si="8"/>
        <v>#REF!</v>
      </c>
      <c r="N10" s="215" t="str">
        <f t="shared" si="8"/>
        <v>#REF!</v>
      </c>
      <c r="O10" s="215" t="str">
        <f t="shared" si="8"/>
        <v>#REF!</v>
      </c>
      <c r="P10" s="215" t="str">
        <f t="shared" si="8"/>
        <v>#REF!</v>
      </c>
      <c r="Q10" s="215" t="str">
        <f t="shared" si="8"/>
        <v>#REF!</v>
      </c>
      <c r="R10" s="215" t="str">
        <f t="shared" si="8"/>
        <v>#REF!</v>
      </c>
      <c r="S10" s="215" t="str">
        <f t="shared" si="8"/>
        <v>#REF!</v>
      </c>
      <c r="T10" s="215" t="str">
        <f t="shared" si="8"/>
        <v>#REF!</v>
      </c>
      <c r="U10" s="215" t="str">
        <f t="shared" si="8"/>
        <v>#REF!</v>
      </c>
      <c r="V10" s="215" t="str">
        <f t="shared" si="8"/>
        <v>#REF!</v>
      </c>
      <c r="W10" s="215" t="str">
        <f t="shared" si="8"/>
        <v>#REF!</v>
      </c>
      <c r="X10" s="215" t="str">
        <f t="shared" si="8"/>
        <v>#REF!</v>
      </c>
    </row>
    <row r="11">
      <c r="A11" s="1"/>
      <c r="B11" s="1" t="s">
        <v>294</v>
      </c>
      <c r="C11" s="215" t="str">
        <f t="shared" ref="C11:X11" si="9">#REF!</f>
        <v>#REF!</v>
      </c>
      <c r="D11" s="215" t="str">
        <f t="shared" si="9"/>
        <v>#REF!</v>
      </c>
      <c r="E11" s="215" t="str">
        <f t="shared" si="9"/>
        <v>#REF!</v>
      </c>
      <c r="F11" s="215" t="str">
        <f t="shared" si="9"/>
        <v>#REF!</v>
      </c>
      <c r="G11" s="215" t="str">
        <f t="shared" si="9"/>
        <v>#REF!</v>
      </c>
      <c r="H11" s="215" t="str">
        <f t="shared" si="9"/>
        <v>#REF!</v>
      </c>
      <c r="I11" s="215" t="str">
        <f t="shared" si="9"/>
        <v>#REF!</v>
      </c>
      <c r="J11" s="215" t="str">
        <f t="shared" si="9"/>
        <v>#REF!</v>
      </c>
      <c r="K11" s="215" t="str">
        <f t="shared" si="9"/>
        <v>#REF!</v>
      </c>
      <c r="L11" s="215" t="str">
        <f t="shared" si="9"/>
        <v>#REF!</v>
      </c>
      <c r="M11" s="215" t="str">
        <f t="shared" si="9"/>
        <v>#REF!</v>
      </c>
      <c r="N11" s="215" t="str">
        <f t="shared" si="9"/>
        <v>#REF!</v>
      </c>
      <c r="O11" s="215" t="str">
        <f t="shared" si="9"/>
        <v>#REF!</v>
      </c>
      <c r="P11" s="215" t="str">
        <f t="shared" si="9"/>
        <v>#REF!</v>
      </c>
      <c r="Q11" s="215" t="str">
        <f t="shared" si="9"/>
        <v>#REF!</v>
      </c>
      <c r="R11" s="215" t="str">
        <f t="shared" si="9"/>
        <v>#REF!</v>
      </c>
      <c r="S11" s="215" t="str">
        <f t="shared" si="9"/>
        <v>#REF!</v>
      </c>
      <c r="T11" s="215" t="str">
        <f t="shared" si="9"/>
        <v>#REF!</v>
      </c>
      <c r="U11" s="215" t="str">
        <f t="shared" si="9"/>
        <v>#REF!</v>
      </c>
      <c r="V11" s="215" t="str">
        <f t="shared" si="9"/>
        <v>#REF!</v>
      </c>
      <c r="W11" s="215" t="str">
        <f t="shared" si="9"/>
        <v>#REF!</v>
      </c>
      <c r="X11" s="215" t="str">
        <f t="shared" si="9"/>
        <v>#REF!</v>
      </c>
    </row>
    <row r="12">
      <c r="A12" s="1"/>
      <c r="B12" s="1" t="s">
        <v>295</v>
      </c>
      <c r="C12" s="215" t="str">
        <f t="shared" ref="C12:X12" si="10">#REF!</f>
        <v>#REF!</v>
      </c>
      <c r="D12" s="215" t="str">
        <f t="shared" si="10"/>
        <v>#REF!</v>
      </c>
      <c r="E12" s="215" t="str">
        <f t="shared" si="10"/>
        <v>#REF!</v>
      </c>
      <c r="F12" s="215" t="str">
        <f t="shared" si="10"/>
        <v>#REF!</v>
      </c>
      <c r="G12" s="215" t="str">
        <f t="shared" si="10"/>
        <v>#REF!</v>
      </c>
      <c r="H12" s="215" t="str">
        <f t="shared" si="10"/>
        <v>#REF!</v>
      </c>
      <c r="I12" s="215" t="str">
        <f t="shared" si="10"/>
        <v>#REF!</v>
      </c>
      <c r="J12" s="215" t="str">
        <f t="shared" si="10"/>
        <v>#REF!</v>
      </c>
      <c r="K12" s="215" t="str">
        <f t="shared" si="10"/>
        <v>#REF!</v>
      </c>
      <c r="L12" s="215" t="str">
        <f t="shared" si="10"/>
        <v>#REF!</v>
      </c>
      <c r="M12" s="215" t="str">
        <f t="shared" si="10"/>
        <v>#REF!</v>
      </c>
      <c r="N12" s="215" t="str">
        <f t="shared" si="10"/>
        <v>#REF!</v>
      </c>
      <c r="O12" s="215" t="str">
        <f t="shared" si="10"/>
        <v>#REF!</v>
      </c>
      <c r="P12" s="215" t="str">
        <f t="shared" si="10"/>
        <v>#REF!</v>
      </c>
      <c r="Q12" s="215" t="str">
        <f t="shared" si="10"/>
        <v>#REF!</v>
      </c>
      <c r="R12" s="215" t="str">
        <f t="shared" si="10"/>
        <v>#REF!</v>
      </c>
      <c r="S12" s="215" t="str">
        <f t="shared" si="10"/>
        <v>#REF!</v>
      </c>
      <c r="T12" s="215" t="str">
        <f t="shared" si="10"/>
        <v>#REF!</v>
      </c>
      <c r="U12" s="215" t="str">
        <f t="shared" si="10"/>
        <v>#REF!</v>
      </c>
      <c r="V12" s="215" t="str">
        <f t="shared" si="10"/>
        <v>#REF!</v>
      </c>
      <c r="W12" s="215" t="str">
        <f t="shared" si="10"/>
        <v>#REF!</v>
      </c>
      <c r="X12" s="215" t="str">
        <f t="shared" si="10"/>
        <v>#REF!</v>
      </c>
    </row>
    <row r="13">
      <c r="A13" s="1"/>
      <c r="B13" s="1" t="s">
        <v>296</v>
      </c>
      <c r="C13" s="215" t="str">
        <f t="shared" ref="C13:X13" si="11">#REF!</f>
        <v>#REF!</v>
      </c>
      <c r="D13" s="215" t="str">
        <f t="shared" si="11"/>
        <v>#REF!</v>
      </c>
      <c r="E13" s="215" t="str">
        <f t="shared" si="11"/>
        <v>#REF!</v>
      </c>
      <c r="F13" s="215" t="str">
        <f t="shared" si="11"/>
        <v>#REF!</v>
      </c>
      <c r="G13" s="215" t="str">
        <f t="shared" si="11"/>
        <v>#REF!</v>
      </c>
      <c r="H13" s="215" t="str">
        <f t="shared" si="11"/>
        <v>#REF!</v>
      </c>
      <c r="I13" s="215" t="str">
        <f t="shared" si="11"/>
        <v>#REF!</v>
      </c>
      <c r="J13" s="215" t="str">
        <f t="shared" si="11"/>
        <v>#REF!</v>
      </c>
      <c r="K13" s="215" t="str">
        <f t="shared" si="11"/>
        <v>#REF!</v>
      </c>
      <c r="L13" s="215" t="str">
        <f t="shared" si="11"/>
        <v>#REF!</v>
      </c>
      <c r="M13" s="215" t="str">
        <f t="shared" si="11"/>
        <v>#REF!</v>
      </c>
      <c r="N13" s="215" t="str">
        <f t="shared" si="11"/>
        <v>#REF!</v>
      </c>
      <c r="O13" s="215" t="str">
        <f t="shared" si="11"/>
        <v>#REF!</v>
      </c>
      <c r="P13" s="215" t="str">
        <f t="shared" si="11"/>
        <v>#REF!</v>
      </c>
      <c r="Q13" s="215" t="str">
        <f t="shared" si="11"/>
        <v>#REF!</v>
      </c>
      <c r="R13" s="215" t="str">
        <f t="shared" si="11"/>
        <v>#REF!</v>
      </c>
      <c r="S13" s="215" t="str">
        <f t="shared" si="11"/>
        <v>#REF!</v>
      </c>
      <c r="T13" s="215" t="str">
        <f t="shared" si="11"/>
        <v>#REF!</v>
      </c>
      <c r="U13" s="215" t="str">
        <f t="shared" si="11"/>
        <v>#REF!</v>
      </c>
      <c r="V13" s="215" t="str">
        <f t="shared" si="11"/>
        <v>#REF!</v>
      </c>
      <c r="W13" s="215" t="str">
        <f t="shared" si="11"/>
        <v>#REF!</v>
      </c>
      <c r="X13" s="215" t="str">
        <f t="shared" si="11"/>
        <v>#REF!</v>
      </c>
    </row>
    <row r="14">
      <c r="A14" s="1"/>
      <c r="B14" s="1" t="s">
        <v>297</v>
      </c>
      <c r="C14" s="215" t="str">
        <f t="shared" ref="C14:X14" si="12">#REF!</f>
        <v>#REF!</v>
      </c>
      <c r="D14" s="215" t="str">
        <f t="shared" si="12"/>
        <v>#REF!</v>
      </c>
      <c r="E14" s="215" t="str">
        <f t="shared" si="12"/>
        <v>#REF!</v>
      </c>
      <c r="F14" s="215" t="str">
        <f t="shared" si="12"/>
        <v>#REF!</v>
      </c>
      <c r="G14" s="215" t="str">
        <f t="shared" si="12"/>
        <v>#REF!</v>
      </c>
      <c r="H14" s="215" t="str">
        <f t="shared" si="12"/>
        <v>#REF!</v>
      </c>
      <c r="I14" s="215" t="str">
        <f t="shared" si="12"/>
        <v>#REF!</v>
      </c>
      <c r="J14" s="215" t="str">
        <f t="shared" si="12"/>
        <v>#REF!</v>
      </c>
      <c r="K14" s="215" t="str">
        <f t="shared" si="12"/>
        <v>#REF!</v>
      </c>
      <c r="L14" s="215" t="str">
        <f t="shared" si="12"/>
        <v>#REF!</v>
      </c>
      <c r="M14" s="215" t="str">
        <f t="shared" si="12"/>
        <v>#REF!</v>
      </c>
      <c r="N14" s="215" t="str">
        <f t="shared" si="12"/>
        <v>#REF!</v>
      </c>
      <c r="O14" s="215" t="str">
        <f t="shared" si="12"/>
        <v>#REF!</v>
      </c>
      <c r="P14" s="215" t="str">
        <f t="shared" si="12"/>
        <v>#REF!</v>
      </c>
      <c r="Q14" s="215" t="str">
        <f t="shared" si="12"/>
        <v>#REF!</v>
      </c>
      <c r="R14" s="215" t="str">
        <f t="shared" si="12"/>
        <v>#REF!</v>
      </c>
      <c r="S14" s="215" t="str">
        <f t="shared" si="12"/>
        <v>#REF!</v>
      </c>
      <c r="T14" s="215" t="str">
        <f t="shared" si="12"/>
        <v>#REF!</v>
      </c>
      <c r="U14" s="215" t="str">
        <f t="shared" si="12"/>
        <v>#REF!</v>
      </c>
      <c r="V14" s="215" t="str">
        <f t="shared" si="12"/>
        <v>#REF!</v>
      </c>
      <c r="W14" s="215" t="str">
        <f t="shared" si="12"/>
        <v>#REF!</v>
      </c>
      <c r="X14" s="215" t="str">
        <f t="shared" si="12"/>
        <v>#REF!</v>
      </c>
    </row>
    <row r="15">
      <c r="A15" s="1"/>
      <c r="B15" s="1" t="s">
        <v>298</v>
      </c>
      <c r="C15" s="215" t="str">
        <f t="shared" ref="C15:X15" si="13">#REF!</f>
        <v>#REF!</v>
      </c>
      <c r="D15" s="215" t="str">
        <f t="shared" si="13"/>
        <v>#REF!</v>
      </c>
      <c r="E15" s="215" t="str">
        <f t="shared" si="13"/>
        <v>#REF!</v>
      </c>
      <c r="F15" s="215" t="str">
        <f t="shared" si="13"/>
        <v>#REF!</v>
      </c>
      <c r="G15" s="215" t="str">
        <f t="shared" si="13"/>
        <v>#REF!</v>
      </c>
      <c r="H15" s="215" t="str">
        <f t="shared" si="13"/>
        <v>#REF!</v>
      </c>
      <c r="I15" s="215" t="str">
        <f t="shared" si="13"/>
        <v>#REF!</v>
      </c>
      <c r="J15" s="215" t="str">
        <f t="shared" si="13"/>
        <v>#REF!</v>
      </c>
      <c r="K15" s="215" t="str">
        <f t="shared" si="13"/>
        <v>#REF!</v>
      </c>
      <c r="L15" s="215" t="str">
        <f t="shared" si="13"/>
        <v>#REF!</v>
      </c>
      <c r="M15" s="215" t="str">
        <f t="shared" si="13"/>
        <v>#REF!</v>
      </c>
      <c r="N15" s="215" t="str">
        <f t="shared" si="13"/>
        <v>#REF!</v>
      </c>
      <c r="O15" s="215" t="str">
        <f t="shared" si="13"/>
        <v>#REF!</v>
      </c>
      <c r="P15" s="215" t="str">
        <f t="shared" si="13"/>
        <v>#REF!</v>
      </c>
      <c r="Q15" s="215" t="str">
        <f t="shared" si="13"/>
        <v>#REF!</v>
      </c>
      <c r="R15" s="215" t="str">
        <f t="shared" si="13"/>
        <v>#REF!</v>
      </c>
      <c r="S15" s="215" t="str">
        <f t="shared" si="13"/>
        <v>#REF!</v>
      </c>
      <c r="T15" s="215" t="str">
        <f t="shared" si="13"/>
        <v>#REF!</v>
      </c>
      <c r="U15" s="215" t="str">
        <f t="shared" si="13"/>
        <v>#REF!</v>
      </c>
      <c r="V15" s="215" t="str">
        <f t="shared" si="13"/>
        <v>#REF!</v>
      </c>
      <c r="W15" s="215" t="str">
        <f t="shared" si="13"/>
        <v>#REF!</v>
      </c>
      <c r="X15" s="215" t="str">
        <f t="shared" si="13"/>
        <v>#REF!</v>
      </c>
    </row>
    <row r="16">
      <c r="A16" s="1"/>
      <c r="B16" s="1" t="s">
        <v>299</v>
      </c>
      <c r="C16" s="215" t="str">
        <f t="shared" ref="C16:X16" si="14">#REF!</f>
        <v>#REF!</v>
      </c>
      <c r="D16" s="215" t="str">
        <f t="shared" si="14"/>
        <v>#REF!</v>
      </c>
      <c r="E16" s="215" t="str">
        <f t="shared" si="14"/>
        <v>#REF!</v>
      </c>
      <c r="F16" s="215" t="str">
        <f t="shared" si="14"/>
        <v>#REF!</v>
      </c>
      <c r="G16" s="215" t="str">
        <f t="shared" si="14"/>
        <v>#REF!</v>
      </c>
      <c r="H16" s="215" t="str">
        <f t="shared" si="14"/>
        <v>#REF!</v>
      </c>
      <c r="I16" s="215" t="str">
        <f t="shared" si="14"/>
        <v>#REF!</v>
      </c>
      <c r="J16" s="215" t="str">
        <f t="shared" si="14"/>
        <v>#REF!</v>
      </c>
      <c r="K16" s="215" t="str">
        <f t="shared" si="14"/>
        <v>#REF!</v>
      </c>
      <c r="L16" s="215" t="str">
        <f t="shared" si="14"/>
        <v>#REF!</v>
      </c>
      <c r="M16" s="215" t="str">
        <f t="shared" si="14"/>
        <v>#REF!</v>
      </c>
      <c r="N16" s="215" t="str">
        <f t="shared" si="14"/>
        <v>#REF!</v>
      </c>
      <c r="O16" s="215" t="str">
        <f t="shared" si="14"/>
        <v>#REF!</v>
      </c>
      <c r="P16" s="215" t="str">
        <f t="shared" si="14"/>
        <v>#REF!</v>
      </c>
      <c r="Q16" s="215" t="str">
        <f t="shared" si="14"/>
        <v>#REF!</v>
      </c>
      <c r="R16" s="215" t="str">
        <f t="shared" si="14"/>
        <v>#REF!</v>
      </c>
      <c r="S16" s="215" t="str">
        <f t="shared" si="14"/>
        <v>#REF!</v>
      </c>
      <c r="T16" s="215" t="str">
        <f t="shared" si="14"/>
        <v>#REF!</v>
      </c>
      <c r="U16" s="215" t="str">
        <f t="shared" si="14"/>
        <v>#REF!</v>
      </c>
      <c r="V16" s="215" t="str">
        <f t="shared" si="14"/>
        <v>#REF!</v>
      </c>
      <c r="W16" s="215" t="str">
        <f t="shared" si="14"/>
        <v>#REF!</v>
      </c>
      <c r="X16" s="215" t="str">
        <f t="shared" si="14"/>
        <v>#REF!</v>
      </c>
    </row>
    <row r="17">
      <c r="A17" s="1"/>
      <c r="B17" s="1" t="s">
        <v>300</v>
      </c>
      <c r="C17" s="215" t="str">
        <f t="shared" ref="C17:X17" si="15">#REF!</f>
        <v>#REF!</v>
      </c>
      <c r="D17" s="215" t="str">
        <f t="shared" si="15"/>
        <v>#REF!</v>
      </c>
      <c r="E17" s="215" t="str">
        <f t="shared" si="15"/>
        <v>#REF!</v>
      </c>
      <c r="F17" s="215" t="str">
        <f t="shared" si="15"/>
        <v>#REF!</v>
      </c>
      <c r="G17" s="215" t="str">
        <f t="shared" si="15"/>
        <v>#REF!</v>
      </c>
      <c r="H17" s="215" t="str">
        <f t="shared" si="15"/>
        <v>#REF!</v>
      </c>
      <c r="I17" s="215" t="str">
        <f t="shared" si="15"/>
        <v>#REF!</v>
      </c>
      <c r="J17" s="215" t="str">
        <f t="shared" si="15"/>
        <v>#REF!</v>
      </c>
      <c r="K17" s="215" t="str">
        <f t="shared" si="15"/>
        <v>#REF!</v>
      </c>
      <c r="L17" s="215" t="str">
        <f t="shared" si="15"/>
        <v>#REF!</v>
      </c>
      <c r="M17" s="215" t="str">
        <f t="shared" si="15"/>
        <v>#REF!</v>
      </c>
      <c r="N17" s="215" t="str">
        <f t="shared" si="15"/>
        <v>#REF!</v>
      </c>
      <c r="O17" s="215" t="str">
        <f t="shared" si="15"/>
        <v>#REF!</v>
      </c>
      <c r="P17" s="215" t="str">
        <f t="shared" si="15"/>
        <v>#REF!</v>
      </c>
      <c r="Q17" s="215" t="str">
        <f t="shared" si="15"/>
        <v>#REF!</v>
      </c>
      <c r="R17" s="215" t="str">
        <f t="shared" si="15"/>
        <v>#REF!</v>
      </c>
      <c r="S17" s="215" t="str">
        <f t="shared" si="15"/>
        <v>#REF!</v>
      </c>
      <c r="T17" s="215" t="str">
        <f t="shared" si="15"/>
        <v>#REF!</v>
      </c>
      <c r="U17" s="215" t="str">
        <f t="shared" si="15"/>
        <v>#REF!</v>
      </c>
      <c r="V17" s="215" t="str">
        <f t="shared" si="15"/>
        <v>#REF!</v>
      </c>
      <c r="W17" s="215" t="str">
        <f t="shared" si="15"/>
        <v>#REF!</v>
      </c>
      <c r="X17" s="215" t="str">
        <f t="shared" si="15"/>
        <v>#REF!</v>
      </c>
    </row>
    <row r="18">
      <c r="A18" s="1"/>
      <c r="B18" s="1" t="s">
        <v>301</v>
      </c>
      <c r="C18" s="215" t="str">
        <f t="shared" ref="C18:X18" si="16">#REF!</f>
        <v>#REF!</v>
      </c>
      <c r="D18" s="215" t="str">
        <f t="shared" si="16"/>
        <v>#REF!</v>
      </c>
      <c r="E18" s="215" t="str">
        <f t="shared" si="16"/>
        <v>#REF!</v>
      </c>
      <c r="F18" s="215" t="str">
        <f t="shared" si="16"/>
        <v>#REF!</v>
      </c>
      <c r="G18" s="215" t="str">
        <f t="shared" si="16"/>
        <v>#REF!</v>
      </c>
      <c r="H18" s="215" t="str">
        <f t="shared" si="16"/>
        <v>#REF!</v>
      </c>
      <c r="I18" s="215" t="str">
        <f t="shared" si="16"/>
        <v>#REF!</v>
      </c>
      <c r="J18" s="215" t="str">
        <f t="shared" si="16"/>
        <v>#REF!</v>
      </c>
      <c r="K18" s="215" t="str">
        <f t="shared" si="16"/>
        <v>#REF!</v>
      </c>
      <c r="L18" s="215" t="str">
        <f t="shared" si="16"/>
        <v>#REF!</v>
      </c>
      <c r="M18" s="215" t="str">
        <f t="shared" si="16"/>
        <v>#REF!</v>
      </c>
      <c r="N18" s="215" t="str">
        <f t="shared" si="16"/>
        <v>#REF!</v>
      </c>
      <c r="O18" s="215" t="str">
        <f t="shared" si="16"/>
        <v>#REF!</v>
      </c>
      <c r="P18" s="215" t="str">
        <f t="shared" si="16"/>
        <v>#REF!</v>
      </c>
      <c r="Q18" s="215" t="str">
        <f t="shared" si="16"/>
        <v>#REF!</v>
      </c>
      <c r="R18" s="215" t="str">
        <f t="shared" si="16"/>
        <v>#REF!</v>
      </c>
      <c r="S18" s="215" t="str">
        <f t="shared" si="16"/>
        <v>#REF!</v>
      </c>
      <c r="T18" s="215" t="str">
        <f t="shared" si="16"/>
        <v>#REF!</v>
      </c>
      <c r="U18" s="215" t="str">
        <f t="shared" si="16"/>
        <v>#REF!</v>
      </c>
      <c r="V18" s="215" t="str">
        <f t="shared" si="16"/>
        <v>#REF!</v>
      </c>
      <c r="W18" s="215" t="str">
        <f t="shared" si="16"/>
        <v>#REF!</v>
      </c>
      <c r="X18" s="215" t="str">
        <f t="shared" si="16"/>
        <v>#REF!</v>
      </c>
    </row>
    <row r="19">
      <c r="A19" s="1"/>
      <c r="B19" s="124" t="s">
        <v>98</v>
      </c>
      <c r="C19" s="238" t="str">
        <f t="shared" ref="C19:X19" si="17">SUM(C3:C18)</f>
        <v>#REF!</v>
      </c>
      <c r="D19" s="238" t="str">
        <f t="shared" si="17"/>
        <v>#REF!</v>
      </c>
      <c r="E19" s="238" t="str">
        <f t="shared" si="17"/>
        <v>#REF!</v>
      </c>
      <c r="F19" s="238" t="str">
        <f t="shared" si="17"/>
        <v>#REF!</v>
      </c>
      <c r="G19" s="238" t="str">
        <f t="shared" si="17"/>
        <v>#REF!</v>
      </c>
      <c r="H19" s="238" t="str">
        <f t="shared" si="17"/>
        <v>#REF!</v>
      </c>
      <c r="I19" s="238" t="str">
        <f t="shared" si="17"/>
        <v>#REF!</v>
      </c>
      <c r="J19" s="238" t="str">
        <f t="shared" si="17"/>
        <v>#REF!</v>
      </c>
      <c r="K19" s="238" t="str">
        <f t="shared" si="17"/>
        <v>#REF!</v>
      </c>
      <c r="L19" s="238" t="str">
        <f t="shared" si="17"/>
        <v>#REF!</v>
      </c>
      <c r="M19" s="238" t="str">
        <f t="shared" si="17"/>
        <v>#REF!</v>
      </c>
      <c r="N19" s="238" t="str">
        <f t="shared" si="17"/>
        <v>#REF!</v>
      </c>
      <c r="O19" s="238" t="str">
        <f t="shared" si="17"/>
        <v>#REF!</v>
      </c>
      <c r="P19" s="238" t="str">
        <f t="shared" si="17"/>
        <v>#REF!</v>
      </c>
      <c r="Q19" s="238" t="str">
        <f t="shared" si="17"/>
        <v>#REF!</v>
      </c>
      <c r="R19" s="238" t="str">
        <f t="shared" si="17"/>
        <v>#REF!</v>
      </c>
      <c r="S19" s="238" t="str">
        <f t="shared" si="17"/>
        <v>#REF!</v>
      </c>
      <c r="T19" s="238" t="str">
        <f t="shared" si="17"/>
        <v>#REF!</v>
      </c>
      <c r="U19" s="238" t="str">
        <f t="shared" si="17"/>
        <v>#REF!</v>
      </c>
      <c r="V19" s="238" t="str">
        <f t="shared" si="17"/>
        <v>#REF!</v>
      </c>
      <c r="W19" s="238" t="str">
        <f t="shared" si="17"/>
        <v>#REF!</v>
      </c>
      <c r="X19" s="238" t="str">
        <f t="shared" si="17"/>
        <v>#REF!</v>
      </c>
    </row>
    <row r="20">
      <c r="C20" s="215"/>
      <c r="D20" s="215"/>
      <c r="E20" s="215"/>
      <c r="F20" s="215"/>
      <c r="G20" s="215"/>
      <c r="H20" s="215"/>
      <c r="I20" s="215"/>
      <c r="J20" s="215"/>
      <c r="K20" s="215"/>
      <c r="L20" s="215"/>
      <c r="M20" s="215"/>
      <c r="N20" s="215"/>
      <c r="O20" s="215"/>
      <c r="P20" s="215"/>
      <c r="Q20" s="215"/>
      <c r="R20" s="215"/>
      <c r="S20" s="215"/>
      <c r="T20" s="215"/>
      <c r="U20" s="215"/>
      <c r="V20" s="215"/>
      <c r="W20" s="215"/>
      <c r="X20" s="215"/>
    </row>
    <row r="21" ht="15.75" customHeight="1">
      <c r="A21" s="1"/>
      <c r="B21" s="1" t="s">
        <v>73</v>
      </c>
      <c r="C21" s="215" t="str">
        <f t="shared" ref="C21:X21" si="18">#REF!</f>
        <v>#REF!</v>
      </c>
      <c r="D21" s="215" t="str">
        <f t="shared" si="18"/>
        <v>#REF!</v>
      </c>
      <c r="E21" s="215" t="str">
        <f t="shared" si="18"/>
        <v>#REF!</v>
      </c>
      <c r="F21" s="215" t="str">
        <f t="shared" si="18"/>
        <v>#REF!</v>
      </c>
      <c r="G21" s="215" t="str">
        <f t="shared" si="18"/>
        <v>#REF!</v>
      </c>
      <c r="H21" s="215" t="str">
        <f t="shared" si="18"/>
        <v>#REF!</v>
      </c>
      <c r="I21" s="215" t="str">
        <f t="shared" si="18"/>
        <v>#REF!</v>
      </c>
      <c r="J21" s="215" t="str">
        <f t="shared" si="18"/>
        <v>#REF!</v>
      </c>
      <c r="K21" s="215" t="str">
        <f t="shared" si="18"/>
        <v>#REF!</v>
      </c>
      <c r="L21" s="215" t="str">
        <f t="shared" si="18"/>
        <v>#REF!</v>
      </c>
      <c r="M21" s="215" t="str">
        <f t="shared" si="18"/>
        <v>#REF!</v>
      </c>
      <c r="N21" s="215" t="str">
        <f t="shared" si="18"/>
        <v>#REF!</v>
      </c>
      <c r="O21" s="215" t="str">
        <f t="shared" si="18"/>
        <v>#REF!</v>
      </c>
      <c r="P21" s="215" t="str">
        <f t="shared" si="18"/>
        <v>#REF!</v>
      </c>
      <c r="Q21" s="215" t="str">
        <f t="shared" si="18"/>
        <v>#REF!</v>
      </c>
      <c r="R21" s="215" t="str">
        <f t="shared" si="18"/>
        <v>#REF!</v>
      </c>
      <c r="S21" s="215" t="str">
        <f t="shared" si="18"/>
        <v>#REF!</v>
      </c>
      <c r="T21" s="215" t="str">
        <f t="shared" si="18"/>
        <v>#REF!</v>
      </c>
      <c r="U21" s="215" t="str">
        <f t="shared" si="18"/>
        <v>#REF!</v>
      </c>
      <c r="V21" s="215" t="str">
        <f t="shared" si="18"/>
        <v>#REF!</v>
      </c>
      <c r="W21" s="215" t="str">
        <f t="shared" si="18"/>
        <v>#REF!</v>
      </c>
      <c r="X21" s="215" t="str">
        <f t="shared" si="18"/>
        <v>#REF!</v>
      </c>
    </row>
    <row r="22" ht="15.75" customHeight="1">
      <c r="A22" s="1"/>
      <c r="B22" s="124" t="s">
        <v>104</v>
      </c>
      <c r="C22" s="238" t="str">
        <f t="shared" ref="C22:X22" si="19">#REF!</f>
        <v>#REF!</v>
      </c>
      <c r="D22" s="238" t="str">
        <f t="shared" si="19"/>
        <v>#REF!</v>
      </c>
      <c r="E22" s="238" t="str">
        <f t="shared" si="19"/>
        <v>#REF!</v>
      </c>
      <c r="F22" s="238" t="str">
        <f t="shared" si="19"/>
        <v>#REF!</v>
      </c>
      <c r="G22" s="238" t="str">
        <f t="shared" si="19"/>
        <v>#REF!</v>
      </c>
      <c r="H22" s="238" t="str">
        <f t="shared" si="19"/>
        <v>#REF!</v>
      </c>
      <c r="I22" s="238" t="str">
        <f t="shared" si="19"/>
        <v>#REF!</v>
      </c>
      <c r="J22" s="238" t="str">
        <f t="shared" si="19"/>
        <v>#REF!</v>
      </c>
      <c r="K22" s="238" t="str">
        <f t="shared" si="19"/>
        <v>#REF!</v>
      </c>
      <c r="L22" s="238" t="str">
        <f t="shared" si="19"/>
        <v>#REF!</v>
      </c>
      <c r="M22" s="238" t="str">
        <f t="shared" si="19"/>
        <v>#REF!</v>
      </c>
      <c r="N22" s="238" t="str">
        <f t="shared" si="19"/>
        <v>#REF!</v>
      </c>
      <c r="O22" s="238" t="str">
        <f t="shared" si="19"/>
        <v>#REF!</v>
      </c>
      <c r="P22" s="238" t="str">
        <f t="shared" si="19"/>
        <v>#REF!</v>
      </c>
      <c r="Q22" s="238" t="str">
        <f t="shared" si="19"/>
        <v>#REF!</v>
      </c>
      <c r="R22" s="238" t="str">
        <f t="shared" si="19"/>
        <v>#REF!</v>
      </c>
      <c r="S22" s="238" t="str">
        <f t="shared" si="19"/>
        <v>#REF!</v>
      </c>
      <c r="T22" s="238" t="str">
        <f t="shared" si="19"/>
        <v>#REF!</v>
      </c>
      <c r="U22" s="238" t="str">
        <f t="shared" si="19"/>
        <v>#REF!</v>
      </c>
      <c r="V22" s="238" t="str">
        <f t="shared" si="19"/>
        <v>#REF!</v>
      </c>
      <c r="W22" s="238" t="str">
        <f t="shared" si="19"/>
        <v>#REF!</v>
      </c>
      <c r="X22" s="238" t="str">
        <f t="shared" si="19"/>
        <v>#REF!</v>
      </c>
    </row>
    <row r="23" ht="15.75" customHeight="1">
      <c r="A23" s="136"/>
      <c r="B23" s="136" t="s">
        <v>75</v>
      </c>
      <c r="C23" s="128" t="str">
        <f t="shared" ref="C23:X23" si="20">C22/C19</f>
        <v>#REF!</v>
      </c>
      <c r="D23" s="128" t="str">
        <f t="shared" si="20"/>
        <v>#REF!</v>
      </c>
      <c r="E23" s="128" t="str">
        <f t="shared" si="20"/>
        <v>#REF!</v>
      </c>
      <c r="F23" s="128" t="str">
        <f t="shared" si="20"/>
        <v>#REF!</v>
      </c>
      <c r="G23" s="128" t="str">
        <f t="shared" si="20"/>
        <v>#REF!</v>
      </c>
      <c r="H23" s="128" t="str">
        <f t="shared" si="20"/>
        <v>#REF!</v>
      </c>
      <c r="I23" s="128" t="str">
        <f t="shared" si="20"/>
        <v>#REF!</v>
      </c>
      <c r="J23" s="128" t="str">
        <f t="shared" si="20"/>
        <v>#REF!</v>
      </c>
      <c r="K23" s="128" t="str">
        <f t="shared" si="20"/>
        <v>#REF!</v>
      </c>
      <c r="L23" s="128" t="str">
        <f t="shared" si="20"/>
        <v>#REF!</v>
      </c>
      <c r="M23" s="128" t="str">
        <f t="shared" si="20"/>
        <v>#REF!</v>
      </c>
      <c r="N23" s="128" t="str">
        <f t="shared" si="20"/>
        <v>#REF!</v>
      </c>
      <c r="O23" s="128" t="str">
        <f t="shared" si="20"/>
        <v>#REF!</v>
      </c>
      <c r="P23" s="128" t="str">
        <f t="shared" si="20"/>
        <v>#REF!</v>
      </c>
      <c r="Q23" s="128" t="str">
        <f t="shared" si="20"/>
        <v>#REF!</v>
      </c>
      <c r="R23" s="128" t="str">
        <f t="shared" si="20"/>
        <v>#REF!</v>
      </c>
      <c r="S23" s="128" t="str">
        <f t="shared" si="20"/>
        <v>#REF!</v>
      </c>
      <c r="T23" s="128" t="str">
        <f t="shared" si="20"/>
        <v>#REF!</v>
      </c>
      <c r="U23" s="128" t="str">
        <f t="shared" si="20"/>
        <v>#REF!</v>
      </c>
      <c r="V23" s="128" t="str">
        <f t="shared" si="20"/>
        <v>#REF!</v>
      </c>
      <c r="W23" s="128" t="str">
        <f t="shared" si="20"/>
        <v>#REF!</v>
      </c>
      <c r="X23" s="128" t="str">
        <f t="shared" si="20"/>
        <v>#REF!</v>
      </c>
    </row>
    <row r="24" ht="15.75" customHeight="1">
      <c r="C24" s="215"/>
      <c r="D24" s="215"/>
      <c r="E24" s="215"/>
      <c r="F24" s="215"/>
      <c r="G24" s="215"/>
      <c r="H24" s="215"/>
      <c r="I24" s="215"/>
      <c r="J24" s="215"/>
      <c r="K24" s="215"/>
      <c r="L24" s="215"/>
      <c r="M24" s="215"/>
      <c r="N24" s="215"/>
      <c r="O24" s="215"/>
      <c r="P24" s="215"/>
      <c r="Q24" s="215"/>
      <c r="R24" s="215"/>
      <c r="S24" s="215"/>
      <c r="T24" s="215"/>
      <c r="U24" s="215"/>
      <c r="V24" s="215"/>
      <c r="W24" s="215"/>
      <c r="X24" s="215"/>
    </row>
    <row r="25" ht="15.75" customHeight="1">
      <c r="A25" s="1"/>
      <c r="B25" s="1" t="s">
        <v>411</v>
      </c>
      <c r="C25" s="215" t="str">
        <f t="shared" ref="C25:X25" si="21">#REF!</f>
        <v>#REF!</v>
      </c>
      <c r="D25" s="215" t="str">
        <f t="shared" si="21"/>
        <v>#REF!</v>
      </c>
      <c r="E25" s="215" t="str">
        <f t="shared" si="21"/>
        <v>#REF!</v>
      </c>
      <c r="F25" s="215" t="str">
        <f t="shared" si="21"/>
        <v>#REF!</v>
      </c>
      <c r="G25" s="215" t="str">
        <f t="shared" si="21"/>
        <v>#REF!</v>
      </c>
      <c r="H25" s="215" t="str">
        <f t="shared" si="21"/>
        <v>#REF!</v>
      </c>
      <c r="I25" s="215" t="str">
        <f t="shared" si="21"/>
        <v>#REF!</v>
      </c>
      <c r="J25" s="215" t="str">
        <f t="shared" si="21"/>
        <v>#REF!</v>
      </c>
      <c r="K25" s="215" t="str">
        <f t="shared" si="21"/>
        <v>#REF!</v>
      </c>
      <c r="L25" s="215" t="str">
        <f t="shared" si="21"/>
        <v>#REF!</v>
      </c>
      <c r="M25" s="215" t="str">
        <f t="shared" si="21"/>
        <v>#REF!</v>
      </c>
      <c r="N25" s="215" t="str">
        <f t="shared" si="21"/>
        <v>#REF!</v>
      </c>
      <c r="O25" s="215" t="str">
        <f t="shared" si="21"/>
        <v>#REF!</v>
      </c>
      <c r="P25" s="215" t="str">
        <f t="shared" si="21"/>
        <v>#REF!</v>
      </c>
      <c r="Q25" s="215" t="str">
        <f t="shared" si="21"/>
        <v>#REF!</v>
      </c>
      <c r="R25" s="215" t="str">
        <f t="shared" si="21"/>
        <v>#REF!</v>
      </c>
      <c r="S25" s="215" t="str">
        <f t="shared" si="21"/>
        <v>#REF!</v>
      </c>
      <c r="T25" s="215" t="str">
        <f t="shared" si="21"/>
        <v>#REF!</v>
      </c>
      <c r="U25" s="215" t="str">
        <f t="shared" si="21"/>
        <v>#REF!</v>
      </c>
      <c r="V25" s="215" t="str">
        <f t="shared" si="21"/>
        <v>#REF!</v>
      </c>
      <c r="W25" s="215" t="str">
        <f t="shared" si="21"/>
        <v>#REF!</v>
      </c>
      <c r="X25" s="215" t="str">
        <f t="shared" si="21"/>
        <v>#REF!</v>
      </c>
    </row>
    <row r="26" ht="15.75" customHeight="1">
      <c r="C26" s="215"/>
      <c r="D26" s="215"/>
      <c r="E26" s="215"/>
      <c r="F26" s="215"/>
      <c r="G26" s="215"/>
      <c r="H26" s="215"/>
      <c r="I26" s="215"/>
      <c r="J26" s="215"/>
      <c r="K26" s="215"/>
      <c r="L26" s="215"/>
      <c r="M26" s="215"/>
      <c r="N26" s="215"/>
      <c r="O26" s="215"/>
      <c r="P26" s="215"/>
      <c r="Q26" s="215"/>
      <c r="R26" s="215"/>
      <c r="S26" s="215"/>
      <c r="T26" s="215"/>
      <c r="U26" s="215"/>
      <c r="V26" s="215"/>
      <c r="W26" s="215"/>
      <c r="X26" s="215"/>
    </row>
    <row r="27" ht="15.75" customHeight="1">
      <c r="A27" s="1"/>
      <c r="B27" s="239" t="s">
        <v>106</v>
      </c>
      <c r="C27" s="240" t="str">
        <f t="shared" ref="C27:X27" si="22">#REF!</f>
        <v>#REF!</v>
      </c>
      <c r="D27" s="240" t="str">
        <f t="shared" si="22"/>
        <v>#REF!</v>
      </c>
      <c r="E27" s="240" t="str">
        <f t="shared" si="22"/>
        <v>#REF!</v>
      </c>
      <c r="F27" s="240" t="str">
        <f t="shared" si="22"/>
        <v>#REF!</v>
      </c>
      <c r="G27" s="240" t="str">
        <f t="shared" si="22"/>
        <v>#REF!</v>
      </c>
      <c r="H27" s="240" t="str">
        <f t="shared" si="22"/>
        <v>#REF!</v>
      </c>
      <c r="I27" s="240" t="str">
        <f t="shared" si="22"/>
        <v>#REF!</v>
      </c>
      <c r="J27" s="240" t="str">
        <f t="shared" si="22"/>
        <v>#REF!</v>
      </c>
      <c r="K27" s="240" t="str">
        <f t="shared" si="22"/>
        <v>#REF!</v>
      </c>
      <c r="L27" s="240" t="str">
        <f t="shared" si="22"/>
        <v>#REF!</v>
      </c>
      <c r="M27" s="240" t="str">
        <f t="shared" si="22"/>
        <v>#REF!</v>
      </c>
      <c r="N27" s="240" t="str">
        <f t="shared" si="22"/>
        <v>#REF!</v>
      </c>
      <c r="O27" s="240" t="str">
        <f t="shared" si="22"/>
        <v>#REF!</v>
      </c>
      <c r="P27" s="240" t="str">
        <f t="shared" si="22"/>
        <v>#REF!</v>
      </c>
      <c r="Q27" s="240" t="str">
        <f t="shared" si="22"/>
        <v>#REF!</v>
      </c>
      <c r="R27" s="240" t="str">
        <f t="shared" si="22"/>
        <v>#REF!</v>
      </c>
      <c r="S27" s="240" t="str">
        <f t="shared" si="22"/>
        <v>#REF!</v>
      </c>
      <c r="T27" s="240" t="str">
        <f t="shared" si="22"/>
        <v>#REF!</v>
      </c>
      <c r="U27" s="240" t="str">
        <f t="shared" si="22"/>
        <v>#REF!</v>
      </c>
      <c r="V27" s="240" t="str">
        <f t="shared" si="22"/>
        <v>#REF!</v>
      </c>
      <c r="W27" s="240" t="str">
        <f t="shared" si="22"/>
        <v>#REF!</v>
      </c>
      <c r="X27" s="240" t="str">
        <f t="shared" si="22"/>
        <v>#REF!</v>
      </c>
    </row>
    <row r="28" ht="15.75" customHeight="1">
      <c r="A28" s="136"/>
      <c r="B28" s="136" t="s">
        <v>181</v>
      </c>
      <c r="C28" s="128" t="str">
        <f t="shared" ref="C28:X28" si="23">#REF!</f>
        <v>#REF!</v>
      </c>
      <c r="D28" s="128" t="str">
        <f t="shared" si="23"/>
        <v>#REF!</v>
      </c>
      <c r="E28" s="128" t="str">
        <f t="shared" si="23"/>
        <v>#REF!</v>
      </c>
      <c r="F28" s="128" t="str">
        <f t="shared" si="23"/>
        <v>#REF!</v>
      </c>
      <c r="G28" s="128" t="str">
        <f t="shared" si="23"/>
        <v>#REF!</v>
      </c>
      <c r="H28" s="128" t="str">
        <f t="shared" si="23"/>
        <v>#REF!</v>
      </c>
      <c r="I28" s="128" t="str">
        <f t="shared" si="23"/>
        <v>#REF!</v>
      </c>
      <c r="J28" s="128" t="str">
        <f t="shared" si="23"/>
        <v>#REF!</v>
      </c>
      <c r="K28" s="128" t="str">
        <f t="shared" si="23"/>
        <v>#REF!</v>
      </c>
      <c r="L28" s="128" t="str">
        <f t="shared" si="23"/>
        <v>#REF!</v>
      </c>
      <c r="M28" s="128" t="str">
        <f t="shared" si="23"/>
        <v>#REF!</v>
      </c>
      <c r="N28" s="128" t="str">
        <f t="shared" si="23"/>
        <v>#REF!</v>
      </c>
      <c r="O28" s="128" t="str">
        <f t="shared" si="23"/>
        <v>#REF!</v>
      </c>
      <c r="P28" s="128" t="str">
        <f t="shared" si="23"/>
        <v>#REF!</v>
      </c>
      <c r="Q28" s="128" t="str">
        <f t="shared" si="23"/>
        <v>#REF!</v>
      </c>
      <c r="R28" s="128" t="str">
        <f t="shared" si="23"/>
        <v>#REF!</v>
      </c>
      <c r="S28" s="128" t="str">
        <f t="shared" si="23"/>
        <v>#REF!</v>
      </c>
      <c r="T28" s="128" t="str">
        <f t="shared" si="23"/>
        <v>#REF!</v>
      </c>
      <c r="U28" s="128" t="str">
        <f t="shared" si="23"/>
        <v>#REF!</v>
      </c>
      <c r="V28" s="128" t="str">
        <f t="shared" si="23"/>
        <v>#REF!</v>
      </c>
      <c r="W28" s="128" t="str">
        <f t="shared" si="23"/>
        <v>#REF!</v>
      </c>
      <c r="X28" s="128" t="str">
        <f t="shared" si="23"/>
        <v>#REF!</v>
      </c>
    </row>
    <row r="29" ht="15.75" customHeight="1"/>
    <row r="30" ht="15.75" customHeight="1">
      <c r="A30" s="1"/>
      <c r="B30" s="1" t="s">
        <v>348</v>
      </c>
      <c r="C30" s="217" t="str">
        <f t="shared" ref="C30:X30" si="24">#REF!</f>
        <v>#REF!</v>
      </c>
      <c r="D30" s="217" t="str">
        <f t="shared" si="24"/>
        <v>#REF!</v>
      </c>
      <c r="E30" s="217" t="str">
        <f t="shared" si="24"/>
        <v>#REF!</v>
      </c>
      <c r="F30" s="217" t="str">
        <f t="shared" si="24"/>
        <v>#REF!</v>
      </c>
      <c r="G30" s="217" t="str">
        <f t="shared" si="24"/>
        <v>#REF!</v>
      </c>
      <c r="H30" s="217" t="str">
        <f t="shared" si="24"/>
        <v>#REF!</v>
      </c>
      <c r="I30" s="217" t="str">
        <f t="shared" si="24"/>
        <v>#REF!</v>
      </c>
      <c r="J30" s="217" t="str">
        <f t="shared" si="24"/>
        <v>#REF!</v>
      </c>
      <c r="K30" s="217" t="str">
        <f t="shared" si="24"/>
        <v>#REF!</v>
      </c>
      <c r="L30" s="217" t="str">
        <f t="shared" si="24"/>
        <v>#REF!</v>
      </c>
      <c r="M30" s="217" t="str">
        <f t="shared" si="24"/>
        <v>#REF!</v>
      </c>
      <c r="N30" s="217" t="str">
        <f t="shared" si="24"/>
        <v>#REF!</v>
      </c>
      <c r="O30" s="217" t="str">
        <f t="shared" si="24"/>
        <v>#REF!</v>
      </c>
      <c r="P30" s="217" t="str">
        <f t="shared" si="24"/>
        <v>#REF!</v>
      </c>
      <c r="Q30" s="217" t="str">
        <f t="shared" si="24"/>
        <v>#REF!</v>
      </c>
      <c r="R30" s="217" t="str">
        <f t="shared" si="24"/>
        <v>#REF!</v>
      </c>
      <c r="S30" s="217" t="str">
        <f t="shared" si="24"/>
        <v>#REF!</v>
      </c>
      <c r="T30" s="217" t="str">
        <f t="shared" si="24"/>
        <v>#REF!</v>
      </c>
      <c r="U30" s="217" t="str">
        <f t="shared" si="24"/>
        <v>#REF!</v>
      </c>
      <c r="V30" s="217" t="str">
        <f t="shared" si="24"/>
        <v>#REF!</v>
      </c>
      <c r="W30" s="217" t="str">
        <f t="shared" si="24"/>
        <v>#REF!</v>
      </c>
      <c r="X30" s="217" t="str">
        <f t="shared" si="24"/>
        <v>#REF!</v>
      </c>
    </row>
    <row r="31" ht="15.75" customHeight="1">
      <c r="A31" s="1"/>
      <c r="B31" s="1" t="s">
        <v>412</v>
      </c>
      <c r="C31" s="215" t="str">
        <f t="shared" ref="C31:X31" si="25">C27*C30</f>
        <v>#REF!</v>
      </c>
      <c r="D31" s="215" t="str">
        <f t="shared" si="25"/>
        <v>#REF!</v>
      </c>
      <c r="E31" s="215" t="str">
        <f t="shared" si="25"/>
        <v>#REF!</v>
      </c>
      <c r="F31" s="215" t="str">
        <f t="shared" si="25"/>
        <v>#REF!</v>
      </c>
      <c r="G31" s="215" t="str">
        <f t="shared" si="25"/>
        <v>#REF!</v>
      </c>
      <c r="H31" s="215" t="str">
        <f t="shared" si="25"/>
        <v>#REF!</v>
      </c>
      <c r="I31" s="215" t="str">
        <f t="shared" si="25"/>
        <v>#REF!</v>
      </c>
      <c r="J31" s="215" t="str">
        <f t="shared" si="25"/>
        <v>#REF!</v>
      </c>
      <c r="K31" s="215" t="str">
        <f t="shared" si="25"/>
        <v>#REF!</v>
      </c>
      <c r="L31" s="215" t="str">
        <f t="shared" si="25"/>
        <v>#REF!</v>
      </c>
      <c r="M31" s="215" t="str">
        <f t="shared" si="25"/>
        <v>#REF!</v>
      </c>
      <c r="N31" s="215" t="str">
        <f t="shared" si="25"/>
        <v>#REF!</v>
      </c>
      <c r="O31" s="215" t="str">
        <f t="shared" si="25"/>
        <v>#REF!</v>
      </c>
      <c r="P31" s="215" t="str">
        <f t="shared" si="25"/>
        <v>#REF!</v>
      </c>
      <c r="Q31" s="215" t="str">
        <f t="shared" si="25"/>
        <v>#REF!</v>
      </c>
      <c r="R31" s="215" t="str">
        <f t="shared" si="25"/>
        <v>#REF!</v>
      </c>
      <c r="S31" s="215" t="str">
        <f t="shared" si="25"/>
        <v>#REF!</v>
      </c>
      <c r="T31" s="215" t="str">
        <f t="shared" si="25"/>
        <v>#REF!</v>
      </c>
      <c r="U31" s="215" t="str">
        <f t="shared" si="25"/>
        <v>#REF!</v>
      </c>
      <c r="V31" s="215" t="str">
        <f t="shared" si="25"/>
        <v>#REF!</v>
      </c>
      <c r="W31" s="215" t="str">
        <f t="shared" si="25"/>
        <v>#REF!</v>
      </c>
      <c r="X31" s="215" t="str">
        <f t="shared" si="25"/>
        <v>#REF!</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3.0"/>
    <col customWidth="1" min="2" max="19" width="14.29"/>
    <col customWidth="1" min="20" max="31" width="13.71"/>
  </cols>
  <sheetData>
    <row r="1">
      <c r="A1" s="91"/>
      <c r="B1" s="91"/>
      <c r="C1" s="91"/>
      <c r="D1" s="91"/>
      <c r="E1" s="91"/>
      <c r="F1" s="91"/>
      <c r="G1" s="91"/>
      <c r="H1" s="91"/>
      <c r="I1" s="91"/>
      <c r="J1" s="91"/>
      <c r="K1" s="91"/>
      <c r="L1" s="91"/>
      <c r="M1" s="91"/>
      <c r="N1" s="91"/>
      <c r="O1" s="91"/>
      <c r="P1" s="91"/>
      <c r="Q1" s="91"/>
      <c r="R1" s="91"/>
      <c r="S1" s="91"/>
      <c r="T1" s="91"/>
      <c r="U1" s="91"/>
      <c r="V1" s="91"/>
      <c r="W1" s="91"/>
      <c r="X1" s="91"/>
      <c r="Y1" s="91"/>
      <c r="Z1" s="91"/>
      <c r="AA1" s="91"/>
    </row>
    <row r="2">
      <c r="A2" s="91"/>
      <c r="B2" s="91"/>
      <c r="C2" s="91"/>
      <c r="D2" s="91"/>
      <c r="E2" s="91"/>
      <c r="F2" s="91"/>
      <c r="G2" s="91"/>
      <c r="H2" s="91"/>
      <c r="I2" s="91"/>
      <c r="J2" s="91"/>
      <c r="K2" s="91"/>
      <c r="L2" s="91"/>
      <c r="M2" s="91"/>
      <c r="N2" s="91"/>
      <c r="O2" s="91"/>
      <c r="P2" s="91"/>
      <c r="Q2" s="91"/>
      <c r="R2" s="91"/>
      <c r="S2" s="91"/>
      <c r="T2" s="91"/>
      <c r="U2" s="91"/>
      <c r="V2" s="91"/>
      <c r="W2" s="91"/>
      <c r="X2" s="91"/>
      <c r="Y2" s="91"/>
      <c r="Z2" s="91"/>
      <c r="AA2" s="91"/>
    </row>
    <row r="3">
      <c r="A3" s="91"/>
      <c r="B3" s="91"/>
      <c r="C3" s="91"/>
      <c r="D3" s="91"/>
      <c r="E3" s="91"/>
      <c r="F3" s="91"/>
      <c r="G3" s="91"/>
      <c r="H3" s="91"/>
      <c r="I3" s="91"/>
      <c r="J3" s="91"/>
      <c r="K3" s="91"/>
      <c r="L3" s="91"/>
      <c r="M3" s="91"/>
      <c r="N3" s="91"/>
      <c r="O3" s="91"/>
      <c r="P3" s="91"/>
      <c r="Q3" s="91"/>
      <c r="R3" s="91"/>
      <c r="S3" s="91"/>
      <c r="T3" s="91"/>
      <c r="U3" s="91"/>
      <c r="V3" s="91"/>
      <c r="W3" s="91"/>
      <c r="X3" s="91"/>
      <c r="Y3" s="91"/>
      <c r="Z3" s="91"/>
      <c r="AA3" s="91"/>
    </row>
    <row r="4">
      <c r="A4" s="91"/>
      <c r="B4" s="241">
        <v>44378.0</v>
      </c>
      <c r="C4" s="241">
        <v>44409.0</v>
      </c>
      <c r="D4" s="241">
        <v>44440.0</v>
      </c>
      <c r="E4" s="241">
        <v>44470.0</v>
      </c>
      <c r="F4" s="241">
        <v>44501.0</v>
      </c>
      <c r="G4" s="241">
        <v>44531.0</v>
      </c>
      <c r="H4" s="92">
        <v>44562.0</v>
      </c>
      <c r="I4" s="93">
        <v>44593.0</v>
      </c>
      <c r="J4" s="93">
        <v>44621.0</v>
      </c>
      <c r="K4" s="93">
        <v>44652.0</v>
      </c>
      <c r="L4" s="93">
        <v>44682.0</v>
      </c>
      <c r="M4" s="93">
        <v>44713.0</v>
      </c>
      <c r="N4" s="93">
        <v>44743.0</v>
      </c>
      <c r="O4" s="93">
        <v>44774.0</v>
      </c>
      <c r="P4" s="95">
        <v>44805.0</v>
      </c>
      <c r="Q4" s="95">
        <v>44835.0</v>
      </c>
      <c r="R4" s="95">
        <v>44866.0</v>
      </c>
      <c r="S4" s="95">
        <v>44896.0</v>
      </c>
      <c r="T4" s="150">
        <v>44927.0</v>
      </c>
      <c r="U4" s="97">
        <v>44958.0</v>
      </c>
      <c r="V4" s="97">
        <v>44986.0</v>
      </c>
      <c r="W4" s="97">
        <v>45017.0</v>
      </c>
      <c r="X4" s="98">
        <v>45047.0</v>
      </c>
      <c r="Y4" s="98">
        <v>45078.0</v>
      </c>
      <c r="Z4" s="98">
        <v>45108.0</v>
      </c>
      <c r="AA4" s="98">
        <v>45139.0</v>
      </c>
      <c r="AB4" s="98">
        <v>45170.0</v>
      </c>
      <c r="AC4" s="98">
        <v>45200.0</v>
      </c>
      <c r="AD4" s="98">
        <v>45231.0</v>
      </c>
      <c r="AE4" s="99">
        <v>45261.0</v>
      </c>
      <c r="AF4" s="100">
        <v>45292.0</v>
      </c>
      <c r="AG4" s="98">
        <v>45323.0</v>
      </c>
      <c r="AH4" s="98">
        <v>45352.0</v>
      </c>
      <c r="AI4" s="98">
        <v>45383.0</v>
      </c>
      <c r="AJ4" s="98">
        <v>45413.0</v>
      </c>
      <c r="AK4" s="98">
        <v>45444.0</v>
      </c>
      <c r="AL4" s="98">
        <v>45474.0</v>
      </c>
      <c r="AM4" s="98">
        <v>45505.0</v>
      </c>
      <c r="AN4" s="98">
        <v>45536.0</v>
      </c>
      <c r="AO4" s="98">
        <v>45566.0</v>
      </c>
      <c r="AP4" s="98">
        <v>45597.0</v>
      </c>
      <c r="AQ4" s="99">
        <v>45627.0</v>
      </c>
      <c r="AR4" s="100">
        <v>45658.0</v>
      </c>
      <c r="AS4" s="98">
        <v>45689.0</v>
      </c>
      <c r="AT4" s="98">
        <v>45717.0</v>
      </c>
      <c r="AU4" s="98">
        <v>45748.0</v>
      </c>
      <c r="AV4" s="98">
        <v>45778.0</v>
      </c>
      <c r="AW4" s="98">
        <v>45809.0</v>
      </c>
      <c r="AX4" s="98">
        <v>45839.0</v>
      </c>
      <c r="AY4" s="98">
        <v>45870.0</v>
      </c>
      <c r="AZ4" s="98">
        <v>45901.0</v>
      </c>
      <c r="BA4" s="98">
        <v>45931.0</v>
      </c>
      <c r="BB4" s="98">
        <v>45962.0</v>
      </c>
      <c r="BC4" s="99">
        <v>45992.0</v>
      </c>
      <c r="BD4" s="100">
        <v>46023.0</v>
      </c>
      <c r="BE4" s="98">
        <v>46054.0</v>
      </c>
      <c r="BF4" s="98">
        <v>46082.0</v>
      </c>
      <c r="BG4" s="98">
        <v>46113.0</v>
      </c>
      <c r="BH4" s="98">
        <v>46143.0</v>
      </c>
      <c r="BI4" s="98">
        <v>46174.0</v>
      </c>
      <c r="BJ4" s="98">
        <v>46204.0</v>
      </c>
      <c r="BK4" s="98">
        <v>46235.0</v>
      </c>
      <c r="BL4" s="98">
        <v>46266.0</v>
      </c>
      <c r="BM4" s="98">
        <v>46296.0</v>
      </c>
      <c r="BN4" s="98">
        <v>46327.0</v>
      </c>
      <c r="BO4" s="99">
        <v>46357.0</v>
      </c>
      <c r="BP4" s="100">
        <v>46388.0</v>
      </c>
      <c r="BQ4" s="98">
        <v>46419.0</v>
      </c>
      <c r="BR4" s="98">
        <v>46447.0</v>
      </c>
      <c r="BS4" s="98">
        <v>46478.0</v>
      </c>
      <c r="BT4" s="98">
        <v>46508.0</v>
      </c>
      <c r="BU4" s="98">
        <v>46539.0</v>
      </c>
      <c r="BV4" s="98">
        <v>46569.0</v>
      </c>
      <c r="BW4" s="98">
        <v>46600.0</v>
      </c>
      <c r="BX4" s="98">
        <v>46631.0</v>
      </c>
      <c r="BY4" s="98">
        <v>46661.0</v>
      </c>
      <c r="BZ4" s="98">
        <v>46692.0</v>
      </c>
      <c r="CA4" s="99">
        <v>46722.0</v>
      </c>
    </row>
    <row r="5">
      <c r="A5" s="129" t="s">
        <v>413</v>
      </c>
      <c r="B5" s="91"/>
      <c r="C5" s="91"/>
      <c r="D5" s="91"/>
      <c r="E5" s="91"/>
      <c r="F5" s="91"/>
      <c r="G5" s="91"/>
      <c r="H5" s="91"/>
      <c r="I5" s="91"/>
      <c r="J5" s="91"/>
      <c r="K5" s="91"/>
      <c r="L5" s="91"/>
      <c r="M5" s="91"/>
      <c r="N5" s="91"/>
      <c r="O5" s="91"/>
      <c r="P5" s="91"/>
      <c r="Q5" s="91"/>
      <c r="R5" s="91"/>
      <c r="S5" s="91"/>
      <c r="T5" s="91"/>
      <c r="U5" s="91"/>
      <c r="V5" s="91"/>
      <c r="W5" s="91"/>
      <c r="X5" s="91"/>
      <c r="Y5" s="91"/>
      <c r="Z5" s="91"/>
      <c r="AA5" s="91"/>
    </row>
    <row r="6">
      <c r="A6" s="91" t="s">
        <v>414</v>
      </c>
      <c r="B6" s="242">
        <v>5.0</v>
      </c>
      <c r="C6" s="242">
        <v>5.0</v>
      </c>
      <c r="D6" s="242">
        <v>5.0</v>
      </c>
      <c r="E6" s="242">
        <v>5.0</v>
      </c>
      <c r="F6" s="242">
        <v>5.0</v>
      </c>
      <c r="G6" s="242">
        <v>5.0</v>
      </c>
      <c r="H6" s="242">
        <v>5.0</v>
      </c>
      <c r="I6" s="242">
        <v>5.0</v>
      </c>
      <c r="J6" s="242">
        <v>5.0</v>
      </c>
      <c r="K6" s="242">
        <v>5.0</v>
      </c>
      <c r="L6" s="242">
        <v>5.0</v>
      </c>
      <c r="M6" s="242">
        <v>5.0</v>
      </c>
      <c r="N6" s="242">
        <v>5.0</v>
      </c>
      <c r="O6" s="242">
        <v>5.0</v>
      </c>
      <c r="P6" s="242">
        <v>5.0</v>
      </c>
      <c r="Q6" s="242">
        <v>5.0</v>
      </c>
      <c r="R6" s="242">
        <v>5.0</v>
      </c>
      <c r="S6" s="144">
        <f t="shared" ref="S6:CA6" si="1">R6+S24</f>
        <v>5</v>
      </c>
      <c r="T6" s="144">
        <f t="shared" si="1"/>
        <v>5</v>
      </c>
      <c r="U6" s="144">
        <f t="shared" si="1"/>
        <v>5</v>
      </c>
      <c r="V6" s="144">
        <f t="shared" si="1"/>
        <v>5</v>
      </c>
      <c r="W6" s="144">
        <f t="shared" si="1"/>
        <v>5</v>
      </c>
      <c r="X6" s="144">
        <f t="shared" si="1"/>
        <v>5</v>
      </c>
      <c r="Y6" s="144">
        <f t="shared" si="1"/>
        <v>5</v>
      </c>
      <c r="Z6" s="144">
        <f t="shared" si="1"/>
        <v>5</v>
      </c>
      <c r="AA6" s="144">
        <f t="shared" si="1"/>
        <v>5</v>
      </c>
      <c r="AB6" s="144">
        <f t="shared" si="1"/>
        <v>5</v>
      </c>
      <c r="AC6" s="144">
        <f t="shared" si="1"/>
        <v>5</v>
      </c>
      <c r="AD6" s="144">
        <f t="shared" si="1"/>
        <v>5</v>
      </c>
      <c r="AE6" s="144">
        <f t="shared" si="1"/>
        <v>5</v>
      </c>
      <c r="AF6" s="144">
        <f t="shared" si="1"/>
        <v>5</v>
      </c>
      <c r="AG6" s="144">
        <f t="shared" si="1"/>
        <v>5</v>
      </c>
      <c r="AH6" s="144">
        <f t="shared" si="1"/>
        <v>5</v>
      </c>
      <c r="AI6" s="144">
        <f t="shared" si="1"/>
        <v>5</v>
      </c>
      <c r="AJ6" s="144">
        <f t="shared" si="1"/>
        <v>5</v>
      </c>
      <c r="AK6" s="144">
        <f t="shared" si="1"/>
        <v>5</v>
      </c>
      <c r="AL6" s="144">
        <f t="shared" si="1"/>
        <v>5</v>
      </c>
      <c r="AM6" s="144">
        <f t="shared" si="1"/>
        <v>5</v>
      </c>
      <c r="AN6" s="144">
        <f t="shared" si="1"/>
        <v>5</v>
      </c>
      <c r="AO6" s="144">
        <f t="shared" si="1"/>
        <v>5</v>
      </c>
      <c r="AP6" s="144">
        <f t="shared" si="1"/>
        <v>5</v>
      </c>
      <c r="AQ6" s="144">
        <f t="shared" si="1"/>
        <v>5</v>
      </c>
      <c r="AR6" s="144">
        <f t="shared" si="1"/>
        <v>5</v>
      </c>
      <c r="AS6" s="144">
        <f t="shared" si="1"/>
        <v>5</v>
      </c>
      <c r="AT6" s="144">
        <f t="shared" si="1"/>
        <v>5</v>
      </c>
      <c r="AU6" s="144">
        <f t="shared" si="1"/>
        <v>5</v>
      </c>
      <c r="AV6" s="144">
        <f t="shared" si="1"/>
        <v>5</v>
      </c>
      <c r="AW6" s="144">
        <f t="shared" si="1"/>
        <v>5</v>
      </c>
      <c r="AX6" s="144">
        <f t="shared" si="1"/>
        <v>5</v>
      </c>
      <c r="AY6" s="144">
        <f t="shared" si="1"/>
        <v>5</v>
      </c>
      <c r="AZ6" s="144">
        <f t="shared" si="1"/>
        <v>5</v>
      </c>
      <c r="BA6" s="144">
        <f t="shared" si="1"/>
        <v>5</v>
      </c>
      <c r="BB6" s="144">
        <f t="shared" si="1"/>
        <v>5</v>
      </c>
      <c r="BC6" s="144">
        <f t="shared" si="1"/>
        <v>5</v>
      </c>
      <c r="BD6" s="144">
        <f t="shared" si="1"/>
        <v>5</v>
      </c>
      <c r="BE6" s="144">
        <f t="shared" si="1"/>
        <v>5</v>
      </c>
      <c r="BF6" s="144">
        <f t="shared" si="1"/>
        <v>5</v>
      </c>
      <c r="BG6" s="144">
        <f t="shared" si="1"/>
        <v>5</v>
      </c>
      <c r="BH6" s="144">
        <f t="shared" si="1"/>
        <v>5</v>
      </c>
      <c r="BI6" s="144">
        <f t="shared" si="1"/>
        <v>5</v>
      </c>
      <c r="BJ6" s="144">
        <f t="shared" si="1"/>
        <v>5</v>
      </c>
      <c r="BK6" s="144">
        <f t="shared" si="1"/>
        <v>5</v>
      </c>
      <c r="BL6" s="144">
        <f t="shared" si="1"/>
        <v>5</v>
      </c>
      <c r="BM6" s="144">
        <f t="shared" si="1"/>
        <v>5</v>
      </c>
      <c r="BN6" s="144">
        <f t="shared" si="1"/>
        <v>5</v>
      </c>
      <c r="BO6" s="144">
        <f t="shared" si="1"/>
        <v>5</v>
      </c>
      <c r="BP6" s="144">
        <f t="shared" si="1"/>
        <v>5</v>
      </c>
      <c r="BQ6" s="144">
        <f t="shared" si="1"/>
        <v>5</v>
      </c>
      <c r="BR6" s="144">
        <f t="shared" si="1"/>
        <v>5</v>
      </c>
      <c r="BS6" s="144">
        <f t="shared" si="1"/>
        <v>5</v>
      </c>
      <c r="BT6" s="144">
        <f t="shared" si="1"/>
        <v>5</v>
      </c>
      <c r="BU6" s="144">
        <f t="shared" si="1"/>
        <v>5</v>
      </c>
      <c r="BV6" s="144">
        <f t="shared" si="1"/>
        <v>5</v>
      </c>
      <c r="BW6" s="144">
        <f t="shared" si="1"/>
        <v>5</v>
      </c>
      <c r="BX6" s="144">
        <f t="shared" si="1"/>
        <v>5</v>
      </c>
      <c r="BY6" s="144">
        <f t="shared" si="1"/>
        <v>5</v>
      </c>
      <c r="BZ6" s="144">
        <f t="shared" si="1"/>
        <v>5</v>
      </c>
      <c r="CA6" s="144">
        <f t="shared" si="1"/>
        <v>5</v>
      </c>
    </row>
    <row r="7">
      <c r="A7" s="91" t="s">
        <v>415</v>
      </c>
      <c r="B7" s="242">
        <v>5.0</v>
      </c>
      <c r="C7" s="242">
        <v>5.0</v>
      </c>
      <c r="D7" s="242">
        <v>5.0</v>
      </c>
      <c r="E7" s="242">
        <v>5.0</v>
      </c>
      <c r="F7" s="242">
        <v>5.0</v>
      </c>
      <c r="G7" s="242">
        <v>5.0</v>
      </c>
      <c r="H7" s="242">
        <v>5.0</v>
      </c>
      <c r="I7" s="242">
        <v>5.0</v>
      </c>
      <c r="J7" s="242">
        <v>5.0</v>
      </c>
      <c r="K7" s="242">
        <v>5.0</v>
      </c>
      <c r="L7" s="242">
        <v>5.0</v>
      </c>
      <c r="M7" s="242">
        <v>5.0</v>
      </c>
      <c r="N7" s="242">
        <v>5.0</v>
      </c>
      <c r="O7" s="242">
        <v>5.0</v>
      </c>
      <c r="P7" s="242">
        <v>5.0</v>
      </c>
      <c r="Q7" s="242">
        <v>5.0</v>
      </c>
      <c r="R7" s="242">
        <v>5.0</v>
      </c>
      <c r="S7" s="144">
        <f t="shared" ref="S7:CA7" si="2">R7+S25</f>
        <v>6</v>
      </c>
      <c r="T7" s="144">
        <f t="shared" si="2"/>
        <v>1</v>
      </c>
      <c r="U7" s="144">
        <f t="shared" si="2"/>
        <v>1</v>
      </c>
      <c r="V7" s="144">
        <f t="shared" si="2"/>
        <v>1</v>
      </c>
      <c r="W7" s="144">
        <f t="shared" si="2"/>
        <v>1</v>
      </c>
      <c r="X7" s="144">
        <f t="shared" si="2"/>
        <v>1</v>
      </c>
      <c r="Y7" s="144">
        <f t="shared" si="2"/>
        <v>1</v>
      </c>
      <c r="Z7" s="144">
        <f t="shared" si="2"/>
        <v>1</v>
      </c>
      <c r="AA7" s="144">
        <f t="shared" si="2"/>
        <v>1</v>
      </c>
      <c r="AB7" s="144">
        <f t="shared" si="2"/>
        <v>1</v>
      </c>
      <c r="AC7" s="144">
        <f t="shared" si="2"/>
        <v>2</v>
      </c>
      <c r="AD7" s="144">
        <f t="shared" si="2"/>
        <v>2</v>
      </c>
      <c r="AE7" s="144">
        <f t="shared" si="2"/>
        <v>2</v>
      </c>
      <c r="AF7" s="144">
        <f t="shared" si="2"/>
        <v>2</v>
      </c>
      <c r="AG7" s="144">
        <f t="shared" si="2"/>
        <v>2</v>
      </c>
      <c r="AH7" s="144">
        <f t="shared" si="2"/>
        <v>2</v>
      </c>
      <c r="AI7" s="144">
        <f t="shared" si="2"/>
        <v>2</v>
      </c>
      <c r="AJ7" s="144">
        <f t="shared" si="2"/>
        <v>2</v>
      </c>
      <c r="AK7" s="144">
        <f t="shared" si="2"/>
        <v>2</v>
      </c>
      <c r="AL7" s="144">
        <f t="shared" si="2"/>
        <v>2</v>
      </c>
      <c r="AM7" s="144">
        <f t="shared" si="2"/>
        <v>2</v>
      </c>
      <c r="AN7" s="144">
        <f t="shared" si="2"/>
        <v>2</v>
      </c>
      <c r="AO7" s="144">
        <f t="shared" si="2"/>
        <v>2</v>
      </c>
      <c r="AP7" s="144">
        <f t="shared" si="2"/>
        <v>2</v>
      </c>
      <c r="AQ7" s="144">
        <f t="shared" si="2"/>
        <v>2</v>
      </c>
      <c r="AR7" s="144">
        <f t="shared" si="2"/>
        <v>2</v>
      </c>
      <c r="AS7" s="144">
        <f t="shared" si="2"/>
        <v>2</v>
      </c>
      <c r="AT7" s="144">
        <f t="shared" si="2"/>
        <v>2</v>
      </c>
      <c r="AU7" s="144">
        <f t="shared" si="2"/>
        <v>3</v>
      </c>
      <c r="AV7" s="144">
        <f t="shared" si="2"/>
        <v>3</v>
      </c>
      <c r="AW7" s="144">
        <f t="shared" si="2"/>
        <v>3</v>
      </c>
      <c r="AX7" s="144">
        <f t="shared" si="2"/>
        <v>3</v>
      </c>
      <c r="AY7" s="144">
        <f t="shared" si="2"/>
        <v>3</v>
      </c>
      <c r="AZ7" s="144">
        <f t="shared" si="2"/>
        <v>3</v>
      </c>
      <c r="BA7" s="144">
        <f t="shared" si="2"/>
        <v>3</v>
      </c>
      <c r="BB7" s="144">
        <f t="shared" si="2"/>
        <v>3</v>
      </c>
      <c r="BC7" s="144">
        <f t="shared" si="2"/>
        <v>3</v>
      </c>
      <c r="BD7" s="144">
        <f t="shared" si="2"/>
        <v>3</v>
      </c>
      <c r="BE7" s="144">
        <f t="shared" si="2"/>
        <v>3</v>
      </c>
      <c r="BF7" s="144">
        <f t="shared" si="2"/>
        <v>3</v>
      </c>
      <c r="BG7" s="144">
        <f t="shared" si="2"/>
        <v>4</v>
      </c>
      <c r="BH7" s="144">
        <f t="shared" si="2"/>
        <v>4</v>
      </c>
      <c r="BI7" s="144">
        <f t="shared" si="2"/>
        <v>4</v>
      </c>
      <c r="BJ7" s="144">
        <f t="shared" si="2"/>
        <v>4</v>
      </c>
      <c r="BK7" s="144">
        <f t="shared" si="2"/>
        <v>4</v>
      </c>
      <c r="BL7" s="144">
        <f t="shared" si="2"/>
        <v>4</v>
      </c>
      <c r="BM7" s="144">
        <f t="shared" si="2"/>
        <v>4</v>
      </c>
      <c r="BN7" s="144">
        <f t="shared" si="2"/>
        <v>4</v>
      </c>
      <c r="BO7" s="144">
        <f t="shared" si="2"/>
        <v>4</v>
      </c>
      <c r="BP7" s="144">
        <f t="shared" si="2"/>
        <v>4</v>
      </c>
      <c r="BQ7" s="144">
        <f t="shared" si="2"/>
        <v>4</v>
      </c>
      <c r="BR7" s="144">
        <f t="shared" si="2"/>
        <v>4</v>
      </c>
      <c r="BS7" s="144">
        <f t="shared" si="2"/>
        <v>4</v>
      </c>
      <c r="BT7" s="144">
        <f t="shared" si="2"/>
        <v>4</v>
      </c>
      <c r="BU7" s="144">
        <f t="shared" si="2"/>
        <v>4</v>
      </c>
      <c r="BV7" s="144">
        <f t="shared" si="2"/>
        <v>4</v>
      </c>
      <c r="BW7" s="144">
        <f t="shared" si="2"/>
        <v>4</v>
      </c>
      <c r="BX7" s="144">
        <f t="shared" si="2"/>
        <v>4</v>
      </c>
      <c r="BY7" s="144">
        <f t="shared" si="2"/>
        <v>4</v>
      </c>
      <c r="BZ7" s="144">
        <f t="shared" si="2"/>
        <v>4</v>
      </c>
      <c r="CA7" s="144">
        <f t="shared" si="2"/>
        <v>4</v>
      </c>
    </row>
    <row r="8">
      <c r="A8" s="91" t="s">
        <v>416</v>
      </c>
      <c r="B8" s="242">
        <v>10.0</v>
      </c>
      <c r="C8" s="242">
        <v>10.0</v>
      </c>
      <c r="D8" s="242">
        <v>10.0</v>
      </c>
      <c r="E8" s="242">
        <v>10.0</v>
      </c>
      <c r="F8" s="242">
        <v>10.0</v>
      </c>
      <c r="G8" s="242">
        <v>10.0</v>
      </c>
      <c r="H8" s="242">
        <v>10.0</v>
      </c>
      <c r="I8" s="242">
        <v>10.0</v>
      </c>
      <c r="J8" s="242">
        <v>10.0</v>
      </c>
      <c r="K8" s="242">
        <v>10.0</v>
      </c>
      <c r="L8" s="242">
        <v>10.0</v>
      </c>
      <c r="M8" s="242">
        <v>10.0</v>
      </c>
      <c r="N8" s="242">
        <v>10.0</v>
      </c>
      <c r="O8" s="242">
        <v>10.0</v>
      </c>
      <c r="P8" s="242">
        <v>10.0</v>
      </c>
      <c r="Q8" s="242">
        <v>10.0</v>
      </c>
      <c r="R8" s="242">
        <v>10.0</v>
      </c>
      <c r="S8" s="144">
        <f t="shared" ref="S8:CA8" si="3">R8+S26</f>
        <v>10</v>
      </c>
      <c r="T8" s="144">
        <f t="shared" si="3"/>
        <v>10</v>
      </c>
      <c r="U8" s="144">
        <f t="shared" si="3"/>
        <v>10</v>
      </c>
      <c r="V8" s="144">
        <f t="shared" si="3"/>
        <v>10</v>
      </c>
      <c r="W8" s="144">
        <f t="shared" si="3"/>
        <v>10</v>
      </c>
      <c r="X8" s="144">
        <f t="shared" si="3"/>
        <v>10</v>
      </c>
      <c r="Y8" s="144">
        <f t="shared" si="3"/>
        <v>10</v>
      </c>
      <c r="Z8" s="144">
        <f t="shared" si="3"/>
        <v>10</v>
      </c>
      <c r="AA8" s="144">
        <f t="shared" si="3"/>
        <v>10</v>
      </c>
      <c r="AB8" s="144">
        <f t="shared" si="3"/>
        <v>10</v>
      </c>
      <c r="AC8" s="144">
        <f t="shared" si="3"/>
        <v>10</v>
      </c>
      <c r="AD8" s="144">
        <f t="shared" si="3"/>
        <v>10</v>
      </c>
      <c r="AE8" s="144">
        <f t="shared" si="3"/>
        <v>10</v>
      </c>
      <c r="AF8" s="144">
        <f t="shared" si="3"/>
        <v>10</v>
      </c>
      <c r="AG8" s="144">
        <f t="shared" si="3"/>
        <v>10</v>
      </c>
      <c r="AH8" s="144">
        <f t="shared" si="3"/>
        <v>10</v>
      </c>
      <c r="AI8" s="144">
        <f t="shared" si="3"/>
        <v>10</v>
      </c>
      <c r="AJ8" s="144">
        <f t="shared" si="3"/>
        <v>10</v>
      </c>
      <c r="AK8" s="144">
        <f t="shared" si="3"/>
        <v>10</v>
      </c>
      <c r="AL8" s="144">
        <f t="shared" si="3"/>
        <v>10</v>
      </c>
      <c r="AM8" s="144">
        <f t="shared" si="3"/>
        <v>10</v>
      </c>
      <c r="AN8" s="144">
        <f t="shared" si="3"/>
        <v>10</v>
      </c>
      <c r="AO8" s="144">
        <f t="shared" si="3"/>
        <v>10</v>
      </c>
      <c r="AP8" s="144">
        <f t="shared" si="3"/>
        <v>10</v>
      </c>
      <c r="AQ8" s="144">
        <f t="shared" si="3"/>
        <v>10</v>
      </c>
      <c r="AR8" s="144">
        <f t="shared" si="3"/>
        <v>10</v>
      </c>
      <c r="AS8" s="144">
        <f t="shared" si="3"/>
        <v>10</v>
      </c>
      <c r="AT8" s="144">
        <f t="shared" si="3"/>
        <v>10</v>
      </c>
      <c r="AU8" s="144">
        <f t="shared" si="3"/>
        <v>10</v>
      </c>
      <c r="AV8" s="144">
        <f t="shared" si="3"/>
        <v>10</v>
      </c>
      <c r="AW8" s="144">
        <f t="shared" si="3"/>
        <v>10</v>
      </c>
      <c r="AX8" s="144">
        <f t="shared" si="3"/>
        <v>10</v>
      </c>
      <c r="AY8" s="144">
        <f t="shared" si="3"/>
        <v>10</v>
      </c>
      <c r="AZ8" s="144">
        <f t="shared" si="3"/>
        <v>10</v>
      </c>
      <c r="BA8" s="144">
        <f t="shared" si="3"/>
        <v>10</v>
      </c>
      <c r="BB8" s="144">
        <f t="shared" si="3"/>
        <v>10</v>
      </c>
      <c r="BC8" s="144">
        <f t="shared" si="3"/>
        <v>10</v>
      </c>
      <c r="BD8" s="144">
        <f t="shared" si="3"/>
        <v>10</v>
      </c>
      <c r="BE8" s="144">
        <f t="shared" si="3"/>
        <v>10</v>
      </c>
      <c r="BF8" s="144">
        <f t="shared" si="3"/>
        <v>10</v>
      </c>
      <c r="BG8" s="144">
        <f t="shared" si="3"/>
        <v>10</v>
      </c>
      <c r="BH8" s="144">
        <f t="shared" si="3"/>
        <v>10</v>
      </c>
      <c r="BI8" s="144">
        <f t="shared" si="3"/>
        <v>10</v>
      </c>
      <c r="BJ8" s="144">
        <f t="shared" si="3"/>
        <v>10</v>
      </c>
      <c r="BK8" s="144">
        <f t="shared" si="3"/>
        <v>10</v>
      </c>
      <c r="BL8" s="144">
        <f t="shared" si="3"/>
        <v>10</v>
      </c>
      <c r="BM8" s="144">
        <f t="shared" si="3"/>
        <v>10</v>
      </c>
      <c r="BN8" s="144">
        <f t="shared" si="3"/>
        <v>10</v>
      </c>
      <c r="BO8" s="144">
        <f t="shared" si="3"/>
        <v>10</v>
      </c>
      <c r="BP8" s="144">
        <f t="shared" si="3"/>
        <v>10</v>
      </c>
      <c r="BQ8" s="144">
        <f t="shared" si="3"/>
        <v>10</v>
      </c>
      <c r="BR8" s="144">
        <f t="shared" si="3"/>
        <v>10</v>
      </c>
      <c r="BS8" s="144">
        <f t="shared" si="3"/>
        <v>10</v>
      </c>
      <c r="BT8" s="144">
        <f t="shared" si="3"/>
        <v>10</v>
      </c>
      <c r="BU8" s="144">
        <f t="shared" si="3"/>
        <v>10</v>
      </c>
      <c r="BV8" s="144">
        <f t="shared" si="3"/>
        <v>10</v>
      </c>
      <c r="BW8" s="144">
        <f t="shared" si="3"/>
        <v>10</v>
      </c>
      <c r="BX8" s="144">
        <f t="shared" si="3"/>
        <v>10</v>
      </c>
      <c r="BY8" s="144">
        <f t="shared" si="3"/>
        <v>10</v>
      </c>
      <c r="BZ8" s="144">
        <f t="shared" si="3"/>
        <v>10</v>
      </c>
      <c r="CA8" s="144">
        <f t="shared" si="3"/>
        <v>10</v>
      </c>
    </row>
    <row r="9">
      <c r="A9" s="91" t="s">
        <v>417</v>
      </c>
      <c r="B9" s="242">
        <v>10.0</v>
      </c>
      <c r="C9" s="242">
        <v>10.0</v>
      </c>
      <c r="D9" s="242">
        <v>10.0</v>
      </c>
      <c r="E9" s="242">
        <v>10.0</v>
      </c>
      <c r="F9" s="242">
        <v>10.0</v>
      </c>
      <c r="G9" s="242">
        <v>10.0</v>
      </c>
      <c r="H9" s="242">
        <v>10.0</v>
      </c>
      <c r="I9" s="242">
        <v>10.0</v>
      </c>
      <c r="J9" s="242">
        <v>10.0</v>
      </c>
      <c r="K9" s="242">
        <v>10.0</v>
      </c>
      <c r="L9" s="242">
        <v>10.0</v>
      </c>
      <c r="M9" s="242">
        <v>10.0</v>
      </c>
      <c r="N9" s="242">
        <v>10.0</v>
      </c>
      <c r="O9" s="242">
        <v>10.0</v>
      </c>
      <c r="P9" s="242">
        <v>10.0</v>
      </c>
      <c r="Q9" s="242">
        <v>10.0</v>
      </c>
      <c r="R9" s="242">
        <v>10.0</v>
      </c>
      <c r="S9" s="144">
        <f t="shared" ref="S9:CA9" si="4">R9+S27</f>
        <v>10</v>
      </c>
      <c r="T9" s="144">
        <f t="shared" si="4"/>
        <v>11</v>
      </c>
      <c r="U9" s="144">
        <f t="shared" si="4"/>
        <v>11</v>
      </c>
      <c r="V9" s="144">
        <f t="shared" si="4"/>
        <v>11</v>
      </c>
      <c r="W9" s="144">
        <f t="shared" si="4"/>
        <v>11</v>
      </c>
      <c r="X9" s="144">
        <f t="shared" si="4"/>
        <v>11</v>
      </c>
      <c r="Y9" s="144">
        <f t="shared" si="4"/>
        <v>11</v>
      </c>
      <c r="Z9" s="144">
        <f t="shared" si="4"/>
        <v>12</v>
      </c>
      <c r="AA9" s="144">
        <f t="shared" si="4"/>
        <v>13</v>
      </c>
      <c r="AB9" s="144">
        <f t="shared" si="4"/>
        <v>14</v>
      </c>
      <c r="AC9" s="144">
        <f t="shared" si="4"/>
        <v>15</v>
      </c>
      <c r="AD9" s="144">
        <f t="shared" si="4"/>
        <v>16</v>
      </c>
      <c r="AE9" s="144">
        <f t="shared" si="4"/>
        <v>17</v>
      </c>
      <c r="AF9" s="144">
        <f t="shared" si="4"/>
        <v>17</v>
      </c>
      <c r="AG9" s="144">
        <f t="shared" si="4"/>
        <v>17</v>
      </c>
      <c r="AH9" s="144">
        <f t="shared" si="4"/>
        <v>17</v>
      </c>
      <c r="AI9" s="144">
        <f t="shared" si="4"/>
        <v>17</v>
      </c>
      <c r="AJ9" s="144">
        <f t="shared" si="4"/>
        <v>17</v>
      </c>
      <c r="AK9" s="144">
        <f t="shared" si="4"/>
        <v>18</v>
      </c>
      <c r="AL9" s="144">
        <f t="shared" si="4"/>
        <v>18</v>
      </c>
      <c r="AM9" s="144">
        <f t="shared" si="4"/>
        <v>18</v>
      </c>
      <c r="AN9" s="144">
        <f t="shared" si="4"/>
        <v>18</v>
      </c>
      <c r="AO9" s="144">
        <f t="shared" si="4"/>
        <v>18</v>
      </c>
      <c r="AP9" s="144">
        <f t="shared" si="4"/>
        <v>18</v>
      </c>
      <c r="AQ9" s="144">
        <f t="shared" si="4"/>
        <v>18</v>
      </c>
      <c r="AR9" s="144">
        <f t="shared" si="4"/>
        <v>19</v>
      </c>
      <c r="AS9" s="144">
        <f t="shared" si="4"/>
        <v>19</v>
      </c>
      <c r="AT9" s="144">
        <f t="shared" si="4"/>
        <v>19</v>
      </c>
      <c r="AU9" s="144">
        <f t="shared" si="4"/>
        <v>19</v>
      </c>
      <c r="AV9" s="144">
        <f t="shared" si="4"/>
        <v>19</v>
      </c>
      <c r="AW9" s="144">
        <f t="shared" si="4"/>
        <v>19</v>
      </c>
      <c r="AX9" s="144">
        <f t="shared" si="4"/>
        <v>19</v>
      </c>
      <c r="AY9" s="144">
        <f t="shared" si="4"/>
        <v>20</v>
      </c>
      <c r="AZ9" s="144">
        <f t="shared" si="4"/>
        <v>20</v>
      </c>
      <c r="BA9" s="144">
        <f t="shared" si="4"/>
        <v>20</v>
      </c>
      <c r="BB9" s="144">
        <f t="shared" si="4"/>
        <v>20</v>
      </c>
      <c r="BC9" s="144">
        <f t="shared" si="4"/>
        <v>21</v>
      </c>
      <c r="BD9" s="144">
        <f t="shared" si="4"/>
        <v>22</v>
      </c>
      <c r="BE9" s="144">
        <f t="shared" si="4"/>
        <v>22</v>
      </c>
      <c r="BF9" s="144">
        <f t="shared" si="4"/>
        <v>22</v>
      </c>
      <c r="BG9" s="144">
        <f t="shared" si="4"/>
        <v>22</v>
      </c>
      <c r="BH9" s="144">
        <f t="shared" si="4"/>
        <v>22</v>
      </c>
      <c r="BI9" s="144">
        <f t="shared" si="4"/>
        <v>22</v>
      </c>
      <c r="BJ9" s="144">
        <f t="shared" si="4"/>
        <v>22</v>
      </c>
      <c r="BK9" s="144">
        <f t="shared" si="4"/>
        <v>22</v>
      </c>
      <c r="BL9" s="144">
        <f t="shared" si="4"/>
        <v>22</v>
      </c>
      <c r="BM9" s="144">
        <f t="shared" si="4"/>
        <v>22</v>
      </c>
      <c r="BN9" s="144">
        <f t="shared" si="4"/>
        <v>22</v>
      </c>
      <c r="BO9" s="144">
        <f t="shared" si="4"/>
        <v>22</v>
      </c>
      <c r="BP9" s="144">
        <f t="shared" si="4"/>
        <v>22</v>
      </c>
      <c r="BQ9" s="144">
        <f t="shared" si="4"/>
        <v>22</v>
      </c>
      <c r="BR9" s="144">
        <f t="shared" si="4"/>
        <v>22</v>
      </c>
      <c r="BS9" s="144">
        <f t="shared" si="4"/>
        <v>22</v>
      </c>
      <c r="BT9" s="144">
        <f t="shared" si="4"/>
        <v>22</v>
      </c>
      <c r="BU9" s="144">
        <f t="shared" si="4"/>
        <v>22</v>
      </c>
      <c r="BV9" s="144">
        <f t="shared" si="4"/>
        <v>22</v>
      </c>
      <c r="BW9" s="144">
        <f t="shared" si="4"/>
        <v>22</v>
      </c>
      <c r="BX9" s="144">
        <f t="shared" si="4"/>
        <v>22</v>
      </c>
      <c r="BY9" s="144">
        <f t="shared" si="4"/>
        <v>22</v>
      </c>
      <c r="BZ9" s="144">
        <f t="shared" si="4"/>
        <v>22</v>
      </c>
      <c r="CA9" s="144">
        <f t="shared" si="4"/>
        <v>22</v>
      </c>
    </row>
    <row r="10">
      <c r="A10" s="91" t="s">
        <v>418</v>
      </c>
      <c r="B10" s="242">
        <v>20.0</v>
      </c>
      <c r="C10" s="242">
        <v>20.0</v>
      </c>
      <c r="D10" s="242">
        <v>20.0</v>
      </c>
      <c r="E10" s="242">
        <v>20.0</v>
      </c>
      <c r="F10" s="242">
        <v>20.0</v>
      </c>
      <c r="G10" s="242">
        <v>20.0</v>
      </c>
      <c r="H10" s="242">
        <v>20.0</v>
      </c>
      <c r="I10" s="242">
        <v>20.0</v>
      </c>
      <c r="J10" s="242">
        <v>20.0</v>
      </c>
      <c r="K10" s="242">
        <v>20.0</v>
      </c>
      <c r="L10" s="242">
        <v>20.0</v>
      </c>
      <c r="M10" s="242">
        <v>20.0</v>
      </c>
      <c r="N10" s="242">
        <v>20.0</v>
      </c>
      <c r="O10" s="242">
        <v>20.0</v>
      </c>
      <c r="P10" s="242">
        <v>20.0</v>
      </c>
      <c r="Q10" s="242">
        <v>20.0</v>
      </c>
      <c r="R10" s="242">
        <v>20.0</v>
      </c>
      <c r="S10" s="144">
        <f t="shared" ref="S10:CA10" si="5">R10+S28</f>
        <v>23</v>
      </c>
      <c r="T10" s="144">
        <f t="shared" si="5"/>
        <v>24</v>
      </c>
      <c r="U10" s="144">
        <f t="shared" si="5"/>
        <v>24</v>
      </c>
      <c r="V10" s="144">
        <f t="shared" si="5"/>
        <v>24</v>
      </c>
      <c r="W10" s="144">
        <f t="shared" si="5"/>
        <v>24</v>
      </c>
      <c r="X10" s="144">
        <f t="shared" si="5"/>
        <v>24</v>
      </c>
      <c r="Y10" s="144">
        <f t="shared" si="5"/>
        <v>24</v>
      </c>
      <c r="Z10" s="144">
        <f t="shared" si="5"/>
        <v>24</v>
      </c>
      <c r="AA10" s="144">
        <f t="shared" si="5"/>
        <v>24</v>
      </c>
      <c r="AB10" s="144">
        <f t="shared" si="5"/>
        <v>24</v>
      </c>
      <c r="AC10" s="144">
        <f t="shared" si="5"/>
        <v>24</v>
      </c>
      <c r="AD10" s="144">
        <f t="shared" si="5"/>
        <v>24</v>
      </c>
      <c r="AE10" s="144">
        <f t="shared" si="5"/>
        <v>25</v>
      </c>
      <c r="AF10" s="144">
        <f t="shared" si="5"/>
        <v>26</v>
      </c>
      <c r="AG10" s="144">
        <f t="shared" si="5"/>
        <v>28</v>
      </c>
      <c r="AH10" s="144">
        <f t="shared" si="5"/>
        <v>29</v>
      </c>
      <c r="AI10" s="144">
        <f t="shared" si="5"/>
        <v>29</v>
      </c>
      <c r="AJ10" s="144">
        <f t="shared" si="5"/>
        <v>30</v>
      </c>
      <c r="AK10" s="144">
        <f t="shared" si="5"/>
        <v>30</v>
      </c>
      <c r="AL10" s="144">
        <f t="shared" si="5"/>
        <v>31</v>
      </c>
      <c r="AM10" s="144">
        <f t="shared" si="5"/>
        <v>32</v>
      </c>
      <c r="AN10" s="144">
        <f t="shared" si="5"/>
        <v>33</v>
      </c>
      <c r="AO10" s="144">
        <f t="shared" si="5"/>
        <v>34</v>
      </c>
      <c r="AP10" s="144">
        <f t="shared" si="5"/>
        <v>35</v>
      </c>
      <c r="AQ10" s="144">
        <f t="shared" si="5"/>
        <v>35</v>
      </c>
      <c r="AR10" s="144">
        <f t="shared" si="5"/>
        <v>35</v>
      </c>
      <c r="AS10" s="144">
        <f t="shared" si="5"/>
        <v>37</v>
      </c>
      <c r="AT10" s="144">
        <f t="shared" si="5"/>
        <v>38</v>
      </c>
      <c r="AU10" s="144">
        <f t="shared" si="5"/>
        <v>40</v>
      </c>
      <c r="AV10" s="144">
        <f t="shared" si="5"/>
        <v>40</v>
      </c>
      <c r="AW10" s="144">
        <f t="shared" si="5"/>
        <v>41</v>
      </c>
      <c r="AX10" s="144">
        <f t="shared" si="5"/>
        <v>42</v>
      </c>
      <c r="AY10" s="144">
        <f t="shared" si="5"/>
        <v>42</v>
      </c>
      <c r="AZ10" s="144">
        <f t="shared" si="5"/>
        <v>43</v>
      </c>
      <c r="BA10" s="144">
        <f t="shared" si="5"/>
        <v>44</v>
      </c>
      <c r="BB10" s="144">
        <f t="shared" si="5"/>
        <v>44</v>
      </c>
      <c r="BC10" s="144">
        <f t="shared" si="5"/>
        <v>45</v>
      </c>
      <c r="BD10" s="144">
        <f t="shared" si="5"/>
        <v>46</v>
      </c>
      <c r="BE10" s="144">
        <f t="shared" si="5"/>
        <v>46</v>
      </c>
      <c r="BF10" s="144">
        <f t="shared" si="5"/>
        <v>47</v>
      </c>
      <c r="BG10" s="144">
        <f t="shared" si="5"/>
        <v>47</v>
      </c>
      <c r="BH10" s="144">
        <f t="shared" si="5"/>
        <v>48</v>
      </c>
      <c r="BI10" s="144">
        <f t="shared" si="5"/>
        <v>48</v>
      </c>
      <c r="BJ10" s="144">
        <f t="shared" si="5"/>
        <v>49</v>
      </c>
      <c r="BK10" s="144">
        <f t="shared" si="5"/>
        <v>49</v>
      </c>
      <c r="BL10" s="144">
        <f t="shared" si="5"/>
        <v>50</v>
      </c>
      <c r="BM10" s="144">
        <f t="shared" si="5"/>
        <v>50</v>
      </c>
      <c r="BN10" s="144">
        <f t="shared" si="5"/>
        <v>51</v>
      </c>
      <c r="BO10" s="144">
        <f t="shared" si="5"/>
        <v>51</v>
      </c>
      <c r="BP10" s="144">
        <f t="shared" si="5"/>
        <v>52</v>
      </c>
      <c r="BQ10" s="144">
        <f t="shared" si="5"/>
        <v>54</v>
      </c>
      <c r="BR10" s="144">
        <f t="shared" si="5"/>
        <v>55</v>
      </c>
      <c r="BS10" s="144">
        <f t="shared" si="5"/>
        <v>56</v>
      </c>
      <c r="BT10" s="144">
        <f t="shared" si="5"/>
        <v>56</v>
      </c>
      <c r="BU10" s="144">
        <f t="shared" si="5"/>
        <v>57</v>
      </c>
      <c r="BV10" s="144">
        <f t="shared" si="5"/>
        <v>57</v>
      </c>
      <c r="BW10" s="144">
        <f t="shared" si="5"/>
        <v>57</v>
      </c>
      <c r="BX10" s="144">
        <f t="shared" si="5"/>
        <v>58</v>
      </c>
      <c r="BY10" s="144">
        <f t="shared" si="5"/>
        <v>58</v>
      </c>
      <c r="BZ10" s="144">
        <f t="shared" si="5"/>
        <v>59</v>
      </c>
      <c r="CA10" s="144">
        <f t="shared" si="5"/>
        <v>60</v>
      </c>
    </row>
    <row r="11">
      <c r="A11" s="91" t="s">
        <v>419</v>
      </c>
      <c r="B11" s="242">
        <v>20.0</v>
      </c>
      <c r="C11" s="242">
        <v>20.0</v>
      </c>
      <c r="D11" s="242">
        <v>20.0</v>
      </c>
      <c r="E11" s="242">
        <v>20.0</v>
      </c>
      <c r="F11" s="242">
        <v>20.0</v>
      </c>
      <c r="G11" s="242">
        <v>20.0</v>
      </c>
      <c r="H11" s="242">
        <v>20.0</v>
      </c>
      <c r="I11" s="242">
        <v>20.0</v>
      </c>
      <c r="J11" s="242">
        <v>20.0</v>
      </c>
      <c r="K11" s="242">
        <v>20.0</v>
      </c>
      <c r="L11" s="242">
        <v>20.0</v>
      </c>
      <c r="M11" s="242">
        <v>20.0</v>
      </c>
      <c r="N11" s="242">
        <v>20.0</v>
      </c>
      <c r="O11" s="242">
        <v>20.0</v>
      </c>
      <c r="P11" s="242">
        <v>20.0</v>
      </c>
      <c r="Q11" s="242">
        <v>20.0</v>
      </c>
      <c r="R11" s="242">
        <v>20.0</v>
      </c>
      <c r="S11" s="144">
        <f t="shared" ref="S11:CA11" si="6">R11+S29</f>
        <v>25</v>
      </c>
      <c r="T11" s="144">
        <f t="shared" si="6"/>
        <v>27</v>
      </c>
      <c r="U11" s="144">
        <f t="shared" si="6"/>
        <v>28</v>
      </c>
      <c r="V11" s="144">
        <f t="shared" si="6"/>
        <v>29</v>
      </c>
      <c r="W11" s="144">
        <f t="shared" si="6"/>
        <v>29</v>
      </c>
      <c r="X11" s="144">
        <f t="shared" si="6"/>
        <v>29</v>
      </c>
      <c r="Y11" s="144">
        <f t="shared" si="6"/>
        <v>29</v>
      </c>
      <c r="Z11" s="144">
        <f t="shared" si="6"/>
        <v>29</v>
      </c>
      <c r="AA11" s="144">
        <f t="shared" si="6"/>
        <v>29</v>
      </c>
      <c r="AB11" s="144">
        <f t="shared" si="6"/>
        <v>29</v>
      </c>
      <c r="AC11" s="144">
        <f t="shared" si="6"/>
        <v>29</v>
      </c>
      <c r="AD11" s="144">
        <f t="shared" si="6"/>
        <v>29</v>
      </c>
      <c r="AE11" s="144">
        <f t="shared" si="6"/>
        <v>29</v>
      </c>
      <c r="AF11" s="144">
        <f t="shared" si="6"/>
        <v>29</v>
      </c>
      <c r="AG11" s="144">
        <f t="shared" si="6"/>
        <v>29</v>
      </c>
      <c r="AH11" s="144">
        <f t="shared" si="6"/>
        <v>29</v>
      </c>
      <c r="AI11" s="144">
        <f t="shared" si="6"/>
        <v>29</v>
      </c>
      <c r="AJ11" s="144">
        <f t="shared" si="6"/>
        <v>29</v>
      </c>
      <c r="AK11" s="144">
        <f t="shared" si="6"/>
        <v>29</v>
      </c>
      <c r="AL11" s="144">
        <f t="shared" si="6"/>
        <v>29</v>
      </c>
      <c r="AM11" s="144">
        <f t="shared" si="6"/>
        <v>30</v>
      </c>
      <c r="AN11" s="144">
        <f t="shared" si="6"/>
        <v>30</v>
      </c>
      <c r="AO11" s="144">
        <f t="shared" si="6"/>
        <v>30</v>
      </c>
      <c r="AP11" s="144">
        <f t="shared" si="6"/>
        <v>31</v>
      </c>
      <c r="AQ11" s="144">
        <f t="shared" si="6"/>
        <v>31</v>
      </c>
      <c r="AR11" s="144">
        <f t="shared" si="6"/>
        <v>31</v>
      </c>
      <c r="AS11" s="144">
        <f t="shared" si="6"/>
        <v>31</v>
      </c>
      <c r="AT11" s="144">
        <f t="shared" si="6"/>
        <v>32</v>
      </c>
      <c r="AU11" s="144">
        <f t="shared" si="6"/>
        <v>33</v>
      </c>
      <c r="AV11" s="144">
        <f t="shared" si="6"/>
        <v>33</v>
      </c>
      <c r="AW11" s="144">
        <f t="shared" si="6"/>
        <v>33</v>
      </c>
      <c r="AX11" s="144">
        <f t="shared" si="6"/>
        <v>34</v>
      </c>
      <c r="AY11" s="144">
        <f t="shared" si="6"/>
        <v>34</v>
      </c>
      <c r="AZ11" s="144">
        <f t="shared" si="6"/>
        <v>34</v>
      </c>
      <c r="BA11" s="144">
        <f t="shared" si="6"/>
        <v>35</v>
      </c>
      <c r="BB11" s="144">
        <f t="shared" si="6"/>
        <v>35</v>
      </c>
      <c r="BC11" s="144">
        <f t="shared" si="6"/>
        <v>35</v>
      </c>
      <c r="BD11" s="144">
        <f t="shared" si="6"/>
        <v>36</v>
      </c>
      <c r="BE11" s="144">
        <f t="shared" si="6"/>
        <v>36</v>
      </c>
      <c r="BF11" s="144">
        <f t="shared" si="6"/>
        <v>36</v>
      </c>
      <c r="BG11" s="144">
        <f t="shared" si="6"/>
        <v>36</v>
      </c>
      <c r="BH11" s="144">
        <f t="shared" si="6"/>
        <v>36</v>
      </c>
      <c r="BI11" s="144">
        <f t="shared" si="6"/>
        <v>37</v>
      </c>
      <c r="BJ11" s="144">
        <f t="shared" si="6"/>
        <v>37</v>
      </c>
      <c r="BK11" s="144">
        <f t="shared" si="6"/>
        <v>37</v>
      </c>
      <c r="BL11" s="144">
        <f t="shared" si="6"/>
        <v>37</v>
      </c>
      <c r="BM11" s="144">
        <f t="shared" si="6"/>
        <v>38</v>
      </c>
      <c r="BN11" s="144">
        <f t="shared" si="6"/>
        <v>38</v>
      </c>
      <c r="BO11" s="144">
        <f t="shared" si="6"/>
        <v>38</v>
      </c>
      <c r="BP11" s="144">
        <f t="shared" si="6"/>
        <v>38</v>
      </c>
      <c r="BQ11" s="144">
        <f t="shared" si="6"/>
        <v>39</v>
      </c>
      <c r="BR11" s="144">
        <f t="shared" si="6"/>
        <v>39</v>
      </c>
      <c r="BS11" s="144">
        <f t="shared" si="6"/>
        <v>40</v>
      </c>
      <c r="BT11" s="144">
        <f t="shared" si="6"/>
        <v>40</v>
      </c>
      <c r="BU11" s="144">
        <f t="shared" si="6"/>
        <v>40</v>
      </c>
      <c r="BV11" s="144">
        <f t="shared" si="6"/>
        <v>41</v>
      </c>
      <c r="BW11" s="144">
        <f t="shared" si="6"/>
        <v>41</v>
      </c>
      <c r="BX11" s="144">
        <f t="shared" si="6"/>
        <v>41</v>
      </c>
      <c r="BY11" s="144">
        <f t="shared" si="6"/>
        <v>41</v>
      </c>
      <c r="BZ11" s="144">
        <f t="shared" si="6"/>
        <v>41</v>
      </c>
      <c r="CA11" s="144">
        <f t="shared" si="6"/>
        <v>42</v>
      </c>
    </row>
    <row r="12">
      <c r="A12" s="91" t="s">
        <v>420</v>
      </c>
      <c r="B12" s="242">
        <v>10.0</v>
      </c>
      <c r="C12" s="242">
        <v>10.0</v>
      </c>
      <c r="D12" s="242">
        <v>10.0</v>
      </c>
      <c r="E12" s="242">
        <v>10.0</v>
      </c>
      <c r="F12" s="242">
        <v>10.0</v>
      </c>
      <c r="G12" s="242">
        <v>10.0</v>
      </c>
      <c r="H12" s="242">
        <v>10.0</v>
      </c>
      <c r="I12" s="242">
        <v>10.0</v>
      </c>
      <c r="J12" s="242">
        <v>10.0</v>
      </c>
      <c r="K12" s="242">
        <v>10.0</v>
      </c>
      <c r="L12" s="242">
        <v>10.0</v>
      </c>
      <c r="M12" s="242">
        <v>10.0</v>
      </c>
      <c r="N12" s="242">
        <v>10.0</v>
      </c>
      <c r="O12" s="242">
        <v>10.0</v>
      </c>
      <c r="P12" s="242">
        <v>10.0</v>
      </c>
      <c r="Q12" s="242">
        <v>10.0</v>
      </c>
      <c r="R12" s="242">
        <v>10.0</v>
      </c>
      <c r="S12" s="144">
        <f t="shared" ref="S12:CA12" si="7">R12+S30</f>
        <v>11</v>
      </c>
      <c r="T12" s="144">
        <f t="shared" si="7"/>
        <v>11</v>
      </c>
      <c r="U12" s="144">
        <f t="shared" si="7"/>
        <v>11</v>
      </c>
      <c r="V12" s="144">
        <f t="shared" si="7"/>
        <v>11</v>
      </c>
      <c r="W12" s="144">
        <f t="shared" si="7"/>
        <v>11</v>
      </c>
      <c r="X12" s="144">
        <f t="shared" si="7"/>
        <v>11</v>
      </c>
      <c r="Y12" s="144">
        <f t="shared" si="7"/>
        <v>11</v>
      </c>
      <c r="Z12" s="144">
        <f t="shared" si="7"/>
        <v>11</v>
      </c>
      <c r="AA12" s="144">
        <f t="shared" si="7"/>
        <v>11</v>
      </c>
      <c r="AB12" s="144">
        <f t="shared" si="7"/>
        <v>11</v>
      </c>
      <c r="AC12" s="144">
        <f t="shared" si="7"/>
        <v>11</v>
      </c>
      <c r="AD12" s="144">
        <f t="shared" si="7"/>
        <v>11</v>
      </c>
      <c r="AE12" s="144">
        <f t="shared" si="7"/>
        <v>11</v>
      </c>
      <c r="AF12" s="144">
        <f t="shared" si="7"/>
        <v>11</v>
      </c>
      <c r="AG12" s="144">
        <f t="shared" si="7"/>
        <v>11</v>
      </c>
      <c r="AH12" s="144">
        <f t="shared" si="7"/>
        <v>11</v>
      </c>
      <c r="AI12" s="144">
        <f t="shared" si="7"/>
        <v>11</v>
      </c>
      <c r="AJ12" s="144">
        <f t="shared" si="7"/>
        <v>11</v>
      </c>
      <c r="AK12" s="144">
        <f t="shared" si="7"/>
        <v>11</v>
      </c>
      <c r="AL12" s="144">
        <f t="shared" si="7"/>
        <v>11</v>
      </c>
      <c r="AM12" s="144">
        <f t="shared" si="7"/>
        <v>11</v>
      </c>
      <c r="AN12" s="144">
        <f t="shared" si="7"/>
        <v>11</v>
      </c>
      <c r="AO12" s="144">
        <f t="shared" si="7"/>
        <v>11</v>
      </c>
      <c r="AP12" s="144">
        <f t="shared" si="7"/>
        <v>11</v>
      </c>
      <c r="AQ12" s="144">
        <f t="shared" si="7"/>
        <v>11</v>
      </c>
      <c r="AR12" s="144">
        <f t="shared" si="7"/>
        <v>11</v>
      </c>
      <c r="AS12" s="144">
        <f t="shared" si="7"/>
        <v>11</v>
      </c>
      <c r="AT12" s="144">
        <f t="shared" si="7"/>
        <v>11</v>
      </c>
      <c r="AU12" s="144">
        <f t="shared" si="7"/>
        <v>11</v>
      </c>
      <c r="AV12" s="144">
        <f t="shared" si="7"/>
        <v>11</v>
      </c>
      <c r="AW12" s="144">
        <f t="shared" si="7"/>
        <v>11</v>
      </c>
      <c r="AX12" s="144">
        <f t="shared" si="7"/>
        <v>11</v>
      </c>
      <c r="AY12" s="144">
        <f t="shared" si="7"/>
        <v>11</v>
      </c>
      <c r="AZ12" s="144">
        <f t="shared" si="7"/>
        <v>11</v>
      </c>
      <c r="BA12" s="144">
        <f t="shared" si="7"/>
        <v>11</v>
      </c>
      <c r="BB12" s="144">
        <f t="shared" si="7"/>
        <v>11</v>
      </c>
      <c r="BC12" s="144">
        <f t="shared" si="7"/>
        <v>11</v>
      </c>
      <c r="BD12" s="144">
        <f t="shared" si="7"/>
        <v>11</v>
      </c>
      <c r="BE12" s="144">
        <f t="shared" si="7"/>
        <v>23</v>
      </c>
      <c r="BF12" s="144">
        <f t="shared" si="7"/>
        <v>27</v>
      </c>
      <c r="BG12" s="144">
        <f t="shared" si="7"/>
        <v>27</v>
      </c>
      <c r="BH12" s="144">
        <f t="shared" si="7"/>
        <v>27</v>
      </c>
      <c r="BI12" s="144">
        <f t="shared" si="7"/>
        <v>27</v>
      </c>
      <c r="BJ12" s="144">
        <f t="shared" si="7"/>
        <v>27</v>
      </c>
      <c r="BK12" s="144">
        <f t="shared" si="7"/>
        <v>27</v>
      </c>
      <c r="BL12" s="144">
        <f t="shared" si="7"/>
        <v>27</v>
      </c>
      <c r="BM12" s="144">
        <f t="shared" si="7"/>
        <v>27</v>
      </c>
      <c r="BN12" s="144">
        <f t="shared" si="7"/>
        <v>28</v>
      </c>
      <c r="BO12" s="144">
        <f t="shared" si="7"/>
        <v>28</v>
      </c>
      <c r="BP12" s="144">
        <f t="shared" si="7"/>
        <v>28</v>
      </c>
      <c r="BQ12" s="144">
        <f t="shared" si="7"/>
        <v>28</v>
      </c>
      <c r="BR12" s="144">
        <f t="shared" si="7"/>
        <v>28</v>
      </c>
      <c r="BS12" s="144">
        <f t="shared" si="7"/>
        <v>28</v>
      </c>
      <c r="BT12" s="144">
        <f t="shared" si="7"/>
        <v>28</v>
      </c>
      <c r="BU12" s="144">
        <f t="shared" si="7"/>
        <v>28</v>
      </c>
      <c r="BV12" s="144">
        <f t="shared" si="7"/>
        <v>28</v>
      </c>
      <c r="BW12" s="144">
        <f t="shared" si="7"/>
        <v>28</v>
      </c>
      <c r="BX12" s="144">
        <f t="shared" si="7"/>
        <v>28</v>
      </c>
      <c r="BY12" s="144">
        <f t="shared" si="7"/>
        <v>28</v>
      </c>
      <c r="BZ12" s="144">
        <f t="shared" si="7"/>
        <v>28</v>
      </c>
      <c r="CA12" s="144">
        <f t="shared" si="7"/>
        <v>28</v>
      </c>
    </row>
    <row r="13">
      <c r="A13" s="91" t="s">
        <v>421</v>
      </c>
      <c r="B13" s="242">
        <v>20.0</v>
      </c>
      <c r="C13" s="242">
        <v>20.0</v>
      </c>
      <c r="D13" s="242">
        <v>20.0</v>
      </c>
      <c r="E13" s="242">
        <v>20.0</v>
      </c>
      <c r="F13" s="242">
        <v>20.0</v>
      </c>
      <c r="G13" s="242">
        <v>20.0</v>
      </c>
      <c r="H13" s="242">
        <v>20.0</v>
      </c>
      <c r="I13" s="242">
        <v>20.0</v>
      </c>
      <c r="J13" s="242">
        <v>20.0</v>
      </c>
      <c r="K13" s="242">
        <v>20.0</v>
      </c>
      <c r="L13" s="242">
        <v>20.0</v>
      </c>
      <c r="M13" s="242">
        <v>20.0</v>
      </c>
      <c r="N13" s="242">
        <v>20.0</v>
      </c>
      <c r="O13" s="242">
        <v>20.0</v>
      </c>
      <c r="P13" s="242">
        <v>20.0</v>
      </c>
      <c r="Q13" s="242">
        <v>20.0</v>
      </c>
      <c r="R13" s="242">
        <v>20.0</v>
      </c>
      <c r="S13" s="144">
        <f t="shared" ref="S13:CA13" si="8">R13+S31</f>
        <v>21</v>
      </c>
      <c r="T13" s="144">
        <f t="shared" si="8"/>
        <v>21</v>
      </c>
      <c r="U13" s="144">
        <f t="shared" si="8"/>
        <v>21</v>
      </c>
      <c r="V13" s="144">
        <f t="shared" si="8"/>
        <v>21</v>
      </c>
      <c r="W13" s="144">
        <f t="shared" si="8"/>
        <v>21</v>
      </c>
      <c r="X13" s="144">
        <f t="shared" si="8"/>
        <v>21</v>
      </c>
      <c r="Y13" s="144">
        <f t="shared" si="8"/>
        <v>21</v>
      </c>
      <c r="Z13" s="144">
        <f t="shared" si="8"/>
        <v>21</v>
      </c>
      <c r="AA13" s="144">
        <f t="shared" si="8"/>
        <v>21</v>
      </c>
      <c r="AB13" s="144">
        <f t="shared" si="8"/>
        <v>21</v>
      </c>
      <c r="AC13" s="144">
        <f t="shared" si="8"/>
        <v>21</v>
      </c>
      <c r="AD13" s="144">
        <f t="shared" si="8"/>
        <v>21</v>
      </c>
      <c r="AE13" s="144">
        <f t="shared" si="8"/>
        <v>21</v>
      </c>
      <c r="AF13" s="144">
        <f t="shared" si="8"/>
        <v>21</v>
      </c>
      <c r="AG13" s="144">
        <f t="shared" si="8"/>
        <v>21</v>
      </c>
      <c r="AH13" s="144">
        <f t="shared" si="8"/>
        <v>21</v>
      </c>
      <c r="AI13" s="144">
        <f t="shared" si="8"/>
        <v>21</v>
      </c>
      <c r="AJ13" s="144">
        <f t="shared" si="8"/>
        <v>21</v>
      </c>
      <c r="AK13" s="144">
        <f t="shared" si="8"/>
        <v>21</v>
      </c>
      <c r="AL13" s="144">
        <f t="shared" si="8"/>
        <v>21</v>
      </c>
      <c r="AM13" s="144">
        <f t="shared" si="8"/>
        <v>21</v>
      </c>
      <c r="AN13" s="144">
        <f t="shared" si="8"/>
        <v>21</v>
      </c>
      <c r="AO13" s="144">
        <f t="shared" si="8"/>
        <v>21</v>
      </c>
      <c r="AP13" s="144">
        <f t="shared" si="8"/>
        <v>21</v>
      </c>
      <c r="AQ13" s="144">
        <f t="shared" si="8"/>
        <v>21</v>
      </c>
      <c r="AR13" s="144">
        <f t="shared" si="8"/>
        <v>21</v>
      </c>
      <c r="AS13" s="144">
        <f t="shared" si="8"/>
        <v>21</v>
      </c>
      <c r="AT13" s="144">
        <f t="shared" si="8"/>
        <v>21</v>
      </c>
      <c r="AU13" s="144">
        <f t="shared" si="8"/>
        <v>21</v>
      </c>
      <c r="AV13" s="144">
        <f t="shared" si="8"/>
        <v>21</v>
      </c>
      <c r="AW13" s="144">
        <f t="shared" si="8"/>
        <v>21</v>
      </c>
      <c r="AX13" s="144">
        <f t="shared" si="8"/>
        <v>21</v>
      </c>
      <c r="AY13" s="144">
        <f t="shared" si="8"/>
        <v>21</v>
      </c>
      <c r="AZ13" s="144">
        <f t="shared" si="8"/>
        <v>21</v>
      </c>
      <c r="BA13" s="144">
        <f t="shared" si="8"/>
        <v>21</v>
      </c>
      <c r="BB13" s="144">
        <f t="shared" si="8"/>
        <v>21</v>
      </c>
      <c r="BC13" s="144">
        <f t="shared" si="8"/>
        <v>22</v>
      </c>
      <c r="BD13" s="144">
        <f t="shared" si="8"/>
        <v>22</v>
      </c>
      <c r="BE13" s="144">
        <f t="shared" si="8"/>
        <v>25</v>
      </c>
      <c r="BF13" s="144">
        <f t="shared" si="8"/>
        <v>26</v>
      </c>
      <c r="BG13" s="144">
        <f t="shared" si="8"/>
        <v>26</v>
      </c>
      <c r="BH13" s="144">
        <f t="shared" si="8"/>
        <v>26</v>
      </c>
      <c r="BI13" s="144">
        <f t="shared" si="8"/>
        <v>26</v>
      </c>
      <c r="BJ13" s="144">
        <f t="shared" si="8"/>
        <v>27</v>
      </c>
      <c r="BK13" s="144">
        <f t="shared" si="8"/>
        <v>28</v>
      </c>
      <c r="BL13" s="144">
        <f t="shared" si="8"/>
        <v>28</v>
      </c>
      <c r="BM13" s="144">
        <f t="shared" si="8"/>
        <v>28</v>
      </c>
      <c r="BN13" s="144">
        <f t="shared" si="8"/>
        <v>29</v>
      </c>
      <c r="BO13" s="144">
        <f t="shared" si="8"/>
        <v>29</v>
      </c>
      <c r="BP13" s="144">
        <f t="shared" si="8"/>
        <v>29</v>
      </c>
      <c r="BQ13" s="144">
        <f t="shared" si="8"/>
        <v>29</v>
      </c>
      <c r="BR13" s="144">
        <f t="shared" si="8"/>
        <v>29</v>
      </c>
      <c r="BS13" s="144">
        <f t="shared" si="8"/>
        <v>29</v>
      </c>
      <c r="BT13" s="144">
        <f t="shared" si="8"/>
        <v>29</v>
      </c>
      <c r="BU13" s="144">
        <f t="shared" si="8"/>
        <v>30</v>
      </c>
      <c r="BV13" s="144">
        <f t="shared" si="8"/>
        <v>30</v>
      </c>
      <c r="BW13" s="144">
        <f t="shared" si="8"/>
        <v>30</v>
      </c>
      <c r="BX13" s="144">
        <f t="shared" si="8"/>
        <v>30</v>
      </c>
      <c r="BY13" s="144">
        <f t="shared" si="8"/>
        <v>30</v>
      </c>
      <c r="BZ13" s="144">
        <f t="shared" si="8"/>
        <v>31</v>
      </c>
      <c r="CA13" s="144">
        <f t="shared" si="8"/>
        <v>31</v>
      </c>
    </row>
    <row r="14">
      <c r="A14" s="91" t="s">
        <v>422</v>
      </c>
      <c r="B14" s="242">
        <v>20.0</v>
      </c>
      <c r="C14" s="242">
        <v>20.0</v>
      </c>
      <c r="D14" s="242">
        <v>20.0</v>
      </c>
      <c r="E14" s="242">
        <v>20.0</v>
      </c>
      <c r="F14" s="242">
        <v>20.0</v>
      </c>
      <c r="G14" s="242">
        <v>20.0</v>
      </c>
      <c r="H14" s="242">
        <v>20.0</v>
      </c>
      <c r="I14" s="242">
        <v>20.0</v>
      </c>
      <c r="J14" s="242">
        <v>20.0</v>
      </c>
      <c r="K14" s="242">
        <v>20.0</v>
      </c>
      <c r="L14" s="242">
        <v>20.0</v>
      </c>
      <c r="M14" s="242">
        <v>20.0</v>
      </c>
      <c r="N14" s="242">
        <v>20.0</v>
      </c>
      <c r="O14" s="242">
        <v>20.0</v>
      </c>
      <c r="P14" s="242">
        <v>20.0</v>
      </c>
      <c r="Q14" s="242">
        <v>20.0</v>
      </c>
      <c r="R14" s="242">
        <v>20.0</v>
      </c>
      <c r="S14" s="144">
        <f t="shared" ref="S14:CA14" si="9">R14+S32</f>
        <v>21</v>
      </c>
      <c r="T14" s="144">
        <f t="shared" si="9"/>
        <v>25</v>
      </c>
      <c r="U14" s="144">
        <f t="shared" si="9"/>
        <v>26</v>
      </c>
      <c r="V14" s="144">
        <f t="shared" si="9"/>
        <v>27</v>
      </c>
      <c r="W14" s="144">
        <f t="shared" si="9"/>
        <v>28</v>
      </c>
      <c r="X14" s="144">
        <f t="shared" si="9"/>
        <v>28</v>
      </c>
      <c r="Y14" s="144">
        <f t="shared" si="9"/>
        <v>28</v>
      </c>
      <c r="Z14" s="144">
        <f t="shared" si="9"/>
        <v>28</v>
      </c>
      <c r="AA14" s="144">
        <f t="shared" si="9"/>
        <v>28</v>
      </c>
      <c r="AB14" s="144">
        <f t="shared" si="9"/>
        <v>28</v>
      </c>
      <c r="AC14" s="144">
        <f t="shared" si="9"/>
        <v>28</v>
      </c>
      <c r="AD14" s="144">
        <f t="shared" si="9"/>
        <v>28</v>
      </c>
      <c r="AE14" s="144">
        <f t="shared" si="9"/>
        <v>28</v>
      </c>
      <c r="AF14" s="144">
        <f t="shared" si="9"/>
        <v>28</v>
      </c>
      <c r="AG14" s="144">
        <f t="shared" si="9"/>
        <v>28</v>
      </c>
      <c r="AH14" s="144">
        <f t="shared" si="9"/>
        <v>28</v>
      </c>
      <c r="AI14" s="144">
        <f t="shared" si="9"/>
        <v>28</v>
      </c>
      <c r="AJ14" s="144">
        <f t="shared" si="9"/>
        <v>28</v>
      </c>
      <c r="AK14" s="144">
        <f t="shared" si="9"/>
        <v>28</v>
      </c>
      <c r="AL14" s="144">
        <f t="shared" si="9"/>
        <v>28</v>
      </c>
      <c r="AM14" s="144">
        <f t="shared" si="9"/>
        <v>28</v>
      </c>
      <c r="AN14" s="144">
        <f t="shared" si="9"/>
        <v>28</v>
      </c>
      <c r="AO14" s="144">
        <f t="shared" si="9"/>
        <v>28</v>
      </c>
      <c r="AP14" s="144">
        <f t="shared" si="9"/>
        <v>28</v>
      </c>
      <c r="AQ14" s="144">
        <f t="shared" si="9"/>
        <v>28</v>
      </c>
      <c r="AR14" s="144">
        <f t="shared" si="9"/>
        <v>28</v>
      </c>
      <c r="AS14" s="144">
        <f t="shared" si="9"/>
        <v>28</v>
      </c>
      <c r="AT14" s="144">
        <f t="shared" si="9"/>
        <v>28</v>
      </c>
      <c r="AU14" s="144">
        <f t="shared" si="9"/>
        <v>28</v>
      </c>
      <c r="AV14" s="144">
        <f t="shared" si="9"/>
        <v>28</v>
      </c>
      <c r="AW14" s="144">
        <f t="shared" si="9"/>
        <v>28</v>
      </c>
      <c r="AX14" s="144">
        <f t="shared" si="9"/>
        <v>28</v>
      </c>
      <c r="AY14" s="144">
        <f t="shared" si="9"/>
        <v>28</v>
      </c>
      <c r="AZ14" s="144">
        <f t="shared" si="9"/>
        <v>28</v>
      </c>
      <c r="BA14" s="144">
        <f t="shared" si="9"/>
        <v>28</v>
      </c>
      <c r="BB14" s="144">
        <f t="shared" si="9"/>
        <v>28</v>
      </c>
      <c r="BC14" s="144">
        <f t="shared" si="9"/>
        <v>28</v>
      </c>
      <c r="BD14" s="144">
        <f t="shared" si="9"/>
        <v>28</v>
      </c>
      <c r="BE14" s="144">
        <f t="shared" si="9"/>
        <v>28</v>
      </c>
      <c r="BF14" s="144">
        <f t="shared" si="9"/>
        <v>29</v>
      </c>
      <c r="BG14" s="144">
        <f t="shared" si="9"/>
        <v>30</v>
      </c>
      <c r="BH14" s="144">
        <f t="shared" si="9"/>
        <v>30</v>
      </c>
      <c r="BI14" s="144">
        <f t="shared" si="9"/>
        <v>30</v>
      </c>
      <c r="BJ14" s="144">
        <f t="shared" si="9"/>
        <v>30</v>
      </c>
      <c r="BK14" s="144">
        <f t="shared" si="9"/>
        <v>31</v>
      </c>
      <c r="BL14" s="144">
        <f t="shared" si="9"/>
        <v>31</v>
      </c>
      <c r="BM14" s="144">
        <f t="shared" si="9"/>
        <v>31</v>
      </c>
      <c r="BN14" s="144">
        <f t="shared" si="9"/>
        <v>31</v>
      </c>
      <c r="BO14" s="144">
        <f t="shared" si="9"/>
        <v>31</v>
      </c>
      <c r="BP14" s="144">
        <f t="shared" si="9"/>
        <v>31</v>
      </c>
      <c r="BQ14" s="144">
        <f t="shared" si="9"/>
        <v>31</v>
      </c>
      <c r="BR14" s="144">
        <f t="shared" si="9"/>
        <v>31</v>
      </c>
      <c r="BS14" s="144">
        <f t="shared" si="9"/>
        <v>31</v>
      </c>
      <c r="BT14" s="144">
        <f t="shared" si="9"/>
        <v>31</v>
      </c>
      <c r="BU14" s="144">
        <f t="shared" si="9"/>
        <v>31</v>
      </c>
      <c r="BV14" s="144">
        <f t="shared" si="9"/>
        <v>32</v>
      </c>
      <c r="BW14" s="144">
        <f t="shared" si="9"/>
        <v>32</v>
      </c>
      <c r="BX14" s="144">
        <f t="shared" si="9"/>
        <v>32</v>
      </c>
      <c r="BY14" s="144">
        <f t="shared" si="9"/>
        <v>32</v>
      </c>
      <c r="BZ14" s="144">
        <f t="shared" si="9"/>
        <v>32</v>
      </c>
      <c r="CA14" s="144">
        <f t="shared" si="9"/>
        <v>32</v>
      </c>
    </row>
    <row r="15">
      <c r="A15" s="91" t="s">
        <v>423</v>
      </c>
      <c r="B15" s="242">
        <v>5.0</v>
      </c>
      <c r="C15" s="242">
        <v>5.0</v>
      </c>
      <c r="D15" s="242">
        <v>5.0</v>
      </c>
      <c r="E15" s="242">
        <v>5.0</v>
      </c>
      <c r="F15" s="242">
        <v>5.0</v>
      </c>
      <c r="G15" s="242">
        <v>5.0</v>
      </c>
      <c r="H15" s="242">
        <v>5.0</v>
      </c>
      <c r="I15" s="242">
        <v>5.0</v>
      </c>
      <c r="J15" s="242">
        <v>5.0</v>
      </c>
      <c r="K15" s="242">
        <v>5.0</v>
      </c>
      <c r="L15" s="242">
        <v>5.0</v>
      </c>
      <c r="M15" s="242">
        <v>5.0</v>
      </c>
      <c r="N15" s="242">
        <v>5.0</v>
      </c>
      <c r="O15" s="242">
        <v>5.0</v>
      </c>
      <c r="P15" s="242">
        <v>5.0</v>
      </c>
      <c r="Q15" s="242">
        <v>5.0</v>
      </c>
      <c r="R15" s="242">
        <v>5.0</v>
      </c>
      <c r="S15" s="144">
        <f t="shared" ref="S15:CA15" si="10">R15+S33</f>
        <v>5</v>
      </c>
      <c r="T15" s="144">
        <f t="shared" si="10"/>
        <v>5</v>
      </c>
      <c r="U15" s="144">
        <f t="shared" si="10"/>
        <v>5</v>
      </c>
      <c r="V15" s="144">
        <f t="shared" si="10"/>
        <v>5</v>
      </c>
      <c r="W15" s="144">
        <f t="shared" si="10"/>
        <v>5</v>
      </c>
      <c r="X15" s="144">
        <f t="shared" si="10"/>
        <v>5</v>
      </c>
      <c r="Y15" s="144">
        <f t="shared" si="10"/>
        <v>5</v>
      </c>
      <c r="Z15" s="144">
        <f t="shared" si="10"/>
        <v>5</v>
      </c>
      <c r="AA15" s="144">
        <f t="shared" si="10"/>
        <v>5</v>
      </c>
      <c r="AB15" s="144">
        <f t="shared" si="10"/>
        <v>5</v>
      </c>
      <c r="AC15" s="144">
        <f t="shared" si="10"/>
        <v>5</v>
      </c>
      <c r="AD15" s="144">
        <f t="shared" si="10"/>
        <v>5</v>
      </c>
      <c r="AE15" s="144">
        <f t="shared" si="10"/>
        <v>5</v>
      </c>
      <c r="AF15" s="144">
        <f t="shared" si="10"/>
        <v>5</v>
      </c>
      <c r="AG15" s="144">
        <f t="shared" si="10"/>
        <v>5</v>
      </c>
      <c r="AH15" s="144">
        <f t="shared" si="10"/>
        <v>5</v>
      </c>
      <c r="AI15" s="144">
        <f t="shared" si="10"/>
        <v>5</v>
      </c>
      <c r="AJ15" s="144">
        <f t="shared" si="10"/>
        <v>5</v>
      </c>
      <c r="AK15" s="144">
        <f t="shared" si="10"/>
        <v>5</v>
      </c>
      <c r="AL15" s="144">
        <f t="shared" si="10"/>
        <v>5</v>
      </c>
      <c r="AM15" s="144">
        <f t="shared" si="10"/>
        <v>5</v>
      </c>
      <c r="AN15" s="144">
        <f t="shared" si="10"/>
        <v>5</v>
      </c>
      <c r="AO15" s="144">
        <f t="shared" si="10"/>
        <v>5</v>
      </c>
      <c r="AP15" s="144">
        <f t="shared" si="10"/>
        <v>5</v>
      </c>
      <c r="AQ15" s="144">
        <f t="shared" si="10"/>
        <v>5</v>
      </c>
      <c r="AR15" s="144">
        <f t="shared" si="10"/>
        <v>5</v>
      </c>
      <c r="AS15" s="144">
        <f t="shared" si="10"/>
        <v>6</v>
      </c>
      <c r="AT15" s="144">
        <f t="shared" si="10"/>
        <v>6</v>
      </c>
      <c r="AU15" s="144">
        <f t="shared" si="10"/>
        <v>6</v>
      </c>
      <c r="AV15" s="144">
        <f t="shared" si="10"/>
        <v>6</v>
      </c>
      <c r="AW15" s="144">
        <f t="shared" si="10"/>
        <v>6</v>
      </c>
      <c r="AX15" s="144">
        <f t="shared" si="10"/>
        <v>6</v>
      </c>
      <c r="AY15" s="144">
        <f t="shared" si="10"/>
        <v>6</v>
      </c>
      <c r="AZ15" s="144">
        <f t="shared" si="10"/>
        <v>6</v>
      </c>
      <c r="BA15" s="144">
        <f t="shared" si="10"/>
        <v>6</v>
      </c>
      <c r="BB15" s="144">
        <f t="shared" si="10"/>
        <v>6</v>
      </c>
      <c r="BC15" s="144">
        <f t="shared" si="10"/>
        <v>6</v>
      </c>
      <c r="BD15" s="144">
        <f t="shared" si="10"/>
        <v>6</v>
      </c>
      <c r="BE15" s="144">
        <f t="shared" si="10"/>
        <v>6</v>
      </c>
      <c r="BF15" s="144">
        <f t="shared" si="10"/>
        <v>6</v>
      </c>
      <c r="BG15" s="144">
        <f t="shared" si="10"/>
        <v>6</v>
      </c>
      <c r="BH15" s="144">
        <f t="shared" si="10"/>
        <v>6</v>
      </c>
      <c r="BI15" s="144">
        <f t="shared" si="10"/>
        <v>6</v>
      </c>
      <c r="BJ15" s="144">
        <f t="shared" si="10"/>
        <v>6</v>
      </c>
      <c r="BK15" s="144">
        <f t="shared" si="10"/>
        <v>6</v>
      </c>
      <c r="BL15" s="144">
        <f t="shared" si="10"/>
        <v>6</v>
      </c>
      <c r="BM15" s="144">
        <f t="shared" si="10"/>
        <v>6</v>
      </c>
      <c r="BN15" s="144">
        <f t="shared" si="10"/>
        <v>6</v>
      </c>
      <c r="BO15" s="144">
        <f t="shared" si="10"/>
        <v>6</v>
      </c>
      <c r="BP15" s="144">
        <f t="shared" si="10"/>
        <v>6</v>
      </c>
      <c r="BQ15" s="144">
        <f t="shared" si="10"/>
        <v>6</v>
      </c>
      <c r="BR15" s="144">
        <f t="shared" si="10"/>
        <v>6</v>
      </c>
      <c r="BS15" s="144">
        <f t="shared" si="10"/>
        <v>6</v>
      </c>
      <c r="BT15" s="144">
        <f t="shared" si="10"/>
        <v>6</v>
      </c>
      <c r="BU15" s="144">
        <f t="shared" si="10"/>
        <v>6</v>
      </c>
      <c r="BV15" s="144">
        <f t="shared" si="10"/>
        <v>6</v>
      </c>
      <c r="BW15" s="144">
        <f t="shared" si="10"/>
        <v>6</v>
      </c>
      <c r="BX15" s="144">
        <f t="shared" si="10"/>
        <v>6</v>
      </c>
      <c r="BY15" s="144">
        <f t="shared" si="10"/>
        <v>6</v>
      </c>
      <c r="BZ15" s="144">
        <f t="shared" si="10"/>
        <v>6</v>
      </c>
      <c r="CA15" s="144">
        <f t="shared" si="10"/>
        <v>6</v>
      </c>
    </row>
    <row r="16">
      <c r="A16" s="91" t="s">
        <v>121</v>
      </c>
      <c r="B16" s="242">
        <v>3.0</v>
      </c>
      <c r="C16" s="242">
        <v>3.0</v>
      </c>
      <c r="D16" s="242">
        <v>3.0</v>
      </c>
      <c r="E16" s="242">
        <v>3.0</v>
      </c>
      <c r="F16" s="242">
        <v>3.0</v>
      </c>
      <c r="G16" s="242">
        <v>3.0</v>
      </c>
      <c r="H16" s="242">
        <v>3.0</v>
      </c>
      <c r="I16" s="242">
        <v>3.0</v>
      </c>
      <c r="J16" s="242">
        <v>3.0</v>
      </c>
      <c r="K16" s="242">
        <v>3.0</v>
      </c>
      <c r="L16" s="242">
        <v>3.0</v>
      </c>
      <c r="M16" s="242">
        <v>3.0</v>
      </c>
      <c r="N16" s="242">
        <v>3.0</v>
      </c>
      <c r="O16" s="242">
        <v>3.0</v>
      </c>
      <c r="P16" s="242">
        <v>3.0</v>
      </c>
      <c r="Q16" s="242">
        <v>3.0</v>
      </c>
      <c r="R16" s="242">
        <v>3.0</v>
      </c>
      <c r="S16" s="144">
        <f t="shared" ref="S16:CA16" si="11">R16+S34</f>
        <v>3</v>
      </c>
      <c r="T16" s="144">
        <f t="shared" si="11"/>
        <v>3</v>
      </c>
      <c r="U16" s="144">
        <f t="shared" si="11"/>
        <v>3</v>
      </c>
      <c r="V16" s="144">
        <f t="shared" si="11"/>
        <v>3</v>
      </c>
      <c r="W16" s="144">
        <f t="shared" si="11"/>
        <v>4</v>
      </c>
      <c r="X16" s="144">
        <f t="shared" si="11"/>
        <v>4</v>
      </c>
      <c r="Y16" s="144">
        <f t="shared" si="11"/>
        <v>4</v>
      </c>
      <c r="Z16" s="144">
        <f t="shared" si="11"/>
        <v>4</v>
      </c>
      <c r="AA16" s="144">
        <f t="shared" si="11"/>
        <v>5</v>
      </c>
      <c r="AB16" s="144">
        <f t="shared" si="11"/>
        <v>5</v>
      </c>
      <c r="AC16" s="144">
        <f t="shared" si="11"/>
        <v>5</v>
      </c>
      <c r="AD16" s="144">
        <f t="shared" si="11"/>
        <v>6</v>
      </c>
      <c r="AE16" s="144">
        <f t="shared" si="11"/>
        <v>6</v>
      </c>
      <c r="AF16" s="144">
        <f t="shared" si="11"/>
        <v>6</v>
      </c>
      <c r="AG16" s="144">
        <f t="shared" si="11"/>
        <v>6</v>
      </c>
      <c r="AH16" s="144">
        <f t="shared" si="11"/>
        <v>6</v>
      </c>
      <c r="AI16" s="144">
        <f t="shared" si="11"/>
        <v>6</v>
      </c>
      <c r="AJ16" s="144">
        <f t="shared" si="11"/>
        <v>6</v>
      </c>
      <c r="AK16" s="144">
        <f t="shared" si="11"/>
        <v>6</v>
      </c>
      <c r="AL16" s="144">
        <f t="shared" si="11"/>
        <v>6</v>
      </c>
      <c r="AM16" s="144">
        <f t="shared" si="11"/>
        <v>6</v>
      </c>
      <c r="AN16" s="144">
        <f t="shared" si="11"/>
        <v>6</v>
      </c>
      <c r="AO16" s="144">
        <f t="shared" si="11"/>
        <v>6</v>
      </c>
      <c r="AP16" s="144">
        <f t="shared" si="11"/>
        <v>6</v>
      </c>
      <c r="AQ16" s="144">
        <f t="shared" si="11"/>
        <v>6</v>
      </c>
      <c r="AR16" s="144">
        <f t="shared" si="11"/>
        <v>6</v>
      </c>
      <c r="AS16" s="144">
        <f t="shared" si="11"/>
        <v>6</v>
      </c>
      <c r="AT16" s="144">
        <f t="shared" si="11"/>
        <v>6</v>
      </c>
      <c r="AU16" s="144">
        <f t="shared" si="11"/>
        <v>6</v>
      </c>
      <c r="AV16" s="144">
        <f t="shared" si="11"/>
        <v>6</v>
      </c>
      <c r="AW16" s="144">
        <f t="shared" si="11"/>
        <v>6</v>
      </c>
      <c r="AX16" s="144">
        <f t="shared" si="11"/>
        <v>7</v>
      </c>
      <c r="AY16" s="144">
        <f t="shared" si="11"/>
        <v>7</v>
      </c>
      <c r="AZ16" s="144">
        <f t="shared" si="11"/>
        <v>7</v>
      </c>
      <c r="BA16" s="144">
        <f t="shared" si="11"/>
        <v>7</v>
      </c>
      <c r="BB16" s="144">
        <f t="shared" si="11"/>
        <v>7</v>
      </c>
      <c r="BC16" s="144">
        <f t="shared" si="11"/>
        <v>7</v>
      </c>
      <c r="BD16" s="144">
        <f t="shared" si="11"/>
        <v>7</v>
      </c>
      <c r="BE16" s="144">
        <f t="shared" si="11"/>
        <v>7</v>
      </c>
      <c r="BF16" s="144">
        <f t="shared" si="11"/>
        <v>7</v>
      </c>
      <c r="BG16" s="144">
        <f t="shared" si="11"/>
        <v>7</v>
      </c>
      <c r="BH16" s="144">
        <f t="shared" si="11"/>
        <v>8</v>
      </c>
      <c r="BI16" s="144">
        <f t="shared" si="11"/>
        <v>8</v>
      </c>
      <c r="BJ16" s="144">
        <f t="shared" si="11"/>
        <v>8</v>
      </c>
      <c r="BK16" s="144">
        <f t="shared" si="11"/>
        <v>8</v>
      </c>
      <c r="BL16" s="144">
        <f t="shared" si="11"/>
        <v>8</v>
      </c>
      <c r="BM16" s="144">
        <f t="shared" si="11"/>
        <v>8</v>
      </c>
      <c r="BN16" s="144">
        <f t="shared" si="11"/>
        <v>8</v>
      </c>
      <c r="BO16" s="144">
        <f t="shared" si="11"/>
        <v>8</v>
      </c>
      <c r="BP16" s="144">
        <f t="shared" si="11"/>
        <v>8</v>
      </c>
      <c r="BQ16" s="144">
        <f t="shared" si="11"/>
        <v>8</v>
      </c>
      <c r="BR16" s="144">
        <f t="shared" si="11"/>
        <v>8</v>
      </c>
      <c r="BS16" s="144">
        <f t="shared" si="11"/>
        <v>8</v>
      </c>
      <c r="BT16" s="144">
        <f t="shared" si="11"/>
        <v>8</v>
      </c>
      <c r="BU16" s="144">
        <f t="shared" si="11"/>
        <v>8</v>
      </c>
      <c r="BV16" s="144">
        <f t="shared" si="11"/>
        <v>8</v>
      </c>
      <c r="BW16" s="144">
        <f t="shared" si="11"/>
        <v>8</v>
      </c>
      <c r="BX16" s="144">
        <f t="shared" si="11"/>
        <v>8</v>
      </c>
      <c r="BY16" s="144">
        <f t="shared" si="11"/>
        <v>8</v>
      </c>
      <c r="BZ16" s="144">
        <f t="shared" si="11"/>
        <v>8</v>
      </c>
      <c r="CA16" s="144">
        <f t="shared" si="11"/>
        <v>8</v>
      </c>
    </row>
    <row r="17">
      <c r="A17" s="91" t="s">
        <v>424</v>
      </c>
      <c r="B17" s="242">
        <v>5.0</v>
      </c>
      <c r="C17" s="242">
        <v>5.0</v>
      </c>
      <c r="D17" s="242">
        <v>5.0</v>
      </c>
      <c r="E17" s="242">
        <v>5.0</v>
      </c>
      <c r="F17" s="242">
        <v>5.0</v>
      </c>
      <c r="G17" s="242">
        <v>5.0</v>
      </c>
      <c r="H17" s="242">
        <v>5.0</v>
      </c>
      <c r="I17" s="242">
        <v>5.0</v>
      </c>
      <c r="J17" s="242">
        <v>5.0</v>
      </c>
      <c r="K17" s="242">
        <v>5.0</v>
      </c>
      <c r="L17" s="242">
        <v>5.0</v>
      </c>
      <c r="M17" s="242">
        <v>5.0</v>
      </c>
      <c r="N17" s="242">
        <v>5.0</v>
      </c>
      <c r="O17" s="242">
        <v>5.0</v>
      </c>
      <c r="P17" s="242">
        <v>5.0</v>
      </c>
      <c r="Q17" s="242">
        <v>5.0</v>
      </c>
      <c r="R17" s="242">
        <v>5.0</v>
      </c>
      <c r="S17" s="144">
        <f t="shared" ref="S17:CA17" si="12">R17+S35</f>
        <v>7</v>
      </c>
      <c r="T17" s="144">
        <f t="shared" si="12"/>
        <v>7</v>
      </c>
      <c r="U17" s="144">
        <f t="shared" si="12"/>
        <v>7</v>
      </c>
      <c r="V17" s="144">
        <f t="shared" si="12"/>
        <v>7</v>
      </c>
      <c r="W17" s="144">
        <f t="shared" si="12"/>
        <v>7</v>
      </c>
      <c r="X17" s="144">
        <f t="shared" si="12"/>
        <v>7</v>
      </c>
      <c r="Y17" s="144">
        <f t="shared" si="12"/>
        <v>7</v>
      </c>
      <c r="Z17" s="144">
        <f t="shared" si="12"/>
        <v>8</v>
      </c>
      <c r="AA17" s="144">
        <f t="shared" si="12"/>
        <v>9</v>
      </c>
      <c r="AB17" s="144">
        <f t="shared" si="12"/>
        <v>10</v>
      </c>
      <c r="AC17" s="144">
        <f t="shared" si="12"/>
        <v>11</v>
      </c>
      <c r="AD17" s="144">
        <f t="shared" si="12"/>
        <v>12</v>
      </c>
      <c r="AE17" s="144">
        <f t="shared" si="12"/>
        <v>13</v>
      </c>
      <c r="AF17" s="144">
        <f t="shared" si="12"/>
        <v>14</v>
      </c>
      <c r="AG17" s="144">
        <f t="shared" si="12"/>
        <v>14</v>
      </c>
      <c r="AH17" s="144">
        <f t="shared" si="12"/>
        <v>14</v>
      </c>
      <c r="AI17" s="144">
        <f t="shared" si="12"/>
        <v>14</v>
      </c>
      <c r="AJ17" s="144">
        <f t="shared" si="12"/>
        <v>14</v>
      </c>
      <c r="AK17" s="144">
        <f t="shared" si="12"/>
        <v>14</v>
      </c>
      <c r="AL17" s="144">
        <f t="shared" si="12"/>
        <v>14</v>
      </c>
      <c r="AM17" s="144">
        <f t="shared" si="12"/>
        <v>14</v>
      </c>
      <c r="AN17" s="144">
        <f t="shared" si="12"/>
        <v>14</v>
      </c>
      <c r="AO17" s="144">
        <f t="shared" si="12"/>
        <v>14</v>
      </c>
      <c r="AP17" s="144">
        <f t="shared" si="12"/>
        <v>14</v>
      </c>
      <c r="AQ17" s="144">
        <f t="shared" si="12"/>
        <v>14</v>
      </c>
      <c r="AR17" s="144">
        <f t="shared" si="12"/>
        <v>14</v>
      </c>
      <c r="AS17" s="144">
        <f t="shared" si="12"/>
        <v>14</v>
      </c>
      <c r="AT17" s="144">
        <f t="shared" si="12"/>
        <v>14</v>
      </c>
      <c r="AU17" s="144">
        <f t="shared" si="12"/>
        <v>14</v>
      </c>
      <c r="AV17" s="144">
        <f t="shared" si="12"/>
        <v>15</v>
      </c>
      <c r="AW17" s="144">
        <f t="shared" si="12"/>
        <v>15</v>
      </c>
      <c r="AX17" s="144">
        <f t="shared" si="12"/>
        <v>15</v>
      </c>
      <c r="AY17" s="144">
        <f t="shared" si="12"/>
        <v>16</v>
      </c>
      <c r="AZ17" s="144">
        <f t="shared" si="12"/>
        <v>16</v>
      </c>
      <c r="BA17" s="144">
        <f t="shared" si="12"/>
        <v>17</v>
      </c>
      <c r="BB17" s="144">
        <f t="shared" si="12"/>
        <v>17</v>
      </c>
      <c r="BC17" s="144">
        <f t="shared" si="12"/>
        <v>17</v>
      </c>
      <c r="BD17" s="144">
        <f t="shared" si="12"/>
        <v>18</v>
      </c>
      <c r="BE17" s="144">
        <f t="shared" si="12"/>
        <v>18</v>
      </c>
      <c r="BF17" s="144">
        <f t="shared" si="12"/>
        <v>18</v>
      </c>
      <c r="BG17" s="144">
        <f t="shared" si="12"/>
        <v>19</v>
      </c>
      <c r="BH17" s="144">
        <f t="shared" si="12"/>
        <v>19</v>
      </c>
      <c r="BI17" s="144">
        <f t="shared" si="12"/>
        <v>19</v>
      </c>
      <c r="BJ17" s="144">
        <f t="shared" si="12"/>
        <v>20</v>
      </c>
      <c r="BK17" s="144">
        <f t="shared" si="12"/>
        <v>20</v>
      </c>
      <c r="BL17" s="144">
        <f t="shared" si="12"/>
        <v>20</v>
      </c>
      <c r="BM17" s="144">
        <f t="shared" si="12"/>
        <v>21</v>
      </c>
      <c r="BN17" s="144">
        <f t="shared" si="12"/>
        <v>21</v>
      </c>
      <c r="BO17" s="144">
        <f t="shared" si="12"/>
        <v>21</v>
      </c>
      <c r="BP17" s="144">
        <f t="shared" si="12"/>
        <v>22</v>
      </c>
      <c r="BQ17" s="144">
        <f t="shared" si="12"/>
        <v>22</v>
      </c>
      <c r="BR17" s="144">
        <f t="shared" si="12"/>
        <v>22</v>
      </c>
      <c r="BS17" s="144">
        <f t="shared" si="12"/>
        <v>22</v>
      </c>
      <c r="BT17" s="144">
        <f t="shared" si="12"/>
        <v>22</v>
      </c>
      <c r="BU17" s="144">
        <f t="shared" si="12"/>
        <v>22</v>
      </c>
      <c r="BV17" s="144">
        <f t="shared" si="12"/>
        <v>22</v>
      </c>
      <c r="BW17" s="144">
        <f t="shared" si="12"/>
        <v>22</v>
      </c>
      <c r="BX17" s="144">
        <f t="shared" si="12"/>
        <v>22</v>
      </c>
      <c r="BY17" s="144">
        <f t="shared" si="12"/>
        <v>22</v>
      </c>
      <c r="BZ17" s="144">
        <f t="shared" si="12"/>
        <v>22</v>
      </c>
      <c r="CA17" s="144">
        <f t="shared" si="12"/>
        <v>22</v>
      </c>
    </row>
    <row r="18">
      <c r="A18" s="91" t="s">
        <v>120</v>
      </c>
      <c r="B18" s="242">
        <v>8.0</v>
      </c>
      <c r="C18" s="242">
        <v>8.0</v>
      </c>
      <c r="D18" s="242">
        <v>8.0</v>
      </c>
      <c r="E18" s="242">
        <v>8.0</v>
      </c>
      <c r="F18" s="242">
        <v>8.0</v>
      </c>
      <c r="G18" s="242">
        <v>8.0</v>
      </c>
      <c r="H18" s="242">
        <v>8.0</v>
      </c>
      <c r="I18" s="242">
        <v>8.0</v>
      </c>
      <c r="J18" s="242">
        <v>8.0</v>
      </c>
      <c r="K18" s="242">
        <v>8.0</v>
      </c>
      <c r="L18" s="242">
        <v>8.0</v>
      </c>
      <c r="M18" s="242">
        <v>8.0</v>
      </c>
      <c r="N18" s="242">
        <v>8.0</v>
      </c>
      <c r="O18" s="242">
        <v>8.0</v>
      </c>
      <c r="P18" s="242">
        <v>8.0</v>
      </c>
      <c r="Q18" s="242">
        <v>8.0</v>
      </c>
      <c r="R18" s="242">
        <v>8.0</v>
      </c>
      <c r="S18" s="144">
        <f t="shared" ref="S18:CA18" si="13">R18+S36</f>
        <v>10</v>
      </c>
      <c r="T18" s="144">
        <f t="shared" si="13"/>
        <v>14</v>
      </c>
      <c r="U18" s="144">
        <f t="shared" si="13"/>
        <v>15</v>
      </c>
      <c r="V18" s="144">
        <f t="shared" si="13"/>
        <v>15</v>
      </c>
      <c r="W18" s="144">
        <f t="shared" si="13"/>
        <v>15</v>
      </c>
      <c r="X18" s="144">
        <f t="shared" si="13"/>
        <v>15</v>
      </c>
      <c r="Y18" s="144">
        <f t="shared" si="13"/>
        <v>15</v>
      </c>
      <c r="Z18" s="144">
        <f t="shared" si="13"/>
        <v>15</v>
      </c>
      <c r="AA18" s="144">
        <f t="shared" si="13"/>
        <v>15</v>
      </c>
      <c r="AB18" s="144">
        <f t="shared" si="13"/>
        <v>15</v>
      </c>
      <c r="AC18" s="144">
        <f t="shared" si="13"/>
        <v>15</v>
      </c>
      <c r="AD18" s="144">
        <f t="shared" si="13"/>
        <v>15</v>
      </c>
      <c r="AE18" s="144">
        <f t="shared" si="13"/>
        <v>15</v>
      </c>
      <c r="AF18" s="144">
        <f t="shared" si="13"/>
        <v>15</v>
      </c>
      <c r="AG18" s="144">
        <f t="shared" si="13"/>
        <v>15</v>
      </c>
      <c r="AH18" s="144">
        <f t="shared" si="13"/>
        <v>15</v>
      </c>
      <c r="AI18" s="144">
        <f t="shared" si="13"/>
        <v>15</v>
      </c>
      <c r="AJ18" s="144">
        <f t="shared" si="13"/>
        <v>15</v>
      </c>
      <c r="AK18" s="144">
        <f t="shared" si="13"/>
        <v>15</v>
      </c>
      <c r="AL18" s="144">
        <f t="shared" si="13"/>
        <v>15</v>
      </c>
      <c r="AM18" s="144">
        <f t="shared" si="13"/>
        <v>15</v>
      </c>
      <c r="AN18" s="144">
        <f t="shared" si="13"/>
        <v>15</v>
      </c>
      <c r="AO18" s="144">
        <f t="shared" si="13"/>
        <v>15</v>
      </c>
      <c r="AP18" s="144">
        <f t="shared" si="13"/>
        <v>15</v>
      </c>
      <c r="AQ18" s="144">
        <f t="shared" si="13"/>
        <v>15</v>
      </c>
      <c r="AR18" s="144">
        <f t="shared" si="13"/>
        <v>15</v>
      </c>
      <c r="AS18" s="144">
        <f t="shared" si="13"/>
        <v>15</v>
      </c>
      <c r="AT18" s="144">
        <f t="shared" si="13"/>
        <v>15</v>
      </c>
      <c r="AU18" s="144">
        <f t="shared" si="13"/>
        <v>15</v>
      </c>
      <c r="AV18" s="144">
        <f t="shared" si="13"/>
        <v>15</v>
      </c>
      <c r="AW18" s="144">
        <f t="shared" si="13"/>
        <v>15</v>
      </c>
      <c r="AX18" s="144">
        <f t="shared" si="13"/>
        <v>15</v>
      </c>
      <c r="AY18" s="144">
        <f t="shared" si="13"/>
        <v>15</v>
      </c>
      <c r="AZ18" s="144">
        <f t="shared" si="13"/>
        <v>15</v>
      </c>
      <c r="BA18" s="144">
        <f t="shared" si="13"/>
        <v>15</v>
      </c>
      <c r="BB18" s="144">
        <f t="shared" si="13"/>
        <v>15</v>
      </c>
      <c r="BC18" s="144">
        <f t="shared" si="13"/>
        <v>15</v>
      </c>
      <c r="BD18" s="144">
        <f t="shared" si="13"/>
        <v>15</v>
      </c>
      <c r="BE18" s="144">
        <f t="shared" si="13"/>
        <v>15</v>
      </c>
      <c r="BF18" s="144">
        <f t="shared" si="13"/>
        <v>15</v>
      </c>
      <c r="BG18" s="144">
        <f t="shared" si="13"/>
        <v>15</v>
      </c>
      <c r="BH18" s="144">
        <f t="shared" si="13"/>
        <v>15</v>
      </c>
      <c r="BI18" s="144">
        <f t="shared" si="13"/>
        <v>15</v>
      </c>
      <c r="BJ18" s="144">
        <f t="shared" si="13"/>
        <v>15</v>
      </c>
      <c r="BK18" s="144">
        <f t="shared" si="13"/>
        <v>15</v>
      </c>
      <c r="BL18" s="144">
        <f t="shared" si="13"/>
        <v>15</v>
      </c>
      <c r="BM18" s="144">
        <f t="shared" si="13"/>
        <v>15</v>
      </c>
      <c r="BN18" s="144">
        <f t="shared" si="13"/>
        <v>15</v>
      </c>
      <c r="BO18" s="144">
        <f t="shared" si="13"/>
        <v>15</v>
      </c>
      <c r="BP18" s="144">
        <f t="shared" si="13"/>
        <v>15</v>
      </c>
      <c r="BQ18" s="144">
        <f t="shared" si="13"/>
        <v>15</v>
      </c>
      <c r="BR18" s="144">
        <f t="shared" si="13"/>
        <v>15</v>
      </c>
      <c r="BS18" s="144">
        <f t="shared" si="13"/>
        <v>15</v>
      </c>
      <c r="BT18" s="144">
        <f t="shared" si="13"/>
        <v>15</v>
      </c>
      <c r="BU18" s="144">
        <f t="shared" si="13"/>
        <v>15</v>
      </c>
      <c r="BV18" s="144">
        <f t="shared" si="13"/>
        <v>15</v>
      </c>
      <c r="BW18" s="144">
        <f t="shared" si="13"/>
        <v>15</v>
      </c>
      <c r="BX18" s="144">
        <f t="shared" si="13"/>
        <v>15</v>
      </c>
      <c r="BY18" s="144">
        <f t="shared" si="13"/>
        <v>15</v>
      </c>
      <c r="BZ18" s="144">
        <f t="shared" si="13"/>
        <v>15</v>
      </c>
      <c r="CA18" s="144">
        <f t="shared" si="13"/>
        <v>15</v>
      </c>
    </row>
    <row r="19">
      <c r="A19" s="91" t="s">
        <v>119</v>
      </c>
      <c r="B19" s="242">
        <v>8.0</v>
      </c>
      <c r="C19" s="242">
        <v>8.0</v>
      </c>
      <c r="D19" s="242">
        <v>8.0</v>
      </c>
      <c r="E19" s="242">
        <v>8.0</v>
      </c>
      <c r="F19" s="242">
        <v>8.0</v>
      </c>
      <c r="G19" s="242">
        <v>8.0</v>
      </c>
      <c r="H19" s="242">
        <v>8.0</v>
      </c>
      <c r="I19" s="242">
        <v>8.0</v>
      </c>
      <c r="J19" s="242">
        <v>8.0</v>
      </c>
      <c r="K19" s="242">
        <v>8.0</v>
      </c>
      <c r="L19" s="242">
        <v>8.0</v>
      </c>
      <c r="M19" s="242">
        <v>8.0</v>
      </c>
      <c r="N19" s="242">
        <v>8.0</v>
      </c>
      <c r="O19" s="242">
        <v>8.0</v>
      </c>
      <c r="P19" s="242">
        <v>8.0</v>
      </c>
      <c r="Q19" s="242">
        <v>8.0</v>
      </c>
      <c r="R19" s="242">
        <v>8.0</v>
      </c>
      <c r="S19" s="144">
        <f t="shared" ref="S19:CA19" si="14">R19+S37</f>
        <v>11</v>
      </c>
      <c r="T19" s="144">
        <f t="shared" si="14"/>
        <v>11</v>
      </c>
      <c r="U19" s="144">
        <f t="shared" si="14"/>
        <v>12</v>
      </c>
      <c r="V19" s="144">
        <f t="shared" si="14"/>
        <v>13</v>
      </c>
      <c r="W19" s="144">
        <f t="shared" si="14"/>
        <v>14</v>
      </c>
      <c r="X19" s="144">
        <f t="shared" si="14"/>
        <v>14</v>
      </c>
      <c r="Y19" s="144">
        <f t="shared" si="14"/>
        <v>14</v>
      </c>
      <c r="Z19" s="144">
        <f t="shared" si="14"/>
        <v>14</v>
      </c>
      <c r="AA19" s="144">
        <f t="shared" si="14"/>
        <v>14</v>
      </c>
      <c r="AB19" s="144">
        <f t="shared" si="14"/>
        <v>14</v>
      </c>
      <c r="AC19" s="144">
        <f t="shared" si="14"/>
        <v>14</v>
      </c>
      <c r="AD19" s="144">
        <f t="shared" si="14"/>
        <v>14</v>
      </c>
      <c r="AE19" s="144">
        <f t="shared" si="14"/>
        <v>14</v>
      </c>
      <c r="AF19" s="144">
        <f t="shared" si="14"/>
        <v>14</v>
      </c>
      <c r="AG19" s="144">
        <f t="shared" si="14"/>
        <v>14</v>
      </c>
      <c r="AH19" s="144">
        <f t="shared" si="14"/>
        <v>14</v>
      </c>
      <c r="AI19" s="144">
        <f t="shared" si="14"/>
        <v>14</v>
      </c>
      <c r="AJ19" s="144">
        <f t="shared" si="14"/>
        <v>14</v>
      </c>
      <c r="AK19" s="144">
        <f t="shared" si="14"/>
        <v>14</v>
      </c>
      <c r="AL19" s="144">
        <f t="shared" si="14"/>
        <v>14</v>
      </c>
      <c r="AM19" s="144">
        <f t="shared" si="14"/>
        <v>14</v>
      </c>
      <c r="AN19" s="144">
        <f t="shared" si="14"/>
        <v>14</v>
      </c>
      <c r="AO19" s="144">
        <f t="shared" si="14"/>
        <v>14</v>
      </c>
      <c r="AP19" s="144">
        <f t="shared" si="14"/>
        <v>14</v>
      </c>
      <c r="AQ19" s="144">
        <f t="shared" si="14"/>
        <v>14</v>
      </c>
      <c r="AR19" s="144">
        <f t="shared" si="14"/>
        <v>14</v>
      </c>
      <c r="AS19" s="144">
        <f t="shared" si="14"/>
        <v>14</v>
      </c>
      <c r="AT19" s="144">
        <f t="shared" si="14"/>
        <v>14</v>
      </c>
      <c r="AU19" s="144">
        <f t="shared" si="14"/>
        <v>14</v>
      </c>
      <c r="AV19" s="144">
        <f t="shared" si="14"/>
        <v>14</v>
      </c>
      <c r="AW19" s="144">
        <f t="shared" si="14"/>
        <v>14</v>
      </c>
      <c r="AX19" s="144">
        <f t="shared" si="14"/>
        <v>14</v>
      </c>
      <c r="AY19" s="144">
        <f t="shared" si="14"/>
        <v>14</v>
      </c>
      <c r="AZ19" s="144">
        <f t="shared" si="14"/>
        <v>14</v>
      </c>
      <c r="BA19" s="144">
        <f t="shared" si="14"/>
        <v>14</v>
      </c>
      <c r="BB19" s="144">
        <f t="shared" si="14"/>
        <v>14</v>
      </c>
      <c r="BC19" s="144">
        <f t="shared" si="14"/>
        <v>14</v>
      </c>
      <c r="BD19" s="144">
        <f t="shared" si="14"/>
        <v>14</v>
      </c>
      <c r="BE19" s="144">
        <f t="shared" si="14"/>
        <v>14</v>
      </c>
      <c r="BF19" s="144">
        <f t="shared" si="14"/>
        <v>14</v>
      </c>
      <c r="BG19" s="144">
        <f t="shared" si="14"/>
        <v>14</v>
      </c>
      <c r="BH19" s="144">
        <f t="shared" si="14"/>
        <v>14</v>
      </c>
      <c r="BI19" s="144">
        <f t="shared" si="14"/>
        <v>14</v>
      </c>
      <c r="BJ19" s="144">
        <f t="shared" si="14"/>
        <v>14</v>
      </c>
      <c r="BK19" s="144">
        <f t="shared" si="14"/>
        <v>14</v>
      </c>
      <c r="BL19" s="144">
        <f t="shared" si="14"/>
        <v>14</v>
      </c>
      <c r="BM19" s="144">
        <f t="shared" si="14"/>
        <v>14</v>
      </c>
      <c r="BN19" s="144">
        <f t="shared" si="14"/>
        <v>14</v>
      </c>
      <c r="BO19" s="144">
        <f t="shared" si="14"/>
        <v>14</v>
      </c>
      <c r="BP19" s="144">
        <f t="shared" si="14"/>
        <v>14</v>
      </c>
      <c r="BQ19" s="144">
        <f t="shared" si="14"/>
        <v>14</v>
      </c>
      <c r="BR19" s="144">
        <f t="shared" si="14"/>
        <v>14</v>
      </c>
      <c r="BS19" s="144">
        <f t="shared" si="14"/>
        <v>14</v>
      </c>
      <c r="BT19" s="144">
        <f t="shared" si="14"/>
        <v>14</v>
      </c>
      <c r="BU19" s="144">
        <f t="shared" si="14"/>
        <v>14</v>
      </c>
      <c r="BV19" s="144">
        <f t="shared" si="14"/>
        <v>14</v>
      </c>
      <c r="BW19" s="144">
        <f t="shared" si="14"/>
        <v>14</v>
      </c>
      <c r="BX19" s="144">
        <f t="shared" si="14"/>
        <v>14</v>
      </c>
      <c r="BY19" s="144">
        <f t="shared" si="14"/>
        <v>14</v>
      </c>
      <c r="BZ19" s="144">
        <f t="shared" si="14"/>
        <v>14</v>
      </c>
      <c r="CA19" s="144">
        <f t="shared" si="14"/>
        <v>14</v>
      </c>
    </row>
    <row r="20">
      <c r="A20" s="243" t="s">
        <v>425</v>
      </c>
      <c r="B20" s="184">
        <f t="shared" ref="B20:CA20" si="15">SUM(B6:B19)</f>
        <v>149</v>
      </c>
      <c r="C20" s="184">
        <f t="shared" si="15"/>
        <v>149</v>
      </c>
      <c r="D20" s="184">
        <f t="shared" si="15"/>
        <v>149</v>
      </c>
      <c r="E20" s="184">
        <f t="shared" si="15"/>
        <v>149</v>
      </c>
      <c r="F20" s="184">
        <f t="shared" si="15"/>
        <v>149</v>
      </c>
      <c r="G20" s="184">
        <f t="shared" si="15"/>
        <v>149</v>
      </c>
      <c r="H20" s="184">
        <f t="shared" si="15"/>
        <v>149</v>
      </c>
      <c r="I20" s="184">
        <f t="shared" si="15"/>
        <v>149</v>
      </c>
      <c r="J20" s="184">
        <f t="shared" si="15"/>
        <v>149</v>
      </c>
      <c r="K20" s="184">
        <f t="shared" si="15"/>
        <v>149</v>
      </c>
      <c r="L20" s="184">
        <f t="shared" si="15"/>
        <v>149</v>
      </c>
      <c r="M20" s="184">
        <f t="shared" si="15"/>
        <v>149</v>
      </c>
      <c r="N20" s="184">
        <f t="shared" si="15"/>
        <v>149</v>
      </c>
      <c r="O20" s="184">
        <f t="shared" si="15"/>
        <v>149</v>
      </c>
      <c r="P20" s="184">
        <f t="shared" si="15"/>
        <v>149</v>
      </c>
      <c r="Q20" s="184">
        <f t="shared" si="15"/>
        <v>149</v>
      </c>
      <c r="R20" s="184">
        <f t="shared" si="15"/>
        <v>149</v>
      </c>
      <c r="S20" s="184">
        <f t="shared" si="15"/>
        <v>168</v>
      </c>
      <c r="T20" s="184">
        <f t="shared" si="15"/>
        <v>175</v>
      </c>
      <c r="U20" s="184">
        <f t="shared" si="15"/>
        <v>179</v>
      </c>
      <c r="V20" s="184">
        <f t="shared" si="15"/>
        <v>182</v>
      </c>
      <c r="W20" s="184">
        <f t="shared" si="15"/>
        <v>185</v>
      </c>
      <c r="X20" s="184">
        <f t="shared" si="15"/>
        <v>185</v>
      </c>
      <c r="Y20" s="184">
        <f t="shared" si="15"/>
        <v>185</v>
      </c>
      <c r="Z20" s="184">
        <f t="shared" si="15"/>
        <v>187</v>
      </c>
      <c r="AA20" s="184">
        <f t="shared" si="15"/>
        <v>190</v>
      </c>
      <c r="AB20" s="184">
        <f t="shared" si="15"/>
        <v>192</v>
      </c>
      <c r="AC20" s="184">
        <f t="shared" si="15"/>
        <v>195</v>
      </c>
      <c r="AD20" s="184">
        <f t="shared" si="15"/>
        <v>198</v>
      </c>
      <c r="AE20" s="184">
        <f t="shared" si="15"/>
        <v>201</v>
      </c>
      <c r="AF20" s="184">
        <f t="shared" si="15"/>
        <v>203</v>
      </c>
      <c r="AG20" s="184">
        <f t="shared" si="15"/>
        <v>205</v>
      </c>
      <c r="AH20" s="184">
        <f t="shared" si="15"/>
        <v>206</v>
      </c>
      <c r="AI20" s="184">
        <f t="shared" si="15"/>
        <v>206</v>
      </c>
      <c r="AJ20" s="184">
        <f t="shared" si="15"/>
        <v>207</v>
      </c>
      <c r="AK20" s="184">
        <f t="shared" si="15"/>
        <v>208</v>
      </c>
      <c r="AL20" s="184">
        <f t="shared" si="15"/>
        <v>209</v>
      </c>
      <c r="AM20" s="184">
        <f t="shared" si="15"/>
        <v>211</v>
      </c>
      <c r="AN20" s="184">
        <f t="shared" si="15"/>
        <v>212</v>
      </c>
      <c r="AO20" s="184">
        <f t="shared" si="15"/>
        <v>213</v>
      </c>
      <c r="AP20" s="184">
        <f t="shared" si="15"/>
        <v>215</v>
      </c>
      <c r="AQ20" s="184">
        <f t="shared" si="15"/>
        <v>215</v>
      </c>
      <c r="AR20" s="184">
        <f t="shared" si="15"/>
        <v>216</v>
      </c>
      <c r="AS20" s="184">
        <f t="shared" si="15"/>
        <v>219</v>
      </c>
      <c r="AT20" s="184">
        <f t="shared" si="15"/>
        <v>221</v>
      </c>
      <c r="AU20" s="184">
        <f t="shared" si="15"/>
        <v>225</v>
      </c>
      <c r="AV20" s="184">
        <f t="shared" si="15"/>
        <v>226</v>
      </c>
      <c r="AW20" s="184">
        <f t="shared" si="15"/>
        <v>227</v>
      </c>
      <c r="AX20" s="184">
        <f t="shared" si="15"/>
        <v>230</v>
      </c>
      <c r="AY20" s="184">
        <f t="shared" si="15"/>
        <v>232</v>
      </c>
      <c r="AZ20" s="184">
        <f t="shared" si="15"/>
        <v>233</v>
      </c>
      <c r="BA20" s="184">
        <f t="shared" si="15"/>
        <v>236</v>
      </c>
      <c r="BB20" s="184">
        <f t="shared" si="15"/>
        <v>236</v>
      </c>
      <c r="BC20" s="184">
        <f t="shared" si="15"/>
        <v>239</v>
      </c>
      <c r="BD20" s="184">
        <f t="shared" si="15"/>
        <v>243</v>
      </c>
      <c r="BE20" s="184">
        <f t="shared" si="15"/>
        <v>258</v>
      </c>
      <c r="BF20" s="184">
        <f t="shared" si="15"/>
        <v>265</v>
      </c>
      <c r="BG20" s="184">
        <f t="shared" si="15"/>
        <v>268</v>
      </c>
      <c r="BH20" s="184">
        <f t="shared" si="15"/>
        <v>270</v>
      </c>
      <c r="BI20" s="184">
        <f t="shared" si="15"/>
        <v>271</v>
      </c>
      <c r="BJ20" s="184">
        <f t="shared" si="15"/>
        <v>274</v>
      </c>
      <c r="BK20" s="184">
        <f t="shared" si="15"/>
        <v>276</v>
      </c>
      <c r="BL20" s="184">
        <f t="shared" si="15"/>
        <v>277</v>
      </c>
      <c r="BM20" s="184">
        <f t="shared" si="15"/>
        <v>279</v>
      </c>
      <c r="BN20" s="184">
        <f t="shared" si="15"/>
        <v>282</v>
      </c>
      <c r="BO20" s="184">
        <f t="shared" si="15"/>
        <v>282</v>
      </c>
      <c r="BP20" s="184">
        <f t="shared" si="15"/>
        <v>284</v>
      </c>
      <c r="BQ20" s="184">
        <f t="shared" si="15"/>
        <v>287</v>
      </c>
      <c r="BR20" s="184">
        <f t="shared" si="15"/>
        <v>288</v>
      </c>
      <c r="BS20" s="184">
        <f t="shared" si="15"/>
        <v>290</v>
      </c>
      <c r="BT20" s="184">
        <f t="shared" si="15"/>
        <v>290</v>
      </c>
      <c r="BU20" s="184">
        <f t="shared" si="15"/>
        <v>292</v>
      </c>
      <c r="BV20" s="184">
        <f t="shared" si="15"/>
        <v>294</v>
      </c>
      <c r="BW20" s="184">
        <f t="shared" si="15"/>
        <v>294</v>
      </c>
      <c r="BX20" s="184">
        <f t="shared" si="15"/>
        <v>295</v>
      </c>
      <c r="BY20" s="184">
        <f t="shared" si="15"/>
        <v>295</v>
      </c>
      <c r="BZ20" s="184">
        <f t="shared" si="15"/>
        <v>297</v>
      </c>
      <c r="CA20" s="184">
        <f t="shared" si="15"/>
        <v>299</v>
      </c>
    </row>
    <row r="21" ht="15.75" customHeight="1">
      <c r="A21" s="91"/>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row>
    <row r="22" ht="15.75" customHeight="1">
      <c r="A22" s="91"/>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row>
    <row r="23" ht="15.75" customHeight="1">
      <c r="A23" s="129" t="s">
        <v>426</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row>
    <row r="24" ht="15.75" customHeight="1">
      <c r="A24" s="91" t="s">
        <v>414</v>
      </c>
      <c r="B24" s="144"/>
      <c r="C24" s="242">
        <f t="shared" ref="C24:L24" si="16">C6-B6</f>
        <v>0</v>
      </c>
      <c r="D24" s="242">
        <f t="shared" si="16"/>
        <v>0</v>
      </c>
      <c r="E24" s="242">
        <f t="shared" si="16"/>
        <v>0</v>
      </c>
      <c r="F24" s="242">
        <f t="shared" si="16"/>
        <v>0</v>
      </c>
      <c r="G24" s="242">
        <f t="shared" si="16"/>
        <v>0</v>
      </c>
      <c r="H24" s="242">
        <f t="shared" si="16"/>
        <v>0</v>
      </c>
      <c r="I24" s="242">
        <f t="shared" si="16"/>
        <v>0</v>
      </c>
      <c r="J24" s="242">
        <f t="shared" si="16"/>
        <v>0</v>
      </c>
      <c r="K24" s="242">
        <f t="shared" si="16"/>
        <v>0</v>
      </c>
      <c r="L24" s="242">
        <f t="shared" si="16"/>
        <v>0</v>
      </c>
      <c r="M24" s="242"/>
      <c r="N24" s="242">
        <f>Capacity!U213</f>
        <v>0</v>
      </c>
      <c r="O24" s="242">
        <f t="shared" ref="O24:R24" si="17">O6-N6</f>
        <v>0</v>
      </c>
      <c r="P24" s="242">
        <f t="shared" si="17"/>
        <v>0</v>
      </c>
      <c r="Q24" s="242">
        <f t="shared" si="17"/>
        <v>0</v>
      </c>
      <c r="R24" s="242">
        <f t="shared" si="17"/>
        <v>0</v>
      </c>
      <c r="S24" s="162">
        <f>Capacity!Z6</f>
        <v>0</v>
      </c>
      <c r="T24" s="162">
        <f>Capacity!AA6</f>
        <v>0</v>
      </c>
      <c r="U24" s="162">
        <f>Capacity!AB6</f>
        <v>0</v>
      </c>
      <c r="V24" s="162">
        <f>Capacity!AC6</f>
        <v>0</v>
      </c>
      <c r="W24" s="162">
        <f>Capacity!AD6</f>
        <v>0</v>
      </c>
      <c r="X24" s="162">
        <f>Capacity!AE6</f>
        <v>0</v>
      </c>
      <c r="Y24" s="162">
        <f>Capacity!AF6</f>
        <v>0</v>
      </c>
      <c r="Z24" s="162">
        <f>Capacity!AG6</f>
        <v>0</v>
      </c>
      <c r="AA24" s="162">
        <f>Capacity!AH6</f>
        <v>0</v>
      </c>
      <c r="AB24" s="162">
        <f>Capacity!AI6</f>
        <v>0</v>
      </c>
      <c r="AC24" s="162">
        <f>Capacity!AJ6</f>
        <v>0</v>
      </c>
      <c r="AD24" s="162">
        <f>Capacity!AK6</f>
        <v>0</v>
      </c>
      <c r="AE24" s="162">
        <f>Capacity!AL6</f>
        <v>0</v>
      </c>
      <c r="AF24" s="162">
        <f>Capacity!AM6</f>
        <v>0</v>
      </c>
      <c r="AG24" s="162">
        <f>Capacity!AN6</f>
        <v>0</v>
      </c>
      <c r="AH24" s="162">
        <f>Capacity!AO6</f>
        <v>0</v>
      </c>
      <c r="AI24" s="162">
        <f>Capacity!AP6</f>
        <v>0</v>
      </c>
      <c r="AJ24" s="162">
        <f>Capacity!AQ6</f>
        <v>0</v>
      </c>
      <c r="AK24" s="162">
        <f>Capacity!AR6</f>
        <v>0</v>
      </c>
      <c r="AL24" s="162">
        <f>Capacity!AS6</f>
        <v>0</v>
      </c>
      <c r="AM24" s="162">
        <f>Capacity!AT6</f>
        <v>0</v>
      </c>
      <c r="AN24" s="162">
        <f>Capacity!AU6</f>
        <v>0</v>
      </c>
      <c r="AO24" s="162">
        <f>Capacity!AV6</f>
        <v>0</v>
      </c>
      <c r="AP24" s="162">
        <f>Capacity!AW6</f>
        <v>0</v>
      </c>
      <c r="AQ24" s="162">
        <f>Capacity!AX6</f>
        <v>0</v>
      </c>
      <c r="AR24" s="162">
        <f>Capacity!AY6</f>
        <v>0</v>
      </c>
      <c r="AS24" s="162">
        <f>Capacity!AZ6</f>
        <v>0</v>
      </c>
      <c r="AT24" s="162">
        <f>Capacity!BA6</f>
        <v>0</v>
      </c>
      <c r="AU24" s="162">
        <f>Capacity!BB6</f>
        <v>0</v>
      </c>
      <c r="AV24" s="162">
        <f>Capacity!BC6</f>
        <v>0</v>
      </c>
      <c r="AW24" s="162">
        <f>Capacity!BD6</f>
        <v>0</v>
      </c>
      <c r="AX24" s="162">
        <f>Capacity!BE6</f>
        <v>0</v>
      </c>
      <c r="AY24" s="162">
        <f>Capacity!BF6</f>
        <v>0</v>
      </c>
      <c r="AZ24" s="162">
        <f>Capacity!BG6</f>
        <v>0</v>
      </c>
      <c r="BA24" s="162">
        <f>Capacity!BH6</f>
        <v>0</v>
      </c>
      <c r="BB24" s="162">
        <f>Capacity!BI6</f>
        <v>0</v>
      </c>
      <c r="BC24" s="162">
        <f>Capacity!BJ6</f>
        <v>0</v>
      </c>
      <c r="BD24" s="162">
        <f>Capacity!BK6</f>
        <v>0</v>
      </c>
      <c r="BE24" s="162">
        <f>Capacity!BL6</f>
        <v>0</v>
      </c>
      <c r="BF24" s="162">
        <f>Capacity!BM6</f>
        <v>0</v>
      </c>
      <c r="BG24" s="162">
        <f>Capacity!BN6</f>
        <v>0</v>
      </c>
      <c r="BH24" s="162">
        <f>Capacity!BO6</f>
        <v>0</v>
      </c>
      <c r="BI24" s="162">
        <f>Capacity!BP6</f>
        <v>0</v>
      </c>
      <c r="BJ24" s="162">
        <f>Capacity!BQ6</f>
        <v>0</v>
      </c>
      <c r="BK24" s="162">
        <f>Capacity!BR6</f>
        <v>0</v>
      </c>
      <c r="BL24" s="162">
        <f>Capacity!BS6</f>
        <v>0</v>
      </c>
      <c r="BM24" s="162">
        <f>Capacity!BT6</f>
        <v>0</v>
      </c>
      <c r="BN24" s="162">
        <f>Capacity!BU6</f>
        <v>0</v>
      </c>
      <c r="BO24" s="162">
        <f>Capacity!BV6</f>
        <v>0</v>
      </c>
      <c r="BP24" s="162">
        <f>Capacity!BW6</f>
        <v>0</v>
      </c>
      <c r="BQ24" s="162">
        <f>Capacity!BX6</f>
        <v>0</v>
      </c>
      <c r="BR24" s="162">
        <f>Capacity!BY6</f>
        <v>0</v>
      </c>
      <c r="BS24" s="162">
        <f>Capacity!BZ6</f>
        <v>0</v>
      </c>
      <c r="BT24" s="162">
        <f>Capacity!CA6</f>
        <v>0</v>
      </c>
      <c r="BU24" s="162">
        <f>Capacity!CB6</f>
        <v>0</v>
      </c>
      <c r="BV24" s="162">
        <f>Capacity!CC6</f>
        <v>0</v>
      </c>
      <c r="BW24" s="162">
        <f>Capacity!CD6</f>
        <v>0</v>
      </c>
      <c r="BX24" s="162">
        <f>Capacity!CE6</f>
        <v>0</v>
      </c>
      <c r="BY24" s="162">
        <f>Capacity!CF6</f>
        <v>0</v>
      </c>
      <c r="BZ24" s="162">
        <f>Capacity!CG6</f>
        <v>0</v>
      </c>
      <c r="CA24" s="162">
        <f>Capacity!CH6</f>
        <v>0</v>
      </c>
    </row>
    <row r="25" ht="15.75" customHeight="1">
      <c r="A25" s="91" t="s">
        <v>415</v>
      </c>
      <c r="B25" s="144"/>
      <c r="C25" s="242">
        <f t="shared" ref="C25:R25" si="18">C7-B7</f>
        <v>0</v>
      </c>
      <c r="D25" s="242">
        <f t="shared" si="18"/>
        <v>0</v>
      </c>
      <c r="E25" s="242">
        <f t="shared" si="18"/>
        <v>0</v>
      </c>
      <c r="F25" s="242">
        <f t="shared" si="18"/>
        <v>0</v>
      </c>
      <c r="G25" s="242">
        <f t="shared" si="18"/>
        <v>0</v>
      </c>
      <c r="H25" s="242">
        <f t="shared" si="18"/>
        <v>0</v>
      </c>
      <c r="I25" s="242">
        <f t="shared" si="18"/>
        <v>0</v>
      </c>
      <c r="J25" s="242">
        <f t="shared" si="18"/>
        <v>0</v>
      </c>
      <c r="K25" s="242">
        <f t="shared" si="18"/>
        <v>0</v>
      </c>
      <c r="L25" s="242">
        <f t="shared" si="18"/>
        <v>0</v>
      </c>
      <c r="M25" s="242">
        <f t="shared" si="18"/>
        <v>0</v>
      </c>
      <c r="N25" s="242">
        <f t="shared" si="18"/>
        <v>0</v>
      </c>
      <c r="O25" s="242">
        <f t="shared" si="18"/>
        <v>0</v>
      </c>
      <c r="P25" s="242">
        <f t="shared" si="18"/>
        <v>0</v>
      </c>
      <c r="Q25" s="242">
        <f t="shared" si="18"/>
        <v>0</v>
      </c>
      <c r="R25" s="242">
        <f t="shared" si="18"/>
        <v>0</v>
      </c>
      <c r="S25" s="162">
        <f>Capacity!Z7</f>
        <v>1</v>
      </c>
      <c r="T25" s="162">
        <f>Capacity!AA7</f>
        <v>-5</v>
      </c>
      <c r="U25" s="162">
        <f>Capacity!AB7</f>
        <v>0</v>
      </c>
      <c r="V25" s="162">
        <f>Capacity!AC7</f>
        <v>0</v>
      </c>
      <c r="W25" s="162">
        <f>Capacity!AD7</f>
        <v>0</v>
      </c>
      <c r="X25" s="162">
        <f>Capacity!AE7</f>
        <v>0</v>
      </c>
      <c r="Y25" s="162">
        <f>Capacity!AF7</f>
        <v>0</v>
      </c>
      <c r="Z25" s="162">
        <f>Capacity!AG7</f>
        <v>0</v>
      </c>
      <c r="AA25" s="162">
        <f>Capacity!AH7</f>
        <v>0</v>
      </c>
      <c r="AB25" s="162">
        <f>Capacity!AI7</f>
        <v>0</v>
      </c>
      <c r="AC25" s="162">
        <f>Capacity!AJ7</f>
        <v>1</v>
      </c>
      <c r="AD25" s="162">
        <f>Capacity!AK7</f>
        <v>0</v>
      </c>
      <c r="AE25" s="162">
        <f>Capacity!AL7</f>
        <v>0</v>
      </c>
      <c r="AF25" s="162">
        <f>Capacity!AM7</f>
        <v>0</v>
      </c>
      <c r="AG25" s="162">
        <f>Capacity!AN7</f>
        <v>0</v>
      </c>
      <c r="AH25" s="162">
        <f>Capacity!AO7</f>
        <v>0</v>
      </c>
      <c r="AI25" s="162">
        <f>Capacity!AP7</f>
        <v>0</v>
      </c>
      <c r="AJ25" s="162">
        <f>Capacity!AQ7</f>
        <v>0</v>
      </c>
      <c r="AK25" s="162">
        <f>Capacity!AR7</f>
        <v>0</v>
      </c>
      <c r="AL25" s="162">
        <f>Capacity!AS7</f>
        <v>0</v>
      </c>
      <c r="AM25" s="162">
        <f>Capacity!AT7</f>
        <v>0</v>
      </c>
      <c r="AN25" s="162">
        <f>Capacity!AU7</f>
        <v>0</v>
      </c>
      <c r="AO25" s="162">
        <f>Capacity!AV7</f>
        <v>0</v>
      </c>
      <c r="AP25" s="162">
        <f>Capacity!AW7</f>
        <v>0</v>
      </c>
      <c r="AQ25" s="162">
        <f>Capacity!AX7</f>
        <v>0</v>
      </c>
      <c r="AR25" s="162">
        <f>Capacity!AY7</f>
        <v>0</v>
      </c>
      <c r="AS25" s="162">
        <f>Capacity!AZ7</f>
        <v>0</v>
      </c>
      <c r="AT25" s="162">
        <f>Capacity!BA7</f>
        <v>0</v>
      </c>
      <c r="AU25" s="162">
        <f>Capacity!BB7</f>
        <v>1</v>
      </c>
      <c r="AV25" s="162">
        <f>Capacity!BC7</f>
        <v>0</v>
      </c>
      <c r="AW25" s="162">
        <f>Capacity!BD7</f>
        <v>0</v>
      </c>
      <c r="AX25" s="162">
        <f>Capacity!BE7</f>
        <v>0</v>
      </c>
      <c r="AY25" s="162">
        <f>Capacity!BF7</f>
        <v>0</v>
      </c>
      <c r="AZ25" s="162">
        <f>Capacity!BG7</f>
        <v>0</v>
      </c>
      <c r="BA25" s="162">
        <f>Capacity!BH7</f>
        <v>0</v>
      </c>
      <c r="BB25" s="162">
        <f>Capacity!BI7</f>
        <v>0</v>
      </c>
      <c r="BC25" s="162">
        <f>Capacity!BJ7</f>
        <v>0</v>
      </c>
      <c r="BD25" s="162">
        <f>Capacity!BK7</f>
        <v>0</v>
      </c>
      <c r="BE25" s="162">
        <f>Capacity!BL7</f>
        <v>0</v>
      </c>
      <c r="BF25" s="162">
        <f>Capacity!BM7</f>
        <v>0</v>
      </c>
      <c r="BG25" s="162">
        <f>Capacity!BN7</f>
        <v>1</v>
      </c>
      <c r="BH25" s="162">
        <f>Capacity!BO7</f>
        <v>0</v>
      </c>
      <c r="BI25" s="162">
        <f>Capacity!BP7</f>
        <v>0</v>
      </c>
      <c r="BJ25" s="162">
        <f>Capacity!BQ7</f>
        <v>0</v>
      </c>
      <c r="BK25" s="162">
        <f>Capacity!BR7</f>
        <v>0</v>
      </c>
      <c r="BL25" s="162">
        <f>Capacity!BS7</f>
        <v>0</v>
      </c>
      <c r="BM25" s="162">
        <f>Capacity!BT7</f>
        <v>0</v>
      </c>
      <c r="BN25" s="162">
        <f>Capacity!BU7</f>
        <v>0</v>
      </c>
      <c r="BO25" s="162">
        <f>Capacity!BV7</f>
        <v>0</v>
      </c>
      <c r="BP25" s="162">
        <f>Capacity!BW7</f>
        <v>0</v>
      </c>
      <c r="BQ25" s="162">
        <f>Capacity!BX7</f>
        <v>0</v>
      </c>
      <c r="BR25" s="162">
        <f>Capacity!BY7</f>
        <v>0</v>
      </c>
      <c r="BS25" s="162">
        <f>Capacity!BZ7</f>
        <v>0</v>
      </c>
      <c r="BT25" s="162">
        <f>Capacity!CA7</f>
        <v>0</v>
      </c>
      <c r="BU25" s="162">
        <f>Capacity!CB7</f>
        <v>0</v>
      </c>
      <c r="BV25" s="162">
        <f>Capacity!CC7</f>
        <v>0</v>
      </c>
      <c r="BW25" s="162">
        <f>Capacity!CD7</f>
        <v>0</v>
      </c>
      <c r="BX25" s="162">
        <f>Capacity!CE7</f>
        <v>0</v>
      </c>
      <c r="BY25" s="162">
        <f>Capacity!CF7</f>
        <v>0</v>
      </c>
      <c r="BZ25" s="162">
        <f>Capacity!CG7</f>
        <v>0</v>
      </c>
      <c r="CA25" s="162">
        <f>Capacity!CH7</f>
        <v>0</v>
      </c>
    </row>
    <row r="26" ht="15.75" customHeight="1">
      <c r="A26" s="91" t="s">
        <v>416</v>
      </c>
      <c r="B26" s="144"/>
      <c r="C26" s="242">
        <f t="shared" ref="C26:R26" si="19">C8-B8</f>
        <v>0</v>
      </c>
      <c r="D26" s="242">
        <f t="shared" si="19"/>
        <v>0</v>
      </c>
      <c r="E26" s="242">
        <f t="shared" si="19"/>
        <v>0</v>
      </c>
      <c r="F26" s="242">
        <f t="shared" si="19"/>
        <v>0</v>
      </c>
      <c r="G26" s="242">
        <f t="shared" si="19"/>
        <v>0</v>
      </c>
      <c r="H26" s="242">
        <f t="shared" si="19"/>
        <v>0</v>
      </c>
      <c r="I26" s="242">
        <f t="shared" si="19"/>
        <v>0</v>
      </c>
      <c r="J26" s="242">
        <f t="shared" si="19"/>
        <v>0</v>
      </c>
      <c r="K26" s="242">
        <f t="shared" si="19"/>
        <v>0</v>
      </c>
      <c r="L26" s="242">
        <f t="shared" si="19"/>
        <v>0</v>
      </c>
      <c r="M26" s="242">
        <f t="shared" si="19"/>
        <v>0</v>
      </c>
      <c r="N26" s="242">
        <f t="shared" si="19"/>
        <v>0</v>
      </c>
      <c r="O26" s="242">
        <f t="shared" si="19"/>
        <v>0</v>
      </c>
      <c r="P26" s="242">
        <f t="shared" si="19"/>
        <v>0</v>
      </c>
      <c r="Q26" s="242">
        <f t="shared" si="19"/>
        <v>0</v>
      </c>
      <c r="R26" s="242">
        <f t="shared" si="19"/>
        <v>0</v>
      </c>
      <c r="S26" s="162">
        <f>Capacity!Z13</f>
        <v>0</v>
      </c>
      <c r="T26" s="162">
        <f>Capacity!AA13</f>
        <v>0</v>
      </c>
      <c r="U26" s="162">
        <f>Capacity!AB13</f>
        <v>0</v>
      </c>
      <c r="V26" s="162">
        <f>Capacity!AC13</f>
        <v>0</v>
      </c>
      <c r="W26" s="162">
        <f>Capacity!AD13</f>
        <v>0</v>
      </c>
      <c r="X26" s="162">
        <f>Capacity!AE13</f>
        <v>0</v>
      </c>
      <c r="Y26" s="162">
        <f>Capacity!AF13</f>
        <v>0</v>
      </c>
      <c r="Z26" s="162">
        <f>Capacity!AG13</f>
        <v>0</v>
      </c>
      <c r="AA26" s="162">
        <f>Capacity!AH13</f>
        <v>0</v>
      </c>
      <c r="AB26" s="162">
        <f>Capacity!AI13</f>
        <v>0</v>
      </c>
      <c r="AC26" s="162">
        <f>Capacity!AJ13</f>
        <v>0</v>
      </c>
      <c r="AD26" s="162">
        <f>Capacity!AK13</f>
        <v>0</v>
      </c>
      <c r="AE26" s="162">
        <f>Capacity!AL13</f>
        <v>0</v>
      </c>
      <c r="AF26" s="162">
        <f>Capacity!AM13</f>
        <v>0</v>
      </c>
      <c r="AG26" s="162">
        <f>Capacity!AN13</f>
        <v>0</v>
      </c>
      <c r="AH26" s="162">
        <f>Capacity!AO13</f>
        <v>0</v>
      </c>
      <c r="AI26" s="162">
        <f>Capacity!AP13</f>
        <v>0</v>
      </c>
      <c r="AJ26" s="162">
        <f>Capacity!AQ13</f>
        <v>0</v>
      </c>
      <c r="AK26" s="162">
        <f>Capacity!AR13</f>
        <v>0</v>
      </c>
      <c r="AL26" s="162">
        <f>Capacity!AS13</f>
        <v>0</v>
      </c>
      <c r="AM26" s="162">
        <f>Capacity!AT13</f>
        <v>0</v>
      </c>
      <c r="AN26" s="162">
        <f>Capacity!AU13</f>
        <v>0</v>
      </c>
      <c r="AO26" s="162">
        <f>Capacity!AV13</f>
        <v>0</v>
      </c>
      <c r="AP26" s="162">
        <f>Capacity!AW13</f>
        <v>0</v>
      </c>
      <c r="AQ26" s="162">
        <f>Capacity!AX13</f>
        <v>0</v>
      </c>
      <c r="AR26" s="162">
        <f>Capacity!AY13</f>
        <v>0</v>
      </c>
      <c r="AS26" s="162">
        <f>Capacity!AZ13</f>
        <v>0</v>
      </c>
      <c r="AT26" s="162">
        <f>Capacity!BA13</f>
        <v>0</v>
      </c>
      <c r="AU26" s="162">
        <f>Capacity!BB13</f>
        <v>0</v>
      </c>
      <c r="AV26" s="162">
        <f>Capacity!BC13</f>
        <v>0</v>
      </c>
      <c r="AW26" s="162">
        <f>Capacity!BD13</f>
        <v>0</v>
      </c>
      <c r="AX26" s="162">
        <f>Capacity!BE13</f>
        <v>0</v>
      </c>
      <c r="AY26" s="162">
        <f>Capacity!BF13</f>
        <v>0</v>
      </c>
      <c r="AZ26" s="162">
        <f>Capacity!BG13</f>
        <v>0</v>
      </c>
      <c r="BA26" s="162">
        <f>Capacity!BH13</f>
        <v>0</v>
      </c>
      <c r="BB26" s="162">
        <f>Capacity!BI13</f>
        <v>0</v>
      </c>
      <c r="BC26" s="162">
        <f>Capacity!BJ13</f>
        <v>0</v>
      </c>
      <c r="BD26" s="162">
        <f>Capacity!BK13</f>
        <v>0</v>
      </c>
      <c r="BE26" s="162">
        <f>Capacity!BL13</f>
        <v>0</v>
      </c>
      <c r="BF26" s="162">
        <f>Capacity!BM13</f>
        <v>0</v>
      </c>
      <c r="BG26" s="162">
        <f>Capacity!BN13</f>
        <v>0</v>
      </c>
      <c r="BH26" s="162">
        <f>Capacity!BO13</f>
        <v>0</v>
      </c>
      <c r="BI26" s="162">
        <f>Capacity!BP13</f>
        <v>0</v>
      </c>
      <c r="BJ26" s="162">
        <f>Capacity!BQ13</f>
        <v>0</v>
      </c>
      <c r="BK26" s="162">
        <f>Capacity!BR13</f>
        <v>0</v>
      </c>
      <c r="BL26" s="162">
        <f>Capacity!BS13</f>
        <v>0</v>
      </c>
      <c r="BM26" s="162">
        <f>Capacity!BT13</f>
        <v>0</v>
      </c>
      <c r="BN26" s="162">
        <f>Capacity!BU13</f>
        <v>0</v>
      </c>
      <c r="BO26" s="162">
        <f>Capacity!BV13</f>
        <v>0</v>
      </c>
      <c r="BP26" s="162">
        <f>Capacity!BW13</f>
        <v>0</v>
      </c>
      <c r="BQ26" s="162">
        <f>Capacity!BX13</f>
        <v>0</v>
      </c>
      <c r="BR26" s="162">
        <f>Capacity!BY13</f>
        <v>0</v>
      </c>
      <c r="BS26" s="162">
        <f>Capacity!BZ13</f>
        <v>0</v>
      </c>
      <c r="BT26" s="162">
        <f>Capacity!CA13</f>
        <v>0</v>
      </c>
      <c r="BU26" s="162">
        <f>Capacity!CB13</f>
        <v>0</v>
      </c>
      <c r="BV26" s="162">
        <f>Capacity!CC13</f>
        <v>0</v>
      </c>
      <c r="BW26" s="162">
        <f>Capacity!CD13</f>
        <v>0</v>
      </c>
      <c r="BX26" s="162">
        <f>Capacity!CE13</f>
        <v>0</v>
      </c>
      <c r="BY26" s="162">
        <f>Capacity!CF13</f>
        <v>0</v>
      </c>
      <c r="BZ26" s="162">
        <f>Capacity!CG13</f>
        <v>0</v>
      </c>
      <c r="CA26" s="162">
        <f>Capacity!CH13</f>
        <v>0</v>
      </c>
    </row>
    <row r="27" ht="15.75" customHeight="1">
      <c r="A27" s="91" t="s">
        <v>417</v>
      </c>
      <c r="B27" s="144"/>
      <c r="C27" s="242">
        <f t="shared" ref="C27:R27" si="20">C9-B9</f>
        <v>0</v>
      </c>
      <c r="D27" s="242">
        <f t="shared" si="20"/>
        <v>0</v>
      </c>
      <c r="E27" s="242">
        <f t="shared" si="20"/>
        <v>0</v>
      </c>
      <c r="F27" s="242">
        <f t="shared" si="20"/>
        <v>0</v>
      </c>
      <c r="G27" s="242">
        <f t="shared" si="20"/>
        <v>0</v>
      </c>
      <c r="H27" s="242">
        <f t="shared" si="20"/>
        <v>0</v>
      </c>
      <c r="I27" s="242">
        <f t="shared" si="20"/>
        <v>0</v>
      </c>
      <c r="J27" s="242">
        <f t="shared" si="20"/>
        <v>0</v>
      </c>
      <c r="K27" s="242">
        <f t="shared" si="20"/>
        <v>0</v>
      </c>
      <c r="L27" s="242">
        <f t="shared" si="20"/>
        <v>0</v>
      </c>
      <c r="M27" s="242">
        <f t="shared" si="20"/>
        <v>0</v>
      </c>
      <c r="N27" s="242">
        <f t="shared" si="20"/>
        <v>0</v>
      </c>
      <c r="O27" s="242">
        <f t="shared" si="20"/>
        <v>0</v>
      </c>
      <c r="P27" s="242">
        <f t="shared" si="20"/>
        <v>0</v>
      </c>
      <c r="Q27" s="242">
        <f t="shared" si="20"/>
        <v>0</v>
      </c>
      <c r="R27" s="242">
        <f t="shared" si="20"/>
        <v>0</v>
      </c>
      <c r="S27" s="244">
        <v>0.0</v>
      </c>
      <c r="T27" s="244">
        <v>1.0</v>
      </c>
      <c r="U27" s="162">
        <f>Capacity!AB12</f>
        <v>0</v>
      </c>
      <c r="V27" s="162">
        <f>Capacity!AC12</f>
        <v>0</v>
      </c>
      <c r="W27" s="162">
        <f>Capacity!AD12</f>
        <v>0</v>
      </c>
      <c r="X27" s="162">
        <f>Capacity!AE12</f>
        <v>0</v>
      </c>
      <c r="Y27" s="162">
        <f>Capacity!AF12</f>
        <v>0</v>
      </c>
      <c r="Z27" s="162">
        <f>Capacity!AG12</f>
        <v>1</v>
      </c>
      <c r="AA27" s="162">
        <f>Capacity!AH12</f>
        <v>1</v>
      </c>
      <c r="AB27" s="162">
        <f>Capacity!AI12</f>
        <v>1</v>
      </c>
      <c r="AC27" s="162">
        <f>Capacity!AJ12</f>
        <v>1</v>
      </c>
      <c r="AD27" s="162">
        <f>Capacity!AK12</f>
        <v>1</v>
      </c>
      <c r="AE27" s="162">
        <f>Capacity!AL12</f>
        <v>1</v>
      </c>
      <c r="AF27" s="162">
        <f>Capacity!AM12</f>
        <v>0</v>
      </c>
      <c r="AG27" s="162">
        <f>Capacity!AN12</f>
        <v>0</v>
      </c>
      <c r="AH27" s="162">
        <f>Capacity!AO12</f>
        <v>0</v>
      </c>
      <c r="AI27" s="162">
        <f>Capacity!AP12</f>
        <v>0</v>
      </c>
      <c r="AJ27" s="162">
        <f>Capacity!AQ12</f>
        <v>0</v>
      </c>
      <c r="AK27" s="162">
        <f>Capacity!AR12</f>
        <v>1</v>
      </c>
      <c r="AL27" s="162">
        <f>Capacity!AS12</f>
        <v>0</v>
      </c>
      <c r="AM27" s="162">
        <f>Capacity!AT12</f>
        <v>0</v>
      </c>
      <c r="AN27" s="162">
        <f>Capacity!AU12</f>
        <v>0</v>
      </c>
      <c r="AO27" s="162">
        <f>Capacity!AV12</f>
        <v>0</v>
      </c>
      <c r="AP27" s="162">
        <f>Capacity!AW12</f>
        <v>0</v>
      </c>
      <c r="AQ27" s="162">
        <f>Capacity!AX12</f>
        <v>0</v>
      </c>
      <c r="AR27" s="162">
        <f>Capacity!AY12</f>
        <v>1</v>
      </c>
      <c r="AS27" s="162">
        <f>Capacity!AZ12</f>
        <v>0</v>
      </c>
      <c r="AT27" s="162">
        <f>Capacity!BA12</f>
        <v>0</v>
      </c>
      <c r="AU27" s="162">
        <f>Capacity!BB12</f>
        <v>0</v>
      </c>
      <c r="AV27" s="162">
        <f>Capacity!BC12</f>
        <v>0</v>
      </c>
      <c r="AW27" s="162">
        <f>Capacity!BD12</f>
        <v>0</v>
      </c>
      <c r="AX27" s="162">
        <f>Capacity!BE12</f>
        <v>0</v>
      </c>
      <c r="AY27" s="162">
        <f>Capacity!BF12</f>
        <v>1</v>
      </c>
      <c r="AZ27" s="162">
        <f>Capacity!BG12</f>
        <v>0</v>
      </c>
      <c r="BA27" s="162">
        <f>Capacity!BH12</f>
        <v>0</v>
      </c>
      <c r="BB27" s="162">
        <f>Capacity!BI12</f>
        <v>0</v>
      </c>
      <c r="BC27" s="162">
        <f>Capacity!BJ12</f>
        <v>1</v>
      </c>
      <c r="BD27" s="162">
        <f>Capacity!BK12</f>
        <v>1</v>
      </c>
      <c r="BE27" s="162">
        <f>Capacity!BL12</f>
        <v>0</v>
      </c>
      <c r="BF27" s="162">
        <f>Capacity!BM12</f>
        <v>0</v>
      </c>
      <c r="BG27" s="162">
        <f>Capacity!BN12</f>
        <v>0</v>
      </c>
      <c r="BH27" s="162">
        <f>Capacity!BO12</f>
        <v>0</v>
      </c>
      <c r="BI27" s="162">
        <f>Capacity!BP12</f>
        <v>0</v>
      </c>
      <c r="BJ27" s="162">
        <f>Capacity!BQ12</f>
        <v>0</v>
      </c>
      <c r="BK27" s="162">
        <f>Capacity!BR12</f>
        <v>0</v>
      </c>
      <c r="BL27" s="162">
        <f>Capacity!BS12</f>
        <v>0</v>
      </c>
      <c r="BM27" s="162">
        <f>Capacity!BT12</f>
        <v>0</v>
      </c>
      <c r="BN27" s="162">
        <f>Capacity!BU12</f>
        <v>0</v>
      </c>
      <c r="BO27" s="162">
        <f>Capacity!BV12</f>
        <v>0</v>
      </c>
      <c r="BP27" s="162">
        <f>Capacity!BW12</f>
        <v>0</v>
      </c>
      <c r="BQ27" s="162">
        <f>Capacity!BX12</f>
        <v>0</v>
      </c>
      <c r="BR27" s="162">
        <f>Capacity!BY12</f>
        <v>0</v>
      </c>
      <c r="BS27" s="162">
        <f>Capacity!BZ12</f>
        <v>0</v>
      </c>
      <c r="BT27" s="162">
        <f>Capacity!CA12</f>
        <v>0</v>
      </c>
      <c r="BU27" s="162">
        <f>Capacity!CB12</f>
        <v>0</v>
      </c>
      <c r="BV27" s="162">
        <f>Capacity!CC12</f>
        <v>0</v>
      </c>
      <c r="BW27" s="162">
        <f>Capacity!CD12</f>
        <v>0</v>
      </c>
      <c r="BX27" s="162">
        <f>Capacity!CE12</f>
        <v>0</v>
      </c>
      <c r="BY27" s="162">
        <f>Capacity!CF12</f>
        <v>0</v>
      </c>
      <c r="BZ27" s="162">
        <f>Capacity!CG12</f>
        <v>0</v>
      </c>
      <c r="CA27" s="162">
        <f>Capacity!CH12</f>
        <v>0</v>
      </c>
    </row>
    <row r="28" ht="15.75" customHeight="1">
      <c r="A28" s="91" t="s">
        <v>418</v>
      </c>
      <c r="B28" s="144"/>
      <c r="C28" s="242">
        <f t="shared" ref="C28:R28" si="21">C10-B10</f>
        <v>0</v>
      </c>
      <c r="D28" s="242">
        <f t="shared" si="21"/>
        <v>0</v>
      </c>
      <c r="E28" s="242">
        <f t="shared" si="21"/>
        <v>0</v>
      </c>
      <c r="F28" s="242">
        <f t="shared" si="21"/>
        <v>0</v>
      </c>
      <c r="G28" s="242">
        <f t="shared" si="21"/>
        <v>0</v>
      </c>
      <c r="H28" s="242">
        <f t="shared" si="21"/>
        <v>0</v>
      </c>
      <c r="I28" s="242">
        <f t="shared" si="21"/>
        <v>0</v>
      </c>
      <c r="J28" s="242">
        <f t="shared" si="21"/>
        <v>0</v>
      </c>
      <c r="K28" s="242">
        <f t="shared" si="21"/>
        <v>0</v>
      </c>
      <c r="L28" s="242">
        <f t="shared" si="21"/>
        <v>0</v>
      </c>
      <c r="M28" s="242">
        <f t="shared" si="21"/>
        <v>0</v>
      </c>
      <c r="N28" s="242">
        <f t="shared" si="21"/>
        <v>0</v>
      </c>
      <c r="O28" s="242">
        <f t="shared" si="21"/>
        <v>0</v>
      </c>
      <c r="P28" s="242">
        <f t="shared" si="21"/>
        <v>0</v>
      </c>
      <c r="Q28" s="242">
        <f t="shared" si="21"/>
        <v>0</v>
      </c>
      <c r="R28" s="242">
        <f t="shared" si="21"/>
        <v>0</v>
      </c>
      <c r="S28" s="244">
        <f>Capacity!Z8+2</f>
        <v>3</v>
      </c>
      <c r="T28" s="162">
        <f>Capacity!AA8</f>
        <v>1</v>
      </c>
      <c r="U28" s="162">
        <f>Capacity!AB8</f>
        <v>0</v>
      </c>
      <c r="V28" s="162">
        <f>Capacity!AC8</f>
        <v>0</v>
      </c>
      <c r="W28" s="162">
        <f>Capacity!AD8</f>
        <v>0</v>
      </c>
      <c r="X28" s="162">
        <f>Capacity!AE8</f>
        <v>0</v>
      </c>
      <c r="Y28" s="162">
        <f>Capacity!AF8</f>
        <v>0</v>
      </c>
      <c r="Z28" s="162">
        <f>Capacity!AG8</f>
        <v>0</v>
      </c>
      <c r="AA28" s="162">
        <f>Capacity!AH8</f>
        <v>0</v>
      </c>
      <c r="AB28" s="162">
        <f>Capacity!AI8</f>
        <v>0</v>
      </c>
      <c r="AC28" s="162">
        <f>Capacity!AJ8</f>
        <v>0</v>
      </c>
      <c r="AD28" s="162">
        <f>Capacity!AK8</f>
        <v>0</v>
      </c>
      <c r="AE28" s="162">
        <f>Capacity!AL8</f>
        <v>1</v>
      </c>
      <c r="AF28" s="162">
        <f>Capacity!AM8</f>
        <v>1</v>
      </c>
      <c r="AG28" s="162">
        <f>Capacity!AN8</f>
        <v>2</v>
      </c>
      <c r="AH28" s="162">
        <f>Capacity!AO8</f>
        <v>1</v>
      </c>
      <c r="AI28" s="162">
        <f>Capacity!AP8</f>
        <v>0</v>
      </c>
      <c r="AJ28" s="162">
        <f>Capacity!AQ8</f>
        <v>1</v>
      </c>
      <c r="AK28" s="162">
        <f>Capacity!AR8</f>
        <v>0</v>
      </c>
      <c r="AL28" s="162">
        <f>Capacity!AS8</f>
        <v>1</v>
      </c>
      <c r="AM28" s="162">
        <f>Capacity!AT8</f>
        <v>1</v>
      </c>
      <c r="AN28" s="162">
        <f>Capacity!AU8</f>
        <v>1</v>
      </c>
      <c r="AO28" s="162">
        <f>Capacity!AV8</f>
        <v>1</v>
      </c>
      <c r="AP28" s="162">
        <f>Capacity!AW8</f>
        <v>1</v>
      </c>
      <c r="AQ28" s="162">
        <f>Capacity!AX8</f>
        <v>0</v>
      </c>
      <c r="AR28" s="162">
        <f>Capacity!AY8</f>
        <v>0</v>
      </c>
      <c r="AS28" s="162">
        <f>Capacity!AZ8</f>
        <v>2</v>
      </c>
      <c r="AT28" s="162">
        <f>Capacity!BA8</f>
        <v>1</v>
      </c>
      <c r="AU28" s="162">
        <f>Capacity!BB8</f>
        <v>2</v>
      </c>
      <c r="AV28" s="162">
        <f>Capacity!BC8</f>
        <v>0</v>
      </c>
      <c r="AW28" s="162">
        <f>Capacity!BD8</f>
        <v>1</v>
      </c>
      <c r="AX28" s="162">
        <f>Capacity!BE8</f>
        <v>1</v>
      </c>
      <c r="AY28" s="162">
        <f>Capacity!BF8</f>
        <v>0</v>
      </c>
      <c r="AZ28" s="162">
        <f>Capacity!BG8</f>
        <v>1</v>
      </c>
      <c r="BA28" s="162">
        <f>Capacity!BH8</f>
        <v>1</v>
      </c>
      <c r="BB28" s="162">
        <f>Capacity!BI8</f>
        <v>0</v>
      </c>
      <c r="BC28" s="162">
        <f>Capacity!BJ8</f>
        <v>1</v>
      </c>
      <c r="BD28" s="162">
        <f>Capacity!BK8</f>
        <v>1</v>
      </c>
      <c r="BE28" s="162">
        <f>Capacity!BL8</f>
        <v>0</v>
      </c>
      <c r="BF28" s="162">
        <f>Capacity!BM8</f>
        <v>1</v>
      </c>
      <c r="BG28" s="162">
        <f>Capacity!BN8</f>
        <v>0</v>
      </c>
      <c r="BH28" s="162">
        <f>Capacity!BO8</f>
        <v>1</v>
      </c>
      <c r="BI28" s="162">
        <f>Capacity!BP8</f>
        <v>0</v>
      </c>
      <c r="BJ28" s="162">
        <f>Capacity!BQ8</f>
        <v>1</v>
      </c>
      <c r="BK28" s="162">
        <f>Capacity!BR8</f>
        <v>0</v>
      </c>
      <c r="BL28" s="162">
        <f>Capacity!BS8</f>
        <v>1</v>
      </c>
      <c r="BM28" s="162">
        <f>Capacity!BT8</f>
        <v>0</v>
      </c>
      <c r="BN28" s="162">
        <f>Capacity!BU8</f>
        <v>1</v>
      </c>
      <c r="BO28" s="162">
        <f>Capacity!BV8</f>
        <v>0</v>
      </c>
      <c r="BP28" s="162">
        <f>Capacity!BW8</f>
        <v>1</v>
      </c>
      <c r="BQ28" s="162">
        <f>Capacity!BX8</f>
        <v>2</v>
      </c>
      <c r="BR28" s="162">
        <f>Capacity!BY8</f>
        <v>1</v>
      </c>
      <c r="BS28" s="162">
        <f>Capacity!BZ8</f>
        <v>1</v>
      </c>
      <c r="BT28" s="162">
        <f>Capacity!CA8</f>
        <v>0</v>
      </c>
      <c r="BU28" s="162">
        <f>Capacity!CB8</f>
        <v>1</v>
      </c>
      <c r="BV28" s="162">
        <f>Capacity!CC8</f>
        <v>0</v>
      </c>
      <c r="BW28" s="162">
        <f>Capacity!CD8</f>
        <v>0</v>
      </c>
      <c r="BX28" s="162">
        <f>Capacity!CE8</f>
        <v>1</v>
      </c>
      <c r="BY28" s="162">
        <f>Capacity!CF8</f>
        <v>0</v>
      </c>
      <c r="BZ28" s="162">
        <f>Capacity!CG8</f>
        <v>1</v>
      </c>
      <c r="CA28" s="162">
        <f>Capacity!CH8</f>
        <v>1</v>
      </c>
    </row>
    <row r="29" ht="15.75" customHeight="1">
      <c r="A29" s="91" t="s">
        <v>419</v>
      </c>
      <c r="B29" s="144"/>
      <c r="C29" s="242"/>
      <c r="D29" s="242"/>
      <c r="E29" s="242"/>
      <c r="F29" s="242"/>
      <c r="G29" s="242"/>
      <c r="H29" s="242"/>
      <c r="I29" s="242"/>
      <c r="J29" s="242"/>
      <c r="K29" s="242"/>
      <c r="L29" s="242"/>
      <c r="M29" s="242"/>
      <c r="N29" s="242"/>
      <c r="O29" s="242"/>
      <c r="P29" s="242"/>
      <c r="Q29" s="242"/>
      <c r="R29" s="162" t="str">
        <f>Capacity!Y9</f>
        <v/>
      </c>
      <c r="S29" s="162">
        <f>Capacity!Z9</f>
        <v>5</v>
      </c>
      <c r="T29" s="162">
        <f>Capacity!AA9</f>
        <v>2</v>
      </c>
      <c r="U29" s="162">
        <f>Capacity!AB9</f>
        <v>1</v>
      </c>
      <c r="V29" s="162">
        <f>Capacity!AC9</f>
        <v>1</v>
      </c>
      <c r="W29" s="162">
        <f>Capacity!AD9</f>
        <v>0</v>
      </c>
      <c r="X29" s="162">
        <f>Capacity!AE9</f>
        <v>0</v>
      </c>
      <c r="Y29" s="162">
        <f>Capacity!AF9</f>
        <v>0</v>
      </c>
      <c r="Z29" s="162">
        <f>Capacity!AG9</f>
        <v>0</v>
      </c>
      <c r="AA29" s="162">
        <f>Capacity!AH9</f>
        <v>0</v>
      </c>
      <c r="AB29" s="162">
        <f>Capacity!AI9</f>
        <v>0</v>
      </c>
      <c r="AC29" s="162">
        <f>Capacity!AJ9</f>
        <v>0</v>
      </c>
      <c r="AD29" s="162">
        <f>Capacity!AK9</f>
        <v>0</v>
      </c>
      <c r="AE29" s="162">
        <f>Capacity!AL9</f>
        <v>0</v>
      </c>
      <c r="AF29" s="162">
        <f>Capacity!AM9</f>
        <v>0</v>
      </c>
      <c r="AG29" s="162">
        <f>Capacity!AN9</f>
        <v>0</v>
      </c>
      <c r="AH29" s="162">
        <f>Capacity!AO9</f>
        <v>0</v>
      </c>
      <c r="AI29" s="162">
        <f>Capacity!AP9</f>
        <v>0</v>
      </c>
      <c r="AJ29" s="162">
        <f>Capacity!AQ9</f>
        <v>0</v>
      </c>
      <c r="AK29" s="162">
        <f>Capacity!AR9</f>
        <v>0</v>
      </c>
      <c r="AL29" s="162">
        <f>Capacity!AS9</f>
        <v>0</v>
      </c>
      <c r="AM29" s="162">
        <f>Capacity!AT9</f>
        <v>1</v>
      </c>
      <c r="AN29" s="162">
        <f>Capacity!AU9</f>
        <v>0</v>
      </c>
      <c r="AO29" s="162">
        <f>Capacity!AV9</f>
        <v>0</v>
      </c>
      <c r="AP29" s="162">
        <f>Capacity!AW9</f>
        <v>1</v>
      </c>
      <c r="AQ29" s="162">
        <f>Capacity!AX9</f>
        <v>0</v>
      </c>
      <c r="AR29" s="162">
        <f>Capacity!AY9</f>
        <v>0</v>
      </c>
      <c r="AS29" s="162">
        <f>Capacity!AZ9</f>
        <v>0</v>
      </c>
      <c r="AT29" s="162">
        <f>Capacity!BA9</f>
        <v>1</v>
      </c>
      <c r="AU29" s="162">
        <f>Capacity!BB9</f>
        <v>1</v>
      </c>
      <c r="AV29" s="162">
        <f>Capacity!BC9</f>
        <v>0</v>
      </c>
      <c r="AW29" s="162">
        <f>Capacity!BD9</f>
        <v>0</v>
      </c>
      <c r="AX29" s="162">
        <f>Capacity!BE9</f>
        <v>1</v>
      </c>
      <c r="AY29" s="162">
        <f>Capacity!BF9</f>
        <v>0</v>
      </c>
      <c r="AZ29" s="162">
        <f>Capacity!BG9</f>
        <v>0</v>
      </c>
      <c r="BA29" s="162">
        <f>Capacity!BH9</f>
        <v>1</v>
      </c>
      <c r="BB29" s="162">
        <f>Capacity!BI9</f>
        <v>0</v>
      </c>
      <c r="BC29" s="162">
        <f>Capacity!BJ9</f>
        <v>0</v>
      </c>
      <c r="BD29" s="162">
        <f>Capacity!BK9</f>
        <v>1</v>
      </c>
      <c r="BE29" s="162">
        <f>Capacity!BL9</f>
        <v>0</v>
      </c>
      <c r="BF29" s="162">
        <f>Capacity!BM9</f>
        <v>0</v>
      </c>
      <c r="BG29" s="162">
        <f>Capacity!BN9</f>
        <v>0</v>
      </c>
      <c r="BH29" s="162">
        <f>Capacity!BO9</f>
        <v>0</v>
      </c>
      <c r="BI29" s="162">
        <f>Capacity!BP9</f>
        <v>1</v>
      </c>
      <c r="BJ29" s="162">
        <f>Capacity!BQ9</f>
        <v>0</v>
      </c>
      <c r="BK29" s="162">
        <f>Capacity!BR9</f>
        <v>0</v>
      </c>
      <c r="BL29" s="162">
        <f>Capacity!BS9</f>
        <v>0</v>
      </c>
      <c r="BM29" s="162">
        <f>Capacity!BT9</f>
        <v>1</v>
      </c>
      <c r="BN29" s="162">
        <f>Capacity!BU9</f>
        <v>0</v>
      </c>
      <c r="BO29" s="162">
        <f>Capacity!BV9</f>
        <v>0</v>
      </c>
      <c r="BP29" s="162">
        <f>Capacity!BW9</f>
        <v>0</v>
      </c>
      <c r="BQ29" s="162">
        <f>Capacity!BX9</f>
        <v>1</v>
      </c>
      <c r="BR29" s="162">
        <f>Capacity!BY9</f>
        <v>0</v>
      </c>
      <c r="BS29" s="162">
        <f>Capacity!BZ9</f>
        <v>1</v>
      </c>
      <c r="BT29" s="162">
        <f>Capacity!CA9</f>
        <v>0</v>
      </c>
      <c r="BU29" s="162">
        <f>Capacity!CB9</f>
        <v>0</v>
      </c>
      <c r="BV29" s="162">
        <f>Capacity!CC9</f>
        <v>1</v>
      </c>
      <c r="BW29" s="162">
        <f>Capacity!CD9</f>
        <v>0</v>
      </c>
      <c r="BX29" s="162">
        <f>Capacity!CE9</f>
        <v>0</v>
      </c>
      <c r="BY29" s="162">
        <f>Capacity!CF9</f>
        <v>0</v>
      </c>
      <c r="BZ29" s="162">
        <f>Capacity!CG9</f>
        <v>0</v>
      </c>
      <c r="CA29" s="162">
        <f>Capacity!CH9</f>
        <v>1</v>
      </c>
    </row>
    <row r="30" ht="15.75" customHeight="1">
      <c r="A30" s="91" t="s">
        <v>420</v>
      </c>
      <c r="B30" s="144"/>
      <c r="C30" s="242">
        <f t="shared" ref="C30:R30" si="22">C12-B12</f>
        <v>0</v>
      </c>
      <c r="D30" s="242">
        <f t="shared" si="22"/>
        <v>0</v>
      </c>
      <c r="E30" s="242">
        <f t="shared" si="22"/>
        <v>0</v>
      </c>
      <c r="F30" s="242">
        <f t="shared" si="22"/>
        <v>0</v>
      </c>
      <c r="G30" s="242">
        <f t="shared" si="22"/>
        <v>0</v>
      </c>
      <c r="H30" s="242">
        <f t="shared" si="22"/>
        <v>0</v>
      </c>
      <c r="I30" s="242">
        <f t="shared" si="22"/>
        <v>0</v>
      </c>
      <c r="J30" s="242">
        <f t="shared" si="22"/>
        <v>0</v>
      </c>
      <c r="K30" s="242">
        <f t="shared" si="22"/>
        <v>0</v>
      </c>
      <c r="L30" s="242">
        <f t="shared" si="22"/>
        <v>0</v>
      </c>
      <c r="M30" s="242">
        <f t="shared" si="22"/>
        <v>0</v>
      </c>
      <c r="N30" s="242">
        <f t="shared" si="22"/>
        <v>0</v>
      </c>
      <c r="O30" s="242">
        <f t="shared" si="22"/>
        <v>0</v>
      </c>
      <c r="P30" s="242">
        <f t="shared" si="22"/>
        <v>0</v>
      </c>
      <c r="Q30" s="242">
        <f t="shared" si="22"/>
        <v>0</v>
      </c>
      <c r="R30" s="242">
        <f t="shared" si="22"/>
        <v>0</v>
      </c>
      <c r="S30" s="162">
        <f>Capacity!Z14</f>
        <v>1</v>
      </c>
      <c r="T30" s="162">
        <f>Capacity!AA14</f>
        <v>0</v>
      </c>
      <c r="U30" s="162">
        <f>Capacity!AB14</f>
        <v>0</v>
      </c>
      <c r="V30" s="162">
        <f>Capacity!AC14</f>
        <v>0</v>
      </c>
      <c r="W30" s="162">
        <f>Capacity!AD14</f>
        <v>0</v>
      </c>
      <c r="X30" s="162">
        <f>Capacity!AE14</f>
        <v>0</v>
      </c>
      <c r="Y30" s="162">
        <f>Capacity!AF14</f>
        <v>0</v>
      </c>
      <c r="Z30" s="162">
        <f>Capacity!AG14</f>
        <v>0</v>
      </c>
      <c r="AA30" s="162">
        <f>Capacity!AH14</f>
        <v>0</v>
      </c>
      <c r="AB30" s="162">
        <f>Capacity!AI14</f>
        <v>0</v>
      </c>
      <c r="AC30" s="162">
        <f>Capacity!AJ14</f>
        <v>0</v>
      </c>
      <c r="AD30" s="162">
        <f>Capacity!AK14</f>
        <v>0</v>
      </c>
      <c r="AE30" s="162">
        <f>Capacity!AL14</f>
        <v>0</v>
      </c>
      <c r="AF30" s="162">
        <f>Capacity!AM14</f>
        <v>0</v>
      </c>
      <c r="AG30" s="162">
        <f>Capacity!AN14</f>
        <v>0</v>
      </c>
      <c r="AH30" s="162">
        <f>Capacity!AO14</f>
        <v>0</v>
      </c>
      <c r="AI30" s="162">
        <f>Capacity!AP14</f>
        <v>0</v>
      </c>
      <c r="AJ30" s="162">
        <f>Capacity!AQ14</f>
        <v>0</v>
      </c>
      <c r="AK30" s="162">
        <f>Capacity!AR14</f>
        <v>0</v>
      </c>
      <c r="AL30" s="162">
        <f>Capacity!AS14</f>
        <v>0</v>
      </c>
      <c r="AM30" s="162">
        <f>Capacity!AT14</f>
        <v>0</v>
      </c>
      <c r="AN30" s="162">
        <f>Capacity!AU14</f>
        <v>0</v>
      </c>
      <c r="AO30" s="162">
        <f>Capacity!AV14</f>
        <v>0</v>
      </c>
      <c r="AP30" s="162">
        <f>Capacity!AW14</f>
        <v>0</v>
      </c>
      <c r="AQ30" s="162">
        <f>Capacity!AX14</f>
        <v>0</v>
      </c>
      <c r="AR30" s="162">
        <f>Capacity!AY14</f>
        <v>0</v>
      </c>
      <c r="AS30" s="162">
        <f>Capacity!AZ14</f>
        <v>0</v>
      </c>
      <c r="AT30" s="162">
        <f>Capacity!BA14</f>
        <v>0</v>
      </c>
      <c r="AU30" s="162">
        <f>Capacity!BB14</f>
        <v>0</v>
      </c>
      <c r="AV30" s="162">
        <f>Capacity!BC14</f>
        <v>0</v>
      </c>
      <c r="AW30" s="162">
        <f>Capacity!BD14</f>
        <v>0</v>
      </c>
      <c r="AX30" s="162">
        <f>Capacity!BE14</f>
        <v>0</v>
      </c>
      <c r="AY30" s="162">
        <f>Capacity!BF14</f>
        <v>0</v>
      </c>
      <c r="AZ30" s="162">
        <f>Capacity!BG14</f>
        <v>0</v>
      </c>
      <c r="BA30" s="162">
        <f>Capacity!BH14</f>
        <v>0</v>
      </c>
      <c r="BB30" s="162">
        <f>Capacity!BI14</f>
        <v>0</v>
      </c>
      <c r="BC30" s="162">
        <f>Capacity!BJ14</f>
        <v>0</v>
      </c>
      <c r="BD30" s="162">
        <f>Capacity!BK14</f>
        <v>0</v>
      </c>
      <c r="BE30" s="162">
        <f>Capacity!BL14</f>
        <v>12</v>
      </c>
      <c r="BF30" s="162">
        <f>Capacity!BM14</f>
        <v>4</v>
      </c>
      <c r="BG30" s="162">
        <f>Capacity!BN14</f>
        <v>0</v>
      </c>
      <c r="BH30" s="162">
        <f>Capacity!BO14</f>
        <v>0</v>
      </c>
      <c r="BI30" s="162">
        <f>Capacity!BP14</f>
        <v>0</v>
      </c>
      <c r="BJ30" s="162">
        <f>Capacity!BQ14</f>
        <v>0</v>
      </c>
      <c r="BK30" s="162">
        <f>Capacity!BR14</f>
        <v>0</v>
      </c>
      <c r="BL30" s="162">
        <f>Capacity!BS14</f>
        <v>0</v>
      </c>
      <c r="BM30" s="162">
        <f>Capacity!BT14</f>
        <v>0</v>
      </c>
      <c r="BN30" s="162">
        <f>Capacity!BU14</f>
        <v>1</v>
      </c>
      <c r="BO30" s="162">
        <f>Capacity!BV14</f>
        <v>0</v>
      </c>
      <c r="BP30" s="162">
        <f>Capacity!BW14</f>
        <v>0</v>
      </c>
      <c r="BQ30" s="162">
        <f>Capacity!BX14</f>
        <v>0</v>
      </c>
      <c r="BR30" s="162">
        <f>Capacity!BY14</f>
        <v>0</v>
      </c>
      <c r="BS30" s="162">
        <f>Capacity!BZ14</f>
        <v>0</v>
      </c>
      <c r="BT30" s="162">
        <f>Capacity!CA14</f>
        <v>0</v>
      </c>
      <c r="BU30" s="162">
        <f>Capacity!CB14</f>
        <v>0</v>
      </c>
      <c r="BV30" s="162">
        <f>Capacity!CC14</f>
        <v>0</v>
      </c>
      <c r="BW30" s="162">
        <f>Capacity!CD14</f>
        <v>0</v>
      </c>
      <c r="BX30" s="162">
        <f>Capacity!CE14</f>
        <v>0</v>
      </c>
      <c r="BY30" s="162">
        <f>Capacity!CF14</f>
        <v>0</v>
      </c>
      <c r="BZ30" s="162">
        <f>Capacity!CG14</f>
        <v>0</v>
      </c>
      <c r="CA30" s="162">
        <f>Capacity!CH14</f>
        <v>0</v>
      </c>
    </row>
    <row r="31" ht="15.75" customHeight="1">
      <c r="A31" s="91" t="s">
        <v>421</v>
      </c>
      <c r="B31" s="144"/>
      <c r="C31" s="242">
        <f t="shared" ref="C31:R31" si="23">C13-B13</f>
        <v>0</v>
      </c>
      <c r="D31" s="242">
        <f t="shared" si="23"/>
        <v>0</v>
      </c>
      <c r="E31" s="242">
        <f t="shared" si="23"/>
        <v>0</v>
      </c>
      <c r="F31" s="242">
        <f t="shared" si="23"/>
        <v>0</v>
      </c>
      <c r="G31" s="242">
        <f t="shared" si="23"/>
        <v>0</v>
      </c>
      <c r="H31" s="242">
        <f t="shared" si="23"/>
        <v>0</v>
      </c>
      <c r="I31" s="242">
        <f t="shared" si="23"/>
        <v>0</v>
      </c>
      <c r="J31" s="242">
        <f t="shared" si="23"/>
        <v>0</v>
      </c>
      <c r="K31" s="242">
        <f t="shared" si="23"/>
        <v>0</v>
      </c>
      <c r="L31" s="242">
        <f t="shared" si="23"/>
        <v>0</v>
      </c>
      <c r="M31" s="242">
        <f t="shared" si="23"/>
        <v>0</v>
      </c>
      <c r="N31" s="242">
        <f t="shared" si="23"/>
        <v>0</v>
      </c>
      <c r="O31" s="242">
        <f t="shared" si="23"/>
        <v>0</v>
      </c>
      <c r="P31" s="242">
        <f t="shared" si="23"/>
        <v>0</v>
      </c>
      <c r="Q31" s="242">
        <f t="shared" si="23"/>
        <v>0</v>
      </c>
      <c r="R31" s="242">
        <f t="shared" si="23"/>
        <v>0</v>
      </c>
      <c r="S31" s="162">
        <f>Capacity!Z10</f>
        <v>1</v>
      </c>
      <c r="T31" s="162">
        <f>Capacity!AA10</f>
        <v>0</v>
      </c>
      <c r="U31" s="162">
        <f>Capacity!AB10</f>
        <v>0</v>
      </c>
      <c r="V31" s="162">
        <f>Capacity!AC10</f>
        <v>0</v>
      </c>
      <c r="W31" s="162">
        <f>Capacity!AD10</f>
        <v>0</v>
      </c>
      <c r="X31" s="162">
        <f>Capacity!AE10</f>
        <v>0</v>
      </c>
      <c r="Y31" s="162">
        <f>Capacity!AF10</f>
        <v>0</v>
      </c>
      <c r="Z31" s="162">
        <f>Capacity!AG10</f>
        <v>0</v>
      </c>
      <c r="AA31" s="162">
        <f>Capacity!AH10</f>
        <v>0</v>
      </c>
      <c r="AB31" s="162">
        <f>Capacity!AI10</f>
        <v>0</v>
      </c>
      <c r="AC31" s="162">
        <f>Capacity!AJ10</f>
        <v>0</v>
      </c>
      <c r="AD31" s="162">
        <f>Capacity!AK10</f>
        <v>0</v>
      </c>
      <c r="AE31" s="162">
        <f>Capacity!AL10</f>
        <v>0</v>
      </c>
      <c r="AF31" s="162">
        <f>Capacity!AM10</f>
        <v>0</v>
      </c>
      <c r="AG31" s="162">
        <f>Capacity!AN10</f>
        <v>0</v>
      </c>
      <c r="AH31" s="162">
        <f>Capacity!AO10</f>
        <v>0</v>
      </c>
      <c r="AI31" s="162">
        <f>Capacity!AP10</f>
        <v>0</v>
      </c>
      <c r="AJ31" s="162">
        <f>Capacity!AQ10</f>
        <v>0</v>
      </c>
      <c r="AK31" s="162">
        <f>Capacity!AR10</f>
        <v>0</v>
      </c>
      <c r="AL31" s="162">
        <f>Capacity!AS10</f>
        <v>0</v>
      </c>
      <c r="AM31" s="162">
        <f>Capacity!AT10</f>
        <v>0</v>
      </c>
      <c r="AN31" s="162">
        <f>Capacity!AU10</f>
        <v>0</v>
      </c>
      <c r="AO31" s="162">
        <f>Capacity!AV10</f>
        <v>0</v>
      </c>
      <c r="AP31" s="162">
        <f>Capacity!AW10</f>
        <v>0</v>
      </c>
      <c r="AQ31" s="162">
        <f>Capacity!AX10</f>
        <v>0</v>
      </c>
      <c r="AR31" s="162">
        <f>Capacity!AY10</f>
        <v>0</v>
      </c>
      <c r="AS31" s="162">
        <f>Capacity!AZ10</f>
        <v>0</v>
      </c>
      <c r="AT31" s="162">
        <f>Capacity!BA10</f>
        <v>0</v>
      </c>
      <c r="AU31" s="162">
        <f>Capacity!BB10</f>
        <v>0</v>
      </c>
      <c r="AV31" s="162">
        <f>Capacity!BC10</f>
        <v>0</v>
      </c>
      <c r="AW31" s="162">
        <f>Capacity!BD10</f>
        <v>0</v>
      </c>
      <c r="AX31" s="162">
        <f>Capacity!BE10</f>
        <v>0</v>
      </c>
      <c r="AY31" s="162">
        <f>Capacity!BF10</f>
        <v>0</v>
      </c>
      <c r="AZ31" s="162">
        <f>Capacity!BG10</f>
        <v>0</v>
      </c>
      <c r="BA31" s="162">
        <f>Capacity!BH10</f>
        <v>0</v>
      </c>
      <c r="BB31" s="162">
        <f>Capacity!BI10</f>
        <v>0</v>
      </c>
      <c r="BC31" s="162">
        <f>Capacity!BJ10</f>
        <v>1</v>
      </c>
      <c r="BD31" s="162">
        <f>Capacity!BK10</f>
        <v>0</v>
      </c>
      <c r="BE31" s="162">
        <f>Capacity!BL10</f>
        <v>3</v>
      </c>
      <c r="BF31" s="162">
        <f>Capacity!BM10</f>
        <v>1</v>
      </c>
      <c r="BG31" s="162">
        <f>Capacity!BN10</f>
        <v>0</v>
      </c>
      <c r="BH31" s="162">
        <f>Capacity!BO10</f>
        <v>0</v>
      </c>
      <c r="BI31" s="162">
        <f>Capacity!BP10</f>
        <v>0</v>
      </c>
      <c r="BJ31" s="162">
        <f>Capacity!BQ10</f>
        <v>1</v>
      </c>
      <c r="BK31" s="162">
        <f>Capacity!BR10</f>
        <v>1</v>
      </c>
      <c r="BL31" s="162">
        <f>Capacity!BS10</f>
        <v>0</v>
      </c>
      <c r="BM31" s="162">
        <f>Capacity!BT10</f>
        <v>0</v>
      </c>
      <c r="BN31" s="162">
        <f>Capacity!BU10</f>
        <v>1</v>
      </c>
      <c r="BO31" s="162">
        <f>Capacity!BV10</f>
        <v>0</v>
      </c>
      <c r="BP31" s="162">
        <f>Capacity!BW10</f>
        <v>0</v>
      </c>
      <c r="BQ31" s="162">
        <f>Capacity!BX10</f>
        <v>0</v>
      </c>
      <c r="BR31" s="162">
        <f>Capacity!BY10</f>
        <v>0</v>
      </c>
      <c r="BS31" s="162">
        <f>Capacity!BZ10</f>
        <v>0</v>
      </c>
      <c r="BT31" s="162">
        <f>Capacity!CA10</f>
        <v>0</v>
      </c>
      <c r="BU31" s="162">
        <f>Capacity!CB10</f>
        <v>1</v>
      </c>
      <c r="BV31" s="162">
        <f>Capacity!CC10</f>
        <v>0</v>
      </c>
      <c r="BW31" s="162">
        <f>Capacity!CD10</f>
        <v>0</v>
      </c>
      <c r="BX31" s="162">
        <f>Capacity!CE10</f>
        <v>0</v>
      </c>
      <c r="BY31" s="162">
        <f>Capacity!CF10</f>
        <v>0</v>
      </c>
      <c r="BZ31" s="162">
        <f>Capacity!CG10</f>
        <v>1</v>
      </c>
      <c r="CA31" s="162">
        <f>Capacity!CH10</f>
        <v>0</v>
      </c>
    </row>
    <row r="32" ht="15.75" customHeight="1">
      <c r="A32" s="91" t="s">
        <v>422</v>
      </c>
      <c r="B32" s="144"/>
      <c r="C32" s="242"/>
      <c r="D32" s="242"/>
      <c r="E32" s="242"/>
      <c r="F32" s="242"/>
      <c r="G32" s="242"/>
      <c r="H32" s="242"/>
      <c r="I32" s="242"/>
      <c r="J32" s="242"/>
      <c r="K32" s="242"/>
      <c r="L32" s="242"/>
      <c r="M32" s="242"/>
      <c r="N32" s="242"/>
      <c r="O32" s="242"/>
      <c r="P32" s="242"/>
      <c r="Q32" s="242"/>
      <c r="R32" s="242">
        <f>R14-Q14</f>
        <v>0</v>
      </c>
      <c r="S32" s="162">
        <f>Capacity!Z11</f>
        <v>1</v>
      </c>
      <c r="T32" s="162">
        <f>Capacity!AA11</f>
        <v>4</v>
      </c>
      <c r="U32" s="162">
        <f>Capacity!AB11</f>
        <v>1</v>
      </c>
      <c r="V32" s="162">
        <f>Capacity!AC11</f>
        <v>1</v>
      </c>
      <c r="W32" s="162">
        <f>Capacity!AD11</f>
        <v>1</v>
      </c>
      <c r="X32" s="162">
        <f>Capacity!AE11</f>
        <v>0</v>
      </c>
      <c r="Y32" s="162">
        <f>Capacity!AF11</f>
        <v>0</v>
      </c>
      <c r="Z32" s="162">
        <f>Capacity!AG11</f>
        <v>0</v>
      </c>
      <c r="AA32" s="162">
        <f>Capacity!AH11</f>
        <v>0</v>
      </c>
      <c r="AB32" s="162">
        <f>Capacity!AI11</f>
        <v>0</v>
      </c>
      <c r="AC32" s="162">
        <f>Capacity!AJ11</f>
        <v>0</v>
      </c>
      <c r="AD32" s="162">
        <f>Capacity!AK11</f>
        <v>0</v>
      </c>
      <c r="AE32" s="162">
        <f>Capacity!AL11</f>
        <v>0</v>
      </c>
      <c r="AF32" s="162">
        <f>Capacity!AM11</f>
        <v>0</v>
      </c>
      <c r="AG32" s="162">
        <f>Capacity!AN11</f>
        <v>0</v>
      </c>
      <c r="AH32" s="162">
        <f>Capacity!AO11</f>
        <v>0</v>
      </c>
      <c r="AI32" s="162">
        <f>Capacity!AP11</f>
        <v>0</v>
      </c>
      <c r="AJ32" s="162">
        <f>Capacity!AQ11</f>
        <v>0</v>
      </c>
      <c r="AK32" s="162">
        <f>Capacity!AR11</f>
        <v>0</v>
      </c>
      <c r="AL32" s="162">
        <f>Capacity!AS11</f>
        <v>0</v>
      </c>
      <c r="AM32" s="162">
        <f>Capacity!AT11</f>
        <v>0</v>
      </c>
      <c r="AN32" s="162">
        <f>Capacity!AU11</f>
        <v>0</v>
      </c>
      <c r="AO32" s="162">
        <f>Capacity!AV11</f>
        <v>0</v>
      </c>
      <c r="AP32" s="162">
        <f>Capacity!AW11</f>
        <v>0</v>
      </c>
      <c r="AQ32" s="162">
        <f>Capacity!AX11</f>
        <v>0</v>
      </c>
      <c r="AR32" s="162">
        <f>Capacity!AY11</f>
        <v>0</v>
      </c>
      <c r="AS32" s="162">
        <f>Capacity!AZ11</f>
        <v>0</v>
      </c>
      <c r="AT32" s="162">
        <f>Capacity!BA11</f>
        <v>0</v>
      </c>
      <c r="AU32" s="162">
        <f>Capacity!BB11</f>
        <v>0</v>
      </c>
      <c r="AV32" s="162">
        <f>Capacity!BC11</f>
        <v>0</v>
      </c>
      <c r="AW32" s="162">
        <f>Capacity!BD11</f>
        <v>0</v>
      </c>
      <c r="AX32" s="162">
        <f>Capacity!BE11</f>
        <v>0</v>
      </c>
      <c r="AY32" s="162">
        <f>Capacity!BF11</f>
        <v>0</v>
      </c>
      <c r="AZ32" s="162">
        <f>Capacity!BG11</f>
        <v>0</v>
      </c>
      <c r="BA32" s="162">
        <f>Capacity!BH11</f>
        <v>0</v>
      </c>
      <c r="BB32" s="162">
        <f>Capacity!BI11</f>
        <v>0</v>
      </c>
      <c r="BC32" s="162">
        <f>Capacity!BJ11</f>
        <v>0</v>
      </c>
      <c r="BD32" s="162">
        <f>Capacity!BK11</f>
        <v>0</v>
      </c>
      <c r="BE32" s="162">
        <f>Capacity!BL11</f>
        <v>0</v>
      </c>
      <c r="BF32" s="162">
        <f>Capacity!BM11</f>
        <v>1</v>
      </c>
      <c r="BG32" s="162">
        <f>Capacity!BN11</f>
        <v>1</v>
      </c>
      <c r="BH32" s="162">
        <f>Capacity!BO11</f>
        <v>0</v>
      </c>
      <c r="BI32" s="162">
        <f>Capacity!BP11</f>
        <v>0</v>
      </c>
      <c r="BJ32" s="162">
        <f>Capacity!BQ11</f>
        <v>0</v>
      </c>
      <c r="BK32" s="162">
        <f>Capacity!BR11</f>
        <v>1</v>
      </c>
      <c r="BL32" s="162">
        <f>Capacity!BS11</f>
        <v>0</v>
      </c>
      <c r="BM32" s="162">
        <f>Capacity!BT11</f>
        <v>0</v>
      </c>
      <c r="BN32" s="162">
        <f>Capacity!BU11</f>
        <v>0</v>
      </c>
      <c r="BO32" s="162">
        <f>Capacity!BV11</f>
        <v>0</v>
      </c>
      <c r="BP32" s="162">
        <f>Capacity!BW11</f>
        <v>0</v>
      </c>
      <c r="BQ32" s="162">
        <f>Capacity!BX11</f>
        <v>0</v>
      </c>
      <c r="BR32" s="162">
        <f>Capacity!BY11</f>
        <v>0</v>
      </c>
      <c r="BS32" s="162">
        <f>Capacity!BZ11</f>
        <v>0</v>
      </c>
      <c r="BT32" s="162">
        <f>Capacity!CA11</f>
        <v>0</v>
      </c>
      <c r="BU32" s="162">
        <f>Capacity!CB11</f>
        <v>0</v>
      </c>
      <c r="BV32" s="162">
        <f>Capacity!CC11</f>
        <v>1</v>
      </c>
      <c r="BW32" s="162">
        <f>Capacity!CD11</f>
        <v>0</v>
      </c>
      <c r="BX32" s="162">
        <f>Capacity!CE11</f>
        <v>0</v>
      </c>
      <c r="BY32" s="162">
        <f>Capacity!CF11</f>
        <v>0</v>
      </c>
      <c r="BZ32" s="162">
        <f>Capacity!CG11</f>
        <v>0</v>
      </c>
      <c r="CA32" s="162">
        <f>Capacity!CH11</f>
        <v>0</v>
      </c>
    </row>
    <row r="33" ht="15.75" customHeight="1">
      <c r="A33" s="91" t="s">
        <v>423</v>
      </c>
      <c r="B33" s="144"/>
      <c r="C33" s="242">
        <f t="shared" ref="C33:R33" si="24">C15-B15</f>
        <v>0</v>
      </c>
      <c r="D33" s="242">
        <f t="shared" si="24"/>
        <v>0</v>
      </c>
      <c r="E33" s="242">
        <f t="shared" si="24"/>
        <v>0</v>
      </c>
      <c r="F33" s="242">
        <f t="shared" si="24"/>
        <v>0</v>
      </c>
      <c r="G33" s="242">
        <f t="shared" si="24"/>
        <v>0</v>
      </c>
      <c r="H33" s="242">
        <f t="shared" si="24"/>
        <v>0</v>
      </c>
      <c r="I33" s="242">
        <f t="shared" si="24"/>
        <v>0</v>
      </c>
      <c r="J33" s="242">
        <f t="shared" si="24"/>
        <v>0</v>
      </c>
      <c r="K33" s="242">
        <f t="shared" si="24"/>
        <v>0</v>
      </c>
      <c r="L33" s="242">
        <f t="shared" si="24"/>
        <v>0</v>
      </c>
      <c r="M33" s="242">
        <f t="shared" si="24"/>
        <v>0</v>
      </c>
      <c r="N33" s="242">
        <f t="shared" si="24"/>
        <v>0</v>
      </c>
      <c r="O33" s="242">
        <f t="shared" si="24"/>
        <v>0</v>
      </c>
      <c r="P33" s="242">
        <f t="shared" si="24"/>
        <v>0</v>
      </c>
      <c r="Q33" s="242">
        <f t="shared" si="24"/>
        <v>0</v>
      </c>
      <c r="R33" s="242">
        <f t="shared" si="24"/>
        <v>0</v>
      </c>
      <c r="S33" s="162">
        <f>Capacity!Z15</f>
        <v>0</v>
      </c>
      <c r="T33" s="162">
        <f>Capacity!AA15</f>
        <v>0</v>
      </c>
      <c r="U33" s="162">
        <f>Capacity!AB15</f>
        <v>0</v>
      </c>
      <c r="V33" s="162">
        <f>Capacity!AC15</f>
        <v>0</v>
      </c>
      <c r="W33" s="162">
        <f>Capacity!AD15</f>
        <v>0</v>
      </c>
      <c r="X33" s="162">
        <f>Capacity!AE15</f>
        <v>0</v>
      </c>
      <c r="Y33" s="162">
        <f>Capacity!AF15</f>
        <v>0</v>
      </c>
      <c r="Z33" s="162">
        <f>Capacity!AG15</f>
        <v>0</v>
      </c>
      <c r="AA33" s="162">
        <f>Capacity!AH15</f>
        <v>0</v>
      </c>
      <c r="AB33" s="162">
        <f>Capacity!AI15</f>
        <v>0</v>
      </c>
      <c r="AC33" s="162">
        <f>Capacity!AJ15</f>
        <v>0</v>
      </c>
      <c r="AD33" s="162">
        <f>Capacity!AK15</f>
        <v>0</v>
      </c>
      <c r="AE33" s="162">
        <f>Capacity!AL15</f>
        <v>0</v>
      </c>
      <c r="AF33" s="162">
        <f>Capacity!AM15</f>
        <v>0</v>
      </c>
      <c r="AG33" s="162">
        <f>Capacity!AN15</f>
        <v>0</v>
      </c>
      <c r="AH33" s="162">
        <f>Capacity!AO15</f>
        <v>0</v>
      </c>
      <c r="AI33" s="162">
        <f>Capacity!AP15</f>
        <v>0</v>
      </c>
      <c r="AJ33" s="162">
        <f>Capacity!AQ15</f>
        <v>0</v>
      </c>
      <c r="AK33" s="162">
        <f>Capacity!AR15</f>
        <v>0</v>
      </c>
      <c r="AL33" s="162">
        <f>Capacity!AS15</f>
        <v>0</v>
      </c>
      <c r="AM33" s="162">
        <f>Capacity!AT15</f>
        <v>0</v>
      </c>
      <c r="AN33" s="162">
        <f>Capacity!AU15</f>
        <v>0</v>
      </c>
      <c r="AO33" s="162">
        <f>Capacity!AV15</f>
        <v>0</v>
      </c>
      <c r="AP33" s="162">
        <f>Capacity!AW15</f>
        <v>0</v>
      </c>
      <c r="AQ33" s="162">
        <f>Capacity!AX15</f>
        <v>0</v>
      </c>
      <c r="AR33" s="162">
        <f>Capacity!AY15</f>
        <v>0</v>
      </c>
      <c r="AS33" s="162">
        <f>Capacity!AZ15</f>
        <v>1</v>
      </c>
      <c r="AT33" s="162">
        <f>Capacity!BA15</f>
        <v>0</v>
      </c>
      <c r="AU33" s="162">
        <f>Capacity!BB15</f>
        <v>0</v>
      </c>
      <c r="AV33" s="162">
        <f>Capacity!BC15</f>
        <v>0</v>
      </c>
      <c r="AW33" s="162">
        <f>Capacity!BD15</f>
        <v>0</v>
      </c>
      <c r="AX33" s="162">
        <f>Capacity!BE15</f>
        <v>0</v>
      </c>
      <c r="AY33" s="162">
        <f>Capacity!BF15</f>
        <v>0</v>
      </c>
      <c r="AZ33" s="162">
        <f>Capacity!BG15</f>
        <v>0</v>
      </c>
      <c r="BA33" s="162">
        <f>Capacity!BH15</f>
        <v>0</v>
      </c>
      <c r="BB33" s="162">
        <f>Capacity!BI15</f>
        <v>0</v>
      </c>
      <c r="BC33" s="162">
        <f>Capacity!BJ15</f>
        <v>0</v>
      </c>
      <c r="BD33" s="162">
        <f>Capacity!BK15</f>
        <v>0</v>
      </c>
      <c r="BE33" s="162">
        <f>Capacity!BL15</f>
        <v>0</v>
      </c>
      <c r="BF33" s="162">
        <f>Capacity!BM15</f>
        <v>0</v>
      </c>
      <c r="BG33" s="162">
        <f>Capacity!BN15</f>
        <v>0</v>
      </c>
      <c r="BH33" s="162">
        <f>Capacity!BO15</f>
        <v>0</v>
      </c>
      <c r="BI33" s="162">
        <f>Capacity!BP15</f>
        <v>0</v>
      </c>
      <c r="BJ33" s="162">
        <f>Capacity!BQ15</f>
        <v>0</v>
      </c>
      <c r="BK33" s="162">
        <f>Capacity!BR15</f>
        <v>0</v>
      </c>
      <c r="BL33" s="162">
        <f>Capacity!BS15</f>
        <v>0</v>
      </c>
      <c r="BM33" s="162">
        <f>Capacity!BT15</f>
        <v>0</v>
      </c>
      <c r="BN33" s="162">
        <f>Capacity!BU15</f>
        <v>0</v>
      </c>
      <c r="BO33" s="162">
        <f>Capacity!BV15</f>
        <v>0</v>
      </c>
      <c r="BP33" s="162">
        <f>Capacity!BW15</f>
        <v>0</v>
      </c>
      <c r="BQ33" s="162">
        <f>Capacity!BX15</f>
        <v>0</v>
      </c>
      <c r="BR33" s="162">
        <f>Capacity!BY15</f>
        <v>0</v>
      </c>
      <c r="BS33" s="162">
        <f>Capacity!BZ15</f>
        <v>0</v>
      </c>
      <c r="BT33" s="162">
        <f>Capacity!CA15</f>
        <v>0</v>
      </c>
      <c r="BU33" s="162">
        <f>Capacity!CB15</f>
        <v>0</v>
      </c>
      <c r="BV33" s="162">
        <f>Capacity!CC15</f>
        <v>0</v>
      </c>
      <c r="BW33" s="162">
        <f>Capacity!CD15</f>
        <v>0</v>
      </c>
      <c r="BX33" s="162">
        <f>Capacity!CE15</f>
        <v>0</v>
      </c>
      <c r="BY33" s="162">
        <f>Capacity!CF15</f>
        <v>0</v>
      </c>
      <c r="BZ33" s="162">
        <f>Capacity!CG15</f>
        <v>0</v>
      </c>
      <c r="CA33" s="162">
        <f>Capacity!CH15</f>
        <v>0</v>
      </c>
    </row>
    <row r="34" ht="15.75" customHeight="1">
      <c r="A34" s="91" t="s">
        <v>121</v>
      </c>
      <c r="B34" s="144"/>
      <c r="C34" s="242">
        <f t="shared" ref="C34:P34" si="25">C16-B16</f>
        <v>0</v>
      </c>
      <c r="D34" s="242">
        <f t="shared" si="25"/>
        <v>0</v>
      </c>
      <c r="E34" s="242">
        <f t="shared" si="25"/>
        <v>0</v>
      </c>
      <c r="F34" s="242">
        <f t="shared" si="25"/>
        <v>0</v>
      </c>
      <c r="G34" s="242">
        <f t="shared" si="25"/>
        <v>0</v>
      </c>
      <c r="H34" s="242">
        <f t="shared" si="25"/>
        <v>0</v>
      </c>
      <c r="I34" s="242">
        <f t="shared" si="25"/>
        <v>0</v>
      </c>
      <c r="J34" s="242">
        <f t="shared" si="25"/>
        <v>0</v>
      </c>
      <c r="K34" s="242">
        <f t="shared" si="25"/>
        <v>0</v>
      </c>
      <c r="L34" s="242">
        <f t="shared" si="25"/>
        <v>0</v>
      </c>
      <c r="M34" s="242">
        <f t="shared" si="25"/>
        <v>0</v>
      </c>
      <c r="N34" s="242">
        <f t="shared" si="25"/>
        <v>0</v>
      </c>
      <c r="O34" s="242">
        <f t="shared" si="25"/>
        <v>0</v>
      </c>
      <c r="P34" s="242">
        <f t="shared" si="25"/>
        <v>0</v>
      </c>
      <c r="Q34" s="242">
        <f>Capacity!X16</f>
        <v>0</v>
      </c>
      <c r="R34" s="242">
        <f>Capacity!Y16</f>
        <v>0</v>
      </c>
      <c r="S34" s="162">
        <f>Capacity!Z16</f>
        <v>0</v>
      </c>
      <c r="T34" s="162">
        <v>0.0</v>
      </c>
      <c r="U34" s="162">
        <f>Capacity!AB16</f>
        <v>0</v>
      </c>
      <c r="V34" s="162">
        <f>Capacity!AC16</f>
        <v>0</v>
      </c>
      <c r="W34" s="162">
        <f>Capacity!AD16</f>
        <v>1</v>
      </c>
      <c r="X34" s="162">
        <f>Capacity!AE16</f>
        <v>0</v>
      </c>
      <c r="Y34" s="162">
        <f>Capacity!AF16</f>
        <v>0</v>
      </c>
      <c r="Z34" s="162">
        <f>Capacity!AG16</f>
        <v>0</v>
      </c>
      <c r="AA34" s="162">
        <f>Capacity!AH16</f>
        <v>1</v>
      </c>
      <c r="AB34" s="162">
        <f>Capacity!AI16</f>
        <v>0</v>
      </c>
      <c r="AC34" s="162">
        <f>Capacity!AJ16</f>
        <v>0</v>
      </c>
      <c r="AD34" s="162">
        <f>Capacity!AK16</f>
        <v>1</v>
      </c>
      <c r="AE34" s="162">
        <f>Capacity!AL16</f>
        <v>0</v>
      </c>
      <c r="AF34" s="162">
        <f>Capacity!AM16</f>
        <v>0</v>
      </c>
      <c r="AH34" s="162">
        <f>Capacity!AO16</f>
        <v>0</v>
      </c>
      <c r="AI34" s="162">
        <f>Capacity!AP16</f>
        <v>0</v>
      </c>
      <c r="AJ34" s="162">
        <f>Capacity!AQ16</f>
        <v>0</v>
      </c>
      <c r="AK34" s="162">
        <f>Capacity!AR16</f>
        <v>0</v>
      </c>
      <c r="AL34" s="162">
        <f>Capacity!AS16</f>
        <v>0</v>
      </c>
      <c r="AM34" s="162">
        <f>Capacity!AT16</f>
        <v>0</v>
      </c>
      <c r="AN34" s="162">
        <f>Capacity!AU16</f>
        <v>0</v>
      </c>
      <c r="AO34" s="162">
        <f>Capacity!AV16</f>
        <v>0</v>
      </c>
      <c r="AP34" s="162">
        <f>Capacity!AW16</f>
        <v>0</v>
      </c>
      <c r="AQ34" s="162">
        <f>Capacity!AX16</f>
        <v>0</v>
      </c>
      <c r="AR34" s="162">
        <f>Capacity!AY16</f>
        <v>0</v>
      </c>
      <c r="AS34" s="162">
        <f>Capacity!AZ16</f>
        <v>0</v>
      </c>
      <c r="AT34" s="162">
        <f>Capacity!BA16</f>
        <v>0</v>
      </c>
      <c r="AU34" s="162">
        <f>Capacity!BB16</f>
        <v>0</v>
      </c>
      <c r="AV34" s="162">
        <f>Capacity!BC16</f>
        <v>0</v>
      </c>
      <c r="AW34" s="162">
        <f>Capacity!BD16</f>
        <v>0</v>
      </c>
      <c r="AX34" s="162">
        <f>Capacity!BE16</f>
        <v>1</v>
      </c>
      <c r="AY34" s="162">
        <f>Capacity!BF16</f>
        <v>0</v>
      </c>
      <c r="AZ34" s="162">
        <f>Capacity!BG16</f>
        <v>0</v>
      </c>
      <c r="BA34" s="162">
        <f>Capacity!BH16</f>
        <v>0</v>
      </c>
      <c r="BB34" s="162">
        <f>Capacity!BI16</f>
        <v>0</v>
      </c>
      <c r="BC34" s="162">
        <f>Capacity!BJ16</f>
        <v>0</v>
      </c>
      <c r="BD34" s="162">
        <f>Capacity!BK16</f>
        <v>0</v>
      </c>
      <c r="BE34" s="162">
        <f>Capacity!BL16</f>
        <v>0</v>
      </c>
      <c r="BF34" s="162">
        <f>Capacity!BM16</f>
        <v>0</v>
      </c>
      <c r="BG34" s="162">
        <f>Capacity!BN16</f>
        <v>0</v>
      </c>
      <c r="BH34" s="162">
        <f>Capacity!BO16</f>
        <v>1</v>
      </c>
      <c r="BI34" s="162">
        <f>Capacity!BP16</f>
        <v>0</v>
      </c>
      <c r="BJ34" s="162">
        <f>Capacity!BQ16</f>
        <v>0</v>
      </c>
      <c r="BK34" s="162">
        <f>Capacity!BR16</f>
        <v>0</v>
      </c>
      <c r="BL34" s="162">
        <f>Capacity!BS16</f>
        <v>0</v>
      </c>
      <c r="BM34" s="162">
        <f>Capacity!BT16</f>
        <v>0</v>
      </c>
      <c r="BN34" s="162">
        <f>Capacity!BU16</f>
        <v>0</v>
      </c>
      <c r="BO34" s="162">
        <f>Capacity!BV16</f>
        <v>0</v>
      </c>
      <c r="BP34" s="162">
        <f>Capacity!BW16</f>
        <v>0</v>
      </c>
      <c r="BQ34" s="162">
        <f>Capacity!BX16</f>
        <v>0</v>
      </c>
      <c r="BR34" s="162">
        <f>Capacity!BY16</f>
        <v>0</v>
      </c>
      <c r="BS34" s="162">
        <f>Capacity!BZ16</f>
        <v>0</v>
      </c>
      <c r="BT34" s="162">
        <f>Capacity!CA16</f>
        <v>0</v>
      </c>
      <c r="BU34" s="162">
        <f>Capacity!CB16</f>
        <v>0</v>
      </c>
      <c r="BV34" s="162">
        <f>Capacity!CC16</f>
        <v>0</v>
      </c>
      <c r="BW34" s="162">
        <f>Capacity!CD16</f>
        <v>0</v>
      </c>
      <c r="BX34" s="162">
        <f>Capacity!CE16</f>
        <v>0</v>
      </c>
      <c r="BY34" s="162">
        <f>Capacity!CF16</f>
        <v>0</v>
      </c>
      <c r="BZ34" s="162">
        <f>Capacity!CG16</f>
        <v>0</v>
      </c>
      <c r="CA34" s="162">
        <f>Capacity!CH16</f>
        <v>0</v>
      </c>
    </row>
    <row r="35" ht="15.75" customHeight="1">
      <c r="A35" s="91" t="s">
        <v>424</v>
      </c>
      <c r="B35" s="144"/>
      <c r="C35" s="242">
        <f t="shared" ref="C35:R35" si="26">C17-B17</f>
        <v>0</v>
      </c>
      <c r="D35" s="242">
        <f t="shared" si="26"/>
        <v>0</v>
      </c>
      <c r="E35" s="242">
        <f t="shared" si="26"/>
        <v>0</v>
      </c>
      <c r="F35" s="242">
        <f t="shared" si="26"/>
        <v>0</v>
      </c>
      <c r="G35" s="242">
        <f t="shared" si="26"/>
        <v>0</v>
      </c>
      <c r="H35" s="242">
        <f t="shared" si="26"/>
        <v>0</v>
      </c>
      <c r="I35" s="242">
        <f t="shared" si="26"/>
        <v>0</v>
      </c>
      <c r="J35" s="242">
        <f t="shared" si="26"/>
        <v>0</v>
      </c>
      <c r="K35" s="242">
        <f t="shared" si="26"/>
        <v>0</v>
      </c>
      <c r="L35" s="242">
        <f t="shared" si="26"/>
        <v>0</v>
      </c>
      <c r="M35" s="242">
        <f t="shared" si="26"/>
        <v>0</v>
      </c>
      <c r="N35" s="242">
        <f t="shared" si="26"/>
        <v>0</v>
      </c>
      <c r="O35" s="242">
        <f t="shared" si="26"/>
        <v>0</v>
      </c>
      <c r="P35" s="242">
        <f t="shared" si="26"/>
        <v>0</v>
      </c>
      <c r="Q35" s="242">
        <f t="shared" si="26"/>
        <v>0</v>
      </c>
      <c r="R35" s="242">
        <f t="shared" si="26"/>
        <v>0</v>
      </c>
      <c r="S35" s="162">
        <f>Capacity!Z17</f>
        <v>2</v>
      </c>
      <c r="T35" s="162">
        <f>Capacity!AA17</f>
        <v>0</v>
      </c>
      <c r="U35" s="162">
        <f>Capacity!AB17</f>
        <v>0</v>
      </c>
      <c r="V35" s="162">
        <f>Capacity!AC17</f>
        <v>0</v>
      </c>
      <c r="W35" s="162">
        <f>Capacity!AD17</f>
        <v>0</v>
      </c>
      <c r="X35" s="162">
        <f>Capacity!AE17</f>
        <v>0</v>
      </c>
      <c r="Y35" s="162">
        <f>Capacity!AF17</f>
        <v>0</v>
      </c>
      <c r="Z35" s="162">
        <f>Capacity!AG17</f>
        <v>1</v>
      </c>
      <c r="AA35" s="162">
        <f>Capacity!AH17</f>
        <v>1</v>
      </c>
      <c r="AB35" s="162">
        <f>Capacity!AI17</f>
        <v>1</v>
      </c>
      <c r="AC35" s="162">
        <f>Capacity!AJ17</f>
        <v>1</v>
      </c>
      <c r="AD35" s="162">
        <f>Capacity!AK17</f>
        <v>1</v>
      </c>
      <c r="AE35" s="162">
        <f>Capacity!AL17</f>
        <v>1</v>
      </c>
      <c r="AF35" s="162">
        <f>Capacity!AM17</f>
        <v>1</v>
      </c>
      <c r="AG35" s="162">
        <f>Capacity!AN17</f>
        <v>0</v>
      </c>
      <c r="AH35" s="162">
        <f>Capacity!AO17</f>
        <v>0</v>
      </c>
      <c r="AI35" s="162">
        <f>Capacity!AP17</f>
        <v>0</v>
      </c>
      <c r="AJ35" s="162">
        <f>Capacity!AQ17</f>
        <v>0</v>
      </c>
      <c r="AK35" s="162">
        <f>Capacity!AR17</f>
        <v>0</v>
      </c>
      <c r="AL35" s="162">
        <f>Capacity!AS17</f>
        <v>0</v>
      </c>
      <c r="AM35" s="162">
        <f>Capacity!AT17</f>
        <v>0</v>
      </c>
      <c r="AN35" s="162">
        <f>Capacity!AU17</f>
        <v>0</v>
      </c>
      <c r="AO35" s="162">
        <f>Capacity!AV17</f>
        <v>0</v>
      </c>
      <c r="AP35" s="162">
        <f>Capacity!AW17</f>
        <v>0</v>
      </c>
      <c r="AQ35" s="162">
        <f>Capacity!AX17</f>
        <v>0</v>
      </c>
      <c r="AR35" s="162">
        <f>Capacity!AY17</f>
        <v>0</v>
      </c>
      <c r="AS35" s="162">
        <f>Capacity!AZ17</f>
        <v>0</v>
      </c>
      <c r="AT35" s="162">
        <f>Capacity!BA17</f>
        <v>0</v>
      </c>
      <c r="AU35" s="162">
        <f>Capacity!BB17</f>
        <v>0</v>
      </c>
      <c r="AV35" s="162">
        <f>Capacity!BC17</f>
        <v>1</v>
      </c>
      <c r="AW35" s="162">
        <f>Capacity!BD17</f>
        <v>0</v>
      </c>
      <c r="AX35" s="162">
        <f>Capacity!BE17</f>
        <v>0</v>
      </c>
      <c r="AY35" s="162">
        <f>Capacity!BF17</f>
        <v>1</v>
      </c>
      <c r="AZ35" s="162">
        <f>Capacity!BG17</f>
        <v>0</v>
      </c>
      <c r="BA35" s="162">
        <f>Capacity!BH17</f>
        <v>1</v>
      </c>
      <c r="BB35" s="162">
        <f>Capacity!BI17</f>
        <v>0</v>
      </c>
      <c r="BC35" s="162">
        <f>Capacity!BJ17</f>
        <v>0</v>
      </c>
      <c r="BD35" s="162">
        <f>Capacity!BK17</f>
        <v>1</v>
      </c>
      <c r="BE35" s="162">
        <f>Capacity!BL17</f>
        <v>0</v>
      </c>
      <c r="BF35" s="162">
        <f>Capacity!BM17</f>
        <v>0</v>
      </c>
      <c r="BG35" s="162">
        <f>Capacity!BN17</f>
        <v>1</v>
      </c>
      <c r="BH35" s="162">
        <f>Capacity!BO17</f>
        <v>0</v>
      </c>
      <c r="BI35" s="162">
        <f>Capacity!BP17</f>
        <v>0</v>
      </c>
      <c r="BJ35" s="162">
        <f>Capacity!BQ17</f>
        <v>1</v>
      </c>
      <c r="BK35" s="162">
        <f>Capacity!BR17</f>
        <v>0</v>
      </c>
      <c r="BL35" s="162">
        <f>Capacity!BS17</f>
        <v>0</v>
      </c>
      <c r="BM35" s="162">
        <f>Capacity!BT17</f>
        <v>1</v>
      </c>
      <c r="BN35" s="162">
        <f>Capacity!BU17</f>
        <v>0</v>
      </c>
      <c r="BO35" s="162">
        <f>Capacity!BV17</f>
        <v>0</v>
      </c>
      <c r="BP35" s="162">
        <f>Capacity!BW17</f>
        <v>1</v>
      </c>
      <c r="BQ35" s="162">
        <f>Capacity!BX17</f>
        <v>0</v>
      </c>
      <c r="BR35" s="162">
        <f>Capacity!BY17</f>
        <v>0</v>
      </c>
      <c r="BS35" s="162">
        <f>Capacity!BZ17</f>
        <v>0</v>
      </c>
      <c r="BT35" s="162">
        <f>Capacity!CA17</f>
        <v>0</v>
      </c>
      <c r="BU35" s="162">
        <f>Capacity!CB17</f>
        <v>0</v>
      </c>
      <c r="BV35" s="162">
        <f>Capacity!CC17</f>
        <v>0</v>
      </c>
      <c r="BW35" s="162">
        <f>Capacity!CD17</f>
        <v>0</v>
      </c>
      <c r="BX35" s="162">
        <f>Capacity!CE17</f>
        <v>0</v>
      </c>
      <c r="BY35" s="162">
        <f>Capacity!CF17</f>
        <v>0</v>
      </c>
      <c r="BZ35" s="162">
        <f>Capacity!CG17</f>
        <v>0</v>
      </c>
      <c r="CA35" s="162">
        <f>Capacity!CH17</f>
        <v>0</v>
      </c>
    </row>
    <row r="36" ht="15.75" customHeight="1">
      <c r="A36" s="91" t="s">
        <v>120</v>
      </c>
      <c r="B36" s="144"/>
      <c r="C36" s="242">
        <f t="shared" ref="C36:R36" si="27">C18-B18</f>
        <v>0</v>
      </c>
      <c r="D36" s="242">
        <f t="shared" si="27"/>
        <v>0</v>
      </c>
      <c r="E36" s="242">
        <f t="shared" si="27"/>
        <v>0</v>
      </c>
      <c r="F36" s="242">
        <f t="shared" si="27"/>
        <v>0</v>
      </c>
      <c r="G36" s="242">
        <f t="shared" si="27"/>
        <v>0</v>
      </c>
      <c r="H36" s="242">
        <f t="shared" si="27"/>
        <v>0</v>
      </c>
      <c r="I36" s="242">
        <f t="shared" si="27"/>
        <v>0</v>
      </c>
      <c r="J36" s="242">
        <f t="shared" si="27"/>
        <v>0</v>
      </c>
      <c r="K36" s="242">
        <f t="shared" si="27"/>
        <v>0</v>
      </c>
      <c r="L36" s="242">
        <f t="shared" si="27"/>
        <v>0</v>
      </c>
      <c r="M36" s="242">
        <f t="shared" si="27"/>
        <v>0</v>
      </c>
      <c r="N36" s="242">
        <f t="shared" si="27"/>
        <v>0</v>
      </c>
      <c r="O36" s="242">
        <f t="shared" si="27"/>
        <v>0</v>
      </c>
      <c r="P36" s="242">
        <f t="shared" si="27"/>
        <v>0</v>
      </c>
      <c r="Q36" s="242">
        <f t="shared" si="27"/>
        <v>0</v>
      </c>
      <c r="R36" s="242">
        <f t="shared" si="27"/>
        <v>0</v>
      </c>
      <c r="S36" s="162">
        <f>Capacity!Z18</f>
        <v>2</v>
      </c>
      <c r="T36" s="162">
        <f>Capacity!AA18</f>
        <v>4</v>
      </c>
      <c r="U36" s="162">
        <v>1.0</v>
      </c>
      <c r="V36" s="162">
        <f>Capacity!AC18</f>
        <v>0</v>
      </c>
      <c r="W36" s="162">
        <f>Capacity!AD18</f>
        <v>0</v>
      </c>
      <c r="X36" s="162">
        <f>Capacity!AE18</f>
        <v>0</v>
      </c>
      <c r="Y36" s="162">
        <f>Capacity!AF18</f>
        <v>0</v>
      </c>
      <c r="Z36" s="162">
        <f>Capacity!AG18</f>
        <v>0</v>
      </c>
      <c r="AA36" s="162">
        <f>Capacity!AH18</f>
        <v>0</v>
      </c>
      <c r="AB36" s="162">
        <f>Capacity!AI18</f>
        <v>0</v>
      </c>
      <c r="AC36" s="162">
        <f>Capacity!AJ18</f>
        <v>0</v>
      </c>
      <c r="AD36" s="162">
        <f>Capacity!AK18</f>
        <v>0</v>
      </c>
      <c r="AE36" s="162">
        <f>Capacity!AL18</f>
        <v>0</v>
      </c>
      <c r="AF36" s="162">
        <f>Capacity!AM18</f>
        <v>0</v>
      </c>
      <c r="AG36" s="162">
        <f>Capacity!AN18</f>
        <v>0</v>
      </c>
      <c r="AH36" s="162">
        <f>Capacity!AO18</f>
        <v>0</v>
      </c>
      <c r="AI36" s="162">
        <f>Capacity!AP18</f>
        <v>0</v>
      </c>
      <c r="AJ36" s="162">
        <f>Capacity!AQ18</f>
        <v>0</v>
      </c>
      <c r="AK36" s="162">
        <f>Capacity!AR18</f>
        <v>0</v>
      </c>
      <c r="AL36" s="162">
        <f>Capacity!AS18</f>
        <v>0</v>
      </c>
      <c r="AM36" s="162">
        <f>Capacity!AT18</f>
        <v>0</v>
      </c>
      <c r="AN36" s="162">
        <f>Capacity!AU18</f>
        <v>0</v>
      </c>
      <c r="AO36" s="162">
        <f>Capacity!AV18</f>
        <v>0</v>
      </c>
      <c r="AP36" s="162">
        <f>Capacity!AW18</f>
        <v>0</v>
      </c>
      <c r="AQ36" s="162">
        <f>Capacity!AX18</f>
        <v>0</v>
      </c>
      <c r="AR36" s="162">
        <f>Capacity!AY18</f>
        <v>0</v>
      </c>
      <c r="AS36" s="162">
        <f>Capacity!AZ18</f>
        <v>0</v>
      </c>
      <c r="AT36" s="162">
        <f>Capacity!BA18</f>
        <v>0</v>
      </c>
      <c r="AU36" s="162">
        <f>Capacity!BB18</f>
        <v>0</v>
      </c>
      <c r="AV36" s="162">
        <f>Capacity!BC18</f>
        <v>0</v>
      </c>
      <c r="AW36" s="162">
        <f>Capacity!BD18</f>
        <v>0</v>
      </c>
      <c r="AX36" s="162">
        <f>Capacity!BE18</f>
        <v>0</v>
      </c>
      <c r="AY36" s="162">
        <f>Capacity!BF18</f>
        <v>0</v>
      </c>
      <c r="AZ36" s="162">
        <f>Capacity!BG18</f>
        <v>0</v>
      </c>
      <c r="BA36" s="162">
        <f>Capacity!BH18</f>
        <v>0</v>
      </c>
      <c r="BB36" s="162">
        <f>Capacity!BI18</f>
        <v>0</v>
      </c>
      <c r="BC36" s="162">
        <f>Capacity!BJ18</f>
        <v>0</v>
      </c>
      <c r="BD36" s="162">
        <f>Capacity!BK18</f>
        <v>0</v>
      </c>
      <c r="BE36" s="162">
        <f>Capacity!BL18</f>
        <v>0</v>
      </c>
      <c r="BF36" s="162">
        <f>Capacity!BM18</f>
        <v>0</v>
      </c>
      <c r="BG36" s="162">
        <f>Capacity!BN18</f>
        <v>0</v>
      </c>
      <c r="BH36" s="162">
        <f>Capacity!BO18</f>
        <v>0</v>
      </c>
      <c r="BI36" s="162">
        <f>Capacity!BP18</f>
        <v>0</v>
      </c>
      <c r="BJ36" s="162">
        <f>Capacity!BQ18</f>
        <v>0</v>
      </c>
      <c r="BK36" s="162">
        <f>Capacity!BR18</f>
        <v>0</v>
      </c>
      <c r="BL36" s="162">
        <f>Capacity!BS18</f>
        <v>0</v>
      </c>
      <c r="BM36" s="162">
        <f>Capacity!BT18</f>
        <v>0</v>
      </c>
      <c r="BN36" s="162">
        <f>Capacity!BU18</f>
        <v>0</v>
      </c>
      <c r="BO36" s="162">
        <f>Capacity!BV18</f>
        <v>0</v>
      </c>
      <c r="BP36" s="162">
        <f>Capacity!BW18</f>
        <v>0</v>
      </c>
      <c r="BQ36" s="162">
        <f>Capacity!BX18</f>
        <v>0</v>
      </c>
      <c r="BR36" s="162">
        <f>Capacity!BY18</f>
        <v>0</v>
      </c>
      <c r="BS36" s="162">
        <f>Capacity!BZ18</f>
        <v>0</v>
      </c>
      <c r="BT36" s="162">
        <f>Capacity!CA18</f>
        <v>0</v>
      </c>
      <c r="BU36" s="162">
        <f>Capacity!CB18</f>
        <v>0</v>
      </c>
      <c r="BV36" s="162">
        <f>Capacity!CC18</f>
        <v>0</v>
      </c>
      <c r="BW36" s="162">
        <f>Capacity!CD18</f>
        <v>0</v>
      </c>
      <c r="BX36" s="162">
        <f>Capacity!CE18</f>
        <v>0</v>
      </c>
      <c r="BY36" s="162">
        <f>Capacity!CF18</f>
        <v>0</v>
      </c>
      <c r="BZ36" s="162">
        <f>Capacity!CG18</f>
        <v>0</v>
      </c>
      <c r="CA36" s="162">
        <f>Capacity!CH18</f>
        <v>0</v>
      </c>
    </row>
    <row r="37" ht="15.75" customHeight="1">
      <c r="A37" s="91" t="s">
        <v>119</v>
      </c>
      <c r="B37" s="144"/>
      <c r="C37" s="242">
        <f t="shared" ref="C37:R37" si="28">C19-B19</f>
        <v>0</v>
      </c>
      <c r="D37" s="242">
        <f t="shared" si="28"/>
        <v>0</v>
      </c>
      <c r="E37" s="242">
        <f t="shared" si="28"/>
        <v>0</v>
      </c>
      <c r="F37" s="242">
        <f t="shared" si="28"/>
        <v>0</v>
      </c>
      <c r="G37" s="242">
        <f t="shared" si="28"/>
        <v>0</v>
      </c>
      <c r="H37" s="242">
        <f t="shared" si="28"/>
        <v>0</v>
      </c>
      <c r="I37" s="242">
        <f t="shared" si="28"/>
        <v>0</v>
      </c>
      <c r="J37" s="242">
        <f t="shared" si="28"/>
        <v>0</v>
      </c>
      <c r="K37" s="242">
        <f t="shared" si="28"/>
        <v>0</v>
      </c>
      <c r="L37" s="242">
        <f t="shared" si="28"/>
        <v>0</v>
      </c>
      <c r="M37" s="242">
        <f t="shared" si="28"/>
        <v>0</v>
      </c>
      <c r="N37" s="242">
        <f t="shared" si="28"/>
        <v>0</v>
      </c>
      <c r="O37" s="242">
        <f t="shared" si="28"/>
        <v>0</v>
      </c>
      <c r="P37" s="242">
        <f t="shared" si="28"/>
        <v>0</v>
      </c>
      <c r="Q37" s="242">
        <f t="shared" si="28"/>
        <v>0</v>
      </c>
      <c r="R37" s="242">
        <f t="shared" si="28"/>
        <v>0</v>
      </c>
      <c r="S37" s="162">
        <f>Capacity!Z19</f>
        <v>3</v>
      </c>
      <c r="T37" s="162">
        <f>Capacity!AA19</f>
        <v>0</v>
      </c>
      <c r="U37" s="162">
        <f>Capacity!AB19</f>
        <v>1</v>
      </c>
      <c r="V37" s="162">
        <f>Capacity!AC19</f>
        <v>1</v>
      </c>
      <c r="W37" s="162">
        <f>Capacity!AD19</f>
        <v>1</v>
      </c>
      <c r="X37" s="162">
        <f>Capacity!AE19</f>
        <v>0</v>
      </c>
      <c r="Y37" s="162">
        <f>Capacity!AF19</f>
        <v>0</v>
      </c>
      <c r="Z37" s="162">
        <f>Capacity!AG19</f>
        <v>0</v>
      </c>
      <c r="AA37" s="162">
        <f>Capacity!AH19</f>
        <v>0</v>
      </c>
      <c r="AB37" s="162">
        <f>Capacity!AI19</f>
        <v>0</v>
      </c>
      <c r="AC37" s="162">
        <f>Capacity!AJ19</f>
        <v>0</v>
      </c>
      <c r="AD37" s="162">
        <f>Capacity!AK19</f>
        <v>0</v>
      </c>
      <c r="AE37" s="162">
        <f>Capacity!AL19</f>
        <v>0</v>
      </c>
      <c r="AF37" s="162">
        <f>Capacity!AM19</f>
        <v>0</v>
      </c>
      <c r="AG37" s="162">
        <f>Capacity!AN19</f>
        <v>0</v>
      </c>
      <c r="AH37" s="162">
        <f>Capacity!AO19</f>
        <v>0</v>
      </c>
      <c r="AI37" s="162">
        <f>Capacity!AP19</f>
        <v>0</v>
      </c>
      <c r="AJ37" s="162">
        <f>Capacity!AQ19</f>
        <v>0</v>
      </c>
      <c r="AK37" s="162">
        <f>Capacity!AR19</f>
        <v>0</v>
      </c>
      <c r="AL37" s="162">
        <f>Capacity!AS19</f>
        <v>0</v>
      </c>
      <c r="AM37" s="162">
        <f>Capacity!AT19</f>
        <v>0</v>
      </c>
      <c r="AN37" s="162">
        <f>Capacity!AU19</f>
        <v>0</v>
      </c>
      <c r="AO37" s="162">
        <f>Capacity!AV19</f>
        <v>0</v>
      </c>
      <c r="AP37" s="162">
        <f>Capacity!AW19</f>
        <v>0</v>
      </c>
      <c r="AQ37" s="162">
        <f>Capacity!AX19</f>
        <v>0</v>
      </c>
      <c r="AR37" s="162">
        <f>Capacity!AY19</f>
        <v>0</v>
      </c>
      <c r="AS37" s="162">
        <f>Capacity!AZ19</f>
        <v>0</v>
      </c>
      <c r="AT37" s="162">
        <f>Capacity!BA19</f>
        <v>0</v>
      </c>
      <c r="AU37" s="162">
        <f>Capacity!BB19</f>
        <v>0</v>
      </c>
      <c r="AV37" s="162">
        <f>Capacity!BC19</f>
        <v>0</v>
      </c>
      <c r="AW37" s="162">
        <f>Capacity!BD19</f>
        <v>0</v>
      </c>
      <c r="AX37" s="162">
        <f>Capacity!BE19</f>
        <v>0</v>
      </c>
      <c r="AY37" s="162">
        <f>Capacity!BF19</f>
        <v>0</v>
      </c>
      <c r="AZ37" s="162">
        <f>Capacity!BG19</f>
        <v>0</v>
      </c>
      <c r="BA37" s="162">
        <f>Capacity!BH19</f>
        <v>0</v>
      </c>
      <c r="BB37" s="162">
        <f>Capacity!BI19</f>
        <v>0</v>
      </c>
      <c r="BC37" s="162">
        <f>Capacity!BJ19</f>
        <v>0</v>
      </c>
      <c r="BD37" s="162">
        <f>Capacity!BK19</f>
        <v>0</v>
      </c>
      <c r="BE37" s="162">
        <f>Capacity!BL19</f>
        <v>0</v>
      </c>
      <c r="BF37" s="162">
        <f>Capacity!BM19</f>
        <v>0</v>
      </c>
      <c r="BG37" s="162">
        <f>Capacity!BN19</f>
        <v>0</v>
      </c>
      <c r="BH37" s="162">
        <f>Capacity!BO19</f>
        <v>0</v>
      </c>
      <c r="BI37" s="162">
        <f>Capacity!BP19</f>
        <v>0</v>
      </c>
      <c r="BJ37" s="162">
        <f>Capacity!BQ19</f>
        <v>0</v>
      </c>
      <c r="BK37" s="162">
        <f>Capacity!BR19</f>
        <v>0</v>
      </c>
      <c r="BL37" s="162">
        <f>Capacity!BS19</f>
        <v>0</v>
      </c>
      <c r="BM37" s="162">
        <f>Capacity!BT19</f>
        <v>0</v>
      </c>
      <c r="BN37" s="162">
        <f>Capacity!BU19</f>
        <v>0</v>
      </c>
      <c r="BO37" s="162">
        <f>Capacity!BV19</f>
        <v>0</v>
      </c>
      <c r="BP37" s="162">
        <f>Capacity!BW19</f>
        <v>0</v>
      </c>
      <c r="BQ37" s="162">
        <f>Capacity!BX19</f>
        <v>0</v>
      </c>
      <c r="BR37" s="162">
        <f>Capacity!BY19</f>
        <v>0</v>
      </c>
      <c r="BS37" s="162">
        <f>Capacity!BZ19</f>
        <v>0</v>
      </c>
      <c r="BT37" s="162">
        <f>Capacity!CA19</f>
        <v>0</v>
      </c>
      <c r="BU37" s="162">
        <f>Capacity!CB19</f>
        <v>0</v>
      </c>
      <c r="BV37" s="162">
        <f>Capacity!CC19</f>
        <v>0</v>
      </c>
      <c r="BW37" s="162">
        <f>Capacity!CD19</f>
        <v>0</v>
      </c>
      <c r="BX37" s="162">
        <f>Capacity!CE19</f>
        <v>0</v>
      </c>
      <c r="BY37" s="162">
        <f>Capacity!CF19</f>
        <v>0</v>
      </c>
      <c r="BZ37" s="162">
        <f>Capacity!CG19</f>
        <v>0</v>
      </c>
      <c r="CA37" s="162">
        <f>Capacity!CH19</f>
        <v>0</v>
      </c>
    </row>
    <row r="38" ht="15.75" customHeight="1">
      <c r="A38" s="243" t="s">
        <v>427</v>
      </c>
      <c r="B38" s="184">
        <f t="shared" ref="B38:CA38" si="29">SUM(B24:B37)</f>
        <v>0</v>
      </c>
      <c r="C38" s="184">
        <f t="shared" si="29"/>
        <v>0</v>
      </c>
      <c r="D38" s="184">
        <f t="shared" si="29"/>
        <v>0</v>
      </c>
      <c r="E38" s="184">
        <f t="shared" si="29"/>
        <v>0</v>
      </c>
      <c r="F38" s="184">
        <f t="shared" si="29"/>
        <v>0</v>
      </c>
      <c r="G38" s="184">
        <f t="shared" si="29"/>
        <v>0</v>
      </c>
      <c r="H38" s="184">
        <f t="shared" si="29"/>
        <v>0</v>
      </c>
      <c r="I38" s="184">
        <f t="shared" si="29"/>
        <v>0</v>
      </c>
      <c r="J38" s="184">
        <f t="shared" si="29"/>
        <v>0</v>
      </c>
      <c r="K38" s="184">
        <f t="shared" si="29"/>
        <v>0</v>
      </c>
      <c r="L38" s="184">
        <f t="shared" si="29"/>
        <v>0</v>
      </c>
      <c r="M38" s="184">
        <f t="shared" si="29"/>
        <v>0</v>
      </c>
      <c r="N38" s="184">
        <f t="shared" si="29"/>
        <v>0</v>
      </c>
      <c r="O38" s="184">
        <f t="shared" si="29"/>
        <v>0</v>
      </c>
      <c r="P38" s="184">
        <f t="shared" si="29"/>
        <v>0</v>
      </c>
      <c r="Q38" s="184">
        <f t="shared" si="29"/>
        <v>0</v>
      </c>
      <c r="R38" s="184">
        <f t="shared" si="29"/>
        <v>0</v>
      </c>
      <c r="S38" s="184">
        <f t="shared" si="29"/>
        <v>19</v>
      </c>
      <c r="T38" s="184">
        <f t="shared" si="29"/>
        <v>7</v>
      </c>
      <c r="U38" s="184">
        <f t="shared" si="29"/>
        <v>4</v>
      </c>
      <c r="V38" s="184">
        <f t="shared" si="29"/>
        <v>3</v>
      </c>
      <c r="W38" s="184">
        <f t="shared" si="29"/>
        <v>3</v>
      </c>
      <c r="X38" s="184">
        <f t="shared" si="29"/>
        <v>0</v>
      </c>
      <c r="Y38" s="184">
        <f t="shared" si="29"/>
        <v>0</v>
      </c>
      <c r="Z38" s="184">
        <f t="shared" si="29"/>
        <v>2</v>
      </c>
      <c r="AA38" s="184">
        <f t="shared" si="29"/>
        <v>3</v>
      </c>
      <c r="AB38" s="184">
        <f t="shared" si="29"/>
        <v>2</v>
      </c>
      <c r="AC38" s="184">
        <f t="shared" si="29"/>
        <v>3</v>
      </c>
      <c r="AD38" s="184">
        <f t="shared" si="29"/>
        <v>3</v>
      </c>
      <c r="AE38" s="184">
        <f t="shared" si="29"/>
        <v>3</v>
      </c>
      <c r="AF38" s="184">
        <f t="shared" si="29"/>
        <v>2</v>
      </c>
      <c r="AG38" s="184">
        <f t="shared" si="29"/>
        <v>2</v>
      </c>
      <c r="AH38" s="184">
        <f t="shared" si="29"/>
        <v>1</v>
      </c>
      <c r="AI38" s="184">
        <f t="shared" si="29"/>
        <v>0</v>
      </c>
      <c r="AJ38" s="184">
        <f t="shared" si="29"/>
        <v>1</v>
      </c>
      <c r="AK38" s="184">
        <f t="shared" si="29"/>
        <v>1</v>
      </c>
      <c r="AL38" s="184">
        <f t="shared" si="29"/>
        <v>1</v>
      </c>
      <c r="AM38" s="184">
        <f t="shared" si="29"/>
        <v>2</v>
      </c>
      <c r="AN38" s="184">
        <f t="shared" si="29"/>
        <v>1</v>
      </c>
      <c r="AO38" s="184">
        <f t="shared" si="29"/>
        <v>1</v>
      </c>
      <c r="AP38" s="184">
        <f t="shared" si="29"/>
        <v>2</v>
      </c>
      <c r="AQ38" s="184">
        <f t="shared" si="29"/>
        <v>0</v>
      </c>
      <c r="AR38" s="184">
        <f t="shared" si="29"/>
        <v>1</v>
      </c>
      <c r="AS38" s="184">
        <f t="shared" si="29"/>
        <v>3</v>
      </c>
      <c r="AT38" s="184">
        <f t="shared" si="29"/>
        <v>2</v>
      </c>
      <c r="AU38" s="184">
        <f t="shared" si="29"/>
        <v>4</v>
      </c>
      <c r="AV38" s="184">
        <f t="shared" si="29"/>
        <v>1</v>
      </c>
      <c r="AW38" s="184">
        <f t="shared" si="29"/>
        <v>1</v>
      </c>
      <c r="AX38" s="184">
        <f t="shared" si="29"/>
        <v>3</v>
      </c>
      <c r="AY38" s="184">
        <f t="shared" si="29"/>
        <v>2</v>
      </c>
      <c r="AZ38" s="184">
        <f t="shared" si="29"/>
        <v>1</v>
      </c>
      <c r="BA38" s="184">
        <f t="shared" si="29"/>
        <v>3</v>
      </c>
      <c r="BB38" s="184">
        <f t="shared" si="29"/>
        <v>0</v>
      </c>
      <c r="BC38" s="184">
        <f t="shared" si="29"/>
        <v>3</v>
      </c>
      <c r="BD38" s="184">
        <f t="shared" si="29"/>
        <v>4</v>
      </c>
      <c r="BE38" s="184">
        <f t="shared" si="29"/>
        <v>15</v>
      </c>
      <c r="BF38" s="184">
        <f t="shared" si="29"/>
        <v>7</v>
      </c>
      <c r="BG38" s="184">
        <f t="shared" si="29"/>
        <v>3</v>
      </c>
      <c r="BH38" s="184">
        <f t="shared" si="29"/>
        <v>2</v>
      </c>
      <c r="BI38" s="184">
        <f t="shared" si="29"/>
        <v>1</v>
      </c>
      <c r="BJ38" s="184">
        <f t="shared" si="29"/>
        <v>3</v>
      </c>
      <c r="BK38" s="184">
        <f t="shared" si="29"/>
        <v>2</v>
      </c>
      <c r="BL38" s="184">
        <f t="shared" si="29"/>
        <v>1</v>
      </c>
      <c r="BM38" s="184">
        <f t="shared" si="29"/>
        <v>2</v>
      </c>
      <c r="BN38" s="184">
        <f t="shared" si="29"/>
        <v>3</v>
      </c>
      <c r="BO38" s="184">
        <f t="shared" si="29"/>
        <v>0</v>
      </c>
      <c r="BP38" s="184">
        <f t="shared" si="29"/>
        <v>2</v>
      </c>
      <c r="BQ38" s="184">
        <f t="shared" si="29"/>
        <v>3</v>
      </c>
      <c r="BR38" s="184">
        <f t="shared" si="29"/>
        <v>1</v>
      </c>
      <c r="BS38" s="184">
        <f t="shared" si="29"/>
        <v>2</v>
      </c>
      <c r="BT38" s="184">
        <f t="shared" si="29"/>
        <v>0</v>
      </c>
      <c r="BU38" s="184">
        <f t="shared" si="29"/>
        <v>2</v>
      </c>
      <c r="BV38" s="184">
        <f t="shared" si="29"/>
        <v>2</v>
      </c>
      <c r="BW38" s="184">
        <f t="shared" si="29"/>
        <v>0</v>
      </c>
      <c r="BX38" s="184">
        <f t="shared" si="29"/>
        <v>1</v>
      </c>
      <c r="BY38" s="184">
        <f t="shared" si="29"/>
        <v>0</v>
      </c>
      <c r="BZ38" s="184">
        <f t="shared" si="29"/>
        <v>2</v>
      </c>
      <c r="CA38" s="184">
        <f t="shared" si="29"/>
        <v>2</v>
      </c>
    </row>
    <row r="39" ht="15.7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row>
    <row r="40" ht="15.7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row>
    <row r="41" ht="15.75" customHeight="1">
      <c r="A41" s="129" t="s">
        <v>428</v>
      </c>
      <c r="B41" s="91"/>
      <c r="C41" s="91"/>
      <c r="D41" s="91"/>
      <c r="E41" s="91"/>
      <c r="F41" s="91"/>
      <c r="G41" s="91"/>
      <c r="H41" s="245"/>
      <c r="I41" s="246"/>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row>
    <row r="42" ht="15.75" customHeight="1">
      <c r="A42" s="91" t="s">
        <v>414</v>
      </c>
      <c r="B42" s="91"/>
      <c r="C42" s="91"/>
      <c r="D42" s="91"/>
      <c r="E42" s="91"/>
      <c r="F42" s="247">
        <v>10000.0</v>
      </c>
      <c r="G42" s="247">
        <v>10000.0</v>
      </c>
      <c r="H42" s="247">
        <v>10000.0</v>
      </c>
      <c r="I42" s="247">
        <v>10000.0</v>
      </c>
      <c r="J42" s="247">
        <v>10000.0</v>
      </c>
      <c r="K42" s="247">
        <v>10000.0</v>
      </c>
      <c r="L42" s="247">
        <v>10000.0</v>
      </c>
      <c r="M42" s="247">
        <v>10000.0</v>
      </c>
      <c r="N42" s="247">
        <v>10000.0</v>
      </c>
      <c r="O42" s="247">
        <v>10000.0</v>
      </c>
      <c r="P42" s="247">
        <v>10000.0</v>
      </c>
      <c r="Q42" s="247">
        <v>10000.0</v>
      </c>
      <c r="R42" s="247">
        <v>10000.0</v>
      </c>
      <c r="S42" s="117">
        <f t="shared" ref="S42:S55" si="31">R42</f>
        <v>10000</v>
      </c>
      <c r="T42" s="248">
        <f t="shared" ref="T42:CA42" si="30">S42*(1+T$57)</f>
        <v>10400</v>
      </c>
      <c r="U42" s="117">
        <f t="shared" si="30"/>
        <v>10400</v>
      </c>
      <c r="V42" s="117">
        <f t="shared" si="30"/>
        <v>10400</v>
      </c>
      <c r="W42" s="117">
        <f t="shared" si="30"/>
        <v>10400</v>
      </c>
      <c r="X42" s="117">
        <f t="shared" si="30"/>
        <v>10400</v>
      </c>
      <c r="Y42" s="117">
        <f t="shared" si="30"/>
        <v>10400</v>
      </c>
      <c r="Z42" s="117">
        <f t="shared" si="30"/>
        <v>10816</v>
      </c>
      <c r="AA42" s="117">
        <f t="shared" si="30"/>
        <v>10816</v>
      </c>
      <c r="AB42" s="117">
        <f t="shared" si="30"/>
        <v>10816</v>
      </c>
      <c r="AC42" s="117">
        <f t="shared" si="30"/>
        <v>10816</v>
      </c>
      <c r="AD42" s="117">
        <f t="shared" si="30"/>
        <v>10816</v>
      </c>
      <c r="AE42" s="117">
        <f t="shared" si="30"/>
        <v>10816</v>
      </c>
      <c r="AF42" s="117">
        <f t="shared" si="30"/>
        <v>11248.64</v>
      </c>
      <c r="AG42" s="117">
        <f t="shared" si="30"/>
        <v>11248.64</v>
      </c>
      <c r="AH42" s="117">
        <f t="shared" si="30"/>
        <v>11248.64</v>
      </c>
      <c r="AI42" s="117">
        <f t="shared" si="30"/>
        <v>11248.64</v>
      </c>
      <c r="AJ42" s="117">
        <f t="shared" si="30"/>
        <v>11248.64</v>
      </c>
      <c r="AK42" s="117">
        <f t="shared" si="30"/>
        <v>11248.64</v>
      </c>
      <c r="AL42" s="117">
        <f t="shared" si="30"/>
        <v>11698.5856</v>
      </c>
      <c r="AM42" s="117">
        <f t="shared" si="30"/>
        <v>11698.5856</v>
      </c>
      <c r="AN42" s="117">
        <f t="shared" si="30"/>
        <v>11698.5856</v>
      </c>
      <c r="AO42" s="117">
        <f t="shared" si="30"/>
        <v>11698.5856</v>
      </c>
      <c r="AP42" s="117">
        <f t="shared" si="30"/>
        <v>11698.5856</v>
      </c>
      <c r="AQ42" s="117">
        <f t="shared" si="30"/>
        <v>11698.5856</v>
      </c>
      <c r="AR42" s="117">
        <f t="shared" si="30"/>
        <v>12166.52902</v>
      </c>
      <c r="AS42" s="117">
        <f t="shared" si="30"/>
        <v>12166.52902</v>
      </c>
      <c r="AT42" s="117">
        <f t="shared" si="30"/>
        <v>12166.52902</v>
      </c>
      <c r="AU42" s="117">
        <f t="shared" si="30"/>
        <v>12166.52902</v>
      </c>
      <c r="AV42" s="117">
        <f t="shared" si="30"/>
        <v>12166.52902</v>
      </c>
      <c r="AW42" s="117">
        <f t="shared" si="30"/>
        <v>12166.52902</v>
      </c>
      <c r="AX42" s="117">
        <f t="shared" si="30"/>
        <v>12653.19018</v>
      </c>
      <c r="AY42" s="117">
        <f t="shared" si="30"/>
        <v>12653.19018</v>
      </c>
      <c r="AZ42" s="117">
        <f t="shared" si="30"/>
        <v>12653.19018</v>
      </c>
      <c r="BA42" s="117">
        <f t="shared" si="30"/>
        <v>12653.19018</v>
      </c>
      <c r="BB42" s="117">
        <f t="shared" si="30"/>
        <v>12653.19018</v>
      </c>
      <c r="BC42" s="117">
        <f t="shared" si="30"/>
        <v>12653.19018</v>
      </c>
      <c r="BD42" s="117">
        <f t="shared" si="30"/>
        <v>13159.31779</v>
      </c>
      <c r="BE42" s="117">
        <f t="shared" si="30"/>
        <v>13159.31779</v>
      </c>
      <c r="BF42" s="117">
        <f t="shared" si="30"/>
        <v>13159.31779</v>
      </c>
      <c r="BG42" s="117">
        <f t="shared" si="30"/>
        <v>13159.31779</v>
      </c>
      <c r="BH42" s="117">
        <f t="shared" si="30"/>
        <v>13159.31779</v>
      </c>
      <c r="BI42" s="117">
        <f t="shared" si="30"/>
        <v>13159.31779</v>
      </c>
      <c r="BJ42" s="117">
        <f t="shared" si="30"/>
        <v>13685.6905</v>
      </c>
      <c r="BK42" s="117">
        <f t="shared" si="30"/>
        <v>13685.6905</v>
      </c>
      <c r="BL42" s="117">
        <f t="shared" si="30"/>
        <v>13685.6905</v>
      </c>
      <c r="BM42" s="117">
        <f t="shared" si="30"/>
        <v>13685.6905</v>
      </c>
      <c r="BN42" s="117">
        <f t="shared" si="30"/>
        <v>13685.6905</v>
      </c>
      <c r="BO42" s="117">
        <f t="shared" si="30"/>
        <v>13685.6905</v>
      </c>
      <c r="BP42" s="117">
        <f t="shared" si="30"/>
        <v>14233.11812</v>
      </c>
      <c r="BQ42" s="117">
        <f t="shared" si="30"/>
        <v>14233.11812</v>
      </c>
      <c r="BR42" s="117">
        <f t="shared" si="30"/>
        <v>14233.11812</v>
      </c>
      <c r="BS42" s="117">
        <f t="shared" si="30"/>
        <v>14233.11812</v>
      </c>
      <c r="BT42" s="117">
        <f t="shared" si="30"/>
        <v>14233.11812</v>
      </c>
      <c r="BU42" s="117">
        <f t="shared" si="30"/>
        <v>14233.11812</v>
      </c>
      <c r="BV42" s="117">
        <f t="shared" si="30"/>
        <v>14233.11812</v>
      </c>
      <c r="BW42" s="117">
        <f t="shared" si="30"/>
        <v>14233.11812</v>
      </c>
      <c r="BX42" s="117">
        <f t="shared" si="30"/>
        <v>14233.11812</v>
      </c>
      <c r="BY42" s="117">
        <f t="shared" si="30"/>
        <v>14233.11812</v>
      </c>
      <c r="BZ42" s="117">
        <f t="shared" si="30"/>
        <v>14233.11812</v>
      </c>
      <c r="CA42" s="117">
        <f t="shared" si="30"/>
        <v>14233.11812</v>
      </c>
    </row>
    <row r="43" ht="15.75" customHeight="1">
      <c r="A43" s="91" t="s">
        <v>415</v>
      </c>
      <c r="B43" s="91"/>
      <c r="C43" s="91"/>
      <c r="D43" s="91"/>
      <c r="E43" s="91"/>
      <c r="F43" s="247">
        <v>10000.0</v>
      </c>
      <c r="G43" s="247">
        <v>10000.0</v>
      </c>
      <c r="H43" s="247">
        <v>10000.0</v>
      </c>
      <c r="I43" s="247">
        <v>10000.0</v>
      </c>
      <c r="J43" s="247">
        <v>10000.0</v>
      </c>
      <c r="K43" s="247">
        <v>10000.0</v>
      </c>
      <c r="L43" s="247">
        <v>10000.0</v>
      </c>
      <c r="M43" s="247">
        <v>10000.0</v>
      </c>
      <c r="N43" s="247">
        <v>10000.0</v>
      </c>
      <c r="O43" s="247">
        <v>10000.0</v>
      </c>
      <c r="P43" s="247">
        <v>10000.0</v>
      </c>
      <c r="Q43" s="247">
        <v>10000.0</v>
      </c>
      <c r="R43" s="247">
        <v>10000.0</v>
      </c>
      <c r="S43" s="117">
        <f t="shared" si="31"/>
        <v>10000</v>
      </c>
      <c r="T43" s="248">
        <f t="shared" ref="T43:T55" si="33">S43*(1+T$57)</f>
        <v>10400</v>
      </c>
      <c r="U43" s="117">
        <v>6667.0</v>
      </c>
      <c r="V43" s="117">
        <f t="shared" ref="V43:CA43" si="32">U43*(1+V$57)</f>
        <v>6667</v>
      </c>
      <c r="W43" s="117">
        <f t="shared" si="32"/>
        <v>6667</v>
      </c>
      <c r="X43" s="117">
        <f t="shared" si="32"/>
        <v>6667</v>
      </c>
      <c r="Y43" s="117">
        <f t="shared" si="32"/>
        <v>6667</v>
      </c>
      <c r="Z43" s="117">
        <f t="shared" si="32"/>
        <v>6933.68</v>
      </c>
      <c r="AA43" s="117">
        <f t="shared" si="32"/>
        <v>6933.68</v>
      </c>
      <c r="AB43" s="117">
        <f t="shared" si="32"/>
        <v>6933.68</v>
      </c>
      <c r="AC43" s="117">
        <f t="shared" si="32"/>
        <v>6933.68</v>
      </c>
      <c r="AD43" s="117">
        <f t="shared" si="32"/>
        <v>6933.68</v>
      </c>
      <c r="AE43" s="117">
        <f t="shared" si="32"/>
        <v>6933.68</v>
      </c>
      <c r="AF43" s="117">
        <f t="shared" si="32"/>
        <v>7211.0272</v>
      </c>
      <c r="AG43" s="117">
        <f t="shared" si="32"/>
        <v>7211.0272</v>
      </c>
      <c r="AH43" s="117">
        <f t="shared" si="32"/>
        <v>7211.0272</v>
      </c>
      <c r="AI43" s="117">
        <f t="shared" si="32"/>
        <v>7211.0272</v>
      </c>
      <c r="AJ43" s="117">
        <f t="shared" si="32"/>
        <v>7211.0272</v>
      </c>
      <c r="AK43" s="117">
        <f t="shared" si="32"/>
        <v>7211.0272</v>
      </c>
      <c r="AL43" s="117">
        <f t="shared" si="32"/>
        <v>7499.468288</v>
      </c>
      <c r="AM43" s="117">
        <f t="shared" si="32"/>
        <v>7499.468288</v>
      </c>
      <c r="AN43" s="117">
        <f t="shared" si="32"/>
        <v>7499.468288</v>
      </c>
      <c r="AO43" s="117">
        <f t="shared" si="32"/>
        <v>7499.468288</v>
      </c>
      <c r="AP43" s="117">
        <f t="shared" si="32"/>
        <v>7499.468288</v>
      </c>
      <c r="AQ43" s="117">
        <f t="shared" si="32"/>
        <v>7499.468288</v>
      </c>
      <c r="AR43" s="117">
        <f t="shared" si="32"/>
        <v>7799.44702</v>
      </c>
      <c r="AS43" s="117">
        <f t="shared" si="32"/>
        <v>7799.44702</v>
      </c>
      <c r="AT43" s="117">
        <f t="shared" si="32"/>
        <v>7799.44702</v>
      </c>
      <c r="AU43" s="117">
        <f t="shared" si="32"/>
        <v>7799.44702</v>
      </c>
      <c r="AV43" s="117">
        <f t="shared" si="32"/>
        <v>7799.44702</v>
      </c>
      <c r="AW43" s="117">
        <f t="shared" si="32"/>
        <v>7799.44702</v>
      </c>
      <c r="AX43" s="117">
        <f t="shared" si="32"/>
        <v>8111.4249</v>
      </c>
      <c r="AY43" s="117">
        <f t="shared" si="32"/>
        <v>8111.4249</v>
      </c>
      <c r="AZ43" s="117">
        <f t="shared" si="32"/>
        <v>8111.4249</v>
      </c>
      <c r="BA43" s="117">
        <f t="shared" si="32"/>
        <v>8111.4249</v>
      </c>
      <c r="BB43" s="117">
        <f t="shared" si="32"/>
        <v>8111.4249</v>
      </c>
      <c r="BC43" s="117">
        <f t="shared" si="32"/>
        <v>8111.4249</v>
      </c>
      <c r="BD43" s="117">
        <f t="shared" si="32"/>
        <v>8435.881896</v>
      </c>
      <c r="BE43" s="117">
        <f t="shared" si="32"/>
        <v>8435.881896</v>
      </c>
      <c r="BF43" s="117">
        <f t="shared" si="32"/>
        <v>8435.881896</v>
      </c>
      <c r="BG43" s="117">
        <f t="shared" si="32"/>
        <v>8435.881896</v>
      </c>
      <c r="BH43" s="117">
        <f t="shared" si="32"/>
        <v>8435.881896</v>
      </c>
      <c r="BI43" s="117">
        <f t="shared" si="32"/>
        <v>8435.881896</v>
      </c>
      <c r="BJ43" s="117">
        <f t="shared" si="32"/>
        <v>8773.317172</v>
      </c>
      <c r="BK43" s="117">
        <f t="shared" si="32"/>
        <v>8773.317172</v>
      </c>
      <c r="BL43" s="117">
        <f t="shared" si="32"/>
        <v>8773.317172</v>
      </c>
      <c r="BM43" s="117">
        <f t="shared" si="32"/>
        <v>8773.317172</v>
      </c>
      <c r="BN43" s="117">
        <f t="shared" si="32"/>
        <v>8773.317172</v>
      </c>
      <c r="BO43" s="117">
        <f t="shared" si="32"/>
        <v>8773.317172</v>
      </c>
      <c r="BP43" s="117">
        <f t="shared" si="32"/>
        <v>9124.249859</v>
      </c>
      <c r="BQ43" s="117">
        <f t="shared" si="32"/>
        <v>9124.249859</v>
      </c>
      <c r="BR43" s="117">
        <f t="shared" si="32"/>
        <v>9124.249859</v>
      </c>
      <c r="BS43" s="117">
        <f t="shared" si="32"/>
        <v>9124.249859</v>
      </c>
      <c r="BT43" s="117">
        <f t="shared" si="32"/>
        <v>9124.249859</v>
      </c>
      <c r="BU43" s="117">
        <f t="shared" si="32"/>
        <v>9124.249859</v>
      </c>
      <c r="BV43" s="117">
        <f t="shared" si="32"/>
        <v>9124.249859</v>
      </c>
      <c r="BW43" s="117">
        <f t="shared" si="32"/>
        <v>9124.249859</v>
      </c>
      <c r="BX43" s="117">
        <f t="shared" si="32"/>
        <v>9124.249859</v>
      </c>
      <c r="BY43" s="117">
        <f t="shared" si="32"/>
        <v>9124.249859</v>
      </c>
      <c r="BZ43" s="117">
        <f t="shared" si="32"/>
        <v>9124.249859</v>
      </c>
      <c r="CA43" s="117">
        <f t="shared" si="32"/>
        <v>9124.249859</v>
      </c>
    </row>
    <row r="44" ht="15.75" customHeight="1">
      <c r="A44" s="91" t="s">
        <v>416</v>
      </c>
      <c r="B44" s="91"/>
      <c r="C44" s="91"/>
      <c r="D44" s="91"/>
      <c r="E44" s="91"/>
      <c r="F44" s="247">
        <v>10000.0</v>
      </c>
      <c r="G44" s="247">
        <v>10000.0</v>
      </c>
      <c r="H44" s="247">
        <v>10000.0</v>
      </c>
      <c r="I44" s="247">
        <v>10000.0</v>
      </c>
      <c r="J44" s="247">
        <v>10000.0</v>
      </c>
      <c r="K44" s="247">
        <v>10000.0</v>
      </c>
      <c r="L44" s="247">
        <v>10000.0</v>
      </c>
      <c r="M44" s="247">
        <v>10000.0</v>
      </c>
      <c r="N44" s="247">
        <v>10000.0</v>
      </c>
      <c r="O44" s="247">
        <v>10000.0</v>
      </c>
      <c r="P44" s="247">
        <v>10000.0</v>
      </c>
      <c r="Q44" s="247">
        <v>10000.0</v>
      </c>
      <c r="R44" s="247">
        <v>10000.0</v>
      </c>
      <c r="S44" s="117">
        <f t="shared" si="31"/>
        <v>10000</v>
      </c>
      <c r="T44" s="248">
        <f t="shared" si="33"/>
        <v>10400</v>
      </c>
      <c r="U44" s="117">
        <f t="shared" ref="U44:CA44" si="34">T44*(1+U$57)</f>
        <v>10400</v>
      </c>
      <c r="V44" s="117">
        <f t="shared" si="34"/>
        <v>10400</v>
      </c>
      <c r="W44" s="117">
        <f t="shared" si="34"/>
        <v>10400</v>
      </c>
      <c r="X44" s="117">
        <f t="shared" si="34"/>
        <v>10400</v>
      </c>
      <c r="Y44" s="117">
        <f t="shared" si="34"/>
        <v>10400</v>
      </c>
      <c r="Z44" s="117">
        <f t="shared" si="34"/>
        <v>10816</v>
      </c>
      <c r="AA44" s="117">
        <f t="shared" si="34"/>
        <v>10816</v>
      </c>
      <c r="AB44" s="117">
        <f t="shared" si="34"/>
        <v>10816</v>
      </c>
      <c r="AC44" s="117">
        <f t="shared" si="34"/>
        <v>10816</v>
      </c>
      <c r="AD44" s="117">
        <f t="shared" si="34"/>
        <v>10816</v>
      </c>
      <c r="AE44" s="117">
        <f t="shared" si="34"/>
        <v>10816</v>
      </c>
      <c r="AF44" s="117">
        <f t="shared" si="34"/>
        <v>11248.64</v>
      </c>
      <c r="AG44" s="117">
        <f t="shared" si="34"/>
        <v>11248.64</v>
      </c>
      <c r="AH44" s="117">
        <f t="shared" si="34"/>
        <v>11248.64</v>
      </c>
      <c r="AI44" s="117">
        <f t="shared" si="34"/>
        <v>11248.64</v>
      </c>
      <c r="AJ44" s="117">
        <f t="shared" si="34"/>
        <v>11248.64</v>
      </c>
      <c r="AK44" s="117">
        <f t="shared" si="34"/>
        <v>11248.64</v>
      </c>
      <c r="AL44" s="117">
        <f t="shared" si="34"/>
        <v>11698.5856</v>
      </c>
      <c r="AM44" s="117">
        <f t="shared" si="34"/>
        <v>11698.5856</v>
      </c>
      <c r="AN44" s="117">
        <f t="shared" si="34"/>
        <v>11698.5856</v>
      </c>
      <c r="AO44" s="117">
        <f t="shared" si="34"/>
        <v>11698.5856</v>
      </c>
      <c r="AP44" s="117">
        <f t="shared" si="34"/>
        <v>11698.5856</v>
      </c>
      <c r="AQ44" s="117">
        <f t="shared" si="34"/>
        <v>11698.5856</v>
      </c>
      <c r="AR44" s="117">
        <f t="shared" si="34"/>
        <v>12166.52902</v>
      </c>
      <c r="AS44" s="117">
        <f t="shared" si="34"/>
        <v>12166.52902</v>
      </c>
      <c r="AT44" s="117">
        <f t="shared" si="34"/>
        <v>12166.52902</v>
      </c>
      <c r="AU44" s="117">
        <f t="shared" si="34"/>
        <v>12166.52902</v>
      </c>
      <c r="AV44" s="117">
        <f t="shared" si="34"/>
        <v>12166.52902</v>
      </c>
      <c r="AW44" s="117">
        <f t="shared" si="34"/>
        <v>12166.52902</v>
      </c>
      <c r="AX44" s="117">
        <f t="shared" si="34"/>
        <v>12653.19018</v>
      </c>
      <c r="AY44" s="117">
        <f t="shared" si="34"/>
        <v>12653.19018</v>
      </c>
      <c r="AZ44" s="117">
        <f t="shared" si="34"/>
        <v>12653.19018</v>
      </c>
      <c r="BA44" s="117">
        <f t="shared" si="34"/>
        <v>12653.19018</v>
      </c>
      <c r="BB44" s="117">
        <f t="shared" si="34"/>
        <v>12653.19018</v>
      </c>
      <c r="BC44" s="117">
        <f t="shared" si="34"/>
        <v>12653.19018</v>
      </c>
      <c r="BD44" s="117">
        <f t="shared" si="34"/>
        <v>13159.31779</v>
      </c>
      <c r="BE44" s="117">
        <f t="shared" si="34"/>
        <v>13159.31779</v>
      </c>
      <c r="BF44" s="117">
        <f t="shared" si="34"/>
        <v>13159.31779</v>
      </c>
      <c r="BG44" s="117">
        <f t="shared" si="34"/>
        <v>13159.31779</v>
      </c>
      <c r="BH44" s="117">
        <f t="shared" si="34"/>
        <v>13159.31779</v>
      </c>
      <c r="BI44" s="117">
        <f t="shared" si="34"/>
        <v>13159.31779</v>
      </c>
      <c r="BJ44" s="117">
        <f t="shared" si="34"/>
        <v>13685.6905</v>
      </c>
      <c r="BK44" s="117">
        <f t="shared" si="34"/>
        <v>13685.6905</v>
      </c>
      <c r="BL44" s="117">
        <f t="shared" si="34"/>
        <v>13685.6905</v>
      </c>
      <c r="BM44" s="117">
        <f t="shared" si="34"/>
        <v>13685.6905</v>
      </c>
      <c r="BN44" s="117">
        <f t="shared" si="34"/>
        <v>13685.6905</v>
      </c>
      <c r="BO44" s="117">
        <f t="shared" si="34"/>
        <v>13685.6905</v>
      </c>
      <c r="BP44" s="117">
        <f t="shared" si="34"/>
        <v>14233.11812</v>
      </c>
      <c r="BQ44" s="117">
        <f t="shared" si="34"/>
        <v>14233.11812</v>
      </c>
      <c r="BR44" s="117">
        <f t="shared" si="34"/>
        <v>14233.11812</v>
      </c>
      <c r="BS44" s="117">
        <f t="shared" si="34"/>
        <v>14233.11812</v>
      </c>
      <c r="BT44" s="117">
        <f t="shared" si="34"/>
        <v>14233.11812</v>
      </c>
      <c r="BU44" s="117">
        <f t="shared" si="34"/>
        <v>14233.11812</v>
      </c>
      <c r="BV44" s="117">
        <f t="shared" si="34"/>
        <v>14233.11812</v>
      </c>
      <c r="BW44" s="117">
        <f t="shared" si="34"/>
        <v>14233.11812</v>
      </c>
      <c r="BX44" s="117">
        <f t="shared" si="34"/>
        <v>14233.11812</v>
      </c>
      <c r="BY44" s="117">
        <f t="shared" si="34"/>
        <v>14233.11812</v>
      </c>
      <c r="BZ44" s="117">
        <f t="shared" si="34"/>
        <v>14233.11812</v>
      </c>
      <c r="CA44" s="117">
        <f t="shared" si="34"/>
        <v>14233.11812</v>
      </c>
    </row>
    <row r="45" ht="15.75" customHeight="1">
      <c r="A45" s="91" t="s">
        <v>417</v>
      </c>
      <c r="B45" s="91"/>
      <c r="C45" s="91"/>
      <c r="D45" s="91"/>
      <c r="E45" s="91"/>
      <c r="F45" s="247">
        <v>10000.0</v>
      </c>
      <c r="G45" s="247">
        <v>10000.0</v>
      </c>
      <c r="H45" s="247">
        <v>10000.0</v>
      </c>
      <c r="I45" s="247">
        <v>10000.0</v>
      </c>
      <c r="J45" s="247">
        <v>10000.0</v>
      </c>
      <c r="K45" s="247">
        <v>10000.0</v>
      </c>
      <c r="L45" s="247">
        <v>10000.0</v>
      </c>
      <c r="M45" s="247">
        <v>10000.0</v>
      </c>
      <c r="N45" s="247">
        <v>10000.0</v>
      </c>
      <c r="O45" s="247">
        <v>10000.0</v>
      </c>
      <c r="P45" s="247">
        <v>10000.0</v>
      </c>
      <c r="Q45" s="247">
        <v>10000.0</v>
      </c>
      <c r="R45" s="247">
        <v>10000.0</v>
      </c>
      <c r="S45" s="117">
        <f t="shared" si="31"/>
        <v>10000</v>
      </c>
      <c r="T45" s="248">
        <f t="shared" si="33"/>
        <v>10400</v>
      </c>
      <c r="U45" s="117">
        <v>5000.0</v>
      </c>
      <c r="V45" s="117">
        <f t="shared" ref="V45:CA45" si="35">U45*(1+V$57)</f>
        <v>5000</v>
      </c>
      <c r="W45" s="117">
        <f t="shared" si="35"/>
        <v>5000</v>
      </c>
      <c r="X45" s="117">
        <f t="shared" si="35"/>
        <v>5000</v>
      </c>
      <c r="Y45" s="117">
        <f t="shared" si="35"/>
        <v>5000</v>
      </c>
      <c r="Z45" s="117">
        <f t="shared" si="35"/>
        <v>5200</v>
      </c>
      <c r="AA45" s="117">
        <f t="shared" si="35"/>
        <v>5200</v>
      </c>
      <c r="AB45" s="117">
        <f t="shared" si="35"/>
        <v>5200</v>
      </c>
      <c r="AC45" s="117">
        <f t="shared" si="35"/>
        <v>5200</v>
      </c>
      <c r="AD45" s="117">
        <f t="shared" si="35"/>
        <v>5200</v>
      </c>
      <c r="AE45" s="117">
        <f t="shared" si="35"/>
        <v>5200</v>
      </c>
      <c r="AF45" s="117">
        <f t="shared" si="35"/>
        <v>5408</v>
      </c>
      <c r="AG45" s="117">
        <f t="shared" si="35"/>
        <v>5408</v>
      </c>
      <c r="AH45" s="117">
        <f t="shared" si="35"/>
        <v>5408</v>
      </c>
      <c r="AI45" s="117">
        <f t="shared" si="35"/>
        <v>5408</v>
      </c>
      <c r="AJ45" s="117">
        <f t="shared" si="35"/>
        <v>5408</v>
      </c>
      <c r="AK45" s="117">
        <f t="shared" si="35"/>
        <v>5408</v>
      </c>
      <c r="AL45" s="117">
        <f t="shared" si="35"/>
        <v>5624.32</v>
      </c>
      <c r="AM45" s="117">
        <f t="shared" si="35"/>
        <v>5624.32</v>
      </c>
      <c r="AN45" s="117">
        <f t="shared" si="35"/>
        <v>5624.32</v>
      </c>
      <c r="AO45" s="117">
        <f t="shared" si="35"/>
        <v>5624.32</v>
      </c>
      <c r="AP45" s="117">
        <f t="shared" si="35"/>
        <v>5624.32</v>
      </c>
      <c r="AQ45" s="117">
        <f t="shared" si="35"/>
        <v>5624.32</v>
      </c>
      <c r="AR45" s="117">
        <f t="shared" si="35"/>
        <v>5849.2928</v>
      </c>
      <c r="AS45" s="117">
        <f t="shared" si="35"/>
        <v>5849.2928</v>
      </c>
      <c r="AT45" s="117">
        <f t="shared" si="35"/>
        <v>5849.2928</v>
      </c>
      <c r="AU45" s="117">
        <f t="shared" si="35"/>
        <v>5849.2928</v>
      </c>
      <c r="AV45" s="117">
        <f t="shared" si="35"/>
        <v>5849.2928</v>
      </c>
      <c r="AW45" s="117">
        <f t="shared" si="35"/>
        <v>5849.2928</v>
      </c>
      <c r="AX45" s="117">
        <f t="shared" si="35"/>
        <v>6083.264512</v>
      </c>
      <c r="AY45" s="117">
        <f t="shared" si="35"/>
        <v>6083.264512</v>
      </c>
      <c r="AZ45" s="117">
        <f t="shared" si="35"/>
        <v>6083.264512</v>
      </c>
      <c r="BA45" s="117">
        <f t="shared" si="35"/>
        <v>6083.264512</v>
      </c>
      <c r="BB45" s="117">
        <f t="shared" si="35"/>
        <v>6083.264512</v>
      </c>
      <c r="BC45" s="117">
        <f t="shared" si="35"/>
        <v>6083.264512</v>
      </c>
      <c r="BD45" s="117">
        <f t="shared" si="35"/>
        <v>6326.595092</v>
      </c>
      <c r="BE45" s="117">
        <f t="shared" si="35"/>
        <v>6326.595092</v>
      </c>
      <c r="BF45" s="117">
        <f t="shared" si="35"/>
        <v>6326.595092</v>
      </c>
      <c r="BG45" s="117">
        <f t="shared" si="35"/>
        <v>6326.595092</v>
      </c>
      <c r="BH45" s="117">
        <f t="shared" si="35"/>
        <v>6326.595092</v>
      </c>
      <c r="BI45" s="117">
        <f t="shared" si="35"/>
        <v>6326.595092</v>
      </c>
      <c r="BJ45" s="117">
        <f t="shared" si="35"/>
        <v>6579.658896</v>
      </c>
      <c r="BK45" s="117">
        <f t="shared" si="35"/>
        <v>6579.658896</v>
      </c>
      <c r="BL45" s="117">
        <f t="shared" si="35"/>
        <v>6579.658896</v>
      </c>
      <c r="BM45" s="117">
        <f t="shared" si="35"/>
        <v>6579.658896</v>
      </c>
      <c r="BN45" s="117">
        <f t="shared" si="35"/>
        <v>6579.658896</v>
      </c>
      <c r="BO45" s="117">
        <f t="shared" si="35"/>
        <v>6579.658896</v>
      </c>
      <c r="BP45" s="117">
        <f t="shared" si="35"/>
        <v>6842.845252</v>
      </c>
      <c r="BQ45" s="117">
        <f t="shared" si="35"/>
        <v>6842.845252</v>
      </c>
      <c r="BR45" s="117">
        <f t="shared" si="35"/>
        <v>6842.845252</v>
      </c>
      <c r="BS45" s="117">
        <f t="shared" si="35"/>
        <v>6842.845252</v>
      </c>
      <c r="BT45" s="117">
        <f t="shared" si="35"/>
        <v>6842.845252</v>
      </c>
      <c r="BU45" s="117">
        <f t="shared" si="35"/>
        <v>6842.845252</v>
      </c>
      <c r="BV45" s="117">
        <f t="shared" si="35"/>
        <v>6842.845252</v>
      </c>
      <c r="BW45" s="117">
        <f t="shared" si="35"/>
        <v>6842.845252</v>
      </c>
      <c r="BX45" s="117">
        <f t="shared" si="35"/>
        <v>6842.845252</v>
      </c>
      <c r="BY45" s="117">
        <f t="shared" si="35"/>
        <v>6842.845252</v>
      </c>
      <c r="BZ45" s="117">
        <f t="shared" si="35"/>
        <v>6842.845252</v>
      </c>
      <c r="CA45" s="117">
        <f t="shared" si="35"/>
        <v>6842.845252</v>
      </c>
    </row>
    <row r="46" ht="15.75" customHeight="1">
      <c r="A46" s="91" t="s">
        <v>418</v>
      </c>
      <c r="B46" s="91"/>
      <c r="C46" s="91"/>
      <c r="D46" s="91"/>
      <c r="E46" s="91"/>
      <c r="F46" s="247">
        <v>10000.0</v>
      </c>
      <c r="G46" s="247">
        <v>10000.0</v>
      </c>
      <c r="H46" s="247">
        <v>10000.0</v>
      </c>
      <c r="I46" s="247">
        <v>10000.0</v>
      </c>
      <c r="J46" s="247">
        <v>10000.0</v>
      </c>
      <c r="K46" s="247">
        <v>10000.0</v>
      </c>
      <c r="L46" s="247">
        <v>10000.0</v>
      </c>
      <c r="M46" s="247">
        <v>10000.0</v>
      </c>
      <c r="N46" s="247">
        <v>10000.0</v>
      </c>
      <c r="O46" s="247">
        <v>10000.0</v>
      </c>
      <c r="P46" s="247">
        <v>10000.0</v>
      </c>
      <c r="Q46" s="247">
        <v>10000.0</v>
      </c>
      <c r="R46" s="247">
        <v>10000.0</v>
      </c>
      <c r="S46" s="117">
        <f t="shared" si="31"/>
        <v>10000</v>
      </c>
      <c r="T46" s="248">
        <f t="shared" si="33"/>
        <v>10400</v>
      </c>
      <c r="U46" s="117">
        <f t="shared" ref="U46:CA46" si="36">T46*(1+U$57)</f>
        <v>10400</v>
      </c>
      <c r="V46" s="117">
        <f t="shared" si="36"/>
        <v>10400</v>
      </c>
      <c r="W46" s="117">
        <f t="shared" si="36"/>
        <v>10400</v>
      </c>
      <c r="X46" s="117">
        <f t="shared" si="36"/>
        <v>10400</v>
      </c>
      <c r="Y46" s="117">
        <f t="shared" si="36"/>
        <v>10400</v>
      </c>
      <c r="Z46" s="117">
        <f t="shared" si="36"/>
        <v>10816</v>
      </c>
      <c r="AA46" s="117">
        <f t="shared" si="36"/>
        <v>10816</v>
      </c>
      <c r="AB46" s="117">
        <f t="shared" si="36"/>
        <v>10816</v>
      </c>
      <c r="AC46" s="117">
        <f t="shared" si="36"/>
        <v>10816</v>
      </c>
      <c r="AD46" s="117">
        <f t="shared" si="36"/>
        <v>10816</v>
      </c>
      <c r="AE46" s="117">
        <f t="shared" si="36"/>
        <v>10816</v>
      </c>
      <c r="AF46" s="117">
        <f t="shared" si="36"/>
        <v>11248.64</v>
      </c>
      <c r="AG46" s="117">
        <f t="shared" si="36"/>
        <v>11248.64</v>
      </c>
      <c r="AH46" s="117">
        <f t="shared" si="36"/>
        <v>11248.64</v>
      </c>
      <c r="AI46" s="117">
        <f t="shared" si="36"/>
        <v>11248.64</v>
      </c>
      <c r="AJ46" s="117">
        <f t="shared" si="36"/>
        <v>11248.64</v>
      </c>
      <c r="AK46" s="117">
        <f t="shared" si="36"/>
        <v>11248.64</v>
      </c>
      <c r="AL46" s="117">
        <f t="shared" si="36"/>
        <v>11698.5856</v>
      </c>
      <c r="AM46" s="117">
        <f t="shared" si="36"/>
        <v>11698.5856</v>
      </c>
      <c r="AN46" s="117">
        <f t="shared" si="36"/>
        <v>11698.5856</v>
      </c>
      <c r="AO46" s="117">
        <f t="shared" si="36"/>
        <v>11698.5856</v>
      </c>
      <c r="AP46" s="117">
        <f t="shared" si="36"/>
        <v>11698.5856</v>
      </c>
      <c r="AQ46" s="117">
        <f t="shared" si="36"/>
        <v>11698.5856</v>
      </c>
      <c r="AR46" s="117">
        <f t="shared" si="36"/>
        <v>12166.52902</v>
      </c>
      <c r="AS46" s="117">
        <f t="shared" si="36"/>
        <v>12166.52902</v>
      </c>
      <c r="AT46" s="117">
        <f t="shared" si="36"/>
        <v>12166.52902</v>
      </c>
      <c r="AU46" s="117">
        <f t="shared" si="36"/>
        <v>12166.52902</v>
      </c>
      <c r="AV46" s="117">
        <f t="shared" si="36"/>
        <v>12166.52902</v>
      </c>
      <c r="AW46" s="117">
        <f t="shared" si="36"/>
        <v>12166.52902</v>
      </c>
      <c r="AX46" s="117">
        <f t="shared" si="36"/>
        <v>12653.19018</v>
      </c>
      <c r="AY46" s="117">
        <f t="shared" si="36"/>
        <v>12653.19018</v>
      </c>
      <c r="AZ46" s="117">
        <f t="shared" si="36"/>
        <v>12653.19018</v>
      </c>
      <c r="BA46" s="117">
        <f t="shared" si="36"/>
        <v>12653.19018</v>
      </c>
      <c r="BB46" s="117">
        <f t="shared" si="36"/>
        <v>12653.19018</v>
      </c>
      <c r="BC46" s="117">
        <f t="shared" si="36"/>
        <v>12653.19018</v>
      </c>
      <c r="BD46" s="117">
        <f t="shared" si="36"/>
        <v>13159.31779</v>
      </c>
      <c r="BE46" s="117">
        <f t="shared" si="36"/>
        <v>13159.31779</v>
      </c>
      <c r="BF46" s="117">
        <f t="shared" si="36"/>
        <v>13159.31779</v>
      </c>
      <c r="BG46" s="117">
        <f t="shared" si="36"/>
        <v>13159.31779</v>
      </c>
      <c r="BH46" s="117">
        <f t="shared" si="36"/>
        <v>13159.31779</v>
      </c>
      <c r="BI46" s="117">
        <f t="shared" si="36"/>
        <v>13159.31779</v>
      </c>
      <c r="BJ46" s="117">
        <f t="shared" si="36"/>
        <v>13685.6905</v>
      </c>
      <c r="BK46" s="117">
        <f t="shared" si="36"/>
        <v>13685.6905</v>
      </c>
      <c r="BL46" s="117">
        <f t="shared" si="36"/>
        <v>13685.6905</v>
      </c>
      <c r="BM46" s="117">
        <f t="shared" si="36"/>
        <v>13685.6905</v>
      </c>
      <c r="BN46" s="117">
        <f t="shared" si="36"/>
        <v>13685.6905</v>
      </c>
      <c r="BO46" s="117">
        <f t="shared" si="36"/>
        <v>13685.6905</v>
      </c>
      <c r="BP46" s="117">
        <f t="shared" si="36"/>
        <v>14233.11812</v>
      </c>
      <c r="BQ46" s="117">
        <f t="shared" si="36"/>
        <v>14233.11812</v>
      </c>
      <c r="BR46" s="117">
        <f t="shared" si="36"/>
        <v>14233.11812</v>
      </c>
      <c r="BS46" s="117">
        <f t="shared" si="36"/>
        <v>14233.11812</v>
      </c>
      <c r="BT46" s="117">
        <f t="shared" si="36"/>
        <v>14233.11812</v>
      </c>
      <c r="BU46" s="117">
        <f t="shared" si="36"/>
        <v>14233.11812</v>
      </c>
      <c r="BV46" s="117">
        <f t="shared" si="36"/>
        <v>14233.11812</v>
      </c>
      <c r="BW46" s="117">
        <f t="shared" si="36"/>
        <v>14233.11812</v>
      </c>
      <c r="BX46" s="117">
        <f t="shared" si="36"/>
        <v>14233.11812</v>
      </c>
      <c r="BY46" s="117">
        <f t="shared" si="36"/>
        <v>14233.11812</v>
      </c>
      <c r="BZ46" s="117">
        <f t="shared" si="36"/>
        <v>14233.11812</v>
      </c>
      <c r="CA46" s="117">
        <f t="shared" si="36"/>
        <v>14233.11812</v>
      </c>
    </row>
    <row r="47" ht="15.75" customHeight="1">
      <c r="A47" s="91" t="s">
        <v>419</v>
      </c>
      <c r="B47" s="91"/>
      <c r="C47" s="91"/>
      <c r="D47" s="91"/>
      <c r="E47" s="91"/>
      <c r="F47" s="247"/>
      <c r="G47" s="249"/>
      <c r="H47" s="247"/>
      <c r="I47" s="249"/>
      <c r="J47" s="247"/>
      <c r="K47" s="249"/>
      <c r="L47" s="247"/>
      <c r="M47" s="247"/>
      <c r="N47" s="247"/>
      <c r="O47" s="247"/>
      <c r="P47" s="247"/>
      <c r="Q47" s="247"/>
      <c r="R47" s="247">
        <v>5000.0</v>
      </c>
      <c r="S47" s="117">
        <f t="shared" si="31"/>
        <v>5000</v>
      </c>
      <c r="T47" s="248">
        <f t="shared" si="33"/>
        <v>5200</v>
      </c>
      <c r="U47" s="117">
        <f t="shared" ref="U47:CA47" si="37">T47*(1+U$57)</f>
        <v>5200</v>
      </c>
      <c r="V47" s="117">
        <f t="shared" si="37"/>
        <v>5200</v>
      </c>
      <c r="W47" s="117">
        <f t="shared" si="37"/>
        <v>5200</v>
      </c>
      <c r="X47" s="117">
        <f t="shared" si="37"/>
        <v>5200</v>
      </c>
      <c r="Y47" s="117">
        <f t="shared" si="37"/>
        <v>5200</v>
      </c>
      <c r="Z47" s="117">
        <f t="shared" si="37"/>
        <v>5408</v>
      </c>
      <c r="AA47" s="117">
        <f t="shared" si="37"/>
        <v>5408</v>
      </c>
      <c r="AB47" s="117">
        <f t="shared" si="37"/>
        <v>5408</v>
      </c>
      <c r="AC47" s="117">
        <f t="shared" si="37"/>
        <v>5408</v>
      </c>
      <c r="AD47" s="117">
        <f t="shared" si="37"/>
        <v>5408</v>
      </c>
      <c r="AE47" s="117">
        <f t="shared" si="37"/>
        <v>5408</v>
      </c>
      <c r="AF47" s="117">
        <f t="shared" si="37"/>
        <v>5624.32</v>
      </c>
      <c r="AG47" s="117">
        <f t="shared" si="37"/>
        <v>5624.32</v>
      </c>
      <c r="AH47" s="117">
        <f t="shared" si="37"/>
        <v>5624.32</v>
      </c>
      <c r="AI47" s="117">
        <f t="shared" si="37"/>
        <v>5624.32</v>
      </c>
      <c r="AJ47" s="117">
        <f t="shared" si="37"/>
        <v>5624.32</v>
      </c>
      <c r="AK47" s="117">
        <f t="shared" si="37"/>
        <v>5624.32</v>
      </c>
      <c r="AL47" s="117">
        <f t="shared" si="37"/>
        <v>5849.2928</v>
      </c>
      <c r="AM47" s="117">
        <f t="shared" si="37"/>
        <v>5849.2928</v>
      </c>
      <c r="AN47" s="117">
        <f t="shared" si="37"/>
        <v>5849.2928</v>
      </c>
      <c r="AO47" s="117">
        <f t="shared" si="37"/>
        <v>5849.2928</v>
      </c>
      <c r="AP47" s="117">
        <f t="shared" si="37"/>
        <v>5849.2928</v>
      </c>
      <c r="AQ47" s="117">
        <f t="shared" si="37"/>
        <v>5849.2928</v>
      </c>
      <c r="AR47" s="117">
        <f t="shared" si="37"/>
        <v>6083.264512</v>
      </c>
      <c r="AS47" s="117">
        <f t="shared" si="37"/>
        <v>6083.264512</v>
      </c>
      <c r="AT47" s="117">
        <f t="shared" si="37"/>
        <v>6083.264512</v>
      </c>
      <c r="AU47" s="117">
        <f t="shared" si="37"/>
        <v>6083.264512</v>
      </c>
      <c r="AV47" s="117">
        <f t="shared" si="37"/>
        <v>6083.264512</v>
      </c>
      <c r="AW47" s="117">
        <f t="shared" si="37"/>
        <v>6083.264512</v>
      </c>
      <c r="AX47" s="117">
        <f t="shared" si="37"/>
        <v>6326.595092</v>
      </c>
      <c r="AY47" s="117">
        <f t="shared" si="37"/>
        <v>6326.595092</v>
      </c>
      <c r="AZ47" s="117">
        <f t="shared" si="37"/>
        <v>6326.595092</v>
      </c>
      <c r="BA47" s="117">
        <f t="shared" si="37"/>
        <v>6326.595092</v>
      </c>
      <c r="BB47" s="117">
        <f t="shared" si="37"/>
        <v>6326.595092</v>
      </c>
      <c r="BC47" s="117">
        <f t="shared" si="37"/>
        <v>6326.595092</v>
      </c>
      <c r="BD47" s="117">
        <f t="shared" si="37"/>
        <v>6579.658896</v>
      </c>
      <c r="BE47" s="117">
        <f t="shared" si="37"/>
        <v>6579.658896</v>
      </c>
      <c r="BF47" s="117">
        <f t="shared" si="37"/>
        <v>6579.658896</v>
      </c>
      <c r="BG47" s="117">
        <f t="shared" si="37"/>
        <v>6579.658896</v>
      </c>
      <c r="BH47" s="117">
        <f t="shared" si="37"/>
        <v>6579.658896</v>
      </c>
      <c r="BI47" s="117">
        <f t="shared" si="37"/>
        <v>6579.658896</v>
      </c>
      <c r="BJ47" s="117">
        <f t="shared" si="37"/>
        <v>6842.845252</v>
      </c>
      <c r="BK47" s="117">
        <f t="shared" si="37"/>
        <v>6842.845252</v>
      </c>
      <c r="BL47" s="117">
        <f t="shared" si="37"/>
        <v>6842.845252</v>
      </c>
      <c r="BM47" s="117">
        <f t="shared" si="37"/>
        <v>6842.845252</v>
      </c>
      <c r="BN47" s="117">
        <f t="shared" si="37"/>
        <v>6842.845252</v>
      </c>
      <c r="BO47" s="117">
        <f t="shared" si="37"/>
        <v>6842.845252</v>
      </c>
      <c r="BP47" s="117">
        <f t="shared" si="37"/>
        <v>7116.559062</v>
      </c>
      <c r="BQ47" s="117">
        <f t="shared" si="37"/>
        <v>7116.559062</v>
      </c>
      <c r="BR47" s="117">
        <f t="shared" si="37"/>
        <v>7116.559062</v>
      </c>
      <c r="BS47" s="117">
        <f t="shared" si="37"/>
        <v>7116.559062</v>
      </c>
      <c r="BT47" s="117">
        <f t="shared" si="37"/>
        <v>7116.559062</v>
      </c>
      <c r="BU47" s="117">
        <f t="shared" si="37"/>
        <v>7116.559062</v>
      </c>
      <c r="BV47" s="117">
        <f t="shared" si="37"/>
        <v>7116.559062</v>
      </c>
      <c r="BW47" s="117">
        <f t="shared" si="37"/>
        <v>7116.559062</v>
      </c>
      <c r="BX47" s="117">
        <f t="shared" si="37"/>
        <v>7116.559062</v>
      </c>
      <c r="BY47" s="117">
        <f t="shared" si="37"/>
        <v>7116.559062</v>
      </c>
      <c r="BZ47" s="117">
        <f t="shared" si="37"/>
        <v>7116.559062</v>
      </c>
      <c r="CA47" s="117">
        <f t="shared" si="37"/>
        <v>7116.559062</v>
      </c>
    </row>
    <row r="48" ht="15.75" customHeight="1">
      <c r="A48" s="91" t="s">
        <v>420</v>
      </c>
      <c r="B48" s="91"/>
      <c r="C48" s="91"/>
      <c r="D48" s="91"/>
      <c r="E48" s="91"/>
      <c r="F48" s="247">
        <v>10000.0</v>
      </c>
      <c r="G48" s="247">
        <v>10000.0</v>
      </c>
      <c r="H48" s="247">
        <v>10000.0</v>
      </c>
      <c r="I48" s="247">
        <v>10000.0</v>
      </c>
      <c r="J48" s="247">
        <v>10000.0</v>
      </c>
      <c r="K48" s="247">
        <v>10000.0</v>
      </c>
      <c r="L48" s="247">
        <v>10000.0</v>
      </c>
      <c r="M48" s="247">
        <v>10000.0</v>
      </c>
      <c r="N48" s="247">
        <v>10000.0</v>
      </c>
      <c r="O48" s="247">
        <v>10000.0</v>
      </c>
      <c r="P48" s="247">
        <v>10000.0</v>
      </c>
      <c r="Q48" s="247">
        <v>10000.0</v>
      </c>
      <c r="R48" s="247">
        <v>10000.0</v>
      </c>
      <c r="S48" s="117">
        <f t="shared" si="31"/>
        <v>10000</v>
      </c>
      <c r="T48" s="248">
        <f t="shared" si="33"/>
        <v>10400</v>
      </c>
      <c r="U48" s="117">
        <f t="shared" ref="U48:CA48" si="38">T48*(1+U$57)</f>
        <v>10400</v>
      </c>
      <c r="V48" s="117">
        <f t="shared" si="38"/>
        <v>10400</v>
      </c>
      <c r="W48" s="117">
        <f t="shared" si="38"/>
        <v>10400</v>
      </c>
      <c r="X48" s="117">
        <f t="shared" si="38"/>
        <v>10400</v>
      </c>
      <c r="Y48" s="117">
        <f t="shared" si="38"/>
        <v>10400</v>
      </c>
      <c r="Z48" s="117">
        <f t="shared" si="38"/>
        <v>10816</v>
      </c>
      <c r="AA48" s="117">
        <f t="shared" si="38"/>
        <v>10816</v>
      </c>
      <c r="AB48" s="117">
        <f t="shared" si="38"/>
        <v>10816</v>
      </c>
      <c r="AC48" s="117">
        <f t="shared" si="38"/>
        <v>10816</v>
      </c>
      <c r="AD48" s="117">
        <f t="shared" si="38"/>
        <v>10816</v>
      </c>
      <c r="AE48" s="117">
        <f t="shared" si="38"/>
        <v>10816</v>
      </c>
      <c r="AF48" s="117">
        <f t="shared" si="38"/>
        <v>11248.64</v>
      </c>
      <c r="AG48" s="117">
        <f t="shared" si="38"/>
        <v>11248.64</v>
      </c>
      <c r="AH48" s="117">
        <f t="shared" si="38"/>
        <v>11248.64</v>
      </c>
      <c r="AI48" s="117">
        <f t="shared" si="38"/>
        <v>11248.64</v>
      </c>
      <c r="AJ48" s="117">
        <f t="shared" si="38"/>
        <v>11248.64</v>
      </c>
      <c r="AK48" s="117">
        <f t="shared" si="38"/>
        <v>11248.64</v>
      </c>
      <c r="AL48" s="117">
        <f t="shared" si="38"/>
        <v>11698.5856</v>
      </c>
      <c r="AM48" s="117">
        <f t="shared" si="38"/>
        <v>11698.5856</v>
      </c>
      <c r="AN48" s="117">
        <f t="shared" si="38"/>
        <v>11698.5856</v>
      </c>
      <c r="AO48" s="117">
        <f t="shared" si="38"/>
        <v>11698.5856</v>
      </c>
      <c r="AP48" s="117">
        <f t="shared" si="38"/>
        <v>11698.5856</v>
      </c>
      <c r="AQ48" s="117">
        <f t="shared" si="38"/>
        <v>11698.5856</v>
      </c>
      <c r="AR48" s="117">
        <f t="shared" si="38"/>
        <v>12166.52902</v>
      </c>
      <c r="AS48" s="117">
        <f t="shared" si="38"/>
        <v>12166.52902</v>
      </c>
      <c r="AT48" s="117">
        <f t="shared" si="38"/>
        <v>12166.52902</v>
      </c>
      <c r="AU48" s="117">
        <f t="shared" si="38"/>
        <v>12166.52902</v>
      </c>
      <c r="AV48" s="117">
        <f t="shared" si="38"/>
        <v>12166.52902</v>
      </c>
      <c r="AW48" s="117">
        <f t="shared" si="38"/>
        <v>12166.52902</v>
      </c>
      <c r="AX48" s="117">
        <f t="shared" si="38"/>
        <v>12653.19018</v>
      </c>
      <c r="AY48" s="117">
        <f t="shared" si="38"/>
        <v>12653.19018</v>
      </c>
      <c r="AZ48" s="117">
        <f t="shared" si="38"/>
        <v>12653.19018</v>
      </c>
      <c r="BA48" s="117">
        <f t="shared" si="38"/>
        <v>12653.19018</v>
      </c>
      <c r="BB48" s="117">
        <f t="shared" si="38"/>
        <v>12653.19018</v>
      </c>
      <c r="BC48" s="117">
        <f t="shared" si="38"/>
        <v>12653.19018</v>
      </c>
      <c r="BD48" s="117">
        <f t="shared" si="38"/>
        <v>13159.31779</v>
      </c>
      <c r="BE48" s="117">
        <f t="shared" si="38"/>
        <v>13159.31779</v>
      </c>
      <c r="BF48" s="117">
        <f t="shared" si="38"/>
        <v>13159.31779</v>
      </c>
      <c r="BG48" s="117">
        <f t="shared" si="38"/>
        <v>13159.31779</v>
      </c>
      <c r="BH48" s="117">
        <f t="shared" si="38"/>
        <v>13159.31779</v>
      </c>
      <c r="BI48" s="117">
        <f t="shared" si="38"/>
        <v>13159.31779</v>
      </c>
      <c r="BJ48" s="117">
        <f t="shared" si="38"/>
        <v>13685.6905</v>
      </c>
      <c r="BK48" s="117">
        <f t="shared" si="38"/>
        <v>13685.6905</v>
      </c>
      <c r="BL48" s="117">
        <f t="shared" si="38"/>
        <v>13685.6905</v>
      </c>
      <c r="BM48" s="117">
        <f t="shared" si="38"/>
        <v>13685.6905</v>
      </c>
      <c r="BN48" s="117">
        <f t="shared" si="38"/>
        <v>13685.6905</v>
      </c>
      <c r="BO48" s="117">
        <f t="shared" si="38"/>
        <v>13685.6905</v>
      </c>
      <c r="BP48" s="117">
        <f t="shared" si="38"/>
        <v>14233.11812</v>
      </c>
      <c r="BQ48" s="117">
        <f t="shared" si="38"/>
        <v>14233.11812</v>
      </c>
      <c r="BR48" s="117">
        <f t="shared" si="38"/>
        <v>14233.11812</v>
      </c>
      <c r="BS48" s="117">
        <f t="shared" si="38"/>
        <v>14233.11812</v>
      </c>
      <c r="BT48" s="117">
        <f t="shared" si="38"/>
        <v>14233.11812</v>
      </c>
      <c r="BU48" s="117">
        <f t="shared" si="38"/>
        <v>14233.11812</v>
      </c>
      <c r="BV48" s="117">
        <f t="shared" si="38"/>
        <v>14233.11812</v>
      </c>
      <c r="BW48" s="117">
        <f t="shared" si="38"/>
        <v>14233.11812</v>
      </c>
      <c r="BX48" s="117">
        <f t="shared" si="38"/>
        <v>14233.11812</v>
      </c>
      <c r="BY48" s="117">
        <f t="shared" si="38"/>
        <v>14233.11812</v>
      </c>
      <c r="BZ48" s="117">
        <f t="shared" si="38"/>
        <v>14233.11812</v>
      </c>
      <c r="CA48" s="117">
        <f t="shared" si="38"/>
        <v>14233.11812</v>
      </c>
    </row>
    <row r="49" ht="15.75" customHeight="1">
      <c r="A49" s="91" t="s">
        <v>421</v>
      </c>
      <c r="B49" s="91"/>
      <c r="C49" s="91"/>
      <c r="D49" s="91"/>
      <c r="E49" s="91"/>
      <c r="F49" s="247">
        <v>10000.0</v>
      </c>
      <c r="G49" s="247">
        <v>10000.0</v>
      </c>
      <c r="H49" s="247">
        <v>10000.0</v>
      </c>
      <c r="I49" s="247">
        <v>10000.0</v>
      </c>
      <c r="J49" s="247">
        <v>10000.0</v>
      </c>
      <c r="K49" s="247">
        <v>10000.0</v>
      </c>
      <c r="L49" s="247">
        <v>10000.0</v>
      </c>
      <c r="M49" s="247">
        <v>10000.0</v>
      </c>
      <c r="N49" s="247">
        <v>10000.0</v>
      </c>
      <c r="O49" s="247">
        <v>10000.0</v>
      </c>
      <c r="P49" s="247">
        <v>10000.0</v>
      </c>
      <c r="Q49" s="247">
        <v>10000.0</v>
      </c>
      <c r="R49" s="247">
        <v>10000.0</v>
      </c>
      <c r="S49" s="117">
        <f t="shared" si="31"/>
        <v>10000</v>
      </c>
      <c r="T49" s="248">
        <f t="shared" si="33"/>
        <v>10400</v>
      </c>
      <c r="U49" s="117">
        <f t="shared" ref="U49:CA49" si="39">T49*(1+U$57)</f>
        <v>10400</v>
      </c>
      <c r="V49" s="117">
        <f t="shared" si="39"/>
        <v>10400</v>
      </c>
      <c r="W49" s="117">
        <f t="shared" si="39"/>
        <v>10400</v>
      </c>
      <c r="X49" s="117">
        <f t="shared" si="39"/>
        <v>10400</v>
      </c>
      <c r="Y49" s="117">
        <f t="shared" si="39"/>
        <v>10400</v>
      </c>
      <c r="Z49" s="117">
        <f t="shared" si="39"/>
        <v>10816</v>
      </c>
      <c r="AA49" s="117">
        <f t="shared" si="39"/>
        <v>10816</v>
      </c>
      <c r="AB49" s="117">
        <f t="shared" si="39"/>
        <v>10816</v>
      </c>
      <c r="AC49" s="117">
        <f t="shared" si="39"/>
        <v>10816</v>
      </c>
      <c r="AD49" s="117">
        <f t="shared" si="39"/>
        <v>10816</v>
      </c>
      <c r="AE49" s="117">
        <f t="shared" si="39"/>
        <v>10816</v>
      </c>
      <c r="AF49" s="117">
        <f t="shared" si="39"/>
        <v>11248.64</v>
      </c>
      <c r="AG49" s="117">
        <f t="shared" si="39"/>
        <v>11248.64</v>
      </c>
      <c r="AH49" s="117">
        <f t="shared" si="39"/>
        <v>11248.64</v>
      </c>
      <c r="AI49" s="117">
        <f t="shared" si="39"/>
        <v>11248.64</v>
      </c>
      <c r="AJ49" s="117">
        <f t="shared" si="39"/>
        <v>11248.64</v>
      </c>
      <c r="AK49" s="117">
        <f t="shared" si="39"/>
        <v>11248.64</v>
      </c>
      <c r="AL49" s="117">
        <f t="shared" si="39"/>
        <v>11698.5856</v>
      </c>
      <c r="AM49" s="117">
        <f t="shared" si="39"/>
        <v>11698.5856</v>
      </c>
      <c r="AN49" s="117">
        <f t="shared" si="39"/>
        <v>11698.5856</v>
      </c>
      <c r="AO49" s="117">
        <f t="shared" si="39"/>
        <v>11698.5856</v>
      </c>
      <c r="AP49" s="117">
        <f t="shared" si="39"/>
        <v>11698.5856</v>
      </c>
      <c r="AQ49" s="117">
        <f t="shared" si="39"/>
        <v>11698.5856</v>
      </c>
      <c r="AR49" s="117">
        <f t="shared" si="39"/>
        <v>12166.52902</v>
      </c>
      <c r="AS49" s="117">
        <f t="shared" si="39"/>
        <v>12166.52902</v>
      </c>
      <c r="AT49" s="117">
        <f t="shared" si="39"/>
        <v>12166.52902</v>
      </c>
      <c r="AU49" s="117">
        <f t="shared" si="39"/>
        <v>12166.52902</v>
      </c>
      <c r="AV49" s="117">
        <f t="shared" si="39"/>
        <v>12166.52902</v>
      </c>
      <c r="AW49" s="117">
        <f t="shared" si="39"/>
        <v>12166.52902</v>
      </c>
      <c r="AX49" s="117">
        <f t="shared" si="39"/>
        <v>12653.19018</v>
      </c>
      <c r="AY49" s="117">
        <f t="shared" si="39"/>
        <v>12653.19018</v>
      </c>
      <c r="AZ49" s="117">
        <f t="shared" si="39"/>
        <v>12653.19018</v>
      </c>
      <c r="BA49" s="117">
        <f t="shared" si="39"/>
        <v>12653.19018</v>
      </c>
      <c r="BB49" s="117">
        <f t="shared" si="39"/>
        <v>12653.19018</v>
      </c>
      <c r="BC49" s="117">
        <f t="shared" si="39"/>
        <v>12653.19018</v>
      </c>
      <c r="BD49" s="117">
        <f t="shared" si="39"/>
        <v>13159.31779</v>
      </c>
      <c r="BE49" s="117">
        <f t="shared" si="39"/>
        <v>13159.31779</v>
      </c>
      <c r="BF49" s="117">
        <f t="shared" si="39"/>
        <v>13159.31779</v>
      </c>
      <c r="BG49" s="117">
        <f t="shared" si="39"/>
        <v>13159.31779</v>
      </c>
      <c r="BH49" s="117">
        <f t="shared" si="39"/>
        <v>13159.31779</v>
      </c>
      <c r="BI49" s="117">
        <f t="shared" si="39"/>
        <v>13159.31779</v>
      </c>
      <c r="BJ49" s="117">
        <f t="shared" si="39"/>
        <v>13685.6905</v>
      </c>
      <c r="BK49" s="117">
        <f t="shared" si="39"/>
        <v>13685.6905</v>
      </c>
      <c r="BL49" s="117">
        <f t="shared" si="39"/>
        <v>13685.6905</v>
      </c>
      <c r="BM49" s="117">
        <f t="shared" si="39"/>
        <v>13685.6905</v>
      </c>
      <c r="BN49" s="117">
        <f t="shared" si="39"/>
        <v>13685.6905</v>
      </c>
      <c r="BO49" s="117">
        <f t="shared" si="39"/>
        <v>13685.6905</v>
      </c>
      <c r="BP49" s="117">
        <f t="shared" si="39"/>
        <v>14233.11812</v>
      </c>
      <c r="BQ49" s="117">
        <f t="shared" si="39"/>
        <v>14233.11812</v>
      </c>
      <c r="BR49" s="117">
        <f t="shared" si="39"/>
        <v>14233.11812</v>
      </c>
      <c r="BS49" s="117">
        <f t="shared" si="39"/>
        <v>14233.11812</v>
      </c>
      <c r="BT49" s="117">
        <f t="shared" si="39"/>
        <v>14233.11812</v>
      </c>
      <c r="BU49" s="117">
        <f t="shared" si="39"/>
        <v>14233.11812</v>
      </c>
      <c r="BV49" s="117">
        <f t="shared" si="39"/>
        <v>14233.11812</v>
      </c>
      <c r="BW49" s="117">
        <f t="shared" si="39"/>
        <v>14233.11812</v>
      </c>
      <c r="BX49" s="117">
        <f t="shared" si="39"/>
        <v>14233.11812</v>
      </c>
      <c r="BY49" s="117">
        <f t="shared" si="39"/>
        <v>14233.11812</v>
      </c>
      <c r="BZ49" s="117">
        <f t="shared" si="39"/>
        <v>14233.11812</v>
      </c>
      <c r="CA49" s="117">
        <f t="shared" si="39"/>
        <v>14233.11812</v>
      </c>
    </row>
    <row r="50" ht="15.75" customHeight="1">
      <c r="A50" s="91" t="s">
        <v>422</v>
      </c>
      <c r="B50" s="91"/>
      <c r="C50" s="91"/>
      <c r="D50" s="91"/>
      <c r="E50" s="91"/>
      <c r="F50" s="247"/>
      <c r="G50" s="249"/>
      <c r="H50" s="247"/>
      <c r="I50" s="249"/>
      <c r="J50" s="247"/>
      <c r="K50" s="249"/>
      <c r="L50" s="247"/>
      <c r="M50" s="247"/>
      <c r="N50" s="247"/>
      <c r="O50" s="247"/>
      <c r="P50" s="247"/>
      <c r="Q50" s="247"/>
      <c r="R50" s="247">
        <v>5000.0</v>
      </c>
      <c r="S50" s="117">
        <f t="shared" si="31"/>
        <v>5000</v>
      </c>
      <c r="T50" s="248">
        <f t="shared" si="33"/>
        <v>5200</v>
      </c>
      <c r="U50" s="117">
        <f t="shared" ref="U50:CA50" si="40">T50*(1+U$57)</f>
        <v>5200</v>
      </c>
      <c r="V50" s="117">
        <f t="shared" si="40"/>
        <v>5200</v>
      </c>
      <c r="W50" s="117">
        <f t="shared" si="40"/>
        <v>5200</v>
      </c>
      <c r="X50" s="117">
        <f t="shared" si="40"/>
        <v>5200</v>
      </c>
      <c r="Y50" s="117">
        <f t="shared" si="40"/>
        <v>5200</v>
      </c>
      <c r="Z50" s="117">
        <f t="shared" si="40"/>
        <v>5408</v>
      </c>
      <c r="AA50" s="117">
        <f t="shared" si="40"/>
        <v>5408</v>
      </c>
      <c r="AB50" s="117">
        <f t="shared" si="40"/>
        <v>5408</v>
      </c>
      <c r="AC50" s="117">
        <f t="shared" si="40"/>
        <v>5408</v>
      </c>
      <c r="AD50" s="117">
        <f t="shared" si="40"/>
        <v>5408</v>
      </c>
      <c r="AE50" s="117">
        <f t="shared" si="40"/>
        <v>5408</v>
      </c>
      <c r="AF50" s="117">
        <f t="shared" si="40"/>
        <v>5624.32</v>
      </c>
      <c r="AG50" s="117">
        <f t="shared" si="40"/>
        <v>5624.32</v>
      </c>
      <c r="AH50" s="117">
        <f t="shared" si="40"/>
        <v>5624.32</v>
      </c>
      <c r="AI50" s="117">
        <f t="shared" si="40"/>
        <v>5624.32</v>
      </c>
      <c r="AJ50" s="117">
        <f t="shared" si="40"/>
        <v>5624.32</v>
      </c>
      <c r="AK50" s="117">
        <f t="shared" si="40"/>
        <v>5624.32</v>
      </c>
      <c r="AL50" s="117">
        <f t="shared" si="40"/>
        <v>5849.2928</v>
      </c>
      <c r="AM50" s="117">
        <f t="shared" si="40"/>
        <v>5849.2928</v>
      </c>
      <c r="AN50" s="117">
        <f t="shared" si="40"/>
        <v>5849.2928</v>
      </c>
      <c r="AO50" s="117">
        <f t="shared" si="40"/>
        <v>5849.2928</v>
      </c>
      <c r="AP50" s="117">
        <f t="shared" si="40"/>
        <v>5849.2928</v>
      </c>
      <c r="AQ50" s="117">
        <f t="shared" si="40"/>
        <v>5849.2928</v>
      </c>
      <c r="AR50" s="117">
        <f t="shared" si="40"/>
        <v>6083.264512</v>
      </c>
      <c r="AS50" s="117">
        <f t="shared" si="40"/>
        <v>6083.264512</v>
      </c>
      <c r="AT50" s="117">
        <f t="shared" si="40"/>
        <v>6083.264512</v>
      </c>
      <c r="AU50" s="117">
        <f t="shared" si="40"/>
        <v>6083.264512</v>
      </c>
      <c r="AV50" s="117">
        <f t="shared" si="40"/>
        <v>6083.264512</v>
      </c>
      <c r="AW50" s="117">
        <f t="shared" si="40"/>
        <v>6083.264512</v>
      </c>
      <c r="AX50" s="117">
        <f t="shared" si="40"/>
        <v>6326.595092</v>
      </c>
      <c r="AY50" s="117">
        <f t="shared" si="40"/>
        <v>6326.595092</v>
      </c>
      <c r="AZ50" s="117">
        <f t="shared" si="40"/>
        <v>6326.595092</v>
      </c>
      <c r="BA50" s="117">
        <f t="shared" si="40"/>
        <v>6326.595092</v>
      </c>
      <c r="BB50" s="117">
        <f t="shared" si="40"/>
        <v>6326.595092</v>
      </c>
      <c r="BC50" s="117">
        <f t="shared" si="40"/>
        <v>6326.595092</v>
      </c>
      <c r="BD50" s="117">
        <f t="shared" si="40"/>
        <v>6579.658896</v>
      </c>
      <c r="BE50" s="117">
        <f t="shared" si="40"/>
        <v>6579.658896</v>
      </c>
      <c r="BF50" s="117">
        <f t="shared" si="40"/>
        <v>6579.658896</v>
      </c>
      <c r="BG50" s="117">
        <f t="shared" si="40"/>
        <v>6579.658896</v>
      </c>
      <c r="BH50" s="117">
        <f t="shared" si="40"/>
        <v>6579.658896</v>
      </c>
      <c r="BI50" s="117">
        <f t="shared" si="40"/>
        <v>6579.658896</v>
      </c>
      <c r="BJ50" s="117">
        <f t="shared" si="40"/>
        <v>6842.845252</v>
      </c>
      <c r="BK50" s="117">
        <f t="shared" si="40"/>
        <v>6842.845252</v>
      </c>
      <c r="BL50" s="117">
        <f t="shared" si="40"/>
        <v>6842.845252</v>
      </c>
      <c r="BM50" s="117">
        <f t="shared" si="40"/>
        <v>6842.845252</v>
      </c>
      <c r="BN50" s="117">
        <f t="shared" si="40"/>
        <v>6842.845252</v>
      </c>
      <c r="BO50" s="117">
        <f t="shared" si="40"/>
        <v>6842.845252</v>
      </c>
      <c r="BP50" s="117">
        <f t="shared" si="40"/>
        <v>7116.559062</v>
      </c>
      <c r="BQ50" s="117">
        <f t="shared" si="40"/>
        <v>7116.559062</v>
      </c>
      <c r="BR50" s="117">
        <f t="shared" si="40"/>
        <v>7116.559062</v>
      </c>
      <c r="BS50" s="117">
        <f t="shared" si="40"/>
        <v>7116.559062</v>
      </c>
      <c r="BT50" s="117">
        <f t="shared" si="40"/>
        <v>7116.559062</v>
      </c>
      <c r="BU50" s="117">
        <f t="shared" si="40"/>
        <v>7116.559062</v>
      </c>
      <c r="BV50" s="117">
        <f t="shared" si="40"/>
        <v>7116.559062</v>
      </c>
      <c r="BW50" s="117">
        <f t="shared" si="40"/>
        <v>7116.559062</v>
      </c>
      <c r="BX50" s="117">
        <f t="shared" si="40"/>
        <v>7116.559062</v>
      </c>
      <c r="BY50" s="117">
        <f t="shared" si="40"/>
        <v>7116.559062</v>
      </c>
      <c r="BZ50" s="117">
        <f t="shared" si="40"/>
        <v>7116.559062</v>
      </c>
      <c r="CA50" s="117">
        <f t="shared" si="40"/>
        <v>7116.559062</v>
      </c>
    </row>
    <row r="51" ht="15.75" customHeight="1">
      <c r="A51" s="91" t="s">
        <v>423</v>
      </c>
      <c r="B51" s="91"/>
      <c r="C51" s="91"/>
      <c r="D51" s="91"/>
      <c r="E51" s="91"/>
      <c r="F51" s="247">
        <v>10000.0</v>
      </c>
      <c r="G51" s="247">
        <v>10000.0</v>
      </c>
      <c r="H51" s="247">
        <v>10000.0</v>
      </c>
      <c r="I51" s="247">
        <v>10000.0</v>
      </c>
      <c r="J51" s="247">
        <v>10000.0</v>
      </c>
      <c r="K51" s="247">
        <v>10000.0</v>
      </c>
      <c r="L51" s="247">
        <v>10000.0</v>
      </c>
      <c r="M51" s="247">
        <v>10000.0</v>
      </c>
      <c r="N51" s="247">
        <v>10000.0</v>
      </c>
      <c r="O51" s="247">
        <v>10000.0</v>
      </c>
      <c r="P51" s="247">
        <v>10000.0</v>
      </c>
      <c r="Q51" s="247">
        <v>10000.0</v>
      </c>
      <c r="R51" s="247">
        <v>10000.0</v>
      </c>
      <c r="S51" s="117">
        <f t="shared" si="31"/>
        <v>10000</v>
      </c>
      <c r="T51" s="248">
        <f t="shared" si="33"/>
        <v>10400</v>
      </c>
      <c r="U51" s="117">
        <f t="shared" ref="U51:CA51" si="41">T51*(1+U$57)</f>
        <v>10400</v>
      </c>
      <c r="V51" s="117">
        <f t="shared" si="41"/>
        <v>10400</v>
      </c>
      <c r="W51" s="117">
        <f t="shared" si="41"/>
        <v>10400</v>
      </c>
      <c r="X51" s="117">
        <f t="shared" si="41"/>
        <v>10400</v>
      </c>
      <c r="Y51" s="117">
        <f t="shared" si="41"/>
        <v>10400</v>
      </c>
      <c r="Z51" s="117">
        <f t="shared" si="41"/>
        <v>10816</v>
      </c>
      <c r="AA51" s="117">
        <f t="shared" si="41"/>
        <v>10816</v>
      </c>
      <c r="AB51" s="117">
        <f t="shared" si="41"/>
        <v>10816</v>
      </c>
      <c r="AC51" s="117">
        <f t="shared" si="41"/>
        <v>10816</v>
      </c>
      <c r="AD51" s="117">
        <f t="shared" si="41"/>
        <v>10816</v>
      </c>
      <c r="AE51" s="117">
        <f t="shared" si="41"/>
        <v>10816</v>
      </c>
      <c r="AF51" s="117">
        <f t="shared" si="41"/>
        <v>11248.64</v>
      </c>
      <c r="AG51" s="117">
        <f t="shared" si="41"/>
        <v>11248.64</v>
      </c>
      <c r="AH51" s="117">
        <f t="shared" si="41"/>
        <v>11248.64</v>
      </c>
      <c r="AI51" s="117">
        <f t="shared" si="41"/>
        <v>11248.64</v>
      </c>
      <c r="AJ51" s="117">
        <f t="shared" si="41"/>
        <v>11248.64</v>
      </c>
      <c r="AK51" s="117">
        <f t="shared" si="41"/>
        <v>11248.64</v>
      </c>
      <c r="AL51" s="117">
        <f t="shared" si="41"/>
        <v>11698.5856</v>
      </c>
      <c r="AM51" s="117">
        <f t="shared" si="41"/>
        <v>11698.5856</v>
      </c>
      <c r="AN51" s="117">
        <f t="shared" si="41"/>
        <v>11698.5856</v>
      </c>
      <c r="AO51" s="117">
        <f t="shared" si="41"/>
        <v>11698.5856</v>
      </c>
      <c r="AP51" s="117">
        <f t="shared" si="41"/>
        <v>11698.5856</v>
      </c>
      <c r="AQ51" s="117">
        <f t="shared" si="41"/>
        <v>11698.5856</v>
      </c>
      <c r="AR51" s="117">
        <f t="shared" si="41"/>
        <v>12166.52902</v>
      </c>
      <c r="AS51" s="117">
        <f t="shared" si="41"/>
        <v>12166.52902</v>
      </c>
      <c r="AT51" s="117">
        <f t="shared" si="41"/>
        <v>12166.52902</v>
      </c>
      <c r="AU51" s="117">
        <f t="shared" si="41"/>
        <v>12166.52902</v>
      </c>
      <c r="AV51" s="117">
        <f t="shared" si="41"/>
        <v>12166.52902</v>
      </c>
      <c r="AW51" s="117">
        <f t="shared" si="41"/>
        <v>12166.52902</v>
      </c>
      <c r="AX51" s="117">
        <f t="shared" si="41"/>
        <v>12653.19018</v>
      </c>
      <c r="AY51" s="117">
        <f t="shared" si="41"/>
        <v>12653.19018</v>
      </c>
      <c r="AZ51" s="117">
        <f t="shared" si="41"/>
        <v>12653.19018</v>
      </c>
      <c r="BA51" s="117">
        <f t="shared" si="41"/>
        <v>12653.19018</v>
      </c>
      <c r="BB51" s="117">
        <f t="shared" si="41"/>
        <v>12653.19018</v>
      </c>
      <c r="BC51" s="117">
        <f t="shared" si="41"/>
        <v>12653.19018</v>
      </c>
      <c r="BD51" s="117">
        <f t="shared" si="41"/>
        <v>13159.31779</v>
      </c>
      <c r="BE51" s="117">
        <f t="shared" si="41"/>
        <v>13159.31779</v>
      </c>
      <c r="BF51" s="117">
        <f t="shared" si="41"/>
        <v>13159.31779</v>
      </c>
      <c r="BG51" s="117">
        <f t="shared" si="41"/>
        <v>13159.31779</v>
      </c>
      <c r="BH51" s="117">
        <f t="shared" si="41"/>
        <v>13159.31779</v>
      </c>
      <c r="BI51" s="117">
        <f t="shared" si="41"/>
        <v>13159.31779</v>
      </c>
      <c r="BJ51" s="117">
        <f t="shared" si="41"/>
        <v>13685.6905</v>
      </c>
      <c r="BK51" s="117">
        <f t="shared" si="41"/>
        <v>13685.6905</v>
      </c>
      <c r="BL51" s="117">
        <f t="shared" si="41"/>
        <v>13685.6905</v>
      </c>
      <c r="BM51" s="117">
        <f t="shared" si="41"/>
        <v>13685.6905</v>
      </c>
      <c r="BN51" s="117">
        <f t="shared" si="41"/>
        <v>13685.6905</v>
      </c>
      <c r="BO51" s="117">
        <f t="shared" si="41"/>
        <v>13685.6905</v>
      </c>
      <c r="BP51" s="117">
        <f t="shared" si="41"/>
        <v>14233.11812</v>
      </c>
      <c r="BQ51" s="117">
        <f t="shared" si="41"/>
        <v>14233.11812</v>
      </c>
      <c r="BR51" s="117">
        <f t="shared" si="41"/>
        <v>14233.11812</v>
      </c>
      <c r="BS51" s="117">
        <f t="shared" si="41"/>
        <v>14233.11812</v>
      </c>
      <c r="BT51" s="117">
        <f t="shared" si="41"/>
        <v>14233.11812</v>
      </c>
      <c r="BU51" s="117">
        <f t="shared" si="41"/>
        <v>14233.11812</v>
      </c>
      <c r="BV51" s="117">
        <f t="shared" si="41"/>
        <v>14233.11812</v>
      </c>
      <c r="BW51" s="117">
        <f t="shared" si="41"/>
        <v>14233.11812</v>
      </c>
      <c r="BX51" s="117">
        <f t="shared" si="41"/>
        <v>14233.11812</v>
      </c>
      <c r="BY51" s="117">
        <f t="shared" si="41"/>
        <v>14233.11812</v>
      </c>
      <c r="BZ51" s="117">
        <f t="shared" si="41"/>
        <v>14233.11812</v>
      </c>
      <c r="CA51" s="117">
        <f t="shared" si="41"/>
        <v>14233.11812</v>
      </c>
    </row>
    <row r="52" ht="15.75" customHeight="1">
      <c r="A52" s="91" t="s">
        <v>121</v>
      </c>
      <c r="B52" s="91"/>
      <c r="C52" s="91"/>
      <c r="D52" s="91"/>
      <c r="E52" s="91"/>
      <c r="F52" s="247">
        <v>10000.0</v>
      </c>
      <c r="G52" s="247">
        <v>10000.0</v>
      </c>
      <c r="H52" s="247">
        <v>10000.0</v>
      </c>
      <c r="I52" s="247">
        <v>10000.0</v>
      </c>
      <c r="J52" s="247">
        <v>10000.0</v>
      </c>
      <c r="K52" s="247">
        <v>10000.0</v>
      </c>
      <c r="L52" s="247">
        <v>10000.0</v>
      </c>
      <c r="M52" s="247">
        <v>10000.0</v>
      </c>
      <c r="N52" s="247">
        <v>10000.0</v>
      </c>
      <c r="O52" s="247">
        <v>10000.0</v>
      </c>
      <c r="P52" s="247">
        <v>10000.0</v>
      </c>
      <c r="Q52" s="247">
        <v>10000.0</v>
      </c>
      <c r="R52" s="247">
        <v>10000.0</v>
      </c>
      <c r="S52" s="117">
        <f t="shared" si="31"/>
        <v>10000</v>
      </c>
      <c r="T52" s="248">
        <f t="shared" si="33"/>
        <v>10400</v>
      </c>
      <c r="U52" s="117">
        <v>5000.0</v>
      </c>
      <c r="V52" s="117">
        <f t="shared" ref="V52:CA52" si="42">U52*(1+V$57)</f>
        <v>5000</v>
      </c>
      <c r="W52" s="117">
        <f t="shared" si="42"/>
        <v>5000</v>
      </c>
      <c r="X52" s="117">
        <f t="shared" si="42"/>
        <v>5000</v>
      </c>
      <c r="Y52" s="117">
        <f t="shared" si="42"/>
        <v>5000</v>
      </c>
      <c r="Z52" s="117">
        <f t="shared" si="42"/>
        <v>5200</v>
      </c>
      <c r="AA52" s="117">
        <f t="shared" si="42"/>
        <v>5200</v>
      </c>
      <c r="AB52" s="117">
        <f t="shared" si="42"/>
        <v>5200</v>
      </c>
      <c r="AC52" s="117">
        <f t="shared" si="42"/>
        <v>5200</v>
      </c>
      <c r="AD52" s="117">
        <f t="shared" si="42"/>
        <v>5200</v>
      </c>
      <c r="AE52" s="117">
        <f t="shared" si="42"/>
        <v>5200</v>
      </c>
      <c r="AF52" s="117">
        <f t="shared" si="42"/>
        <v>5408</v>
      </c>
      <c r="AG52" s="117">
        <f t="shared" si="42"/>
        <v>5408</v>
      </c>
      <c r="AH52" s="117">
        <f t="shared" si="42"/>
        <v>5408</v>
      </c>
      <c r="AI52" s="117">
        <f t="shared" si="42"/>
        <v>5408</v>
      </c>
      <c r="AJ52" s="117">
        <f t="shared" si="42"/>
        <v>5408</v>
      </c>
      <c r="AK52" s="117">
        <f t="shared" si="42"/>
        <v>5408</v>
      </c>
      <c r="AL52" s="117">
        <f t="shared" si="42"/>
        <v>5624.32</v>
      </c>
      <c r="AM52" s="117">
        <f t="shared" si="42"/>
        <v>5624.32</v>
      </c>
      <c r="AN52" s="117">
        <f t="shared" si="42"/>
        <v>5624.32</v>
      </c>
      <c r="AO52" s="117">
        <f t="shared" si="42"/>
        <v>5624.32</v>
      </c>
      <c r="AP52" s="117">
        <f t="shared" si="42"/>
        <v>5624.32</v>
      </c>
      <c r="AQ52" s="117">
        <f t="shared" si="42"/>
        <v>5624.32</v>
      </c>
      <c r="AR52" s="117">
        <f t="shared" si="42"/>
        <v>5849.2928</v>
      </c>
      <c r="AS52" s="117">
        <f t="shared" si="42"/>
        <v>5849.2928</v>
      </c>
      <c r="AT52" s="117">
        <f t="shared" si="42"/>
        <v>5849.2928</v>
      </c>
      <c r="AU52" s="117">
        <f t="shared" si="42"/>
        <v>5849.2928</v>
      </c>
      <c r="AV52" s="117">
        <f t="shared" si="42"/>
        <v>5849.2928</v>
      </c>
      <c r="AW52" s="117">
        <f t="shared" si="42"/>
        <v>5849.2928</v>
      </c>
      <c r="AX52" s="117">
        <f t="shared" si="42"/>
        <v>6083.264512</v>
      </c>
      <c r="AY52" s="117">
        <f t="shared" si="42"/>
        <v>6083.264512</v>
      </c>
      <c r="AZ52" s="117">
        <f t="shared" si="42"/>
        <v>6083.264512</v>
      </c>
      <c r="BA52" s="117">
        <f t="shared" si="42"/>
        <v>6083.264512</v>
      </c>
      <c r="BB52" s="117">
        <f t="shared" si="42"/>
        <v>6083.264512</v>
      </c>
      <c r="BC52" s="117">
        <f t="shared" si="42"/>
        <v>6083.264512</v>
      </c>
      <c r="BD52" s="117">
        <f t="shared" si="42"/>
        <v>6326.595092</v>
      </c>
      <c r="BE52" s="117">
        <f t="shared" si="42"/>
        <v>6326.595092</v>
      </c>
      <c r="BF52" s="117">
        <f t="shared" si="42"/>
        <v>6326.595092</v>
      </c>
      <c r="BG52" s="117">
        <f t="shared" si="42"/>
        <v>6326.595092</v>
      </c>
      <c r="BH52" s="117">
        <f t="shared" si="42"/>
        <v>6326.595092</v>
      </c>
      <c r="BI52" s="117">
        <f t="shared" si="42"/>
        <v>6326.595092</v>
      </c>
      <c r="BJ52" s="117">
        <f t="shared" si="42"/>
        <v>6579.658896</v>
      </c>
      <c r="BK52" s="117">
        <f t="shared" si="42"/>
        <v>6579.658896</v>
      </c>
      <c r="BL52" s="117">
        <f t="shared" si="42"/>
        <v>6579.658896</v>
      </c>
      <c r="BM52" s="117">
        <f t="shared" si="42"/>
        <v>6579.658896</v>
      </c>
      <c r="BN52" s="117">
        <f t="shared" si="42"/>
        <v>6579.658896</v>
      </c>
      <c r="BO52" s="117">
        <f t="shared" si="42"/>
        <v>6579.658896</v>
      </c>
      <c r="BP52" s="117">
        <f t="shared" si="42"/>
        <v>6842.845252</v>
      </c>
      <c r="BQ52" s="117">
        <f t="shared" si="42"/>
        <v>6842.845252</v>
      </c>
      <c r="BR52" s="117">
        <f t="shared" si="42"/>
        <v>6842.845252</v>
      </c>
      <c r="BS52" s="117">
        <f t="shared" si="42"/>
        <v>6842.845252</v>
      </c>
      <c r="BT52" s="117">
        <f t="shared" si="42"/>
        <v>6842.845252</v>
      </c>
      <c r="BU52" s="117">
        <f t="shared" si="42"/>
        <v>6842.845252</v>
      </c>
      <c r="BV52" s="117">
        <f t="shared" si="42"/>
        <v>6842.845252</v>
      </c>
      <c r="BW52" s="117">
        <f t="shared" si="42"/>
        <v>6842.845252</v>
      </c>
      <c r="BX52" s="117">
        <f t="shared" si="42"/>
        <v>6842.845252</v>
      </c>
      <c r="BY52" s="117">
        <f t="shared" si="42"/>
        <v>6842.845252</v>
      </c>
      <c r="BZ52" s="117">
        <f t="shared" si="42"/>
        <v>6842.845252</v>
      </c>
      <c r="CA52" s="117">
        <f t="shared" si="42"/>
        <v>6842.845252</v>
      </c>
    </row>
    <row r="53" ht="15.75" customHeight="1">
      <c r="A53" s="91" t="s">
        <v>424</v>
      </c>
      <c r="B53" s="91"/>
      <c r="C53" s="91"/>
      <c r="D53" s="91"/>
      <c r="E53" s="91"/>
      <c r="F53" s="247">
        <v>10000.0</v>
      </c>
      <c r="G53" s="247">
        <v>10000.0</v>
      </c>
      <c r="H53" s="247">
        <v>10000.0</v>
      </c>
      <c r="I53" s="247">
        <v>10000.0</v>
      </c>
      <c r="J53" s="247">
        <v>10000.0</v>
      </c>
      <c r="K53" s="247">
        <v>10000.0</v>
      </c>
      <c r="L53" s="247">
        <v>10000.0</v>
      </c>
      <c r="M53" s="247">
        <v>10000.0</v>
      </c>
      <c r="N53" s="247">
        <v>10000.0</v>
      </c>
      <c r="O53" s="247">
        <v>10000.0</v>
      </c>
      <c r="P53" s="247">
        <v>10000.0</v>
      </c>
      <c r="Q53" s="247">
        <v>10000.0</v>
      </c>
      <c r="R53" s="247">
        <v>10000.0</v>
      </c>
      <c r="S53" s="117">
        <f t="shared" si="31"/>
        <v>10000</v>
      </c>
      <c r="T53" s="248">
        <f t="shared" si="33"/>
        <v>10400</v>
      </c>
      <c r="U53" s="117">
        <f t="shared" ref="U53:CA53" si="43">T53*(1+U$57)</f>
        <v>10400</v>
      </c>
      <c r="V53" s="117">
        <f t="shared" si="43"/>
        <v>10400</v>
      </c>
      <c r="W53" s="117">
        <f t="shared" si="43"/>
        <v>10400</v>
      </c>
      <c r="X53" s="117">
        <f t="shared" si="43"/>
        <v>10400</v>
      </c>
      <c r="Y53" s="117">
        <f t="shared" si="43"/>
        <v>10400</v>
      </c>
      <c r="Z53" s="117">
        <f t="shared" si="43"/>
        <v>10816</v>
      </c>
      <c r="AA53" s="117">
        <f t="shared" si="43"/>
        <v>10816</v>
      </c>
      <c r="AB53" s="117">
        <f t="shared" si="43"/>
        <v>10816</v>
      </c>
      <c r="AC53" s="117">
        <f t="shared" si="43"/>
        <v>10816</v>
      </c>
      <c r="AD53" s="117">
        <f t="shared" si="43"/>
        <v>10816</v>
      </c>
      <c r="AE53" s="117">
        <f t="shared" si="43"/>
        <v>10816</v>
      </c>
      <c r="AF53" s="117">
        <f t="shared" si="43"/>
        <v>11248.64</v>
      </c>
      <c r="AG53" s="117">
        <f t="shared" si="43"/>
        <v>11248.64</v>
      </c>
      <c r="AH53" s="117">
        <f t="shared" si="43"/>
        <v>11248.64</v>
      </c>
      <c r="AI53" s="117">
        <f t="shared" si="43"/>
        <v>11248.64</v>
      </c>
      <c r="AJ53" s="117">
        <f t="shared" si="43"/>
        <v>11248.64</v>
      </c>
      <c r="AK53" s="117">
        <f t="shared" si="43"/>
        <v>11248.64</v>
      </c>
      <c r="AL53" s="117">
        <f t="shared" si="43"/>
        <v>11698.5856</v>
      </c>
      <c r="AM53" s="117">
        <f t="shared" si="43"/>
        <v>11698.5856</v>
      </c>
      <c r="AN53" s="117">
        <f t="shared" si="43"/>
        <v>11698.5856</v>
      </c>
      <c r="AO53" s="117">
        <f t="shared" si="43"/>
        <v>11698.5856</v>
      </c>
      <c r="AP53" s="117">
        <f t="shared" si="43"/>
        <v>11698.5856</v>
      </c>
      <c r="AQ53" s="117">
        <f t="shared" si="43"/>
        <v>11698.5856</v>
      </c>
      <c r="AR53" s="117">
        <f t="shared" si="43"/>
        <v>12166.52902</v>
      </c>
      <c r="AS53" s="117">
        <f t="shared" si="43"/>
        <v>12166.52902</v>
      </c>
      <c r="AT53" s="117">
        <f t="shared" si="43"/>
        <v>12166.52902</v>
      </c>
      <c r="AU53" s="117">
        <f t="shared" si="43"/>
        <v>12166.52902</v>
      </c>
      <c r="AV53" s="117">
        <f t="shared" si="43"/>
        <v>12166.52902</v>
      </c>
      <c r="AW53" s="117">
        <f t="shared" si="43"/>
        <v>12166.52902</v>
      </c>
      <c r="AX53" s="117">
        <f t="shared" si="43"/>
        <v>12653.19018</v>
      </c>
      <c r="AY53" s="117">
        <f t="shared" si="43"/>
        <v>12653.19018</v>
      </c>
      <c r="AZ53" s="117">
        <f t="shared" si="43"/>
        <v>12653.19018</v>
      </c>
      <c r="BA53" s="117">
        <f t="shared" si="43"/>
        <v>12653.19018</v>
      </c>
      <c r="BB53" s="117">
        <f t="shared" si="43"/>
        <v>12653.19018</v>
      </c>
      <c r="BC53" s="117">
        <f t="shared" si="43"/>
        <v>12653.19018</v>
      </c>
      <c r="BD53" s="117">
        <f t="shared" si="43"/>
        <v>13159.31779</v>
      </c>
      <c r="BE53" s="117">
        <f t="shared" si="43"/>
        <v>13159.31779</v>
      </c>
      <c r="BF53" s="117">
        <f t="shared" si="43"/>
        <v>13159.31779</v>
      </c>
      <c r="BG53" s="117">
        <f t="shared" si="43"/>
        <v>13159.31779</v>
      </c>
      <c r="BH53" s="117">
        <f t="shared" si="43"/>
        <v>13159.31779</v>
      </c>
      <c r="BI53" s="117">
        <f t="shared" si="43"/>
        <v>13159.31779</v>
      </c>
      <c r="BJ53" s="117">
        <f t="shared" si="43"/>
        <v>13685.6905</v>
      </c>
      <c r="BK53" s="117">
        <f t="shared" si="43"/>
        <v>13685.6905</v>
      </c>
      <c r="BL53" s="117">
        <f t="shared" si="43"/>
        <v>13685.6905</v>
      </c>
      <c r="BM53" s="117">
        <f t="shared" si="43"/>
        <v>13685.6905</v>
      </c>
      <c r="BN53" s="117">
        <f t="shared" si="43"/>
        <v>13685.6905</v>
      </c>
      <c r="BO53" s="117">
        <f t="shared" si="43"/>
        <v>13685.6905</v>
      </c>
      <c r="BP53" s="117">
        <f t="shared" si="43"/>
        <v>14233.11812</v>
      </c>
      <c r="BQ53" s="117">
        <f t="shared" si="43"/>
        <v>14233.11812</v>
      </c>
      <c r="BR53" s="117">
        <f t="shared" si="43"/>
        <v>14233.11812</v>
      </c>
      <c r="BS53" s="117">
        <f t="shared" si="43"/>
        <v>14233.11812</v>
      </c>
      <c r="BT53" s="117">
        <f t="shared" si="43"/>
        <v>14233.11812</v>
      </c>
      <c r="BU53" s="117">
        <f t="shared" si="43"/>
        <v>14233.11812</v>
      </c>
      <c r="BV53" s="117">
        <f t="shared" si="43"/>
        <v>14233.11812</v>
      </c>
      <c r="BW53" s="117">
        <f t="shared" si="43"/>
        <v>14233.11812</v>
      </c>
      <c r="BX53" s="117">
        <f t="shared" si="43"/>
        <v>14233.11812</v>
      </c>
      <c r="BY53" s="117">
        <f t="shared" si="43"/>
        <v>14233.11812</v>
      </c>
      <c r="BZ53" s="117">
        <f t="shared" si="43"/>
        <v>14233.11812</v>
      </c>
      <c r="CA53" s="117">
        <f t="shared" si="43"/>
        <v>14233.11812</v>
      </c>
    </row>
    <row r="54" ht="15.75" customHeight="1">
      <c r="A54" s="91" t="s">
        <v>120</v>
      </c>
      <c r="B54" s="91"/>
      <c r="C54" s="91"/>
      <c r="D54" s="91"/>
      <c r="E54" s="91"/>
      <c r="F54" s="247">
        <v>10000.0</v>
      </c>
      <c r="G54" s="247">
        <v>10000.0</v>
      </c>
      <c r="H54" s="247">
        <v>10000.0</v>
      </c>
      <c r="I54" s="247">
        <v>10000.0</v>
      </c>
      <c r="J54" s="247">
        <v>10000.0</v>
      </c>
      <c r="K54" s="247">
        <v>10000.0</v>
      </c>
      <c r="L54" s="247">
        <v>10000.0</v>
      </c>
      <c r="M54" s="247">
        <v>10000.0</v>
      </c>
      <c r="N54" s="247">
        <v>10000.0</v>
      </c>
      <c r="O54" s="247">
        <v>10000.0</v>
      </c>
      <c r="P54" s="247">
        <v>10000.0</v>
      </c>
      <c r="Q54" s="247">
        <v>10000.0</v>
      </c>
      <c r="R54" s="247">
        <v>10000.0</v>
      </c>
      <c r="S54" s="117">
        <f t="shared" si="31"/>
        <v>10000</v>
      </c>
      <c r="T54" s="248">
        <f t="shared" si="33"/>
        <v>10400</v>
      </c>
      <c r="U54" s="117">
        <f t="shared" ref="U54:BB54" si="44">T54*(1+U$57)</f>
        <v>10400</v>
      </c>
      <c r="V54" s="117">
        <f t="shared" si="44"/>
        <v>10400</v>
      </c>
      <c r="W54" s="117">
        <f t="shared" si="44"/>
        <v>10400</v>
      </c>
      <c r="X54" s="117">
        <f t="shared" si="44"/>
        <v>10400</v>
      </c>
      <c r="Y54" s="117">
        <f t="shared" si="44"/>
        <v>10400</v>
      </c>
      <c r="Z54" s="117">
        <f t="shared" si="44"/>
        <v>10816</v>
      </c>
      <c r="AA54" s="117">
        <f t="shared" si="44"/>
        <v>10816</v>
      </c>
      <c r="AB54" s="117">
        <f t="shared" si="44"/>
        <v>10816</v>
      </c>
      <c r="AC54" s="117">
        <f t="shared" si="44"/>
        <v>10816</v>
      </c>
      <c r="AD54" s="117">
        <f t="shared" si="44"/>
        <v>10816</v>
      </c>
      <c r="AE54" s="117">
        <f t="shared" si="44"/>
        <v>10816</v>
      </c>
      <c r="AF54" s="117">
        <f t="shared" si="44"/>
        <v>11248.64</v>
      </c>
      <c r="AG54" s="117">
        <f t="shared" si="44"/>
        <v>11248.64</v>
      </c>
      <c r="AH54" s="117">
        <f t="shared" si="44"/>
        <v>11248.64</v>
      </c>
      <c r="AI54" s="117">
        <f t="shared" si="44"/>
        <v>11248.64</v>
      </c>
      <c r="AJ54" s="117">
        <f t="shared" si="44"/>
        <v>11248.64</v>
      </c>
      <c r="AK54" s="117">
        <f t="shared" si="44"/>
        <v>11248.64</v>
      </c>
      <c r="AL54" s="117">
        <f t="shared" si="44"/>
        <v>11698.5856</v>
      </c>
      <c r="AM54" s="117">
        <f t="shared" si="44"/>
        <v>11698.5856</v>
      </c>
      <c r="AN54" s="117">
        <f t="shared" si="44"/>
        <v>11698.5856</v>
      </c>
      <c r="AO54" s="117">
        <f t="shared" si="44"/>
        <v>11698.5856</v>
      </c>
      <c r="AP54" s="117">
        <f t="shared" si="44"/>
        <v>11698.5856</v>
      </c>
      <c r="AQ54" s="117">
        <f t="shared" si="44"/>
        <v>11698.5856</v>
      </c>
      <c r="AR54" s="117">
        <f t="shared" si="44"/>
        <v>12166.52902</v>
      </c>
      <c r="AS54" s="117">
        <f t="shared" si="44"/>
        <v>12166.52902</v>
      </c>
      <c r="AT54" s="117">
        <f t="shared" si="44"/>
        <v>12166.52902</v>
      </c>
      <c r="AU54" s="117">
        <f t="shared" si="44"/>
        <v>12166.52902</v>
      </c>
      <c r="AV54" s="117">
        <f t="shared" si="44"/>
        <v>12166.52902</v>
      </c>
      <c r="AW54" s="117">
        <f t="shared" si="44"/>
        <v>12166.52902</v>
      </c>
      <c r="AX54" s="117">
        <f t="shared" si="44"/>
        <v>12653.19018</v>
      </c>
      <c r="AY54" s="117">
        <f t="shared" si="44"/>
        <v>12653.19018</v>
      </c>
      <c r="AZ54" s="117">
        <f t="shared" si="44"/>
        <v>12653.19018</v>
      </c>
      <c r="BA54" s="117">
        <f t="shared" si="44"/>
        <v>12653.19018</v>
      </c>
      <c r="BB54" s="117">
        <f t="shared" si="44"/>
        <v>12653.19018</v>
      </c>
      <c r="BC54" s="117">
        <v>8500.0</v>
      </c>
      <c r="BD54" s="117">
        <f t="shared" ref="BD54:CA54" si="45">BC54*(1+BD$57)</f>
        <v>8840</v>
      </c>
      <c r="BE54" s="117">
        <f t="shared" si="45"/>
        <v>8840</v>
      </c>
      <c r="BF54" s="117">
        <f t="shared" si="45"/>
        <v>8840</v>
      </c>
      <c r="BG54" s="117">
        <f t="shared" si="45"/>
        <v>8840</v>
      </c>
      <c r="BH54" s="117">
        <f t="shared" si="45"/>
        <v>8840</v>
      </c>
      <c r="BI54" s="117">
        <f t="shared" si="45"/>
        <v>8840</v>
      </c>
      <c r="BJ54" s="117">
        <f t="shared" si="45"/>
        <v>9193.6</v>
      </c>
      <c r="BK54" s="117">
        <f t="shared" si="45"/>
        <v>9193.6</v>
      </c>
      <c r="BL54" s="117">
        <f t="shared" si="45"/>
        <v>9193.6</v>
      </c>
      <c r="BM54" s="117">
        <f t="shared" si="45"/>
        <v>9193.6</v>
      </c>
      <c r="BN54" s="117">
        <f t="shared" si="45"/>
        <v>9193.6</v>
      </c>
      <c r="BO54" s="117">
        <f t="shared" si="45"/>
        <v>9193.6</v>
      </c>
      <c r="BP54" s="117">
        <f t="shared" si="45"/>
        <v>9561.344</v>
      </c>
      <c r="BQ54" s="117">
        <f t="shared" si="45"/>
        <v>9561.344</v>
      </c>
      <c r="BR54" s="117">
        <f t="shared" si="45"/>
        <v>9561.344</v>
      </c>
      <c r="BS54" s="117">
        <f t="shared" si="45"/>
        <v>9561.344</v>
      </c>
      <c r="BT54" s="117">
        <f t="shared" si="45"/>
        <v>9561.344</v>
      </c>
      <c r="BU54" s="117">
        <f t="shared" si="45"/>
        <v>9561.344</v>
      </c>
      <c r="BV54" s="117">
        <f t="shared" si="45"/>
        <v>9561.344</v>
      </c>
      <c r="BW54" s="117">
        <f t="shared" si="45"/>
        <v>9561.344</v>
      </c>
      <c r="BX54" s="117">
        <f t="shared" si="45"/>
        <v>9561.344</v>
      </c>
      <c r="BY54" s="117">
        <f t="shared" si="45"/>
        <v>9561.344</v>
      </c>
      <c r="BZ54" s="117">
        <f t="shared" si="45"/>
        <v>9561.344</v>
      </c>
      <c r="CA54" s="117">
        <f t="shared" si="45"/>
        <v>9561.344</v>
      </c>
    </row>
    <row r="55" ht="15.75" customHeight="1">
      <c r="A55" s="91" t="s">
        <v>119</v>
      </c>
      <c r="B55" s="91"/>
      <c r="C55" s="91"/>
      <c r="D55" s="91"/>
      <c r="E55" s="91"/>
      <c r="F55" s="247">
        <v>10000.0</v>
      </c>
      <c r="G55" s="247">
        <v>10000.0</v>
      </c>
      <c r="H55" s="247">
        <v>10000.0</v>
      </c>
      <c r="I55" s="247">
        <v>10000.0</v>
      </c>
      <c r="J55" s="247">
        <v>10000.0</v>
      </c>
      <c r="K55" s="247">
        <v>10000.0</v>
      </c>
      <c r="L55" s="247">
        <v>10000.0</v>
      </c>
      <c r="M55" s="247">
        <v>10000.0</v>
      </c>
      <c r="N55" s="247">
        <v>10000.0</v>
      </c>
      <c r="O55" s="247">
        <v>10000.0</v>
      </c>
      <c r="P55" s="247">
        <v>10000.0</v>
      </c>
      <c r="Q55" s="247">
        <v>10000.0</v>
      </c>
      <c r="R55" s="247">
        <v>10000.0</v>
      </c>
      <c r="S55" s="117">
        <f t="shared" si="31"/>
        <v>10000</v>
      </c>
      <c r="T55" s="248">
        <f t="shared" si="33"/>
        <v>10400</v>
      </c>
      <c r="U55" s="117">
        <v>8000.0</v>
      </c>
      <c r="V55" s="117">
        <f t="shared" ref="V55:BB55" si="46">U55*(1+V$57)</f>
        <v>8000</v>
      </c>
      <c r="W55" s="117">
        <f t="shared" si="46"/>
        <v>8000</v>
      </c>
      <c r="X55" s="117">
        <f t="shared" si="46"/>
        <v>8000</v>
      </c>
      <c r="Y55" s="117">
        <f t="shared" si="46"/>
        <v>8000</v>
      </c>
      <c r="Z55" s="117">
        <f t="shared" si="46"/>
        <v>8320</v>
      </c>
      <c r="AA55" s="117">
        <f t="shared" si="46"/>
        <v>8320</v>
      </c>
      <c r="AB55" s="117">
        <f t="shared" si="46"/>
        <v>8320</v>
      </c>
      <c r="AC55" s="117">
        <f t="shared" si="46"/>
        <v>8320</v>
      </c>
      <c r="AD55" s="117">
        <f t="shared" si="46"/>
        <v>8320</v>
      </c>
      <c r="AE55" s="117">
        <f t="shared" si="46"/>
        <v>8320</v>
      </c>
      <c r="AF55" s="117">
        <f t="shared" si="46"/>
        <v>8652.8</v>
      </c>
      <c r="AG55" s="117">
        <f t="shared" si="46"/>
        <v>8652.8</v>
      </c>
      <c r="AH55" s="117">
        <f t="shared" si="46"/>
        <v>8652.8</v>
      </c>
      <c r="AI55" s="117">
        <f t="shared" si="46"/>
        <v>8652.8</v>
      </c>
      <c r="AJ55" s="117">
        <f t="shared" si="46"/>
        <v>8652.8</v>
      </c>
      <c r="AK55" s="117">
        <f t="shared" si="46"/>
        <v>8652.8</v>
      </c>
      <c r="AL55" s="117">
        <f t="shared" si="46"/>
        <v>8998.912</v>
      </c>
      <c r="AM55" s="117">
        <f t="shared" si="46"/>
        <v>8998.912</v>
      </c>
      <c r="AN55" s="117">
        <f t="shared" si="46"/>
        <v>8998.912</v>
      </c>
      <c r="AO55" s="117">
        <f t="shared" si="46"/>
        <v>8998.912</v>
      </c>
      <c r="AP55" s="117">
        <f t="shared" si="46"/>
        <v>8998.912</v>
      </c>
      <c r="AQ55" s="117">
        <f t="shared" si="46"/>
        <v>8998.912</v>
      </c>
      <c r="AR55" s="117">
        <f t="shared" si="46"/>
        <v>9358.86848</v>
      </c>
      <c r="AS55" s="117">
        <f t="shared" si="46"/>
        <v>9358.86848</v>
      </c>
      <c r="AT55" s="117">
        <f t="shared" si="46"/>
        <v>9358.86848</v>
      </c>
      <c r="AU55" s="117">
        <f t="shared" si="46"/>
        <v>9358.86848</v>
      </c>
      <c r="AV55" s="117">
        <f t="shared" si="46"/>
        <v>9358.86848</v>
      </c>
      <c r="AW55" s="117">
        <f t="shared" si="46"/>
        <v>9358.86848</v>
      </c>
      <c r="AX55" s="117">
        <f t="shared" si="46"/>
        <v>9733.223219</v>
      </c>
      <c r="AY55" s="117">
        <f t="shared" si="46"/>
        <v>9733.223219</v>
      </c>
      <c r="AZ55" s="117">
        <f t="shared" si="46"/>
        <v>9733.223219</v>
      </c>
      <c r="BA55" s="117">
        <f t="shared" si="46"/>
        <v>9733.223219</v>
      </c>
      <c r="BB55" s="117">
        <f t="shared" si="46"/>
        <v>9733.223219</v>
      </c>
      <c r="BC55" s="117">
        <v>8500.0</v>
      </c>
      <c r="BD55" s="117">
        <f t="shared" ref="BD55:CA55" si="47">BC55*(1+BD$57)</f>
        <v>8840</v>
      </c>
      <c r="BE55" s="117">
        <f t="shared" si="47"/>
        <v>8840</v>
      </c>
      <c r="BF55" s="117">
        <f t="shared" si="47"/>
        <v>8840</v>
      </c>
      <c r="BG55" s="117">
        <f t="shared" si="47"/>
        <v>8840</v>
      </c>
      <c r="BH55" s="117">
        <f t="shared" si="47"/>
        <v>8840</v>
      </c>
      <c r="BI55" s="117">
        <f t="shared" si="47"/>
        <v>8840</v>
      </c>
      <c r="BJ55" s="117">
        <f t="shared" si="47"/>
        <v>9193.6</v>
      </c>
      <c r="BK55" s="117">
        <f t="shared" si="47"/>
        <v>9193.6</v>
      </c>
      <c r="BL55" s="117">
        <f t="shared" si="47"/>
        <v>9193.6</v>
      </c>
      <c r="BM55" s="117">
        <f t="shared" si="47"/>
        <v>9193.6</v>
      </c>
      <c r="BN55" s="117">
        <f t="shared" si="47"/>
        <v>9193.6</v>
      </c>
      <c r="BO55" s="117">
        <f t="shared" si="47"/>
        <v>9193.6</v>
      </c>
      <c r="BP55" s="117">
        <f t="shared" si="47"/>
        <v>9561.344</v>
      </c>
      <c r="BQ55" s="117">
        <f t="shared" si="47"/>
        <v>9561.344</v>
      </c>
      <c r="BR55" s="117">
        <f t="shared" si="47"/>
        <v>9561.344</v>
      </c>
      <c r="BS55" s="117">
        <f t="shared" si="47"/>
        <v>9561.344</v>
      </c>
      <c r="BT55" s="117">
        <f t="shared" si="47"/>
        <v>9561.344</v>
      </c>
      <c r="BU55" s="117">
        <f t="shared" si="47"/>
        <v>9561.344</v>
      </c>
      <c r="BV55" s="117">
        <f t="shared" si="47"/>
        <v>9561.344</v>
      </c>
      <c r="BW55" s="117">
        <f t="shared" si="47"/>
        <v>9561.344</v>
      </c>
      <c r="BX55" s="117">
        <f t="shared" si="47"/>
        <v>9561.344</v>
      </c>
      <c r="BY55" s="117">
        <f t="shared" si="47"/>
        <v>9561.344</v>
      </c>
      <c r="BZ55" s="117">
        <f t="shared" si="47"/>
        <v>9561.344</v>
      </c>
      <c r="CA55" s="117">
        <f t="shared" si="47"/>
        <v>9561.344</v>
      </c>
    </row>
    <row r="56" ht="15.75" customHeight="1">
      <c r="A56" s="243" t="s">
        <v>429</v>
      </c>
      <c r="B56" s="243"/>
      <c r="C56" s="243"/>
      <c r="D56" s="243"/>
      <c r="E56" s="243"/>
      <c r="F56" s="250">
        <v>7868.139605263159</v>
      </c>
      <c r="G56" s="251">
        <f>F56</f>
        <v>7868.139605</v>
      </c>
      <c r="H56" s="250">
        <v>8024.0</v>
      </c>
      <c r="I56" s="251">
        <f>H56</f>
        <v>8024</v>
      </c>
      <c r="J56" s="250">
        <v>8333.55</v>
      </c>
      <c r="K56" s="251">
        <f t="shared" ref="K56:Q56" si="48">J56</f>
        <v>8333.55</v>
      </c>
      <c r="L56" s="251">
        <f t="shared" si="48"/>
        <v>8333.55</v>
      </c>
      <c r="M56" s="251">
        <f t="shared" si="48"/>
        <v>8333.55</v>
      </c>
      <c r="N56" s="251">
        <f t="shared" si="48"/>
        <v>8333.55</v>
      </c>
      <c r="O56" s="251">
        <f t="shared" si="48"/>
        <v>8333.55</v>
      </c>
      <c r="P56" s="251">
        <f t="shared" si="48"/>
        <v>8333.55</v>
      </c>
      <c r="Q56" s="251">
        <f t="shared" si="48"/>
        <v>8333.55</v>
      </c>
      <c r="R56" s="251">
        <f>IFERROR(__xludf.DUMMYFUNCTION("AVERAGE.WEIGHTED(R42:R55,R6:R19)"),8657.71812080537)</f>
        <v>8657.718121</v>
      </c>
      <c r="S56" s="251">
        <f>IFERROR(__xludf.DUMMYFUNCTION("AVERAGE.WEIGHTED(S42:S55,S6:S19)"),8630.952380952382)</f>
        <v>8630.952381</v>
      </c>
      <c r="T56" s="251">
        <f>IFERROR(__xludf.DUMMYFUNCTION("AVERAGE.WEIGHTED(T42:T55,T6:T19)"),8854.857142857143)</f>
        <v>8854.857143</v>
      </c>
      <c r="U56" s="251">
        <f>IFERROR(__xludf.DUMMYFUNCTION("AVERAGE.WEIGHTED(U42:U55,U6:U19)"),8227.189944134077)</f>
        <v>8227.189944</v>
      </c>
      <c r="V56" s="251">
        <f>IFERROR(__xludf.DUMMYFUNCTION("AVERAGE.WEIGHTED(V42:V55,V6:V19)"),8192.675824175823)</f>
        <v>8192.675824</v>
      </c>
      <c r="W56" s="251">
        <f>IFERROR(__xludf.DUMMYFUNCTION("AVERAGE.WEIGHTED(W42:W55,W6:W19)"),8158.2)</f>
        <v>8158.2</v>
      </c>
      <c r="X56" s="251">
        <f>IFERROR(__xludf.DUMMYFUNCTION("AVERAGE.WEIGHTED(X42:X55,X6:X19)"),8158.2)</f>
        <v>8158.2</v>
      </c>
      <c r="Y56" s="251">
        <f>IFERROR(__xludf.DUMMYFUNCTION("AVERAGE.WEIGHTED(Y42:Y55,Y6:Y19)"),8158.2)</f>
        <v>8158.2</v>
      </c>
      <c r="Z56" s="251">
        <f>IFERROR(__xludf.DUMMYFUNCTION("AVERAGE.WEIGHTED(Z42:Z55,Z6:Z19)"),8479.431443850268)</f>
        <v>8479.431444</v>
      </c>
      <c r="AA56" s="251">
        <f>IFERROR(__xludf.DUMMYFUNCTION("AVERAGE.WEIGHTED(AA42:AA55,AA6:AA19)"),8457.208842105263)</f>
        <v>8457.208842</v>
      </c>
      <c r="AB56" s="251">
        <f>IFERROR(__xludf.DUMMYFUNCTION("AVERAGE.WEIGHTED(AB42:AB55,AB6:AB19)"),8452.529583333333)</f>
        <v>8452.529583</v>
      </c>
      <c r="AC56" s="251">
        <f>IFERROR(__xludf.DUMMYFUNCTION("AVERAGE.WEIGHTED(AC42:AC55,AC6:AC19)"),8440.181333333334)</f>
        <v>8440.181333</v>
      </c>
      <c r="AD56" s="251">
        <f>IFERROR(__xludf.DUMMYFUNCTION("AVERAGE.WEIGHTED(AD42:AD55,AD6:AD19)"),8419.451313131312)</f>
        <v>8419.451313</v>
      </c>
      <c r="AE56" s="251">
        <f>IFERROR(__xludf.DUMMYFUNCTION("AVERAGE.WEIGHTED(AE42:AE55,AE6:AE19)"),8427.28039800995)</f>
        <v>8427.280398</v>
      </c>
      <c r="AF56" s="251">
        <f>IFERROR(__xludf.DUMMYFUNCTION("AVERAGE.WEIGHTED(AF42:AF55,AF6:AF19)"),8788.84716453202)</f>
        <v>8788.847165</v>
      </c>
      <c r="AG56" s="251">
        <f>IFERROR(__xludf.DUMMYFUNCTION("AVERAGE.WEIGHTED(AG42:AG55,AG6:AG19)"),8812.845143414635)</f>
        <v>8812.845143</v>
      </c>
      <c r="AH56" s="251">
        <f>IFERROR(__xludf.DUMMYFUNCTION("AVERAGE.WEIGHTED(AH42:AH55,AH6:AH19)"),8824.669390291263)</f>
        <v>8824.66939</v>
      </c>
      <c r="AI56" s="251">
        <f>IFERROR(__xludf.DUMMYFUNCTION("AVERAGE.WEIGHTED(AI42:AI55,AI6:AI19)"),8824.669390291263)</f>
        <v>8824.66939</v>
      </c>
      <c r="AJ56" s="251">
        <f>IFERROR(__xludf.DUMMYFUNCTION("AVERAGE.WEIGHTED(AJ42:AJ55,AJ6:AJ19)"),8836.379393236715)</f>
        <v>8836.379393</v>
      </c>
      <c r="AK56" s="251">
        <f>IFERROR(__xludf.DUMMYFUNCTION("AVERAGE.WEIGHTED(AK42:AK55,AK6:AK19)"),8819.8968)</f>
        <v>8819.8968</v>
      </c>
      <c r="AL56" s="251">
        <f>IFERROR(__xludf.DUMMYFUNCTION("AVERAGE.WEIGHTED(AL42:AL55,AL6:AL19)"),9184.778284095695)</f>
        <v>9184.778284</v>
      </c>
      <c r="AM56" s="251">
        <f>IFERROR(__xludf.DUMMYFUNCTION("AVERAGE.WEIGHTED(AM42:AM55,AM6:AM19)"),9180.884074767775)</f>
        <v>9180.884075</v>
      </c>
      <c r="AN56" s="251">
        <f>IFERROR(__xludf.DUMMYFUNCTION("AVERAGE.WEIGHTED(AN42:AN55,AN6:AN19)"),9192.760025358491)</f>
        <v>9192.760025</v>
      </c>
      <c r="AO56" s="251">
        <f>IFERROR(__xludf.DUMMYFUNCTION("AVERAGE.WEIGHTED(AO42:AO55,AO6:AO19)"),9204.524464676058)</f>
        <v>9204.524465</v>
      </c>
      <c r="AP56" s="251">
        <f>IFERROR(__xludf.DUMMYFUNCTION("AVERAGE.WEIGHTED(AP42:AP55,AP6:AP19)"),9200.51902035349)</f>
        <v>9200.51902</v>
      </c>
      <c r="AQ56" s="251">
        <f>IFERROR(__xludf.DUMMYFUNCTION("AVERAGE.WEIGHTED(AQ42:AQ55,AQ6:AQ19)"),9200.51902035349)</f>
        <v>9200.51902</v>
      </c>
      <c r="AR56" s="251">
        <f>IFERROR(__xludf.DUMMYFUNCTION("AVERAGE.WEIGHTED(AR42:AR55,AR6:AR19)"),9551.321045143706)</f>
        <v>9551.321045</v>
      </c>
      <c r="AS56" s="251">
        <f>IFERROR(__xludf.DUMMYFUNCTION("AVERAGE.WEIGHTED(AS42:AS55,AS6:AS19)"),9587.145811977354)</f>
        <v>9587.145812</v>
      </c>
      <c r="AT56" s="251">
        <f>IFERROR(__xludf.DUMMYFUNCTION("AVERAGE.WEIGHTED(AT42:AT55,AT6:AT19)"),9582.96256271059)</f>
        <v>9582.962563</v>
      </c>
      <c r="AU56" s="251">
        <f>IFERROR(__xludf.DUMMYFUNCTION("AVERAGE.WEIGHTED(AU42:AU55,AU6:AU19)"),9582.446648615825)</f>
        <v>9582.446649</v>
      </c>
      <c r="AV56" s="251">
        <f>IFERROR(__xludf.DUMMYFUNCTION("AVERAGE.WEIGHTED(AV42:AV55,AV6:AV19)"),9593.880641427259)</f>
        <v>9593.880641</v>
      </c>
      <c r="AW56" s="251">
        <f>IFERROR(__xludf.DUMMYFUNCTION("AVERAGE.WEIGHTED(AW42:AW55,AW6:AW19)"),9605.213894213923)</f>
        <v>9605.213894</v>
      </c>
      <c r="AX56" s="251">
        <f>IFERROR(__xludf.DUMMYFUNCTION("AVERAGE.WEIGHTED(AX42:AX55,AX6:AX19)"),9968.09541711071)</f>
        <v>9968.095417</v>
      </c>
      <c r="AY56" s="251">
        <f>IFERROR(__xludf.DUMMYFUNCTION("AVERAGE.WEIGHTED(AY42:AY55,AY6:AY19)"),9962.924140656996)</f>
        <v>9962.924141</v>
      </c>
      <c r="AZ56" s="251">
        <f>IFERROR(__xludf.DUMMYFUNCTION("AVERAGE.WEIGHTED(AZ42:AZ55,AZ6:AZ19)"),9974.470346855722)</f>
        <v>9974.470347</v>
      </c>
      <c r="BA56" s="251">
        <f>IFERROR(__xludf.DUMMYFUNCTION("AVERAGE.WEIGHTED(BA42:BA55,BA6:BA19)"),9981.714263897386)</f>
        <v>9981.714264</v>
      </c>
      <c r="BB56" s="251">
        <f>IFERROR(__xludf.DUMMYFUNCTION("AVERAGE.WEIGHTED(BB42:BB55,BB6:BB19)"),9981.714263897386)</f>
        <v>9981.714264</v>
      </c>
      <c r="BC56" s="251">
        <f>IFERROR(__xludf.DUMMYFUNCTION("AVERAGE.WEIGHTED(BC42:BC55,BC6:BC19)"),9654.85871681382)</f>
        <v>9654.858717</v>
      </c>
      <c r="BD56" s="251">
        <f>IFERROR(__xludf.DUMMYFUNCTION("AVERAGE.WEIGHTED(BD42:BD55,BD6:BD19)"),10037.18754001901)</f>
        <v>10037.18754</v>
      </c>
      <c r="BE56" s="251">
        <f>IFERROR(__xludf.DUMMYFUNCTION("AVERAGE.WEIGHTED(BE42:BE55,BE6:BE19)"),10218.706740736416)</f>
        <v>10218.70674</v>
      </c>
      <c r="BF56" s="251">
        <f>IFERROR(__xludf.DUMMYFUNCTION("AVERAGE.WEIGHTED(BF42:BF55,BF6:BF19)"),10271.554357586132)</f>
        <v>10271.55436</v>
      </c>
      <c r="BG56" s="251">
        <f>IFERROR(__xludf.DUMMYFUNCTION("AVERAGE.WEIGHTED(BG42:BG55,BG6:BG19)"),10261.704340840206)</f>
        <v>10261.70434</v>
      </c>
      <c r="BH56" s="251">
        <f>IFERROR(__xludf.DUMMYFUNCTION("AVERAGE.WEIGHTED(BH42:BH55,BH6:BH19)"),10257.861763814866)</f>
        <v>10257.86176</v>
      </c>
      <c r="BI56" s="251">
        <f>IFERROR(__xludf.DUMMYFUNCTION("AVERAGE.WEIGHTED(BI42:BI55,BI6:BI19)"),10244.289059506247)</f>
        <v>10244.28906</v>
      </c>
      <c r="BJ56" s="251">
        <f>IFERROR(__xludf.DUMMYFUNCTION("AVERAGE.WEIGHTED(BJ42:BJ55,BJ6:BJ19)"),10687.253649793427)</f>
        <v>10687.25365</v>
      </c>
      <c r="BK56" s="251">
        <f>IFERROR(__xludf.DUMMYFUNCTION("AVERAGE.WEIGHTED(BK42:BK55,BK6:BK19)"),10684.188535505356)</f>
        <v>10684.18854</v>
      </c>
      <c r="BL56" s="251">
        <f>IFERROR(__xludf.DUMMYFUNCTION("AVERAGE.WEIGHTED(BL42:BL55,BL6:BL19)"),10695.024282684228)</f>
        <v>10695.02428</v>
      </c>
      <c r="BM56" s="251">
        <f>IFERROR(__xludf.DUMMYFUNCTION("AVERAGE.WEIGHTED(BM42:BM55,BM6:BM19)"),10691.936423152725)</f>
        <v>10691.93642</v>
      </c>
      <c r="BN56" s="251">
        <f>IFERROR(__xludf.DUMMYFUNCTION("AVERAGE.WEIGHTED(BN42:BN55,BN6:BN19)"),10723.784870821873)</f>
        <v>10723.78487</v>
      </c>
      <c r="BO56" s="251">
        <f>IFERROR(__xludf.DUMMYFUNCTION("AVERAGE.WEIGHTED(BO42:BO55,BO6:BO19)"),10723.784870821873)</f>
        <v>10723.78487</v>
      </c>
      <c r="BP56" s="251">
        <f>IFERROR(__xludf.DUMMYFUNCTION("AVERAGE.WEIGHTED(BP42:BP55,BP6:BP19)"),11174.42909564461)</f>
        <v>11174.4291</v>
      </c>
      <c r="BQ56" s="251">
        <f>IFERROR(__xludf.DUMMYFUNCTION("AVERAGE.WEIGHTED(BQ42:BQ55,BQ6:BQ19)"),11181.605081789568)</f>
        <v>11181.60508</v>
      </c>
      <c r="BR56" s="251">
        <f>IFERROR(__xludf.DUMMYFUNCTION("AVERAGE.WEIGHTED(BR42:BR55,BR6:BR19)"),11192.200613186878)</f>
        <v>11192.20061</v>
      </c>
      <c r="BS56" s="251">
        <f>IFERROR(__xludf.DUMMYFUNCTION("AVERAGE.WEIGHTED(BS42:BS55,BS6:BS19)"),11188.632599255667)</f>
        <v>11188.6326</v>
      </c>
      <c r="BT56" s="251">
        <f>IFERROR(__xludf.DUMMYFUNCTION("AVERAGE.WEIGHTED(BT42:BT55,BT6:BT19)"),11188.632599255667)</f>
        <v>11188.6326</v>
      </c>
      <c r="BU56" s="251">
        <f>IFERROR(__xludf.DUMMYFUNCTION("AVERAGE.WEIGHTED(BU42:BU55,BU6:BU19)"),11209.485239837579)</f>
        <v>11209.48524</v>
      </c>
      <c r="BV56" s="251">
        <f>IFERROR(__xludf.DUMMYFUNCTION("AVERAGE.WEIGHTED(BV42:BV55,BV6:BV19)"),11181.642204614924)</f>
        <v>11181.6422</v>
      </c>
      <c r="BW56" s="251">
        <f>IFERROR(__xludf.DUMMYFUNCTION("AVERAGE.WEIGHTED(BW42:BW55,BW6:BW19)"),11181.642204614924)</f>
        <v>11181.6422</v>
      </c>
      <c r="BX56" s="251">
        <f>IFERROR(__xludf.DUMMYFUNCTION("AVERAGE.WEIGHTED(BX42:BX55,BX6:BX19)"),11191.98619078306)</f>
        <v>11191.98619</v>
      </c>
      <c r="BY56" s="251">
        <f>IFERROR(__xludf.DUMMYFUNCTION("AVERAGE.WEIGHTED(BY42:BY55,BY6:BY19)"),11191.98619078306)</f>
        <v>11191.98619</v>
      </c>
      <c r="BZ56" s="251">
        <f>IFERROR(__xludf.DUMMYFUNCTION("AVERAGE.WEIGHTED(BZ42:BZ55,BZ6:BZ19)"),11212.465193701792)</f>
        <v>11212.46519</v>
      </c>
      <c r="CA56" s="251">
        <f>IFERROR(__xludf.DUMMYFUNCTION("AVERAGE.WEIGHTED(CA42:CA55,CA6:CA19)"),11208.86902914968)</f>
        <v>11208.86903</v>
      </c>
    </row>
    <row r="57" ht="15.75" customHeight="1">
      <c r="A57" s="91" t="s">
        <v>430</v>
      </c>
      <c r="B57" s="91"/>
      <c r="C57" s="91"/>
      <c r="D57" s="91"/>
      <c r="E57" s="91"/>
      <c r="F57" s="252">
        <v>0.0</v>
      </c>
      <c r="G57" s="252">
        <v>0.0</v>
      </c>
      <c r="H57" s="252">
        <v>0.0</v>
      </c>
      <c r="I57" s="252">
        <v>0.0</v>
      </c>
      <c r="J57" s="252">
        <v>0.0</v>
      </c>
      <c r="K57" s="252">
        <v>0.0</v>
      </c>
      <c r="L57" s="252">
        <v>0.0</v>
      </c>
      <c r="M57" s="252">
        <v>0.0</v>
      </c>
      <c r="N57" s="252">
        <v>0.0</v>
      </c>
      <c r="O57" s="252">
        <v>0.0</v>
      </c>
      <c r="P57" s="252">
        <v>0.0</v>
      </c>
      <c r="Q57" s="252">
        <v>0.0</v>
      </c>
      <c r="R57" s="252">
        <v>0.0</v>
      </c>
      <c r="S57" s="252">
        <v>0.0</v>
      </c>
      <c r="T57" s="252">
        <v>0.04</v>
      </c>
      <c r="U57" s="252">
        <v>0.0</v>
      </c>
      <c r="V57" s="252">
        <v>0.0</v>
      </c>
      <c r="W57" s="252">
        <v>0.0</v>
      </c>
      <c r="X57" s="252">
        <v>0.0</v>
      </c>
      <c r="Y57" s="252">
        <v>0.0</v>
      </c>
      <c r="Z57" s="252">
        <v>0.04</v>
      </c>
      <c r="AA57" s="252">
        <v>0.0</v>
      </c>
      <c r="AB57" s="252">
        <v>0.0</v>
      </c>
      <c r="AC57" s="252">
        <v>0.0</v>
      </c>
      <c r="AD57" s="252">
        <v>0.0</v>
      </c>
      <c r="AE57" s="252">
        <v>0.0</v>
      </c>
      <c r="AF57" s="252">
        <v>0.04</v>
      </c>
      <c r="AG57" s="252">
        <v>0.0</v>
      </c>
      <c r="AH57" s="252">
        <v>0.0</v>
      </c>
      <c r="AI57" s="252">
        <v>0.0</v>
      </c>
      <c r="AJ57" s="252">
        <v>0.0</v>
      </c>
      <c r="AK57" s="252">
        <v>0.0</v>
      </c>
      <c r="AL57" s="252">
        <v>0.04</v>
      </c>
      <c r="AM57" s="252">
        <v>0.0</v>
      </c>
      <c r="AN57" s="252">
        <v>0.0</v>
      </c>
      <c r="AO57" s="252">
        <v>0.0</v>
      </c>
      <c r="AP57" s="252">
        <v>0.0</v>
      </c>
      <c r="AQ57" s="252">
        <v>0.0</v>
      </c>
      <c r="AR57" s="252">
        <v>0.04</v>
      </c>
      <c r="AS57" s="252">
        <v>0.0</v>
      </c>
      <c r="AT57" s="252">
        <v>0.0</v>
      </c>
      <c r="AU57" s="252">
        <v>0.0</v>
      </c>
      <c r="AV57" s="252">
        <v>0.0</v>
      </c>
      <c r="AW57" s="252">
        <v>0.0</v>
      </c>
      <c r="AX57" s="252">
        <v>0.04</v>
      </c>
      <c r="AY57" s="252">
        <v>0.0</v>
      </c>
      <c r="AZ57" s="252">
        <v>0.0</v>
      </c>
      <c r="BA57" s="252">
        <v>0.0</v>
      </c>
      <c r="BB57" s="252">
        <v>0.0</v>
      </c>
      <c r="BC57" s="252">
        <v>0.0</v>
      </c>
      <c r="BD57" s="252">
        <v>0.04</v>
      </c>
      <c r="BE57" s="252">
        <v>0.0</v>
      </c>
      <c r="BF57" s="252">
        <v>0.0</v>
      </c>
      <c r="BG57" s="252">
        <v>0.0</v>
      </c>
      <c r="BH57" s="252">
        <v>0.0</v>
      </c>
      <c r="BI57" s="252">
        <v>0.0</v>
      </c>
      <c r="BJ57" s="252">
        <v>0.04</v>
      </c>
      <c r="BK57" s="252">
        <v>0.0</v>
      </c>
      <c r="BL57" s="252">
        <v>0.0</v>
      </c>
      <c r="BM57" s="252">
        <v>0.0</v>
      </c>
      <c r="BN57" s="252">
        <v>0.0</v>
      </c>
      <c r="BO57" s="252">
        <v>0.0</v>
      </c>
      <c r="BP57" s="252">
        <v>0.04</v>
      </c>
      <c r="BQ57" s="252">
        <v>0.0</v>
      </c>
      <c r="BR57" s="252">
        <v>0.0</v>
      </c>
      <c r="BS57" s="252">
        <v>0.0</v>
      </c>
      <c r="BT57" s="252">
        <v>0.0</v>
      </c>
      <c r="BU57" s="252">
        <v>0.0</v>
      </c>
      <c r="BV57" s="252">
        <v>0.0</v>
      </c>
      <c r="BW57" s="252">
        <v>0.0</v>
      </c>
      <c r="BX57" s="252">
        <v>0.0</v>
      </c>
      <c r="BY57" s="252">
        <v>0.0</v>
      </c>
      <c r="BZ57" s="252">
        <v>0.0</v>
      </c>
      <c r="CA57" s="252">
        <v>0.0</v>
      </c>
    </row>
    <row r="58" ht="15.75" customHeight="1">
      <c r="A58" s="129"/>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row>
    <row r="59" ht="15.75" customHeight="1">
      <c r="A59" s="129" t="s">
        <v>431</v>
      </c>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row>
    <row r="60" ht="15.75" customHeight="1">
      <c r="A60" s="91" t="s">
        <v>414</v>
      </c>
      <c r="B60" s="91"/>
      <c r="C60" s="91"/>
      <c r="D60" s="91"/>
      <c r="E60" s="91"/>
      <c r="F60" s="246">
        <f t="shared" ref="F60:Q60" si="49">F78-E78</f>
        <v>-1054</v>
      </c>
      <c r="G60" s="246">
        <f t="shared" si="49"/>
        <v>1339</v>
      </c>
      <c r="H60" s="246">
        <f t="shared" si="49"/>
        <v>-147</v>
      </c>
      <c r="I60" s="246">
        <f t="shared" si="49"/>
        <v>-364</v>
      </c>
      <c r="J60" s="246">
        <f t="shared" si="49"/>
        <v>749</v>
      </c>
      <c r="K60" s="246">
        <f t="shared" si="49"/>
        <v>-1366</v>
      </c>
      <c r="L60" s="246">
        <f t="shared" si="49"/>
        <v>2052</v>
      </c>
      <c r="M60" s="246">
        <f t="shared" si="49"/>
        <v>-1087</v>
      </c>
      <c r="N60" s="246">
        <f t="shared" si="49"/>
        <v>-1261</v>
      </c>
      <c r="O60" s="246">
        <f t="shared" si="49"/>
        <v>-400</v>
      </c>
      <c r="P60" s="246">
        <f t="shared" si="49"/>
        <v>2729</v>
      </c>
      <c r="Q60" s="246">
        <f t="shared" si="49"/>
        <v>767</v>
      </c>
      <c r="R60" s="246">
        <f t="shared" ref="R60:CA60" si="50">R42*R24</f>
        <v>0</v>
      </c>
      <c r="S60" s="246">
        <f t="shared" si="50"/>
        <v>0</v>
      </c>
      <c r="T60" s="246">
        <f t="shared" si="50"/>
        <v>0</v>
      </c>
      <c r="U60" s="246">
        <f t="shared" si="50"/>
        <v>0</v>
      </c>
      <c r="V60" s="246">
        <f t="shared" si="50"/>
        <v>0</v>
      </c>
      <c r="W60" s="246">
        <f t="shared" si="50"/>
        <v>0</v>
      </c>
      <c r="X60" s="246">
        <f t="shared" si="50"/>
        <v>0</v>
      </c>
      <c r="Y60" s="246">
        <f t="shared" si="50"/>
        <v>0</v>
      </c>
      <c r="Z60" s="246">
        <f t="shared" si="50"/>
        <v>0</v>
      </c>
      <c r="AA60" s="246">
        <f t="shared" si="50"/>
        <v>0</v>
      </c>
      <c r="AB60" s="246">
        <f t="shared" si="50"/>
        <v>0</v>
      </c>
      <c r="AC60" s="246">
        <f t="shared" si="50"/>
        <v>0</v>
      </c>
      <c r="AD60" s="246">
        <f t="shared" si="50"/>
        <v>0</v>
      </c>
      <c r="AE60" s="246">
        <f t="shared" si="50"/>
        <v>0</v>
      </c>
      <c r="AF60" s="246">
        <f t="shared" si="50"/>
        <v>0</v>
      </c>
      <c r="AG60" s="246">
        <f t="shared" si="50"/>
        <v>0</v>
      </c>
      <c r="AH60" s="246">
        <f t="shared" si="50"/>
        <v>0</v>
      </c>
      <c r="AI60" s="246">
        <f t="shared" si="50"/>
        <v>0</v>
      </c>
      <c r="AJ60" s="246">
        <f t="shared" si="50"/>
        <v>0</v>
      </c>
      <c r="AK60" s="246">
        <f t="shared" si="50"/>
        <v>0</v>
      </c>
      <c r="AL60" s="246">
        <f t="shared" si="50"/>
        <v>0</v>
      </c>
      <c r="AM60" s="246">
        <f t="shared" si="50"/>
        <v>0</v>
      </c>
      <c r="AN60" s="246">
        <f t="shared" si="50"/>
        <v>0</v>
      </c>
      <c r="AO60" s="246">
        <f t="shared" si="50"/>
        <v>0</v>
      </c>
      <c r="AP60" s="246">
        <f t="shared" si="50"/>
        <v>0</v>
      </c>
      <c r="AQ60" s="246">
        <f t="shared" si="50"/>
        <v>0</v>
      </c>
      <c r="AR60" s="246">
        <f t="shared" si="50"/>
        <v>0</v>
      </c>
      <c r="AS60" s="246">
        <f t="shared" si="50"/>
        <v>0</v>
      </c>
      <c r="AT60" s="246">
        <f t="shared" si="50"/>
        <v>0</v>
      </c>
      <c r="AU60" s="246">
        <f t="shared" si="50"/>
        <v>0</v>
      </c>
      <c r="AV60" s="246">
        <f t="shared" si="50"/>
        <v>0</v>
      </c>
      <c r="AW60" s="246">
        <f t="shared" si="50"/>
        <v>0</v>
      </c>
      <c r="AX60" s="246">
        <f t="shared" si="50"/>
        <v>0</v>
      </c>
      <c r="AY60" s="246">
        <f t="shared" si="50"/>
        <v>0</v>
      </c>
      <c r="AZ60" s="246">
        <f t="shared" si="50"/>
        <v>0</v>
      </c>
      <c r="BA60" s="246">
        <f t="shared" si="50"/>
        <v>0</v>
      </c>
      <c r="BB60" s="246">
        <f t="shared" si="50"/>
        <v>0</v>
      </c>
      <c r="BC60" s="246">
        <f t="shared" si="50"/>
        <v>0</v>
      </c>
      <c r="BD60" s="246">
        <f t="shared" si="50"/>
        <v>0</v>
      </c>
      <c r="BE60" s="246">
        <f t="shared" si="50"/>
        <v>0</v>
      </c>
      <c r="BF60" s="246">
        <f t="shared" si="50"/>
        <v>0</v>
      </c>
      <c r="BG60" s="246">
        <f t="shared" si="50"/>
        <v>0</v>
      </c>
      <c r="BH60" s="246">
        <f t="shared" si="50"/>
        <v>0</v>
      </c>
      <c r="BI60" s="246">
        <f t="shared" si="50"/>
        <v>0</v>
      </c>
      <c r="BJ60" s="246">
        <f t="shared" si="50"/>
        <v>0</v>
      </c>
      <c r="BK60" s="246">
        <f t="shared" si="50"/>
        <v>0</v>
      </c>
      <c r="BL60" s="246">
        <f t="shared" si="50"/>
        <v>0</v>
      </c>
      <c r="BM60" s="246">
        <f t="shared" si="50"/>
        <v>0</v>
      </c>
      <c r="BN60" s="246">
        <f t="shared" si="50"/>
        <v>0</v>
      </c>
      <c r="BO60" s="246">
        <f t="shared" si="50"/>
        <v>0</v>
      </c>
      <c r="BP60" s="246">
        <f t="shared" si="50"/>
        <v>0</v>
      </c>
      <c r="BQ60" s="246">
        <f t="shared" si="50"/>
        <v>0</v>
      </c>
      <c r="BR60" s="246">
        <f t="shared" si="50"/>
        <v>0</v>
      </c>
      <c r="BS60" s="246">
        <f t="shared" si="50"/>
        <v>0</v>
      </c>
      <c r="BT60" s="246">
        <f t="shared" si="50"/>
        <v>0</v>
      </c>
      <c r="BU60" s="246">
        <f t="shared" si="50"/>
        <v>0</v>
      </c>
      <c r="BV60" s="246">
        <f t="shared" si="50"/>
        <v>0</v>
      </c>
      <c r="BW60" s="246">
        <f t="shared" si="50"/>
        <v>0</v>
      </c>
      <c r="BX60" s="246">
        <f t="shared" si="50"/>
        <v>0</v>
      </c>
      <c r="BY60" s="246">
        <f t="shared" si="50"/>
        <v>0</v>
      </c>
      <c r="BZ60" s="246">
        <f t="shared" si="50"/>
        <v>0</v>
      </c>
      <c r="CA60" s="246">
        <f t="shared" si="50"/>
        <v>0</v>
      </c>
    </row>
    <row r="61" ht="15.75" customHeight="1">
      <c r="A61" s="91" t="s">
        <v>432</v>
      </c>
      <c r="B61" s="91"/>
      <c r="C61" s="91"/>
      <c r="D61" s="91"/>
      <c r="E61" s="91"/>
      <c r="F61" s="246">
        <f t="shared" ref="F61:Q61" si="51">F79-E79</f>
        <v>1866</v>
      </c>
      <c r="G61" s="246">
        <f t="shared" si="51"/>
        <v>1778</v>
      </c>
      <c r="H61" s="246">
        <f t="shared" si="51"/>
        <v>-3222</v>
      </c>
      <c r="I61" s="246">
        <f t="shared" si="51"/>
        <v>2753</v>
      </c>
      <c r="J61" s="246">
        <f t="shared" si="51"/>
        <v>1371</v>
      </c>
      <c r="K61" s="246">
        <f t="shared" si="51"/>
        <v>-2488</v>
      </c>
      <c r="L61" s="246">
        <f t="shared" si="51"/>
        <v>-1160</v>
      </c>
      <c r="M61" s="246">
        <f t="shared" si="51"/>
        <v>2201</v>
      </c>
      <c r="N61" s="246">
        <f t="shared" si="51"/>
        <v>1164</v>
      </c>
      <c r="O61" s="246">
        <f t="shared" si="51"/>
        <v>-1959</v>
      </c>
      <c r="P61" s="246">
        <f t="shared" si="51"/>
        <v>1626</v>
      </c>
      <c r="Q61" s="246">
        <f t="shared" si="51"/>
        <v>-628</v>
      </c>
      <c r="R61" s="246">
        <f t="shared" ref="R61:CA61" si="52">R43*R25</f>
        <v>0</v>
      </c>
      <c r="S61" s="246">
        <f t="shared" si="52"/>
        <v>10000</v>
      </c>
      <c r="T61" s="246">
        <f t="shared" si="52"/>
        <v>-52000</v>
      </c>
      <c r="U61" s="246">
        <f t="shared" si="52"/>
        <v>0</v>
      </c>
      <c r="V61" s="246">
        <f t="shared" si="52"/>
        <v>0</v>
      </c>
      <c r="W61" s="246">
        <f t="shared" si="52"/>
        <v>0</v>
      </c>
      <c r="X61" s="246">
        <f t="shared" si="52"/>
        <v>0</v>
      </c>
      <c r="Y61" s="246">
        <f t="shared" si="52"/>
        <v>0</v>
      </c>
      <c r="Z61" s="246">
        <f t="shared" si="52"/>
        <v>0</v>
      </c>
      <c r="AA61" s="246">
        <f t="shared" si="52"/>
        <v>0</v>
      </c>
      <c r="AB61" s="246">
        <f t="shared" si="52"/>
        <v>0</v>
      </c>
      <c r="AC61" s="246">
        <f t="shared" si="52"/>
        <v>6933.68</v>
      </c>
      <c r="AD61" s="246">
        <f t="shared" si="52"/>
        <v>0</v>
      </c>
      <c r="AE61" s="246">
        <f t="shared" si="52"/>
        <v>0</v>
      </c>
      <c r="AF61" s="246">
        <f t="shared" si="52"/>
        <v>0</v>
      </c>
      <c r="AG61" s="246">
        <f t="shared" si="52"/>
        <v>0</v>
      </c>
      <c r="AH61" s="246">
        <f t="shared" si="52"/>
        <v>0</v>
      </c>
      <c r="AI61" s="246">
        <f t="shared" si="52"/>
        <v>0</v>
      </c>
      <c r="AJ61" s="246">
        <f t="shared" si="52"/>
        <v>0</v>
      </c>
      <c r="AK61" s="246">
        <f t="shared" si="52"/>
        <v>0</v>
      </c>
      <c r="AL61" s="246">
        <f t="shared" si="52"/>
        <v>0</v>
      </c>
      <c r="AM61" s="246">
        <f t="shared" si="52"/>
        <v>0</v>
      </c>
      <c r="AN61" s="246">
        <f t="shared" si="52"/>
        <v>0</v>
      </c>
      <c r="AO61" s="246">
        <f t="shared" si="52"/>
        <v>0</v>
      </c>
      <c r="AP61" s="246">
        <f t="shared" si="52"/>
        <v>0</v>
      </c>
      <c r="AQ61" s="246">
        <f t="shared" si="52"/>
        <v>0</v>
      </c>
      <c r="AR61" s="246">
        <f t="shared" si="52"/>
        <v>0</v>
      </c>
      <c r="AS61" s="246">
        <f t="shared" si="52"/>
        <v>0</v>
      </c>
      <c r="AT61" s="246">
        <f t="shared" si="52"/>
        <v>0</v>
      </c>
      <c r="AU61" s="246">
        <f t="shared" si="52"/>
        <v>7799.44702</v>
      </c>
      <c r="AV61" s="246">
        <f t="shared" si="52"/>
        <v>0</v>
      </c>
      <c r="AW61" s="246">
        <f t="shared" si="52"/>
        <v>0</v>
      </c>
      <c r="AX61" s="246">
        <f t="shared" si="52"/>
        <v>0</v>
      </c>
      <c r="AY61" s="246">
        <f t="shared" si="52"/>
        <v>0</v>
      </c>
      <c r="AZ61" s="246">
        <f t="shared" si="52"/>
        <v>0</v>
      </c>
      <c r="BA61" s="246">
        <f t="shared" si="52"/>
        <v>0</v>
      </c>
      <c r="BB61" s="246">
        <f t="shared" si="52"/>
        <v>0</v>
      </c>
      <c r="BC61" s="246">
        <f t="shared" si="52"/>
        <v>0</v>
      </c>
      <c r="BD61" s="246">
        <f t="shared" si="52"/>
        <v>0</v>
      </c>
      <c r="BE61" s="246">
        <f t="shared" si="52"/>
        <v>0</v>
      </c>
      <c r="BF61" s="246">
        <f t="shared" si="52"/>
        <v>0</v>
      </c>
      <c r="BG61" s="246">
        <f t="shared" si="52"/>
        <v>8435.881896</v>
      </c>
      <c r="BH61" s="246">
        <f t="shared" si="52"/>
        <v>0</v>
      </c>
      <c r="BI61" s="246">
        <f t="shared" si="52"/>
        <v>0</v>
      </c>
      <c r="BJ61" s="246">
        <f t="shared" si="52"/>
        <v>0</v>
      </c>
      <c r="BK61" s="246">
        <f t="shared" si="52"/>
        <v>0</v>
      </c>
      <c r="BL61" s="246">
        <f t="shared" si="52"/>
        <v>0</v>
      </c>
      <c r="BM61" s="246">
        <f t="shared" si="52"/>
        <v>0</v>
      </c>
      <c r="BN61" s="246">
        <f t="shared" si="52"/>
        <v>0</v>
      </c>
      <c r="BO61" s="246">
        <f t="shared" si="52"/>
        <v>0</v>
      </c>
      <c r="BP61" s="246">
        <f t="shared" si="52"/>
        <v>0</v>
      </c>
      <c r="BQ61" s="246">
        <f t="shared" si="52"/>
        <v>0</v>
      </c>
      <c r="BR61" s="246">
        <f t="shared" si="52"/>
        <v>0</v>
      </c>
      <c r="BS61" s="246">
        <f t="shared" si="52"/>
        <v>0</v>
      </c>
      <c r="BT61" s="246">
        <f t="shared" si="52"/>
        <v>0</v>
      </c>
      <c r="BU61" s="246">
        <f t="shared" si="52"/>
        <v>0</v>
      </c>
      <c r="BV61" s="246">
        <f t="shared" si="52"/>
        <v>0</v>
      </c>
      <c r="BW61" s="246">
        <f t="shared" si="52"/>
        <v>0</v>
      </c>
      <c r="BX61" s="246">
        <f t="shared" si="52"/>
        <v>0</v>
      </c>
      <c r="BY61" s="246">
        <f t="shared" si="52"/>
        <v>0</v>
      </c>
      <c r="BZ61" s="246">
        <f t="shared" si="52"/>
        <v>0</v>
      </c>
      <c r="CA61" s="246">
        <f t="shared" si="52"/>
        <v>0</v>
      </c>
    </row>
    <row r="62" ht="15.75" customHeight="1">
      <c r="A62" s="91" t="s">
        <v>416</v>
      </c>
      <c r="B62" s="91"/>
      <c r="C62" s="91"/>
      <c r="D62" s="91"/>
      <c r="E62" s="91"/>
      <c r="F62" s="246">
        <f t="shared" ref="F62:Q62" si="53">F80-E80</f>
        <v>1657</v>
      </c>
      <c r="G62" s="246">
        <f t="shared" si="53"/>
        <v>193</v>
      </c>
      <c r="H62" s="246">
        <f t="shared" si="53"/>
        <v>-2817</v>
      </c>
      <c r="I62" s="246">
        <f t="shared" si="53"/>
        <v>976</v>
      </c>
      <c r="J62" s="246">
        <f t="shared" si="53"/>
        <v>-976</v>
      </c>
      <c r="K62" s="246">
        <f t="shared" si="53"/>
        <v>-372</v>
      </c>
      <c r="L62" s="246">
        <f t="shared" si="53"/>
        <v>3700</v>
      </c>
      <c r="M62" s="246">
        <f t="shared" si="53"/>
        <v>-1800</v>
      </c>
      <c r="N62" s="246">
        <f t="shared" si="53"/>
        <v>-1964</v>
      </c>
      <c r="O62" s="246">
        <f t="shared" si="53"/>
        <v>1489</v>
      </c>
      <c r="P62" s="246">
        <f t="shared" si="53"/>
        <v>-634</v>
      </c>
      <c r="Q62" s="246">
        <f t="shared" si="53"/>
        <v>464</v>
      </c>
      <c r="R62" s="246">
        <f t="shared" ref="R62:CA62" si="54">R44*R26</f>
        <v>0</v>
      </c>
      <c r="S62" s="246">
        <f t="shared" si="54"/>
        <v>0</v>
      </c>
      <c r="T62" s="246">
        <f t="shared" si="54"/>
        <v>0</v>
      </c>
      <c r="U62" s="246">
        <f t="shared" si="54"/>
        <v>0</v>
      </c>
      <c r="V62" s="246">
        <f t="shared" si="54"/>
        <v>0</v>
      </c>
      <c r="W62" s="246">
        <f t="shared" si="54"/>
        <v>0</v>
      </c>
      <c r="X62" s="246">
        <f t="shared" si="54"/>
        <v>0</v>
      </c>
      <c r="Y62" s="246">
        <f t="shared" si="54"/>
        <v>0</v>
      </c>
      <c r="Z62" s="246">
        <f t="shared" si="54"/>
        <v>0</v>
      </c>
      <c r="AA62" s="246">
        <f t="shared" si="54"/>
        <v>0</v>
      </c>
      <c r="AB62" s="246">
        <f t="shared" si="54"/>
        <v>0</v>
      </c>
      <c r="AC62" s="246">
        <f t="shared" si="54"/>
        <v>0</v>
      </c>
      <c r="AD62" s="246">
        <f t="shared" si="54"/>
        <v>0</v>
      </c>
      <c r="AE62" s="246">
        <f t="shared" si="54"/>
        <v>0</v>
      </c>
      <c r="AF62" s="246">
        <f t="shared" si="54"/>
        <v>0</v>
      </c>
      <c r="AG62" s="246">
        <f t="shared" si="54"/>
        <v>0</v>
      </c>
      <c r="AH62" s="246">
        <f t="shared" si="54"/>
        <v>0</v>
      </c>
      <c r="AI62" s="246">
        <f t="shared" si="54"/>
        <v>0</v>
      </c>
      <c r="AJ62" s="246">
        <f t="shared" si="54"/>
        <v>0</v>
      </c>
      <c r="AK62" s="246">
        <f t="shared" si="54"/>
        <v>0</v>
      </c>
      <c r="AL62" s="246">
        <f t="shared" si="54"/>
        <v>0</v>
      </c>
      <c r="AM62" s="246">
        <f t="shared" si="54"/>
        <v>0</v>
      </c>
      <c r="AN62" s="246">
        <f t="shared" si="54"/>
        <v>0</v>
      </c>
      <c r="AO62" s="246">
        <f t="shared" si="54"/>
        <v>0</v>
      </c>
      <c r="AP62" s="246">
        <f t="shared" si="54"/>
        <v>0</v>
      </c>
      <c r="AQ62" s="246">
        <f t="shared" si="54"/>
        <v>0</v>
      </c>
      <c r="AR62" s="246">
        <f t="shared" si="54"/>
        <v>0</v>
      </c>
      <c r="AS62" s="246">
        <f t="shared" si="54"/>
        <v>0</v>
      </c>
      <c r="AT62" s="246">
        <f t="shared" si="54"/>
        <v>0</v>
      </c>
      <c r="AU62" s="246">
        <f t="shared" si="54"/>
        <v>0</v>
      </c>
      <c r="AV62" s="246">
        <f t="shared" si="54"/>
        <v>0</v>
      </c>
      <c r="AW62" s="246">
        <f t="shared" si="54"/>
        <v>0</v>
      </c>
      <c r="AX62" s="246">
        <f t="shared" si="54"/>
        <v>0</v>
      </c>
      <c r="AY62" s="246">
        <f t="shared" si="54"/>
        <v>0</v>
      </c>
      <c r="AZ62" s="246">
        <f t="shared" si="54"/>
        <v>0</v>
      </c>
      <c r="BA62" s="246">
        <f t="shared" si="54"/>
        <v>0</v>
      </c>
      <c r="BB62" s="246">
        <f t="shared" si="54"/>
        <v>0</v>
      </c>
      <c r="BC62" s="246">
        <f t="shared" si="54"/>
        <v>0</v>
      </c>
      <c r="BD62" s="246">
        <f t="shared" si="54"/>
        <v>0</v>
      </c>
      <c r="BE62" s="246">
        <f t="shared" si="54"/>
        <v>0</v>
      </c>
      <c r="BF62" s="246">
        <f t="shared" si="54"/>
        <v>0</v>
      </c>
      <c r="BG62" s="246">
        <f t="shared" si="54"/>
        <v>0</v>
      </c>
      <c r="BH62" s="246">
        <f t="shared" si="54"/>
        <v>0</v>
      </c>
      <c r="BI62" s="246">
        <f t="shared" si="54"/>
        <v>0</v>
      </c>
      <c r="BJ62" s="246">
        <f t="shared" si="54"/>
        <v>0</v>
      </c>
      <c r="BK62" s="246">
        <f t="shared" si="54"/>
        <v>0</v>
      </c>
      <c r="BL62" s="246">
        <f t="shared" si="54"/>
        <v>0</v>
      </c>
      <c r="BM62" s="246">
        <f t="shared" si="54"/>
        <v>0</v>
      </c>
      <c r="BN62" s="246">
        <f t="shared" si="54"/>
        <v>0</v>
      </c>
      <c r="BO62" s="246">
        <f t="shared" si="54"/>
        <v>0</v>
      </c>
      <c r="BP62" s="246">
        <f t="shared" si="54"/>
        <v>0</v>
      </c>
      <c r="BQ62" s="246">
        <f t="shared" si="54"/>
        <v>0</v>
      </c>
      <c r="BR62" s="246">
        <f t="shared" si="54"/>
        <v>0</v>
      </c>
      <c r="BS62" s="246">
        <f t="shared" si="54"/>
        <v>0</v>
      </c>
      <c r="BT62" s="246">
        <f t="shared" si="54"/>
        <v>0</v>
      </c>
      <c r="BU62" s="246">
        <f t="shared" si="54"/>
        <v>0</v>
      </c>
      <c r="BV62" s="246">
        <f t="shared" si="54"/>
        <v>0</v>
      </c>
      <c r="BW62" s="246">
        <f t="shared" si="54"/>
        <v>0</v>
      </c>
      <c r="BX62" s="246">
        <f t="shared" si="54"/>
        <v>0</v>
      </c>
      <c r="BY62" s="246">
        <f t="shared" si="54"/>
        <v>0</v>
      </c>
      <c r="BZ62" s="246">
        <f t="shared" si="54"/>
        <v>0</v>
      </c>
      <c r="CA62" s="246">
        <f t="shared" si="54"/>
        <v>0</v>
      </c>
    </row>
    <row r="63" ht="15.75" customHeight="1">
      <c r="A63" s="91" t="s">
        <v>417</v>
      </c>
      <c r="B63" s="91"/>
      <c r="C63" s="91"/>
      <c r="D63" s="91"/>
      <c r="E63" s="91"/>
      <c r="F63" s="246">
        <f t="shared" ref="F63:Q63" si="55">F81-E81</f>
        <v>-4472</v>
      </c>
      <c r="G63" s="246">
        <f t="shared" si="55"/>
        <v>2858</v>
      </c>
      <c r="H63" s="246">
        <f t="shared" si="55"/>
        <v>24</v>
      </c>
      <c r="I63" s="246">
        <f t="shared" si="55"/>
        <v>-904</v>
      </c>
      <c r="J63" s="246">
        <f t="shared" si="55"/>
        <v>1948</v>
      </c>
      <c r="K63" s="246">
        <f t="shared" si="55"/>
        <v>-3120</v>
      </c>
      <c r="L63" s="246">
        <f t="shared" si="55"/>
        <v>3108</v>
      </c>
      <c r="M63" s="246">
        <f t="shared" si="55"/>
        <v>227</v>
      </c>
      <c r="N63" s="246">
        <f t="shared" si="55"/>
        <v>-1914</v>
      </c>
      <c r="O63" s="246">
        <f t="shared" si="55"/>
        <v>439</v>
      </c>
      <c r="P63" s="246">
        <f t="shared" si="55"/>
        <v>1563</v>
      </c>
      <c r="Q63" s="246">
        <f t="shared" si="55"/>
        <v>-1824</v>
      </c>
      <c r="R63" s="246">
        <f t="shared" ref="R63:CA63" si="56">R45*R27</f>
        <v>0</v>
      </c>
      <c r="S63" s="246">
        <f t="shared" si="56"/>
        <v>0</v>
      </c>
      <c r="T63" s="246">
        <f t="shared" si="56"/>
        <v>10400</v>
      </c>
      <c r="U63" s="246">
        <f t="shared" si="56"/>
        <v>0</v>
      </c>
      <c r="V63" s="246">
        <f t="shared" si="56"/>
        <v>0</v>
      </c>
      <c r="W63" s="246">
        <f t="shared" si="56"/>
        <v>0</v>
      </c>
      <c r="X63" s="246">
        <f t="shared" si="56"/>
        <v>0</v>
      </c>
      <c r="Y63" s="246">
        <f t="shared" si="56"/>
        <v>0</v>
      </c>
      <c r="Z63" s="246">
        <f t="shared" si="56"/>
        <v>5200</v>
      </c>
      <c r="AA63" s="246">
        <f t="shared" si="56"/>
        <v>5200</v>
      </c>
      <c r="AB63" s="246">
        <f t="shared" si="56"/>
        <v>5200</v>
      </c>
      <c r="AC63" s="246">
        <f t="shared" si="56"/>
        <v>5200</v>
      </c>
      <c r="AD63" s="246">
        <f t="shared" si="56"/>
        <v>5200</v>
      </c>
      <c r="AE63" s="246">
        <f t="shared" si="56"/>
        <v>5200</v>
      </c>
      <c r="AF63" s="246">
        <f t="shared" si="56"/>
        <v>0</v>
      </c>
      <c r="AG63" s="246">
        <f t="shared" si="56"/>
        <v>0</v>
      </c>
      <c r="AH63" s="246">
        <f t="shared" si="56"/>
        <v>0</v>
      </c>
      <c r="AI63" s="246">
        <f t="shared" si="56"/>
        <v>0</v>
      </c>
      <c r="AJ63" s="246">
        <f t="shared" si="56"/>
        <v>0</v>
      </c>
      <c r="AK63" s="246">
        <f t="shared" si="56"/>
        <v>5408</v>
      </c>
      <c r="AL63" s="246">
        <f t="shared" si="56"/>
        <v>0</v>
      </c>
      <c r="AM63" s="246">
        <f t="shared" si="56"/>
        <v>0</v>
      </c>
      <c r="AN63" s="246">
        <f t="shared" si="56"/>
        <v>0</v>
      </c>
      <c r="AO63" s="246">
        <f t="shared" si="56"/>
        <v>0</v>
      </c>
      <c r="AP63" s="246">
        <f t="shared" si="56"/>
        <v>0</v>
      </c>
      <c r="AQ63" s="246">
        <f t="shared" si="56"/>
        <v>0</v>
      </c>
      <c r="AR63" s="246">
        <f t="shared" si="56"/>
        <v>5849.2928</v>
      </c>
      <c r="AS63" s="246">
        <f t="shared" si="56"/>
        <v>0</v>
      </c>
      <c r="AT63" s="246">
        <f t="shared" si="56"/>
        <v>0</v>
      </c>
      <c r="AU63" s="246">
        <f t="shared" si="56"/>
        <v>0</v>
      </c>
      <c r="AV63" s="246">
        <f t="shared" si="56"/>
        <v>0</v>
      </c>
      <c r="AW63" s="246">
        <f t="shared" si="56"/>
        <v>0</v>
      </c>
      <c r="AX63" s="246">
        <f t="shared" si="56"/>
        <v>0</v>
      </c>
      <c r="AY63" s="246">
        <f t="shared" si="56"/>
        <v>6083.264512</v>
      </c>
      <c r="AZ63" s="246">
        <f t="shared" si="56"/>
        <v>0</v>
      </c>
      <c r="BA63" s="246">
        <f t="shared" si="56"/>
        <v>0</v>
      </c>
      <c r="BB63" s="246">
        <f t="shared" si="56"/>
        <v>0</v>
      </c>
      <c r="BC63" s="246">
        <f t="shared" si="56"/>
        <v>6083.264512</v>
      </c>
      <c r="BD63" s="246">
        <f t="shared" si="56"/>
        <v>6326.595092</v>
      </c>
      <c r="BE63" s="246">
        <f t="shared" si="56"/>
        <v>0</v>
      </c>
      <c r="BF63" s="246">
        <f t="shared" si="56"/>
        <v>0</v>
      </c>
      <c r="BG63" s="246">
        <f t="shared" si="56"/>
        <v>0</v>
      </c>
      <c r="BH63" s="246">
        <f t="shared" si="56"/>
        <v>0</v>
      </c>
      <c r="BI63" s="246">
        <f t="shared" si="56"/>
        <v>0</v>
      </c>
      <c r="BJ63" s="246">
        <f t="shared" si="56"/>
        <v>0</v>
      </c>
      <c r="BK63" s="246">
        <f t="shared" si="56"/>
        <v>0</v>
      </c>
      <c r="BL63" s="246">
        <f t="shared" si="56"/>
        <v>0</v>
      </c>
      <c r="BM63" s="246">
        <f t="shared" si="56"/>
        <v>0</v>
      </c>
      <c r="BN63" s="246">
        <f t="shared" si="56"/>
        <v>0</v>
      </c>
      <c r="BO63" s="246">
        <f t="shared" si="56"/>
        <v>0</v>
      </c>
      <c r="BP63" s="246">
        <f t="shared" si="56"/>
        <v>0</v>
      </c>
      <c r="BQ63" s="246">
        <f t="shared" si="56"/>
        <v>0</v>
      </c>
      <c r="BR63" s="246">
        <f t="shared" si="56"/>
        <v>0</v>
      </c>
      <c r="BS63" s="246">
        <f t="shared" si="56"/>
        <v>0</v>
      </c>
      <c r="BT63" s="246">
        <f t="shared" si="56"/>
        <v>0</v>
      </c>
      <c r="BU63" s="246">
        <f t="shared" si="56"/>
        <v>0</v>
      </c>
      <c r="BV63" s="246">
        <f t="shared" si="56"/>
        <v>0</v>
      </c>
      <c r="BW63" s="246">
        <f t="shared" si="56"/>
        <v>0</v>
      </c>
      <c r="BX63" s="246">
        <f t="shared" si="56"/>
        <v>0</v>
      </c>
      <c r="BY63" s="246">
        <f t="shared" si="56"/>
        <v>0</v>
      </c>
      <c r="BZ63" s="246">
        <f t="shared" si="56"/>
        <v>0</v>
      </c>
      <c r="CA63" s="246">
        <f t="shared" si="56"/>
        <v>0</v>
      </c>
    </row>
    <row r="64" ht="15.75" customHeight="1">
      <c r="A64" s="91" t="s">
        <v>418</v>
      </c>
      <c r="B64" s="91"/>
      <c r="C64" s="91"/>
      <c r="D64" s="91"/>
      <c r="E64" s="91"/>
      <c r="F64" s="246">
        <f t="shared" ref="F64:Q64" si="57">F82-E82</f>
        <v>1630</v>
      </c>
      <c r="G64" s="246">
        <f t="shared" si="57"/>
        <v>-3912</v>
      </c>
      <c r="H64" s="246">
        <f t="shared" si="57"/>
        <v>3614</v>
      </c>
      <c r="I64" s="246">
        <f t="shared" si="57"/>
        <v>-2274</v>
      </c>
      <c r="J64" s="246">
        <f t="shared" si="57"/>
        <v>-372</v>
      </c>
      <c r="K64" s="246">
        <f t="shared" si="57"/>
        <v>1058</v>
      </c>
      <c r="L64" s="246">
        <f t="shared" si="57"/>
        <v>782</v>
      </c>
      <c r="M64" s="246">
        <f t="shared" si="57"/>
        <v>-2201</v>
      </c>
      <c r="N64" s="246">
        <f t="shared" si="57"/>
        <v>3281</v>
      </c>
      <c r="O64" s="246">
        <f t="shared" si="57"/>
        <v>-1156</v>
      </c>
      <c r="P64" s="246">
        <f t="shared" si="57"/>
        <v>-1746</v>
      </c>
      <c r="Q64" s="246">
        <f t="shared" si="57"/>
        <v>2122</v>
      </c>
      <c r="R64" s="246">
        <f t="shared" ref="R64:CA64" si="58">R46*R28</f>
        <v>0</v>
      </c>
      <c r="S64" s="246">
        <f t="shared" si="58"/>
        <v>30000</v>
      </c>
      <c r="T64" s="246">
        <f t="shared" si="58"/>
        <v>10400</v>
      </c>
      <c r="U64" s="246">
        <f t="shared" si="58"/>
        <v>0</v>
      </c>
      <c r="V64" s="246">
        <f t="shared" si="58"/>
        <v>0</v>
      </c>
      <c r="W64" s="246">
        <f t="shared" si="58"/>
        <v>0</v>
      </c>
      <c r="X64" s="246">
        <f t="shared" si="58"/>
        <v>0</v>
      </c>
      <c r="Y64" s="246">
        <f t="shared" si="58"/>
        <v>0</v>
      </c>
      <c r="Z64" s="246">
        <f t="shared" si="58"/>
        <v>0</v>
      </c>
      <c r="AA64" s="246">
        <f t="shared" si="58"/>
        <v>0</v>
      </c>
      <c r="AB64" s="246">
        <f t="shared" si="58"/>
        <v>0</v>
      </c>
      <c r="AC64" s="246">
        <f t="shared" si="58"/>
        <v>0</v>
      </c>
      <c r="AD64" s="246">
        <f t="shared" si="58"/>
        <v>0</v>
      </c>
      <c r="AE64" s="246">
        <f t="shared" si="58"/>
        <v>10816</v>
      </c>
      <c r="AF64" s="246">
        <f t="shared" si="58"/>
        <v>11248.64</v>
      </c>
      <c r="AG64" s="246">
        <f t="shared" si="58"/>
        <v>22497.28</v>
      </c>
      <c r="AH64" s="246">
        <f t="shared" si="58"/>
        <v>11248.64</v>
      </c>
      <c r="AI64" s="246">
        <f t="shared" si="58"/>
        <v>0</v>
      </c>
      <c r="AJ64" s="246">
        <f t="shared" si="58"/>
        <v>11248.64</v>
      </c>
      <c r="AK64" s="246">
        <f t="shared" si="58"/>
        <v>0</v>
      </c>
      <c r="AL64" s="246">
        <f t="shared" si="58"/>
        <v>11698.5856</v>
      </c>
      <c r="AM64" s="246">
        <f t="shared" si="58"/>
        <v>11698.5856</v>
      </c>
      <c r="AN64" s="246">
        <f t="shared" si="58"/>
        <v>11698.5856</v>
      </c>
      <c r="AO64" s="246">
        <f t="shared" si="58"/>
        <v>11698.5856</v>
      </c>
      <c r="AP64" s="246">
        <f t="shared" si="58"/>
        <v>11698.5856</v>
      </c>
      <c r="AQ64" s="246">
        <f t="shared" si="58"/>
        <v>0</v>
      </c>
      <c r="AR64" s="246">
        <f t="shared" si="58"/>
        <v>0</v>
      </c>
      <c r="AS64" s="246">
        <f t="shared" si="58"/>
        <v>24333.05805</v>
      </c>
      <c r="AT64" s="246">
        <f t="shared" si="58"/>
        <v>12166.52902</v>
      </c>
      <c r="AU64" s="246">
        <f t="shared" si="58"/>
        <v>24333.05805</v>
      </c>
      <c r="AV64" s="246">
        <f t="shared" si="58"/>
        <v>0</v>
      </c>
      <c r="AW64" s="246">
        <f t="shared" si="58"/>
        <v>12166.52902</v>
      </c>
      <c r="AX64" s="246">
        <f t="shared" si="58"/>
        <v>12653.19018</v>
      </c>
      <c r="AY64" s="246">
        <f t="shared" si="58"/>
        <v>0</v>
      </c>
      <c r="AZ64" s="246">
        <f t="shared" si="58"/>
        <v>12653.19018</v>
      </c>
      <c r="BA64" s="246">
        <f t="shared" si="58"/>
        <v>12653.19018</v>
      </c>
      <c r="BB64" s="246">
        <f t="shared" si="58"/>
        <v>0</v>
      </c>
      <c r="BC64" s="246">
        <f t="shared" si="58"/>
        <v>12653.19018</v>
      </c>
      <c r="BD64" s="246">
        <f t="shared" si="58"/>
        <v>13159.31779</v>
      </c>
      <c r="BE64" s="246">
        <f t="shared" si="58"/>
        <v>0</v>
      </c>
      <c r="BF64" s="246">
        <f t="shared" si="58"/>
        <v>13159.31779</v>
      </c>
      <c r="BG64" s="246">
        <f t="shared" si="58"/>
        <v>0</v>
      </c>
      <c r="BH64" s="246">
        <f t="shared" si="58"/>
        <v>13159.31779</v>
      </c>
      <c r="BI64" s="246">
        <f t="shared" si="58"/>
        <v>0</v>
      </c>
      <c r="BJ64" s="246">
        <f t="shared" si="58"/>
        <v>13685.6905</v>
      </c>
      <c r="BK64" s="246">
        <f t="shared" si="58"/>
        <v>0</v>
      </c>
      <c r="BL64" s="246">
        <f t="shared" si="58"/>
        <v>13685.6905</v>
      </c>
      <c r="BM64" s="246">
        <f t="shared" si="58"/>
        <v>0</v>
      </c>
      <c r="BN64" s="246">
        <f t="shared" si="58"/>
        <v>13685.6905</v>
      </c>
      <c r="BO64" s="246">
        <f t="shared" si="58"/>
        <v>0</v>
      </c>
      <c r="BP64" s="246">
        <f t="shared" si="58"/>
        <v>14233.11812</v>
      </c>
      <c r="BQ64" s="246">
        <f t="shared" si="58"/>
        <v>28466.23625</v>
      </c>
      <c r="BR64" s="246">
        <f t="shared" si="58"/>
        <v>14233.11812</v>
      </c>
      <c r="BS64" s="246">
        <f t="shared" si="58"/>
        <v>14233.11812</v>
      </c>
      <c r="BT64" s="246">
        <f t="shared" si="58"/>
        <v>0</v>
      </c>
      <c r="BU64" s="246">
        <f t="shared" si="58"/>
        <v>14233.11812</v>
      </c>
      <c r="BV64" s="246">
        <f t="shared" si="58"/>
        <v>0</v>
      </c>
      <c r="BW64" s="246">
        <f t="shared" si="58"/>
        <v>0</v>
      </c>
      <c r="BX64" s="246">
        <f t="shared" si="58"/>
        <v>14233.11812</v>
      </c>
      <c r="BY64" s="246">
        <f t="shared" si="58"/>
        <v>0</v>
      </c>
      <c r="BZ64" s="246">
        <f t="shared" si="58"/>
        <v>14233.11812</v>
      </c>
      <c r="CA64" s="246">
        <f t="shared" si="58"/>
        <v>14233.11812</v>
      </c>
    </row>
    <row r="65" ht="15.75" customHeight="1">
      <c r="A65" s="91" t="s">
        <v>433</v>
      </c>
      <c r="B65" s="91"/>
      <c r="C65" s="91"/>
      <c r="D65" s="91"/>
      <c r="E65" s="91"/>
      <c r="F65" s="246"/>
      <c r="G65" s="246"/>
      <c r="H65" s="246"/>
      <c r="I65" s="246"/>
      <c r="J65" s="246"/>
      <c r="K65" s="246"/>
      <c r="L65" s="246"/>
      <c r="M65" s="246"/>
      <c r="N65" s="246"/>
      <c r="O65" s="246"/>
      <c r="P65" s="246"/>
      <c r="Q65" s="246"/>
      <c r="R65" s="246">
        <f t="shared" ref="R65:CA65" si="59">R47*R29</f>
        <v>0</v>
      </c>
      <c r="S65" s="246">
        <f t="shared" si="59"/>
        <v>25000</v>
      </c>
      <c r="T65" s="246">
        <f t="shared" si="59"/>
        <v>10400</v>
      </c>
      <c r="U65" s="246">
        <f t="shared" si="59"/>
        <v>5200</v>
      </c>
      <c r="V65" s="246">
        <f t="shared" si="59"/>
        <v>5200</v>
      </c>
      <c r="W65" s="246">
        <f t="shared" si="59"/>
        <v>0</v>
      </c>
      <c r="X65" s="246">
        <f t="shared" si="59"/>
        <v>0</v>
      </c>
      <c r="Y65" s="246">
        <f t="shared" si="59"/>
        <v>0</v>
      </c>
      <c r="Z65" s="246">
        <f t="shared" si="59"/>
        <v>0</v>
      </c>
      <c r="AA65" s="246">
        <f t="shared" si="59"/>
        <v>0</v>
      </c>
      <c r="AB65" s="246">
        <f t="shared" si="59"/>
        <v>0</v>
      </c>
      <c r="AC65" s="246">
        <f t="shared" si="59"/>
        <v>0</v>
      </c>
      <c r="AD65" s="246">
        <f t="shared" si="59"/>
        <v>0</v>
      </c>
      <c r="AE65" s="246">
        <f t="shared" si="59"/>
        <v>0</v>
      </c>
      <c r="AF65" s="246">
        <f t="shared" si="59"/>
        <v>0</v>
      </c>
      <c r="AG65" s="246">
        <f t="shared" si="59"/>
        <v>0</v>
      </c>
      <c r="AH65" s="246">
        <f t="shared" si="59"/>
        <v>0</v>
      </c>
      <c r="AI65" s="246">
        <f t="shared" si="59"/>
        <v>0</v>
      </c>
      <c r="AJ65" s="246">
        <f t="shared" si="59"/>
        <v>0</v>
      </c>
      <c r="AK65" s="246">
        <f t="shared" si="59"/>
        <v>0</v>
      </c>
      <c r="AL65" s="246">
        <f t="shared" si="59"/>
        <v>0</v>
      </c>
      <c r="AM65" s="246">
        <f t="shared" si="59"/>
        <v>5849.2928</v>
      </c>
      <c r="AN65" s="246">
        <f t="shared" si="59"/>
        <v>0</v>
      </c>
      <c r="AO65" s="246">
        <f t="shared" si="59"/>
        <v>0</v>
      </c>
      <c r="AP65" s="246">
        <f t="shared" si="59"/>
        <v>5849.2928</v>
      </c>
      <c r="AQ65" s="246">
        <f t="shared" si="59"/>
        <v>0</v>
      </c>
      <c r="AR65" s="246">
        <f t="shared" si="59"/>
        <v>0</v>
      </c>
      <c r="AS65" s="246">
        <f t="shared" si="59"/>
        <v>0</v>
      </c>
      <c r="AT65" s="246">
        <f t="shared" si="59"/>
        <v>6083.264512</v>
      </c>
      <c r="AU65" s="246">
        <f t="shared" si="59"/>
        <v>6083.264512</v>
      </c>
      <c r="AV65" s="246">
        <f t="shared" si="59"/>
        <v>0</v>
      </c>
      <c r="AW65" s="246">
        <f t="shared" si="59"/>
        <v>0</v>
      </c>
      <c r="AX65" s="246">
        <f t="shared" si="59"/>
        <v>6326.595092</v>
      </c>
      <c r="AY65" s="246">
        <f t="shared" si="59"/>
        <v>0</v>
      </c>
      <c r="AZ65" s="246">
        <f t="shared" si="59"/>
        <v>0</v>
      </c>
      <c r="BA65" s="246">
        <f t="shared" si="59"/>
        <v>6326.595092</v>
      </c>
      <c r="BB65" s="246">
        <f t="shared" si="59"/>
        <v>0</v>
      </c>
      <c r="BC65" s="246">
        <f t="shared" si="59"/>
        <v>0</v>
      </c>
      <c r="BD65" s="246">
        <f t="shared" si="59"/>
        <v>6579.658896</v>
      </c>
      <c r="BE65" s="246">
        <f t="shared" si="59"/>
        <v>0</v>
      </c>
      <c r="BF65" s="246">
        <f t="shared" si="59"/>
        <v>0</v>
      </c>
      <c r="BG65" s="246">
        <f t="shared" si="59"/>
        <v>0</v>
      </c>
      <c r="BH65" s="246">
        <f t="shared" si="59"/>
        <v>0</v>
      </c>
      <c r="BI65" s="246">
        <f t="shared" si="59"/>
        <v>6579.658896</v>
      </c>
      <c r="BJ65" s="246">
        <f t="shared" si="59"/>
        <v>0</v>
      </c>
      <c r="BK65" s="246">
        <f t="shared" si="59"/>
        <v>0</v>
      </c>
      <c r="BL65" s="246">
        <f t="shared" si="59"/>
        <v>0</v>
      </c>
      <c r="BM65" s="246">
        <f t="shared" si="59"/>
        <v>6842.845252</v>
      </c>
      <c r="BN65" s="246">
        <f t="shared" si="59"/>
        <v>0</v>
      </c>
      <c r="BO65" s="246">
        <f t="shared" si="59"/>
        <v>0</v>
      </c>
      <c r="BP65" s="246">
        <f t="shared" si="59"/>
        <v>0</v>
      </c>
      <c r="BQ65" s="246">
        <f t="shared" si="59"/>
        <v>7116.559062</v>
      </c>
      <c r="BR65" s="246">
        <f t="shared" si="59"/>
        <v>0</v>
      </c>
      <c r="BS65" s="246">
        <f t="shared" si="59"/>
        <v>7116.559062</v>
      </c>
      <c r="BT65" s="246">
        <f t="shared" si="59"/>
        <v>0</v>
      </c>
      <c r="BU65" s="246">
        <f t="shared" si="59"/>
        <v>0</v>
      </c>
      <c r="BV65" s="246">
        <f t="shared" si="59"/>
        <v>7116.559062</v>
      </c>
      <c r="BW65" s="246">
        <f t="shared" si="59"/>
        <v>0</v>
      </c>
      <c r="BX65" s="246">
        <f t="shared" si="59"/>
        <v>0</v>
      </c>
      <c r="BY65" s="246">
        <f t="shared" si="59"/>
        <v>0</v>
      </c>
      <c r="BZ65" s="246">
        <f t="shared" si="59"/>
        <v>0</v>
      </c>
      <c r="CA65" s="246">
        <f t="shared" si="59"/>
        <v>7116.559062</v>
      </c>
    </row>
    <row r="66" ht="15.75" customHeight="1">
      <c r="A66" s="91" t="s">
        <v>420</v>
      </c>
      <c r="B66" s="91"/>
      <c r="C66" s="91"/>
      <c r="D66" s="91"/>
      <c r="E66" s="91"/>
      <c r="F66" s="246">
        <f t="shared" ref="F66:Q66" si="60">F83-E83</f>
        <v>2488</v>
      </c>
      <c r="G66" s="246">
        <f t="shared" si="60"/>
        <v>-3146</v>
      </c>
      <c r="H66" s="246">
        <f t="shared" si="60"/>
        <v>595</v>
      </c>
      <c r="I66" s="246">
        <f t="shared" si="60"/>
        <v>-1723</v>
      </c>
      <c r="J66" s="246">
        <f t="shared" si="60"/>
        <v>1961</v>
      </c>
      <c r="K66" s="246">
        <f t="shared" si="60"/>
        <v>-2570</v>
      </c>
      <c r="L66" s="246">
        <f t="shared" si="60"/>
        <v>4590</v>
      </c>
      <c r="M66" s="246">
        <f t="shared" si="60"/>
        <v>-826</v>
      </c>
      <c r="N66" s="246">
        <f t="shared" si="60"/>
        <v>-3616</v>
      </c>
      <c r="O66" s="246">
        <f t="shared" si="60"/>
        <v>1353</v>
      </c>
      <c r="P66" s="246">
        <f t="shared" si="60"/>
        <v>-974</v>
      </c>
      <c r="Q66" s="246">
        <f t="shared" si="60"/>
        <v>-183</v>
      </c>
      <c r="R66" s="246">
        <f t="shared" ref="R66:CA66" si="61">R48*R30</f>
        <v>0</v>
      </c>
      <c r="S66" s="246">
        <f t="shared" si="61"/>
        <v>10000</v>
      </c>
      <c r="T66" s="246">
        <f t="shared" si="61"/>
        <v>0</v>
      </c>
      <c r="U66" s="246">
        <f t="shared" si="61"/>
        <v>0</v>
      </c>
      <c r="V66" s="246">
        <f t="shared" si="61"/>
        <v>0</v>
      </c>
      <c r="W66" s="246">
        <f t="shared" si="61"/>
        <v>0</v>
      </c>
      <c r="X66" s="246">
        <f t="shared" si="61"/>
        <v>0</v>
      </c>
      <c r="Y66" s="246">
        <f t="shared" si="61"/>
        <v>0</v>
      </c>
      <c r="Z66" s="246">
        <f t="shared" si="61"/>
        <v>0</v>
      </c>
      <c r="AA66" s="246">
        <f t="shared" si="61"/>
        <v>0</v>
      </c>
      <c r="AB66" s="246">
        <f t="shared" si="61"/>
        <v>0</v>
      </c>
      <c r="AC66" s="246">
        <f t="shared" si="61"/>
        <v>0</v>
      </c>
      <c r="AD66" s="246">
        <f t="shared" si="61"/>
        <v>0</v>
      </c>
      <c r="AE66" s="246">
        <f t="shared" si="61"/>
        <v>0</v>
      </c>
      <c r="AF66" s="246">
        <f t="shared" si="61"/>
        <v>0</v>
      </c>
      <c r="AG66" s="246">
        <f t="shared" si="61"/>
        <v>0</v>
      </c>
      <c r="AH66" s="246">
        <f t="shared" si="61"/>
        <v>0</v>
      </c>
      <c r="AI66" s="246">
        <f t="shared" si="61"/>
        <v>0</v>
      </c>
      <c r="AJ66" s="246">
        <f t="shared" si="61"/>
        <v>0</v>
      </c>
      <c r="AK66" s="246">
        <f t="shared" si="61"/>
        <v>0</v>
      </c>
      <c r="AL66" s="246">
        <f t="shared" si="61"/>
        <v>0</v>
      </c>
      <c r="AM66" s="246">
        <f t="shared" si="61"/>
        <v>0</v>
      </c>
      <c r="AN66" s="246">
        <f t="shared" si="61"/>
        <v>0</v>
      </c>
      <c r="AO66" s="246">
        <f t="shared" si="61"/>
        <v>0</v>
      </c>
      <c r="AP66" s="246">
        <f t="shared" si="61"/>
        <v>0</v>
      </c>
      <c r="AQ66" s="246">
        <f t="shared" si="61"/>
        <v>0</v>
      </c>
      <c r="AR66" s="246">
        <f t="shared" si="61"/>
        <v>0</v>
      </c>
      <c r="AS66" s="246">
        <f t="shared" si="61"/>
        <v>0</v>
      </c>
      <c r="AT66" s="246">
        <f t="shared" si="61"/>
        <v>0</v>
      </c>
      <c r="AU66" s="246">
        <f t="shared" si="61"/>
        <v>0</v>
      </c>
      <c r="AV66" s="246">
        <f t="shared" si="61"/>
        <v>0</v>
      </c>
      <c r="AW66" s="246">
        <f t="shared" si="61"/>
        <v>0</v>
      </c>
      <c r="AX66" s="246">
        <f t="shared" si="61"/>
        <v>0</v>
      </c>
      <c r="AY66" s="246">
        <f t="shared" si="61"/>
        <v>0</v>
      </c>
      <c r="AZ66" s="246">
        <f t="shared" si="61"/>
        <v>0</v>
      </c>
      <c r="BA66" s="246">
        <f t="shared" si="61"/>
        <v>0</v>
      </c>
      <c r="BB66" s="246">
        <f t="shared" si="61"/>
        <v>0</v>
      </c>
      <c r="BC66" s="246">
        <f t="shared" si="61"/>
        <v>0</v>
      </c>
      <c r="BD66" s="246">
        <f t="shared" si="61"/>
        <v>0</v>
      </c>
      <c r="BE66" s="246">
        <f t="shared" si="61"/>
        <v>157911.8135</v>
      </c>
      <c r="BF66" s="246">
        <f t="shared" si="61"/>
        <v>52637.27117</v>
      </c>
      <c r="BG66" s="246">
        <f t="shared" si="61"/>
        <v>0</v>
      </c>
      <c r="BH66" s="246">
        <f t="shared" si="61"/>
        <v>0</v>
      </c>
      <c r="BI66" s="246">
        <f t="shared" si="61"/>
        <v>0</v>
      </c>
      <c r="BJ66" s="246">
        <f t="shared" si="61"/>
        <v>0</v>
      </c>
      <c r="BK66" s="246">
        <f t="shared" si="61"/>
        <v>0</v>
      </c>
      <c r="BL66" s="246">
        <f t="shared" si="61"/>
        <v>0</v>
      </c>
      <c r="BM66" s="246">
        <f t="shared" si="61"/>
        <v>0</v>
      </c>
      <c r="BN66" s="246">
        <f t="shared" si="61"/>
        <v>13685.6905</v>
      </c>
      <c r="BO66" s="246">
        <f t="shared" si="61"/>
        <v>0</v>
      </c>
      <c r="BP66" s="246">
        <f t="shared" si="61"/>
        <v>0</v>
      </c>
      <c r="BQ66" s="246">
        <f t="shared" si="61"/>
        <v>0</v>
      </c>
      <c r="BR66" s="246">
        <f t="shared" si="61"/>
        <v>0</v>
      </c>
      <c r="BS66" s="246">
        <f t="shared" si="61"/>
        <v>0</v>
      </c>
      <c r="BT66" s="246">
        <f t="shared" si="61"/>
        <v>0</v>
      </c>
      <c r="BU66" s="246">
        <f t="shared" si="61"/>
        <v>0</v>
      </c>
      <c r="BV66" s="246">
        <f t="shared" si="61"/>
        <v>0</v>
      </c>
      <c r="BW66" s="246">
        <f t="shared" si="61"/>
        <v>0</v>
      </c>
      <c r="BX66" s="246">
        <f t="shared" si="61"/>
        <v>0</v>
      </c>
      <c r="BY66" s="246">
        <f t="shared" si="61"/>
        <v>0</v>
      </c>
      <c r="BZ66" s="246">
        <f t="shared" si="61"/>
        <v>0</v>
      </c>
      <c r="CA66" s="246">
        <f t="shared" si="61"/>
        <v>0</v>
      </c>
    </row>
    <row r="67" ht="15.75" customHeight="1">
      <c r="A67" s="91" t="s">
        <v>421</v>
      </c>
      <c r="B67" s="91"/>
      <c r="C67" s="91"/>
      <c r="D67" s="91"/>
      <c r="E67" s="91"/>
      <c r="F67" s="246">
        <f t="shared" ref="F67:Q67" si="62">F84-E84</f>
        <v>-2147</v>
      </c>
      <c r="G67" s="246">
        <f t="shared" si="62"/>
        <v>1505</v>
      </c>
      <c r="H67" s="246">
        <f t="shared" si="62"/>
        <v>1894</v>
      </c>
      <c r="I67" s="246">
        <f t="shared" si="62"/>
        <v>1154</v>
      </c>
      <c r="J67" s="246">
        <f t="shared" si="62"/>
        <v>-4749</v>
      </c>
      <c r="K67" s="246">
        <f t="shared" si="62"/>
        <v>8286</v>
      </c>
      <c r="L67" s="246">
        <f t="shared" si="62"/>
        <v>-13423</v>
      </c>
      <c r="M67" s="246">
        <f t="shared" si="62"/>
        <v>4801</v>
      </c>
      <c r="N67" s="246">
        <f t="shared" si="62"/>
        <v>3156</v>
      </c>
      <c r="O67" s="246">
        <f t="shared" si="62"/>
        <v>892</v>
      </c>
      <c r="P67" s="246">
        <f t="shared" si="62"/>
        <v>-2115</v>
      </c>
      <c r="Q67" s="246">
        <f t="shared" si="62"/>
        <v>-938</v>
      </c>
      <c r="R67" s="246">
        <f t="shared" ref="R67:CA67" si="63">R49*R31</f>
        <v>0</v>
      </c>
      <c r="S67" s="246">
        <f t="shared" si="63"/>
        <v>10000</v>
      </c>
      <c r="T67" s="246">
        <f t="shared" si="63"/>
        <v>0</v>
      </c>
      <c r="U67" s="246">
        <f t="shared" si="63"/>
        <v>0</v>
      </c>
      <c r="V67" s="246">
        <f t="shared" si="63"/>
        <v>0</v>
      </c>
      <c r="W67" s="246">
        <f t="shared" si="63"/>
        <v>0</v>
      </c>
      <c r="X67" s="246">
        <f t="shared" si="63"/>
        <v>0</v>
      </c>
      <c r="Y67" s="246">
        <f t="shared" si="63"/>
        <v>0</v>
      </c>
      <c r="Z67" s="246">
        <f t="shared" si="63"/>
        <v>0</v>
      </c>
      <c r="AA67" s="246">
        <f t="shared" si="63"/>
        <v>0</v>
      </c>
      <c r="AB67" s="246">
        <f t="shared" si="63"/>
        <v>0</v>
      </c>
      <c r="AC67" s="246">
        <f t="shared" si="63"/>
        <v>0</v>
      </c>
      <c r="AD67" s="246">
        <f t="shared" si="63"/>
        <v>0</v>
      </c>
      <c r="AE67" s="246">
        <f t="shared" si="63"/>
        <v>0</v>
      </c>
      <c r="AF67" s="246">
        <f t="shared" si="63"/>
        <v>0</v>
      </c>
      <c r="AG67" s="246">
        <f t="shared" si="63"/>
        <v>0</v>
      </c>
      <c r="AH67" s="246">
        <f t="shared" si="63"/>
        <v>0</v>
      </c>
      <c r="AI67" s="246">
        <f t="shared" si="63"/>
        <v>0</v>
      </c>
      <c r="AJ67" s="246">
        <f t="shared" si="63"/>
        <v>0</v>
      </c>
      <c r="AK67" s="246">
        <f t="shared" si="63"/>
        <v>0</v>
      </c>
      <c r="AL67" s="246">
        <f t="shared" si="63"/>
        <v>0</v>
      </c>
      <c r="AM67" s="246">
        <f t="shared" si="63"/>
        <v>0</v>
      </c>
      <c r="AN67" s="246">
        <f t="shared" si="63"/>
        <v>0</v>
      </c>
      <c r="AO67" s="246">
        <f t="shared" si="63"/>
        <v>0</v>
      </c>
      <c r="AP67" s="246">
        <f t="shared" si="63"/>
        <v>0</v>
      </c>
      <c r="AQ67" s="246">
        <f t="shared" si="63"/>
        <v>0</v>
      </c>
      <c r="AR67" s="246">
        <f t="shared" si="63"/>
        <v>0</v>
      </c>
      <c r="AS67" s="246">
        <f t="shared" si="63"/>
        <v>0</v>
      </c>
      <c r="AT67" s="246">
        <f t="shared" si="63"/>
        <v>0</v>
      </c>
      <c r="AU67" s="246">
        <f t="shared" si="63"/>
        <v>0</v>
      </c>
      <c r="AV67" s="246">
        <f t="shared" si="63"/>
        <v>0</v>
      </c>
      <c r="AW67" s="246">
        <f t="shared" si="63"/>
        <v>0</v>
      </c>
      <c r="AX67" s="246">
        <f t="shared" si="63"/>
        <v>0</v>
      </c>
      <c r="AY67" s="246">
        <f t="shared" si="63"/>
        <v>0</v>
      </c>
      <c r="AZ67" s="246">
        <f t="shared" si="63"/>
        <v>0</v>
      </c>
      <c r="BA67" s="246">
        <f t="shared" si="63"/>
        <v>0</v>
      </c>
      <c r="BB67" s="246">
        <f t="shared" si="63"/>
        <v>0</v>
      </c>
      <c r="BC67" s="246">
        <f t="shared" si="63"/>
        <v>12653.19018</v>
      </c>
      <c r="BD67" s="246">
        <f t="shared" si="63"/>
        <v>0</v>
      </c>
      <c r="BE67" s="246">
        <f t="shared" si="63"/>
        <v>39477.95338</v>
      </c>
      <c r="BF67" s="246">
        <f t="shared" si="63"/>
        <v>13159.31779</v>
      </c>
      <c r="BG67" s="246">
        <f t="shared" si="63"/>
        <v>0</v>
      </c>
      <c r="BH67" s="246">
        <f t="shared" si="63"/>
        <v>0</v>
      </c>
      <c r="BI67" s="246">
        <f t="shared" si="63"/>
        <v>0</v>
      </c>
      <c r="BJ67" s="246">
        <f t="shared" si="63"/>
        <v>13685.6905</v>
      </c>
      <c r="BK67" s="246">
        <f t="shared" si="63"/>
        <v>13685.6905</v>
      </c>
      <c r="BL67" s="246">
        <f t="shared" si="63"/>
        <v>0</v>
      </c>
      <c r="BM67" s="246">
        <f t="shared" si="63"/>
        <v>0</v>
      </c>
      <c r="BN67" s="246">
        <f t="shared" si="63"/>
        <v>13685.6905</v>
      </c>
      <c r="BO67" s="246">
        <f t="shared" si="63"/>
        <v>0</v>
      </c>
      <c r="BP67" s="246">
        <f t="shared" si="63"/>
        <v>0</v>
      </c>
      <c r="BQ67" s="246">
        <f t="shared" si="63"/>
        <v>0</v>
      </c>
      <c r="BR67" s="246">
        <f t="shared" si="63"/>
        <v>0</v>
      </c>
      <c r="BS67" s="246">
        <f t="shared" si="63"/>
        <v>0</v>
      </c>
      <c r="BT67" s="246">
        <f t="shared" si="63"/>
        <v>0</v>
      </c>
      <c r="BU67" s="246">
        <f t="shared" si="63"/>
        <v>14233.11812</v>
      </c>
      <c r="BV67" s="246">
        <f t="shared" si="63"/>
        <v>0</v>
      </c>
      <c r="BW67" s="246">
        <f t="shared" si="63"/>
        <v>0</v>
      </c>
      <c r="BX67" s="246">
        <f t="shared" si="63"/>
        <v>0</v>
      </c>
      <c r="BY67" s="246">
        <f t="shared" si="63"/>
        <v>0</v>
      </c>
      <c r="BZ67" s="246">
        <f t="shared" si="63"/>
        <v>14233.11812</v>
      </c>
      <c r="CA67" s="246">
        <f t="shared" si="63"/>
        <v>0</v>
      </c>
    </row>
    <row r="68" ht="15.75" customHeight="1">
      <c r="A68" s="91" t="s">
        <v>422</v>
      </c>
      <c r="B68" s="91"/>
      <c r="C68" s="91"/>
      <c r="D68" s="91"/>
      <c r="E68" s="91"/>
      <c r="F68" s="246"/>
      <c r="G68" s="246"/>
      <c r="H68" s="246"/>
      <c r="I68" s="246"/>
      <c r="J68" s="246"/>
      <c r="K68" s="246"/>
      <c r="L68" s="246"/>
      <c r="M68" s="246"/>
      <c r="N68" s="246"/>
      <c r="O68" s="246"/>
      <c r="P68" s="246"/>
      <c r="Q68" s="246"/>
      <c r="R68" s="246">
        <f t="shared" ref="R68:CA68" si="64">R32*R50</f>
        <v>0</v>
      </c>
      <c r="S68" s="246">
        <f t="shared" si="64"/>
        <v>5000</v>
      </c>
      <c r="T68" s="246">
        <f t="shared" si="64"/>
        <v>20800</v>
      </c>
      <c r="U68" s="246">
        <f t="shared" si="64"/>
        <v>5200</v>
      </c>
      <c r="V68" s="246">
        <f t="shared" si="64"/>
        <v>5200</v>
      </c>
      <c r="W68" s="246">
        <f t="shared" si="64"/>
        <v>5200</v>
      </c>
      <c r="X68" s="246">
        <f t="shared" si="64"/>
        <v>0</v>
      </c>
      <c r="Y68" s="246">
        <f t="shared" si="64"/>
        <v>0</v>
      </c>
      <c r="Z68" s="246">
        <f t="shared" si="64"/>
        <v>0</v>
      </c>
      <c r="AA68" s="246">
        <f t="shared" si="64"/>
        <v>0</v>
      </c>
      <c r="AB68" s="246">
        <f t="shared" si="64"/>
        <v>0</v>
      </c>
      <c r="AC68" s="246">
        <f t="shared" si="64"/>
        <v>0</v>
      </c>
      <c r="AD68" s="246">
        <f t="shared" si="64"/>
        <v>0</v>
      </c>
      <c r="AE68" s="246">
        <f t="shared" si="64"/>
        <v>0</v>
      </c>
      <c r="AF68" s="246">
        <f t="shared" si="64"/>
        <v>0</v>
      </c>
      <c r="AG68" s="246">
        <f t="shared" si="64"/>
        <v>0</v>
      </c>
      <c r="AH68" s="246">
        <f t="shared" si="64"/>
        <v>0</v>
      </c>
      <c r="AI68" s="246">
        <f t="shared" si="64"/>
        <v>0</v>
      </c>
      <c r="AJ68" s="246">
        <f t="shared" si="64"/>
        <v>0</v>
      </c>
      <c r="AK68" s="246">
        <f t="shared" si="64"/>
        <v>0</v>
      </c>
      <c r="AL68" s="246">
        <f t="shared" si="64"/>
        <v>0</v>
      </c>
      <c r="AM68" s="246">
        <f t="shared" si="64"/>
        <v>0</v>
      </c>
      <c r="AN68" s="246">
        <f t="shared" si="64"/>
        <v>0</v>
      </c>
      <c r="AO68" s="246">
        <f t="shared" si="64"/>
        <v>0</v>
      </c>
      <c r="AP68" s="246">
        <f t="shared" si="64"/>
        <v>0</v>
      </c>
      <c r="AQ68" s="246">
        <f t="shared" si="64"/>
        <v>0</v>
      </c>
      <c r="AR68" s="246">
        <f t="shared" si="64"/>
        <v>0</v>
      </c>
      <c r="AS68" s="246">
        <f t="shared" si="64"/>
        <v>0</v>
      </c>
      <c r="AT68" s="246">
        <f t="shared" si="64"/>
        <v>0</v>
      </c>
      <c r="AU68" s="246">
        <f t="shared" si="64"/>
        <v>0</v>
      </c>
      <c r="AV68" s="246">
        <f t="shared" si="64"/>
        <v>0</v>
      </c>
      <c r="AW68" s="246">
        <f t="shared" si="64"/>
        <v>0</v>
      </c>
      <c r="AX68" s="246">
        <f t="shared" si="64"/>
        <v>0</v>
      </c>
      <c r="AY68" s="246">
        <f t="shared" si="64"/>
        <v>0</v>
      </c>
      <c r="AZ68" s="246">
        <f t="shared" si="64"/>
        <v>0</v>
      </c>
      <c r="BA68" s="246">
        <f t="shared" si="64"/>
        <v>0</v>
      </c>
      <c r="BB68" s="246">
        <f t="shared" si="64"/>
        <v>0</v>
      </c>
      <c r="BC68" s="246">
        <f t="shared" si="64"/>
        <v>0</v>
      </c>
      <c r="BD68" s="246">
        <f t="shared" si="64"/>
        <v>0</v>
      </c>
      <c r="BE68" s="246">
        <f t="shared" si="64"/>
        <v>0</v>
      </c>
      <c r="BF68" s="246">
        <f t="shared" si="64"/>
        <v>6579.658896</v>
      </c>
      <c r="BG68" s="246">
        <f t="shared" si="64"/>
        <v>6579.658896</v>
      </c>
      <c r="BH68" s="246">
        <f t="shared" si="64"/>
        <v>0</v>
      </c>
      <c r="BI68" s="246">
        <f t="shared" si="64"/>
        <v>0</v>
      </c>
      <c r="BJ68" s="246">
        <f t="shared" si="64"/>
        <v>0</v>
      </c>
      <c r="BK68" s="246">
        <f t="shared" si="64"/>
        <v>6842.845252</v>
      </c>
      <c r="BL68" s="246">
        <f t="shared" si="64"/>
        <v>0</v>
      </c>
      <c r="BM68" s="246">
        <f t="shared" si="64"/>
        <v>0</v>
      </c>
      <c r="BN68" s="246">
        <f t="shared" si="64"/>
        <v>0</v>
      </c>
      <c r="BO68" s="246">
        <f t="shared" si="64"/>
        <v>0</v>
      </c>
      <c r="BP68" s="246">
        <f t="shared" si="64"/>
        <v>0</v>
      </c>
      <c r="BQ68" s="246">
        <f t="shared" si="64"/>
        <v>0</v>
      </c>
      <c r="BR68" s="246">
        <f t="shared" si="64"/>
        <v>0</v>
      </c>
      <c r="BS68" s="246">
        <f t="shared" si="64"/>
        <v>0</v>
      </c>
      <c r="BT68" s="246">
        <f t="shared" si="64"/>
        <v>0</v>
      </c>
      <c r="BU68" s="246">
        <f t="shared" si="64"/>
        <v>0</v>
      </c>
      <c r="BV68" s="246">
        <f t="shared" si="64"/>
        <v>7116.559062</v>
      </c>
      <c r="BW68" s="246">
        <f t="shared" si="64"/>
        <v>0</v>
      </c>
      <c r="BX68" s="246">
        <f t="shared" si="64"/>
        <v>0</v>
      </c>
      <c r="BY68" s="246">
        <f t="shared" si="64"/>
        <v>0</v>
      </c>
      <c r="BZ68" s="246">
        <f t="shared" si="64"/>
        <v>0</v>
      </c>
      <c r="CA68" s="246">
        <f t="shared" si="64"/>
        <v>0</v>
      </c>
    </row>
    <row r="69" ht="15.75" customHeight="1">
      <c r="A69" s="91" t="s">
        <v>423</v>
      </c>
      <c r="B69" s="91"/>
      <c r="C69" s="91"/>
      <c r="D69" s="91"/>
      <c r="E69" s="91"/>
      <c r="F69" s="246">
        <f t="shared" ref="F69:Q69" si="65">F85-E85</f>
        <v>-32</v>
      </c>
      <c r="G69" s="246">
        <f t="shared" si="65"/>
        <v>615</v>
      </c>
      <c r="H69" s="246">
        <f t="shared" si="65"/>
        <v>-59</v>
      </c>
      <c r="I69" s="246">
        <f t="shared" si="65"/>
        <v>-382</v>
      </c>
      <c r="J69" s="246">
        <f t="shared" si="65"/>
        <v>-68</v>
      </c>
      <c r="K69" s="246">
        <f t="shared" si="65"/>
        <v>-572</v>
      </c>
      <c r="L69" s="246">
        <f t="shared" si="65"/>
        <v>-351</v>
      </c>
      <c r="M69" s="246">
        <f t="shared" si="65"/>
        <v>1315</v>
      </c>
      <c r="N69" s="246">
        <f t="shared" si="65"/>
        <v>-1154</v>
      </c>
      <c r="O69" s="246">
        <f t="shared" si="65"/>
        <v>658</v>
      </c>
      <c r="P69" s="246">
        <f t="shared" si="65"/>
        <v>449</v>
      </c>
      <c r="Q69" s="246">
        <f t="shared" si="65"/>
        <v>-220</v>
      </c>
      <c r="R69" s="246">
        <f t="shared" ref="R69:CA69" si="66">R51*R33</f>
        <v>0</v>
      </c>
      <c r="S69" s="246">
        <f t="shared" si="66"/>
        <v>0</v>
      </c>
      <c r="T69" s="246">
        <f t="shared" si="66"/>
        <v>0</v>
      </c>
      <c r="U69" s="246">
        <f t="shared" si="66"/>
        <v>0</v>
      </c>
      <c r="V69" s="246">
        <f t="shared" si="66"/>
        <v>0</v>
      </c>
      <c r="W69" s="246">
        <f t="shared" si="66"/>
        <v>0</v>
      </c>
      <c r="X69" s="246">
        <f t="shared" si="66"/>
        <v>0</v>
      </c>
      <c r="Y69" s="246">
        <f t="shared" si="66"/>
        <v>0</v>
      </c>
      <c r="Z69" s="246">
        <f t="shared" si="66"/>
        <v>0</v>
      </c>
      <c r="AA69" s="246">
        <f t="shared" si="66"/>
        <v>0</v>
      </c>
      <c r="AB69" s="246">
        <f t="shared" si="66"/>
        <v>0</v>
      </c>
      <c r="AC69" s="246">
        <f t="shared" si="66"/>
        <v>0</v>
      </c>
      <c r="AD69" s="246">
        <f t="shared" si="66"/>
        <v>0</v>
      </c>
      <c r="AE69" s="246">
        <f t="shared" si="66"/>
        <v>0</v>
      </c>
      <c r="AF69" s="246">
        <f t="shared" si="66"/>
        <v>0</v>
      </c>
      <c r="AG69" s="246">
        <f t="shared" si="66"/>
        <v>0</v>
      </c>
      <c r="AH69" s="246">
        <f t="shared" si="66"/>
        <v>0</v>
      </c>
      <c r="AI69" s="246">
        <f t="shared" si="66"/>
        <v>0</v>
      </c>
      <c r="AJ69" s="246">
        <f t="shared" si="66"/>
        <v>0</v>
      </c>
      <c r="AK69" s="246">
        <f t="shared" si="66"/>
        <v>0</v>
      </c>
      <c r="AL69" s="246">
        <f t="shared" si="66"/>
        <v>0</v>
      </c>
      <c r="AM69" s="246">
        <f t="shared" si="66"/>
        <v>0</v>
      </c>
      <c r="AN69" s="246">
        <f t="shared" si="66"/>
        <v>0</v>
      </c>
      <c r="AO69" s="246">
        <f t="shared" si="66"/>
        <v>0</v>
      </c>
      <c r="AP69" s="246">
        <f t="shared" si="66"/>
        <v>0</v>
      </c>
      <c r="AQ69" s="246">
        <f t="shared" si="66"/>
        <v>0</v>
      </c>
      <c r="AR69" s="246">
        <f t="shared" si="66"/>
        <v>0</v>
      </c>
      <c r="AS69" s="246">
        <f t="shared" si="66"/>
        <v>12166.52902</v>
      </c>
      <c r="AT69" s="246">
        <f t="shared" si="66"/>
        <v>0</v>
      </c>
      <c r="AU69" s="246">
        <f t="shared" si="66"/>
        <v>0</v>
      </c>
      <c r="AV69" s="246">
        <f t="shared" si="66"/>
        <v>0</v>
      </c>
      <c r="AW69" s="246">
        <f t="shared" si="66"/>
        <v>0</v>
      </c>
      <c r="AX69" s="246">
        <f t="shared" si="66"/>
        <v>0</v>
      </c>
      <c r="AY69" s="246">
        <f t="shared" si="66"/>
        <v>0</v>
      </c>
      <c r="AZ69" s="246">
        <f t="shared" si="66"/>
        <v>0</v>
      </c>
      <c r="BA69" s="246">
        <f t="shared" si="66"/>
        <v>0</v>
      </c>
      <c r="BB69" s="246">
        <f t="shared" si="66"/>
        <v>0</v>
      </c>
      <c r="BC69" s="246">
        <f t="shared" si="66"/>
        <v>0</v>
      </c>
      <c r="BD69" s="246">
        <f t="shared" si="66"/>
        <v>0</v>
      </c>
      <c r="BE69" s="246">
        <f t="shared" si="66"/>
        <v>0</v>
      </c>
      <c r="BF69" s="246">
        <f t="shared" si="66"/>
        <v>0</v>
      </c>
      <c r="BG69" s="246">
        <f t="shared" si="66"/>
        <v>0</v>
      </c>
      <c r="BH69" s="246">
        <f t="shared" si="66"/>
        <v>0</v>
      </c>
      <c r="BI69" s="246">
        <f t="shared" si="66"/>
        <v>0</v>
      </c>
      <c r="BJ69" s="246">
        <f t="shared" si="66"/>
        <v>0</v>
      </c>
      <c r="BK69" s="246">
        <f t="shared" si="66"/>
        <v>0</v>
      </c>
      <c r="BL69" s="246">
        <f t="shared" si="66"/>
        <v>0</v>
      </c>
      <c r="BM69" s="246">
        <f t="shared" si="66"/>
        <v>0</v>
      </c>
      <c r="BN69" s="246">
        <f t="shared" si="66"/>
        <v>0</v>
      </c>
      <c r="BO69" s="246">
        <f t="shared" si="66"/>
        <v>0</v>
      </c>
      <c r="BP69" s="246">
        <f t="shared" si="66"/>
        <v>0</v>
      </c>
      <c r="BQ69" s="246">
        <f t="shared" si="66"/>
        <v>0</v>
      </c>
      <c r="BR69" s="246">
        <f t="shared" si="66"/>
        <v>0</v>
      </c>
      <c r="BS69" s="246">
        <f t="shared" si="66"/>
        <v>0</v>
      </c>
      <c r="BT69" s="246">
        <f t="shared" si="66"/>
        <v>0</v>
      </c>
      <c r="BU69" s="246">
        <f t="shared" si="66"/>
        <v>0</v>
      </c>
      <c r="BV69" s="246">
        <f t="shared" si="66"/>
        <v>0</v>
      </c>
      <c r="BW69" s="246">
        <f t="shared" si="66"/>
        <v>0</v>
      </c>
      <c r="BX69" s="246">
        <f t="shared" si="66"/>
        <v>0</v>
      </c>
      <c r="BY69" s="246">
        <f t="shared" si="66"/>
        <v>0</v>
      </c>
      <c r="BZ69" s="246">
        <f t="shared" si="66"/>
        <v>0</v>
      </c>
      <c r="CA69" s="246">
        <f t="shared" si="66"/>
        <v>0</v>
      </c>
    </row>
    <row r="70" ht="15.75" customHeight="1">
      <c r="A70" s="91" t="s">
        <v>121</v>
      </c>
      <c r="B70" s="91"/>
      <c r="C70" s="91"/>
      <c r="D70" s="91"/>
      <c r="E70" s="91"/>
      <c r="F70" s="246">
        <f t="shared" ref="F70:Q70" si="67">F86-E86</f>
        <v>0</v>
      </c>
      <c r="G70" s="246">
        <f t="shared" si="67"/>
        <v>0</v>
      </c>
      <c r="H70" s="246">
        <f t="shared" si="67"/>
        <v>0</v>
      </c>
      <c r="I70" s="246">
        <f t="shared" si="67"/>
        <v>0</v>
      </c>
      <c r="J70" s="246">
        <f t="shared" si="67"/>
        <v>0</v>
      </c>
      <c r="K70" s="246">
        <f t="shared" si="67"/>
        <v>0</v>
      </c>
      <c r="L70" s="246">
        <f t="shared" si="67"/>
        <v>0</v>
      </c>
      <c r="M70" s="246">
        <f t="shared" si="67"/>
        <v>0</v>
      </c>
      <c r="N70" s="246">
        <f t="shared" si="67"/>
        <v>0</v>
      </c>
      <c r="O70" s="246">
        <f t="shared" si="67"/>
        <v>0</v>
      </c>
      <c r="P70" s="246">
        <f t="shared" si="67"/>
        <v>0</v>
      </c>
      <c r="Q70" s="246">
        <f t="shared" si="67"/>
        <v>0</v>
      </c>
      <c r="R70" s="246">
        <f t="shared" ref="R70:CA70" si="68">R52*R34</f>
        <v>0</v>
      </c>
      <c r="S70" s="246">
        <f t="shared" si="68"/>
        <v>0</v>
      </c>
      <c r="T70" s="246">
        <f t="shared" si="68"/>
        <v>0</v>
      </c>
      <c r="U70" s="246">
        <f t="shared" si="68"/>
        <v>0</v>
      </c>
      <c r="V70" s="246">
        <f t="shared" si="68"/>
        <v>0</v>
      </c>
      <c r="W70" s="246">
        <f t="shared" si="68"/>
        <v>5000</v>
      </c>
      <c r="X70" s="246">
        <f t="shared" si="68"/>
        <v>0</v>
      </c>
      <c r="Y70" s="246">
        <f t="shared" si="68"/>
        <v>0</v>
      </c>
      <c r="Z70" s="246">
        <f t="shared" si="68"/>
        <v>0</v>
      </c>
      <c r="AA70" s="246">
        <f t="shared" si="68"/>
        <v>5200</v>
      </c>
      <c r="AB70" s="246">
        <f t="shared" si="68"/>
        <v>0</v>
      </c>
      <c r="AC70" s="246">
        <f t="shared" si="68"/>
        <v>0</v>
      </c>
      <c r="AD70" s="246">
        <f t="shared" si="68"/>
        <v>5200</v>
      </c>
      <c r="AE70" s="246">
        <f t="shared" si="68"/>
        <v>0</v>
      </c>
      <c r="AF70" s="246">
        <f t="shared" si="68"/>
        <v>0</v>
      </c>
      <c r="AG70" s="246">
        <f t="shared" si="68"/>
        <v>0</v>
      </c>
      <c r="AH70" s="246">
        <f t="shared" si="68"/>
        <v>0</v>
      </c>
      <c r="AI70" s="246">
        <f t="shared" si="68"/>
        <v>0</v>
      </c>
      <c r="AJ70" s="246">
        <f t="shared" si="68"/>
        <v>0</v>
      </c>
      <c r="AK70" s="246">
        <f t="shared" si="68"/>
        <v>0</v>
      </c>
      <c r="AL70" s="246">
        <f t="shared" si="68"/>
        <v>0</v>
      </c>
      <c r="AM70" s="246">
        <f t="shared" si="68"/>
        <v>0</v>
      </c>
      <c r="AN70" s="246">
        <f t="shared" si="68"/>
        <v>0</v>
      </c>
      <c r="AO70" s="246">
        <f t="shared" si="68"/>
        <v>0</v>
      </c>
      <c r="AP70" s="246">
        <f t="shared" si="68"/>
        <v>0</v>
      </c>
      <c r="AQ70" s="246">
        <f t="shared" si="68"/>
        <v>0</v>
      </c>
      <c r="AR70" s="246">
        <f t="shared" si="68"/>
        <v>0</v>
      </c>
      <c r="AS70" s="246">
        <f t="shared" si="68"/>
        <v>0</v>
      </c>
      <c r="AT70" s="246">
        <f t="shared" si="68"/>
        <v>0</v>
      </c>
      <c r="AU70" s="246">
        <f t="shared" si="68"/>
        <v>0</v>
      </c>
      <c r="AV70" s="246">
        <f t="shared" si="68"/>
        <v>0</v>
      </c>
      <c r="AW70" s="246">
        <f t="shared" si="68"/>
        <v>0</v>
      </c>
      <c r="AX70" s="246">
        <f t="shared" si="68"/>
        <v>6083.264512</v>
      </c>
      <c r="AY70" s="246">
        <f t="shared" si="68"/>
        <v>0</v>
      </c>
      <c r="AZ70" s="246">
        <f t="shared" si="68"/>
        <v>0</v>
      </c>
      <c r="BA70" s="246">
        <f t="shared" si="68"/>
        <v>0</v>
      </c>
      <c r="BB70" s="246">
        <f t="shared" si="68"/>
        <v>0</v>
      </c>
      <c r="BC70" s="246">
        <f t="shared" si="68"/>
        <v>0</v>
      </c>
      <c r="BD70" s="246">
        <f t="shared" si="68"/>
        <v>0</v>
      </c>
      <c r="BE70" s="246">
        <f t="shared" si="68"/>
        <v>0</v>
      </c>
      <c r="BF70" s="246">
        <f t="shared" si="68"/>
        <v>0</v>
      </c>
      <c r="BG70" s="246">
        <f t="shared" si="68"/>
        <v>0</v>
      </c>
      <c r="BH70" s="246">
        <f t="shared" si="68"/>
        <v>6326.595092</v>
      </c>
      <c r="BI70" s="246">
        <f t="shared" si="68"/>
        <v>0</v>
      </c>
      <c r="BJ70" s="246">
        <f t="shared" si="68"/>
        <v>0</v>
      </c>
      <c r="BK70" s="246">
        <f t="shared" si="68"/>
        <v>0</v>
      </c>
      <c r="BL70" s="246">
        <f t="shared" si="68"/>
        <v>0</v>
      </c>
      <c r="BM70" s="246">
        <f t="shared" si="68"/>
        <v>0</v>
      </c>
      <c r="BN70" s="246">
        <f t="shared" si="68"/>
        <v>0</v>
      </c>
      <c r="BO70" s="246">
        <f t="shared" si="68"/>
        <v>0</v>
      </c>
      <c r="BP70" s="246">
        <f t="shared" si="68"/>
        <v>0</v>
      </c>
      <c r="BQ70" s="246">
        <f t="shared" si="68"/>
        <v>0</v>
      </c>
      <c r="BR70" s="246">
        <f t="shared" si="68"/>
        <v>0</v>
      </c>
      <c r="BS70" s="246">
        <f t="shared" si="68"/>
        <v>0</v>
      </c>
      <c r="BT70" s="246">
        <f t="shared" si="68"/>
        <v>0</v>
      </c>
      <c r="BU70" s="246">
        <f t="shared" si="68"/>
        <v>0</v>
      </c>
      <c r="BV70" s="246">
        <f t="shared" si="68"/>
        <v>0</v>
      </c>
      <c r="BW70" s="246">
        <f t="shared" si="68"/>
        <v>0</v>
      </c>
      <c r="BX70" s="246">
        <f t="shared" si="68"/>
        <v>0</v>
      </c>
      <c r="BY70" s="246">
        <f t="shared" si="68"/>
        <v>0</v>
      </c>
      <c r="BZ70" s="246">
        <f t="shared" si="68"/>
        <v>0</v>
      </c>
      <c r="CA70" s="246">
        <f t="shared" si="68"/>
        <v>0</v>
      </c>
    </row>
    <row r="71" ht="15.75" customHeight="1">
      <c r="A71" s="91" t="s">
        <v>424</v>
      </c>
      <c r="B71" s="91"/>
      <c r="C71" s="91"/>
      <c r="D71" s="91"/>
      <c r="E71" s="91"/>
      <c r="F71" s="246">
        <f t="shared" ref="F71:Q71" si="69">F87-E87</f>
        <v>-1888</v>
      </c>
      <c r="G71" s="246">
        <f t="shared" si="69"/>
        <v>3369</v>
      </c>
      <c r="H71" s="246">
        <f t="shared" si="69"/>
        <v>-4086</v>
      </c>
      <c r="I71" s="246">
        <f t="shared" si="69"/>
        <v>4507</v>
      </c>
      <c r="J71" s="246">
        <f t="shared" si="69"/>
        <v>-3815</v>
      </c>
      <c r="K71" s="246">
        <f t="shared" si="69"/>
        <v>2435</v>
      </c>
      <c r="L71" s="246">
        <f t="shared" si="69"/>
        <v>1115</v>
      </c>
      <c r="M71" s="246">
        <f t="shared" si="69"/>
        <v>-2644</v>
      </c>
      <c r="N71" s="246">
        <f t="shared" si="69"/>
        <v>1047</v>
      </c>
      <c r="O71" s="246">
        <f t="shared" si="69"/>
        <v>-1894</v>
      </c>
      <c r="P71" s="246">
        <f t="shared" si="69"/>
        <v>2290</v>
      </c>
      <c r="Q71" s="246">
        <f t="shared" si="69"/>
        <v>-1259</v>
      </c>
      <c r="R71" s="246">
        <f t="shared" ref="R71:CA71" si="70">R53*R35</f>
        <v>0</v>
      </c>
      <c r="S71" s="246">
        <f t="shared" si="70"/>
        <v>20000</v>
      </c>
      <c r="T71" s="246">
        <f t="shared" si="70"/>
        <v>0</v>
      </c>
      <c r="U71" s="246">
        <f t="shared" si="70"/>
        <v>0</v>
      </c>
      <c r="V71" s="246">
        <f t="shared" si="70"/>
        <v>0</v>
      </c>
      <c r="W71" s="246">
        <f t="shared" si="70"/>
        <v>0</v>
      </c>
      <c r="X71" s="246">
        <f t="shared" si="70"/>
        <v>0</v>
      </c>
      <c r="Y71" s="246">
        <f t="shared" si="70"/>
        <v>0</v>
      </c>
      <c r="Z71" s="246">
        <f t="shared" si="70"/>
        <v>10816</v>
      </c>
      <c r="AA71" s="246">
        <f t="shared" si="70"/>
        <v>10816</v>
      </c>
      <c r="AB71" s="246">
        <f t="shared" si="70"/>
        <v>10816</v>
      </c>
      <c r="AC71" s="246">
        <f t="shared" si="70"/>
        <v>10816</v>
      </c>
      <c r="AD71" s="246">
        <f t="shared" si="70"/>
        <v>10816</v>
      </c>
      <c r="AE71" s="246">
        <f t="shared" si="70"/>
        <v>10816</v>
      </c>
      <c r="AF71" s="246">
        <f t="shared" si="70"/>
        <v>11248.64</v>
      </c>
      <c r="AG71" s="246">
        <f t="shared" si="70"/>
        <v>0</v>
      </c>
      <c r="AH71" s="246">
        <f t="shared" si="70"/>
        <v>0</v>
      </c>
      <c r="AI71" s="246">
        <f t="shared" si="70"/>
        <v>0</v>
      </c>
      <c r="AJ71" s="246">
        <f t="shared" si="70"/>
        <v>0</v>
      </c>
      <c r="AK71" s="246">
        <f t="shared" si="70"/>
        <v>0</v>
      </c>
      <c r="AL71" s="246">
        <f t="shared" si="70"/>
        <v>0</v>
      </c>
      <c r="AM71" s="246">
        <f t="shared" si="70"/>
        <v>0</v>
      </c>
      <c r="AN71" s="246">
        <f t="shared" si="70"/>
        <v>0</v>
      </c>
      <c r="AO71" s="246">
        <f t="shared" si="70"/>
        <v>0</v>
      </c>
      <c r="AP71" s="246">
        <f t="shared" si="70"/>
        <v>0</v>
      </c>
      <c r="AQ71" s="246">
        <f t="shared" si="70"/>
        <v>0</v>
      </c>
      <c r="AR71" s="246">
        <f t="shared" si="70"/>
        <v>0</v>
      </c>
      <c r="AS71" s="246">
        <f t="shared" si="70"/>
        <v>0</v>
      </c>
      <c r="AT71" s="246">
        <f t="shared" si="70"/>
        <v>0</v>
      </c>
      <c r="AU71" s="246">
        <f t="shared" si="70"/>
        <v>0</v>
      </c>
      <c r="AV71" s="246">
        <f t="shared" si="70"/>
        <v>12166.52902</v>
      </c>
      <c r="AW71" s="246">
        <f t="shared" si="70"/>
        <v>0</v>
      </c>
      <c r="AX71" s="246">
        <f t="shared" si="70"/>
        <v>0</v>
      </c>
      <c r="AY71" s="246">
        <f t="shared" si="70"/>
        <v>12653.19018</v>
      </c>
      <c r="AZ71" s="246">
        <f t="shared" si="70"/>
        <v>0</v>
      </c>
      <c r="BA71" s="246">
        <f t="shared" si="70"/>
        <v>12653.19018</v>
      </c>
      <c r="BB71" s="246">
        <f t="shared" si="70"/>
        <v>0</v>
      </c>
      <c r="BC71" s="246">
        <f t="shared" si="70"/>
        <v>0</v>
      </c>
      <c r="BD71" s="246">
        <f t="shared" si="70"/>
        <v>13159.31779</v>
      </c>
      <c r="BE71" s="246">
        <f t="shared" si="70"/>
        <v>0</v>
      </c>
      <c r="BF71" s="246">
        <f t="shared" si="70"/>
        <v>0</v>
      </c>
      <c r="BG71" s="246">
        <f t="shared" si="70"/>
        <v>13159.31779</v>
      </c>
      <c r="BH71" s="246">
        <f t="shared" si="70"/>
        <v>0</v>
      </c>
      <c r="BI71" s="246">
        <f t="shared" si="70"/>
        <v>0</v>
      </c>
      <c r="BJ71" s="246">
        <f t="shared" si="70"/>
        <v>13685.6905</v>
      </c>
      <c r="BK71" s="246">
        <f t="shared" si="70"/>
        <v>0</v>
      </c>
      <c r="BL71" s="246">
        <f t="shared" si="70"/>
        <v>0</v>
      </c>
      <c r="BM71" s="246">
        <f t="shared" si="70"/>
        <v>13685.6905</v>
      </c>
      <c r="BN71" s="246">
        <f t="shared" si="70"/>
        <v>0</v>
      </c>
      <c r="BO71" s="246">
        <f t="shared" si="70"/>
        <v>0</v>
      </c>
      <c r="BP71" s="246">
        <f t="shared" si="70"/>
        <v>14233.11812</v>
      </c>
      <c r="BQ71" s="246">
        <f t="shared" si="70"/>
        <v>0</v>
      </c>
      <c r="BR71" s="246">
        <f t="shared" si="70"/>
        <v>0</v>
      </c>
      <c r="BS71" s="246">
        <f t="shared" si="70"/>
        <v>0</v>
      </c>
      <c r="BT71" s="246">
        <f t="shared" si="70"/>
        <v>0</v>
      </c>
      <c r="BU71" s="246">
        <f t="shared" si="70"/>
        <v>0</v>
      </c>
      <c r="BV71" s="246">
        <f t="shared" si="70"/>
        <v>0</v>
      </c>
      <c r="BW71" s="246">
        <f t="shared" si="70"/>
        <v>0</v>
      </c>
      <c r="BX71" s="246">
        <f t="shared" si="70"/>
        <v>0</v>
      </c>
      <c r="BY71" s="246">
        <f t="shared" si="70"/>
        <v>0</v>
      </c>
      <c r="BZ71" s="246">
        <f t="shared" si="70"/>
        <v>0</v>
      </c>
      <c r="CA71" s="246">
        <f t="shared" si="70"/>
        <v>0</v>
      </c>
    </row>
    <row r="72" ht="15.75" customHeight="1">
      <c r="A72" s="91" t="s">
        <v>120</v>
      </c>
      <c r="B72" s="91"/>
      <c r="C72" s="91"/>
      <c r="D72" s="91"/>
      <c r="E72" s="91"/>
      <c r="F72" s="246">
        <f t="shared" ref="F72:Q72" si="71">F88-E88</f>
        <v>-1599</v>
      </c>
      <c r="G72" s="246">
        <f t="shared" si="71"/>
        <v>2295</v>
      </c>
      <c r="H72" s="246">
        <f t="shared" si="71"/>
        <v>-2257</v>
      </c>
      <c r="I72" s="246">
        <f t="shared" si="71"/>
        <v>1856</v>
      </c>
      <c r="J72" s="246">
        <f t="shared" si="71"/>
        <v>2151</v>
      </c>
      <c r="K72" s="246">
        <f t="shared" si="71"/>
        <v>-362</v>
      </c>
      <c r="L72" s="246">
        <f t="shared" si="71"/>
        <v>-3505</v>
      </c>
      <c r="M72" s="246">
        <f t="shared" si="71"/>
        <v>3590</v>
      </c>
      <c r="N72" s="246">
        <f t="shared" si="71"/>
        <v>-225</v>
      </c>
      <c r="O72" s="246">
        <f t="shared" si="71"/>
        <v>-20</v>
      </c>
      <c r="P72" s="246">
        <f t="shared" si="71"/>
        <v>-2740</v>
      </c>
      <c r="Q72" s="246">
        <f t="shared" si="71"/>
        <v>1926</v>
      </c>
      <c r="R72" s="246">
        <f t="shared" ref="R72:CA72" si="72">R54*R36</f>
        <v>0</v>
      </c>
      <c r="S72" s="246">
        <f t="shared" si="72"/>
        <v>20000</v>
      </c>
      <c r="T72" s="246">
        <f t="shared" si="72"/>
        <v>41600</v>
      </c>
      <c r="U72" s="246">
        <f t="shared" si="72"/>
        <v>10400</v>
      </c>
      <c r="V72" s="246">
        <f t="shared" si="72"/>
        <v>0</v>
      </c>
      <c r="W72" s="246">
        <f t="shared" si="72"/>
        <v>0</v>
      </c>
      <c r="X72" s="246">
        <f t="shared" si="72"/>
        <v>0</v>
      </c>
      <c r="Y72" s="246">
        <f t="shared" si="72"/>
        <v>0</v>
      </c>
      <c r="Z72" s="246">
        <f t="shared" si="72"/>
        <v>0</v>
      </c>
      <c r="AA72" s="246">
        <f t="shared" si="72"/>
        <v>0</v>
      </c>
      <c r="AB72" s="246">
        <f t="shared" si="72"/>
        <v>0</v>
      </c>
      <c r="AC72" s="246">
        <f t="shared" si="72"/>
        <v>0</v>
      </c>
      <c r="AD72" s="246">
        <f t="shared" si="72"/>
        <v>0</v>
      </c>
      <c r="AE72" s="246">
        <f t="shared" si="72"/>
        <v>0</v>
      </c>
      <c r="AF72" s="246">
        <f t="shared" si="72"/>
        <v>0</v>
      </c>
      <c r="AG72" s="246">
        <f t="shared" si="72"/>
        <v>0</v>
      </c>
      <c r="AH72" s="246">
        <f t="shared" si="72"/>
        <v>0</v>
      </c>
      <c r="AI72" s="246">
        <f t="shared" si="72"/>
        <v>0</v>
      </c>
      <c r="AJ72" s="246">
        <f t="shared" si="72"/>
        <v>0</v>
      </c>
      <c r="AK72" s="246">
        <f t="shared" si="72"/>
        <v>0</v>
      </c>
      <c r="AL72" s="246">
        <f t="shared" si="72"/>
        <v>0</v>
      </c>
      <c r="AM72" s="246">
        <f t="shared" si="72"/>
        <v>0</v>
      </c>
      <c r="AN72" s="246">
        <f t="shared" si="72"/>
        <v>0</v>
      </c>
      <c r="AO72" s="246">
        <f t="shared" si="72"/>
        <v>0</v>
      </c>
      <c r="AP72" s="246">
        <f t="shared" si="72"/>
        <v>0</v>
      </c>
      <c r="AQ72" s="246">
        <f t="shared" si="72"/>
        <v>0</v>
      </c>
      <c r="AR72" s="246">
        <f t="shared" si="72"/>
        <v>0</v>
      </c>
      <c r="AS72" s="246">
        <f t="shared" si="72"/>
        <v>0</v>
      </c>
      <c r="AT72" s="246">
        <f t="shared" si="72"/>
        <v>0</v>
      </c>
      <c r="AU72" s="246">
        <f t="shared" si="72"/>
        <v>0</v>
      </c>
      <c r="AV72" s="246">
        <f t="shared" si="72"/>
        <v>0</v>
      </c>
      <c r="AW72" s="246">
        <f t="shared" si="72"/>
        <v>0</v>
      </c>
      <c r="AX72" s="246">
        <f t="shared" si="72"/>
        <v>0</v>
      </c>
      <c r="AY72" s="246">
        <f t="shared" si="72"/>
        <v>0</v>
      </c>
      <c r="AZ72" s="246">
        <f t="shared" si="72"/>
        <v>0</v>
      </c>
      <c r="BA72" s="246">
        <f t="shared" si="72"/>
        <v>0</v>
      </c>
      <c r="BB72" s="246">
        <f t="shared" si="72"/>
        <v>0</v>
      </c>
      <c r="BC72" s="246">
        <f t="shared" si="72"/>
        <v>0</v>
      </c>
      <c r="BD72" s="246">
        <f t="shared" si="72"/>
        <v>0</v>
      </c>
      <c r="BE72" s="246">
        <f t="shared" si="72"/>
        <v>0</v>
      </c>
      <c r="BF72" s="246">
        <f t="shared" si="72"/>
        <v>0</v>
      </c>
      <c r="BG72" s="246">
        <f t="shared" si="72"/>
        <v>0</v>
      </c>
      <c r="BH72" s="246">
        <f t="shared" si="72"/>
        <v>0</v>
      </c>
      <c r="BI72" s="246">
        <f t="shared" si="72"/>
        <v>0</v>
      </c>
      <c r="BJ72" s="246">
        <f t="shared" si="72"/>
        <v>0</v>
      </c>
      <c r="BK72" s="246">
        <f t="shared" si="72"/>
        <v>0</v>
      </c>
      <c r="BL72" s="246">
        <f t="shared" si="72"/>
        <v>0</v>
      </c>
      <c r="BM72" s="246">
        <f t="shared" si="72"/>
        <v>0</v>
      </c>
      <c r="BN72" s="246">
        <f t="shared" si="72"/>
        <v>0</v>
      </c>
      <c r="BO72" s="246">
        <f t="shared" si="72"/>
        <v>0</v>
      </c>
      <c r="BP72" s="246">
        <f t="shared" si="72"/>
        <v>0</v>
      </c>
      <c r="BQ72" s="246">
        <f t="shared" si="72"/>
        <v>0</v>
      </c>
      <c r="BR72" s="246">
        <f t="shared" si="72"/>
        <v>0</v>
      </c>
      <c r="BS72" s="246">
        <f t="shared" si="72"/>
        <v>0</v>
      </c>
      <c r="BT72" s="246">
        <f t="shared" si="72"/>
        <v>0</v>
      </c>
      <c r="BU72" s="246">
        <f t="shared" si="72"/>
        <v>0</v>
      </c>
      <c r="BV72" s="246">
        <f t="shared" si="72"/>
        <v>0</v>
      </c>
      <c r="BW72" s="246">
        <f t="shared" si="72"/>
        <v>0</v>
      </c>
      <c r="BX72" s="246">
        <f t="shared" si="72"/>
        <v>0</v>
      </c>
      <c r="BY72" s="246">
        <f t="shared" si="72"/>
        <v>0</v>
      </c>
      <c r="BZ72" s="246">
        <f t="shared" si="72"/>
        <v>0</v>
      </c>
      <c r="CA72" s="246">
        <f t="shared" si="72"/>
        <v>0</v>
      </c>
    </row>
    <row r="73" ht="15.75" customHeight="1">
      <c r="A73" s="91" t="s">
        <v>119</v>
      </c>
      <c r="B73" s="91"/>
      <c r="C73" s="91"/>
      <c r="D73" s="91"/>
      <c r="E73" s="91"/>
      <c r="F73" s="246">
        <f t="shared" ref="F73:Q73" si="73">F89-E89</f>
        <v>1040</v>
      </c>
      <c r="G73" s="246">
        <f t="shared" si="73"/>
        <v>-1011</v>
      </c>
      <c r="H73" s="246">
        <f t="shared" si="73"/>
        <v>-300</v>
      </c>
      <c r="I73" s="246">
        <f t="shared" si="73"/>
        <v>1007</v>
      </c>
      <c r="J73" s="246">
        <f t="shared" si="73"/>
        <v>-3802</v>
      </c>
      <c r="K73" s="246">
        <f t="shared" si="73"/>
        <v>2110</v>
      </c>
      <c r="L73" s="246">
        <f t="shared" si="73"/>
        <v>-1221</v>
      </c>
      <c r="M73" s="246">
        <f t="shared" si="73"/>
        <v>3459</v>
      </c>
      <c r="N73" s="246">
        <f t="shared" si="73"/>
        <v>-4144</v>
      </c>
      <c r="O73" s="246">
        <f t="shared" si="73"/>
        <v>1490</v>
      </c>
      <c r="P73" s="246">
        <f t="shared" si="73"/>
        <v>674</v>
      </c>
      <c r="Q73" s="246">
        <f t="shared" si="73"/>
        <v>-1602</v>
      </c>
      <c r="R73" s="246">
        <f t="shared" ref="R73:CA73" si="74">R55*R37</f>
        <v>0</v>
      </c>
      <c r="S73" s="246">
        <f t="shared" si="74"/>
        <v>30000</v>
      </c>
      <c r="T73" s="246">
        <f t="shared" si="74"/>
        <v>0</v>
      </c>
      <c r="U73" s="246">
        <f t="shared" si="74"/>
        <v>8000</v>
      </c>
      <c r="V73" s="246">
        <f t="shared" si="74"/>
        <v>8000</v>
      </c>
      <c r="W73" s="246">
        <f t="shared" si="74"/>
        <v>8000</v>
      </c>
      <c r="X73" s="246">
        <f t="shared" si="74"/>
        <v>0</v>
      </c>
      <c r="Y73" s="246">
        <f t="shared" si="74"/>
        <v>0</v>
      </c>
      <c r="Z73" s="246">
        <f t="shared" si="74"/>
        <v>0</v>
      </c>
      <c r="AA73" s="246">
        <f t="shared" si="74"/>
        <v>0</v>
      </c>
      <c r="AB73" s="246">
        <f t="shared" si="74"/>
        <v>0</v>
      </c>
      <c r="AC73" s="246">
        <f t="shared" si="74"/>
        <v>0</v>
      </c>
      <c r="AD73" s="246">
        <f t="shared" si="74"/>
        <v>0</v>
      </c>
      <c r="AE73" s="246">
        <f t="shared" si="74"/>
        <v>0</v>
      </c>
      <c r="AF73" s="246">
        <f t="shared" si="74"/>
        <v>0</v>
      </c>
      <c r="AG73" s="246">
        <f t="shared" si="74"/>
        <v>0</v>
      </c>
      <c r="AH73" s="246">
        <f t="shared" si="74"/>
        <v>0</v>
      </c>
      <c r="AI73" s="246">
        <f t="shared" si="74"/>
        <v>0</v>
      </c>
      <c r="AJ73" s="246">
        <f t="shared" si="74"/>
        <v>0</v>
      </c>
      <c r="AK73" s="246">
        <f t="shared" si="74"/>
        <v>0</v>
      </c>
      <c r="AL73" s="246">
        <f t="shared" si="74"/>
        <v>0</v>
      </c>
      <c r="AM73" s="246">
        <f t="shared" si="74"/>
        <v>0</v>
      </c>
      <c r="AN73" s="246">
        <f t="shared" si="74"/>
        <v>0</v>
      </c>
      <c r="AO73" s="246">
        <f t="shared" si="74"/>
        <v>0</v>
      </c>
      <c r="AP73" s="246">
        <f t="shared" si="74"/>
        <v>0</v>
      </c>
      <c r="AQ73" s="246">
        <f t="shared" si="74"/>
        <v>0</v>
      </c>
      <c r="AR73" s="246">
        <f t="shared" si="74"/>
        <v>0</v>
      </c>
      <c r="AS73" s="246">
        <f t="shared" si="74"/>
        <v>0</v>
      </c>
      <c r="AT73" s="246">
        <f t="shared" si="74"/>
        <v>0</v>
      </c>
      <c r="AU73" s="246">
        <f t="shared" si="74"/>
        <v>0</v>
      </c>
      <c r="AV73" s="246">
        <f t="shared" si="74"/>
        <v>0</v>
      </c>
      <c r="AW73" s="246">
        <f t="shared" si="74"/>
        <v>0</v>
      </c>
      <c r="AX73" s="246">
        <f t="shared" si="74"/>
        <v>0</v>
      </c>
      <c r="AY73" s="246">
        <f t="shared" si="74"/>
        <v>0</v>
      </c>
      <c r="AZ73" s="246">
        <f t="shared" si="74"/>
        <v>0</v>
      </c>
      <c r="BA73" s="246">
        <f t="shared" si="74"/>
        <v>0</v>
      </c>
      <c r="BB73" s="246">
        <f t="shared" si="74"/>
        <v>0</v>
      </c>
      <c r="BC73" s="246">
        <f t="shared" si="74"/>
        <v>0</v>
      </c>
      <c r="BD73" s="246">
        <f t="shared" si="74"/>
        <v>0</v>
      </c>
      <c r="BE73" s="246">
        <f t="shared" si="74"/>
        <v>0</v>
      </c>
      <c r="BF73" s="246">
        <f t="shared" si="74"/>
        <v>0</v>
      </c>
      <c r="BG73" s="246">
        <f t="shared" si="74"/>
        <v>0</v>
      </c>
      <c r="BH73" s="246">
        <f t="shared" si="74"/>
        <v>0</v>
      </c>
      <c r="BI73" s="246">
        <f t="shared" si="74"/>
        <v>0</v>
      </c>
      <c r="BJ73" s="246">
        <f t="shared" si="74"/>
        <v>0</v>
      </c>
      <c r="BK73" s="246">
        <f t="shared" si="74"/>
        <v>0</v>
      </c>
      <c r="BL73" s="246">
        <f t="shared" si="74"/>
        <v>0</v>
      </c>
      <c r="BM73" s="246">
        <f t="shared" si="74"/>
        <v>0</v>
      </c>
      <c r="BN73" s="246">
        <f t="shared" si="74"/>
        <v>0</v>
      </c>
      <c r="BO73" s="246">
        <f t="shared" si="74"/>
        <v>0</v>
      </c>
      <c r="BP73" s="246">
        <f t="shared" si="74"/>
        <v>0</v>
      </c>
      <c r="BQ73" s="246">
        <f t="shared" si="74"/>
        <v>0</v>
      </c>
      <c r="BR73" s="246">
        <f t="shared" si="74"/>
        <v>0</v>
      </c>
      <c r="BS73" s="246">
        <f t="shared" si="74"/>
        <v>0</v>
      </c>
      <c r="BT73" s="246">
        <f t="shared" si="74"/>
        <v>0</v>
      </c>
      <c r="BU73" s="246">
        <f t="shared" si="74"/>
        <v>0</v>
      </c>
      <c r="BV73" s="246">
        <f t="shared" si="74"/>
        <v>0</v>
      </c>
      <c r="BW73" s="246">
        <f t="shared" si="74"/>
        <v>0</v>
      </c>
      <c r="BX73" s="246">
        <f t="shared" si="74"/>
        <v>0</v>
      </c>
      <c r="BY73" s="246">
        <f t="shared" si="74"/>
        <v>0</v>
      </c>
      <c r="BZ73" s="246">
        <f t="shared" si="74"/>
        <v>0</v>
      </c>
      <c r="CA73" s="246">
        <f t="shared" si="74"/>
        <v>0</v>
      </c>
    </row>
    <row r="74" ht="15.75" customHeight="1">
      <c r="A74" s="243" t="s">
        <v>434</v>
      </c>
      <c r="B74" s="243"/>
      <c r="C74" s="243"/>
      <c r="D74" s="243"/>
      <c r="E74" s="243"/>
      <c r="F74" s="251">
        <f t="shared" ref="F74:CA74" si="75">SUM(F60:F73)</f>
        <v>-2511</v>
      </c>
      <c r="G74" s="251">
        <f t="shared" si="75"/>
        <v>5883</v>
      </c>
      <c r="H74" s="251">
        <f t="shared" si="75"/>
        <v>-6761</v>
      </c>
      <c r="I74" s="251">
        <f t="shared" si="75"/>
        <v>6606</v>
      </c>
      <c r="J74" s="251">
        <f t="shared" si="75"/>
        <v>-5602</v>
      </c>
      <c r="K74" s="251">
        <f t="shared" si="75"/>
        <v>3039</v>
      </c>
      <c r="L74" s="251">
        <f t="shared" si="75"/>
        <v>-4313</v>
      </c>
      <c r="M74" s="251">
        <f t="shared" si="75"/>
        <v>7035</v>
      </c>
      <c r="N74" s="251">
        <f t="shared" si="75"/>
        <v>-5630</v>
      </c>
      <c r="O74" s="251">
        <f t="shared" si="75"/>
        <v>892</v>
      </c>
      <c r="P74" s="251">
        <f t="shared" si="75"/>
        <v>1122</v>
      </c>
      <c r="Q74" s="251">
        <f t="shared" si="75"/>
        <v>-1375</v>
      </c>
      <c r="R74" s="251">
        <f t="shared" si="75"/>
        <v>0</v>
      </c>
      <c r="S74" s="251">
        <f t="shared" si="75"/>
        <v>160000</v>
      </c>
      <c r="T74" s="251">
        <f t="shared" si="75"/>
        <v>41600</v>
      </c>
      <c r="U74" s="251">
        <f t="shared" si="75"/>
        <v>28800</v>
      </c>
      <c r="V74" s="251">
        <f t="shared" si="75"/>
        <v>18400</v>
      </c>
      <c r="W74" s="251">
        <f t="shared" si="75"/>
        <v>18200</v>
      </c>
      <c r="X74" s="251">
        <f t="shared" si="75"/>
        <v>0</v>
      </c>
      <c r="Y74" s="251">
        <f t="shared" si="75"/>
        <v>0</v>
      </c>
      <c r="Z74" s="251">
        <f t="shared" si="75"/>
        <v>16016</v>
      </c>
      <c r="AA74" s="251">
        <f t="shared" si="75"/>
        <v>21216</v>
      </c>
      <c r="AB74" s="251">
        <f t="shared" si="75"/>
        <v>16016</v>
      </c>
      <c r="AC74" s="251">
        <f t="shared" si="75"/>
        <v>22949.68</v>
      </c>
      <c r="AD74" s="251">
        <f t="shared" si="75"/>
        <v>21216</v>
      </c>
      <c r="AE74" s="251">
        <f t="shared" si="75"/>
        <v>26832</v>
      </c>
      <c r="AF74" s="251">
        <f t="shared" si="75"/>
        <v>22497.28</v>
      </c>
      <c r="AG74" s="251">
        <f t="shared" si="75"/>
        <v>22497.28</v>
      </c>
      <c r="AH74" s="251">
        <f t="shared" si="75"/>
        <v>11248.64</v>
      </c>
      <c r="AI74" s="251">
        <f t="shared" si="75"/>
        <v>0</v>
      </c>
      <c r="AJ74" s="251">
        <f t="shared" si="75"/>
        <v>11248.64</v>
      </c>
      <c r="AK74" s="251">
        <f t="shared" si="75"/>
        <v>5408</v>
      </c>
      <c r="AL74" s="251">
        <f t="shared" si="75"/>
        <v>11698.5856</v>
      </c>
      <c r="AM74" s="251">
        <f t="shared" si="75"/>
        <v>17547.8784</v>
      </c>
      <c r="AN74" s="251">
        <f t="shared" si="75"/>
        <v>11698.5856</v>
      </c>
      <c r="AO74" s="251">
        <f t="shared" si="75"/>
        <v>11698.5856</v>
      </c>
      <c r="AP74" s="251">
        <f t="shared" si="75"/>
        <v>17547.8784</v>
      </c>
      <c r="AQ74" s="251">
        <f t="shared" si="75"/>
        <v>0</v>
      </c>
      <c r="AR74" s="251">
        <f t="shared" si="75"/>
        <v>5849.2928</v>
      </c>
      <c r="AS74" s="251">
        <f t="shared" si="75"/>
        <v>36499.58707</v>
      </c>
      <c r="AT74" s="251">
        <f t="shared" si="75"/>
        <v>18249.79354</v>
      </c>
      <c r="AU74" s="251">
        <f t="shared" si="75"/>
        <v>38215.76958</v>
      </c>
      <c r="AV74" s="251">
        <f t="shared" si="75"/>
        <v>12166.52902</v>
      </c>
      <c r="AW74" s="251">
        <f t="shared" si="75"/>
        <v>12166.52902</v>
      </c>
      <c r="AX74" s="251">
        <f t="shared" si="75"/>
        <v>25063.04979</v>
      </c>
      <c r="AY74" s="251">
        <f t="shared" si="75"/>
        <v>18736.4547</v>
      </c>
      <c r="AZ74" s="251">
        <f t="shared" si="75"/>
        <v>12653.19018</v>
      </c>
      <c r="BA74" s="251">
        <f t="shared" si="75"/>
        <v>31632.97546</v>
      </c>
      <c r="BB74" s="251">
        <f t="shared" si="75"/>
        <v>0</v>
      </c>
      <c r="BC74" s="251">
        <f t="shared" si="75"/>
        <v>31389.64488</v>
      </c>
      <c r="BD74" s="251">
        <f t="shared" si="75"/>
        <v>39224.88957</v>
      </c>
      <c r="BE74" s="251">
        <f t="shared" si="75"/>
        <v>197389.7669</v>
      </c>
      <c r="BF74" s="251">
        <f t="shared" si="75"/>
        <v>85535.56565</v>
      </c>
      <c r="BG74" s="251">
        <f t="shared" si="75"/>
        <v>28174.85858</v>
      </c>
      <c r="BH74" s="251">
        <f t="shared" si="75"/>
        <v>19485.91288</v>
      </c>
      <c r="BI74" s="251">
        <f t="shared" si="75"/>
        <v>6579.658896</v>
      </c>
      <c r="BJ74" s="251">
        <f t="shared" si="75"/>
        <v>41057.07151</v>
      </c>
      <c r="BK74" s="251">
        <f t="shared" si="75"/>
        <v>20528.53576</v>
      </c>
      <c r="BL74" s="251">
        <f t="shared" si="75"/>
        <v>13685.6905</v>
      </c>
      <c r="BM74" s="251">
        <f t="shared" si="75"/>
        <v>20528.53576</v>
      </c>
      <c r="BN74" s="251">
        <f t="shared" si="75"/>
        <v>41057.07151</v>
      </c>
      <c r="BO74" s="251">
        <f t="shared" si="75"/>
        <v>0</v>
      </c>
      <c r="BP74" s="251">
        <f t="shared" si="75"/>
        <v>28466.23625</v>
      </c>
      <c r="BQ74" s="251">
        <f t="shared" si="75"/>
        <v>35582.79531</v>
      </c>
      <c r="BR74" s="251">
        <f t="shared" si="75"/>
        <v>14233.11812</v>
      </c>
      <c r="BS74" s="251">
        <f t="shared" si="75"/>
        <v>21349.67719</v>
      </c>
      <c r="BT74" s="251">
        <f t="shared" si="75"/>
        <v>0</v>
      </c>
      <c r="BU74" s="251">
        <f t="shared" si="75"/>
        <v>28466.23625</v>
      </c>
      <c r="BV74" s="251">
        <f t="shared" si="75"/>
        <v>14233.11812</v>
      </c>
      <c r="BW74" s="251">
        <f t="shared" si="75"/>
        <v>0</v>
      </c>
      <c r="BX74" s="251">
        <f t="shared" si="75"/>
        <v>14233.11812</v>
      </c>
      <c r="BY74" s="251">
        <f t="shared" si="75"/>
        <v>0</v>
      </c>
      <c r="BZ74" s="251">
        <f t="shared" si="75"/>
        <v>28466.23625</v>
      </c>
      <c r="CA74" s="251">
        <f t="shared" si="75"/>
        <v>21349.67719</v>
      </c>
    </row>
    <row r="75" ht="15.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row>
    <row r="76" ht="15.75" customHeight="1">
      <c r="A76" s="91" t="s">
        <v>435</v>
      </c>
      <c r="B76" s="91"/>
      <c r="C76" s="91"/>
      <c r="D76" s="91"/>
      <c r="E76" s="91"/>
      <c r="F76" s="91"/>
      <c r="G76" s="253">
        <v>0.0</v>
      </c>
      <c r="H76" s="253">
        <v>0.0</v>
      </c>
      <c r="I76" s="253">
        <v>0.0</v>
      </c>
      <c r="J76" s="253">
        <v>0.0</v>
      </c>
      <c r="K76" s="253">
        <v>0.0</v>
      </c>
      <c r="L76" s="253">
        <v>0.0</v>
      </c>
      <c r="M76" s="253">
        <v>0.0</v>
      </c>
      <c r="N76" s="253">
        <v>0.0</v>
      </c>
      <c r="O76" s="253">
        <v>0.025</v>
      </c>
      <c r="P76" s="253">
        <v>0.035</v>
      </c>
      <c r="Q76" s="253">
        <v>0.0</v>
      </c>
      <c r="R76" s="253">
        <v>0.0</v>
      </c>
      <c r="S76" s="253">
        <v>0.0</v>
      </c>
      <c r="T76" s="253">
        <v>0.045</v>
      </c>
      <c r="U76" s="253">
        <v>0.0</v>
      </c>
      <c r="V76" s="253">
        <v>0.0</v>
      </c>
      <c r="W76" s="253">
        <v>0.0</v>
      </c>
      <c r="X76" s="253">
        <f>T76</f>
        <v>0.045</v>
      </c>
      <c r="Y76" s="253">
        <v>0.0</v>
      </c>
      <c r="Z76" s="253">
        <v>0.0</v>
      </c>
      <c r="AA76" s="253">
        <v>0.0</v>
      </c>
      <c r="AB76" s="253">
        <f>X76</f>
        <v>0.045</v>
      </c>
      <c r="AC76" s="253">
        <v>0.0</v>
      </c>
      <c r="AD76" s="253">
        <v>0.0</v>
      </c>
      <c r="AE76" s="253">
        <v>0.0</v>
      </c>
      <c r="AF76" s="253">
        <v>0.04</v>
      </c>
      <c r="AG76" s="253">
        <v>0.0</v>
      </c>
      <c r="AH76" s="253">
        <v>0.0</v>
      </c>
      <c r="AI76" s="253">
        <v>0.0</v>
      </c>
      <c r="AJ76" s="253">
        <f>AF76</f>
        <v>0.04</v>
      </c>
      <c r="AK76" s="253">
        <v>0.0</v>
      </c>
      <c r="AL76" s="253">
        <v>0.0</v>
      </c>
      <c r="AM76" s="253">
        <v>0.0</v>
      </c>
      <c r="AN76" s="253">
        <f>AJ76</f>
        <v>0.04</v>
      </c>
      <c r="AO76" s="253">
        <v>0.0</v>
      </c>
      <c r="AP76" s="253">
        <v>0.0</v>
      </c>
      <c r="AQ76" s="253">
        <v>0.0</v>
      </c>
      <c r="AR76" s="253">
        <f>AN76</f>
        <v>0.04</v>
      </c>
      <c r="AS76" s="253">
        <v>0.0</v>
      </c>
      <c r="AT76" s="253">
        <v>0.0</v>
      </c>
      <c r="AU76" s="253">
        <v>0.0</v>
      </c>
      <c r="AV76" s="253">
        <f>AR76</f>
        <v>0.04</v>
      </c>
      <c r="AW76" s="253">
        <v>0.0</v>
      </c>
      <c r="AX76" s="253">
        <v>0.0</v>
      </c>
      <c r="AY76" s="253">
        <v>0.0</v>
      </c>
      <c r="AZ76" s="253">
        <f>AV76</f>
        <v>0.04</v>
      </c>
      <c r="BA76" s="253">
        <v>0.0</v>
      </c>
      <c r="BB76" s="253">
        <v>0.0</v>
      </c>
      <c r="BC76" s="253">
        <v>0.0</v>
      </c>
      <c r="BD76" s="253">
        <f>AZ76</f>
        <v>0.04</v>
      </c>
      <c r="BE76" s="253">
        <v>0.0</v>
      </c>
      <c r="BF76" s="253">
        <v>0.0</v>
      </c>
      <c r="BG76" s="253">
        <v>0.0</v>
      </c>
      <c r="BH76" s="253">
        <f>BD76</f>
        <v>0.04</v>
      </c>
      <c r="BI76" s="253">
        <v>0.0</v>
      </c>
      <c r="BJ76" s="253">
        <v>0.0</v>
      </c>
      <c r="BK76" s="253">
        <v>0.0</v>
      </c>
      <c r="BL76" s="253">
        <f>BH76</f>
        <v>0.04</v>
      </c>
      <c r="BM76" s="253">
        <v>0.0</v>
      </c>
      <c r="BN76" s="253">
        <v>0.0</v>
      </c>
      <c r="BO76" s="253">
        <v>0.0</v>
      </c>
      <c r="BP76" s="253">
        <f>BL76</f>
        <v>0.04</v>
      </c>
      <c r="BQ76" s="253">
        <v>0.0</v>
      </c>
      <c r="BR76" s="253">
        <v>0.0</v>
      </c>
      <c r="BS76" s="253">
        <v>0.0</v>
      </c>
      <c r="BT76" s="253">
        <f>BP76</f>
        <v>0.04</v>
      </c>
      <c r="BU76" s="253">
        <v>0.0</v>
      </c>
      <c r="BV76" s="253">
        <v>0.0</v>
      </c>
      <c r="BW76" s="253">
        <v>0.0</v>
      </c>
      <c r="BX76" s="253">
        <f>BT76</f>
        <v>0.04</v>
      </c>
      <c r="BY76" s="253">
        <v>0.0</v>
      </c>
      <c r="BZ76" s="253">
        <v>0.0</v>
      </c>
      <c r="CA76" s="253">
        <v>0.0</v>
      </c>
    </row>
    <row r="77" ht="15.75" customHeight="1">
      <c r="A77" s="91"/>
      <c r="B77" s="91"/>
      <c r="C77" s="91"/>
      <c r="D77" s="91"/>
      <c r="E77" s="91"/>
      <c r="F77" s="91"/>
      <c r="G77" s="253"/>
      <c r="H77" s="253"/>
      <c r="I77" s="253"/>
      <c r="J77" s="253"/>
      <c r="K77" s="253"/>
      <c r="L77" s="253"/>
      <c r="M77" s="253"/>
      <c r="N77" s="253"/>
      <c r="O77" s="253"/>
      <c r="P77" s="253"/>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row>
    <row r="78" ht="15.75" customHeight="1">
      <c r="A78" s="132" t="s">
        <v>436</v>
      </c>
      <c r="B78" s="247">
        <f>'Ops Departments'!J11</f>
        <v>3118</v>
      </c>
      <c r="C78" s="247">
        <f>'Ops Departments'!K11</f>
        <v>607</v>
      </c>
      <c r="D78" s="247">
        <f>'Ops Departments'!L11</f>
        <v>2021</v>
      </c>
      <c r="E78" s="247">
        <f>'Ops Departments'!M11</f>
        <v>1969</v>
      </c>
      <c r="F78" s="247">
        <f>'Ops Departments'!N11</f>
        <v>915</v>
      </c>
      <c r="G78" s="247">
        <f>'Ops Departments'!O11</f>
        <v>2254</v>
      </c>
      <c r="H78" s="247">
        <f>'Ops Departments'!P11</f>
        <v>2107</v>
      </c>
      <c r="I78" s="247">
        <f>'Ops Departments'!Q11</f>
        <v>1743</v>
      </c>
      <c r="J78" s="247">
        <f>'Ops Departments'!R11</f>
        <v>2492</v>
      </c>
      <c r="K78" s="247">
        <f>'Ops Departments'!S11</f>
        <v>1126</v>
      </c>
      <c r="L78" s="247">
        <f>'Ops Departments'!T11</f>
        <v>3178</v>
      </c>
      <c r="M78" s="247">
        <f>'Ops Departments'!U11</f>
        <v>2091</v>
      </c>
      <c r="N78" s="247">
        <f>'Ops Departments'!V11</f>
        <v>830</v>
      </c>
      <c r="O78" s="247">
        <f>'Ops Departments'!W11</f>
        <v>430</v>
      </c>
      <c r="P78" s="247">
        <f>'Ops Departments'!X11</f>
        <v>3159</v>
      </c>
      <c r="Q78" s="247">
        <f>'Ops Departments'!Y11</f>
        <v>3926</v>
      </c>
      <c r="R78" s="247">
        <f>'Ops Departments'!Z11</f>
        <v>2252</v>
      </c>
      <c r="S78" s="246">
        <f t="shared" ref="S78:CA78" si="76">R78*(1+S$76)+S64+S65</f>
        <v>57252</v>
      </c>
      <c r="T78" s="246">
        <f t="shared" si="76"/>
        <v>80628.34</v>
      </c>
      <c r="U78" s="246">
        <f t="shared" si="76"/>
        <v>85828.34</v>
      </c>
      <c r="V78" s="246">
        <f t="shared" si="76"/>
        <v>91028.34</v>
      </c>
      <c r="W78" s="246">
        <f t="shared" si="76"/>
        <v>91028.34</v>
      </c>
      <c r="X78" s="246">
        <f t="shared" si="76"/>
        <v>95124.6153</v>
      </c>
      <c r="Y78" s="246">
        <f t="shared" si="76"/>
        <v>95124.6153</v>
      </c>
      <c r="Z78" s="246">
        <f t="shared" si="76"/>
        <v>95124.6153</v>
      </c>
      <c r="AA78" s="246">
        <f t="shared" si="76"/>
        <v>95124.6153</v>
      </c>
      <c r="AB78" s="246">
        <f t="shared" si="76"/>
        <v>99405.22299</v>
      </c>
      <c r="AC78" s="246">
        <f t="shared" si="76"/>
        <v>99405.22299</v>
      </c>
      <c r="AD78" s="246">
        <f t="shared" si="76"/>
        <v>99405.22299</v>
      </c>
      <c r="AE78" s="246">
        <f t="shared" si="76"/>
        <v>110221.223</v>
      </c>
      <c r="AF78" s="246">
        <f t="shared" si="76"/>
        <v>125878.7119</v>
      </c>
      <c r="AG78" s="246">
        <f t="shared" si="76"/>
        <v>148375.9919</v>
      </c>
      <c r="AH78" s="246">
        <f t="shared" si="76"/>
        <v>159624.6319</v>
      </c>
      <c r="AI78" s="246">
        <f t="shared" si="76"/>
        <v>159624.6319</v>
      </c>
      <c r="AJ78" s="246">
        <f t="shared" si="76"/>
        <v>177258.2572</v>
      </c>
      <c r="AK78" s="246">
        <f t="shared" si="76"/>
        <v>177258.2572</v>
      </c>
      <c r="AL78" s="246">
        <f t="shared" si="76"/>
        <v>188956.8428</v>
      </c>
      <c r="AM78" s="246">
        <f t="shared" si="76"/>
        <v>206504.7212</v>
      </c>
      <c r="AN78" s="246">
        <f t="shared" si="76"/>
        <v>226463.4956</v>
      </c>
      <c r="AO78" s="246">
        <f t="shared" si="76"/>
        <v>238162.0812</v>
      </c>
      <c r="AP78" s="246">
        <f t="shared" si="76"/>
        <v>255709.9596</v>
      </c>
      <c r="AQ78" s="246">
        <f t="shared" si="76"/>
        <v>255709.9596</v>
      </c>
      <c r="AR78" s="246">
        <f t="shared" si="76"/>
        <v>265938.358</v>
      </c>
      <c r="AS78" s="246">
        <f t="shared" si="76"/>
        <v>290271.4161</v>
      </c>
      <c r="AT78" s="246">
        <f t="shared" si="76"/>
        <v>308521.2096</v>
      </c>
      <c r="AU78" s="246">
        <f t="shared" si="76"/>
        <v>338937.5322</v>
      </c>
      <c r="AV78" s="246">
        <f t="shared" si="76"/>
        <v>352495.0334</v>
      </c>
      <c r="AW78" s="246">
        <f t="shared" si="76"/>
        <v>364661.5625</v>
      </c>
      <c r="AX78" s="246">
        <f t="shared" si="76"/>
        <v>383641.3477</v>
      </c>
      <c r="AY78" s="246">
        <f t="shared" si="76"/>
        <v>383641.3477</v>
      </c>
      <c r="AZ78" s="246">
        <f t="shared" si="76"/>
        <v>411640.1918</v>
      </c>
      <c r="BA78" s="246">
        <f t="shared" si="76"/>
        <v>430619.9771</v>
      </c>
      <c r="BB78" s="246">
        <f t="shared" si="76"/>
        <v>430619.9771</v>
      </c>
      <c r="BC78" s="246">
        <f t="shared" si="76"/>
        <v>443273.1673</v>
      </c>
      <c r="BD78" s="246">
        <f t="shared" si="76"/>
        <v>480743.0707</v>
      </c>
      <c r="BE78" s="246">
        <f t="shared" si="76"/>
        <v>480743.0707</v>
      </c>
      <c r="BF78" s="246">
        <f t="shared" si="76"/>
        <v>493902.3885</v>
      </c>
      <c r="BG78" s="246">
        <f t="shared" si="76"/>
        <v>493902.3885</v>
      </c>
      <c r="BH78" s="246">
        <f t="shared" si="76"/>
        <v>526817.8018</v>
      </c>
      <c r="BI78" s="246">
        <f t="shared" si="76"/>
        <v>533397.4607</v>
      </c>
      <c r="BJ78" s="246">
        <f t="shared" si="76"/>
        <v>547083.1512</v>
      </c>
      <c r="BK78" s="246">
        <f t="shared" si="76"/>
        <v>547083.1512</v>
      </c>
      <c r="BL78" s="246">
        <f t="shared" si="76"/>
        <v>582652.1678</v>
      </c>
      <c r="BM78" s="246">
        <f t="shared" si="76"/>
        <v>589495.013</v>
      </c>
      <c r="BN78" s="246">
        <f t="shared" si="76"/>
        <v>603180.7035</v>
      </c>
      <c r="BO78" s="246">
        <f t="shared" si="76"/>
        <v>603180.7035</v>
      </c>
      <c r="BP78" s="246">
        <f t="shared" si="76"/>
        <v>641541.0498</v>
      </c>
      <c r="BQ78" s="246">
        <f t="shared" si="76"/>
        <v>677123.8451</v>
      </c>
      <c r="BR78" s="246">
        <f t="shared" si="76"/>
        <v>691356.9632</v>
      </c>
      <c r="BS78" s="246">
        <f t="shared" si="76"/>
        <v>712706.6404</v>
      </c>
      <c r="BT78" s="246">
        <f t="shared" si="76"/>
        <v>741214.906</v>
      </c>
      <c r="BU78" s="246">
        <f t="shared" si="76"/>
        <v>755448.0241</v>
      </c>
      <c r="BV78" s="246">
        <f t="shared" si="76"/>
        <v>762564.5832</v>
      </c>
      <c r="BW78" s="246">
        <f t="shared" si="76"/>
        <v>762564.5832</v>
      </c>
      <c r="BX78" s="246">
        <f t="shared" si="76"/>
        <v>807300.2847</v>
      </c>
      <c r="BY78" s="246">
        <f t="shared" si="76"/>
        <v>807300.2847</v>
      </c>
      <c r="BZ78" s="246">
        <f t="shared" si="76"/>
        <v>821533.4028</v>
      </c>
      <c r="CA78" s="246">
        <f t="shared" si="76"/>
        <v>842883.08</v>
      </c>
    </row>
    <row r="79" ht="15.75" customHeight="1">
      <c r="A79" s="132" t="s">
        <v>437</v>
      </c>
      <c r="B79" s="247">
        <f>'Ops Departments'!J43</f>
        <v>389</v>
      </c>
      <c r="C79" s="247">
        <f>'Ops Departments'!K43</f>
        <v>2689</v>
      </c>
      <c r="D79" s="247">
        <f>'Ops Departments'!L43</f>
        <v>4746</v>
      </c>
      <c r="E79" s="247">
        <f>'Ops Departments'!M43</f>
        <v>128</v>
      </c>
      <c r="F79" s="247">
        <f>'Ops Departments'!N43</f>
        <v>1994</v>
      </c>
      <c r="G79" s="247">
        <f>'Ops Departments'!O43</f>
        <v>3772</v>
      </c>
      <c r="H79" s="247">
        <f>'Ops Departments'!P43</f>
        <v>550</v>
      </c>
      <c r="I79" s="247">
        <f>'Ops Departments'!Q43</f>
        <v>3303</v>
      </c>
      <c r="J79" s="247">
        <f>'Ops Departments'!R43</f>
        <v>4674</v>
      </c>
      <c r="K79" s="247">
        <f>'Ops Departments'!S43</f>
        <v>2186</v>
      </c>
      <c r="L79" s="247">
        <f>'Ops Departments'!T43</f>
        <v>1026</v>
      </c>
      <c r="M79" s="247">
        <f>'Ops Departments'!U43</f>
        <v>3227</v>
      </c>
      <c r="N79" s="247">
        <f>'Ops Departments'!V43</f>
        <v>4391</v>
      </c>
      <c r="O79" s="247">
        <f>'Ops Departments'!W43</f>
        <v>2432</v>
      </c>
      <c r="P79" s="247">
        <f>'Ops Departments'!X43</f>
        <v>4058</v>
      </c>
      <c r="Q79" s="247">
        <f>'Ops Departments'!Y43</f>
        <v>3430</v>
      </c>
      <c r="R79" s="247">
        <f>'Ops Departments'!Z43</f>
        <v>219</v>
      </c>
      <c r="S79" s="246">
        <f t="shared" ref="S79:CA79" si="77">R79*(1+S$76)+S67+S68</f>
        <v>15219</v>
      </c>
      <c r="T79" s="246">
        <f t="shared" si="77"/>
        <v>36703.855</v>
      </c>
      <c r="U79" s="246">
        <f t="shared" si="77"/>
        <v>41903.855</v>
      </c>
      <c r="V79" s="246">
        <f t="shared" si="77"/>
        <v>47103.855</v>
      </c>
      <c r="W79" s="246">
        <f t="shared" si="77"/>
        <v>52303.855</v>
      </c>
      <c r="X79" s="246">
        <f t="shared" si="77"/>
        <v>54657.52848</v>
      </c>
      <c r="Y79" s="246">
        <f t="shared" si="77"/>
        <v>54657.52848</v>
      </c>
      <c r="Z79" s="246">
        <f t="shared" si="77"/>
        <v>54657.52848</v>
      </c>
      <c r="AA79" s="246">
        <f t="shared" si="77"/>
        <v>54657.52848</v>
      </c>
      <c r="AB79" s="246">
        <f t="shared" si="77"/>
        <v>57117.11726</v>
      </c>
      <c r="AC79" s="246">
        <f t="shared" si="77"/>
        <v>57117.11726</v>
      </c>
      <c r="AD79" s="246">
        <f t="shared" si="77"/>
        <v>57117.11726</v>
      </c>
      <c r="AE79" s="246">
        <f t="shared" si="77"/>
        <v>57117.11726</v>
      </c>
      <c r="AF79" s="246">
        <f t="shared" si="77"/>
        <v>59401.80195</v>
      </c>
      <c r="AG79" s="246">
        <f t="shared" si="77"/>
        <v>59401.80195</v>
      </c>
      <c r="AH79" s="246">
        <f t="shared" si="77"/>
        <v>59401.80195</v>
      </c>
      <c r="AI79" s="246">
        <f t="shared" si="77"/>
        <v>59401.80195</v>
      </c>
      <c r="AJ79" s="246">
        <f t="shared" si="77"/>
        <v>61777.87402</v>
      </c>
      <c r="AK79" s="246">
        <f t="shared" si="77"/>
        <v>61777.87402</v>
      </c>
      <c r="AL79" s="246">
        <f t="shared" si="77"/>
        <v>61777.87402</v>
      </c>
      <c r="AM79" s="246">
        <f t="shared" si="77"/>
        <v>61777.87402</v>
      </c>
      <c r="AN79" s="246">
        <f t="shared" si="77"/>
        <v>64248.98899</v>
      </c>
      <c r="AO79" s="246">
        <f t="shared" si="77"/>
        <v>64248.98899</v>
      </c>
      <c r="AP79" s="246">
        <f t="shared" si="77"/>
        <v>64248.98899</v>
      </c>
      <c r="AQ79" s="246">
        <f t="shared" si="77"/>
        <v>64248.98899</v>
      </c>
      <c r="AR79" s="246">
        <f t="shared" si="77"/>
        <v>66818.94854</v>
      </c>
      <c r="AS79" s="246">
        <f t="shared" si="77"/>
        <v>66818.94854</v>
      </c>
      <c r="AT79" s="246">
        <f t="shared" si="77"/>
        <v>66818.94854</v>
      </c>
      <c r="AU79" s="246">
        <f t="shared" si="77"/>
        <v>66818.94854</v>
      </c>
      <c r="AV79" s="246">
        <f t="shared" si="77"/>
        <v>69491.70649</v>
      </c>
      <c r="AW79" s="246">
        <f t="shared" si="77"/>
        <v>69491.70649</v>
      </c>
      <c r="AX79" s="246">
        <f t="shared" si="77"/>
        <v>69491.70649</v>
      </c>
      <c r="AY79" s="246">
        <f t="shared" si="77"/>
        <v>69491.70649</v>
      </c>
      <c r="AZ79" s="246">
        <f t="shared" si="77"/>
        <v>72271.37475</v>
      </c>
      <c r="BA79" s="246">
        <f t="shared" si="77"/>
        <v>72271.37475</v>
      </c>
      <c r="BB79" s="246">
        <f t="shared" si="77"/>
        <v>72271.37475</v>
      </c>
      <c r="BC79" s="246">
        <f t="shared" si="77"/>
        <v>84924.56493</v>
      </c>
      <c r="BD79" s="246">
        <f t="shared" si="77"/>
        <v>88321.54753</v>
      </c>
      <c r="BE79" s="246">
        <f t="shared" si="77"/>
        <v>127799.5009</v>
      </c>
      <c r="BF79" s="246">
        <f t="shared" si="77"/>
        <v>147538.4776</v>
      </c>
      <c r="BG79" s="246">
        <f t="shared" si="77"/>
        <v>154118.1365</v>
      </c>
      <c r="BH79" s="246">
        <f t="shared" si="77"/>
        <v>160282.8619</v>
      </c>
      <c r="BI79" s="246">
        <f t="shared" si="77"/>
        <v>160282.8619</v>
      </c>
      <c r="BJ79" s="246">
        <f t="shared" si="77"/>
        <v>173968.5525</v>
      </c>
      <c r="BK79" s="246">
        <f t="shared" si="77"/>
        <v>194497.0882</v>
      </c>
      <c r="BL79" s="246">
        <f t="shared" si="77"/>
        <v>202276.9717</v>
      </c>
      <c r="BM79" s="246">
        <f t="shared" si="77"/>
        <v>202276.9717</v>
      </c>
      <c r="BN79" s="246">
        <f t="shared" si="77"/>
        <v>215962.6622</v>
      </c>
      <c r="BO79" s="246">
        <f t="shared" si="77"/>
        <v>215962.6622</v>
      </c>
      <c r="BP79" s="246">
        <f t="shared" si="77"/>
        <v>224601.1687</v>
      </c>
      <c r="BQ79" s="246">
        <f t="shared" si="77"/>
        <v>224601.1687</v>
      </c>
      <c r="BR79" s="246">
        <f t="shared" si="77"/>
        <v>224601.1687</v>
      </c>
      <c r="BS79" s="246">
        <f t="shared" si="77"/>
        <v>224601.1687</v>
      </c>
      <c r="BT79" s="246">
        <f t="shared" si="77"/>
        <v>233585.2155</v>
      </c>
      <c r="BU79" s="246">
        <f t="shared" si="77"/>
        <v>247818.3336</v>
      </c>
      <c r="BV79" s="246">
        <f t="shared" si="77"/>
        <v>254934.8927</v>
      </c>
      <c r="BW79" s="246">
        <f t="shared" si="77"/>
        <v>254934.8927</v>
      </c>
      <c r="BX79" s="246">
        <f t="shared" si="77"/>
        <v>265132.2884</v>
      </c>
      <c r="BY79" s="246">
        <f t="shared" si="77"/>
        <v>265132.2884</v>
      </c>
      <c r="BZ79" s="246">
        <f t="shared" si="77"/>
        <v>279365.4065</v>
      </c>
      <c r="CA79" s="246">
        <f t="shared" si="77"/>
        <v>279365.4065</v>
      </c>
    </row>
    <row r="80" ht="15.75" customHeight="1">
      <c r="A80" s="132" t="s">
        <v>438</v>
      </c>
      <c r="B80" s="247">
        <f>'Ops Departments'!J75</f>
        <v>1489</v>
      </c>
      <c r="C80" s="247">
        <f>'Ops Departments'!K75</f>
        <v>3089</v>
      </c>
      <c r="D80" s="247">
        <f>'Ops Departments'!L75</f>
        <v>3218</v>
      </c>
      <c r="E80" s="247">
        <f>'Ops Departments'!M75</f>
        <v>1693</v>
      </c>
      <c r="F80" s="247">
        <f>'Ops Departments'!N75</f>
        <v>3350</v>
      </c>
      <c r="G80" s="247">
        <f>'Ops Departments'!O75</f>
        <v>3543</v>
      </c>
      <c r="H80" s="247">
        <f>'Ops Departments'!P75</f>
        <v>726</v>
      </c>
      <c r="I80" s="247">
        <f>'Ops Departments'!Q75</f>
        <v>1702</v>
      </c>
      <c r="J80" s="247">
        <f>'Ops Departments'!R75</f>
        <v>726</v>
      </c>
      <c r="K80" s="247">
        <f>'Ops Departments'!S75</f>
        <v>354</v>
      </c>
      <c r="L80" s="247">
        <f>'Ops Departments'!T75</f>
        <v>4054</v>
      </c>
      <c r="M80" s="247">
        <f>'Ops Departments'!U75</f>
        <v>2254</v>
      </c>
      <c r="N80" s="247">
        <f>'Ops Departments'!V75</f>
        <v>290</v>
      </c>
      <c r="O80" s="247">
        <f>'Ops Departments'!W75</f>
        <v>1779</v>
      </c>
      <c r="P80" s="247">
        <f>'Ops Departments'!X75</f>
        <v>1145</v>
      </c>
      <c r="Q80" s="247">
        <f>'Ops Departments'!Y75</f>
        <v>1609</v>
      </c>
      <c r="R80" s="247">
        <f>'Ops Departments'!Z75</f>
        <v>2967</v>
      </c>
      <c r="S80" s="246">
        <f t="shared" ref="S80:CA80" si="78">R80*(1+S$76)+S63</f>
        <v>2967</v>
      </c>
      <c r="T80" s="246">
        <f t="shared" si="78"/>
        <v>13500.515</v>
      </c>
      <c r="U80" s="246">
        <f t="shared" si="78"/>
        <v>13500.515</v>
      </c>
      <c r="V80" s="246">
        <f t="shared" si="78"/>
        <v>13500.515</v>
      </c>
      <c r="W80" s="246">
        <f t="shared" si="78"/>
        <v>13500.515</v>
      </c>
      <c r="X80" s="246">
        <f t="shared" si="78"/>
        <v>14108.03818</v>
      </c>
      <c r="Y80" s="246">
        <f t="shared" si="78"/>
        <v>14108.03818</v>
      </c>
      <c r="Z80" s="246">
        <f t="shared" si="78"/>
        <v>19308.03818</v>
      </c>
      <c r="AA80" s="246">
        <f t="shared" si="78"/>
        <v>24508.03818</v>
      </c>
      <c r="AB80" s="246">
        <f t="shared" si="78"/>
        <v>30810.89989</v>
      </c>
      <c r="AC80" s="246">
        <f t="shared" si="78"/>
        <v>36010.89989</v>
      </c>
      <c r="AD80" s="246">
        <f t="shared" si="78"/>
        <v>41210.89989</v>
      </c>
      <c r="AE80" s="246">
        <f t="shared" si="78"/>
        <v>46410.89989</v>
      </c>
      <c r="AF80" s="246">
        <f t="shared" si="78"/>
        <v>48267.33589</v>
      </c>
      <c r="AG80" s="246">
        <f t="shared" si="78"/>
        <v>48267.33589</v>
      </c>
      <c r="AH80" s="246">
        <f t="shared" si="78"/>
        <v>48267.33589</v>
      </c>
      <c r="AI80" s="246">
        <f t="shared" si="78"/>
        <v>48267.33589</v>
      </c>
      <c r="AJ80" s="246">
        <f t="shared" si="78"/>
        <v>50198.02932</v>
      </c>
      <c r="AK80" s="246">
        <f t="shared" si="78"/>
        <v>55606.02932</v>
      </c>
      <c r="AL80" s="246">
        <f t="shared" si="78"/>
        <v>55606.02932</v>
      </c>
      <c r="AM80" s="246">
        <f t="shared" si="78"/>
        <v>55606.02932</v>
      </c>
      <c r="AN80" s="246">
        <f t="shared" si="78"/>
        <v>57830.2705</v>
      </c>
      <c r="AO80" s="246">
        <f t="shared" si="78"/>
        <v>57830.2705</v>
      </c>
      <c r="AP80" s="246">
        <f t="shared" si="78"/>
        <v>57830.2705</v>
      </c>
      <c r="AQ80" s="246">
        <f t="shared" si="78"/>
        <v>57830.2705</v>
      </c>
      <c r="AR80" s="246">
        <f t="shared" si="78"/>
        <v>65992.77412</v>
      </c>
      <c r="AS80" s="246">
        <f t="shared" si="78"/>
        <v>65992.77412</v>
      </c>
      <c r="AT80" s="246">
        <f t="shared" si="78"/>
        <v>65992.77412</v>
      </c>
      <c r="AU80" s="246">
        <f t="shared" si="78"/>
        <v>65992.77412</v>
      </c>
      <c r="AV80" s="246">
        <f t="shared" si="78"/>
        <v>68632.48508</v>
      </c>
      <c r="AW80" s="246">
        <f t="shared" si="78"/>
        <v>68632.48508</v>
      </c>
      <c r="AX80" s="246">
        <f t="shared" si="78"/>
        <v>68632.48508</v>
      </c>
      <c r="AY80" s="246">
        <f t="shared" si="78"/>
        <v>74715.74959</v>
      </c>
      <c r="AZ80" s="246">
        <f t="shared" si="78"/>
        <v>77704.37958</v>
      </c>
      <c r="BA80" s="246">
        <f t="shared" si="78"/>
        <v>77704.37958</v>
      </c>
      <c r="BB80" s="246">
        <f t="shared" si="78"/>
        <v>77704.37958</v>
      </c>
      <c r="BC80" s="246">
        <f t="shared" si="78"/>
        <v>83787.64409</v>
      </c>
      <c r="BD80" s="246">
        <f t="shared" si="78"/>
        <v>93465.74495</v>
      </c>
      <c r="BE80" s="246">
        <f t="shared" si="78"/>
        <v>93465.74495</v>
      </c>
      <c r="BF80" s="246">
        <f t="shared" si="78"/>
        <v>93465.74495</v>
      </c>
      <c r="BG80" s="246">
        <f t="shared" si="78"/>
        <v>93465.74495</v>
      </c>
      <c r="BH80" s="246">
        <f t="shared" si="78"/>
        <v>97204.37474</v>
      </c>
      <c r="BI80" s="246">
        <f t="shared" si="78"/>
        <v>97204.37474</v>
      </c>
      <c r="BJ80" s="246">
        <f t="shared" si="78"/>
        <v>97204.37474</v>
      </c>
      <c r="BK80" s="246">
        <f t="shared" si="78"/>
        <v>97204.37474</v>
      </c>
      <c r="BL80" s="246">
        <f t="shared" si="78"/>
        <v>101092.5497</v>
      </c>
      <c r="BM80" s="246">
        <f t="shared" si="78"/>
        <v>101092.5497</v>
      </c>
      <c r="BN80" s="246">
        <f t="shared" si="78"/>
        <v>101092.5497</v>
      </c>
      <c r="BO80" s="246">
        <f t="shared" si="78"/>
        <v>101092.5497</v>
      </c>
      <c r="BP80" s="246">
        <f t="shared" si="78"/>
        <v>105136.2517</v>
      </c>
      <c r="BQ80" s="246">
        <f t="shared" si="78"/>
        <v>105136.2517</v>
      </c>
      <c r="BR80" s="246">
        <f t="shared" si="78"/>
        <v>105136.2517</v>
      </c>
      <c r="BS80" s="246">
        <f t="shared" si="78"/>
        <v>105136.2517</v>
      </c>
      <c r="BT80" s="246">
        <f t="shared" si="78"/>
        <v>109341.7018</v>
      </c>
      <c r="BU80" s="246">
        <f t="shared" si="78"/>
        <v>109341.7018</v>
      </c>
      <c r="BV80" s="246">
        <f t="shared" si="78"/>
        <v>109341.7018</v>
      </c>
      <c r="BW80" s="246">
        <f t="shared" si="78"/>
        <v>109341.7018</v>
      </c>
      <c r="BX80" s="246">
        <f t="shared" si="78"/>
        <v>113715.3699</v>
      </c>
      <c r="BY80" s="246">
        <f t="shared" si="78"/>
        <v>113715.3699</v>
      </c>
      <c r="BZ80" s="246">
        <f t="shared" si="78"/>
        <v>113715.3699</v>
      </c>
      <c r="CA80" s="246">
        <f t="shared" si="78"/>
        <v>113715.3699</v>
      </c>
    </row>
    <row r="81" ht="15.75" customHeight="1">
      <c r="A81" s="132" t="s">
        <v>439</v>
      </c>
      <c r="B81" s="247">
        <f>'Ops Departments'!J107</f>
        <v>866</v>
      </c>
      <c r="C81" s="247">
        <f>'Ops Departments'!K107</f>
        <v>1139</v>
      </c>
      <c r="D81" s="247">
        <f>'Ops Departments'!L107</f>
        <v>4019</v>
      </c>
      <c r="E81" s="247">
        <f>'Ops Departments'!M107</f>
        <v>4508</v>
      </c>
      <c r="F81" s="247">
        <f>'Ops Departments'!N107</f>
        <v>36</v>
      </c>
      <c r="G81" s="247">
        <f>'Ops Departments'!O107</f>
        <v>2894</v>
      </c>
      <c r="H81" s="247">
        <f>'Ops Departments'!P107</f>
        <v>2918</v>
      </c>
      <c r="I81" s="247">
        <f>'Ops Departments'!Q107</f>
        <v>2014</v>
      </c>
      <c r="J81" s="247">
        <f>'Ops Departments'!R107</f>
        <v>3962</v>
      </c>
      <c r="K81" s="247">
        <f>'Ops Departments'!S107</f>
        <v>842</v>
      </c>
      <c r="L81" s="247">
        <f>'Ops Departments'!T107</f>
        <v>3950</v>
      </c>
      <c r="M81" s="247">
        <f>'Ops Departments'!U107</f>
        <v>4177</v>
      </c>
      <c r="N81" s="247">
        <f>'Ops Departments'!V107</f>
        <v>2263</v>
      </c>
      <c r="O81" s="247">
        <f>'Ops Departments'!W107</f>
        <v>2702</v>
      </c>
      <c r="P81" s="247">
        <f>'Ops Departments'!X107</f>
        <v>4265</v>
      </c>
      <c r="Q81" s="247">
        <f>'Ops Departments'!Y107</f>
        <v>2441</v>
      </c>
      <c r="R81" s="247">
        <f>'Ops Departments'!Z107</f>
        <v>2531</v>
      </c>
      <c r="S81" s="246">
        <f t="shared" ref="S81:CA81" si="79">R81*(1+S$76)+S62</f>
        <v>2531</v>
      </c>
      <c r="T81" s="246">
        <f t="shared" si="79"/>
        <v>2644.895</v>
      </c>
      <c r="U81" s="246">
        <f t="shared" si="79"/>
        <v>2644.895</v>
      </c>
      <c r="V81" s="246">
        <f t="shared" si="79"/>
        <v>2644.895</v>
      </c>
      <c r="W81" s="246">
        <f t="shared" si="79"/>
        <v>2644.895</v>
      </c>
      <c r="X81" s="246">
        <f t="shared" si="79"/>
        <v>2763.915275</v>
      </c>
      <c r="Y81" s="246">
        <f t="shared" si="79"/>
        <v>2763.915275</v>
      </c>
      <c r="Z81" s="246">
        <f t="shared" si="79"/>
        <v>2763.915275</v>
      </c>
      <c r="AA81" s="246">
        <f t="shared" si="79"/>
        <v>2763.915275</v>
      </c>
      <c r="AB81" s="246">
        <f t="shared" si="79"/>
        <v>2888.291462</v>
      </c>
      <c r="AC81" s="246">
        <f t="shared" si="79"/>
        <v>2888.291462</v>
      </c>
      <c r="AD81" s="246">
        <f t="shared" si="79"/>
        <v>2888.291462</v>
      </c>
      <c r="AE81" s="246">
        <f t="shared" si="79"/>
        <v>2888.291462</v>
      </c>
      <c r="AF81" s="246">
        <f t="shared" si="79"/>
        <v>3003.823121</v>
      </c>
      <c r="AG81" s="246">
        <f t="shared" si="79"/>
        <v>3003.823121</v>
      </c>
      <c r="AH81" s="246">
        <f t="shared" si="79"/>
        <v>3003.823121</v>
      </c>
      <c r="AI81" s="246">
        <f t="shared" si="79"/>
        <v>3003.823121</v>
      </c>
      <c r="AJ81" s="246">
        <f t="shared" si="79"/>
        <v>3123.976046</v>
      </c>
      <c r="AK81" s="246">
        <f t="shared" si="79"/>
        <v>3123.976046</v>
      </c>
      <c r="AL81" s="246">
        <f t="shared" si="79"/>
        <v>3123.976046</v>
      </c>
      <c r="AM81" s="246">
        <f t="shared" si="79"/>
        <v>3123.976046</v>
      </c>
      <c r="AN81" s="246">
        <f t="shared" si="79"/>
        <v>3248.935088</v>
      </c>
      <c r="AO81" s="246">
        <f t="shared" si="79"/>
        <v>3248.935088</v>
      </c>
      <c r="AP81" s="246">
        <f t="shared" si="79"/>
        <v>3248.935088</v>
      </c>
      <c r="AQ81" s="246">
        <f t="shared" si="79"/>
        <v>3248.935088</v>
      </c>
      <c r="AR81" s="246">
        <f t="shared" si="79"/>
        <v>3378.892491</v>
      </c>
      <c r="AS81" s="246">
        <f t="shared" si="79"/>
        <v>3378.892491</v>
      </c>
      <c r="AT81" s="246">
        <f t="shared" si="79"/>
        <v>3378.892491</v>
      </c>
      <c r="AU81" s="246">
        <f t="shared" si="79"/>
        <v>3378.892491</v>
      </c>
      <c r="AV81" s="246">
        <f t="shared" si="79"/>
        <v>3514.048191</v>
      </c>
      <c r="AW81" s="246">
        <f t="shared" si="79"/>
        <v>3514.048191</v>
      </c>
      <c r="AX81" s="246">
        <f t="shared" si="79"/>
        <v>3514.048191</v>
      </c>
      <c r="AY81" s="246">
        <f t="shared" si="79"/>
        <v>3514.048191</v>
      </c>
      <c r="AZ81" s="246">
        <f t="shared" si="79"/>
        <v>3654.610118</v>
      </c>
      <c r="BA81" s="246">
        <f t="shared" si="79"/>
        <v>3654.610118</v>
      </c>
      <c r="BB81" s="246">
        <f t="shared" si="79"/>
        <v>3654.610118</v>
      </c>
      <c r="BC81" s="246">
        <f t="shared" si="79"/>
        <v>3654.610118</v>
      </c>
      <c r="BD81" s="246">
        <f t="shared" si="79"/>
        <v>3800.794523</v>
      </c>
      <c r="BE81" s="246">
        <f t="shared" si="79"/>
        <v>3800.794523</v>
      </c>
      <c r="BF81" s="246">
        <f t="shared" si="79"/>
        <v>3800.794523</v>
      </c>
      <c r="BG81" s="246">
        <f t="shared" si="79"/>
        <v>3800.794523</v>
      </c>
      <c r="BH81" s="246">
        <f t="shared" si="79"/>
        <v>3952.826304</v>
      </c>
      <c r="BI81" s="246">
        <f t="shared" si="79"/>
        <v>3952.826304</v>
      </c>
      <c r="BJ81" s="246">
        <f t="shared" si="79"/>
        <v>3952.826304</v>
      </c>
      <c r="BK81" s="246">
        <f t="shared" si="79"/>
        <v>3952.826304</v>
      </c>
      <c r="BL81" s="246">
        <f t="shared" si="79"/>
        <v>4110.939356</v>
      </c>
      <c r="BM81" s="246">
        <f t="shared" si="79"/>
        <v>4110.939356</v>
      </c>
      <c r="BN81" s="246">
        <f t="shared" si="79"/>
        <v>4110.939356</v>
      </c>
      <c r="BO81" s="246">
        <f t="shared" si="79"/>
        <v>4110.939356</v>
      </c>
      <c r="BP81" s="246">
        <f t="shared" si="79"/>
        <v>4275.37693</v>
      </c>
      <c r="BQ81" s="246">
        <f t="shared" si="79"/>
        <v>4275.37693</v>
      </c>
      <c r="BR81" s="246">
        <f t="shared" si="79"/>
        <v>4275.37693</v>
      </c>
      <c r="BS81" s="246">
        <f t="shared" si="79"/>
        <v>4275.37693</v>
      </c>
      <c r="BT81" s="246">
        <f t="shared" si="79"/>
        <v>4446.392008</v>
      </c>
      <c r="BU81" s="246">
        <f t="shared" si="79"/>
        <v>4446.392008</v>
      </c>
      <c r="BV81" s="246">
        <f t="shared" si="79"/>
        <v>4446.392008</v>
      </c>
      <c r="BW81" s="246">
        <f t="shared" si="79"/>
        <v>4446.392008</v>
      </c>
      <c r="BX81" s="246">
        <f t="shared" si="79"/>
        <v>4624.247688</v>
      </c>
      <c r="BY81" s="246">
        <f t="shared" si="79"/>
        <v>4624.247688</v>
      </c>
      <c r="BZ81" s="246">
        <f t="shared" si="79"/>
        <v>4624.247688</v>
      </c>
      <c r="CA81" s="246">
        <f t="shared" si="79"/>
        <v>4624.247688</v>
      </c>
    </row>
    <row r="82" ht="15.75" customHeight="1">
      <c r="A82" s="132" t="s">
        <v>440</v>
      </c>
      <c r="B82" s="247">
        <f>'Ops Departments'!J173</f>
        <v>3462</v>
      </c>
      <c r="C82" s="247">
        <f>'Ops Departments'!K173</f>
        <v>2711</v>
      </c>
      <c r="D82" s="247">
        <f>'Ops Departments'!L173</f>
        <v>2263</v>
      </c>
      <c r="E82" s="247">
        <f>'Ops Departments'!M173</f>
        <v>3215</v>
      </c>
      <c r="F82" s="247">
        <f>'Ops Departments'!N173</f>
        <v>4845</v>
      </c>
      <c r="G82" s="247">
        <f>'Ops Departments'!O173</f>
        <v>933</v>
      </c>
      <c r="H82" s="247">
        <f>'Ops Departments'!P173</f>
        <v>4547</v>
      </c>
      <c r="I82" s="247">
        <f>'Ops Departments'!Q173</f>
        <v>2273</v>
      </c>
      <c r="J82" s="247">
        <f>'Ops Departments'!R173</f>
        <v>1901</v>
      </c>
      <c r="K82" s="247">
        <f>'Ops Departments'!S173</f>
        <v>2959</v>
      </c>
      <c r="L82" s="247">
        <f>'Ops Departments'!T173</f>
        <v>3741</v>
      </c>
      <c r="M82" s="247">
        <f>'Ops Departments'!U173</f>
        <v>1540</v>
      </c>
      <c r="N82" s="247">
        <f>'Ops Departments'!V173</f>
        <v>4821</v>
      </c>
      <c r="O82" s="247">
        <f>'Ops Departments'!W173</f>
        <v>3665</v>
      </c>
      <c r="P82" s="247">
        <f>'Ops Departments'!X173</f>
        <v>1919</v>
      </c>
      <c r="Q82" s="247">
        <f>'Ops Departments'!Y173</f>
        <v>4041</v>
      </c>
      <c r="R82" s="247">
        <f>'Ops Departments'!Z173</f>
        <v>4656</v>
      </c>
      <c r="S82" s="246">
        <f t="shared" ref="S82:CA82" si="80">R82*(1+S$76)+S66</f>
        <v>14656</v>
      </c>
      <c r="T82" s="246">
        <f t="shared" si="80"/>
        <v>15315.52</v>
      </c>
      <c r="U82" s="246">
        <f t="shared" si="80"/>
        <v>15315.52</v>
      </c>
      <c r="V82" s="246">
        <f t="shared" si="80"/>
        <v>15315.52</v>
      </c>
      <c r="W82" s="246">
        <f t="shared" si="80"/>
        <v>15315.52</v>
      </c>
      <c r="X82" s="246">
        <f t="shared" si="80"/>
        <v>16004.7184</v>
      </c>
      <c r="Y82" s="246">
        <f t="shared" si="80"/>
        <v>16004.7184</v>
      </c>
      <c r="Z82" s="246">
        <f t="shared" si="80"/>
        <v>16004.7184</v>
      </c>
      <c r="AA82" s="246">
        <f t="shared" si="80"/>
        <v>16004.7184</v>
      </c>
      <c r="AB82" s="246">
        <f t="shared" si="80"/>
        <v>16724.93073</v>
      </c>
      <c r="AC82" s="246">
        <f t="shared" si="80"/>
        <v>16724.93073</v>
      </c>
      <c r="AD82" s="246">
        <f t="shared" si="80"/>
        <v>16724.93073</v>
      </c>
      <c r="AE82" s="246">
        <f t="shared" si="80"/>
        <v>16724.93073</v>
      </c>
      <c r="AF82" s="246">
        <f t="shared" si="80"/>
        <v>17393.92796</v>
      </c>
      <c r="AG82" s="246">
        <f t="shared" si="80"/>
        <v>17393.92796</v>
      </c>
      <c r="AH82" s="246">
        <f t="shared" si="80"/>
        <v>17393.92796</v>
      </c>
      <c r="AI82" s="246">
        <f t="shared" si="80"/>
        <v>17393.92796</v>
      </c>
      <c r="AJ82" s="246">
        <f t="shared" si="80"/>
        <v>18089.68508</v>
      </c>
      <c r="AK82" s="246">
        <f t="shared" si="80"/>
        <v>18089.68508</v>
      </c>
      <c r="AL82" s="246">
        <f t="shared" si="80"/>
        <v>18089.68508</v>
      </c>
      <c r="AM82" s="246">
        <f t="shared" si="80"/>
        <v>18089.68508</v>
      </c>
      <c r="AN82" s="246">
        <f t="shared" si="80"/>
        <v>18813.27248</v>
      </c>
      <c r="AO82" s="246">
        <f t="shared" si="80"/>
        <v>18813.27248</v>
      </c>
      <c r="AP82" s="246">
        <f t="shared" si="80"/>
        <v>18813.27248</v>
      </c>
      <c r="AQ82" s="246">
        <f t="shared" si="80"/>
        <v>18813.27248</v>
      </c>
      <c r="AR82" s="246">
        <f t="shared" si="80"/>
        <v>19565.80338</v>
      </c>
      <c r="AS82" s="246">
        <f t="shared" si="80"/>
        <v>19565.80338</v>
      </c>
      <c r="AT82" s="246">
        <f t="shared" si="80"/>
        <v>19565.80338</v>
      </c>
      <c r="AU82" s="246">
        <f t="shared" si="80"/>
        <v>19565.80338</v>
      </c>
      <c r="AV82" s="246">
        <f t="shared" si="80"/>
        <v>20348.43551</v>
      </c>
      <c r="AW82" s="246">
        <f t="shared" si="80"/>
        <v>20348.43551</v>
      </c>
      <c r="AX82" s="246">
        <f t="shared" si="80"/>
        <v>20348.43551</v>
      </c>
      <c r="AY82" s="246">
        <f t="shared" si="80"/>
        <v>20348.43551</v>
      </c>
      <c r="AZ82" s="246">
        <f t="shared" si="80"/>
        <v>21162.37293</v>
      </c>
      <c r="BA82" s="246">
        <f t="shared" si="80"/>
        <v>21162.37293</v>
      </c>
      <c r="BB82" s="246">
        <f t="shared" si="80"/>
        <v>21162.37293</v>
      </c>
      <c r="BC82" s="246">
        <f t="shared" si="80"/>
        <v>21162.37293</v>
      </c>
      <c r="BD82" s="246">
        <f t="shared" si="80"/>
        <v>22008.86785</v>
      </c>
      <c r="BE82" s="246">
        <f t="shared" si="80"/>
        <v>179920.6814</v>
      </c>
      <c r="BF82" s="246">
        <f t="shared" si="80"/>
        <v>232557.9525</v>
      </c>
      <c r="BG82" s="246">
        <f t="shared" si="80"/>
        <v>232557.9525</v>
      </c>
      <c r="BH82" s="246">
        <f t="shared" si="80"/>
        <v>241860.2706</v>
      </c>
      <c r="BI82" s="246">
        <f t="shared" si="80"/>
        <v>241860.2706</v>
      </c>
      <c r="BJ82" s="246">
        <f t="shared" si="80"/>
        <v>241860.2706</v>
      </c>
      <c r="BK82" s="246">
        <f t="shared" si="80"/>
        <v>241860.2706</v>
      </c>
      <c r="BL82" s="246">
        <f t="shared" si="80"/>
        <v>251534.6815</v>
      </c>
      <c r="BM82" s="246">
        <f t="shared" si="80"/>
        <v>251534.6815</v>
      </c>
      <c r="BN82" s="246">
        <f t="shared" si="80"/>
        <v>265220.372</v>
      </c>
      <c r="BO82" s="246">
        <f t="shared" si="80"/>
        <v>265220.372</v>
      </c>
      <c r="BP82" s="246">
        <f t="shared" si="80"/>
        <v>275829.1868</v>
      </c>
      <c r="BQ82" s="246">
        <f t="shared" si="80"/>
        <v>275829.1868</v>
      </c>
      <c r="BR82" s="246">
        <f t="shared" si="80"/>
        <v>275829.1868</v>
      </c>
      <c r="BS82" s="246">
        <f t="shared" si="80"/>
        <v>275829.1868</v>
      </c>
      <c r="BT82" s="246">
        <f t="shared" si="80"/>
        <v>286862.3543</v>
      </c>
      <c r="BU82" s="246">
        <f t="shared" si="80"/>
        <v>286862.3543</v>
      </c>
      <c r="BV82" s="246">
        <f t="shared" si="80"/>
        <v>286862.3543</v>
      </c>
      <c r="BW82" s="246">
        <f t="shared" si="80"/>
        <v>286862.3543</v>
      </c>
      <c r="BX82" s="246">
        <f t="shared" si="80"/>
        <v>298336.8485</v>
      </c>
      <c r="BY82" s="246">
        <f t="shared" si="80"/>
        <v>298336.8485</v>
      </c>
      <c r="BZ82" s="246">
        <f t="shared" si="80"/>
        <v>298336.8485</v>
      </c>
      <c r="CA82" s="246">
        <f t="shared" si="80"/>
        <v>298336.8485</v>
      </c>
    </row>
    <row r="83" ht="15.75" customHeight="1">
      <c r="A83" s="132" t="s">
        <v>441</v>
      </c>
      <c r="B83" s="247">
        <f>'Ops Departments'!J205</f>
        <v>3220</v>
      </c>
      <c r="C83" s="247">
        <f>'Ops Departments'!K205</f>
        <v>3708</v>
      </c>
      <c r="D83" s="247">
        <f>'Ops Departments'!L205</f>
        <v>3507</v>
      </c>
      <c r="E83" s="247">
        <f>'Ops Departments'!M205</f>
        <v>2480</v>
      </c>
      <c r="F83" s="247">
        <f>'Ops Departments'!N205</f>
        <v>4968</v>
      </c>
      <c r="G83" s="247">
        <f>'Ops Departments'!O205</f>
        <v>1822</v>
      </c>
      <c r="H83" s="247">
        <f>'Ops Departments'!P205</f>
        <v>2417</v>
      </c>
      <c r="I83" s="247">
        <f>'Ops Departments'!Q205</f>
        <v>694</v>
      </c>
      <c r="J83" s="247">
        <f>'Ops Departments'!R205</f>
        <v>2655</v>
      </c>
      <c r="K83" s="247">
        <f>'Ops Departments'!S205</f>
        <v>85</v>
      </c>
      <c r="L83" s="247">
        <f>'Ops Departments'!T205</f>
        <v>4675</v>
      </c>
      <c r="M83" s="247">
        <f>'Ops Departments'!U205</f>
        <v>3849</v>
      </c>
      <c r="N83" s="247">
        <f>'Ops Departments'!V205</f>
        <v>233</v>
      </c>
      <c r="O83" s="247">
        <f>'Ops Departments'!W205</f>
        <v>1586</v>
      </c>
      <c r="P83" s="247">
        <f>'Ops Departments'!X205</f>
        <v>612</v>
      </c>
      <c r="Q83" s="247">
        <f>'Ops Departments'!Y205</f>
        <v>429</v>
      </c>
      <c r="R83" s="247">
        <f>'Ops Departments'!Z205</f>
        <v>2419</v>
      </c>
      <c r="S83" s="246">
        <f t="shared" ref="S83:CA83" si="81">R83*(1+S$76)+S69</f>
        <v>2419</v>
      </c>
      <c r="T83" s="246">
        <f t="shared" si="81"/>
        <v>2527.855</v>
      </c>
      <c r="U83" s="246">
        <f t="shared" si="81"/>
        <v>2527.855</v>
      </c>
      <c r="V83" s="246">
        <f t="shared" si="81"/>
        <v>2527.855</v>
      </c>
      <c r="W83" s="246">
        <f t="shared" si="81"/>
        <v>2527.855</v>
      </c>
      <c r="X83" s="246">
        <f t="shared" si="81"/>
        <v>2641.608475</v>
      </c>
      <c r="Y83" s="246">
        <f t="shared" si="81"/>
        <v>2641.608475</v>
      </c>
      <c r="Z83" s="246">
        <f t="shared" si="81"/>
        <v>2641.608475</v>
      </c>
      <c r="AA83" s="246">
        <f t="shared" si="81"/>
        <v>2641.608475</v>
      </c>
      <c r="AB83" s="246">
        <f t="shared" si="81"/>
        <v>2760.480856</v>
      </c>
      <c r="AC83" s="246">
        <f t="shared" si="81"/>
        <v>2760.480856</v>
      </c>
      <c r="AD83" s="246">
        <f t="shared" si="81"/>
        <v>2760.480856</v>
      </c>
      <c r="AE83" s="246">
        <f t="shared" si="81"/>
        <v>2760.480856</v>
      </c>
      <c r="AF83" s="246">
        <f t="shared" si="81"/>
        <v>2870.900091</v>
      </c>
      <c r="AG83" s="246">
        <f t="shared" si="81"/>
        <v>2870.900091</v>
      </c>
      <c r="AH83" s="246">
        <f t="shared" si="81"/>
        <v>2870.900091</v>
      </c>
      <c r="AI83" s="246">
        <f t="shared" si="81"/>
        <v>2870.900091</v>
      </c>
      <c r="AJ83" s="246">
        <f t="shared" si="81"/>
        <v>2985.736094</v>
      </c>
      <c r="AK83" s="246">
        <f t="shared" si="81"/>
        <v>2985.736094</v>
      </c>
      <c r="AL83" s="246">
        <f t="shared" si="81"/>
        <v>2985.736094</v>
      </c>
      <c r="AM83" s="246">
        <f t="shared" si="81"/>
        <v>2985.736094</v>
      </c>
      <c r="AN83" s="246">
        <f t="shared" si="81"/>
        <v>3105.165538</v>
      </c>
      <c r="AO83" s="246">
        <f t="shared" si="81"/>
        <v>3105.165538</v>
      </c>
      <c r="AP83" s="246">
        <f t="shared" si="81"/>
        <v>3105.165538</v>
      </c>
      <c r="AQ83" s="246">
        <f t="shared" si="81"/>
        <v>3105.165538</v>
      </c>
      <c r="AR83" s="246">
        <f t="shared" si="81"/>
        <v>3229.37216</v>
      </c>
      <c r="AS83" s="246">
        <f t="shared" si="81"/>
        <v>15395.90118</v>
      </c>
      <c r="AT83" s="246">
        <f t="shared" si="81"/>
        <v>15395.90118</v>
      </c>
      <c r="AU83" s="246">
        <f t="shared" si="81"/>
        <v>15395.90118</v>
      </c>
      <c r="AV83" s="246">
        <f t="shared" si="81"/>
        <v>16011.73723</v>
      </c>
      <c r="AW83" s="246">
        <f t="shared" si="81"/>
        <v>16011.73723</v>
      </c>
      <c r="AX83" s="246">
        <f t="shared" si="81"/>
        <v>16011.73723</v>
      </c>
      <c r="AY83" s="246">
        <f t="shared" si="81"/>
        <v>16011.73723</v>
      </c>
      <c r="AZ83" s="246">
        <f t="shared" si="81"/>
        <v>16652.20672</v>
      </c>
      <c r="BA83" s="246">
        <f t="shared" si="81"/>
        <v>16652.20672</v>
      </c>
      <c r="BB83" s="246">
        <f t="shared" si="81"/>
        <v>16652.20672</v>
      </c>
      <c r="BC83" s="246">
        <f t="shared" si="81"/>
        <v>16652.20672</v>
      </c>
      <c r="BD83" s="246">
        <f t="shared" si="81"/>
        <v>17318.29499</v>
      </c>
      <c r="BE83" s="246">
        <f t="shared" si="81"/>
        <v>17318.29499</v>
      </c>
      <c r="BF83" s="246">
        <f t="shared" si="81"/>
        <v>17318.29499</v>
      </c>
      <c r="BG83" s="246">
        <f t="shared" si="81"/>
        <v>17318.29499</v>
      </c>
      <c r="BH83" s="246">
        <f t="shared" si="81"/>
        <v>18011.02679</v>
      </c>
      <c r="BI83" s="246">
        <f t="shared" si="81"/>
        <v>18011.02679</v>
      </c>
      <c r="BJ83" s="246">
        <f t="shared" si="81"/>
        <v>18011.02679</v>
      </c>
      <c r="BK83" s="246">
        <f t="shared" si="81"/>
        <v>18011.02679</v>
      </c>
      <c r="BL83" s="246">
        <f t="shared" si="81"/>
        <v>18731.46786</v>
      </c>
      <c r="BM83" s="246">
        <f t="shared" si="81"/>
        <v>18731.46786</v>
      </c>
      <c r="BN83" s="246">
        <f t="shared" si="81"/>
        <v>18731.46786</v>
      </c>
      <c r="BO83" s="246">
        <f t="shared" si="81"/>
        <v>18731.46786</v>
      </c>
      <c r="BP83" s="246">
        <f t="shared" si="81"/>
        <v>19480.72657</v>
      </c>
      <c r="BQ83" s="246">
        <f t="shared" si="81"/>
        <v>19480.72657</v>
      </c>
      <c r="BR83" s="246">
        <f t="shared" si="81"/>
        <v>19480.72657</v>
      </c>
      <c r="BS83" s="246">
        <f t="shared" si="81"/>
        <v>19480.72657</v>
      </c>
      <c r="BT83" s="246">
        <f t="shared" si="81"/>
        <v>20259.95564</v>
      </c>
      <c r="BU83" s="246">
        <f t="shared" si="81"/>
        <v>20259.95564</v>
      </c>
      <c r="BV83" s="246">
        <f t="shared" si="81"/>
        <v>20259.95564</v>
      </c>
      <c r="BW83" s="246">
        <f t="shared" si="81"/>
        <v>20259.95564</v>
      </c>
      <c r="BX83" s="246">
        <f t="shared" si="81"/>
        <v>21070.35386</v>
      </c>
      <c r="BY83" s="246">
        <f t="shared" si="81"/>
        <v>21070.35386</v>
      </c>
      <c r="BZ83" s="246">
        <f t="shared" si="81"/>
        <v>21070.35386</v>
      </c>
      <c r="CA83" s="246">
        <f t="shared" si="81"/>
        <v>21070.35386</v>
      </c>
    </row>
    <row r="84" ht="15.75" customHeight="1">
      <c r="A84" s="132" t="s">
        <v>442</v>
      </c>
      <c r="B84" s="246">
        <f t="shared" ref="B84:R84" si="82">B85-SUM(B78:B83)</f>
        <v>-10476</v>
      </c>
      <c r="C84" s="246">
        <f t="shared" si="82"/>
        <v>-12294</v>
      </c>
      <c r="D84" s="246">
        <f t="shared" si="82"/>
        <v>-18070</v>
      </c>
      <c r="E84" s="246">
        <f t="shared" si="82"/>
        <v>-12099</v>
      </c>
      <c r="F84" s="246">
        <f t="shared" si="82"/>
        <v>-14246</v>
      </c>
      <c r="G84" s="246">
        <f t="shared" si="82"/>
        <v>-12741</v>
      </c>
      <c r="H84" s="246">
        <f t="shared" si="82"/>
        <v>-10847</v>
      </c>
      <c r="I84" s="246">
        <f t="shared" si="82"/>
        <v>-9693</v>
      </c>
      <c r="J84" s="246">
        <f t="shared" si="82"/>
        <v>-14442</v>
      </c>
      <c r="K84" s="246">
        <f t="shared" si="82"/>
        <v>-6156</v>
      </c>
      <c r="L84" s="246">
        <f t="shared" si="82"/>
        <v>-19579</v>
      </c>
      <c r="M84" s="246">
        <f t="shared" si="82"/>
        <v>-14778</v>
      </c>
      <c r="N84" s="246">
        <f t="shared" si="82"/>
        <v>-11622</v>
      </c>
      <c r="O84" s="246">
        <f t="shared" si="82"/>
        <v>-10730</v>
      </c>
      <c r="P84" s="246">
        <f t="shared" si="82"/>
        <v>-12845</v>
      </c>
      <c r="Q84" s="246">
        <f t="shared" si="82"/>
        <v>-13783</v>
      </c>
      <c r="R84" s="246">
        <f t="shared" si="82"/>
        <v>-13497</v>
      </c>
      <c r="S84" s="246">
        <f t="shared" ref="S84:CA84" si="83">R84*(1+S$76)+S61</f>
        <v>-3497</v>
      </c>
      <c r="T84" s="246">
        <f t="shared" si="83"/>
        <v>-55654.365</v>
      </c>
      <c r="U84" s="246">
        <f t="shared" si="83"/>
        <v>-55654.365</v>
      </c>
      <c r="V84" s="246">
        <f t="shared" si="83"/>
        <v>-55654.365</v>
      </c>
      <c r="W84" s="246">
        <f t="shared" si="83"/>
        <v>-55654.365</v>
      </c>
      <c r="X84" s="246">
        <f t="shared" si="83"/>
        <v>-58158.81143</v>
      </c>
      <c r="Y84" s="246">
        <f t="shared" si="83"/>
        <v>-58158.81143</v>
      </c>
      <c r="Z84" s="246">
        <f t="shared" si="83"/>
        <v>-58158.81143</v>
      </c>
      <c r="AA84" s="246">
        <f t="shared" si="83"/>
        <v>-58158.81143</v>
      </c>
      <c r="AB84" s="246">
        <f t="shared" si="83"/>
        <v>-60775.95794</v>
      </c>
      <c r="AC84" s="246">
        <f t="shared" si="83"/>
        <v>-53842.27794</v>
      </c>
      <c r="AD84" s="246">
        <f t="shared" si="83"/>
        <v>-53842.27794</v>
      </c>
      <c r="AE84" s="246">
        <f t="shared" si="83"/>
        <v>-53842.27794</v>
      </c>
      <c r="AF84" s="246">
        <f t="shared" si="83"/>
        <v>-55995.96906</v>
      </c>
      <c r="AG84" s="246">
        <f t="shared" si="83"/>
        <v>-55995.96906</v>
      </c>
      <c r="AH84" s="246">
        <f t="shared" si="83"/>
        <v>-55995.96906</v>
      </c>
      <c r="AI84" s="246">
        <f t="shared" si="83"/>
        <v>-55995.96906</v>
      </c>
      <c r="AJ84" s="246">
        <f t="shared" si="83"/>
        <v>-58235.80782</v>
      </c>
      <c r="AK84" s="246">
        <f t="shared" si="83"/>
        <v>-58235.80782</v>
      </c>
      <c r="AL84" s="246">
        <f t="shared" si="83"/>
        <v>-58235.80782</v>
      </c>
      <c r="AM84" s="246">
        <f t="shared" si="83"/>
        <v>-58235.80782</v>
      </c>
      <c r="AN84" s="246">
        <f t="shared" si="83"/>
        <v>-60565.24013</v>
      </c>
      <c r="AO84" s="246">
        <f t="shared" si="83"/>
        <v>-60565.24013</v>
      </c>
      <c r="AP84" s="246">
        <f t="shared" si="83"/>
        <v>-60565.24013</v>
      </c>
      <c r="AQ84" s="246">
        <f t="shared" si="83"/>
        <v>-60565.24013</v>
      </c>
      <c r="AR84" s="246">
        <f t="shared" si="83"/>
        <v>-62987.84974</v>
      </c>
      <c r="AS84" s="246">
        <f t="shared" si="83"/>
        <v>-62987.84974</v>
      </c>
      <c r="AT84" s="246">
        <f t="shared" si="83"/>
        <v>-62987.84974</v>
      </c>
      <c r="AU84" s="246">
        <f t="shared" si="83"/>
        <v>-55188.40272</v>
      </c>
      <c r="AV84" s="246">
        <f t="shared" si="83"/>
        <v>-57395.93883</v>
      </c>
      <c r="AW84" s="246">
        <f t="shared" si="83"/>
        <v>-57395.93883</v>
      </c>
      <c r="AX84" s="246">
        <f t="shared" si="83"/>
        <v>-57395.93883</v>
      </c>
      <c r="AY84" s="246">
        <f t="shared" si="83"/>
        <v>-57395.93883</v>
      </c>
      <c r="AZ84" s="246">
        <f t="shared" si="83"/>
        <v>-59691.77638</v>
      </c>
      <c r="BA84" s="246">
        <f t="shared" si="83"/>
        <v>-59691.77638</v>
      </c>
      <c r="BB84" s="246">
        <f t="shared" si="83"/>
        <v>-59691.77638</v>
      </c>
      <c r="BC84" s="246">
        <f t="shared" si="83"/>
        <v>-59691.77638</v>
      </c>
      <c r="BD84" s="246">
        <f t="shared" si="83"/>
        <v>-62079.44743</v>
      </c>
      <c r="BE84" s="246">
        <f t="shared" si="83"/>
        <v>-62079.44743</v>
      </c>
      <c r="BF84" s="246">
        <f t="shared" si="83"/>
        <v>-62079.44743</v>
      </c>
      <c r="BG84" s="246">
        <f t="shared" si="83"/>
        <v>-53643.56554</v>
      </c>
      <c r="BH84" s="246">
        <f t="shared" si="83"/>
        <v>-55789.30816</v>
      </c>
      <c r="BI84" s="246">
        <f t="shared" si="83"/>
        <v>-55789.30816</v>
      </c>
      <c r="BJ84" s="246">
        <f t="shared" si="83"/>
        <v>-55789.30816</v>
      </c>
      <c r="BK84" s="246">
        <f t="shared" si="83"/>
        <v>-55789.30816</v>
      </c>
      <c r="BL84" s="246">
        <f t="shared" si="83"/>
        <v>-58020.88049</v>
      </c>
      <c r="BM84" s="246">
        <f t="shared" si="83"/>
        <v>-58020.88049</v>
      </c>
      <c r="BN84" s="246">
        <f t="shared" si="83"/>
        <v>-58020.88049</v>
      </c>
      <c r="BO84" s="246">
        <f t="shared" si="83"/>
        <v>-58020.88049</v>
      </c>
      <c r="BP84" s="246">
        <f t="shared" si="83"/>
        <v>-60341.71571</v>
      </c>
      <c r="BQ84" s="246">
        <f t="shared" si="83"/>
        <v>-60341.71571</v>
      </c>
      <c r="BR84" s="246">
        <f t="shared" si="83"/>
        <v>-60341.71571</v>
      </c>
      <c r="BS84" s="246">
        <f t="shared" si="83"/>
        <v>-60341.71571</v>
      </c>
      <c r="BT84" s="246">
        <f t="shared" si="83"/>
        <v>-62755.38433</v>
      </c>
      <c r="BU84" s="246">
        <f t="shared" si="83"/>
        <v>-62755.38433</v>
      </c>
      <c r="BV84" s="246">
        <f t="shared" si="83"/>
        <v>-62755.38433</v>
      </c>
      <c r="BW84" s="246">
        <f t="shared" si="83"/>
        <v>-62755.38433</v>
      </c>
      <c r="BX84" s="246">
        <f t="shared" si="83"/>
        <v>-65265.59971</v>
      </c>
      <c r="BY84" s="246">
        <f t="shared" si="83"/>
        <v>-65265.59971</v>
      </c>
      <c r="BZ84" s="246">
        <f t="shared" si="83"/>
        <v>-65265.59971</v>
      </c>
      <c r="CA84" s="246">
        <f t="shared" si="83"/>
        <v>-65265.59971</v>
      </c>
    </row>
    <row r="85" ht="15.75" customHeight="1">
      <c r="A85" s="254" t="s">
        <v>206</v>
      </c>
      <c r="B85" s="255">
        <f t="array" ref="B85">INDEX('IS Proforma'!$1:$1048490,MATCH($A85,'IS Proforma'!$C:$C,0),MATCH(B$4,'IS Proforma'!$4:$4))</f>
        <v>2068</v>
      </c>
      <c r="C85" s="255">
        <f t="array" ref="C85">INDEX('IS Proforma'!$1:$1048490,MATCH($A85,'IS Proforma'!$C:$C,0),MATCH(C$4,'IS Proforma'!$4:$4))</f>
        <v>1649</v>
      </c>
      <c r="D85" s="255">
        <f t="array" ref="D85">INDEX('IS Proforma'!$1:$1048490,MATCH($A85,'IS Proforma'!$C:$C,0),MATCH(D$4,'IS Proforma'!$4:$4))</f>
        <v>1704</v>
      </c>
      <c r="E85" s="255">
        <f t="array" ref="E85">INDEX('IS Proforma'!$1:$1048490,MATCH($A85,'IS Proforma'!$C:$C,0),MATCH(E$4,'IS Proforma'!$4:$4))</f>
        <v>1894</v>
      </c>
      <c r="F85" s="255">
        <f t="array" ref="F85">INDEX('IS Proforma'!$1:$1048490,MATCH($A85,'IS Proforma'!$C:$C,0),MATCH(F$4,'IS Proforma'!$4:$4))</f>
        <v>1862</v>
      </c>
      <c r="G85" s="255">
        <f t="array" ref="G85">INDEX('IS Proforma'!$1:$1048490,MATCH($A85,'IS Proforma'!$C:$C,0),MATCH(G$4,'IS Proforma'!$4:$4))</f>
        <v>2477</v>
      </c>
      <c r="H85" s="255">
        <f t="array" ref="H85">INDEX('IS Proforma'!$1:$1048490,MATCH($A85,'IS Proforma'!$C:$C,0),MATCH(H$4,'IS Proforma'!$4:$4))</f>
        <v>2418</v>
      </c>
      <c r="I85" s="255">
        <f t="array" ref="I85">INDEX('IS Proforma'!$1:$1048490,MATCH($A85,'IS Proforma'!$C:$C,0),MATCH(I$4,'IS Proforma'!$4:$4))</f>
        <v>2036</v>
      </c>
      <c r="J85" s="255">
        <f t="array" ref="J85">INDEX('IS Proforma'!$1:$1048490,MATCH($A85,'IS Proforma'!$C:$C,0),MATCH(J$4,'IS Proforma'!$4:$4))</f>
        <v>1968</v>
      </c>
      <c r="K85" s="255">
        <f t="array" ref="K85">INDEX('IS Proforma'!$1:$1048490,MATCH($A85,'IS Proforma'!$C:$C,0),MATCH(K$4,'IS Proforma'!$4:$4))</f>
        <v>1396</v>
      </c>
      <c r="L85" s="255">
        <f t="array" ref="L85">INDEX('IS Proforma'!$1:$1048490,MATCH($A85,'IS Proforma'!$C:$C,0),MATCH(L$4,'IS Proforma'!$4:$4))</f>
        <v>1045</v>
      </c>
      <c r="M85" s="255">
        <f t="array" ref="M85">INDEX('IS Proforma'!$1:$1048490,MATCH($A85,'IS Proforma'!$C:$C,0),MATCH(M$4,'IS Proforma'!$4:$4))</f>
        <v>2360</v>
      </c>
      <c r="N85" s="255">
        <f t="array" ref="N85">INDEX('IS Proforma'!$1:$1048490,MATCH($A85,'IS Proforma'!$C:$C,0),MATCH(N$4,'IS Proforma'!$4:$4))</f>
        <v>1206</v>
      </c>
      <c r="O85" s="255">
        <f t="array" ref="O85">INDEX('IS Proforma'!$1:$1048490,MATCH($A85,'IS Proforma'!$C:$C,0),MATCH(O$4,'IS Proforma'!$4:$4))</f>
        <v>1864</v>
      </c>
      <c r="P85" s="255">
        <f t="array" ref="P85">INDEX('IS Proforma'!$1:$1048490,MATCH($A85,'IS Proforma'!$C:$C,0),MATCH(P$4,'IS Proforma'!$4:$4))</f>
        <v>2313</v>
      </c>
      <c r="Q85" s="255">
        <f t="array" ref="Q85">INDEX('IS Proforma'!$1:$1048490,MATCH($A85,'IS Proforma'!$C:$C,0),MATCH(Q$4,'IS Proforma'!$4:$4))</f>
        <v>2093</v>
      </c>
      <c r="R85" s="255">
        <f t="array" ref="R85">INDEX('IS Proforma'!$1:$1048490,MATCH($A85,'IS Proforma'!$C:$C,0),MATCH(R$4,'IS Proforma'!$4:$4))</f>
        <v>1547</v>
      </c>
      <c r="S85" s="256">
        <f t="shared" ref="S85:CA85" si="84">SUM(S78:S84)</f>
        <v>91547</v>
      </c>
      <c r="T85" s="256">
        <f t="shared" si="84"/>
        <v>95666.615</v>
      </c>
      <c r="U85" s="256">
        <f t="shared" si="84"/>
        <v>106066.615</v>
      </c>
      <c r="V85" s="256">
        <f t="shared" si="84"/>
        <v>116466.615</v>
      </c>
      <c r="W85" s="256">
        <f t="shared" si="84"/>
        <v>121666.615</v>
      </c>
      <c r="X85" s="256">
        <f t="shared" si="84"/>
        <v>127141.6127</v>
      </c>
      <c r="Y85" s="256">
        <f t="shared" si="84"/>
        <v>127141.6127</v>
      </c>
      <c r="Z85" s="256">
        <f t="shared" si="84"/>
        <v>132341.6127</v>
      </c>
      <c r="AA85" s="256">
        <f t="shared" si="84"/>
        <v>137541.6127</v>
      </c>
      <c r="AB85" s="256">
        <f t="shared" si="84"/>
        <v>148930.9852</v>
      </c>
      <c r="AC85" s="256">
        <f t="shared" si="84"/>
        <v>161064.6652</v>
      </c>
      <c r="AD85" s="256">
        <f t="shared" si="84"/>
        <v>166264.6652</v>
      </c>
      <c r="AE85" s="256">
        <f t="shared" si="84"/>
        <v>182280.6652</v>
      </c>
      <c r="AF85" s="256">
        <f t="shared" si="84"/>
        <v>200820.5319</v>
      </c>
      <c r="AG85" s="256">
        <f t="shared" si="84"/>
        <v>223317.8119</v>
      </c>
      <c r="AH85" s="256">
        <f t="shared" si="84"/>
        <v>234566.4519</v>
      </c>
      <c r="AI85" s="256">
        <f t="shared" si="84"/>
        <v>234566.4519</v>
      </c>
      <c r="AJ85" s="256">
        <f t="shared" si="84"/>
        <v>255197.7499</v>
      </c>
      <c r="AK85" s="256">
        <f t="shared" si="84"/>
        <v>260605.7499</v>
      </c>
      <c r="AL85" s="256">
        <f t="shared" si="84"/>
        <v>272304.3355</v>
      </c>
      <c r="AM85" s="256">
        <f t="shared" si="84"/>
        <v>289852.2139</v>
      </c>
      <c r="AN85" s="256">
        <f t="shared" si="84"/>
        <v>313144.8881</v>
      </c>
      <c r="AO85" s="256">
        <f t="shared" si="84"/>
        <v>324843.4737</v>
      </c>
      <c r="AP85" s="256">
        <f t="shared" si="84"/>
        <v>342391.3521</v>
      </c>
      <c r="AQ85" s="256">
        <f t="shared" si="84"/>
        <v>342391.3521</v>
      </c>
      <c r="AR85" s="256">
        <f t="shared" si="84"/>
        <v>361936.299</v>
      </c>
      <c r="AS85" s="256">
        <f t="shared" si="84"/>
        <v>398435.886</v>
      </c>
      <c r="AT85" s="256">
        <f t="shared" si="84"/>
        <v>416685.6796</v>
      </c>
      <c r="AU85" s="256">
        <f t="shared" si="84"/>
        <v>454901.4492</v>
      </c>
      <c r="AV85" s="256">
        <f t="shared" si="84"/>
        <v>473097.5071</v>
      </c>
      <c r="AW85" s="256">
        <f t="shared" si="84"/>
        <v>485264.0361</v>
      </c>
      <c r="AX85" s="256">
        <f t="shared" si="84"/>
        <v>504243.8214</v>
      </c>
      <c r="AY85" s="256">
        <f t="shared" si="84"/>
        <v>510327.0859</v>
      </c>
      <c r="AZ85" s="256">
        <f t="shared" si="84"/>
        <v>543393.3596</v>
      </c>
      <c r="BA85" s="256">
        <f t="shared" si="84"/>
        <v>562373.1448</v>
      </c>
      <c r="BB85" s="256">
        <f t="shared" si="84"/>
        <v>562373.1448</v>
      </c>
      <c r="BC85" s="256">
        <f t="shared" si="84"/>
        <v>593762.7897</v>
      </c>
      <c r="BD85" s="256">
        <f t="shared" si="84"/>
        <v>643578.8731</v>
      </c>
      <c r="BE85" s="256">
        <f t="shared" si="84"/>
        <v>840968.64</v>
      </c>
      <c r="BF85" s="256">
        <f t="shared" si="84"/>
        <v>926504.2056</v>
      </c>
      <c r="BG85" s="256">
        <f t="shared" si="84"/>
        <v>941519.7464</v>
      </c>
      <c r="BH85" s="256">
        <f t="shared" si="84"/>
        <v>992339.8541</v>
      </c>
      <c r="BI85" s="256">
        <f t="shared" si="84"/>
        <v>998919.513</v>
      </c>
      <c r="BJ85" s="256">
        <f t="shared" si="84"/>
        <v>1026290.894</v>
      </c>
      <c r="BK85" s="256">
        <f t="shared" si="84"/>
        <v>1046819.43</v>
      </c>
      <c r="BL85" s="256">
        <f t="shared" si="84"/>
        <v>1102377.897</v>
      </c>
      <c r="BM85" s="256">
        <f t="shared" si="84"/>
        <v>1109220.743</v>
      </c>
      <c r="BN85" s="256">
        <f t="shared" si="84"/>
        <v>1150277.814</v>
      </c>
      <c r="BO85" s="256">
        <f t="shared" si="84"/>
        <v>1150277.814</v>
      </c>
      <c r="BP85" s="256">
        <f t="shared" si="84"/>
        <v>1210522.045</v>
      </c>
      <c r="BQ85" s="256">
        <f t="shared" si="84"/>
        <v>1246104.84</v>
      </c>
      <c r="BR85" s="256">
        <f t="shared" si="84"/>
        <v>1260337.958</v>
      </c>
      <c r="BS85" s="256">
        <f t="shared" si="84"/>
        <v>1281687.635</v>
      </c>
      <c r="BT85" s="256">
        <f t="shared" si="84"/>
        <v>1332955.141</v>
      </c>
      <c r="BU85" s="256">
        <f t="shared" si="84"/>
        <v>1361421.377</v>
      </c>
      <c r="BV85" s="256">
        <f t="shared" si="84"/>
        <v>1375654.495</v>
      </c>
      <c r="BW85" s="256">
        <f t="shared" si="84"/>
        <v>1375654.495</v>
      </c>
      <c r="BX85" s="256">
        <f t="shared" si="84"/>
        <v>1444913.793</v>
      </c>
      <c r="BY85" s="256">
        <f t="shared" si="84"/>
        <v>1444913.793</v>
      </c>
      <c r="BZ85" s="256">
        <f t="shared" si="84"/>
        <v>1473380.029</v>
      </c>
      <c r="CA85" s="256">
        <f t="shared" si="84"/>
        <v>1494729.707</v>
      </c>
    </row>
    <row r="86" ht="15.75" customHeight="1">
      <c r="A86" s="132"/>
      <c r="B86" s="247"/>
      <c r="C86" s="247"/>
      <c r="D86" s="247"/>
      <c r="E86" s="247"/>
      <c r="F86" s="247"/>
      <c r="G86" s="246"/>
      <c r="H86" s="246"/>
      <c r="I86" s="246"/>
      <c r="J86" s="246"/>
      <c r="K86" s="246"/>
      <c r="L86" s="246"/>
      <c r="M86" s="246"/>
      <c r="N86" s="246"/>
      <c r="O86" s="246"/>
      <c r="P86" s="246"/>
      <c r="Q86" s="246"/>
      <c r="R86" s="246"/>
      <c r="S86" s="246"/>
      <c r="T86" s="246"/>
      <c r="U86" s="246"/>
      <c r="V86" s="246"/>
      <c r="W86" s="246"/>
      <c r="X86" s="246"/>
      <c r="Y86" s="246"/>
      <c r="Z86" s="246"/>
      <c r="AA86" s="246"/>
      <c r="AB86" s="246"/>
      <c r="AC86" s="246"/>
      <c r="AD86" s="246"/>
      <c r="AE86" s="246"/>
      <c r="AF86" s="246"/>
      <c r="AG86" s="246"/>
      <c r="AH86" s="246"/>
      <c r="AI86" s="246"/>
      <c r="AJ86" s="246"/>
      <c r="AK86" s="246"/>
      <c r="AL86" s="246"/>
      <c r="AM86" s="246"/>
      <c r="AN86" s="246"/>
      <c r="AO86" s="246"/>
      <c r="AP86" s="246"/>
      <c r="AQ86" s="246"/>
      <c r="AR86" s="246"/>
      <c r="AS86" s="246"/>
      <c r="AT86" s="246"/>
      <c r="AU86" s="246"/>
      <c r="AV86" s="246"/>
      <c r="AW86" s="246"/>
      <c r="AX86" s="246"/>
      <c r="AY86" s="246"/>
      <c r="AZ86" s="246"/>
      <c r="BA86" s="246"/>
      <c r="BB86" s="246"/>
      <c r="BC86" s="246"/>
      <c r="BD86" s="246"/>
      <c r="BE86" s="246"/>
      <c r="BF86" s="246"/>
      <c r="BG86" s="246"/>
      <c r="BH86" s="246"/>
      <c r="BI86" s="246"/>
      <c r="BJ86" s="246"/>
      <c r="BK86" s="246"/>
      <c r="BL86" s="246"/>
      <c r="BM86" s="246"/>
      <c r="BN86" s="246"/>
      <c r="BO86" s="246"/>
      <c r="BP86" s="246"/>
      <c r="BQ86" s="246"/>
      <c r="BR86" s="246"/>
      <c r="BS86" s="246"/>
      <c r="BT86" s="246"/>
      <c r="BU86" s="246"/>
      <c r="BV86" s="246"/>
      <c r="BW86" s="246"/>
      <c r="BX86" s="246"/>
      <c r="BY86" s="246"/>
      <c r="BZ86" s="246"/>
      <c r="CA86" s="246"/>
    </row>
    <row r="87" ht="15.75" customHeight="1">
      <c r="A87" s="132" t="s">
        <v>443</v>
      </c>
      <c r="B87" s="247">
        <f>'Opex Departments'!J7</f>
        <v>3490</v>
      </c>
      <c r="C87" s="247">
        <f>'Opex Departments'!K7</f>
        <v>1415</v>
      </c>
      <c r="D87" s="247">
        <f>'Opex Departments'!L7</f>
        <v>1915</v>
      </c>
      <c r="E87" s="247">
        <f>'Opex Departments'!M7</f>
        <v>2675</v>
      </c>
      <c r="F87" s="247">
        <f>'Opex Departments'!N7</f>
        <v>787</v>
      </c>
      <c r="G87" s="247">
        <f>'Opex Departments'!O7</f>
        <v>4156</v>
      </c>
      <c r="H87" s="247">
        <f>'Opex Departments'!P7</f>
        <v>70</v>
      </c>
      <c r="I87" s="247">
        <f>'Opex Departments'!Q7</f>
        <v>4577</v>
      </c>
      <c r="J87" s="247">
        <f>'Opex Departments'!R7</f>
        <v>762</v>
      </c>
      <c r="K87" s="247">
        <f>'Opex Departments'!S7</f>
        <v>3197</v>
      </c>
      <c r="L87" s="247">
        <f>'Opex Departments'!T7</f>
        <v>4312</v>
      </c>
      <c r="M87" s="247">
        <f>'Opex Departments'!U7</f>
        <v>1668</v>
      </c>
      <c r="N87" s="247">
        <f>'Opex Departments'!V7</f>
        <v>2715</v>
      </c>
      <c r="O87" s="247">
        <f>'Opex Departments'!W7</f>
        <v>821</v>
      </c>
      <c r="P87" s="247">
        <f>'Opex Departments'!X7</f>
        <v>3111</v>
      </c>
      <c r="Q87" s="247">
        <f>'Opex Departments'!Y7</f>
        <v>1852</v>
      </c>
      <c r="R87" s="247">
        <f>'Opex Departments'!Z7</f>
        <v>1985</v>
      </c>
      <c r="S87" s="246">
        <f t="shared" ref="S87:CA87" si="85">R87*(1+S$76)+SUM(S73)</f>
        <v>31985</v>
      </c>
      <c r="T87" s="246">
        <f t="shared" si="85"/>
        <v>33424.325</v>
      </c>
      <c r="U87" s="246">
        <f t="shared" si="85"/>
        <v>41424.325</v>
      </c>
      <c r="V87" s="246">
        <f t="shared" si="85"/>
        <v>49424.325</v>
      </c>
      <c r="W87" s="246">
        <f t="shared" si="85"/>
        <v>57424.325</v>
      </c>
      <c r="X87" s="246">
        <f t="shared" si="85"/>
        <v>60008.41963</v>
      </c>
      <c r="Y87" s="246">
        <f t="shared" si="85"/>
        <v>60008.41963</v>
      </c>
      <c r="Z87" s="246">
        <f t="shared" si="85"/>
        <v>60008.41963</v>
      </c>
      <c r="AA87" s="246">
        <f t="shared" si="85"/>
        <v>60008.41963</v>
      </c>
      <c r="AB87" s="246">
        <f t="shared" si="85"/>
        <v>62708.79851</v>
      </c>
      <c r="AC87" s="246">
        <f t="shared" si="85"/>
        <v>62708.79851</v>
      </c>
      <c r="AD87" s="246">
        <f t="shared" si="85"/>
        <v>62708.79851</v>
      </c>
      <c r="AE87" s="246">
        <f t="shared" si="85"/>
        <v>62708.79851</v>
      </c>
      <c r="AF87" s="246">
        <f t="shared" si="85"/>
        <v>65217.15045</v>
      </c>
      <c r="AG87" s="246">
        <f t="shared" si="85"/>
        <v>65217.15045</v>
      </c>
      <c r="AH87" s="246">
        <f t="shared" si="85"/>
        <v>65217.15045</v>
      </c>
      <c r="AI87" s="246">
        <f t="shared" si="85"/>
        <v>65217.15045</v>
      </c>
      <c r="AJ87" s="246">
        <f t="shared" si="85"/>
        <v>67825.83647</v>
      </c>
      <c r="AK87" s="246">
        <f t="shared" si="85"/>
        <v>67825.83647</v>
      </c>
      <c r="AL87" s="246">
        <f t="shared" si="85"/>
        <v>67825.83647</v>
      </c>
      <c r="AM87" s="246">
        <f t="shared" si="85"/>
        <v>67825.83647</v>
      </c>
      <c r="AN87" s="246">
        <f t="shared" si="85"/>
        <v>70538.86993</v>
      </c>
      <c r="AO87" s="246">
        <f t="shared" si="85"/>
        <v>70538.86993</v>
      </c>
      <c r="AP87" s="246">
        <f t="shared" si="85"/>
        <v>70538.86993</v>
      </c>
      <c r="AQ87" s="246">
        <f t="shared" si="85"/>
        <v>70538.86993</v>
      </c>
      <c r="AR87" s="246">
        <f t="shared" si="85"/>
        <v>73360.42472</v>
      </c>
      <c r="AS87" s="246">
        <f t="shared" si="85"/>
        <v>73360.42472</v>
      </c>
      <c r="AT87" s="246">
        <f t="shared" si="85"/>
        <v>73360.42472</v>
      </c>
      <c r="AU87" s="246">
        <f t="shared" si="85"/>
        <v>73360.42472</v>
      </c>
      <c r="AV87" s="246">
        <f t="shared" si="85"/>
        <v>76294.84171</v>
      </c>
      <c r="AW87" s="246">
        <f t="shared" si="85"/>
        <v>76294.84171</v>
      </c>
      <c r="AX87" s="246">
        <f t="shared" si="85"/>
        <v>76294.84171</v>
      </c>
      <c r="AY87" s="246">
        <f t="shared" si="85"/>
        <v>76294.84171</v>
      </c>
      <c r="AZ87" s="246">
        <f t="shared" si="85"/>
        <v>79346.63538</v>
      </c>
      <c r="BA87" s="246">
        <f t="shared" si="85"/>
        <v>79346.63538</v>
      </c>
      <c r="BB87" s="246">
        <f t="shared" si="85"/>
        <v>79346.63538</v>
      </c>
      <c r="BC87" s="246">
        <f t="shared" si="85"/>
        <v>79346.63538</v>
      </c>
      <c r="BD87" s="246">
        <f t="shared" si="85"/>
        <v>82520.50079</v>
      </c>
      <c r="BE87" s="246">
        <f t="shared" si="85"/>
        <v>82520.50079</v>
      </c>
      <c r="BF87" s="246">
        <f t="shared" si="85"/>
        <v>82520.50079</v>
      </c>
      <c r="BG87" s="246">
        <f t="shared" si="85"/>
        <v>82520.50079</v>
      </c>
      <c r="BH87" s="246">
        <f t="shared" si="85"/>
        <v>85821.32083</v>
      </c>
      <c r="BI87" s="246">
        <f t="shared" si="85"/>
        <v>85821.32083</v>
      </c>
      <c r="BJ87" s="246">
        <f t="shared" si="85"/>
        <v>85821.32083</v>
      </c>
      <c r="BK87" s="246">
        <f t="shared" si="85"/>
        <v>85821.32083</v>
      </c>
      <c r="BL87" s="246">
        <f t="shared" si="85"/>
        <v>89254.17366</v>
      </c>
      <c r="BM87" s="246">
        <f t="shared" si="85"/>
        <v>89254.17366</v>
      </c>
      <c r="BN87" s="246">
        <f t="shared" si="85"/>
        <v>89254.17366</v>
      </c>
      <c r="BO87" s="246">
        <f t="shared" si="85"/>
        <v>89254.17366</v>
      </c>
      <c r="BP87" s="246">
        <f t="shared" si="85"/>
        <v>92824.34061</v>
      </c>
      <c r="BQ87" s="246">
        <f t="shared" si="85"/>
        <v>92824.34061</v>
      </c>
      <c r="BR87" s="246">
        <f t="shared" si="85"/>
        <v>92824.34061</v>
      </c>
      <c r="BS87" s="246">
        <f t="shared" si="85"/>
        <v>92824.34061</v>
      </c>
      <c r="BT87" s="246">
        <f t="shared" si="85"/>
        <v>96537.31423</v>
      </c>
      <c r="BU87" s="246">
        <f t="shared" si="85"/>
        <v>96537.31423</v>
      </c>
      <c r="BV87" s="246">
        <f t="shared" si="85"/>
        <v>96537.31423</v>
      </c>
      <c r="BW87" s="246">
        <f t="shared" si="85"/>
        <v>96537.31423</v>
      </c>
      <c r="BX87" s="246">
        <f t="shared" si="85"/>
        <v>100398.8068</v>
      </c>
      <c r="BY87" s="246">
        <f t="shared" si="85"/>
        <v>100398.8068</v>
      </c>
      <c r="BZ87" s="246">
        <f t="shared" si="85"/>
        <v>100398.8068</v>
      </c>
      <c r="CA87" s="246">
        <f t="shared" si="85"/>
        <v>100398.8068</v>
      </c>
    </row>
    <row r="88" ht="15.75" customHeight="1">
      <c r="A88" s="132" t="s">
        <v>444</v>
      </c>
      <c r="B88" s="247">
        <f>'Opex Departments'!J30</f>
        <v>4444</v>
      </c>
      <c r="C88" s="247">
        <f>'Opex Departments'!K30</f>
        <v>3160</v>
      </c>
      <c r="D88" s="247">
        <f>'Opex Departments'!L30</f>
        <v>3861</v>
      </c>
      <c r="E88" s="247">
        <f>'Opex Departments'!M30</f>
        <v>1934</v>
      </c>
      <c r="F88" s="247">
        <f>'Opex Departments'!N30</f>
        <v>335</v>
      </c>
      <c r="G88" s="247">
        <f>'Opex Departments'!O30</f>
        <v>2630</v>
      </c>
      <c r="H88" s="247">
        <f>'Opex Departments'!P30</f>
        <v>373</v>
      </c>
      <c r="I88" s="247">
        <f>'Opex Departments'!Q30</f>
        <v>2229</v>
      </c>
      <c r="J88" s="247">
        <f>'Opex Departments'!R30</f>
        <v>4380</v>
      </c>
      <c r="K88" s="247">
        <f>'Opex Departments'!S30</f>
        <v>4018</v>
      </c>
      <c r="L88" s="247">
        <f>'Opex Departments'!T30</f>
        <v>513</v>
      </c>
      <c r="M88" s="247">
        <f>'Opex Departments'!U30</f>
        <v>4103</v>
      </c>
      <c r="N88" s="247">
        <f>'Opex Departments'!V30</f>
        <v>3878</v>
      </c>
      <c r="O88" s="247">
        <f>'Opex Departments'!W30</f>
        <v>3858</v>
      </c>
      <c r="P88" s="247">
        <f>'Opex Departments'!X30</f>
        <v>1118</v>
      </c>
      <c r="Q88" s="247">
        <f>'Opex Departments'!Y30</f>
        <v>3044</v>
      </c>
      <c r="R88" s="247">
        <f>'Opex Departments'!Z30</f>
        <v>3963</v>
      </c>
      <c r="S88" s="246">
        <f t="shared" ref="S88:CA88" si="86">R88*(1+S$76)+SUM(S72)</f>
        <v>23963</v>
      </c>
      <c r="T88" s="246">
        <f t="shared" si="86"/>
        <v>66641.335</v>
      </c>
      <c r="U88" s="246">
        <f t="shared" si="86"/>
        <v>77041.335</v>
      </c>
      <c r="V88" s="246">
        <f t="shared" si="86"/>
        <v>77041.335</v>
      </c>
      <c r="W88" s="246">
        <f t="shared" si="86"/>
        <v>77041.335</v>
      </c>
      <c r="X88" s="246">
        <f t="shared" si="86"/>
        <v>80508.19508</v>
      </c>
      <c r="Y88" s="246">
        <f t="shared" si="86"/>
        <v>80508.19508</v>
      </c>
      <c r="Z88" s="246">
        <f t="shared" si="86"/>
        <v>80508.19508</v>
      </c>
      <c r="AA88" s="246">
        <f t="shared" si="86"/>
        <v>80508.19508</v>
      </c>
      <c r="AB88" s="246">
        <f t="shared" si="86"/>
        <v>84131.06385</v>
      </c>
      <c r="AC88" s="246">
        <f t="shared" si="86"/>
        <v>84131.06385</v>
      </c>
      <c r="AD88" s="246">
        <f t="shared" si="86"/>
        <v>84131.06385</v>
      </c>
      <c r="AE88" s="246">
        <f t="shared" si="86"/>
        <v>84131.06385</v>
      </c>
      <c r="AF88" s="246">
        <f t="shared" si="86"/>
        <v>87496.30641</v>
      </c>
      <c r="AG88" s="246">
        <f t="shared" si="86"/>
        <v>87496.30641</v>
      </c>
      <c r="AH88" s="246">
        <f t="shared" si="86"/>
        <v>87496.30641</v>
      </c>
      <c r="AI88" s="246">
        <f t="shared" si="86"/>
        <v>87496.30641</v>
      </c>
      <c r="AJ88" s="246">
        <f t="shared" si="86"/>
        <v>90996.15866</v>
      </c>
      <c r="AK88" s="246">
        <f t="shared" si="86"/>
        <v>90996.15866</v>
      </c>
      <c r="AL88" s="246">
        <f t="shared" si="86"/>
        <v>90996.15866</v>
      </c>
      <c r="AM88" s="246">
        <f t="shared" si="86"/>
        <v>90996.15866</v>
      </c>
      <c r="AN88" s="246">
        <f t="shared" si="86"/>
        <v>94636.00501</v>
      </c>
      <c r="AO88" s="246">
        <f t="shared" si="86"/>
        <v>94636.00501</v>
      </c>
      <c r="AP88" s="246">
        <f t="shared" si="86"/>
        <v>94636.00501</v>
      </c>
      <c r="AQ88" s="246">
        <f t="shared" si="86"/>
        <v>94636.00501</v>
      </c>
      <c r="AR88" s="246">
        <f t="shared" si="86"/>
        <v>98421.44521</v>
      </c>
      <c r="AS88" s="246">
        <f t="shared" si="86"/>
        <v>98421.44521</v>
      </c>
      <c r="AT88" s="246">
        <f t="shared" si="86"/>
        <v>98421.44521</v>
      </c>
      <c r="AU88" s="246">
        <f t="shared" si="86"/>
        <v>98421.44521</v>
      </c>
      <c r="AV88" s="246">
        <f t="shared" si="86"/>
        <v>102358.303</v>
      </c>
      <c r="AW88" s="246">
        <f t="shared" si="86"/>
        <v>102358.303</v>
      </c>
      <c r="AX88" s="246">
        <f t="shared" si="86"/>
        <v>102358.303</v>
      </c>
      <c r="AY88" s="246">
        <f t="shared" si="86"/>
        <v>102358.303</v>
      </c>
      <c r="AZ88" s="246">
        <f t="shared" si="86"/>
        <v>106452.6351</v>
      </c>
      <c r="BA88" s="246">
        <f t="shared" si="86"/>
        <v>106452.6351</v>
      </c>
      <c r="BB88" s="246">
        <f t="shared" si="86"/>
        <v>106452.6351</v>
      </c>
      <c r="BC88" s="246">
        <f t="shared" si="86"/>
        <v>106452.6351</v>
      </c>
      <c r="BD88" s="246">
        <f t="shared" si="86"/>
        <v>110710.7405</v>
      </c>
      <c r="BE88" s="246">
        <f t="shared" si="86"/>
        <v>110710.7405</v>
      </c>
      <c r="BF88" s="246">
        <f t="shared" si="86"/>
        <v>110710.7405</v>
      </c>
      <c r="BG88" s="246">
        <f t="shared" si="86"/>
        <v>110710.7405</v>
      </c>
      <c r="BH88" s="246">
        <f t="shared" si="86"/>
        <v>115139.1702</v>
      </c>
      <c r="BI88" s="246">
        <f t="shared" si="86"/>
        <v>115139.1702</v>
      </c>
      <c r="BJ88" s="246">
        <f t="shared" si="86"/>
        <v>115139.1702</v>
      </c>
      <c r="BK88" s="246">
        <f t="shared" si="86"/>
        <v>115139.1702</v>
      </c>
      <c r="BL88" s="246">
        <f t="shared" si="86"/>
        <v>119744.737</v>
      </c>
      <c r="BM88" s="246">
        <f t="shared" si="86"/>
        <v>119744.737</v>
      </c>
      <c r="BN88" s="246">
        <f t="shared" si="86"/>
        <v>119744.737</v>
      </c>
      <c r="BO88" s="246">
        <f t="shared" si="86"/>
        <v>119744.737</v>
      </c>
      <c r="BP88" s="246">
        <f t="shared" si="86"/>
        <v>124534.5265</v>
      </c>
      <c r="BQ88" s="246">
        <f t="shared" si="86"/>
        <v>124534.5265</v>
      </c>
      <c r="BR88" s="246">
        <f t="shared" si="86"/>
        <v>124534.5265</v>
      </c>
      <c r="BS88" s="246">
        <f t="shared" si="86"/>
        <v>124534.5265</v>
      </c>
      <c r="BT88" s="246">
        <f t="shared" si="86"/>
        <v>129515.9075</v>
      </c>
      <c r="BU88" s="246">
        <f t="shared" si="86"/>
        <v>129515.9075</v>
      </c>
      <c r="BV88" s="246">
        <f t="shared" si="86"/>
        <v>129515.9075</v>
      </c>
      <c r="BW88" s="246">
        <f t="shared" si="86"/>
        <v>129515.9075</v>
      </c>
      <c r="BX88" s="246">
        <f t="shared" si="86"/>
        <v>134696.5438</v>
      </c>
      <c r="BY88" s="246">
        <f t="shared" si="86"/>
        <v>134696.5438</v>
      </c>
      <c r="BZ88" s="246">
        <f t="shared" si="86"/>
        <v>134696.5438</v>
      </c>
      <c r="CA88" s="246">
        <f t="shared" si="86"/>
        <v>134696.5438</v>
      </c>
    </row>
    <row r="89" ht="15.75" customHeight="1">
      <c r="A89" s="132" t="s">
        <v>445</v>
      </c>
      <c r="B89" s="247">
        <f>'Opex Departments'!J57</f>
        <v>3811</v>
      </c>
      <c r="C89" s="247">
        <f>'Opex Departments'!K57</f>
        <v>4014</v>
      </c>
      <c r="D89" s="247">
        <f>'Opex Departments'!L57</f>
        <v>1901</v>
      </c>
      <c r="E89" s="247">
        <f>'Opex Departments'!M57</f>
        <v>3080</v>
      </c>
      <c r="F89" s="247">
        <f>'Opex Departments'!N57</f>
        <v>4120</v>
      </c>
      <c r="G89" s="247">
        <f>'Opex Departments'!O57</f>
        <v>3109</v>
      </c>
      <c r="H89" s="247">
        <f>'Opex Departments'!P57</f>
        <v>2809</v>
      </c>
      <c r="I89" s="247">
        <f>'Opex Departments'!Q57</f>
        <v>3816</v>
      </c>
      <c r="J89" s="247">
        <f>'Opex Departments'!R57</f>
        <v>14</v>
      </c>
      <c r="K89" s="247">
        <f>'Opex Departments'!S57</f>
        <v>2124</v>
      </c>
      <c r="L89" s="247">
        <f>'Opex Departments'!T57</f>
        <v>903</v>
      </c>
      <c r="M89" s="247">
        <f>'Opex Departments'!U57</f>
        <v>4362</v>
      </c>
      <c r="N89" s="247">
        <f>'Opex Departments'!V57</f>
        <v>218</v>
      </c>
      <c r="O89" s="247">
        <f>'Opex Departments'!W57</f>
        <v>1708</v>
      </c>
      <c r="P89" s="247">
        <f>'Opex Departments'!X57</f>
        <v>2382</v>
      </c>
      <c r="Q89" s="247">
        <f>'Opex Departments'!Y57</f>
        <v>780</v>
      </c>
      <c r="R89" s="247">
        <f>'Opex Departments'!Z57</f>
        <v>2980</v>
      </c>
      <c r="S89" s="246">
        <f t="shared" ref="S89:CA89" si="87">R89*(1+S$76)+S70</f>
        <v>2980</v>
      </c>
      <c r="T89" s="246">
        <f t="shared" si="87"/>
        <v>3114.1</v>
      </c>
      <c r="U89" s="246">
        <f t="shared" si="87"/>
        <v>3114.1</v>
      </c>
      <c r="V89" s="246">
        <f t="shared" si="87"/>
        <v>3114.1</v>
      </c>
      <c r="W89" s="246">
        <f t="shared" si="87"/>
        <v>8114.1</v>
      </c>
      <c r="X89" s="246">
        <f t="shared" si="87"/>
        <v>8479.2345</v>
      </c>
      <c r="Y89" s="246">
        <f t="shared" si="87"/>
        <v>8479.2345</v>
      </c>
      <c r="Z89" s="246">
        <f t="shared" si="87"/>
        <v>8479.2345</v>
      </c>
      <c r="AA89" s="246">
        <f t="shared" si="87"/>
        <v>13679.2345</v>
      </c>
      <c r="AB89" s="246">
        <f t="shared" si="87"/>
        <v>14294.80005</v>
      </c>
      <c r="AC89" s="246">
        <f t="shared" si="87"/>
        <v>14294.80005</v>
      </c>
      <c r="AD89" s="246">
        <f t="shared" si="87"/>
        <v>19494.80005</v>
      </c>
      <c r="AE89" s="246">
        <f t="shared" si="87"/>
        <v>19494.80005</v>
      </c>
      <c r="AF89" s="246">
        <f t="shared" si="87"/>
        <v>20274.59205</v>
      </c>
      <c r="AG89" s="246">
        <f t="shared" si="87"/>
        <v>20274.59205</v>
      </c>
      <c r="AH89" s="246">
        <f t="shared" si="87"/>
        <v>20274.59205</v>
      </c>
      <c r="AI89" s="246">
        <f t="shared" si="87"/>
        <v>20274.59205</v>
      </c>
      <c r="AJ89" s="246">
        <f t="shared" si="87"/>
        <v>21085.57574</v>
      </c>
      <c r="AK89" s="246">
        <f t="shared" si="87"/>
        <v>21085.57574</v>
      </c>
      <c r="AL89" s="246">
        <f t="shared" si="87"/>
        <v>21085.57574</v>
      </c>
      <c r="AM89" s="246">
        <f t="shared" si="87"/>
        <v>21085.57574</v>
      </c>
      <c r="AN89" s="246">
        <f t="shared" si="87"/>
        <v>21928.99877</v>
      </c>
      <c r="AO89" s="246">
        <f t="shared" si="87"/>
        <v>21928.99877</v>
      </c>
      <c r="AP89" s="246">
        <f t="shared" si="87"/>
        <v>21928.99877</v>
      </c>
      <c r="AQ89" s="246">
        <f t="shared" si="87"/>
        <v>21928.99877</v>
      </c>
      <c r="AR89" s="246">
        <f t="shared" si="87"/>
        <v>22806.15872</v>
      </c>
      <c r="AS89" s="246">
        <f t="shared" si="87"/>
        <v>22806.15872</v>
      </c>
      <c r="AT89" s="246">
        <f t="shared" si="87"/>
        <v>22806.15872</v>
      </c>
      <c r="AU89" s="246">
        <f t="shared" si="87"/>
        <v>22806.15872</v>
      </c>
      <c r="AV89" s="246">
        <f t="shared" si="87"/>
        <v>23718.40507</v>
      </c>
      <c r="AW89" s="246">
        <f t="shared" si="87"/>
        <v>23718.40507</v>
      </c>
      <c r="AX89" s="246">
        <f t="shared" si="87"/>
        <v>29801.66958</v>
      </c>
      <c r="AY89" s="246">
        <f t="shared" si="87"/>
        <v>29801.66958</v>
      </c>
      <c r="AZ89" s="246">
        <f t="shared" si="87"/>
        <v>30993.73636</v>
      </c>
      <c r="BA89" s="246">
        <f t="shared" si="87"/>
        <v>30993.73636</v>
      </c>
      <c r="BB89" s="246">
        <f t="shared" si="87"/>
        <v>30993.73636</v>
      </c>
      <c r="BC89" s="246">
        <f t="shared" si="87"/>
        <v>30993.73636</v>
      </c>
      <c r="BD89" s="246">
        <f t="shared" si="87"/>
        <v>32233.48582</v>
      </c>
      <c r="BE89" s="246">
        <f t="shared" si="87"/>
        <v>32233.48582</v>
      </c>
      <c r="BF89" s="246">
        <f t="shared" si="87"/>
        <v>32233.48582</v>
      </c>
      <c r="BG89" s="246">
        <f t="shared" si="87"/>
        <v>32233.48582</v>
      </c>
      <c r="BH89" s="246">
        <f t="shared" si="87"/>
        <v>39849.42034</v>
      </c>
      <c r="BI89" s="246">
        <f t="shared" si="87"/>
        <v>39849.42034</v>
      </c>
      <c r="BJ89" s="246">
        <f t="shared" si="87"/>
        <v>39849.42034</v>
      </c>
      <c r="BK89" s="246">
        <f t="shared" si="87"/>
        <v>39849.42034</v>
      </c>
      <c r="BL89" s="246">
        <f t="shared" si="87"/>
        <v>41443.39715</v>
      </c>
      <c r="BM89" s="246">
        <f t="shared" si="87"/>
        <v>41443.39715</v>
      </c>
      <c r="BN89" s="246">
        <f t="shared" si="87"/>
        <v>41443.39715</v>
      </c>
      <c r="BO89" s="246">
        <f t="shared" si="87"/>
        <v>41443.39715</v>
      </c>
      <c r="BP89" s="246">
        <f t="shared" si="87"/>
        <v>43101.13304</v>
      </c>
      <c r="BQ89" s="246">
        <f t="shared" si="87"/>
        <v>43101.13304</v>
      </c>
      <c r="BR89" s="246">
        <f t="shared" si="87"/>
        <v>43101.13304</v>
      </c>
      <c r="BS89" s="246">
        <f t="shared" si="87"/>
        <v>43101.13304</v>
      </c>
      <c r="BT89" s="246">
        <f t="shared" si="87"/>
        <v>44825.17836</v>
      </c>
      <c r="BU89" s="246">
        <f t="shared" si="87"/>
        <v>44825.17836</v>
      </c>
      <c r="BV89" s="246">
        <f t="shared" si="87"/>
        <v>44825.17836</v>
      </c>
      <c r="BW89" s="246">
        <f t="shared" si="87"/>
        <v>44825.17836</v>
      </c>
      <c r="BX89" s="246">
        <f t="shared" si="87"/>
        <v>46618.1855</v>
      </c>
      <c r="BY89" s="246">
        <f t="shared" si="87"/>
        <v>46618.1855</v>
      </c>
      <c r="BZ89" s="246">
        <f t="shared" si="87"/>
        <v>46618.1855</v>
      </c>
      <c r="CA89" s="246">
        <f t="shared" si="87"/>
        <v>46618.1855</v>
      </c>
    </row>
    <row r="90" ht="15.75" customHeight="1">
      <c r="A90" s="132" t="s">
        <v>446</v>
      </c>
      <c r="B90" s="247">
        <f>'Opex Departments'!J76</f>
        <v>3467</v>
      </c>
      <c r="C90" s="247">
        <f>'Opex Departments'!K76</f>
        <v>1707</v>
      </c>
      <c r="D90" s="247">
        <f>'Opex Departments'!L76</f>
        <v>2397</v>
      </c>
      <c r="E90" s="247">
        <f>'Opex Departments'!M76</f>
        <v>654</v>
      </c>
      <c r="F90" s="247">
        <f>'Opex Departments'!N76</f>
        <v>2877</v>
      </c>
      <c r="G90" s="247">
        <f>'Opex Departments'!O76</f>
        <v>2835</v>
      </c>
      <c r="H90" s="247">
        <f>'Opex Departments'!P76</f>
        <v>2906</v>
      </c>
      <c r="I90" s="247">
        <f>'Opex Departments'!Q76</f>
        <v>1957</v>
      </c>
      <c r="J90" s="247">
        <f>'Opex Departments'!R76</f>
        <v>3727</v>
      </c>
      <c r="K90" s="247">
        <f>'Opex Departments'!S76</f>
        <v>2051</v>
      </c>
      <c r="L90" s="247">
        <f>'Opex Departments'!T76</f>
        <v>3376</v>
      </c>
      <c r="M90" s="247">
        <f>'Opex Departments'!U76</f>
        <v>97</v>
      </c>
      <c r="N90" s="247">
        <f>'Opex Departments'!V76</f>
        <v>4485</v>
      </c>
      <c r="O90" s="247">
        <f>'Opex Departments'!W76</f>
        <v>1405</v>
      </c>
      <c r="P90" s="247">
        <f>'Opex Departments'!X76</f>
        <v>3308</v>
      </c>
      <c r="Q90" s="247">
        <f>'Opex Departments'!Y76</f>
        <v>4026</v>
      </c>
      <c r="R90" s="247">
        <f>'Opex Departments'!Z76</f>
        <v>2283</v>
      </c>
      <c r="S90" s="246">
        <f t="shared" ref="S90:CA90" si="88">R90*(1+S$76)+SUM(S71)</f>
        <v>22283</v>
      </c>
      <c r="T90" s="246">
        <f t="shared" si="88"/>
        <v>23285.735</v>
      </c>
      <c r="U90" s="246">
        <f t="shared" si="88"/>
        <v>23285.735</v>
      </c>
      <c r="V90" s="246">
        <f t="shared" si="88"/>
        <v>23285.735</v>
      </c>
      <c r="W90" s="246">
        <f t="shared" si="88"/>
        <v>23285.735</v>
      </c>
      <c r="X90" s="246">
        <f t="shared" si="88"/>
        <v>24333.59308</v>
      </c>
      <c r="Y90" s="246">
        <f t="shared" si="88"/>
        <v>24333.59308</v>
      </c>
      <c r="Z90" s="246">
        <f t="shared" si="88"/>
        <v>35149.59308</v>
      </c>
      <c r="AA90" s="246">
        <f t="shared" si="88"/>
        <v>45965.59308</v>
      </c>
      <c r="AB90" s="246">
        <f t="shared" si="88"/>
        <v>58850.04476</v>
      </c>
      <c r="AC90" s="246">
        <f t="shared" si="88"/>
        <v>69666.04476</v>
      </c>
      <c r="AD90" s="246">
        <f t="shared" si="88"/>
        <v>80482.04476</v>
      </c>
      <c r="AE90" s="246">
        <f t="shared" si="88"/>
        <v>91298.04476</v>
      </c>
      <c r="AF90" s="246">
        <f t="shared" si="88"/>
        <v>106198.6066</v>
      </c>
      <c r="AG90" s="246">
        <f t="shared" si="88"/>
        <v>106198.6066</v>
      </c>
      <c r="AH90" s="246">
        <f t="shared" si="88"/>
        <v>106198.6066</v>
      </c>
      <c r="AI90" s="246">
        <f t="shared" si="88"/>
        <v>106198.6066</v>
      </c>
      <c r="AJ90" s="246">
        <f t="shared" si="88"/>
        <v>110446.5508</v>
      </c>
      <c r="AK90" s="246">
        <f t="shared" si="88"/>
        <v>110446.5508</v>
      </c>
      <c r="AL90" s="246">
        <f t="shared" si="88"/>
        <v>110446.5508</v>
      </c>
      <c r="AM90" s="246">
        <f t="shared" si="88"/>
        <v>110446.5508</v>
      </c>
      <c r="AN90" s="246">
        <f t="shared" si="88"/>
        <v>114864.4128</v>
      </c>
      <c r="AO90" s="246">
        <f t="shared" si="88"/>
        <v>114864.4128</v>
      </c>
      <c r="AP90" s="246">
        <f t="shared" si="88"/>
        <v>114864.4128</v>
      </c>
      <c r="AQ90" s="246">
        <f t="shared" si="88"/>
        <v>114864.4128</v>
      </c>
      <c r="AR90" s="246">
        <f t="shared" si="88"/>
        <v>119458.9894</v>
      </c>
      <c r="AS90" s="246">
        <f t="shared" si="88"/>
        <v>119458.9894</v>
      </c>
      <c r="AT90" s="246">
        <f t="shared" si="88"/>
        <v>119458.9894</v>
      </c>
      <c r="AU90" s="246">
        <f t="shared" si="88"/>
        <v>119458.9894</v>
      </c>
      <c r="AV90" s="246">
        <f t="shared" si="88"/>
        <v>136403.878</v>
      </c>
      <c r="AW90" s="246">
        <f t="shared" si="88"/>
        <v>136403.878</v>
      </c>
      <c r="AX90" s="246">
        <f t="shared" si="88"/>
        <v>136403.878</v>
      </c>
      <c r="AY90" s="246">
        <f t="shared" si="88"/>
        <v>149057.0681</v>
      </c>
      <c r="AZ90" s="246">
        <f t="shared" si="88"/>
        <v>155019.3509</v>
      </c>
      <c r="BA90" s="246">
        <f t="shared" si="88"/>
        <v>167672.5411</v>
      </c>
      <c r="BB90" s="246">
        <f t="shared" si="88"/>
        <v>167672.5411</v>
      </c>
      <c r="BC90" s="246">
        <f t="shared" si="88"/>
        <v>167672.5411</v>
      </c>
      <c r="BD90" s="246">
        <f t="shared" si="88"/>
        <v>187538.7605</v>
      </c>
      <c r="BE90" s="246">
        <f t="shared" si="88"/>
        <v>187538.7605</v>
      </c>
      <c r="BF90" s="246">
        <f t="shared" si="88"/>
        <v>187538.7605</v>
      </c>
      <c r="BG90" s="246">
        <f t="shared" si="88"/>
        <v>200698.0783</v>
      </c>
      <c r="BH90" s="246">
        <f t="shared" si="88"/>
        <v>208726.0014</v>
      </c>
      <c r="BI90" s="246">
        <f t="shared" si="88"/>
        <v>208726.0014</v>
      </c>
      <c r="BJ90" s="246">
        <f t="shared" si="88"/>
        <v>222411.6919</v>
      </c>
      <c r="BK90" s="246">
        <f t="shared" si="88"/>
        <v>222411.6919</v>
      </c>
      <c r="BL90" s="246">
        <f t="shared" si="88"/>
        <v>231308.1596</v>
      </c>
      <c r="BM90" s="246">
        <f t="shared" si="88"/>
        <v>244993.8501</v>
      </c>
      <c r="BN90" s="246">
        <f t="shared" si="88"/>
        <v>244993.8501</v>
      </c>
      <c r="BO90" s="246">
        <f t="shared" si="88"/>
        <v>244993.8501</v>
      </c>
      <c r="BP90" s="246">
        <f t="shared" si="88"/>
        <v>269026.7222</v>
      </c>
      <c r="BQ90" s="246">
        <f t="shared" si="88"/>
        <v>269026.7222</v>
      </c>
      <c r="BR90" s="246">
        <f t="shared" si="88"/>
        <v>269026.7222</v>
      </c>
      <c r="BS90" s="246">
        <f t="shared" si="88"/>
        <v>269026.7222</v>
      </c>
      <c r="BT90" s="246">
        <f t="shared" si="88"/>
        <v>279787.7911</v>
      </c>
      <c r="BU90" s="246">
        <f t="shared" si="88"/>
        <v>279787.7911</v>
      </c>
      <c r="BV90" s="246">
        <f t="shared" si="88"/>
        <v>279787.7911</v>
      </c>
      <c r="BW90" s="246">
        <f t="shared" si="88"/>
        <v>279787.7911</v>
      </c>
      <c r="BX90" s="246">
        <f t="shared" si="88"/>
        <v>290979.3028</v>
      </c>
      <c r="BY90" s="246">
        <f t="shared" si="88"/>
        <v>290979.3028</v>
      </c>
      <c r="BZ90" s="246">
        <f t="shared" si="88"/>
        <v>290979.3028</v>
      </c>
      <c r="CA90" s="246">
        <f t="shared" si="88"/>
        <v>290979.3028</v>
      </c>
    </row>
    <row r="91" ht="15.75" customHeight="1">
      <c r="A91" s="132" t="s">
        <v>447</v>
      </c>
      <c r="B91" s="117">
        <f t="shared" ref="B91:CA91" si="89">B92-SUM(B87:B90)</f>
        <v>-13193</v>
      </c>
      <c r="C91" s="117">
        <f t="shared" si="89"/>
        <v>-8862</v>
      </c>
      <c r="D91" s="117">
        <f t="shared" si="89"/>
        <v>-7994</v>
      </c>
      <c r="E91" s="117">
        <f t="shared" si="89"/>
        <v>-6750</v>
      </c>
      <c r="F91" s="117">
        <f t="shared" si="89"/>
        <v>-6382</v>
      </c>
      <c r="G91" s="117">
        <f t="shared" si="89"/>
        <v>-10285</v>
      </c>
      <c r="H91" s="117">
        <f t="shared" si="89"/>
        <v>-4987</v>
      </c>
      <c r="I91" s="117">
        <f t="shared" si="89"/>
        <v>-10656</v>
      </c>
      <c r="J91" s="117">
        <f t="shared" si="89"/>
        <v>-6975</v>
      </c>
      <c r="K91" s="117">
        <f t="shared" si="89"/>
        <v>-9095</v>
      </c>
      <c r="L91" s="117">
        <f t="shared" si="89"/>
        <v>-6968</v>
      </c>
      <c r="M91" s="117">
        <f t="shared" si="89"/>
        <v>-8282</v>
      </c>
      <c r="N91" s="117">
        <f t="shared" si="89"/>
        <v>-10084</v>
      </c>
      <c r="O91" s="117">
        <f t="shared" si="89"/>
        <v>-6494</v>
      </c>
      <c r="P91" s="117">
        <f t="shared" si="89"/>
        <v>-8262</v>
      </c>
      <c r="Q91" s="117">
        <f t="shared" si="89"/>
        <v>-8316</v>
      </c>
      <c r="R91" s="117">
        <f t="shared" si="89"/>
        <v>-9564</v>
      </c>
      <c r="S91" s="117">
        <f t="shared" si="89"/>
        <v>-9564</v>
      </c>
      <c r="T91" s="117">
        <f t="shared" si="89"/>
        <v>-9994.38</v>
      </c>
      <c r="U91" s="117">
        <f t="shared" si="89"/>
        <v>-9994.38</v>
      </c>
      <c r="V91" s="117">
        <f t="shared" si="89"/>
        <v>-9994.38</v>
      </c>
      <c r="W91" s="117">
        <f t="shared" si="89"/>
        <v>-9994.38</v>
      </c>
      <c r="X91" s="117">
        <f t="shared" si="89"/>
        <v>-10444.1271</v>
      </c>
      <c r="Y91" s="117">
        <f t="shared" si="89"/>
        <v>-10444.1271</v>
      </c>
      <c r="Z91" s="117">
        <f t="shared" si="89"/>
        <v>-10444.1271</v>
      </c>
      <c r="AA91" s="117">
        <f t="shared" si="89"/>
        <v>-10444.1271</v>
      </c>
      <c r="AB91" s="117">
        <f t="shared" si="89"/>
        <v>-10914.11282</v>
      </c>
      <c r="AC91" s="117">
        <f t="shared" si="89"/>
        <v>-10914.11282</v>
      </c>
      <c r="AD91" s="117">
        <f t="shared" si="89"/>
        <v>-10914.11282</v>
      </c>
      <c r="AE91" s="117">
        <f t="shared" si="89"/>
        <v>-10914.11282</v>
      </c>
      <c r="AF91" s="117">
        <f t="shared" si="89"/>
        <v>-11350.67733</v>
      </c>
      <c r="AG91" s="117">
        <f t="shared" si="89"/>
        <v>-11350.67733</v>
      </c>
      <c r="AH91" s="117">
        <f t="shared" si="89"/>
        <v>-11350.67733</v>
      </c>
      <c r="AI91" s="117">
        <f t="shared" si="89"/>
        <v>-11350.67733</v>
      </c>
      <c r="AJ91" s="117">
        <f t="shared" si="89"/>
        <v>-11804.70443</v>
      </c>
      <c r="AK91" s="117">
        <f t="shared" si="89"/>
        <v>-11804.70443</v>
      </c>
      <c r="AL91" s="117">
        <f t="shared" si="89"/>
        <v>-11804.70443</v>
      </c>
      <c r="AM91" s="117">
        <f t="shared" si="89"/>
        <v>-11804.70443</v>
      </c>
      <c r="AN91" s="117">
        <f t="shared" si="89"/>
        <v>-12276.8926</v>
      </c>
      <c r="AO91" s="117">
        <f t="shared" si="89"/>
        <v>-12276.8926</v>
      </c>
      <c r="AP91" s="117">
        <f t="shared" si="89"/>
        <v>-12276.8926</v>
      </c>
      <c r="AQ91" s="117">
        <f t="shared" si="89"/>
        <v>-12276.8926</v>
      </c>
      <c r="AR91" s="117">
        <f t="shared" si="89"/>
        <v>-12767.96831</v>
      </c>
      <c r="AS91" s="117">
        <f t="shared" si="89"/>
        <v>-12767.96831</v>
      </c>
      <c r="AT91" s="117">
        <f t="shared" si="89"/>
        <v>-12767.96831</v>
      </c>
      <c r="AU91" s="117">
        <f t="shared" si="89"/>
        <v>-12767.96831</v>
      </c>
      <c r="AV91" s="117">
        <f t="shared" si="89"/>
        <v>-13278.68704</v>
      </c>
      <c r="AW91" s="117">
        <f t="shared" si="89"/>
        <v>-13278.68704</v>
      </c>
      <c r="AX91" s="117">
        <f t="shared" si="89"/>
        <v>-13278.68704</v>
      </c>
      <c r="AY91" s="117">
        <f t="shared" si="89"/>
        <v>-13278.68704</v>
      </c>
      <c r="AZ91" s="117">
        <f t="shared" si="89"/>
        <v>-13809.83452</v>
      </c>
      <c r="BA91" s="117">
        <f t="shared" si="89"/>
        <v>-13809.83452</v>
      </c>
      <c r="BB91" s="117">
        <f t="shared" si="89"/>
        <v>-13809.83452</v>
      </c>
      <c r="BC91" s="117">
        <f t="shared" si="89"/>
        <v>-13809.83452</v>
      </c>
      <c r="BD91" s="117">
        <f t="shared" si="89"/>
        <v>-14362.2279</v>
      </c>
      <c r="BE91" s="117">
        <f t="shared" si="89"/>
        <v>-14362.2279</v>
      </c>
      <c r="BF91" s="117">
        <f t="shared" si="89"/>
        <v>-14362.2279</v>
      </c>
      <c r="BG91" s="117">
        <f t="shared" si="89"/>
        <v>-14362.2279</v>
      </c>
      <c r="BH91" s="117">
        <f t="shared" si="89"/>
        <v>-14936.71702</v>
      </c>
      <c r="BI91" s="117">
        <f t="shared" si="89"/>
        <v>-14936.71702</v>
      </c>
      <c r="BJ91" s="117">
        <f t="shared" si="89"/>
        <v>-14936.71702</v>
      </c>
      <c r="BK91" s="117">
        <f t="shared" si="89"/>
        <v>-14936.71702</v>
      </c>
      <c r="BL91" s="117">
        <f t="shared" si="89"/>
        <v>-15534.1857</v>
      </c>
      <c r="BM91" s="117">
        <f t="shared" si="89"/>
        <v>-15534.1857</v>
      </c>
      <c r="BN91" s="117">
        <f t="shared" si="89"/>
        <v>-15534.1857</v>
      </c>
      <c r="BO91" s="117">
        <f t="shared" si="89"/>
        <v>-15534.1857</v>
      </c>
      <c r="BP91" s="117">
        <f t="shared" si="89"/>
        <v>-16155.55313</v>
      </c>
      <c r="BQ91" s="117">
        <f t="shared" si="89"/>
        <v>-16155.55313</v>
      </c>
      <c r="BR91" s="117">
        <f t="shared" si="89"/>
        <v>-16155.55313</v>
      </c>
      <c r="BS91" s="117">
        <f t="shared" si="89"/>
        <v>-16155.55313</v>
      </c>
      <c r="BT91" s="117">
        <f t="shared" si="89"/>
        <v>-16801.77525</v>
      </c>
      <c r="BU91" s="117">
        <f t="shared" si="89"/>
        <v>-16801.77525</v>
      </c>
      <c r="BV91" s="117">
        <f t="shared" si="89"/>
        <v>-16801.77525</v>
      </c>
      <c r="BW91" s="117">
        <f t="shared" si="89"/>
        <v>-16801.77525</v>
      </c>
      <c r="BX91" s="117">
        <f t="shared" si="89"/>
        <v>-17473.84626</v>
      </c>
      <c r="BY91" s="117">
        <f t="shared" si="89"/>
        <v>-17473.84626</v>
      </c>
      <c r="BZ91" s="117">
        <f t="shared" si="89"/>
        <v>-17473.84626</v>
      </c>
      <c r="CA91" s="117">
        <f t="shared" si="89"/>
        <v>-17473.84626</v>
      </c>
    </row>
    <row r="92" ht="15.75" customHeight="1">
      <c r="A92" s="254" t="s">
        <v>222</v>
      </c>
      <c r="B92" s="255">
        <f t="array" ref="B92">INDEX('IS Proforma'!$1:$1048490,MATCH($A92,'IS Proforma'!$C:$C,0),MATCH(B$4,'IS Proforma'!$4:$4))</f>
        <v>2019</v>
      </c>
      <c r="C92" s="255">
        <f t="array" ref="C92">INDEX('IS Proforma'!$1:$1048490,MATCH($A92,'IS Proforma'!$C:$C,0),MATCH(C$4,'IS Proforma'!$4:$4))</f>
        <v>1434</v>
      </c>
      <c r="D92" s="255">
        <f t="array" ref="D92">INDEX('IS Proforma'!$1:$1048490,MATCH($A92,'IS Proforma'!$C:$C,0),MATCH(D$4,'IS Proforma'!$4:$4))</f>
        <v>2080</v>
      </c>
      <c r="E92" s="255">
        <f t="array" ref="E92">INDEX('IS Proforma'!$1:$1048490,MATCH($A92,'IS Proforma'!$C:$C,0),MATCH(E$4,'IS Proforma'!$4:$4))</f>
        <v>1593</v>
      </c>
      <c r="F92" s="255">
        <f t="array" ref="F92">INDEX('IS Proforma'!$1:$1048490,MATCH($A92,'IS Proforma'!$C:$C,0),MATCH(F$4,'IS Proforma'!$4:$4))</f>
        <v>1737</v>
      </c>
      <c r="G92" s="255">
        <f t="array" ref="G92">INDEX('IS Proforma'!$1:$1048490,MATCH($A92,'IS Proforma'!$C:$C,0),MATCH(G$4,'IS Proforma'!$4:$4))</f>
        <v>2445</v>
      </c>
      <c r="H92" s="255">
        <f t="array" ref="H92">INDEX('IS Proforma'!$1:$1048490,MATCH($A92,'IS Proforma'!$C:$C,0),MATCH(H$4,'IS Proforma'!$4:$4))</f>
        <v>1171</v>
      </c>
      <c r="I92" s="255">
        <f t="array" ref="I92">INDEX('IS Proforma'!$1:$1048490,MATCH($A92,'IS Proforma'!$C:$C,0),MATCH(I$4,'IS Proforma'!$4:$4))</f>
        <v>1923</v>
      </c>
      <c r="J92" s="255">
        <f t="array" ref="J92">INDEX('IS Proforma'!$1:$1048490,MATCH($A92,'IS Proforma'!$C:$C,0),MATCH(J$4,'IS Proforma'!$4:$4))</f>
        <v>1908</v>
      </c>
      <c r="K92" s="255">
        <f t="array" ref="K92">INDEX('IS Proforma'!$1:$1048490,MATCH($A92,'IS Proforma'!$C:$C,0),MATCH(K$4,'IS Proforma'!$4:$4))</f>
        <v>2295</v>
      </c>
      <c r="L92" s="255">
        <f t="array" ref="L92">INDEX('IS Proforma'!$1:$1048490,MATCH($A92,'IS Proforma'!$C:$C,0),MATCH(L$4,'IS Proforma'!$4:$4))</f>
        <v>2136</v>
      </c>
      <c r="M92" s="255">
        <f t="array" ref="M92">INDEX('IS Proforma'!$1:$1048490,MATCH($A92,'IS Proforma'!$C:$C,0),MATCH(M$4,'IS Proforma'!$4:$4))</f>
        <v>1948</v>
      </c>
      <c r="N92" s="255">
        <f t="array" ref="N92">INDEX('IS Proforma'!$1:$1048490,MATCH($A92,'IS Proforma'!$C:$C,0),MATCH(N$4,'IS Proforma'!$4:$4))</f>
        <v>1212</v>
      </c>
      <c r="O92" s="255">
        <f t="array" ref="O92">INDEX('IS Proforma'!$1:$1048490,MATCH($A92,'IS Proforma'!$C:$C,0),MATCH(O$4,'IS Proforma'!$4:$4))</f>
        <v>1298</v>
      </c>
      <c r="P92" s="255">
        <f t="array" ref="P92">INDEX('IS Proforma'!$1:$1048490,MATCH($A92,'IS Proforma'!$C:$C,0),MATCH(P$4,'IS Proforma'!$4:$4))</f>
        <v>1657</v>
      </c>
      <c r="Q92" s="255">
        <f t="array" ref="Q92">INDEX('IS Proforma'!$1:$1048490,MATCH($A92,'IS Proforma'!$C:$C,0),MATCH(Q$4,'IS Proforma'!$4:$4))</f>
        <v>1386</v>
      </c>
      <c r="R92" s="255">
        <f t="array" ref="R92">INDEX('IS Proforma'!$1:$1048490,MATCH($A92,'IS Proforma'!$C:$C,0),MATCH(R$4,'IS Proforma'!$4:$4))</f>
        <v>1647</v>
      </c>
      <c r="S92" s="256">
        <f t="shared" ref="S92:CA92" si="90">R92*(1+S$76)+SUM(S60,S70:S73)</f>
        <v>71647</v>
      </c>
      <c r="T92" s="256">
        <f t="shared" si="90"/>
        <v>116471.115</v>
      </c>
      <c r="U92" s="256">
        <f t="shared" si="90"/>
        <v>134871.115</v>
      </c>
      <c r="V92" s="256">
        <f t="shared" si="90"/>
        <v>142871.115</v>
      </c>
      <c r="W92" s="256">
        <f t="shared" si="90"/>
        <v>155871.115</v>
      </c>
      <c r="X92" s="256">
        <f t="shared" si="90"/>
        <v>162885.3152</v>
      </c>
      <c r="Y92" s="256">
        <f t="shared" si="90"/>
        <v>162885.3152</v>
      </c>
      <c r="Z92" s="256">
        <f t="shared" si="90"/>
        <v>173701.3152</v>
      </c>
      <c r="AA92" s="256">
        <f t="shared" si="90"/>
        <v>189717.3152</v>
      </c>
      <c r="AB92" s="256">
        <f t="shared" si="90"/>
        <v>209070.5944</v>
      </c>
      <c r="AC92" s="256">
        <f t="shared" si="90"/>
        <v>219886.5944</v>
      </c>
      <c r="AD92" s="256">
        <f t="shared" si="90"/>
        <v>235902.5944</v>
      </c>
      <c r="AE92" s="256">
        <f t="shared" si="90"/>
        <v>246718.5944</v>
      </c>
      <c r="AF92" s="256">
        <f t="shared" si="90"/>
        <v>267835.9781</v>
      </c>
      <c r="AG92" s="256">
        <f t="shared" si="90"/>
        <v>267835.9781</v>
      </c>
      <c r="AH92" s="256">
        <f t="shared" si="90"/>
        <v>267835.9781</v>
      </c>
      <c r="AI92" s="256">
        <f t="shared" si="90"/>
        <v>267835.9781</v>
      </c>
      <c r="AJ92" s="256">
        <f t="shared" si="90"/>
        <v>278549.4173</v>
      </c>
      <c r="AK92" s="256">
        <f t="shared" si="90"/>
        <v>278549.4173</v>
      </c>
      <c r="AL92" s="256">
        <f t="shared" si="90"/>
        <v>278549.4173</v>
      </c>
      <c r="AM92" s="256">
        <f t="shared" si="90"/>
        <v>278549.4173</v>
      </c>
      <c r="AN92" s="256">
        <f t="shared" si="90"/>
        <v>289691.3939</v>
      </c>
      <c r="AO92" s="256">
        <f t="shared" si="90"/>
        <v>289691.3939</v>
      </c>
      <c r="AP92" s="256">
        <f t="shared" si="90"/>
        <v>289691.3939</v>
      </c>
      <c r="AQ92" s="256">
        <f t="shared" si="90"/>
        <v>289691.3939</v>
      </c>
      <c r="AR92" s="256">
        <f t="shared" si="90"/>
        <v>301279.0497</v>
      </c>
      <c r="AS92" s="256">
        <f t="shared" si="90"/>
        <v>301279.0497</v>
      </c>
      <c r="AT92" s="256">
        <f t="shared" si="90"/>
        <v>301279.0497</v>
      </c>
      <c r="AU92" s="256">
        <f t="shared" si="90"/>
        <v>301279.0497</v>
      </c>
      <c r="AV92" s="256">
        <f t="shared" si="90"/>
        <v>325496.7407</v>
      </c>
      <c r="AW92" s="256">
        <f t="shared" si="90"/>
        <v>325496.7407</v>
      </c>
      <c r="AX92" s="256">
        <f t="shared" si="90"/>
        <v>331580.0052</v>
      </c>
      <c r="AY92" s="256">
        <f t="shared" si="90"/>
        <v>344233.1954</v>
      </c>
      <c r="AZ92" s="256">
        <f t="shared" si="90"/>
        <v>358002.5232</v>
      </c>
      <c r="BA92" s="256">
        <f t="shared" si="90"/>
        <v>370655.7134</v>
      </c>
      <c r="BB92" s="256">
        <f t="shared" si="90"/>
        <v>370655.7134</v>
      </c>
      <c r="BC92" s="256">
        <f t="shared" si="90"/>
        <v>370655.7134</v>
      </c>
      <c r="BD92" s="256">
        <f t="shared" si="90"/>
        <v>398641.2597</v>
      </c>
      <c r="BE92" s="256">
        <f t="shared" si="90"/>
        <v>398641.2597</v>
      </c>
      <c r="BF92" s="256">
        <f t="shared" si="90"/>
        <v>398641.2597</v>
      </c>
      <c r="BG92" s="256">
        <f t="shared" si="90"/>
        <v>411800.5775</v>
      </c>
      <c r="BH92" s="256">
        <f t="shared" si="90"/>
        <v>434599.1957</v>
      </c>
      <c r="BI92" s="256">
        <f t="shared" si="90"/>
        <v>434599.1957</v>
      </c>
      <c r="BJ92" s="256">
        <f t="shared" si="90"/>
        <v>448284.8862</v>
      </c>
      <c r="BK92" s="256">
        <f t="shared" si="90"/>
        <v>448284.8862</v>
      </c>
      <c r="BL92" s="256">
        <f t="shared" si="90"/>
        <v>466216.2817</v>
      </c>
      <c r="BM92" s="256">
        <f t="shared" si="90"/>
        <v>479901.9722</v>
      </c>
      <c r="BN92" s="256">
        <f t="shared" si="90"/>
        <v>479901.9722</v>
      </c>
      <c r="BO92" s="256">
        <f t="shared" si="90"/>
        <v>479901.9722</v>
      </c>
      <c r="BP92" s="256">
        <f t="shared" si="90"/>
        <v>513331.1692</v>
      </c>
      <c r="BQ92" s="256">
        <f t="shared" si="90"/>
        <v>513331.1692</v>
      </c>
      <c r="BR92" s="256">
        <f t="shared" si="90"/>
        <v>513331.1692</v>
      </c>
      <c r="BS92" s="256">
        <f t="shared" si="90"/>
        <v>513331.1692</v>
      </c>
      <c r="BT92" s="256">
        <f t="shared" si="90"/>
        <v>533864.416</v>
      </c>
      <c r="BU92" s="256">
        <f t="shared" si="90"/>
        <v>533864.416</v>
      </c>
      <c r="BV92" s="256">
        <f t="shared" si="90"/>
        <v>533864.416</v>
      </c>
      <c r="BW92" s="256">
        <f t="shared" si="90"/>
        <v>533864.416</v>
      </c>
      <c r="BX92" s="256">
        <f t="shared" si="90"/>
        <v>555218.9926</v>
      </c>
      <c r="BY92" s="256">
        <f t="shared" si="90"/>
        <v>555218.9926</v>
      </c>
      <c r="BZ92" s="256">
        <f t="shared" si="90"/>
        <v>555218.9926</v>
      </c>
      <c r="CA92" s="256">
        <f t="shared" si="90"/>
        <v>555218.9926</v>
      </c>
    </row>
    <row r="93" ht="15.75" customHeight="1">
      <c r="A93" s="132"/>
      <c r="B93" s="247"/>
      <c r="C93" s="247"/>
      <c r="D93" s="247"/>
      <c r="E93" s="247"/>
      <c r="F93" s="247"/>
      <c r="G93" s="246"/>
      <c r="H93" s="246"/>
      <c r="I93" s="246"/>
      <c r="J93" s="246"/>
      <c r="K93" s="246"/>
      <c r="L93" s="246"/>
      <c r="M93" s="246"/>
      <c r="N93" s="246"/>
      <c r="O93" s="246"/>
      <c r="P93" s="246"/>
      <c r="Q93" s="246"/>
      <c r="R93" s="246"/>
      <c r="S93" s="246"/>
      <c r="T93" s="246"/>
      <c r="U93" s="246"/>
      <c r="V93" s="246"/>
      <c r="W93" s="246"/>
      <c r="X93" s="246"/>
      <c r="Y93" s="246"/>
      <c r="Z93" s="246"/>
      <c r="AA93" s="246"/>
      <c r="AB93" s="246"/>
      <c r="AC93" s="246"/>
      <c r="AD93" s="246"/>
      <c r="AE93" s="246"/>
      <c r="AF93" s="246"/>
      <c r="AG93" s="246"/>
      <c r="AH93" s="246"/>
      <c r="AI93" s="246"/>
      <c r="AJ93" s="246"/>
      <c r="AK93" s="246"/>
      <c r="AL93" s="246"/>
      <c r="AM93" s="246"/>
      <c r="AN93" s="246"/>
      <c r="AO93" s="246"/>
      <c r="AP93" s="246"/>
      <c r="AQ93" s="246"/>
      <c r="AR93" s="246"/>
      <c r="AS93" s="246"/>
      <c r="AT93" s="246"/>
      <c r="AU93" s="246"/>
      <c r="AV93" s="246"/>
      <c r="AW93" s="246"/>
      <c r="AX93" s="246"/>
      <c r="AY93" s="246"/>
      <c r="AZ93" s="246"/>
      <c r="BA93" s="246"/>
      <c r="BB93" s="246"/>
      <c r="BC93" s="246"/>
      <c r="BD93" s="246"/>
      <c r="BE93" s="246"/>
      <c r="BF93" s="246"/>
      <c r="BG93" s="246"/>
      <c r="BH93" s="246"/>
      <c r="BI93" s="246"/>
      <c r="BJ93" s="246"/>
      <c r="BK93" s="246"/>
      <c r="BL93" s="246"/>
      <c r="BM93" s="246"/>
      <c r="BN93" s="246"/>
      <c r="BO93" s="246"/>
      <c r="BP93" s="246"/>
      <c r="BQ93" s="246"/>
      <c r="BR93" s="246"/>
      <c r="BS93" s="246"/>
      <c r="BT93" s="246"/>
      <c r="BU93" s="246"/>
      <c r="BV93" s="246"/>
      <c r="BW93" s="246"/>
      <c r="BX93" s="246"/>
      <c r="BY93" s="246"/>
      <c r="BZ93" s="246"/>
      <c r="CA93" s="246"/>
    </row>
    <row r="94" ht="15.75" customHeight="1">
      <c r="A94" s="257" t="s">
        <v>448</v>
      </c>
      <c r="B94" s="258">
        <f t="shared" ref="B94:CA94" si="91">SUM(B92,B85)</f>
        <v>4087</v>
      </c>
      <c r="C94" s="258">
        <f t="shared" si="91"/>
        <v>3083</v>
      </c>
      <c r="D94" s="258">
        <f t="shared" si="91"/>
        <v>3784</v>
      </c>
      <c r="E94" s="258">
        <f t="shared" si="91"/>
        <v>3487</v>
      </c>
      <c r="F94" s="258">
        <f t="shared" si="91"/>
        <v>3599</v>
      </c>
      <c r="G94" s="258">
        <f t="shared" si="91"/>
        <v>4922</v>
      </c>
      <c r="H94" s="258">
        <f t="shared" si="91"/>
        <v>3589</v>
      </c>
      <c r="I94" s="258">
        <f t="shared" si="91"/>
        <v>3959</v>
      </c>
      <c r="J94" s="258">
        <f t="shared" si="91"/>
        <v>3876</v>
      </c>
      <c r="K94" s="258">
        <f t="shared" si="91"/>
        <v>3691</v>
      </c>
      <c r="L94" s="258">
        <f t="shared" si="91"/>
        <v>3181</v>
      </c>
      <c r="M94" s="258">
        <f t="shared" si="91"/>
        <v>4308</v>
      </c>
      <c r="N94" s="258">
        <f t="shared" si="91"/>
        <v>2418</v>
      </c>
      <c r="O94" s="258">
        <f t="shared" si="91"/>
        <v>3162</v>
      </c>
      <c r="P94" s="258">
        <f t="shared" si="91"/>
        <v>3970</v>
      </c>
      <c r="Q94" s="258">
        <f t="shared" si="91"/>
        <v>3479</v>
      </c>
      <c r="R94" s="258">
        <f t="shared" si="91"/>
        <v>3194</v>
      </c>
      <c r="S94" s="259">
        <f t="shared" si="91"/>
        <v>163194</v>
      </c>
      <c r="T94" s="259">
        <f t="shared" si="91"/>
        <v>212137.73</v>
      </c>
      <c r="U94" s="259">
        <f t="shared" si="91"/>
        <v>240937.73</v>
      </c>
      <c r="V94" s="259">
        <f t="shared" si="91"/>
        <v>259337.73</v>
      </c>
      <c r="W94" s="259">
        <f t="shared" si="91"/>
        <v>277537.73</v>
      </c>
      <c r="X94" s="259">
        <f t="shared" si="91"/>
        <v>290026.9279</v>
      </c>
      <c r="Y94" s="259">
        <f t="shared" si="91"/>
        <v>290026.9279</v>
      </c>
      <c r="Z94" s="259">
        <f t="shared" si="91"/>
        <v>306042.9279</v>
      </c>
      <c r="AA94" s="259">
        <f t="shared" si="91"/>
        <v>327258.9279</v>
      </c>
      <c r="AB94" s="259">
        <f t="shared" si="91"/>
        <v>358001.5796</v>
      </c>
      <c r="AC94" s="259">
        <f t="shared" si="91"/>
        <v>380951.2596</v>
      </c>
      <c r="AD94" s="259">
        <f t="shared" si="91"/>
        <v>402167.2596</v>
      </c>
      <c r="AE94" s="259">
        <f t="shared" si="91"/>
        <v>428999.2596</v>
      </c>
      <c r="AF94" s="259">
        <f t="shared" si="91"/>
        <v>468656.51</v>
      </c>
      <c r="AG94" s="259">
        <f t="shared" si="91"/>
        <v>491153.79</v>
      </c>
      <c r="AH94" s="259">
        <f t="shared" si="91"/>
        <v>502402.43</v>
      </c>
      <c r="AI94" s="259">
        <f t="shared" si="91"/>
        <v>502402.43</v>
      </c>
      <c r="AJ94" s="259">
        <f t="shared" si="91"/>
        <v>533747.1672</v>
      </c>
      <c r="AK94" s="259">
        <f t="shared" si="91"/>
        <v>539155.1672</v>
      </c>
      <c r="AL94" s="259">
        <f t="shared" si="91"/>
        <v>550853.7528</v>
      </c>
      <c r="AM94" s="259">
        <f t="shared" si="91"/>
        <v>568401.6312</v>
      </c>
      <c r="AN94" s="259">
        <f t="shared" si="91"/>
        <v>602836.282</v>
      </c>
      <c r="AO94" s="259">
        <f t="shared" si="91"/>
        <v>614534.8676</v>
      </c>
      <c r="AP94" s="259">
        <f t="shared" si="91"/>
        <v>632082.746</v>
      </c>
      <c r="AQ94" s="259">
        <f t="shared" si="91"/>
        <v>632082.746</v>
      </c>
      <c r="AR94" s="259">
        <f t="shared" si="91"/>
        <v>663215.3487</v>
      </c>
      <c r="AS94" s="259">
        <f t="shared" si="91"/>
        <v>699714.9357</v>
      </c>
      <c r="AT94" s="259">
        <f t="shared" si="91"/>
        <v>717964.7293</v>
      </c>
      <c r="AU94" s="259">
        <f t="shared" si="91"/>
        <v>756180.4989</v>
      </c>
      <c r="AV94" s="259">
        <f t="shared" si="91"/>
        <v>798594.2478</v>
      </c>
      <c r="AW94" s="259">
        <f t="shared" si="91"/>
        <v>810760.7769</v>
      </c>
      <c r="AX94" s="259">
        <f t="shared" si="91"/>
        <v>835823.8267</v>
      </c>
      <c r="AY94" s="259">
        <f t="shared" si="91"/>
        <v>854560.2814</v>
      </c>
      <c r="AZ94" s="259">
        <f t="shared" si="91"/>
        <v>901395.8828</v>
      </c>
      <c r="BA94" s="259">
        <f t="shared" si="91"/>
        <v>933028.8583</v>
      </c>
      <c r="BB94" s="259">
        <f t="shared" si="91"/>
        <v>933028.8583</v>
      </c>
      <c r="BC94" s="259">
        <f t="shared" si="91"/>
        <v>964418.5031</v>
      </c>
      <c r="BD94" s="259">
        <f t="shared" si="91"/>
        <v>1042220.133</v>
      </c>
      <c r="BE94" s="259">
        <f t="shared" si="91"/>
        <v>1239609.9</v>
      </c>
      <c r="BF94" s="259">
        <f t="shared" si="91"/>
        <v>1325145.465</v>
      </c>
      <c r="BG94" s="259">
        <f t="shared" si="91"/>
        <v>1353320.324</v>
      </c>
      <c r="BH94" s="259">
        <f t="shared" si="91"/>
        <v>1426939.05</v>
      </c>
      <c r="BI94" s="259">
        <f t="shared" si="91"/>
        <v>1433518.709</v>
      </c>
      <c r="BJ94" s="259">
        <f t="shared" si="91"/>
        <v>1474575.78</v>
      </c>
      <c r="BK94" s="259">
        <f t="shared" si="91"/>
        <v>1495104.316</v>
      </c>
      <c r="BL94" s="259">
        <f t="shared" si="91"/>
        <v>1568594.179</v>
      </c>
      <c r="BM94" s="259">
        <f t="shared" si="91"/>
        <v>1589122.715</v>
      </c>
      <c r="BN94" s="259">
        <f t="shared" si="91"/>
        <v>1630179.786</v>
      </c>
      <c r="BO94" s="259">
        <f t="shared" si="91"/>
        <v>1630179.786</v>
      </c>
      <c r="BP94" s="259">
        <f t="shared" si="91"/>
        <v>1723853.214</v>
      </c>
      <c r="BQ94" s="259">
        <f t="shared" si="91"/>
        <v>1759436.009</v>
      </c>
      <c r="BR94" s="259">
        <f t="shared" si="91"/>
        <v>1773669.128</v>
      </c>
      <c r="BS94" s="259">
        <f t="shared" si="91"/>
        <v>1795018.805</v>
      </c>
      <c r="BT94" s="259">
        <f t="shared" si="91"/>
        <v>1866819.557</v>
      </c>
      <c r="BU94" s="259">
        <f t="shared" si="91"/>
        <v>1895285.793</v>
      </c>
      <c r="BV94" s="259">
        <f t="shared" si="91"/>
        <v>1909518.911</v>
      </c>
      <c r="BW94" s="259">
        <f t="shared" si="91"/>
        <v>1909518.911</v>
      </c>
      <c r="BX94" s="259">
        <f t="shared" si="91"/>
        <v>2000132.786</v>
      </c>
      <c r="BY94" s="259">
        <f t="shared" si="91"/>
        <v>2000132.786</v>
      </c>
      <c r="BZ94" s="259">
        <f t="shared" si="91"/>
        <v>2028599.022</v>
      </c>
      <c r="CA94" s="259">
        <f t="shared" si="91"/>
        <v>2049948.699</v>
      </c>
    </row>
    <row r="95" ht="15.75" customHeight="1">
      <c r="A95" s="91" t="s">
        <v>449</v>
      </c>
      <c r="B95" s="246"/>
      <c r="C95" s="246">
        <f t="shared" ref="C95:CA95" si="92">C94-B94</f>
        <v>-1004</v>
      </c>
      <c r="D95" s="246">
        <f t="shared" si="92"/>
        <v>701</v>
      </c>
      <c r="E95" s="246">
        <f t="shared" si="92"/>
        <v>-297</v>
      </c>
      <c r="F95" s="246">
        <f t="shared" si="92"/>
        <v>112</v>
      </c>
      <c r="G95" s="246">
        <f t="shared" si="92"/>
        <v>1323</v>
      </c>
      <c r="H95" s="246">
        <f t="shared" si="92"/>
        <v>-1333</v>
      </c>
      <c r="I95" s="246">
        <f t="shared" si="92"/>
        <v>370</v>
      </c>
      <c r="J95" s="246">
        <f t="shared" si="92"/>
        <v>-83</v>
      </c>
      <c r="K95" s="246">
        <f t="shared" si="92"/>
        <v>-185</v>
      </c>
      <c r="L95" s="246">
        <f t="shared" si="92"/>
        <v>-510</v>
      </c>
      <c r="M95" s="246">
        <f t="shared" si="92"/>
        <v>1127</v>
      </c>
      <c r="N95" s="246">
        <f t="shared" si="92"/>
        <v>-1890</v>
      </c>
      <c r="O95" s="246">
        <f t="shared" si="92"/>
        <v>744</v>
      </c>
      <c r="P95" s="246">
        <f t="shared" si="92"/>
        <v>808</v>
      </c>
      <c r="Q95" s="246">
        <f t="shared" si="92"/>
        <v>-491</v>
      </c>
      <c r="R95" s="246">
        <f t="shared" si="92"/>
        <v>-285</v>
      </c>
      <c r="S95" s="246">
        <f t="shared" si="92"/>
        <v>160000</v>
      </c>
      <c r="T95" s="246">
        <f t="shared" si="92"/>
        <v>48943.73</v>
      </c>
      <c r="U95" s="246">
        <f t="shared" si="92"/>
        <v>28800</v>
      </c>
      <c r="V95" s="246">
        <f t="shared" si="92"/>
        <v>18400</v>
      </c>
      <c r="W95" s="246">
        <f t="shared" si="92"/>
        <v>18200</v>
      </c>
      <c r="X95" s="246">
        <f t="shared" si="92"/>
        <v>12489.19785</v>
      </c>
      <c r="Y95" s="246">
        <f t="shared" si="92"/>
        <v>0</v>
      </c>
      <c r="Z95" s="246">
        <f t="shared" si="92"/>
        <v>16016</v>
      </c>
      <c r="AA95" s="246">
        <f t="shared" si="92"/>
        <v>21216</v>
      </c>
      <c r="AB95" s="246">
        <f t="shared" si="92"/>
        <v>30742.65175</v>
      </c>
      <c r="AC95" s="246">
        <f t="shared" si="92"/>
        <v>22949.68</v>
      </c>
      <c r="AD95" s="246">
        <f t="shared" si="92"/>
        <v>21216</v>
      </c>
      <c r="AE95" s="246">
        <f t="shared" si="92"/>
        <v>26832</v>
      </c>
      <c r="AF95" s="246">
        <f t="shared" si="92"/>
        <v>39657.25038</v>
      </c>
      <c r="AG95" s="246">
        <f t="shared" si="92"/>
        <v>22497.28</v>
      </c>
      <c r="AH95" s="246">
        <f t="shared" si="92"/>
        <v>11248.64</v>
      </c>
      <c r="AI95" s="246">
        <f t="shared" si="92"/>
        <v>0</v>
      </c>
      <c r="AJ95" s="246">
        <f t="shared" si="92"/>
        <v>31344.7372</v>
      </c>
      <c r="AK95" s="246">
        <f t="shared" si="92"/>
        <v>5408</v>
      </c>
      <c r="AL95" s="246">
        <f t="shared" si="92"/>
        <v>11698.5856</v>
      </c>
      <c r="AM95" s="246">
        <f t="shared" si="92"/>
        <v>17547.8784</v>
      </c>
      <c r="AN95" s="246">
        <f t="shared" si="92"/>
        <v>34434.65085</v>
      </c>
      <c r="AO95" s="246">
        <f t="shared" si="92"/>
        <v>11698.5856</v>
      </c>
      <c r="AP95" s="246">
        <f t="shared" si="92"/>
        <v>17547.8784</v>
      </c>
      <c r="AQ95" s="246">
        <f t="shared" si="92"/>
        <v>0</v>
      </c>
      <c r="AR95" s="246">
        <f t="shared" si="92"/>
        <v>31132.60264</v>
      </c>
      <c r="AS95" s="246">
        <f t="shared" si="92"/>
        <v>36499.58707</v>
      </c>
      <c r="AT95" s="246">
        <f t="shared" si="92"/>
        <v>18249.79354</v>
      </c>
      <c r="AU95" s="246">
        <f t="shared" si="92"/>
        <v>38215.76958</v>
      </c>
      <c r="AV95" s="246">
        <f t="shared" si="92"/>
        <v>42413.74898</v>
      </c>
      <c r="AW95" s="246">
        <f t="shared" si="92"/>
        <v>12166.52902</v>
      </c>
      <c r="AX95" s="246">
        <f t="shared" si="92"/>
        <v>25063.04979</v>
      </c>
      <c r="AY95" s="246">
        <f t="shared" si="92"/>
        <v>18736.4547</v>
      </c>
      <c r="AZ95" s="246">
        <f t="shared" si="92"/>
        <v>46835.60144</v>
      </c>
      <c r="BA95" s="246">
        <f t="shared" si="92"/>
        <v>31632.97546</v>
      </c>
      <c r="BB95" s="246">
        <f t="shared" si="92"/>
        <v>0</v>
      </c>
      <c r="BC95" s="246">
        <f t="shared" si="92"/>
        <v>31389.64488</v>
      </c>
      <c r="BD95" s="246">
        <f t="shared" si="92"/>
        <v>77801.6297</v>
      </c>
      <c r="BE95" s="246">
        <f t="shared" si="92"/>
        <v>197389.7669</v>
      </c>
      <c r="BF95" s="246">
        <f t="shared" si="92"/>
        <v>85535.56565</v>
      </c>
      <c r="BG95" s="246">
        <f t="shared" si="92"/>
        <v>28174.85858</v>
      </c>
      <c r="BH95" s="246">
        <f t="shared" si="92"/>
        <v>73618.72584</v>
      </c>
      <c r="BI95" s="246">
        <f t="shared" si="92"/>
        <v>6579.658896</v>
      </c>
      <c r="BJ95" s="246">
        <f t="shared" si="92"/>
        <v>41057.07151</v>
      </c>
      <c r="BK95" s="246">
        <f t="shared" si="92"/>
        <v>20528.53576</v>
      </c>
      <c r="BL95" s="246">
        <f t="shared" si="92"/>
        <v>73489.86314</v>
      </c>
      <c r="BM95" s="246">
        <f t="shared" si="92"/>
        <v>20528.53576</v>
      </c>
      <c r="BN95" s="246">
        <f t="shared" si="92"/>
        <v>41057.07151</v>
      </c>
      <c r="BO95" s="246">
        <f t="shared" si="92"/>
        <v>0</v>
      </c>
      <c r="BP95" s="246">
        <f t="shared" si="92"/>
        <v>93673.4277</v>
      </c>
      <c r="BQ95" s="246">
        <f t="shared" si="92"/>
        <v>35582.79531</v>
      </c>
      <c r="BR95" s="246">
        <f t="shared" si="92"/>
        <v>14233.11812</v>
      </c>
      <c r="BS95" s="246">
        <f t="shared" si="92"/>
        <v>21349.67719</v>
      </c>
      <c r="BT95" s="246">
        <f t="shared" si="92"/>
        <v>71800.75219</v>
      </c>
      <c r="BU95" s="246">
        <f t="shared" si="92"/>
        <v>28466.23625</v>
      </c>
      <c r="BV95" s="246">
        <f t="shared" si="92"/>
        <v>14233.11812</v>
      </c>
      <c r="BW95" s="246">
        <f t="shared" si="92"/>
        <v>0</v>
      </c>
      <c r="BX95" s="246">
        <f t="shared" si="92"/>
        <v>90613.87457</v>
      </c>
      <c r="BY95" s="246">
        <f t="shared" si="92"/>
        <v>0</v>
      </c>
      <c r="BZ95" s="246">
        <f t="shared" si="92"/>
        <v>28466.23625</v>
      </c>
      <c r="CA95" s="246">
        <f t="shared" si="92"/>
        <v>21349.67719</v>
      </c>
    </row>
    <row r="96" ht="15.75" customHeight="1">
      <c r="A96" s="91"/>
      <c r="B96" s="91"/>
      <c r="C96" s="91"/>
      <c r="D96" s="91"/>
      <c r="E96" s="91"/>
      <c r="F96" s="91"/>
      <c r="G96" s="91"/>
      <c r="H96" s="91"/>
      <c r="I96" s="91"/>
      <c r="J96" s="246"/>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row>
    <row r="97" ht="15.75" customHeight="1">
      <c r="A97" s="115" t="s">
        <v>450</v>
      </c>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row>
    <row r="100" ht="15.75" customHeight="1">
      <c r="A100" s="132" t="s">
        <v>209</v>
      </c>
      <c r="B100" s="260">
        <f>'IS Proforma'!V27/'IS Proforma'!V$24</f>
        <v>1.060928433</v>
      </c>
      <c r="C100" s="260">
        <f>'IS Proforma'!W27/'IS Proforma'!W$24</f>
        <v>1.23468769</v>
      </c>
      <c r="D100" s="260">
        <f>'IS Proforma'!X27/'IS Proforma'!X$24</f>
        <v>1.389671362</v>
      </c>
      <c r="E100" s="260">
        <f>'IS Proforma'!Y27/'IS Proforma'!Y$24</f>
        <v>0.8305174234</v>
      </c>
      <c r="F100" s="260">
        <f>'IS Proforma'!Z27/'IS Proforma'!Z$24</f>
        <v>1.077873255</v>
      </c>
      <c r="G100" s="260">
        <f>'IS Proforma'!AA27/'IS Proforma'!AA$24</f>
        <v>0.8675817521</v>
      </c>
      <c r="H100" s="260">
        <f>'IS Proforma'!AB27/'IS Proforma'!AB$24</f>
        <v>0.47063689</v>
      </c>
      <c r="I100" s="260">
        <f>'IS Proforma'!AC27/'IS Proforma'!AC$24</f>
        <v>0.5893909627</v>
      </c>
      <c r="J100" s="260">
        <f>'IS Proforma'!AD27/'IS Proforma'!AD$24</f>
        <v>0.6900406504</v>
      </c>
      <c r="K100" s="260">
        <f>'IS Proforma'!AE27/'IS Proforma'!AE$24</f>
        <v>1.221346705</v>
      </c>
      <c r="L100" s="260">
        <f>'IS Proforma'!AF27/'IS Proforma'!AF$24</f>
        <v>1.802870813</v>
      </c>
      <c r="M100" s="260">
        <f>'IS Proforma'!AG27/'IS Proforma'!AG$24</f>
        <v>0.7610169492</v>
      </c>
      <c r="N100" s="260">
        <f>'IS Proforma'!AH27/'IS Proforma'!AH$24</f>
        <v>2.019900498</v>
      </c>
      <c r="O100" s="260">
        <f>'IS Proforma'!AI27/'IS Proforma'!AI$24</f>
        <v>1.133583691</v>
      </c>
      <c r="P100" s="260">
        <f>'IS Proforma'!AJ27/'IS Proforma'!AJ$24</f>
        <v>0.7483787289</v>
      </c>
      <c r="Q100" s="260">
        <f>'IS Proforma'!AK27/'IS Proforma'!AK$24</f>
        <v>0.773530817</v>
      </c>
      <c r="R100" s="260">
        <f>'IS Proforma'!AL27/'IS Proforma'!AL$24</f>
        <v>0.8571428571</v>
      </c>
      <c r="S100" s="261">
        <v>0.1</v>
      </c>
      <c r="T100" s="261">
        <v>0.1</v>
      </c>
      <c r="U100" s="261">
        <v>0.1</v>
      </c>
      <c r="V100" s="253">
        <f t="shared" ref="V100:CA100" si="93">AVERAGE(S100:U100)</f>
        <v>0.1</v>
      </c>
      <c r="W100" s="253">
        <f t="shared" si="93"/>
        <v>0.1</v>
      </c>
      <c r="X100" s="253">
        <f t="shared" si="93"/>
        <v>0.1</v>
      </c>
      <c r="Y100" s="253">
        <f t="shared" si="93"/>
        <v>0.1</v>
      </c>
      <c r="Z100" s="253">
        <f t="shared" si="93"/>
        <v>0.1</v>
      </c>
      <c r="AA100" s="253">
        <f t="shared" si="93"/>
        <v>0.1</v>
      </c>
      <c r="AB100" s="253">
        <f t="shared" si="93"/>
        <v>0.1</v>
      </c>
      <c r="AC100" s="253">
        <f t="shared" si="93"/>
        <v>0.1</v>
      </c>
      <c r="AD100" s="253">
        <f t="shared" si="93"/>
        <v>0.1</v>
      </c>
      <c r="AE100" s="253">
        <f t="shared" si="93"/>
        <v>0.1</v>
      </c>
      <c r="AF100" s="253">
        <f t="shared" si="93"/>
        <v>0.1</v>
      </c>
      <c r="AG100" s="253">
        <f t="shared" si="93"/>
        <v>0.1</v>
      </c>
      <c r="AH100" s="253">
        <f t="shared" si="93"/>
        <v>0.1</v>
      </c>
      <c r="AI100" s="253">
        <f t="shared" si="93"/>
        <v>0.1</v>
      </c>
      <c r="AJ100" s="253">
        <f t="shared" si="93"/>
        <v>0.1</v>
      </c>
      <c r="AK100" s="253">
        <f t="shared" si="93"/>
        <v>0.1</v>
      </c>
      <c r="AL100" s="253">
        <f t="shared" si="93"/>
        <v>0.1</v>
      </c>
      <c r="AM100" s="253">
        <f t="shared" si="93"/>
        <v>0.1</v>
      </c>
      <c r="AN100" s="253">
        <f t="shared" si="93"/>
        <v>0.1</v>
      </c>
      <c r="AO100" s="253">
        <f t="shared" si="93"/>
        <v>0.1</v>
      </c>
      <c r="AP100" s="253">
        <f t="shared" si="93"/>
        <v>0.1</v>
      </c>
      <c r="AQ100" s="253">
        <f t="shared" si="93"/>
        <v>0.1</v>
      </c>
      <c r="AR100" s="253">
        <f t="shared" si="93"/>
        <v>0.1</v>
      </c>
      <c r="AS100" s="253">
        <f t="shared" si="93"/>
        <v>0.1</v>
      </c>
      <c r="AT100" s="253">
        <f t="shared" si="93"/>
        <v>0.1</v>
      </c>
      <c r="AU100" s="253">
        <f t="shared" si="93"/>
        <v>0.1</v>
      </c>
      <c r="AV100" s="253">
        <f t="shared" si="93"/>
        <v>0.1</v>
      </c>
      <c r="AW100" s="253">
        <f t="shared" si="93"/>
        <v>0.1</v>
      </c>
      <c r="AX100" s="253">
        <f t="shared" si="93"/>
        <v>0.1</v>
      </c>
      <c r="AY100" s="253">
        <f t="shared" si="93"/>
        <v>0.1</v>
      </c>
      <c r="AZ100" s="253">
        <f t="shared" si="93"/>
        <v>0.1</v>
      </c>
      <c r="BA100" s="253">
        <f t="shared" si="93"/>
        <v>0.1</v>
      </c>
      <c r="BB100" s="253">
        <f t="shared" si="93"/>
        <v>0.1</v>
      </c>
      <c r="BC100" s="253">
        <f t="shared" si="93"/>
        <v>0.1</v>
      </c>
      <c r="BD100" s="253">
        <f t="shared" si="93"/>
        <v>0.1</v>
      </c>
      <c r="BE100" s="253">
        <f t="shared" si="93"/>
        <v>0.1</v>
      </c>
      <c r="BF100" s="253">
        <f t="shared" si="93"/>
        <v>0.1</v>
      </c>
      <c r="BG100" s="253">
        <f t="shared" si="93"/>
        <v>0.1</v>
      </c>
      <c r="BH100" s="253">
        <f t="shared" si="93"/>
        <v>0.1</v>
      </c>
      <c r="BI100" s="253">
        <f t="shared" si="93"/>
        <v>0.1</v>
      </c>
      <c r="BJ100" s="253">
        <f t="shared" si="93"/>
        <v>0.1</v>
      </c>
      <c r="BK100" s="253">
        <f t="shared" si="93"/>
        <v>0.1</v>
      </c>
      <c r="BL100" s="253">
        <f t="shared" si="93"/>
        <v>0.1</v>
      </c>
      <c r="BM100" s="253">
        <f t="shared" si="93"/>
        <v>0.1</v>
      </c>
      <c r="BN100" s="253">
        <f t="shared" si="93"/>
        <v>0.1</v>
      </c>
      <c r="BO100" s="253">
        <f t="shared" si="93"/>
        <v>0.1</v>
      </c>
      <c r="BP100" s="253">
        <f t="shared" si="93"/>
        <v>0.1</v>
      </c>
      <c r="BQ100" s="253">
        <f t="shared" si="93"/>
        <v>0.1</v>
      </c>
      <c r="BR100" s="253">
        <f t="shared" si="93"/>
        <v>0.1</v>
      </c>
      <c r="BS100" s="253">
        <f t="shared" si="93"/>
        <v>0.1</v>
      </c>
      <c r="BT100" s="253">
        <f t="shared" si="93"/>
        <v>0.1</v>
      </c>
      <c r="BU100" s="253">
        <f t="shared" si="93"/>
        <v>0.1</v>
      </c>
      <c r="BV100" s="253">
        <f t="shared" si="93"/>
        <v>0.1</v>
      </c>
      <c r="BW100" s="253">
        <f t="shared" si="93"/>
        <v>0.1</v>
      </c>
      <c r="BX100" s="253">
        <f t="shared" si="93"/>
        <v>0.1</v>
      </c>
      <c r="BY100" s="253">
        <f t="shared" si="93"/>
        <v>0.1</v>
      </c>
      <c r="BZ100" s="253">
        <f t="shared" si="93"/>
        <v>0.1</v>
      </c>
      <c r="CA100" s="253">
        <f t="shared" si="93"/>
        <v>0.1</v>
      </c>
    </row>
    <row r="101" ht="15.75" customHeight="1">
      <c r="A101" s="132" t="s">
        <v>210</v>
      </c>
      <c r="B101" s="260">
        <f>'IS Proforma'!V28/'IS Proforma'!V$24</f>
        <v>0.5735009671</v>
      </c>
      <c r="C101" s="260">
        <f>'IS Proforma'!W28/'IS Proforma'!W$24</f>
        <v>1.374166161</v>
      </c>
      <c r="D101" s="260">
        <f>'IS Proforma'!X28/'IS Proforma'!X$24</f>
        <v>1.04342723</v>
      </c>
      <c r="E101" s="260">
        <f>'IS Proforma'!Y28/'IS Proforma'!Y$24</f>
        <v>1.180042239</v>
      </c>
      <c r="F101" s="260">
        <f>'IS Proforma'!Z28/'IS Proforma'!Z$24</f>
        <v>1.173469388</v>
      </c>
      <c r="G101" s="260">
        <f>'IS Proforma'!AA28/'IS Proforma'!AA$24</f>
        <v>0.5962858296</v>
      </c>
      <c r="H101" s="260">
        <f>'IS Proforma'!AB28/'IS Proforma'!AB$24</f>
        <v>0.5967741935</v>
      </c>
      <c r="I101" s="260">
        <f>'IS Proforma'!AC28/'IS Proforma'!AC$24</f>
        <v>1.093320236</v>
      </c>
      <c r="J101" s="260">
        <f>'IS Proforma'!AD28/'IS Proforma'!AD$24</f>
        <v>0.719004065</v>
      </c>
      <c r="K101" s="260">
        <f>'IS Proforma'!AE28/'IS Proforma'!AE$24</f>
        <v>1.060888252</v>
      </c>
      <c r="L101" s="260">
        <f>'IS Proforma'!AF28/'IS Proforma'!AF$24</f>
        <v>2.282296651</v>
      </c>
      <c r="M101" s="260">
        <f>'IS Proforma'!AG28/'IS Proforma'!AG$24</f>
        <v>0.4779661017</v>
      </c>
      <c r="N101" s="260">
        <f>'IS Proforma'!AH28/'IS Proforma'!AH$24</f>
        <v>1.968490879</v>
      </c>
      <c r="O101" s="260">
        <f>'IS Proforma'!AI28/'IS Proforma'!AI$24</f>
        <v>0.6067596567</v>
      </c>
      <c r="P101" s="260">
        <f>'IS Proforma'!AJ28/'IS Proforma'!AJ$24</f>
        <v>1.041936879</v>
      </c>
      <c r="Q101" s="260">
        <f>'IS Proforma'!AK28/'IS Proforma'!AK$24</f>
        <v>0.9880554228</v>
      </c>
      <c r="R101" s="260">
        <f>'IS Proforma'!AL28/'IS Proforma'!AL$24</f>
        <v>1.301228184</v>
      </c>
      <c r="S101" s="261">
        <v>0.15</v>
      </c>
      <c r="T101" s="261">
        <v>0.15</v>
      </c>
      <c r="U101" s="261">
        <v>0.15</v>
      </c>
      <c r="V101" s="253">
        <f t="shared" ref="V101:AE101" si="94">U101</f>
        <v>0.15</v>
      </c>
      <c r="W101" s="253">
        <f t="shared" si="94"/>
        <v>0.15</v>
      </c>
      <c r="X101" s="253">
        <f t="shared" si="94"/>
        <v>0.15</v>
      </c>
      <c r="Y101" s="253">
        <f t="shared" si="94"/>
        <v>0.15</v>
      </c>
      <c r="Z101" s="253">
        <f t="shared" si="94"/>
        <v>0.15</v>
      </c>
      <c r="AA101" s="253">
        <f t="shared" si="94"/>
        <v>0.15</v>
      </c>
      <c r="AB101" s="253">
        <f t="shared" si="94"/>
        <v>0.15</v>
      </c>
      <c r="AC101" s="253">
        <f t="shared" si="94"/>
        <v>0.15</v>
      </c>
      <c r="AD101" s="253">
        <f t="shared" si="94"/>
        <v>0.15</v>
      </c>
      <c r="AE101" s="253">
        <f t="shared" si="94"/>
        <v>0.15</v>
      </c>
      <c r="AF101" s="253">
        <v>0.066</v>
      </c>
      <c r="AG101" s="253">
        <v>0.066</v>
      </c>
      <c r="AH101" s="253">
        <v>0.066</v>
      </c>
      <c r="AI101" s="253">
        <v>0.066</v>
      </c>
      <c r="AJ101" s="253">
        <v>0.066</v>
      </c>
      <c r="AK101" s="253">
        <v>0.066</v>
      </c>
      <c r="AL101" s="253">
        <v>0.066</v>
      </c>
      <c r="AM101" s="253">
        <v>0.066</v>
      </c>
      <c r="AN101" s="253">
        <v>0.066</v>
      </c>
      <c r="AO101" s="253">
        <v>0.066</v>
      </c>
      <c r="AP101" s="253">
        <v>0.066</v>
      </c>
      <c r="AQ101" s="253">
        <v>0.066</v>
      </c>
      <c r="AR101" s="253">
        <v>0.068</v>
      </c>
      <c r="AS101" s="253">
        <v>0.068</v>
      </c>
      <c r="AT101" s="253">
        <v>0.068</v>
      </c>
      <c r="AU101" s="253">
        <v>0.068</v>
      </c>
      <c r="AV101" s="253">
        <v>0.068</v>
      </c>
      <c r="AW101" s="253">
        <v>0.068</v>
      </c>
      <c r="AX101" s="253">
        <v>0.068</v>
      </c>
      <c r="AY101" s="253">
        <v>0.068</v>
      </c>
      <c r="AZ101" s="253">
        <v>0.068</v>
      </c>
      <c r="BA101" s="253">
        <v>0.068</v>
      </c>
      <c r="BB101" s="253">
        <v>0.068</v>
      </c>
      <c r="BC101" s="253">
        <v>0.068</v>
      </c>
      <c r="BD101" s="253">
        <v>0.07</v>
      </c>
      <c r="BE101" s="253">
        <v>0.07</v>
      </c>
      <c r="BF101" s="253">
        <v>0.07</v>
      </c>
      <c r="BG101" s="253">
        <v>0.07</v>
      </c>
      <c r="BH101" s="253">
        <v>0.07</v>
      </c>
      <c r="BI101" s="253">
        <v>0.07</v>
      </c>
      <c r="BJ101" s="253">
        <v>0.07</v>
      </c>
      <c r="BK101" s="253">
        <v>0.07</v>
      </c>
      <c r="BL101" s="253">
        <v>0.07</v>
      </c>
      <c r="BM101" s="253">
        <v>0.07</v>
      </c>
      <c r="BN101" s="253">
        <v>0.07</v>
      </c>
      <c r="BO101" s="253">
        <v>0.07</v>
      </c>
      <c r="BP101" s="253">
        <v>0.07</v>
      </c>
      <c r="BQ101" s="253">
        <v>0.07</v>
      </c>
      <c r="BR101" s="253">
        <v>0.07</v>
      </c>
      <c r="BS101" s="253">
        <v>0.07</v>
      </c>
      <c r="BT101" s="253">
        <v>0.07</v>
      </c>
      <c r="BU101" s="253">
        <v>0.07</v>
      </c>
      <c r="BV101" s="253">
        <v>0.07</v>
      </c>
      <c r="BW101" s="253">
        <v>0.07</v>
      </c>
      <c r="BX101" s="253">
        <v>0.07</v>
      </c>
      <c r="BY101" s="253">
        <v>0.07</v>
      </c>
      <c r="BZ101" s="253">
        <v>0.07</v>
      </c>
      <c r="CA101" s="253">
        <v>0.07</v>
      </c>
    </row>
    <row r="102" ht="15.75" customHeight="1">
      <c r="A102" s="132" t="s">
        <v>211</v>
      </c>
      <c r="B102" s="260">
        <f>'IS Proforma'!V29/'IS Proforma'!V$24</f>
        <v>1.033365571</v>
      </c>
      <c r="C102" s="260">
        <f>'IS Proforma'!W29/'IS Proforma'!W$24</f>
        <v>1.059429958</v>
      </c>
      <c r="D102" s="260">
        <f>'IS Proforma'!X29/'IS Proforma'!X$24</f>
        <v>0.6414319249</v>
      </c>
      <c r="E102" s="260">
        <f>'IS Proforma'!Y29/'IS Proforma'!Y$24</f>
        <v>0.6066525871</v>
      </c>
      <c r="F102" s="260">
        <f>'IS Proforma'!Z29/'IS Proforma'!Z$24</f>
        <v>1.141245972</v>
      </c>
      <c r="G102" s="260">
        <f>'IS Proforma'!AA29/'IS Proforma'!AA$24</f>
        <v>0.7339523617</v>
      </c>
      <c r="H102" s="260">
        <f>'IS Proforma'!AB29/'IS Proforma'!AB$24</f>
        <v>0.8800661704</v>
      </c>
      <c r="I102" s="260">
        <f>'IS Proforma'!AC29/'IS Proforma'!AC$24</f>
        <v>0.5279960707</v>
      </c>
      <c r="J102" s="260">
        <f>'IS Proforma'!AD29/'IS Proforma'!AD$24</f>
        <v>1.06453252</v>
      </c>
      <c r="K102" s="260">
        <f>'IS Proforma'!AE29/'IS Proforma'!AE$24</f>
        <v>1.568767908</v>
      </c>
      <c r="L102" s="260">
        <f>'IS Proforma'!AF29/'IS Proforma'!AF$24</f>
        <v>1.874641148</v>
      </c>
      <c r="M102" s="260">
        <f>'IS Proforma'!AG29/'IS Proforma'!AG$24</f>
        <v>0.5707627119</v>
      </c>
      <c r="N102" s="260">
        <f>'IS Proforma'!AH29/'IS Proforma'!AH$24</f>
        <v>1.967661692</v>
      </c>
      <c r="O102" s="260">
        <f>'IS Proforma'!AI29/'IS Proforma'!AI$24</f>
        <v>0.7682403433</v>
      </c>
      <c r="P102" s="260">
        <f>'IS Proforma'!AJ29/'IS Proforma'!AJ$24</f>
        <v>0.9463899697</v>
      </c>
      <c r="Q102" s="260">
        <f>'IS Proforma'!AK29/'IS Proforma'!AK$24</f>
        <v>1.141901577</v>
      </c>
      <c r="R102" s="260">
        <f>'IS Proforma'!AL29/'IS Proforma'!AL$24</f>
        <v>0.8914027149</v>
      </c>
      <c r="S102" s="261">
        <v>0.02</v>
      </c>
      <c r="T102" s="261">
        <v>0.02</v>
      </c>
      <c r="U102" s="261">
        <v>0.02</v>
      </c>
      <c r="V102" s="253">
        <f t="shared" ref="V102:CA102" si="95">AVERAGE(S102:U102)</f>
        <v>0.02</v>
      </c>
      <c r="W102" s="253">
        <f t="shared" si="95"/>
        <v>0.02</v>
      </c>
      <c r="X102" s="253">
        <f t="shared" si="95"/>
        <v>0.02</v>
      </c>
      <c r="Y102" s="253">
        <f t="shared" si="95"/>
        <v>0.02</v>
      </c>
      <c r="Z102" s="253">
        <f t="shared" si="95"/>
        <v>0.02</v>
      </c>
      <c r="AA102" s="253">
        <f t="shared" si="95"/>
        <v>0.02</v>
      </c>
      <c r="AB102" s="253">
        <f t="shared" si="95"/>
        <v>0.02</v>
      </c>
      <c r="AC102" s="253">
        <f t="shared" si="95"/>
        <v>0.02</v>
      </c>
      <c r="AD102" s="253">
        <f t="shared" si="95"/>
        <v>0.02</v>
      </c>
      <c r="AE102" s="253">
        <f t="shared" si="95"/>
        <v>0.02</v>
      </c>
      <c r="AF102" s="253">
        <f t="shared" si="95"/>
        <v>0.02</v>
      </c>
      <c r="AG102" s="253">
        <f t="shared" si="95"/>
        <v>0.02</v>
      </c>
      <c r="AH102" s="253">
        <f t="shared" si="95"/>
        <v>0.02</v>
      </c>
      <c r="AI102" s="253">
        <f t="shared" si="95"/>
        <v>0.02</v>
      </c>
      <c r="AJ102" s="253">
        <f t="shared" si="95"/>
        <v>0.02</v>
      </c>
      <c r="AK102" s="253">
        <f t="shared" si="95"/>
        <v>0.02</v>
      </c>
      <c r="AL102" s="253">
        <f t="shared" si="95"/>
        <v>0.02</v>
      </c>
      <c r="AM102" s="253">
        <f t="shared" si="95"/>
        <v>0.02</v>
      </c>
      <c r="AN102" s="253">
        <f t="shared" si="95"/>
        <v>0.02</v>
      </c>
      <c r="AO102" s="253">
        <f t="shared" si="95"/>
        <v>0.02</v>
      </c>
      <c r="AP102" s="253">
        <f t="shared" si="95"/>
        <v>0.02</v>
      </c>
      <c r="AQ102" s="253">
        <f t="shared" si="95"/>
        <v>0.02</v>
      </c>
      <c r="AR102" s="253">
        <f t="shared" si="95"/>
        <v>0.02</v>
      </c>
      <c r="AS102" s="253">
        <f t="shared" si="95"/>
        <v>0.02</v>
      </c>
      <c r="AT102" s="253">
        <f t="shared" si="95"/>
        <v>0.02</v>
      </c>
      <c r="AU102" s="253">
        <f t="shared" si="95"/>
        <v>0.02</v>
      </c>
      <c r="AV102" s="253">
        <f t="shared" si="95"/>
        <v>0.02</v>
      </c>
      <c r="AW102" s="253">
        <f t="shared" si="95"/>
        <v>0.02</v>
      </c>
      <c r="AX102" s="253">
        <f t="shared" si="95"/>
        <v>0.02</v>
      </c>
      <c r="AY102" s="253">
        <f t="shared" si="95"/>
        <v>0.02</v>
      </c>
      <c r="AZ102" s="253">
        <f t="shared" si="95"/>
        <v>0.02</v>
      </c>
      <c r="BA102" s="253">
        <f t="shared" si="95"/>
        <v>0.02</v>
      </c>
      <c r="BB102" s="253">
        <f t="shared" si="95"/>
        <v>0.02</v>
      </c>
      <c r="BC102" s="253">
        <f t="shared" si="95"/>
        <v>0.02</v>
      </c>
      <c r="BD102" s="253">
        <f t="shared" si="95"/>
        <v>0.02</v>
      </c>
      <c r="BE102" s="253">
        <f t="shared" si="95"/>
        <v>0.02</v>
      </c>
      <c r="BF102" s="253">
        <f t="shared" si="95"/>
        <v>0.02</v>
      </c>
      <c r="BG102" s="253">
        <f t="shared" si="95"/>
        <v>0.02</v>
      </c>
      <c r="BH102" s="253">
        <f t="shared" si="95"/>
        <v>0.02</v>
      </c>
      <c r="BI102" s="253">
        <f t="shared" si="95"/>
        <v>0.02</v>
      </c>
      <c r="BJ102" s="253">
        <f t="shared" si="95"/>
        <v>0.02</v>
      </c>
      <c r="BK102" s="253">
        <f t="shared" si="95"/>
        <v>0.02</v>
      </c>
      <c r="BL102" s="253">
        <f t="shared" si="95"/>
        <v>0.02</v>
      </c>
      <c r="BM102" s="253">
        <f t="shared" si="95"/>
        <v>0.02</v>
      </c>
      <c r="BN102" s="253">
        <f t="shared" si="95"/>
        <v>0.02</v>
      </c>
      <c r="BO102" s="253">
        <f t="shared" si="95"/>
        <v>0.02</v>
      </c>
      <c r="BP102" s="253">
        <f t="shared" si="95"/>
        <v>0.02</v>
      </c>
      <c r="BQ102" s="253">
        <f t="shared" si="95"/>
        <v>0.02</v>
      </c>
      <c r="BR102" s="253">
        <f t="shared" si="95"/>
        <v>0.02</v>
      </c>
      <c r="BS102" s="253">
        <f t="shared" si="95"/>
        <v>0.02</v>
      </c>
      <c r="BT102" s="253">
        <f t="shared" si="95"/>
        <v>0.02</v>
      </c>
      <c r="BU102" s="253">
        <f t="shared" si="95"/>
        <v>0.02</v>
      </c>
      <c r="BV102" s="253">
        <f t="shared" si="95"/>
        <v>0.02</v>
      </c>
      <c r="BW102" s="253">
        <f t="shared" si="95"/>
        <v>0.02</v>
      </c>
      <c r="BX102" s="253">
        <f t="shared" si="95"/>
        <v>0.02</v>
      </c>
      <c r="BY102" s="253">
        <f t="shared" si="95"/>
        <v>0.02</v>
      </c>
      <c r="BZ102" s="253">
        <f t="shared" si="95"/>
        <v>0.02</v>
      </c>
      <c r="CA102" s="253">
        <f t="shared" si="95"/>
        <v>0.02</v>
      </c>
    </row>
    <row r="103" ht="15.75" customHeight="1">
      <c r="A103" s="91"/>
      <c r="B103" s="5"/>
      <c r="C103" s="5"/>
      <c r="D103" s="5"/>
      <c r="E103" s="5"/>
      <c r="F103" s="5"/>
      <c r="G103" s="6"/>
      <c r="H103" s="6"/>
      <c r="I103" s="6"/>
      <c r="J103" s="6"/>
      <c r="K103" s="6"/>
      <c r="L103" s="6"/>
      <c r="M103" s="6"/>
      <c r="N103" s="6"/>
      <c r="O103" s="6"/>
      <c r="P103" s="6"/>
      <c r="Q103" s="6"/>
      <c r="R103" s="6"/>
      <c r="S103" s="8"/>
      <c r="T103" s="8"/>
      <c r="U103" s="8"/>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row>
    <row r="104" ht="15.75" customHeight="1">
      <c r="A104" s="132" t="s">
        <v>225</v>
      </c>
      <c r="B104" s="260">
        <f t="array" ref="B104">INDEX('IS Proforma'!$1:$1048490,MATCH(Headcount!$A104,'IS Proforma'!$C:$C,0),MATCH(Headcount!B$4,'IS Proforma'!$4:$4,0))/SUM(B$92)</f>
        <v>0.9474987618</v>
      </c>
      <c r="C104" s="260">
        <f t="array" ref="C104">INDEX('IS Proforma'!$1:$1048490,MATCH(Headcount!$A104,'IS Proforma'!$C:$C,0),MATCH(Headcount!C$4,'IS Proforma'!$4:$4,0))/SUM(C$92)</f>
        <v>1.638075314</v>
      </c>
      <c r="D104" s="260">
        <f t="array" ref="D104">INDEX('IS Proforma'!$1:$1048490,MATCH(Headcount!$A104,'IS Proforma'!$C:$C,0),MATCH(Headcount!D$4,'IS Proforma'!$4:$4,0))/SUM(D$92)</f>
        <v>0.65</v>
      </c>
      <c r="E104" s="260">
        <f t="array" ref="E104">INDEX('IS Proforma'!$1:$1048490,MATCH(Headcount!$A104,'IS Proforma'!$C:$C,0),MATCH(Headcount!E$4,'IS Proforma'!$4:$4,0))/SUM(E$92)</f>
        <v>1.266792216</v>
      </c>
      <c r="F104" s="260">
        <f t="array" ref="F104">INDEX('IS Proforma'!$1:$1048490,MATCH(Headcount!$A104,'IS Proforma'!$C:$C,0),MATCH(Headcount!F$4,'IS Proforma'!$4:$4,0))/SUM(F$92)</f>
        <v>0.7386298215</v>
      </c>
      <c r="G104" s="260">
        <f t="array" ref="G104">INDEX('IS Proforma'!$1:$1048490,MATCH(Headcount!$A104,'IS Proforma'!$C:$C,0),MATCH(Headcount!G$4,'IS Proforma'!$4:$4,0))/SUM(G$92)</f>
        <v>0.9010224949</v>
      </c>
      <c r="H104" s="260">
        <f t="array" ref="H104">INDEX('IS Proforma'!$1:$1048490,MATCH(Headcount!$A104,'IS Proforma'!$C:$C,0),MATCH(Headcount!H$4,'IS Proforma'!$4:$4,0))/SUM(H$92)</f>
        <v>1.585824082</v>
      </c>
      <c r="I104" s="260">
        <f t="array" ref="I104">INDEX('IS Proforma'!$1:$1048490,MATCH(Headcount!$A104,'IS Proforma'!$C:$C,0),MATCH(Headcount!I$4,'IS Proforma'!$4:$4,0))/SUM(I$92)</f>
        <v>0.9084763391</v>
      </c>
      <c r="J104" s="260">
        <f t="array" ref="J104">INDEX('IS Proforma'!$1:$1048490,MATCH(Headcount!$A104,'IS Proforma'!$C:$C,0),MATCH(Headcount!J$4,'IS Proforma'!$4:$4,0))/SUM(J$92)</f>
        <v>0.8422431866</v>
      </c>
      <c r="K104" s="260">
        <f t="array" ref="K104">INDEX('IS Proforma'!$1:$1048490,MATCH(Headcount!$A104,'IS Proforma'!$C:$C,0),MATCH(Headcount!K$4,'IS Proforma'!$4:$4,0))/SUM(K$92)</f>
        <v>1.079302832</v>
      </c>
      <c r="L104" s="260">
        <f t="array" ref="L104">INDEX('IS Proforma'!$1:$1048490,MATCH(Headcount!$A104,'IS Proforma'!$C:$C,0),MATCH(Headcount!L$4,'IS Proforma'!$4:$4,0))/SUM(L$92)</f>
        <v>1.022003745</v>
      </c>
      <c r="M104" s="260">
        <f t="array" ref="M104">INDEX('IS Proforma'!$1:$1048490,MATCH(Headcount!$A104,'IS Proforma'!$C:$C,0),MATCH(Headcount!M$4,'IS Proforma'!$4:$4,0))/SUM(M$92)</f>
        <v>1.068275154</v>
      </c>
      <c r="N104" s="260">
        <f t="array" ref="N104">INDEX('IS Proforma'!$1:$1048490,MATCH(Headcount!$A104,'IS Proforma'!$C:$C,0),MATCH(Headcount!N$4,'IS Proforma'!$4:$4,0))/SUM(N$92)</f>
        <v>1.215346535</v>
      </c>
      <c r="O104" s="260">
        <f t="array" ref="O104">INDEX('IS Proforma'!$1:$1048490,MATCH(Headcount!$A104,'IS Proforma'!$C:$C,0),MATCH(Headcount!O$4,'IS Proforma'!$4:$4,0))/SUM(O$92)</f>
        <v>1.209553159</v>
      </c>
      <c r="P104" s="260">
        <f t="array" ref="P104">INDEX('IS Proforma'!$1:$1048490,MATCH(Headcount!$A104,'IS Proforma'!$C:$C,0),MATCH(Headcount!P$4,'IS Proforma'!$4:$4,0))/SUM(P$92)</f>
        <v>0.6451418226</v>
      </c>
      <c r="Q104" s="260">
        <f t="array" ref="Q104">INDEX('IS Proforma'!$1:$1048490,MATCH(Headcount!$A104,'IS Proforma'!$C:$C,0),MATCH(Headcount!Q$4,'IS Proforma'!$4:$4,0))/SUM(Q$92)</f>
        <v>0.8513708514</v>
      </c>
      <c r="R104" s="260">
        <f t="array" ref="R104">INDEX('IS Proforma'!$1:$1048490,MATCH(Headcount!$A104,'IS Proforma'!$C:$C,0),MATCH(Headcount!R$4,'IS Proforma'!$4:$4,0))/SUM(R$92)</f>
        <v>1.096539162</v>
      </c>
      <c r="S104" s="261">
        <v>0.1</v>
      </c>
      <c r="T104" s="261">
        <v>0.1</v>
      </c>
      <c r="U104" s="261">
        <v>0.1</v>
      </c>
      <c r="V104" s="253">
        <f t="shared" ref="V104:CA104" si="96">AVERAGE(S104:U104)</f>
        <v>0.1</v>
      </c>
      <c r="W104" s="253">
        <f t="shared" si="96"/>
        <v>0.1</v>
      </c>
      <c r="X104" s="253">
        <f t="shared" si="96"/>
        <v>0.1</v>
      </c>
      <c r="Y104" s="253">
        <f t="shared" si="96"/>
        <v>0.1</v>
      </c>
      <c r="Z104" s="253">
        <f t="shared" si="96"/>
        <v>0.1</v>
      </c>
      <c r="AA104" s="253">
        <f t="shared" si="96"/>
        <v>0.1</v>
      </c>
      <c r="AB104" s="253">
        <f t="shared" si="96"/>
        <v>0.1</v>
      </c>
      <c r="AC104" s="253">
        <f t="shared" si="96"/>
        <v>0.1</v>
      </c>
      <c r="AD104" s="253">
        <f t="shared" si="96"/>
        <v>0.1</v>
      </c>
      <c r="AE104" s="253">
        <f t="shared" si="96"/>
        <v>0.1</v>
      </c>
      <c r="AF104" s="253">
        <f t="shared" si="96"/>
        <v>0.1</v>
      </c>
      <c r="AG104" s="253">
        <f t="shared" si="96"/>
        <v>0.1</v>
      </c>
      <c r="AH104" s="253">
        <f t="shared" si="96"/>
        <v>0.1</v>
      </c>
      <c r="AI104" s="253">
        <f t="shared" si="96"/>
        <v>0.1</v>
      </c>
      <c r="AJ104" s="253">
        <f t="shared" si="96"/>
        <v>0.1</v>
      </c>
      <c r="AK104" s="253">
        <f t="shared" si="96"/>
        <v>0.1</v>
      </c>
      <c r="AL104" s="253">
        <f t="shared" si="96"/>
        <v>0.1</v>
      </c>
      <c r="AM104" s="253">
        <f t="shared" si="96"/>
        <v>0.1</v>
      </c>
      <c r="AN104" s="253">
        <f t="shared" si="96"/>
        <v>0.1</v>
      </c>
      <c r="AO104" s="253">
        <f t="shared" si="96"/>
        <v>0.1</v>
      </c>
      <c r="AP104" s="253">
        <f t="shared" si="96"/>
        <v>0.1</v>
      </c>
      <c r="AQ104" s="253">
        <f t="shared" si="96"/>
        <v>0.1</v>
      </c>
      <c r="AR104" s="253">
        <f t="shared" si="96"/>
        <v>0.1</v>
      </c>
      <c r="AS104" s="253">
        <f t="shared" si="96"/>
        <v>0.1</v>
      </c>
      <c r="AT104" s="253">
        <f t="shared" si="96"/>
        <v>0.1</v>
      </c>
      <c r="AU104" s="253">
        <f t="shared" si="96"/>
        <v>0.1</v>
      </c>
      <c r="AV104" s="253">
        <f t="shared" si="96"/>
        <v>0.1</v>
      </c>
      <c r="AW104" s="253">
        <f t="shared" si="96"/>
        <v>0.1</v>
      </c>
      <c r="AX104" s="253">
        <f t="shared" si="96"/>
        <v>0.1</v>
      </c>
      <c r="AY104" s="253">
        <f t="shared" si="96"/>
        <v>0.1</v>
      </c>
      <c r="AZ104" s="253">
        <f t="shared" si="96"/>
        <v>0.1</v>
      </c>
      <c r="BA104" s="253">
        <f t="shared" si="96"/>
        <v>0.1</v>
      </c>
      <c r="BB104" s="253">
        <f t="shared" si="96"/>
        <v>0.1</v>
      </c>
      <c r="BC104" s="253">
        <f t="shared" si="96"/>
        <v>0.1</v>
      </c>
      <c r="BD104" s="253">
        <f t="shared" si="96"/>
        <v>0.1</v>
      </c>
      <c r="BE104" s="253">
        <f t="shared" si="96"/>
        <v>0.1</v>
      </c>
      <c r="BF104" s="253">
        <f t="shared" si="96"/>
        <v>0.1</v>
      </c>
      <c r="BG104" s="253">
        <f t="shared" si="96"/>
        <v>0.1</v>
      </c>
      <c r="BH104" s="253">
        <f t="shared" si="96"/>
        <v>0.1</v>
      </c>
      <c r="BI104" s="253">
        <f t="shared" si="96"/>
        <v>0.1</v>
      </c>
      <c r="BJ104" s="253">
        <f t="shared" si="96"/>
        <v>0.1</v>
      </c>
      <c r="BK104" s="253">
        <f t="shared" si="96"/>
        <v>0.1</v>
      </c>
      <c r="BL104" s="253">
        <f t="shared" si="96"/>
        <v>0.1</v>
      </c>
      <c r="BM104" s="253">
        <f t="shared" si="96"/>
        <v>0.1</v>
      </c>
      <c r="BN104" s="253">
        <f t="shared" si="96"/>
        <v>0.1</v>
      </c>
      <c r="BO104" s="253">
        <f t="shared" si="96"/>
        <v>0.1</v>
      </c>
      <c r="BP104" s="253">
        <f t="shared" si="96"/>
        <v>0.1</v>
      </c>
      <c r="BQ104" s="253">
        <f t="shared" si="96"/>
        <v>0.1</v>
      </c>
      <c r="BR104" s="253">
        <f t="shared" si="96"/>
        <v>0.1</v>
      </c>
      <c r="BS104" s="253">
        <f t="shared" si="96"/>
        <v>0.1</v>
      </c>
      <c r="BT104" s="253">
        <f t="shared" si="96"/>
        <v>0.1</v>
      </c>
      <c r="BU104" s="253">
        <f t="shared" si="96"/>
        <v>0.1</v>
      </c>
      <c r="BV104" s="253">
        <f t="shared" si="96"/>
        <v>0.1</v>
      </c>
      <c r="BW104" s="253">
        <f t="shared" si="96"/>
        <v>0.1</v>
      </c>
      <c r="BX104" s="253">
        <f t="shared" si="96"/>
        <v>0.1</v>
      </c>
      <c r="BY104" s="253">
        <f t="shared" si="96"/>
        <v>0.1</v>
      </c>
      <c r="BZ104" s="253">
        <f t="shared" si="96"/>
        <v>0.1</v>
      </c>
      <c r="CA104" s="253">
        <f t="shared" si="96"/>
        <v>0.1</v>
      </c>
    </row>
    <row r="105" ht="15.75" customHeight="1">
      <c r="A105" s="132" t="s">
        <v>226</v>
      </c>
      <c r="B105" s="260">
        <f t="array" ref="B105">INDEX('IS Proforma'!$1:$1048490,MATCH(Headcount!$A105,'IS Proforma'!$C:$C,0),MATCH(Headcount!B$4,'IS Proforma'!$4:$4,0))/SUM(B$92)</f>
        <v>1.190193165</v>
      </c>
      <c r="C105" s="260">
        <f t="array" ref="C105">INDEX('IS Proforma'!$1:$1048490,MATCH(Headcount!$A105,'IS Proforma'!$C:$C,0),MATCH(Headcount!C$4,'IS Proforma'!$4:$4,0))/SUM(C$92)</f>
        <v>1.548117155</v>
      </c>
      <c r="D105" s="260">
        <f t="array" ref="D105">INDEX('IS Proforma'!$1:$1048490,MATCH(Headcount!$A105,'IS Proforma'!$C:$C,0),MATCH(Headcount!D$4,'IS Proforma'!$4:$4,0))/SUM(D$92)</f>
        <v>0.8697115385</v>
      </c>
      <c r="E105" s="260">
        <f t="array" ref="E105">INDEX('IS Proforma'!$1:$1048490,MATCH(Headcount!$A105,'IS Proforma'!$C:$C,0),MATCH(Headcount!E$4,'IS Proforma'!$4:$4,0))/SUM(E$92)</f>
        <v>1.473320778</v>
      </c>
      <c r="F105" s="260">
        <f t="array" ref="F105">INDEX('IS Proforma'!$1:$1048490,MATCH(Headcount!$A105,'IS Proforma'!$C:$C,0),MATCH(Headcount!F$4,'IS Proforma'!$4:$4,0))/SUM(F$92)</f>
        <v>1.160046056</v>
      </c>
      <c r="G105" s="260">
        <f t="array" ref="G105">INDEX('IS Proforma'!$1:$1048490,MATCH(Headcount!$A105,'IS Proforma'!$C:$C,0),MATCH(Headcount!G$4,'IS Proforma'!$4:$4,0))/SUM(G$92)</f>
        <v>0.8760736196</v>
      </c>
      <c r="H105" s="260">
        <f t="array" ref="H105">INDEX('IS Proforma'!$1:$1048490,MATCH(Headcount!$A105,'IS Proforma'!$C:$C,0),MATCH(Headcount!H$4,'IS Proforma'!$4:$4,0))/SUM(H$92)</f>
        <v>0.903501281</v>
      </c>
      <c r="I105" s="260">
        <f t="array" ref="I105">INDEX('IS Proforma'!$1:$1048490,MATCH(Headcount!$A105,'IS Proforma'!$C:$C,0),MATCH(Headcount!I$4,'IS Proforma'!$4:$4,0))/SUM(I$92)</f>
        <v>1.106604264</v>
      </c>
      <c r="J105" s="260">
        <f t="array" ref="J105">INDEX('IS Proforma'!$1:$1048490,MATCH(Headcount!$A105,'IS Proforma'!$C:$C,0),MATCH(Headcount!J$4,'IS Proforma'!$4:$4,0))/SUM(J$92)</f>
        <v>1.277253669</v>
      </c>
      <c r="K105" s="260">
        <f t="array" ref="K105">INDEX('IS Proforma'!$1:$1048490,MATCH(Headcount!$A105,'IS Proforma'!$C:$C,0),MATCH(Headcount!K$4,'IS Proforma'!$4:$4,0))/SUM(K$92)</f>
        <v>0.7851851852</v>
      </c>
      <c r="L105" s="260">
        <f t="array" ref="L105">INDEX('IS Proforma'!$1:$1048490,MATCH(Headcount!$A105,'IS Proforma'!$C:$C,0),MATCH(Headcount!L$4,'IS Proforma'!$4:$4,0))/SUM(L$92)</f>
        <v>0.75</v>
      </c>
      <c r="M105" s="260">
        <f t="array" ref="M105">INDEX('IS Proforma'!$1:$1048490,MATCH(Headcount!$A105,'IS Proforma'!$C:$C,0),MATCH(Headcount!M$4,'IS Proforma'!$4:$4,0))/SUM(M$92)</f>
        <v>0.5338809035</v>
      </c>
      <c r="N105" s="260">
        <f t="array" ref="N105">INDEX('IS Proforma'!$1:$1048490,MATCH(Headcount!$A105,'IS Proforma'!$C:$C,0),MATCH(Headcount!N$4,'IS Proforma'!$4:$4,0))/SUM(N$92)</f>
        <v>1.875412541</v>
      </c>
      <c r="O105" s="260">
        <f t="array" ref="O105">INDEX('IS Proforma'!$1:$1048490,MATCH(Headcount!$A105,'IS Proforma'!$C:$C,0),MATCH(Headcount!O$4,'IS Proforma'!$4:$4,0))/SUM(O$92)</f>
        <v>1.167950693</v>
      </c>
      <c r="P105" s="260">
        <f t="array" ref="P105">INDEX('IS Proforma'!$1:$1048490,MATCH(Headcount!$A105,'IS Proforma'!$C:$C,0),MATCH(Headcount!P$4,'IS Proforma'!$4:$4,0))/SUM(P$92)</f>
        <v>1.101388051</v>
      </c>
      <c r="Q105" s="260">
        <f t="array" ref="Q105">INDEX('IS Proforma'!$1:$1048490,MATCH(Headcount!$A105,'IS Proforma'!$C:$C,0),MATCH(Headcount!Q$4,'IS Proforma'!$4:$4,0))/SUM(Q$92)</f>
        <v>1.745310245</v>
      </c>
      <c r="R105" s="260">
        <f t="array" ref="R105">INDEX('IS Proforma'!$1:$1048490,MATCH(Headcount!$A105,'IS Proforma'!$C:$C,0),MATCH(Headcount!R$4,'IS Proforma'!$4:$4,0))/SUM(R$92)</f>
        <v>1.032786885</v>
      </c>
      <c r="S105" s="261">
        <v>0.15</v>
      </c>
      <c r="T105" s="261">
        <v>0.15</v>
      </c>
      <c r="U105" s="261">
        <v>0.15</v>
      </c>
      <c r="V105" s="253">
        <f t="shared" ref="V105:CA105" si="97">AVERAGE(S105:U105)</f>
        <v>0.15</v>
      </c>
      <c r="W105" s="253">
        <f t="shared" si="97"/>
        <v>0.15</v>
      </c>
      <c r="X105" s="253">
        <f t="shared" si="97"/>
        <v>0.15</v>
      </c>
      <c r="Y105" s="253">
        <f t="shared" si="97"/>
        <v>0.15</v>
      </c>
      <c r="Z105" s="253">
        <f t="shared" si="97"/>
        <v>0.15</v>
      </c>
      <c r="AA105" s="253">
        <f t="shared" si="97"/>
        <v>0.15</v>
      </c>
      <c r="AB105" s="253">
        <f t="shared" si="97"/>
        <v>0.15</v>
      </c>
      <c r="AC105" s="253">
        <f t="shared" si="97"/>
        <v>0.15</v>
      </c>
      <c r="AD105" s="253">
        <f t="shared" si="97"/>
        <v>0.15</v>
      </c>
      <c r="AE105" s="253">
        <f t="shared" si="97"/>
        <v>0.15</v>
      </c>
      <c r="AF105" s="253">
        <f t="shared" si="97"/>
        <v>0.15</v>
      </c>
      <c r="AG105" s="253">
        <f t="shared" si="97"/>
        <v>0.15</v>
      </c>
      <c r="AH105" s="253">
        <f t="shared" si="97"/>
        <v>0.15</v>
      </c>
      <c r="AI105" s="253">
        <f t="shared" si="97"/>
        <v>0.15</v>
      </c>
      <c r="AJ105" s="253">
        <f t="shared" si="97"/>
        <v>0.15</v>
      </c>
      <c r="AK105" s="253">
        <f t="shared" si="97"/>
        <v>0.15</v>
      </c>
      <c r="AL105" s="253">
        <f t="shared" si="97"/>
        <v>0.15</v>
      </c>
      <c r="AM105" s="253">
        <f t="shared" si="97"/>
        <v>0.15</v>
      </c>
      <c r="AN105" s="253">
        <f t="shared" si="97"/>
        <v>0.15</v>
      </c>
      <c r="AO105" s="253">
        <f t="shared" si="97"/>
        <v>0.15</v>
      </c>
      <c r="AP105" s="253">
        <f t="shared" si="97"/>
        <v>0.15</v>
      </c>
      <c r="AQ105" s="253">
        <f t="shared" si="97"/>
        <v>0.15</v>
      </c>
      <c r="AR105" s="253">
        <f t="shared" si="97"/>
        <v>0.15</v>
      </c>
      <c r="AS105" s="253">
        <f t="shared" si="97"/>
        <v>0.15</v>
      </c>
      <c r="AT105" s="253">
        <f t="shared" si="97"/>
        <v>0.15</v>
      </c>
      <c r="AU105" s="253">
        <f t="shared" si="97"/>
        <v>0.15</v>
      </c>
      <c r="AV105" s="253">
        <f t="shared" si="97"/>
        <v>0.15</v>
      </c>
      <c r="AW105" s="253">
        <f t="shared" si="97"/>
        <v>0.15</v>
      </c>
      <c r="AX105" s="253">
        <f t="shared" si="97"/>
        <v>0.15</v>
      </c>
      <c r="AY105" s="253">
        <f t="shared" si="97"/>
        <v>0.15</v>
      </c>
      <c r="AZ105" s="253">
        <f t="shared" si="97"/>
        <v>0.15</v>
      </c>
      <c r="BA105" s="253">
        <f t="shared" si="97"/>
        <v>0.15</v>
      </c>
      <c r="BB105" s="253">
        <f t="shared" si="97"/>
        <v>0.15</v>
      </c>
      <c r="BC105" s="253">
        <f t="shared" si="97"/>
        <v>0.15</v>
      </c>
      <c r="BD105" s="253">
        <f t="shared" si="97"/>
        <v>0.15</v>
      </c>
      <c r="BE105" s="253">
        <f t="shared" si="97"/>
        <v>0.15</v>
      </c>
      <c r="BF105" s="253">
        <f t="shared" si="97"/>
        <v>0.15</v>
      </c>
      <c r="BG105" s="253">
        <f t="shared" si="97"/>
        <v>0.15</v>
      </c>
      <c r="BH105" s="253">
        <f t="shared" si="97"/>
        <v>0.15</v>
      </c>
      <c r="BI105" s="253">
        <f t="shared" si="97"/>
        <v>0.15</v>
      </c>
      <c r="BJ105" s="253">
        <f t="shared" si="97"/>
        <v>0.15</v>
      </c>
      <c r="BK105" s="253">
        <f t="shared" si="97"/>
        <v>0.15</v>
      </c>
      <c r="BL105" s="253">
        <f t="shared" si="97"/>
        <v>0.15</v>
      </c>
      <c r="BM105" s="253">
        <f t="shared" si="97"/>
        <v>0.15</v>
      </c>
      <c r="BN105" s="253">
        <f t="shared" si="97"/>
        <v>0.15</v>
      </c>
      <c r="BO105" s="253">
        <f t="shared" si="97"/>
        <v>0.15</v>
      </c>
      <c r="BP105" s="253">
        <f t="shared" si="97"/>
        <v>0.15</v>
      </c>
      <c r="BQ105" s="253">
        <f t="shared" si="97"/>
        <v>0.15</v>
      </c>
      <c r="BR105" s="253">
        <f t="shared" si="97"/>
        <v>0.15</v>
      </c>
      <c r="BS105" s="253">
        <f t="shared" si="97"/>
        <v>0.15</v>
      </c>
      <c r="BT105" s="253">
        <f t="shared" si="97"/>
        <v>0.15</v>
      </c>
      <c r="BU105" s="253">
        <f t="shared" si="97"/>
        <v>0.15</v>
      </c>
      <c r="BV105" s="253">
        <f t="shared" si="97"/>
        <v>0.15</v>
      </c>
      <c r="BW105" s="253">
        <f t="shared" si="97"/>
        <v>0.15</v>
      </c>
      <c r="BX105" s="253">
        <f t="shared" si="97"/>
        <v>0.15</v>
      </c>
      <c r="BY105" s="253">
        <f t="shared" si="97"/>
        <v>0.15</v>
      </c>
      <c r="BZ105" s="253">
        <f t="shared" si="97"/>
        <v>0.15</v>
      </c>
      <c r="CA105" s="253">
        <f t="shared" si="97"/>
        <v>0.15</v>
      </c>
    </row>
    <row r="106" ht="15.75" customHeight="1">
      <c r="A106" s="132" t="s">
        <v>227</v>
      </c>
      <c r="B106" s="260">
        <f t="array" ref="B106">INDEX('IS Proforma'!$1:$1048490,MATCH(Headcount!$A106,'IS Proforma'!$C:$C,0),MATCH(Headcount!B$4,'IS Proforma'!$4:$4,0))/SUM(B$92)</f>
        <v>0.7023278851</v>
      </c>
      <c r="C106" s="260">
        <f t="array" ref="C106">INDEX('IS Proforma'!$1:$1048490,MATCH(Headcount!$A106,'IS Proforma'!$C:$C,0),MATCH(Headcount!C$4,'IS Proforma'!$4:$4,0))/SUM(C$92)</f>
        <v>1.665271967</v>
      </c>
      <c r="D106" s="260">
        <f t="array" ref="D106">INDEX('IS Proforma'!$1:$1048490,MATCH(Headcount!$A106,'IS Proforma'!$C:$C,0),MATCH(Headcount!D$4,'IS Proforma'!$4:$4,0))/SUM(D$92)</f>
        <v>0.6105769231</v>
      </c>
      <c r="E106" s="260">
        <f t="array" ref="E106">INDEX('IS Proforma'!$1:$1048490,MATCH(Headcount!$A106,'IS Proforma'!$C:$C,0),MATCH(Headcount!E$4,'IS Proforma'!$4:$4,0))/SUM(E$92)</f>
        <v>1.107972379</v>
      </c>
      <c r="F106" s="260">
        <f t="array" ref="F106">INDEX('IS Proforma'!$1:$1048490,MATCH(Headcount!$A106,'IS Proforma'!$C:$C,0),MATCH(Headcount!F$4,'IS Proforma'!$4:$4,0))/SUM(F$92)</f>
        <v>1.04720783</v>
      </c>
      <c r="G106" s="260">
        <f t="array" ref="G106">INDEX('IS Proforma'!$1:$1048490,MATCH(Headcount!$A106,'IS Proforma'!$C:$C,0),MATCH(Headcount!G$4,'IS Proforma'!$4:$4,0))/SUM(G$92)</f>
        <v>0.6040899796</v>
      </c>
      <c r="H106" s="260">
        <f t="array" ref="H106">INDEX('IS Proforma'!$1:$1048490,MATCH(Headcount!$A106,'IS Proforma'!$C:$C,0),MATCH(Headcount!H$4,'IS Proforma'!$4:$4,0))/SUM(H$92)</f>
        <v>1.862510675</v>
      </c>
      <c r="I106" s="260">
        <f t="array" ref="I106">INDEX('IS Proforma'!$1:$1048490,MATCH(Headcount!$A106,'IS Proforma'!$C:$C,0),MATCH(Headcount!I$4,'IS Proforma'!$4:$4,0))/SUM(I$92)</f>
        <v>1.043681747</v>
      </c>
      <c r="J106" s="260">
        <f t="array" ref="J106">INDEX('IS Proforma'!$1:$1048490,MATCH(Headcount!$A106,'IS Proforma'!$C:$C,0),MATCH(Headcount!J$4,'IS Proforma'!$4:$4,0))/SUM(J$92)</f>
        <v>0.6399371069</v>
      </c>
      <c r="K106" s="260">
        <f t="array" ref="K106">INDEX('IS Proforma'!$1:$1048490,MATCH(Headcount!$A106,'IS Proforma'!$C:$C,0),MATCH(Headcount!K$4,'IS Proforma'!$4:$4,0))/SUM(K$92)</f>
        <v>0.7925925926</v>
      </c>
      <c r="L106" s="260">
        <f t="array" ref="L106">INDEX('IS Proforma'!$1:$1048490,MATCH(Headcount!$A106,'IS Proforma'!$C:$C,0),MATCH(Headcount!L$4,'IS Proforma'!$4:$4,0))/SUM(L$92)</f>
        <v>0.8178838951</v>
      </c>
      <c r="M106" s="260">
        <f t="array" ref="M106">INDEX('IS Proforma'!$1:$1048490,MATCH(Headcount!$A106,'IS Proforma'!$C:$C,0),MATCH(Headcount!M$4,'IS Proforma'!$4:$4,0))/SUM(M$92)</f>
        <v>0.8531827515</v>
      </c>
      <c r="N106" s="260">
        <f t="array" ref="N106">INDEX('IS Proforma'!$1:$1048490,MATCH(Headcount!$A106,'IS Proforma'!$C:$C,0),MATCH(Headcount!N$4,'IS Proforma'!$4:$4,0))/SUM(N$92)</f>
        <v>1.358910891</v>
      </c>
      <c r="O106" s="260">
        <f t="array" ref="O106">INDEX('IS Proforma'!$1:$1048490,MATCH(Headcount!$A106,'IS Proforma'!$C:$C,0),MATCH(Headcount!O$4,'IS Proforma'!$4:$4,0))/SUM(O$92)</f>
        <v>0.9198767334</v>
      </c>
      <c r="P106" s="260">
        <f t="array" ref="P106">INDEX('IS Proforma'!$1:$1048490,MATCH(Headcount!$A106,'IS Proforma'!$C:$C,0),MATCH(Headcount!P$4,'IS Proforma'!$4:$4,0))/SUM(P$92)</f>
        <v>1.2009656</v>
      </c>
      <c r="Q106" s="260">
        <f t="array" ref="Q106">INDEX('IS Proforma'!$1:$1048490,MATCH(Headcount!$A106,'IS Proforma'!$C:$C,0),MATCH(Headcount!Q$4,'IS Proforma'!$4:$4,0))/SUM(Q$92)</f>
        <v>0.8145743146</v>
      </c>
      <c r="R106" s="260">
        <f t="array" ref="R106">INDEX('IS Proforma'!$1:$1048490,MATCH(Headcount!$A106,'IS Proforma'!$C:$C,0),MATCH(Headcount!R$4,'IS Proforma'!$4:$4,0))/SUM(R$92)</f>
        <v>0.6854887675</v>
      </c>
      <c r="S106" s="261">
        <v>0.02</v>
      </c>
      <c r="T106" s="261">
        <v>0.02</v>
      </c>
      <c r="U106" s="261">
        <v>0.02</v>
      </c>
      <c r="V106" s="253">
        <f t="shared" ref="V106:CA106" si="98">AVERAGE(S106:U106)</f>
        <v>0.02</v>
      </c>
      <c r="W106" s="253">
        <f t="shared" si="98"/>
        <v>0.02</v>
      </c>
      <c r="X106" s="253">
        <f t="shared" si="98"/>
        <v>0.02</v>
      </c>
      <c r="Y106" s="253">
        <f t="shared" si="98"/>
        <v>0.02</v>
      </c>
      <c r="Z106" s="253">
        <f t="shared" si="98"/>
        <v>0.02</v>
      </c>
      <c r="AA106" s="253">
        <f t="shared" si="98"/>
        <v>0.02</v>
      </c>
      <c r="AB106" s="253">
        <f t="shared" si="98"/>
        <v>0.02</v>
      </c>
      <c r="AC106" s="253">
        <f t="shared" si="98"/>
        <v>0.02</v>
      </c>
      <c r="AD106" s="253">
        <f t="shared" si="98"/>
        <v>0.02</v>
      </c>
      <c r="AE106" s="253">
        <f t="shared" si="98"/>
        <v>0.02</v>
      </c>
      <c r="AF106" s="253">
        <f t="shared" si="98"/>
        <v>0.02</v>
      </c>
      <c r="AG106" s="253">
        <f t="shared" si="98"/>
        <v>0.02</v>
      </c>
      <c r="AH106" s="253">
        <f t="shared" si="98"/>
        <v>0.02</v>
      </c>
      <c r="AI106" s="253">
        <f t="shared" si="98"/>
        <v>0.02</v>
      </c>
      <c r="AJ106" s="253">
        <f t="shared" si="98"/>
        <v>0.02</v>
      </c>
      <c r="AK106" s="253">
        <f t="shared" si="98"/>
        <v>0.02</v>
      </c>
      <c r="AL106" s="253">
        <f t="shared" si="98"/>
        <v>0.02</v>
      </c>
      <c r="AM106" s="253">
        <f t="shared" si="98"/>
        <v>0.02</v>
      </c>
      <c r="AN106" s="253">
        <f t="shared" si="98"/>
        <v>0.02</v>
      </c>
      <c r="AO106" s="253">
        <f t="shared" si="98"/>
        <v>0.02</v>
      </c>
      <c r="AP106" s="253">
        <f t="shared" si="98"/>
        <v>0.02</v>
      </c>
      <c r="AQ106" s="253">
        <f t="shared" si="98"/>
        <v>0.02</v>
      </c>
      <c r="AR106" s="253">
        <f t="shared" si="98"/>
        <v>0.02</v>
      </c>
      <c r="AS106" s="253">
        <f t="shared" si="98"/>
        <v>0.02</v>
      </c>
      <c r="AT106" s="253">
        <f t="shared" si="98"/>
        <v>0.02</v>
      </c>
      <c r="AU106" s="253">
        <f t="shared" si="98"/>
        <v>0.02</v>
      </c>
      <c r="AV106" s="253">
        <f t="shared" si="98"/>
        <v>0.02</v>
      </c>
      <c r="AW106" s="253">
        <f t="shared" si="98"/>
        <v>0.02</v>
      </c>
      <c r="AX106" s="253">
        <f t="shared" si="98"/>
        <v>0.02</v>
      </c>
      <c r="AY106" s="253">
        <f t="shared" si="98"/>
        <v>0.02</v>
      </c>
      <c r="AZ106" s="253">
        <f t="shared" si="98"/>
        <v>0.02</v>
      </c>
      <c r="BA106" s="253">
        <f t="shared" si="98"/>
        <v>0.02</v>
      </c>
      <c r="BB106" s="253">
        <f t="shared" si="98"/>
        <v>0.02</v>
      </c>
      <c r="BC106" s="253">
        <f t="shared" si="98"/>
        <v>0.02</v>
      </c>
      <c r="BD106" s="253">
        <f t="shared" si="98"/>
        <v>0.02</v>
      </c>
      <c r="BE106" s="253">
        <f t="shared" si="98"/>
        <v>0.02</v>
      </c>
      <c r="BF106" s="253">
        <f t="shared" si="98"/>
        <v>0.02</v>
      </c>
      <c r="BG106" s="253">
        <f t="shared" si="98"/>
        <v>0.02</v>
      </c>
      <c r="BH106" s="253">
        <f t="shared" si="98"/>
        <v>0.02</v>
      </c>
      <c r="BI106" s="253">
        <f t="shared" si="98"/>
        <v>0.02</v>
      </c>
      <c r="BJ106" s="253">
        <f t="shared" si="98"/>
        <v>0.02</v>
      </c>
      <c r="BK106" s="253">
        <f t="shared" si="98"/>
        <v>0.02</v>
      </c>
      <c r="BL106" s="253">
        <f t="shared" si="98"/>
        <v>0.02</v>
      </c>
      <c r="BM106" s="253">
        <f t="shared" si="98"/>
        <v>0.02</v>
      </c>
      <c r="BN106" s="253">
        <f t="shared" si="98"/>
        <v>0.02</v>
      </c>
      <c r="BO106" s="253">
        <f t="shared" si="98"/>
        <v>0.02</v>
      </c>
      <c r="BP106" s="253">
        <f t="shared" si="98"/>
        <v>0.02</v>
      </c>
      <c r="BQ106" s="253">
        <f t="shared" si="98"/>
        <v>0.02</v>
      </c>
      <c r="BR106" s="253">
        <f t="shared" si="98"/>
        <v>0.02</v>
      </c>
      <c r="BS106" s="253">
        <f t="shared" si="98"/>
        <v>0.02</v>
      </c>
      <c r="BT106" s="253">
        <f t="shared" si="98"/>
        <v>0.02</v>
      </c>
      <c r="BU106" s="253">
        <f t="shared" si="98"/>
        <v>0.02</v>
      </c>
      <c r="BV106" s="253">
        <f t="shared" si="98"/>
        <v>0.02</v>
      </c>
      <c r="BW106" s="253">
        <f t="shared" si="98"/>
        <v>0.02</v>
      </c>
      <c r="BX106" s="253">
        <f t="shared" si="98"/>
        <v>0.02</v>
      </c>
      <c r="BY106" s="253">
        <f t="shared" si="98"/>
        <v>0.02</v>
      </c>
      <c r="BZ106" s="253">
        <f t="shared" si="98"/>
        <v>0.02</v>
      </c>
      <c r="CA106" s="253">
        <f t="shared" si="98"/>
        <v>0.02</v>
      </c>
    </row>
    <row r="107" ht="15.75" customHeight="1">
      <c r="A107" s="91"/>
      <c r="B107" s="91"/>
      <c r="C107" s="91"/>
      <c r="D107" s="91"/>
      <c r="E107" s="91"/>
      <c r="F107" s="91"/>
      <c r="G107" s="91"/>
      <c r="H107" s="91"/>
      <c r="I107" s="91"/>
      <c r="J107" s="91"/>
      <c r="K107" s="91"/>
      <c r="L107" s="91"/>
      <c r="M107" s="91"/>
      <c r="N107" s="91"/>
      <c r="O107" s="91"/>
      <c r="P107" s="91"/>
      <c r="Q107" s="91"/>
      <c r="R107" s="91"/>
      <c r="S107" s="8"/>
      <c r="T107" s="8"/>
      <c r="U107" s="8"/>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row>
    <row r="108" ht="15.75" customHeight="1">
      <c r="A108" s="132" t="s">
        <v>231</v>
      </c>
      <c r="B108" s="260">
        <f t="array" ref="B108">INDEX('IS Proforma'!$1:$1048490,MATCH(Headcount!$A108,'IS Proforma'!$C:$C,0),MATCH(Headcount!B$4,'IS Proforma'!$4:$4,0))/SUM(B$85,B$92)</f>
        <v>0.389527771</v>
      </c>
      <c r="C108" s="260">
        <f t="array" ref="C108">INDEX('IS Proforma'!$1:$1048490,MATCH(Headcount!$A108,'IS Proforma'!$C:$C,0),MATCH(Headcount!C$4,'IS Proforma'!$4:$4,0))/C$92</f>
        <v>1.650627615</v>
      </c>
      <c r="D108" s="260">
        <f t="array" ref="D108">INDEX('IS Proforma'!$1:$1048490,MATCH(Headcount!$A108,'IS Proforma'!$C:$C,0),MATCH(Headcount!D$4,'IS Proforma'!$4:$4,0))/D$92</f>
        <v>1.076923077</v>
      </c>
      <c r="E108" s="260">
        <f t="array" ref="E108">INDEX('IS Proforma'!$1:$1048490,MATCH(Headcount!$A108,'IS Proforma'!$C:$C,0),MATCH(Headcount!E$4,'IS Proforma'!$4:$4,0))/E$92</f>
        <v>1.119899561</v>
      </c>
      <c r="F108" s="260">
        <f t="array" ref="F108">INDEX('IS Proforma'!$1:$1048490,MATCH(Headcount!$A108,'IS Proforma'!$C:$C,0),MATCH(Headcount!F$4,'IS Proforma'!$4:$4,0))/F$92</f>
        <v>1.165803109</v>
      </c>
      <c r="G108" s="260">
        <f t="array" ref="G108">INDEX('IS Proforma'!$1:$1048490,MATCH(Headcount!$A108,'IS Proforma'!$C:$C,0),MATCH(Headcount!G$4,'IS Proforma'!$4:$4,0))/G$92</f>
        <v>0.7386503067</v>
      </c>
      <c r="H108" s="260">
        <f t="array" ref="H108">INDEX('IS Proforma'!$1:$1048490,MATCH(Headcount!$A108,'IS Proforma'!$C:$C,0),MATCH(Headcount!H$4,'IS Proforma'!$4:$4,0))/H$92</f>
        <v>1.482493595</v>
      </c>
      <c r="I108" s="260">
        <f t="array" ref="I108">INDEX('IS Proforma'!$1:$1048490,MATCH(Headcount!$A108,'IS Proforma'!$C:$C,0),MATCH(Headcount!I$4,'IS Proforma'!$4:$4,0))/I$92</f>
        <v>0.6671866875</v>
      </c>
      <c r="J108" s="260">
        <f t="array" ref="J108">INDEX('IS Proforma'!$1:$1048490,MATCH(Headcount!$A108,'IS Proforma'!$C:$C,0),MATCH(Headcount!J$4,'IS Proforma'!$4:$4,0))/J$92</f>
        <v>0.6294549266</v>
      </c>
      <c r="K108" s="260">
        <f t="array" ref="K108">INDEX('IS Proforma'!$1:$1048490,MATCH(Headcount!$A108,'IS Proforma'!$C:$C,0),MATCH(Headcount!K$4,'IS Proforma'!$4:$4,0))/K$92</f>
        <v>0.9145969499</v>
      </c>
      <c r="L108" s="260">
        <f t="array" ref="L108">INDEX('IS Proforma'!$1:$1048490,MATCH(Headcount!$A108,'IS Proforma'!$C:$C,0),MATCH(Headcount!L$4,'IS Proforma'!$4:$4,0))/L$92</f>
        <v>1.048689139</v>
      </c>
      <c r="M108" s="260">
        <f t="array" ref="M108">INDEX('IS Proforma'!$1:$1048490,MATCH(Headcount!$A108,'IS Proforma'!$C:$C,0),MATCH(Headcount!M$4,'IS Proforma'!$4:$4,0))/M$92</f>
        <v>0.8747433265</v>
      </c>
      <c r="N108" s="260">
        <f t="array" ref="N108">INDEX('IS Proforma'!$1:$1048490,MATCH(Headcount!$A108,'IS Proforma'!$C:$C,0),MATCH(Headcount!N$4,'IS Proforma'!$4:$4,0))/N$92</f>
        <v>0.9265676568</v>
      </c>
      <c r="O108" s="260">
        <f t="array" ref="O108">INDEX('IS Proforma'!$1:$1048490,MATCH(Headcount!$A108,'IS Proforma'!$C:$C,0),MATCH(Headcount!O$4,'IS Proforma'!$4:$4,0))/O$92</f>
        <v>1.226502311</v>
      </c>
      <c r="P108" s="260">
        <f t="array" ref="P108">INDEX('IS Proforma'!$1:$1048490,MATCH(Headcount!$A108,'IS Proforma'!$C:$C,0),MATCH(Headcount!P$4,'IS Proforma'!$4:$4,0))/P$92</f>
        <v>0.9915509958</v>
      </c>
      <c r="Q108" s="260">
        <f t="array" ref="Q108">INDEX('IS Proforma'!$1:$1048490,MATCH(Headcount!$A108,'IS Proforma'!$C:$C,0),MATCH(Headcount!Q$4,'IS Proforma'!$4:$4,0))/Q$92</f>
        <v>1.136363636</v>
      </c>
      <c r="R108" s="260">
        <f t="array" ref="R108">INDEX('IS Proforma'!$1:$1048490,MATCH(Headcount!$A108,'IS Proforma'!$C:$C,0),MATCH(Headcount!R$4,'IS Proforma'!$4:$4,0))/R$92</f>
        <v>1.460837887</v>
      </c>
      <c r="S108" s="261">
        <v>0.015</v>
      </c>
      <c r="T108" s="261">
        <v>0.015</v>
      </c>
      <c r="U108" s="261">
        <f t="shared" ref="U108:CA108" si="99">T108</f>
        <v>0.015</v>
      </c>
      <c r="V108" s="253">
        <f t="shared" si="99"/>
        <v>0.015</v>
      </c>
      <c r="W108" s="253">
        <f t="shared" si="99"/>
        <v>0.015</v>
      </c>
      <c r="X108" s="253">
        <f t="shared" si="99"/>
        <v>0.015</v>
      </c>
      <c r="Y108" s="253">
        <f t="shared" si="99"/>
        <v>0.015</v>
      </c>
      <c r="Z108" s="253">
        <f t="shared" si="99"/>
        <v>0.015</v>
      </c>
      <c r="AA108" s="253">
        <f t="shared" si="99"/>
        <v>0.015</v>
      </c>
      <c r="AB108" s="253">
        <f t="shared" si="99"/>
        <v>0.015</v>
      </c>
      <c r="AC108" s="253">
        <f t="shared" si="99"/>
        <v>0.015</v>
      </c>
      <c r="AD108" s="253">
        <f t="shared" si="99"/>
        <v>0.015</v>
      </c>
      <c r="AE108" s="253">
        <f t="shared" si="99"/>
        <v>0.015</v>
      </c>
      <c r="AF108" s="253">
        <f t="shared" si="99"/>
        <v>0.015</v>
      </c>
      <c r="AG108" s="253">
        <f t="shared" si="99"/>
        <v>0.015</v>
      </c>
      <c r="AH108" s="253">
        <f t="shared" si="99"/>
        <v>0.015</v>
      </c>
      <c r="AI108" s="253">
        <f t="shared" si="99"/>
        <v>0.015</v>
      </c>
      <c r="AJ108" s="253">
        <f t="shared" si="99"/>
        <v>0.015</v>
      </c>
      <c r="AK108" s="253">
        <f t="shared" si="99"/>
        <v>0.015</v>
      </c>
      <c r="AL108" s="253">
        <f t="shared" si="99"/>
        <v>0.015</v>
      </c>
      <c r="AM108" s="253">
        <f t="shared" si="99"/>
        <v>0.015</v>
      </c>
      <c r="AN108" s="253">
        <f t="shared" si="99"/>
        <v>0.015</v>
      </c>
      <c r="AO108" s="253">
        <f t="shared" si="99"/>
        <v>0.015</v>
      </c>
      <c r="AP108" s="253">
        <f t="shared" si="99"/>
        <v>0.015</v>
      </c>
      <c r="AQ108" s="253">
        <f t="shared" si="99"/>
        <v>0.015</v>
      </c>
      <c r="AR108" s="253">
        <f t="shared" si="99"/>
        <v>0.015</v>
      </c>
      <c r="AS108" s="253">
        <f t="shared" si="99"/>
        <v>0.015</v>
      </c>
      <c r="AT108" s="253">
        <f t="shared" si="99"/>
        <v>0.015</v>
      </c>
      <c r="AU108" s="253">
        <f t="shared" si="99"/>
        <v>0.015</v>
      </c>
      <c r="AV108" s="253">
        <f t="shared" si="99"/>
        <v>0.015</v>
      </c>
      <c r="AW108" s="253">
        <f t="shared" si="99"/>
        <v>0.015</v>
      </c>
      <c r="AX108" s="253">
        <f t="shared" si="99"/>
        <v>0.015</v>
      </c>
      <c r="AY108" s="253">
        <f t="shared" si="99"/>
        <v>0.015</v>
      </c>
      <c r="AZ108" s="253">
        <f t="shared" si="99"/>
        <v>0.015</v>
      </c>
      <c r="BA108" s="253">
        <f t="shared" si="99"/>
        <v>0.015</v>
      </c>
      <c r="BB108" s="253">
        <f t="shared" si="99"/>
        <v>0.015</v>
      </c>
      <c r="BC108" s="253">
        <f t="shared" si="99"/>
        <v>0.015</v>
      </c>
      <c r="BD108" s="253">
        <f t="shared" si="99"/>
        <v>0.015</v>
      </c>
      <c r="BE108" s="253">
        <f t="shared" si="99"/>
        <v>0.015</v>
      </c>
      <c r="BF108" s="253">
        <f t="shared" si="99"/>
        <v>0.015</v>
      </c>
      <c r="BG108" s="253">
        <f t="shared" si="99"/>
        <v>0.015</v>
      </c>
      <c r="BH108" s="253">
        <f t="shared" si="99"/>
        <v>0.015</v>
      </c>
      <c r="BI108" s="253">
        <f t="shared" si="99"/>
        <v>0.015</v>
      </c>
      <c r="BJ108" s="253">
        <f t="shared" si="99"/>
        <v>0.015</v>
      </c>
      <c r="BK108" s="253">
        <f t="shared" si="99"/>
        <v>0.015</v>
      </c>
      <c r="BL108" s="253">
        <f t="shared" si="99"/>
        <v>0.015</v>
      </c>
      <c r="BM108" s="253">
        <f t="shared" si="99"/>
        <v>0.015</v>
      </c>
      <c r="BN108" s="253">
        <f t="shared" si="99"/>
        <v>0.015</v>
      </c>
      <c r="BO108" s="253">
        <f t="shared" si="99"/>
        <v>0.015</v>
      </c>
      <c r="BP108" s="253">
        <f t="shared" si="99"/>
        <v>0.015</v>
      </c>
      <c r="BQ108" s="253">
        <f t="shared" si="99"/>
        <v>0.015</v>
      </c>
      <c r="BR108" s="253">
        <f t="shared" si="99"/>
        <v>0.015</v>
      </c>
      <c r="BS108" s="253">
        <f t="shared" si="99"/>
        <v>0.015</v>
      </c>
      <c r="BT108" s="253">
        <f t="shared" si="99"/>
        <v>0.015</v>
      </c>
      <c r="BU108" s="253">
        <f t="shared" si="99"/>
        <v>0.015</v>
      </c>
      <c r="BV108" s="253">
        <f t="shared" si="99"/>
        <v>0.015</v>
      </c>
      <c r="BW108" s="253">
        <f t="shared" si="99"/>
        <v>0.015</v>
      </c>
      <c r="BX108" s="253">
        <f t="shared" si="99"/>
        <v>0.015</v>
      </c>
      <c r="BY108" s="253">
        <f t="shared" si="99"/>
        <v>0.015</v>
      </c>
      <c r="BZ108" s="253">
        <f t="shared" si="99"/>
        <v>0.015</v>
      </c>
      <c r="CA108" s="253">
        <f t="shared" si="99"/>
        <v>0.015</v>
      </c>
    </row>
    <row r="109" ht="15.75" customHeight="1">
      <c r="A109" s="132" t="s">
        <v>234</v>
      </c>
      <c r="B109" s="260">
        <f t="array" ref="B109">INDEX('IS Proforma'!$1:$1048490,MATCH(Headcount!$A109,'IS Proforma'!$C:$C,0),MATCH(Headcount!B$4,'IS Proforma'!$4:$4,0))/SUM(B$85,B$92)</f>
        <v>0.2586249082</v>
      </c>
      <c r="C109" s="260">
        <f t="array" ref="C109">INDEX('IS Proforma'!$1:$1048490,MATCH(Headcount!$A109,'IS Proforma'!$C:$C,0),MATCH(Headcount!C$4,'IS Proforma'!$4:$4,0))/C$92</f>
        <v>1.679916318</v>
      </c>
      <c r="D109" s="260">
        <f t="array" ref="D109">INDEX('IS Proforma'!$1:$1048490,MATCH(Headcount!$A109,'IS Proforma'!$C:$C,0),MATCH(Headcount!D$4,'IS Proforma'!$4:$4,0))/D$92</f>
        <v>1.136538462</v>
      </c>
      <c r="E109" s="260">
        <f t="array" ref="E109">INDEX('IS Proforma'!$1:$1048490,MATCH(Headcount!$A109,'IS Proforma'!$C:$C,0),MATCH(Headcount!E$4,'IS Proforma'!$4:$4,0))/E$92</f>
        <v>1.145009416</v>
      </c>
      <c r="F109" s="260">
        <f t="array" ref="F109">INDEX('IS Proforma'!$1:$1048490,MATCH(Headcount!$A109,'IS Proforma'!$C:$C,0),MATCH(Headcount!F$4,'IS Proforma'!$4:$4,0))/F$92</f>
        <v>0.8514680484</v>
      </c>
      <c r="G109" s="260">
        <f t="array" ref="G109">INDEX('IS Proforma'!$1:$1048490,MATCH(Headcount!$A109,'IS Proforma'!$C:$C,0),MATCH(Headcount!G$4,'IS Proforma'!$4:$4,0))/G$92</f>
        <v>0.6924335378</v>
      </c>
      <c r="H109" s="260">
        <f t="array" ref="H109">INDEX('IS Proforma'!$1:$1048490,MATCH(Headcount!$A109,'IS Proforma'!$C:$C,0),MATCH(Headcount!H$4,'IS Proforma'!$4:$4,0))/H$92</f>
        <v>1.665243382</v>
      </c>
      <c r="I109" s="260">
        <f t="array" ref="I109">INDEX('IS Proforma'!$1:$1048490,MATCH(Headcount!$A109,'IS Proforma'!$C:$C,0),MATCH(Headcount!I$4,'IS Proforma'!$4:$4,0))/I$92</f>
        <v>0.5496619865</v>
      </c>
      <c r="J109" s="260">
        <f t="array" ref="J109">INDEX('IS Proforma'!$1:$1048490,MATCH(Headcount!$A109,'IS Proforma'!$C:$C,0),MATCH(Headcount!J$4,'IS Proforma'!$4:$4,0))/J$92</f>
        <v>0.9140461216</v>
      </c>
      <c r="K109" s="260">
        <f t="array" ref="K109">INDEX('IS Proforma'!$1:$1048490,MATCH(Headcount!$A109,'IS Proforma'!$C:$C,0),MATCH(Headcount!K$4,'IS Proforma'!$4:$4,0))/K$92</f>
        <v>0.7843137255</v>
      </c>
      <c r="L109" s="260">
        <f t="array" ref="L109">INDEX('IS Proforma'!$1:$1048490,MATCH(Headcount!$A109,'IS Proforma'!$C:$C,0),MATCH(Headcount!L$4,'IS Proforma'!$4:$4,0))/L$92</f>
        <v>0.8862359551</v>
      </c>
      <c r="M109" s="260">
        <f t="array" ref="M109">INDEX('IS Proforma'!$1:$1048490,MATCH(Headcount!$A109,'IS Proforma'!$C:$C,0),MATCH(Headcount!M$4,'IS Proforma'!$4:$4,0))/M$92</f>
        <v>0.5205338809</v>
      </c>
      <c r="N109" s="260">
        <f t="array" ref="N109">INDEX('IS Proforma'!$1:$1048490,MATCH(Headcount!$A109,'IS Proforma'!$C:$C,0),MATCH(Headcount!N$4,'IS Proforma'!$4:$4,0))/N$92</f>
        <v>0.8366336634</v>
      </c>
      <c r="O109" s="260">
        <f t="array" ref="O109">INDEX('IS Proforma'!$1:$1048490,MATCH(Headcount!$A109,'IS Proforma'!$C:$C,0),MATCH(Headcount!O$4,'IS Proforma'!$4:$4,0))/O$92</f>
        <v>1.837442219</v>
      </c>
      <c r="P109" s="260">
        <f t="array" ref="P109">INDEX('IS Proforma'!$1:$1048490,MATCH(Headcount!$A109,'IS Proforma'!$C:$C,0),MATCH(Headcount!P$4,'IS Proforma'!$4:$4,0))/P$92</f>
        <v>0.9903439952</v>
      </c>
      <c r="Q109" s="260">
        <f t="array" ref="Q109">INDEX('IS Proforma'!$1:$1048490,MATCH(Headcount!$A109,'IS Proforma'!$C:$C,0),MATCH(Headcount!Q$4,'IS Proforma'!$4:$4,0))/Q$92</f>
        <v>1.081529582</v>
      </c>
      <c r="R109" s="260">
        <f t="array" ref="R109">INDEX('IS Proforma'!$1:$1048490,MATCH(Headcount!$A109,'IS Proforma'!$C:$C,0),MATCH(Headcount!R$4,'IS Proforma'!$4:$4,0))/R$92</f>
        <v>1.357619915</v>
      </c>
      <c r="S109" s="261">
        <v>0.076</v>
      </c>
      <c r="T109" s="261">
        <v>0.076</v>
      </c>
      <c r="U109" s="261">
        <v>0.05</v>
      </c>
      <c r="V109" s="253">
        <v>0.03</v>
      </c>
      <c r="W109" s="253">
        <f>V109</f>
        <v>0.03</v>
      </c>
      <c r="X109" s="253">
        <v>0.02</v>
      </c>
      <c r="Y109" s="253">
        <f t="shared" ref="Y109:CA109" si="100">X109</f>
        <v>0.02</v>
      </c>
      <c r="Z109" s="253">
        <f t="shared" si="100"/>
        <v>0.02</v>
      </c>
      <c r="AA109" s="253">
        <f t="shared" si="100"/>
        <v>0.02</v>
      </c>
      <c r="AB109" s="253">
        <f t="shared" si="100"/>
        <v>0.02</v>
      </c>
      <c r="AC109" s="253">
        <f t="shared" si="100"/>
        <v>0.02</v>
      </c>
      <c r="AD109" s="253">
        <f t="shared" si="100"/>
        <v>0.02</v>
      </c>
      <c r="AE109" s="253">
        <f t="shared" si="100"/>
        <v>0.02</v>
      </c>
      <c r="AF109" s="253">
        <f t="shared" si="100"/>
        <v>0.02</v>
      </c>
      <c r="AG109" s="253">
        <f t="shared" si="100"/>
        <v>0.02</v>
      </c>
      <c r="AH109" s="253">
        <f t="shared" si="100"/>
        <v>0.02</v>
      </c>
      <c r="AI109" s="253">
        <f t="shared" si="100"/>
        <v>0.02</v>
      </c>
      <c r="AJ109" s="253">
        <f t="shared" si="100"/>
        <v>0.02</v>
      </c>
      <c r="AK109" s="253">
        <f t="shared" si="100"/>
        <v>0.02</v>
      </c>
      <c r="AL109" s="253">
        <f t="shared" si="100"/>
        <v>0.02</v>
      </c>
      <c r="AM109" s="253">
        <f t="shared" si="100"/>
        <v>0.02</v>
      </c>
      <c r="AN109" s="253">
        <f t="shared" si="100"/>
        <v>0.02</v>
      </c>
      <c r="AO109" s="253">
        <f t="shared" si="100"/>
        <v>0.02</v>
      </c>
      <c r="AP109" s="253">
        <f t="shared" si="100"/>
        <v>0.02</v>
      </c>
      <c r="AQ109" s="253">
        <f t="shared" si="100"/>
        <v>0.02</v>
      </c>
      <c r="AR109" s="253">
        <f t="shared" si="100"/>
        <v>0.02</v>
      </c>
      <c r="AS109" s="253">
        <f t="shared" si="100"/>
        <v>0.02</v>
      </c>
      <c r="AT109" s="253">
        <f t="shared" si="100"/>
        <v>0.02</v>
      </c>
      <c r="AU109" s="253">
        <f t="shared" si="100"/>
        <v>0.02</v>
      </c>
      <c r="AV109" s="253">
        <f t="shared" si="100"/>
        <v>0.02</v>
      </c>
      <c r="AW109" s="253">
        <f t="shared" si="100"/>
        <v>0.02</v>
      </c>
      <c r="AX109" s="253">
        <f t="shared" si="100"/>
        <v>0.02</v>
      </c>
      <c r="AY109" s="253">
        <f t="shared" si="100"/>
        <v>0.02</v>
      </c>
      <c r="AZ109" s="253">
        <f t="shared" si="100"/>
        <v>0.02</v>
      </c>
      <c r="BA109" s="253">
        <f t="shared" si="100"/>
        <v>0.02</v>
      </c>
      <c r="BB109" s="253">
        <f t="shared" si="100"/>
        <v>0.02</v>
      </c>
      <c r="BC109" s="253">
        <f t="shared" si="100"/>
        <v>0.02</v>
      </c>
      <c r="BD109" s="253">
        <f t="shared" si="100"/>
        <v>0.02</v>
      </c>
      <c r="BE109" s="253">
        <f t="shared" si="100"/>
        <v>0.02</v>
      </c>
      <c r="BF109" s="253">
        <f t="shared" si="100"/>
        <v>0.02</v>
      </c>
      <c r="BG109" s="253">
        <f t="shared" si="100"/>
        <v>0.02</v>
      </c>
      <c r="BH109" s="253">
        <f t="shared" si="100"/>
        <v>0.02</v>
      </c>
      <c r="BI109" s="253">
        <f t="shared" si="100"/>
        <v>0.02</v>
      </c>
      <c r="BJ109" s="253">
        <f t="shared" si="100"/>
        <v>0.02</v>
      </c>
      <c r="BK109" s="253">
        <f t="shared" si="100"/>
        <v>0.02</v>
      </c>
      <c r="BL109" s="253">
        <f t="shared" si="100"/>
        <v>0.02</v>
      </c>
      <c r="BM109" s="253">
        <f t="shared" si="100"/>
        <v>0.02</v>
      </c>
      <c r="BN109" s="253">
        <f t="shared" si="100"/>
        <v>0.02</v>
      </c>
      <c r="BO109" s="253">
        <f t="shared" si="100"/>
        <v>0.02</v>
      </c>
      <c r="BP109" s="253">
        <f t="shared" si="100"/>
        <v>0.02</v>
      </c>
      <c r="BQ109" s="253">
        <f t="shared" si="100"/>
        <v>0.02</v>
      </c>
      <c r="BR109" s="253">
        <f t="shared" si="100"/>
        <v>0.02</v>
      </c>
      <c r="BS109" s="253">
        <f t="shared" si="100"/>
        <v>0.02</v>
      </c>
      <c r="BT109" s="253">
        <f t="shared" si="100"/>
        <v>0.02</v>
      </c>
      <c r="BU109" s="253">
        <f t="shared" si="100"/>
        <v>0.02</v>
      </c>
      <c r="BV109" s="253">
        <f t="shared" si="100"/>
        <v>0.02</v>
      </c>
      <c r="BW109" s="253">
        <f t="shared" si="100"/>
        <v>0.02</v>
      </c>
      <c r="BX109" s="253">
        <f t="shared" si="100"/>
        <v>0.02</v>
      </c>
      <c r="BY109" s="253">
        <f t="shared" si="100"/>
        <v>0.02</v>
      </c>
      <c r="BZ109" s="253">
        <f t="shared" si="100"/>
        <v>0.02</v>
      </c>
      <c r="CA109" s="253">
        <f t="shared" si="100"/>
        <v>0.02</v>
      </c>
    </row>
    <row r="110" ht="15.75" customHeight="1">
      <c r="A110" s="132" t="s">
        <v>232</v>
      </c>
      <c r="B110" s="260">
        <f t="array" ref="B110">INDEX('IS Proforma'!$1:$1048490,MATCH(Headcount!$A110,'IS Proforma'!$C:$C,0),MATCH(Headcount!B$4,'IS Proforma'!$4:$4,0))/SUM(B$85,B$92)</f>
        <v>0.3043797406</v>
      </c>
      <c r="C110" s="260">
        <f t="array" ref="C110">INDEX('IS Proforma'!$1:$1048490,MATCH(Headcount!$A110,'IS Proforma'!$C:$C,0),MATCH(Headcount!C$4,'IS Proforma'!$4:$4,0))/SUM(C$85,C$92)</f>
        <v>0.762244567</v>
      </c>
      <c r="D110" s="260">
        <f t="array" ref="D110">INDEX('IS Proforma'!$1:$1048490,MATCH(Headcount!$A110,'IS Proforma'!$C:$C,0),MATCH(Headcount!D$4,'IS Proforma'!$4:$4,0))/SUM(D$85,D$92)</f>
        <v>0.4199260042</v>
      </c>
      <c r="E110" s="260">
        <f t="array" ref="E110">INDEX('IS Proforma'!$1:$1048490,MATCH(Headcount!$A110,'IS Proforma'!$C:$C,0),MATCH(Headcount!E$4,'IS Proforma'!$4:$4,0))/SUM(E$85,E$92)</f>
        <v>0.549469458</v>
      </c>
      <c r="F110" s="260">
        <f t="array" ref="F110">INDEX('IS Proforma'!$1:$1048490,MATCH(Headcount!$A110,'IS Proforma'!$C:$C,0),MATCH(Headcount!F$4,'IS Proforma'!$4:$4,0))/SUM(F$85,F$92)</f>
        <v>0.510141706</v>
      </c>
      <c r="G110" s="260">
        <f t="array" ref="G110">INDEX('IS Proforma'!$1:$1048490,MATCH(Headcount!$A110,'IS Proforma'!$C:$C,0),MATCH(Headcount!G$4,'IS Proforma'!$4:$4,0))/SUM(G$85,G$92)</f>
        <v>0.3340105648</v>
      </c>
      <c r="H110" s="260">
        <f t="array" ref="H110">INDEX('IS Proforma'!$1:$1048490,MATCH(Headcount!$A110,'IS Proforma'!$C:$C,0),MATCH(Headcount!H$4,'IS Proforma'!$4:$4,0))/SUM(H$85,H$92)</f>
        <v>0.3301755364</v>
      </c>
      <c r="I110" s="260">
        <f t="array" ref="I110">INDEX('IS Proforma'!$1:$1048490,MATCH(Headcount!$A110,'IS Proforma'!$C:$C,0),MATCH(Headcount!I$4,'IS Proforma'!$4:$4,0))/SUM(I$85,I$92)</f>
        <v>0.5587269513</v>
      </c>
      <c r="J110" s="260">
        <f t="array" ref="J110">INDEX('IS Proforma'!$1:$1048490,MATCH(Headcount!$A110,'IS Proforma'!$C:$C,0),MATCH(Headcount!J$4,'IS Proforma'!$4:$4,0))/SUM(J$85,J$92)</f>
        <v>0.2628998968</v>
      </c>
      <c r="K110" s="260">
        <f t="array" ref="K110">INDEX('IS Proforma'!$1:$1048490,MATCH(Headcount!$A110,'IS Proforma'!$C:$C,0),MATCH(Headcount!K$4,'IS Proforma'!$4:$4,0))/SUM(K$85,K$92)</f>
        <v>0.4570577079</v>
      </c>
      <c r="L110" s="260">
        <f t="array" ref="L110">INDEX('IS Proforma'!$1:$1048490,MATCH(Headcount!$A110,'IS Proforma'!$C:$C,0),MATCH(Headcount!L$4,'IS Proforma'!$4:$4,0))/SUM(L$85,L$92)</f>
        <v>0.4155925809</v>
      </c>
      <c r="M110" s="260">
        <f t="array" ref="M110">INDEX('IS Proforma'!$1:$1048490,MATCH(Headcount!$A110,'IS Proforma'!$C:$C,0),MATCH(Headcount!M$4,'IS Proforma'!$4:$4,0))/SUM(M$85,M$92)</f>
        <v>0.3881151346</v>
      </c>
      <c r="N110" s="260">
        <f t="array" ref="N110">INDEX('IS Proforma'!$1:$1048490,MATCH(Headcount!$A110,'IS Proforma'!$C:$C,0),MATCH(Headcount!N$4,'IS Proforma'!$4:$4,0))/SUM(N$85,N$92)</f>
        <v>0.5992555831</v>
      </c>
      <c r="O110" s="260">
        <f t="array" ref="O110">INDEX('IS Proforma'!$1:$1048490,MATCH(Headcount!$A110,'IS Proforma'!$C:$C,0),MATCH(Headcount!O$4,'IS Proforma'!$4:$4,0))/SUM(O$85,O$92)</f>
        <v>0.4623655914</v>
      </c>
      <c r="P110" s="260">
        <f t="array" ref="P110">INDEX('IS Proforma'!$1:$1048490,MATCH(Headcount!$A110,'IS Proforma'!$C:$C,0),MATCH(Headcount!P$4,'IS Proforma'!$4:$4,0))/SUM(P$85,P$92)</f>
        <v>0.3896725441</v>
      </c>
      <c r="Q110" s="260">
        <f t="array" ref="Q110">INDEX('IS Proforma'!$1:$1048490,MATCH(Headcount!$A110,'IS Proforma'!$C:$C,0),MATCH(Headcount!Q$4,'IS Proforma'!$4:$4,0))/SUM(Q$85,Q$92)</f>
        <v>0.5886749066</v>
      </c>
      <c r="R110" s="260">
        <f t="array" ref="R110">INDEX('IS Proforma'!$1:$1048490,MATCH(Headcount!$A110,'IS Proforma'!$C:$C,0),MATCH(Headcount!R$4,'IS Proforma'!$4:$4,0))/SUM(R$85,R$92)</f>
        <v>0.6797119599</v>
      </c>
      <c r="S110" s="261">
        <v>0.001</v>
      </c>
      <c r="T110" s="261">
        <v>0.001</v>
      </c>
      <c r="U110" s="261">
        <f t="shared" ref="U110:AE110" si="101">T110</f>
        <v>0.001</v>
      </c>
      <c r="V110" s="253">
        <f t="shared" si="101"/>
        <v>0.001</v>
      </c>
      <c r="W110" s="253">
        <f t="shared" si="101"/>
        <v>0.001</v>
      </c>
      <c r="X110" s="253">
        <f t="shared" si="101"/>
        <v>0.001</v>
      </c>
      <c r="Y110" s="253">
        <f t="shared" si="101"/>
        <v>0.001</v>
      </c>
      <c r="Z110" s="253">
        <f t="shared" si="101"/>
        <v>0.001</v>
      </c>
      <c r="AA110" s="253">
        <f t="shared" si="101"/>
        <v>0.001</v>
      </c>
      <c r="AB110" s="253">
        <f t="shared" si="101"/>
        <v>0.001</v>
      </c>
      <c r="AC110" s="253">
        <f t="shared" si="101"/>
        <v>0.001</v>
      </c>
      <c r="AD110" s="253">
        <f t="shared" si="101"/>
        <v>0.001</v>
      </c>
      <c r="AE110" s="253">
        <f t="shared" si="101"/>
        <v>0.001</v>
      </c>
      <c r="AF110" s="253">
        <f>AE110+0.001</f>
        <v>0.002</v>
      </c>
      <c r="AG110" s="253">
        <f t="shared" ref="AG110:AQ110" si="102">AF110</f>
        <v>0.002</v>
      </c>
      <c r="AH110" s="253">
        <f t="shared" si="102"/>
        <v>0.002</v>
      </c>
      <c r="AI110" s="253">
        <f t="shared" si="102"/>
        <v>0.002</v>
      </c>
      <c r="AJ110" s="253">
        <f t="shared" si="102"/>
        <v>0.002</v>
      </c>
      <c r="AK110" s="253">
        <f t="shared" si="102"/>
        <v>0.002</v>
      </c>
      <c r="AL110" s="253">
        <f t="shared" si="102"/>
        <v>0.002</v>
      </c>
      <c r="AM110" s="253">
        <f t="shared" si="102"/>
        <v>0.002</v>
      </c>
      <c r="AN110" s="253">
        <f t="shared" si="102"/>
        <v>0.002</v>
      </c>
      <c r="AO110" s="253">
        <f t="shared" si="102"/>
        <v>0.002</v>
      </c>
      <c r="AP110" s="253">
        <f t="shared" si="102"/>
        <v>0.002</v>
      </c>
      <c r="AQ110" s="253">
        <f t="shared" si="102"/>
        <v>0.002</v>
      </c>
      <c r="AR110" s="253">
        <f>AQ110+0.001</f>
        <v>0.003</v>
      </c>
      <c r="AS110" s="253">
        <f t="shared" ref="AS110:BD110" si="103">AR110</f>
        <v>0.003</v>
      </c>
      <c r="AT110" s="253">
        <f t="shared" si="103"/>
        <v>0.003</v>
      </c>
      <c r="AU110" s="253">
        <f t="shared" si="103"/>
        <v>0.003</v>
      </c>
      <c r="AV110" s="253">
        <f t="shared" si="103"/>
        <v>0.003</v>
      </c>
      <c r="AW110" s="253">
        <f t="shared" si="103"/>
        <v>0.003</v>
      </c>
      <c r="AX110" s="253">
        <f t="shared" si="103"/>
        <v>0.003</v>
      </c>
      <c r="AY110" s="253">
        <f t="shared" si="103"/>
        <v>0.003</v>
      </c>
      <c r="AZ110" s="253">
        <f t="shared" si="103"/>
        <v>0.003</v>
      </c>
      <c r="BA110" s="253">
        <f t="shared" si="103"/>
        <v>0.003</v>
      </c>
      <c r="BB110" s="253">
        <f t="shared" si="103"/>
        <v>0.003</v>
      </c>
      <c r="BC110" s="253">
        <f t="shared" si="103"/>
        <v>0.003</v>
      </c>
      <c r="BD110" s="253">
        <f t="shared" si="103"/>
        <v>0.003</v>
      </c>
      <c r="BE110" s="253">
        <f>BD110+0.001</f>
        <v>0.004</v>
      </c>
      <c r="BF110" s="253">
        <f t="shared" ref="BF110:BO110" si="104">BE110</f>
        <v>0.004</v>
      </c>
      <c r="BG110" s="253">
        <f t="shared" si="104"/>
        <v>0.004</v>
      </c>
      <c r="BH110" s="253">
        <f t="shared" si="104"/>
        <v>0.004</v>
      </c>
      <c r="BI110" s="253">
        <f t="shared" si="104"/>
        <v>0.004</v>
      </c>
      <c r="BJ110" s="253">
        <f t="shared" si="104"/>
        <v>0.004</v>
      </c>
      <c r="BK110" s="253">
        <f t="shared" si="104"/>
        <v>0.004</v>
      </c>
      <c r="BL110" s="253">
        <f t="shared" si="104"/>
        <v>0.004</v>
      </c>
      <c r="BM110" s="253">
        <f t="shared" si="104"/>
        <v>0.004</v>
      </c>
      <c r="BN110" s="253">
        <f t="shared" si="104"/>
        <v>0.004</v>
      </c>
      <c r="BO110" s="253">
        <f t="shared" si="104"/>
        <v>0.004</v>
      </c>
      <c r="BP110" s="253">
        <f>BO110+0.001</f>
        <v>0.005</v>
      </c>
      <c r="BQ110" s="253">
        <f t="shared" ref="BQ110:CA110" si="105">BP110</f>
        <v>0.005</v>
      </c>
      <c r="BR110" s="253">
        <f t="shared" si="105"/>
        <v>0.005</v>
      </c>
      <c r="BS110" s="253">
        <f t="shared" si="105"/>
        <v>0.005</v>
      </c>
      <c r="BT110" s="253">
        <f t="shared" si="105"/>
        <v>0.005</v>
      </c>
      <c r="BU110" s="253">
        <f t="shared" si="105"/>
        <v>0.005</v>
      </c>
      <c r="BV110" s="253">
        <f t="shared" si="105"/>
        <v>0.005</v>
      </c>
      <c r="BW110" s="253">
        <f t="shared" si="105"/>
        <v>0.005</v>
      </c>
      <c r="BX110" s="253">
        <f t="shared" si="105"/>
        <v>0.005</v>
      </c>
      <c r="BY110" s="253">
        <f t="shared" si="105"/>
        <v>0.005</v>
      </c>
      <c r="BZ110" s="253">
        <f t="shared" si="105"/>
        <v>0.005</v>
      </c>
      <c r="CA110" s="253">
        <f t="shared" si="105"/>
        <v>0.005</v>
      </c>
    </row>
    <row r="111" ht="15.75" customHeight="1">
      <c r="A111" s="132" t="s">
        <v>235</v>
      </c>
      <c r="B111" s="260">
        <f t="array" ref="B111">INDEX('IS Proforma'!$1:$1048490,MATCH(Headcount!$A111,'IS Proforma'!$C:$C,0),MATCH(Headcount!B$4,'IS Proforma'!$4:$4,0))/SUM(B$92)</f>
        <v>0.7459138187</v>
      </c>
      <c r="C111" s="260">
        <f t="array" ref="C111">INDEX('IS Proforma'!$1:$1048490,MATCH(Headcount!$A111,'IS Proforma'!$C:$C,0),MATCH(Headcount!C$4,'IS Proforma'!$4:$4,0))/SUM(C$92)</f>
        <v>1.482566248</v>
      </c>
      <c r="D111" s="260">
        <f t="array" ref="D111">INDEX('IS Proforma'!$1:$1048490,MATCH(Headcount!$A111,'IS Proforma'!$C:$C,0),MATCH(Headcount!D$4,'IS Proforma'!$4:$4,0))/SUM(D$92)</f>
        <v>0.7524038462</v>
      </c>
      <c r="E111" s="260">
        <f t="array" ref="E111">INDEX('IS Proforma'!$1:$1048490,MATCH(Headcount!$A111,'IS Proforma'!$C:$C,0),MATCH(Headcount!E$4,'IS Proforma'!$4:$4,0))/SUM(E$92)</f>
        <v>1.558066541</v>
      </c>
      <c r="F111" s="260">
        <f t="array" ref="F111">INDEX('IS Proforma'!$1:$1048490,MATCH(Headcount!$A111,'IS Proforma'!$C:$C,0),MATCH(Headcount!F$4,'IS Proforma'!$4:$4,0))/SUM(F$92)</f>
        <v>0.8744962579</v>
      </c>
      <c r="G111" s="260">
        <f t="array" ref="G111">INDEX('IS Proforma'!$1:$1048490,MATCH(Headcount!$A111,'IS Proforma'!$C:$C,0),MATCH(Headcount!G$4,'IS Proforma'!$4:$4,0))/SUM(G$92)</f>
        <v>0.8952965235</v>
      </c>
      <c r="H111" s="260">
        <f t="array" ref="H111">INDEX('IS Proforma'!$1:$1048490,MATCH(Headcount!$A111,'IS Proforma'!$C:$C,0),MATCH(Headcount!H$4,'IS Proforma'!$4:$4,0))/SUM(H$92)</f>
        <v>1.446626815</v>
      </c>
      <c r="I111" s="260">
        <f t="array" ref="I111">INDEX('IS Proforma'!$1:$1048490,MATCH(Headcount!$A111,'IS Proforma'!$C:$C,0),MATCH(Headcount!I$4,'IS Proforma'!$4:$4,0))/SUM(I$92)</f>
        <v>0.9329173167</v>
      </c>
      <c r="J111" s="260">
        <f t="array" ref="J111">INDEX('IS Proforma'!$1:$1048490,MATCH(Headcount!$A111,'IS Proforma'!$C:$C,0),MATCH(Headcount!J$4,'IS Proforma'!$4:$4,0))/SUM(J$92)</f>
        <v>0.7033542977</v>
      </c>
      <c r="K111" s="260">
        <f t="array" ref="K111">INDEX('IS Proforma'!$1:$1048490,MATCH(Headcount!$A111,'IS Proforma'!$C:$C,0),MATCH(Headcount!K$4,'IS Proforma'!$4:$4,0))/SUM(K$92)</f>
        <v>0.9769063181</v>
      </c>
      <c r="L111" s="260">
        <f t="array" ref="L111">INDEX('IS Proforma'!$1:$1048490,MATCH(Headcount!$A111,'IS Proforma'!$C:$C,0),MATCH(Headcount!L$4,'IS Proforma'!$4:$4,0))/SUM(L$92)</f>
        <v>0.986423221</v>
      </c>
      <c r="M111" s="260">
        <f t="array" ref="M111">INDEX('IS Proforma'!$1:$1048490,MATCH(Headcount!$A111,'IS Proforma'!$C:$C,0),MATCH(Headcount!M$4,'IS Proforma'!$4:$4,0))/SUM(M$92)</f>
        <v>0.7710472279</v>
      </c>
      <c r="N111" s="260">
        <f t="array" ref="N111">INDEX('IS Proforma'!$1:$1048490,MATCH(Headcount!$A111,'IS Proforma'!$C:$C,0),MATCH(Headcount!N$4,'IS Proforma'!$4:$4,0))/SUM(N$92)</f>
        <v>0.8696369637</v>
      </c>
      <c r="O111" s="260">
        <f t="array" ref="O111">INDEX('IS Proforma'!$1:$1048490,MATCH(Headcount!$A111,'IS Proforma'!$C:$C,0),MATCH(Headcount!O$4,'IS Proforma'!$4:$4,0))/SUM(O$92)</f>
        <v>1.123266564</v>
      </c>
      <c r="P111" s="260">
        <f t="array" ref="P111">INDEX('IS Proforma'!$1:$1048490,MATCH(Headcount!$A111,'IS Proforma'!$C:$C,0),MATCH(Headcount!P$4,'IS Proforma'!$4:$4,0))/SUM(P$92)</f>
        <v>1.027157514</v>
      </c>
      <c r="Q111" s="260">
        <f t="array" ref="Q111">INDEX('IS Proforma'!$1:$1048490,MATCH(Headcount!$A111,'IS Proforma'!$C:$C,0),MATCH(Headcount!Q$4,'IS Proforma'!$4:$4,0))/SUM(Q$92)</f>
        <v>0.797979798</v>
      </c>
      <c r="R111" s="260">
        <f t="array" ref="R111">INDEX('IS Proforma'!$1:$1048490,MATCH(Headcount!$A111,'IS Proforma'!$C:$C,0),MATCH(Headcount!R$4,'IS Proforma'!$4:$4,0))/SUM(R$92)</f>
        <v>0.9842137219</v>
      </c>
      <c r="S111" s="261">
        <v>0.01</v>
      </c>
      <c r="T111" s="261">
        <v>0.01</v>
      </c>
      <c r="U111" s="261">
        <f t="shared" ref="U111:AE111" si="106">T111</f>
        <v>0.01</v>
      </c>
      <c r="V111" s="253">
        <f t="shared" si="106"/>
        <v>0.01</v>
      </c>
      <c r="W111" s="253">
        <f t="shared" si="106"/>
        <v>0.01</v>
      </c>
      <c r="X111" s="253">
        <f t="shared" si="106"/>
        <v>0.01</v>
      </c>
      <c r="Y111" s="253">
        <f t="shared" si="106"/>
        <v>0.01</v>
      </c>
      <c r="Z111" s="253">
        <f t="shared" si="106"/>
        <v>0.01</v>
      </c>
      <c r="AA111" s="253">
        <f t="shared" si="106"/>
        <v>0.01</v>
      </c>
      <c r="AB111" s="253">
        <f t="shared" si="106"/>
        <v>0.01</v>
      </c>
      <c r="AC111" s="253">
        <f t="shared" si="106"/>
        <v>0.01</v>
      </c>
      <c r="AD111" s="253">
        <f t="shared" si="106"/>
        <v>0.01</v>
      </c>
      <c r="AE111" s="253">
        <f t="shared" si="106"/>
        <v>0.01</v>
      </c>
      <c r="AF111" s="253">
        <f>AE111+0.002</f>
        <v>0.012</v>
      </c>
      <c r="AG111" s="253">
        <f t="shared" ref="AG111:AQ111" si="107">AF111</f>
        <v>0.012</v>
      </c>
      <c r="AH111" s="253">
        <f t="shared" si="107"/>
        <v>0.012</v>
      </c>
      <c r="AI111" s="253">
        <f t="shared" si="107"/>
        <v>0.012</v>
      </c>
      <c r="AJ111" s="253">
        <f t="shared" si="107"/>
        <v>0.012</v>
      </c>
      <c r="AK111" s="253">
        <f t="shared" si="107"/>
        <v>0.012</v>
      </c>
      <c r="AL111" s="253">
        <f t="shared" si="107"/>
        <v>0.012</v>
      </c>
      <c r="AM111" s="253">
        <f t="shared" si="107"/>
        <v>0.012</v>
      </c>
      <c r="AN111" s="253">
        <f t="shared" si="107"/>
        <v>0.012</v>
      </c>
      <c r="AO111" s="253">
        <f t="shared" si="107"/>
        <v>0.012</v>
      </c>
      <c r="AP111" s="253">
        <f t="shared" si="107"/>
        <v>0.012</v>
      </c>
      <c r="AQ111" s="253">
        <f t="shared" si="107"/>
        <v>0.012</v>
      </c>
      <c r="AR111" s="253">
        <f>AQ111+0.002</f>
        <v>0.014</v>
      </c>
      <c r="AS111" s="253">
        <f t="shared" ref="AS111:BD111" si="108">AR111</f>
        <v>0.014</v>
      </c>
      <c r="AT111" s="253">
        <f t="shared" si="108"/>
        <v>0.014</v>
      </c>
      <c r="AU111" s="253">
        <f t="shared" si="108"/>
        <v>0.014</v>
      </c>
      <c r="AV111" s="253">
        <f t="shared" si="108"/>
        <v>0.014</v>
      </c>
      <c r="AW111" s="253">
        <f t="shared" si="108"/>
        <v>0.014</v>
      </c>
      <c r="AX111" s="253">
        <f t="shared" si="108"/>
        <v>0.014</v>
      </c>
      <c r="AY111" s="253">
        <f t="shared" si="108"/>
        <v>0.014</v>
      </c>
      <c r="AZ111" s="253">
        <f t="shared" si="108"/>
        <v>0.014</v>
      </c>
      <c r="BA111" s="253">
        <f t="shared" si="108"/>
        <v>0.014</v>
      </c>
      <c r="BB111" s="253">
        <f t="shared" si="108"/>
        <v>0.014</v>
      </c>
      <c r="BC111" s="253">
        <f t="shared" si="108"/>
        <v>0.014</v>
      </c>
      <c r="BD111" s="253">
        <f t="shared" si="108"/>
        <v>0.014</v>
      </c>
      <c r="BE111" s="253">
        <f>BD111+0.002</f>
        <v>0.016</v>
      </c>
      <c r="BF111" s="253">
        <f t="shared" ref="BF111:BO111" si="109">BE111</f>
        <v>0.016</v>
      </c>
      <c r="BG111" s="253">
        <f t="shared" si="109"/>
        <v>0.016</v>
      </c>
      <c r="BH111" s="253">
        <f t="shared" si="109"/>
        <v>0.016</v>
      </c>
      <c r="BI111" s="253">
        <f t="shared" si="109"/>
        <v>0.016</v>
      </c>
      <c r="BJ111" s="253">
        <f t="shared" si="109"/>
        <v>0.016</v>
      </c>
      <c r="BK111" s="253">
        <f t="shared" si="109"/>
        <v>0.016</v>
      </c>
      <c r="BL111" s="253">
        <f t="shared" si="109"/>
        <v>0.016</v>
      </c>
      <c r="BM111" s="253">
        <f t="shared" si="109"/>
        <v>0.016</v>
      </c>
      <c r="BN111" s="253">
        <f t="shared" si="109"/>
        <v>0.016</v>
      </c>
      <c r="BO111" s="253">
        <f t="shared" si="109"/>
        <v>0.016</v>
      </c>
      <c r="BP111" s="253">
        <f>BO111+0.002</f>
        <v>0.018</v>
      </c>
      <c r="BQ111" s="253">
        <f t="shared" ref="BQ111:CA111" si="110">BP111</f>
        <v>0.018</v>
      </c>
      <c r="BR111" s="253">
        <f t="shared" si="110"/>
        <v>0.018</v>
      </c>
      <c r="BS111" s="253">
        <f t="shared" si="110"/>
        <v>0.018</v>
      </c>
      <c r="BT111" s="253">
        <f t="shared" si="110"/>
        <v>0.018</v>
      </c>
      <c r="BU111" s="253">
        <f t="shared" si="110"/>
        <v>0.018</v>
      </c>
      <c r="BV111" s="253">
        <f t="shared" si="110"/>
        <v>0.018</v>
      </c>
      <c r="BW111" s="253">
        <f t="shared" si="110"/>
        <v>0.018</v>
      </c>
      <c r="BX111" s="253">
        <f t="shared" si="110"/>
        <v>0.018</v>
      </c>
      <c r="BY111" s="253">
        <f t="shared" si="110"/>
        <v>0.018</v>
      </c>
      <c r="BZ111" s="253">
        <f t="shared" si="110"/>
        <v>0.018</v>
      </c>
      <c r="CA111" s="253">
        <f t="shared" si="110"/>
        <v>0.018</v>
      </c>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row>
    <row r="114" ht="15.75" customHeight="1">
      <c r="A114" s="115" t="s">
        <v>451</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row>
    <row r="116" ht="15.75" customHeight="1">
      <c r="A116" s="91" t="s">
        <v>204</v>
      </c>
      <c r="B116" s="262">
        <f t="array" ref="B116">INDEX('IS Proforma'!$1:$1048490,MATCH($A116,'IS Proforma'!$C:$C,0),MATCH(B$4,'IS Proforma'!$4:$4))</f>
        <v>1171275</v>
      </c>
      <c r="C116" s="262">
        <f t="array" ref="C116">INDEX('IS Proforma'!$1:$1048490,MATCH($A116,'IS Proforma'!$C:$C,0),MATCH(C$4,'IS Proforma'!$4:$4))</f>
        <v>1016879</v>
      </c>
      <c r="D116" s="262">
        <f t="array" ref="D116">INDEX('IS Proforma'!$1:$1048490,MATCH($A116,'IS Proforma'!$C:$C,0),MATCH(D$4,'IS Proforma'!$4:$4))</f>
        <v>1199078</v>
      </c>
      <c r="E116" s="262">
        <f t="array" ref="E116">INDEX('IS Proforma'!$1:$1048490,MATCH($A116,'IS Proforma'!$C:$C,0),MATCH(E$4,'IS Proforma'!$4:$4))</f>
        <v>1344905</v>
      </c>
      <c r="F116" s="262">
        <f t="array" ref="F116">INDEX('IS Proforma'!$1:$1048490,MATCH($A116,'IS Proforma'!$C:$C,0),MATCH(F$4,'IS Proforma'!$4:$4))</f>
        <v>1212008</v>
      </c>
      <c r="G116" s="262">
        <f t="array" ref="G116">INDEX('IS Proforma'!$1:$1048490,MATCH($A116,'IS Proforma'!$C:$C,0),MATCH(G$4,'IS Proforma'!$4:$4))</f>
        <v>1122806</v>
      </c>
      <c r="H116" s="262">
        <f t="array" ref="H116">INDEX('IS Proforma'!$1:$1048490,MATCH($A116,'IS Proforma'!$C:$C,0),MATCH(H$4,'IS Proforma'!$4:$4))</f>
        <v>1347011</v>
      </c>
      <c r="I116" s="262">
        <f t="array" ref="I116">INDEX('IS Proforma'!$1:$1048490,MATCH($A116,'IS Proforma'!$C:$C,0),MATCH(I$4,'IS Proforma'!$4:$4))</f>
        <v>1100646</v>
      </c>
      <c r="J116" s="262">
        <f t="array" ref="J116">INDEX('IS Proforma'!$1:$1048490,MATCH($A116,'IS Proforma'!$C:$C,0),MATCH(J$4,'IS Proforma'!$4:$4))</f>
        <v>1222111</v>
      </c>
      <c r="K116" s="262">
        <f t="array" ref="K116">INDEX('IS Proforma'!$1:$1048490,MATCH($A116,'IS Proforma'!$C:$C,0),MATCH(K$4,'IS Proforma'!$4:$4))</f>
        <v>1271194</v>
      </c>
      <c r="L116" s="262">
        <f t="array" ref="L116">INDEX('IS Proforma'!$1:$1048490,MATCH($A116,'IS Proforma'!$C:$C,0),MATCH(L$4,'IS Proforma'!$4:$4))</f>
        <v>1363749</v>
      </c>
      <c r="M116" s="262">
        <f t="array" ref="M116">INDEX('IS Proforma'!$1:$1048490,MATCH($A116,'IS Proforma'!$C:$C,0),MATCH(M$4,'IS Proforma'!$4:$4))</f>
        <v>1168159</v>
      </c>
      <c r="N116" s="262">
        <f t="array" ref="N116">INDEX('IS Proforma'!$1:$1048490,MATCH($A116,'IS Proforma'!$C:$C,0),MATCH(N$4,'IS Proforma'!$4:$4))</f>
        <v>1323566</v>
      </c>
      <c r="O116" s="262">
        <f t="array" ref="O116">INDEX('IS Proforma'!$1:$1048490,MATCH($A116,'IS Proforma'!$C:$C,0),MATCH(O$4,'IS Proforma'!$4:$4))</f>
        <v>1496054</v>
      </c>
      <c r="P116" s="262">
        <f t="array" ref="P116">INDEX('IS Proforma'!$1:$1048490,MATCH($A116,'IS Proforma'!$C:$C,0),MATCH(P$4,'IS Proforma'!$4:$4))</f>
        <v>1451527</v>
      </c>
      <c r="Q116" s="262">
        <f t="array" ref="Q116">INDEX('IS Proforma'!$1:$1048490,MATCH($A116,'IS Proforma'!$C:$C,0),MATCH(Q$4,'IS Proforma'!$4:$4))</f>
        <v>1263151</v>
      </c>
      <c r="R116" s="262">
        <f t="array" ref="R116">INDEX('IS Proforma'!$1:$1048490,MATCH($A116,'IS Proforma'!$C:$C,0),MATCH(R$4,'IS Proforma'!$4:$4))</f>
        <v>1309094</v>
      </c>
      <c r="S116" s="262">
        <f t="array" ref="S116">INDEX('IS Proforma'!$1:$1048490,MATCH($A116,'IS Proforma'!$C:$C,0),MATCH(S$4,'IS Proforma'!$4:$4))</f>
        <v>1415790.631</v>
      </c>
      <c r="T116" s="262">
        <f t="array" ref="T116">INDEX('IS Proforma'!$1:$1048490,MATCH($A116,'IS Proforma'!$C:$C,0),MATCH(T$4,'IS Proforma'!$4:$4))</f>
        <v>1667456.392</v>
      </c>
      <c r="U116" s="262">
        <f t="array" ref="U116">INDEX('IS Proforma'!$1:$1048490,MATCH($A116,'IS Proforma'!$C:$C,0),MATCH(U$4,'IS Proforma'!$4:$4))</f>
        <v>1916164.307</v>
      </c>
      <c r="V116" s="262">
        <f t="array" ref="V116">INDEX('IS Proforma'!$1:$1048490,MATCH($A116,'IS Proforma'!$C:$C,0),MATCH(V$4,'IS Proforma'!$4:$4))</f>
        <v>2143927.895</v>
      </c>
      <c r="W116" s="262">
        <f t="array" ref="W116">INDEX('IS Proforma'!$1:$1048490,MATCH($A116,'IS Proforma'!$C:$C,0),MATCH(W$4,'IS Proforma'!$4:$4))</f>
        <v>2362030.523</v>
      </c>
      <c r="X116" s="262">
        <f t="array" ref="X116">INDEX('IS Proforma'!$1:$1048490,MATCH($A116,'IS Proforma'!$C:$C,0),MATCH(X$4,'IS Proforma'!$4:$4))</f>
        <v>2578733.721</v>
      </c>
      <c r="Y116" s="262">
        <f t="array" ref="Y116">INDEX('IS Proforma'!$1:$1048490,MATCH($A116,'IS Proforma'!$C:$C,0),MATCH(Y$4,'IS Proforma'!$4:$4))</f>
        <v>2796714.82</v>
      </c>
      <c r="Z116" s="262">
        <f t="array" ref="Z116">INDEX('IS Proforma'!$1:$1048490,MATCH($A116,'IS Proforma'!$C:$C,0),MATCH(Z$4,'IS Proforma'!$4:$4))</f>
        <v>2993212.987</v>
      </c>
      <c r="AA116" s="262">
        <f t="array" ref="AA116">INDEX('IS Proforma'!$1:$1048490,MATCH($A116,'IS Proforma'!$C:$C,0),MATCH(AA$4,'IS Proforma'!$4:$4))</f>
        <v>3185918.325</v>
      </c>
      <c r="AB116" s="262">
        <f t="array" ref="AB116">INDEX('IS Proforma'!$1:$1048490,MATCH($A116,'IS Proforma'!$C:$C,0),MATCH(AB$4,'IS Proforma'!$4:$4))</f>
        <v>3374588.725</v>
      </c>
      <c r="AC116" s="262">
        <f t="array" ref="AC116">INDEX('IS Proforma'!$1:$1048490,MATCH($A116,'IS Proforma'!$C:$C,0),MATCH(AC$4,'IS Proforma'!$4:$4))</f>
        <v>3549978.171</v>
      </c>
      <c r="AD116" s="262">
        <f t="array" ref="AD116">INDEX('IS Proforma'!$1:$1048490,MATCH($A116,'IS Proforma'!$C:$C,0),MATCH(AD$4,'IS Proforma'!$4:$4))</f>
        <v>3723674.445</v>
      </c>
      <c r="AE116" s="262">
        <f t="array" ref="AE116">INDEX('IS Proforma'!$1:$1048490,MATCH($A116,'IS Proforma'!$C:$C,0),MATCH(AE$4,'IS Proforma'!$4:$4))</f>
        <v>3899557.769</v>
      </c>
      <c r="AF116" s="262">
        <f t="array" ref="AF116">INDEX('IS Proforma'!$1:$1048490,MATCH($A116,'IS Proforma'!$C:$C,0),MATCH(AF$4,'IS Proforma'!$4:$4))</f>
        <v>4073318.095</v>
      </c>
      <c r="AG116" s="262">
        <f t="array" ref="AG116">INDEX('IS Proforma'!$1:$1048490,MATCH($A116,'IS Proforma'!$C:$C,0),MATCH(AG$4,'IS Proforma'!$4:$4))</f>
        <v>4104264.349</v>
      </c>
      <c r="AH116" s="262">
        <f t="array" ref="AH116">INDEX('IS Proforma'!$1:$1048490,MATCH($A116,'IS Proforma'!$C:$C,0),MATCH(AH$4,'IS Proforma'!$4:$4))</f>
        <v>4147652.518</v>
      </c>
      <c r="AI116" s="262">
        <f t="array" ref="AI116">INDEX('IS Proforma'!$1:$1048490,MATCH($A116,'IS Proforma'!$C:$C,0),MATCH(AI$4,'IS Proforma'!$4:$4))</f>
        <v>4203892.505</v>
      </c>
      <c r="AJ116" s="262">
        <f t="array" ref="AJ116">INDEX('IS Proforma'!$1:$1048490,MATCH($A116,'IS Proforma'!$C:$C,0),MATCH(AJ$4,'IS Proforma'!$4:$4))</f>
        <v>4263598.691</v>
      </c>
      <c r="AK116" s="262">
        <f t="array" ref="AK116">INDEX('IS Proforma'!$1:$1048490,MATCH($A116,'IS Proforma'!$C:$C,0),MATCH(AK$4,'IS Proforma'!$4:$4))</f>
        <v>4325695.573</v>
      </c>
      <c r="AL116" s="262">
        <f t="array" ref="AL116">INDEX('IS Proforma'!$1:$1048490,MATCH($A116,'IS Proforma'!$C:$C,0),MATCH(AL$4,'IS Proforma'!$4:$4))</f>
        <v>4387113.817</v>
      </c>
      <c r="AM116" s="262">
        <f t="array" ref="AM116">INDEX('IS Proforma'!$1:$1048490,MATCH($A116,'IS Proforma'!$C:$C,0),MATCH(AM$4,'IS Proforma'!$4:$4))</f>
        <v>4461262.247</v>
      </c>
      <c r="AN116" s="262">
        <f t="array" ref="AN116">INDEX('IS Proforma'!$1:$1048490,MATCH($A116,'IS Proforma'!$C:$C,0),MATCH(AN$4,'IS Proforma'!$4:$4))</f>
        <v>4521109.201</v>
      </c>
      <c r="AO116" s="262">
        <f t="array" ref="AO116">INDEX('IS Proforma'!$1:$1048490,MATCH($A116,'IS Proforma'!$C:$C,0),MATCH(AO$4,'IS Proforma'!$4:$4))</f>
        <v>4580106.491</v>
      </c>
      <c r="AP116" s="262">
        <f t="array" ref="AP116">INDEX('IS Proforma'!$1:$1048490,MATCH($A116,'IS Proforma'!$C:$C,0),MATCH(AP$4,'IS Proforma'!$4:$4))</f>
        <v>4638288.148</v>
      </c>
      <c r="AQ116" s="262">
        <f t="array" ref="AQ116">INDEX('IS Proforma'!$1:$1048490,MATCH($A116,'IS Proforma'!$C:$C,0),MATCH(AQ$4,'IS Proforma'!$4:$4))</f>
        <v>4695693.717</v>
      </c>
      <c r="AR116" s="262">
        <f t="array" ref="AR116">INDEX('IS Proforma'!$1:$1048490,MATCH($A116,'IS Proforma'!$C:$C,0),MATCH(AR$4,'IS Proforma'!$4:$4))</f>
        <v>4820732.602</v>
      </c>
      <c r="AS116" s="262">
        <f t="array" ref="AS116">INDEX('IS Proforma'!$1:$1048490,MATCH($A116,'IS Proforma'!$C:$C,0),MATCH(AS$4,'IS Proforma'!$4:$4))</f>
        <v>4914856.216</v>
      </c>
      <c r="AT116" s="262">
        <f t="array" ref="AT116">INDEX('IS Proforma'!$1:$1048490,MATCH($A116,'IS Proforma'!$C:$C,0),MATCH(AT$4,'IS Proforma'!$4:$4))</f>
        <v>5006077.918</v>
      </c>
      <c r="AU116" s="262">
        <f t="array" ref="AU116">INDEX('IS Proforma'!$1:$1048490,MATCH($A116,'IS Proforma'!$C:$C,0),MATCH(AU$4,'IS Proforma'!$4:$4))</f>
        <v>5094952.155</v>
      </c>
      <c r="AV116" s="262">
        <f t="array" ref="AV116">INDEX('IS Proforma'!$1:$1048490,MATCH($A116,'IS Proforma'!$C:$C,0),MATCH(AV$4,'IS Proforma'!$4:$4))</f>
        <v>5181837.409</v>
      </c>
      <c r="AW116" s="262">
        <f t="array" ref="AW116">INDEX('IS Proforma'!$1:$1048490,MATCH($A116,'IS Proforma'!$C:$C,0),MATCH(AW$4,'IS Proforma'!$4:$4))</f>
        <v>5266964.562</v>
      </c>
      <c r="AX116" s="262">
        <f t="array" ref="AX116">INDEX('IS Proforma'!$1:$1048490,MATCH($A116,'IS Proforma'!$C:$C,0),MATCH(AX$4,'IS Proforma'!$4:$4))</f>
        <v>5350509.62</v>
      </c>
      <c r="AY116" s="262">
        <f t="array" ref="AY116">INDEX('IS Proforma'!$1:$1048490,MATCH($A116,'IS Proforma'!$C:$C,0),MATCH(AY$4,'IS Proforma'!$4:$4))</f>
        <v>5432616.125</v>
      </c>
      <c r="AZ116" s="262">
        <f t="array" ref="AZ116">INDEX('IS Proforma'!$1:$1048490,MATCH($A116,'IS Proforma'!$C:$C,0),MATCH(AZ$4,'IS Proforma'!$4:$4))</f>
        <v>5513405.239</v>
      </c>
      <c r="BA116" s="262">
        <f t="array" ref="BA116">INDEX('IS Proforma'!$1:$1048490,MATCH($A116,'IS Proforma'!$C:$C,0),MATCH(BA$4,'IS Proforma'!$4:$4))</f>
        <v>5592981.632</v>
      </c>
      <c r="BB116" s="262">
        <f t="array" ref="BB116">INDEX('IS Proforma'!$1:$1048490,MATCH($A116,'IS Proforma'!$C:$C,0),MATCH(BB$4,'IS Proforma'!$4:$4))</f>
        <v>5671437.41</v>
      </c>
      <c r="BC116" s="262">
        <f t="array" ref="BC116">INDEX('IS Proforma'!$1:$1048490,MATCH($A116,'IS Proforma'!$C:$C,0),MATCH(BC$4,'IS Proforma'!$4:$4))</f>
        <v>5748854.893</v>
      </c>
      <c r="BD116" s="262">
        <f t="array" ref="BD116">INDEX('IS Proforma'!$1:$1048490,MATCH($A116,'IS Proforma'!$C:$C,0),MATCH(BD$4,'IS Proforma'!$4:$4))</f>
        <v>5860742.345</v>
      </c>
      <c r="BE116" s="262">
        <f t="array" ref="BE116">INDEX('IS Proforma'!$1:$1048490,MATCH($A116,'IS Proforma'!$C:$C,0),MATCH(BE$4,'IS Proforma'!$4:$4))</f>
        <v>5947592.72</v>
      </c>
      <c r="BF116" s="262">
        <f t="array" ref="BF116">INDEX('IS Proforma'!$1:$1048490,MATCH($A116,'IS Proforma'!$C:$C,0),MATCH(BF$4,'IS Proforma'!$4:$4))</f>
        <v>6026248.645</v>
      </c>
      <c r="BG116" s="262">
        <f t="array" ref="BG116">INDEX('IS Proforma'!$1:$1048490,MATCH($A116,'IS Proforma'!$C:$C,0),MATCH(BG$4,'IS Proforma'!$4:$4))</f>
        <v>6103350.145</v>
      </c>
      <c r="BH116" s="262">
        <f t="array" ref="BH116">INDEX('IS Proforma'!$1:$1048490,MATCH($A116,'IS Proforma'!$C:$C,0),MATCH(BH$4,'IS Proforma'!$4:$4))</f>
        <v>6180069.871</v>
      </c>
      <c r="BI116" s="262">
        <f t="array" ref="BI116">INDEX('IS Proforma'!$1:$1048490,MATCH($A116,'IS Proforma'!$C:$C,0),MATCH(BI$4,'IS Proforma'!$4:$4))</f>
        <v>6256437.323</v>
      </c>
      <c r="BJ116" s="262">
        <f t="array" ref="BJ116">INDEX('IS Proforma'!$1:$1048490,MATCH($A116,'IS Proforma'!$C:$C,0),MATCH(BJ$4,'IS Proforma'!$4:$4))</f>
        <v>6332503.361</v>
      </c>
      <c r="BK116" s="262">
        <f t="array" ref="BK116">INDEX('IS Proforma'!$1:$1048490,MATCH($A116,'IS Proforma'!$C:$C,0),MATCH(BK$4,'IS Proforma'!$4:$4))</f>
        <v>6408317.12</v>
      </c>
      <c r="BL116" s="262">
        <f t="array" ref="BL116">INDEX('IS Proforma'!$1:$1048490,MATCH($A116,'IS Proforma'!$C:$C,0),MATCH(BL$4,'IS Proforma'!$4:$4))</f>
        <v>6483925.121</v>
      </c>
      <c r="BM116" s="262">
        <f t="array" ref="BM116">INDEX('IS Proforma'!$1:$1048490,MATCH($A116,'IS Proforma'!$C:$C,0),MATCH(BM$4,'IS Proforma'!$4:$4))</f>
        <v>6559372.097</v>
      </c>
      <c r="BN116" s="262">
        <f t="array" ref="BN116">INDEX('IS Proforma'!$1:$1048490,MATCH($A116,'IS Proforma'!$C:$C,0),MATCH(BN$4,'IS Proforma'!$4:$4))</f>
        <v>6634701.496</v>
      </c>
      <c r="BO116" s="262">
        <f t="array" ref="BO116">INDEX('IS Proforma'!$1:$1048490,MATCH($A116,'IS Proforma'!$C:$C,0),MATCH(BO$4,'IS Proforma'!$4:$4))</f>
        <v>6709955.734</v>
      </c>
      <c r="BP116" s="262">
        <f t="array" ref="BP116">INDEX('IS Proforma'!$1:$1048490,MATCH($A116,'IS Proforma'!$C:$C,0),MATCH(BP$4,'IS Proforma'!$4:$4))</f>
        <v>6812868.679</v>
      </c>
      <c r="BQ116" s="262">
        <f t="array" ref="BQ116">INDEX('IS Proforma'!$1:$1048490,MATCH($A116,'IS Proforma'!$C:$C,0),MATCH(BQ$4,'IS Proforma'!$4:$4))</f>
        <v>6860970.95</v>
      </c>
      <c r="BR116" s="262">
        <f t="array" ref="BR116">INDEX('IS Proforma'!$1:$1048490,MATCH($A116,'IS Proforma'!$C:$C,0),MATCH(BR$4,'IS Proforma'!$4:$4))</f>
        <v>6906949.871</v>
      </c>
      <c r="BS116" s="262">
        <f t="array" ref="BS116">INDEX('IS Proforma'!$1:$1048490,MATCH($A116,'IS Proforma'!$C:$C,0),MATCH(BS$4,'IS Proforma'!$4:$4))</f>
        <v>6955328.654</v>
      </c>
      <c r="BT116" s="262">
        <f t="array" ref="BT116">INDEX('IS Proforma'!$1:$1048490,MATCH($A116,'IS Proforma'!$C:$C,0),MATCH(BT$4,'IS Proforma'!$4:$4))</f>
        <v>7005105.221</v>
      </c>
      <c r="BU116" s="262">
        <f t="array" ref="BU116">INDEX('IS Proforma'!$1:$1048490,MATCH($A116,'IS Proforma'!$C:$C,0),MATCH(BU$4,'IS Proforma'!$4:$4))</f>
        <v>7055526.11</v>
      </c>
      <c r="BV116" s="262">
        <f t="array" ref="BV116">INDEX('IS Proforma'!$1:$1048490,MATCH($A116,'IS Proforma'!$C:$C,0),MATCH(BV$4,'IS Proforma'!$4:$4))</f>
        <v>7106276.176</v>
      </c>
      <c r="BW116" s="262">
        <f t="array" ref="BW116">INDEX('IS Proforma'!$1:$1048490,MATCH($A116,'IS Proforma'!$C:$C,0),MATCH(BW$4,'IS Proforma'!$4:$4))</f>
        <v>7157194.211</v>
      </c>
      <c r="BX116" s="262">
        <f t="array" ref="BX116">INDEX('IS Proforma'!$1:$1048490,MATCH($A116,'IS Proforma'!$C:$C,0),MATCH(BX$4,'IS Proforma'!$4:$4))</f>
        <v>7208189.201</v>
      </c>
      <c r="BY116" s="262">
        <f t="array" ref="BY116">INDEX('IS Proforma'!$1:$1048490,MATCH($A116,'IS Proforma'!$C:$C,0),MATCH(BY$4,'IS Proforma'!$4:$4))</f>
        <v>7259209.016</v>
      </c>
      <c r="BZ116" s="262">
        <f t="array" ref="BZ116">INDEX('IS Proforma'!$1:$1048490,MATCH($A116,'IS Proforma'!$C:$C,0),MATCH(BZ$4,'IS Proforma'!$4:$4))</f>
        <v>7310225.906</v>
      </c>
      <c r="CA116" s="262">
        <f t="array" ref="CA116">INDEX('IS Proforma'!$1:$1048490,MATCH($A116,'IS Proforma'!$C:$C,0),MATCH(CA$4,'IS Proforma'!$4:$4))</f>
        <v>7361228.504</v>
      </c>
    </row>
    <row r="117" ht="15.75" customHeight="1">
      <c r="A117" s="91" t="s">
        <v>452</v>
      </c>
      <c r="B117" s="262">
        <f>'New Biz Sales'!I118</f>
        <v>780500</v>
      </c>
      <c r="C117" s="262">
        <f>'New Biz Sales'!J118</f>
        <v>2260500</v>
      </c>
      <c r="D117" s="262">
        <f>'New Biz Sales'!K118</f>
        <v>711500</v>
      </c>
      <c r="E117" s="262">
        <f>'New Biz Sales'!L118</f>
        <v>1041500</v>
      </c>
      <c r="F117" s="262">
        <f>'New Biz Sales'!M118</f>
        <v>695500</v>
      </c>
      <c r="G117" s="262">
        <f>'New Biz Sales'!N118</f>
        <v>0</v>
      </c>
      <c r="H117" s="262">
        <f>'New Biz Sales'!O118</f>
        <v>7889570</v>
      </c>
      <c r="I117" s="262">
        <f>'New Biz Sales'!P118</f>
        <v>10070690</v>
      </c>
      <c r="J117" s="262">
        <f>'New Biz Sales'!Q118</f>
        <v>11116420</v>
      </c>
      <c r="K117" s="262">
        <f>'New Biz Sales'!R118</f>
        <v>10136605</v>
      </c>
      <c r="L117" s="262">
        <f>'New Biz Sales'!S118</f>
        <v>5566440</v>
      </c>
      <c r="M117" s="262">
        <f>'New Biz Sales'!T118</f>
        <v>9897825</v>
      </c>
      <c r="N117" s="262">
        <f>'New Biz Sales'!U118</f>
        <v>9207125</v>
      </c>
      <c r="O117" s="262">
        <f>'New Biz Sales'!V118</f>
        <v>7875660</v>
      </c>
      <c r="P117" s="262">
        <f>'New Biz Sales'!W118</f>
        <v>12121670</v>
      </c>
      <c r="Q117" s="262">
        <f>'New Biz Sales'!X118</f>
        <v>6737185</v>
      </c>
      <c r="R117" s="262">
        <f>'New Biz Sales'!Y118</f>
        <v>9882730</v>
      </c>
      <c r="S117" s="262">
        <f>'New Biz Sales'!Z118</f>
        <v>2313937.5</v>
      </c>
      <c r="T117" s="262">
        <f>'New Biz Sales'!AA118</f>
        <v>2823259.5</v>
      </c>
      <c r="U117" s="262">
        <f>'New Biz Sales'!AB118</f>
        <v>3105585.45</v>
      </c>
      <c r="V117" s="262">
        <f>'New Biz Sales'!AC118</f>
        <v>3105585.45</v>
      </c>
      <c r="W117" s="262">
        <f>'New Biz Sales'!AD118</f>
        <v>3105585.45</v>
      </c>
      <c r="X117" s="262">
        <f>'New Biz Sales'!AE118</f>
        <v>3105585.45</v>
      </c>
      <c r="Y117" s="262">
        <f>'New Biz Sales'!AF118</f>
        <v>3158933.184</v>
      </c>
      <c r="Z117" s="262">
        <f>'New Biz Sales'!AG118</f>
        <v>3158933.184</v>
      </c>
      <c r="AA117" s="262">
        <f>'New Biz Sales'!AH118</f>
        <v>3158933.184</v>
      </c>
      <c r="AB117" s="262">
        <f>'New Biz Sales'!AI118</f>
        <v>3158933.184</v>
      </c>
      <c r="AC117" s="262">
        <f>'New Biz Sales'!AJ118</f>
        <v>3034233.992</v>
      </c>
      <c r="AD117" s="262">
        <f>'New Biz Sales'!AK118</f>
        <v>3034233.992</v>
      </c>
      <c r="AE117" s="262">
        <f>'New Biz Sales'!AL118</f>
        <v>3034233.992</v>
      </c>
      <c r="AF117" s="262">
        <f>'New Biz Sales'!AM118</f>
        <v>3068628.671</v>
      </c>
      <c r="AG117" s="262">
        <f>'New Biz Sales'!AN118</f>
        <v>2319632.494</v>
      </c>
      <c r="AH117" s="262">
        <f>'New Biz Sales'!AO118</f>
        <v>2235924.531</v>
      </c>
      <c r="AI117" s="262">
        <f>'New Biz Sales'!AP118</f>
        <v>2244629.153</v>
      </c>
      <c r="AJ117" s="262">
        <f>'New Biz Sales'!AQ118</f>
        <v>2253377.299</v>
      </c>
      <c r="AK117" s="262">
        <f>'New Biz Sales'!AR118</f>
        <v>2274975.21</v>
      </c>
      <c r="AL117" s="262">
        <f>'New Biz Sales'!AS118</f>
        <v>2283875.086</v>
      </c>
      <c r="AM117" s="262">
        <f>'New Biz Sales'!AT118</f>
        <v>2292819.462</v>
      </c>
      <c r="AN117" s="262">
        <f>'New Biz Sales'!AU118</f>
        <v>2301808.559</v>
      </c>
      <c r="AO117" s="262">
        <f>'New Biz Sales'!AV118</f>
        <v>2310842.602</v>
      </c>
      <c r="AP117" s="262">
        <f>'New Biz Sales'!AW118</f>
        <v>2319921.815</v>
      </c>
      <c r="AQ117" s="262">
        <f>'New Biz Sales'!AX118</f>
        <v>2329046.424</v>
      </c>
      <c r="AR117" s="262">
        <f>'New Biz Sales'!AY118</f>
        <v>2351580.111</v>
      </c>
      <c r="AS117" s="262">
        <f>'New Biz Sales'!AZ118</f>
        <v>2370145.912</v>
      </c>
      <c r="AT117" s="262">
        <f>'New Biz Sales'!BA118</f>
        <v>2379521.642</v>
      </c>
      <c r="AU117" s="262">
        <f>'New Biz Sales'!BB118</f>
        <v>2388944.25</v>
      </c>
      <c r="AV117" s="262">
        <f>'New Biz Sales'!BC118</f>
        <v>2398413.971</v>
      </c>
      <c r="AW117" s="262">
        <f>'New Biz Sales'!BB118</f>
        <v>2388944.25</v>
      </c>
      <c r="AX117" s="262">
        <f>'New Biz Sales'!BC118</f>
        <v>2398413.971</v>
      </c>
      <c r="AY117" s="262">
        <f>'New Biz Sales'!BD118</f>
        <v>2407931.041</v>
      </c>
      <c r="AZ117" s="262">
        <f>'New Biz Sales'!BE118</f>
        <v>2417495.696</v>
      </c>
      <c r="BA117" s="262">
        <f>'New Biz Sales'!BF118</f>
        <v>2427108.175</v>
      </c>
      <c r="BB117" s="262">
        <f>'New Biz Sales'!BG118</f>
        <v>2436768.715</v>
      </c>
      <c r="BC117" s="262">
        <f>'New Biz Sales'!BH118</f>
        <v>2446477.559</v>
      </c>
      <c r="BD117" s="262">
        <f>'New Biz Sales'!BI118</f>
        <v>2456234.947</v>
      </c>
      <c r="BE117" s="262">
        <f>'New Biz Sales'!BJ118</f>
        <v>2466041.122</v>
      </c>
      <c r="BF117" s="262">
        <f>'New Biz Sales'!BK118</f>
        <v>2542362.257</v>
      </c>
      <c r="BG117" s="262">
        <f>'New Biz Sales'!BL118</f>
        <v>2505674.909</v>
      </c>
      <c r="BH117" s="262">
        <f>'New Biz Sales'!BM118</f>
        <v>2515728.284</v>
      </c>
      <c r="BI117" s="262">
        <f>'New Biz Sales'!BN118</f>
        <v>2525831.925</v>
      </c>
      <c r="BJ117" s="262">
        <f>'New Biz Sales'!BO118</f>
        <v>2535986.085</v>
      </c>
      <c r="BK117" s="262">
        <f>'New Biz Sales'!BP118</f>
        <v>2546191.015</v>
      </c>
      <c r="BL117" s="262">
        <f>'New Biz Sales'!BQ118</f>
        <v>2556446.971</v>
      </c>
      <c r="BM117" s="262">
        <f>'New Biz Sales'!BR118</f>
        <v>2566754.205</v>
      </c>
      <c r="BN117" s="262">
        <f>'New Biz Sales'!BS118</f>
        <v>2577112.976</v>
      </c>
      <c r="BO117" s="262">
        <f>'New Biz Sales'!BT118</f>
        <v>2587523.541</v>
      </c>
      <c r="BP117" s="262">
        <f>'New Biz Sales'!BU118</f>
        <v>2597986.159</v>
      </c>
      <c r="BQ117" s="262">
        <f>'New Biz Sales'!BV118</f>
        <v>2608501.09</v>
      </c>
      <c r="BR117" s="262">
        <f>'New Biz Sales'!BW118</f>
        <v>2619068.595</v>
      </c>
      <c r="BS117" s="262">
        <f>'New Biz Sales'!BX118</f>
        <v>2406661.736</v>
      </c>
      <c r="BT117" s="262">
        <f>'New Biz Sales'!BY118</f>
        <v>2416220.044</v>
      </c>
      <c r="BU117" s="262">
        <f>'New Biz Sales'!BZ118</f>
        <v>2425826.145</v>
      </c>
      <c r="BV117" s="262">
        <f>'New Biz Sales'!CA118</f>
        <v>2435480.275</v>
      </c>
      <c r="BW117" s="262">
        <f>'New Biz Sales'!CB118</f>
        <v>2445182.677</v>
      </c>
      <c r="BX117" s="262">
        <f>'New Biz Sales'!CC118</f>
        <v>2454933.59</v>
      </c>
      <c r="BY117" s="262">
        <f>'New Biz Sales'!CD118</f>
        <v>2464733.258</v>
      </c>
      <c r="BZ117" s="262">
        <f>'New Biz Sales'!CE118</f>
        <v>2474581.924</v>
      </c>
      <c r="CA117" s="262">
        <f>'New Biz Sales'!CF118</f>
        <v>2484479.834</v>
      </c>
    </row>
    <row r="118" ht="15.75" customHeight="1">
      <c r="A118" s="137" t="s">
        <v>453</v>
      </c>
      <c r="B118" s="137">
        <f t="shared" ref="B118:CA118" si="111">SUM(B117)</f>
        <v>780500</v>
      </c>
      <c r="C118" s="137">
        <f t="shared" si="111"/>
        <v>2260500</v>
      </c>
      <c r="D118" s="137">
        <f t="shared" si="111"/>
        <v>711500</v>
      </c>
      <c r="E118" s="137">
        <f t="shared" si="111"/>
        <v>1041500</v>
      </c>
      <c r="F118" s="137">
        <f t="shared" si="111"/>
        <v>695500</v>
      </c>
      <c r="G118" s="137">
        <f t="shared" si="111"/>
        <v>0</v>
      </c>
      <c r="H118" s="137">
        <f t="shared" si="111"/>
        <v>7889570</v>
      </c>
      <c r="I118" s="137">
        <f t="shared" si="111"/>
        <v>10070690</v>
      </c>
      <c r="J118" s="137">
        <f t="shared" si="111"/>
        <v>11116420</v>
      </c>
      <c r="K118" s="137">
        <f t="shared" si="111"/>
        <v>10136605</v>
      </c>
      <c r="L118" s="137">
        <f t="shared" si="111"/>
        <v>5566440</v>
      </c>
      <c r="M118" s="137">
        <f t="shared" si="111"/>
        <v>9897825</v>
      </c>
      <c r="N118" s="137">
        <f t="shared" si="111"/>
        <v>9207125</v>
      </c>
      <c r="O118" s="137">
        <f t="shared" si="111"/>
        <v>7875660</v>
      </c>
      <c r="P118" s="137">
        <f t="shared" si="111"/>
        <v>12121670</v>
      </c>
      <c r="Q118" s="137">
        <f t="shared" si="111"/>
        <v>6737185</v>
      </c>
      <c r="R118" s="137">
        <f t="shared" si="111"/>
        <v>9882730</v>
      </c>
      <c r="S118" s="137">
        <f t="shared" si="111"/>
        <v>2313937.5</v>
      </c>
      <c r="T118" s="137">
        <f t="shared" si="111"/>
        <v>2823259.5</v>
      </c>
      <c r="U118" s="137">
        <f t="shared" si="111"/>
        <v>3105585.45</v>
      </c>
      <c r="V118" s="137">
        <f t="shared" si="111"/>
        <v>3105585.45</v>
      </c>
      <c r="W118" s="137">
        <f t="shared" si="111"/>
        <v>3105585.45</v>
      </c>
      <c r="X118" s="137">
        <f t="shared" si="111"/>
        <v>3105585.45</v>
      </c>
      <c r="Y118" s="137">
        <f t="shared" si="111"/>
        <v>3158933.184</v>
      </c>
      <c r="Z118" s="137">
        <f t="shared" si="111"/>
        <v>3158933.184</v>
      </c>
      <c r="AA118" s="137">
        <f t="shared" si="111"/>
        <v>3158933.184</v>
      </c>
      <c r="AB118" s="137">
        <f t="shared" si="111"/>
        <v>3158933.184</v>
      </c>
      <c r="AC118" s="137">
        <f t="shared" si="111"/>
        <v>3034233.992</v>
      </c>
      <c r="AD118" s="137">
        <f t="shared" si="111"/>
        <v>3034233.992</v>
      </c>
      <c r="AE118" s="137">
        <f t="shared" si="111"/>
        <v>3034233.992</v>
      </c>
      <c r="AF118" s="137">
        <f t="shared" si="111"/>
        <v>3068628.671</v>
      </c>
      <c r="AG118" s="137">
        <f t="shared" si="111"/>
        <v>2319632.494</v>
      </c>
      <c r="AH118" s="137">
        <f t="shared" si="111"/>
        <v>2235924.531</v>
      </c>
      <c r="AI118" s="137">
        <f t="shared" si="111"/>
        <v>2244629.153</v>
      </c>
      <c r="AJ118" s="137">
        <f t="shared" si="111"/>
        <v>2253377.299</v>
      </c>
      <c r="AK118" s="137">
        <f t="shared" si="111"/>
        <v>2274975.21</v>
      </c>
      <c r="AL118" s="137">
        <f t="shared" si="111"/>
        <v>2283875.086</v>
      </c>
      <c r="AM118" s="137">
        <f t="shared" si="111"/>
        <v>2292819.462</v>
      </c>
      <c r="AN118" s="137">
        <f t="shared" si="111"/>
        <v>2301808.559</v>
      </c>
      <c r="AO118" s="137">
        <f t="shared" si="111"/>
        <v>2310842.602</v>
      </c>
      <c r="AP118" s="137">
        <f t="shared" si="111"/>
        <v>2319921.815</v>
      </c>
      <c r="AQ118" s="137">
        <f t="shared" si="111"/>
        <v>2329046.424</v>
      </c>
      <c r="AR118" s="137">
        <f t="shared" si="111"/>
        <v>2351580.111</v>
      </c>
      <c r="AS118" s="137">
        <f t="shared" si="111"/>
        <v>2370145.912</v>
      </c>
      <c r="AT118" s="137">
        <f t="shared" si="111"/>
        <v>2379521.642</v>
      </c>
      <c r="AU118" s="137">
        <f t="shared" si="111"/>
        <v>2388944.25</v>
      </c>
      <c r="AV118" s="137">
        <f t="shared" si="111"/>
        <v>2398413.971</v>
      </c>
      <c r="AW118" s="137">
        <f t="shared" si="111"/>
        <v>2388944.25</v>
      </c>
      <c r="AX118" s="137">
        <f t="shared" si="111"/>
        <v>2398413.971</v>
      </c>
      <c r="AY118" s="137">
        <f t="shared" si="111"/>
        <v>2407931.041</v>
      </c>
      <c r="AZ118" s="137">
        <f t="shared" si="111"/>
        <v>2417495.696</v>
      </c>
      <c r="BA118" s="137">
        <f t="shared" si="111"/>
        <v>2427108.175</v>
      </c>
      <c r="BB118" s="137">
        <f t="shared" si="111"/>
        <v>2436768.715</v>
      </c>
      <c r="BC118" s="137">
        <f t="shared" si="111"/>
        <v>2446477.559</v>
      </c>
      <c r="BD118" s="137">
        <f t="shared" si="111"/>
        <v>2456234.947</v>
      </c>
      <c r="BE118" s="137">
        <f t="shared" si="111"/>
        <v>2466041.122</v>
      </c>
      <c r="BF118" s="137">
        <f t="shared" si="111"/>
        <v>2542362.257</v>
      </c>
      <c r="BG118" s="137">
        <f t="shared" si="111"/>
        <v>2505674.909</v>
      </c>
      <c r="BH118" s="137">
        <f t="shared" si="111"/>
        <v>2515728.284</v>
      </c>
      <c r="BI118" s="137">
        <f t="shared" si="111"/>
        <v>2525831.925</v>
      </c>
      <c r="BJ118" s="137">
        <f t="shared" si="111"/>
        <v>2535986.085</v>
      </c>
      <c r="BK118" s="137">
        <f t="shared" si="111"/>
        <v>2546191.015</v>
      </c>
      <c r="BL118" s="137">
        <f t="shared" si="111"/>
        <v>2556446.971</v>
      </c>
      <c r="BM118" s="137">
        <f t="shared" si="111"/>
        <v>2566754.205</v>
      </c>
      <c r="BN118" s="137">
        <f t="shared" si="111"/>
        <v>2577112.976</v>
      </c>
      <c r="BO118" s="137">
        <f t="shared" si="111"/>
        <v>2587523.541</v>
      </c>
      <c r="BP118" s="137">
        <f t="shared" si="111"/>
        <v>2597986.159</v>
      </c>
      <c r="BQ118" s="137">
        <f t="shared" si="111"/>
        <v>2608501.09</v>
      </c>
      <c r="BR118" s="137">
        <f t="shared" si="111"/>
        <v>2619068.595</v>
      </c>
      <c r="BS118" s="137">
        <f t="shared" si="111"/>
        <v>2406661.736</v>
      </c>
      <c r="BT118" s="137">
        <f t="shared" si="111"/>
        <v>2416220.044</v>
      </c>
      <c r="BU118" s="137">
        <f t="shared" si="111"/>
        <v>2425826.145</v>
      </c>
      <c r="BV118" s="137">
        <f t="shared" si="111"/>
        <v>2435480.275</v>
      </c>
      <c r="BW118" s="137">
        <f t="shared" si="111"/>
        <v>2445182.677</v>
      </c>
      <c r="BX118" s="137">
        <f t="shared" si="111"/>
        <v>2454933.59</v>
      </c>
      <c r="BY118" s="137">
        <f t="shared" si="111"/>
        <v>2464733.258</v>
      </c>
      <c r="BZ118" s="137">
        <f t="shared" si="111"/>
        <v>2474581.924</v>
      </c>
      <c r="CA118" s="137">
        <f t="shared" si="111"/>
        <v>2484479.834</v>
      </c>
    </row>
    <row r="119" ht="15.75" customHeight="1">
      <c r="A119" s="1" t="s">
        <v>454</v>
      </c>
      <c r="B119" s="263"/>
      <c r="C119" s="135"/>
      <c r="D119" s="263"/>
      <c r="E119" s="263"/>
      <c r="F119" s="263"/>
      <c r="G119" s="263"/>
      <c r="H119" s="263"/>
      <c r="I119" s="263"/>
      <c r="J119" s="263"/>
      <c r="K119" s="263"/>
      <c r="L119" s="263"/>
      <c r="M119" s="263"/>
      <c r="N119" s="125">
        <f t="shared" ref="N119:CA119" si="112">N118/N122</f>
        <v>0.9408321965</v>
      </c>
      <c r="O119" s="125">
        <f t="shared" si="112"/>
        <v>0.8586951544</v>
      </c>
      <c r="P119" s="125">
        <f t="shared" si="112"/>
        <v>0.9435651418</v>
      </c>
      <c r="Q119" s="125">
        <f t="shared" si="112"/>
        <v>0.9480067007</v>
      </c>
      <c r="R119" s="125">
        <f t="shared" si="112"/>
        <v>0.9111511756</v>
      </c>
      <c r="S119" s="125">
        <f t="shared" si="112"/>
        <v>0.7822269747</v>
      </c>
      <c r="T119" s="125">
        <f t="shared" si="112"/>
        <v>0.7968475229</v>
      </c>
      <c r="U119" s="125">
        <f t="shared" si="112"/>
        <v>0.7829403446</v>
      </c>
      <c r="V119" s="125">
        <f t="shared" si="112"/>
        <v>0.7477975538</v>
      </c>
      <c r="W119" s="125">
        <f t="shared" si="112"/>
        <v>0.7223146257</v>
      </c>
      <c r="X119" s="125">
        <f t="shared" si="112"/>
        <v>0.7138138895</v>
      </c>
      <c r="Y119" s="125">
        <f t="shared" si="112"/>
        <v>0.713113004</v>
      </c>
      <c r="Z119" s="125">
        <f t="shared" si="112"/>
        <v>0.7089057057</v>
      </c>
      <c r="AA119" s="125">
        <f t="shared" si="112"/>
        <v>0.7050594649</v>
      </c>
      <c r="AB119" s="125">
        <f t="shared" si="112"/>
        <v>0.6910815122</v>
      </c>
      <c r="AC119" s="125">
        <f t="shared" si="112"/>
        <v>0.6734192041</v>
      </c>
      <c r="AD119" s="125">
        <f t="shared" si="112"/>
        <v>0.6654232486</v>
      </c>
      <c r="AE119" s="125">
        <f t="shared" si="112"/>
        <v>0.654834272</v>
      </c>
      <c r="AF119" s="125">
        <f t="shared" si="112"/>
        <v>0.7320821291</v>
      </c>
      <c r="AG119" s="125">
        <f t="shared" si="112"/>
        <v>0.6372483868</v>
      </c>
      <c r="AH119" s="125">
        <f t="shared" si="112"/>
        <v>0.6262002952</v>
      </c>
      <c r="AI119" s="125">
        <f t="shared" si="112"/>
        <v>0.6245928721</v>
      </c>
      <c r="AJ119" s="125">
        <f t="shared" si="112"/>
        <v>0.6229814249</v>
      </c>
      <c r="AK119" s="125">
        <f t="shared" si="112"/>
        <v>0.6226931689</v>
      </c>
      <c r="AL119" s="125">
        <f t="shared" si="112"/>
        <v>0.6210774239</v>
      </c>
      <c r="AM119" s="125">
        <f t="shared" si="112"/>
        <v>0.6194577238</v>
      </c>
      <c r="AN119" s="125">
        <f t="shared" si="112"/>
        <v>0.6178341001</v>
      </c>
      <c r="AO119" s="125">
        <f t="shared" si="112"/>
        <v>0.6162065843</v>
      </c>
      <c r="AP119" s="125">
        <f t="shared" si="112"/>
        <v>0.6145752087</v>
      </c>
      <c r="AQ119" s="125">
        <f t="shared" si="112"/>
        <v>0.6129400057</v>
      </c>
      <c r="AR119" s="125">
        <f t="shared" si="112"/>
        <v>0.6126731223</v>
      </c>
      <c r="AS119" s="125">
        <f t="shared" si="112"/>
        <v>0.6120537297</v>
      </c>
      <c r="AT119" s="125">
        <f t="shared" si="112"/>
        <v>0.6105012473</v>
      </c>
      <c r="AU119" s="125">
        <f t="shared" si="112"/>
        <v>0.6089455704</v>
      </c>
      <c r="AV119" s="125">
        <f t="shared" si="112"/>
        <v>0.6073867285</v>
      </c>
      <c r="AW119" s="125">
        <f t="shared" si="112"/>
        <v>0.6039327413</v>
      </c>
      <c r="AX119" s="125">
        <f t="shared" si="112"/>
        <v>0.6023631288</v>
      </c>
      <c r="AY119" s="125">
        <f t="shared" si="112"/>
        <v>0.6007904763</v>
      </c>
      <c r="AZ119" s="125">
        <f t="shared" si="112"/>
        <v>0.5992148148</v>
      </c>
      <c r="BA119" s="125">
        <f t="shared" si="112"/>
        <v>0.5976361758</v>
      </c>
      <c r="BB119" s="125">
        <f t="shared" si="112"/>
        <v>0.5960545911</v>
      </c>
      <c r="BC119" s="125">
        <f t="shared" si="112"/>
        <v>0.5944700926</v>
      </c>
      <c r="BD119" s="125">
        <f t="shared" si="112"/>
        <v>0.5951840062</v>
      </c>
      <c r="BE119" s="125">
        <f t="shared" si="112"/>
        <v>0.5930324292</v>
      </c>
      <c r="BF119" s="125">
        <f t="shared" si="112"/>
        <v>0.6150850261</v>
      </c>
      <c r="BG119" s="125">
        <f t="shared" si="112"/>
        <v>0.6085227686</v>
      </c>
      <c r="BH119" s="125">
        <f t="shared" si="112"/>
        <v>0.6063409884</v>
      </c>
      <c r="BI119" s="125">
        <f t="shared" si="112"/>
        <v>0.6041417961</v>
      </c>
      <c r="BJ119" s="125">
        <f t="shared" si="112"/>
        <v>0.6019250137</v>
      </c>
      <c r="BK119" s="125">
        <f t="shared" si="112"/>
        <v>0.5996904633</v>
      </c>
      <c r="BL119" s="125">
        <f t="shared" si="112"/>
        <v>0.5974379675</v>
      </c>
      <c r="BM119" s="125">
        <f t="shared" si="112"/>
        <v>0.5951673494</v>
      </c>
      <c r="BN119" s="125">
        <f t="shared" si="112"/>
        <v>0.5928784327</v>
      </c>
      <c r="BO119" s="125">
        <f t="shared" si="112"/>
        <v>0.5905710423</v>
      </c>
      <c r="BP119" s="125">
        <f t="shared" si="112"/>
        <v>0.5847296538</v>
      </c>
      <c r="BQ119" s="125">
        <f t="shared" si="112"/>
        <v>0.5846127302</v>
      </c>
      <c r="BR119" s="125">
        <f t="shared" si="112"/>
        <v>0.6016266165</v>
      </c>
      <c r="BS119" s="125">
        <f t="shared" si="112"/>
        <v>0.5801292784</v>
      </c>
      <c r="BT119" s="125">
        <f t="shared" si="112"/>
        <v>0.5799861258</v>
      </c>
      <c r="BU119" s="125">
        <f t="shared" si="112"/>
        <v>0.5797995954</v>
      </c>
      <c r="BV119" s="125">
        <f t="shared" si="112"/>
        <v>0.5795707117</v>
      </c>
      <c r="BW119" s="125">
        <f t="shared" si="112"/>
        <v>0.5793004847</v>
      </c>
      <c r="BX119" s="125">
        <f t="shared" si="112"/>
        <v>0.5789899093</v>
      </c>
      <c r="BY119" s="125">
        <f t="shared" si="112"/>
        <v>0.5786399653</v>
      </c>
      <c r="BZ119" s="125">
        <f t="shared" si="112"/>
        <v>0.578251617</v>
      </c>
      <c r="CA119" s="125">
        <f t="shared" si="112"/>
        <v>0.5778258126</v>
      </c>
    </row>
    <row r="120" ht="15.75" customHeight="1">
      <c r="A120" s="137" t="s">
        <v>455</v>
      </c>
      <c r="B120" s="264"/>
      <c r="C120" s="135"/>
      <c r="D120" s="264"/>
      <c r="E120" s="264"/>
      <c r="F120" s="264"/>
      <c r="G120" s="264"/>
      <c r="H120" s="262">
        <f>'Portfolio Sales'!E52</f>
        <v>322550</v>
      </c>
      <c r="I120" s="262">
        <f>'Portfolio Sales'!F52</f>
        <v>631050</v>
      </c>
      <c r="J120" s="262">
        <f>'Portfolio Sales'!G52</f>
        <v>334700</v>
      </c>
      <c r="K120" s="262">
        <f>'Portfolio Sales'!H52</f>
        <v>855300</v>
      </c>
      <c r="L120" s="262">
        <f>'Portfolio Sales'!I52</f>
        <v>1048125</v>
      </c>
      <c r="M120" s="262">
        <f>'Portfolio Sales'!J52</f>
        <v>509073</v>
      </c>
      <c r="N120" s="262">
        <f>'Portfolio Sales'!K52</f>
        <v>579025</v>
      </c>
      <c r="O120" s="262">
        <f>'Portfolio Sales'!L52</f>
        <v>1296000</v>
      </c>
      <c r="P120" s="262">
        <f>'Portfolio Sales'!M52</f>
        <v>725000</v>
      </c>
      <c r="Q120" s="262">
        <f>'Portfolio Sales'!N52</f>
        <v>369500</v>
      </c>
      <c r="R120" s="262">
        <f>'Portfolio Sales'!O52</f>
        <v>963691.8284</v>
      </c>
      <c r="S120" s="262">
        <f>'Portfolio Sales'!P52</f>
        <v>644203.2634</v>
      </c>
      <c r="T120" s="262">
        <f>'Portfolio Sales'!Q52</f>
        <v>719776.5498</v>
      </c>
      <c r="U120" s="262">
        <f>'Portfolio Sales'!R52</f>
        <v>860981.6985</v>
      </c>
      <c r="V120" s="262">
        <f>'Portfolio Sales'!S52</f>
        <v>1047390.759</v>
      </c>
      <c r="W120" s="262">
        <f>'Portfolio Sales'!T52</f>
        <v>1193905.852</v>
      </c>
      <c r="X120" s="262">
        <f>'Portfolio Sales'!U52</f>
        <v>1245108.051</v>
      </c>
      <c r="Y120" s="262">
        <f>'Portfolio Sales'!V52</f>
        <v>1270846.06</v>
      </c>
      <c r="Z120" s="262">
        <f>'Portfolio Sales'!W52</f>
        <v>1297136.444</v>
      </c>
      <c r="AA120" s="262">
        <f>'Portfolio Sales'!X52</f>
        <v>1321445.197</v>
      </c>
      <c r="AB120" s="262">
        <f>'Portfolio Sales'!Y52</f>
        <v>1412066.226</v>
      </c>
      <c r="AC120" s="262">
        <f>'Portfolio Sales'!Z52</f>
        <v>1471479.498</v>
      </c>
      <c r="AD120" s="262">
        <f>'Portfolio Sales'!AA52</f>
        <v>1525621.706</v>
      </c>
      <c r="AE120" s="262">
        <f>'Portfolio Sales'!AB52</f>
        <v>1599356.707</v>
      </c>
      <c r="AF120" s="262">
        <f>'Portfolio Sales'!AC52</f>
        <v>1123016.705</v>
      </c>
      <c r="AG120" s="262">
        <f>'Portfolio Sales'!AD52</f>
        <v>1320443.404</v>
      </c>
      <c r="AH120" s="262">
        <f>'Portfolio Sales'!AE52</f>
        <v>1334697.438</v>
      </c>
      <c r="AI120" s="262">
        <f>'Portfolio Sales'!AF52</f>
        <v>1349118.476</v>
      </c>
      <c r="AJ120" s="262">
        <f>'Portfolio Sales'!AG52</f>
        <v>1363708.554</v>
      </c>
      <c r="AK120" s="262">
        <f>'Portfolio Sales'!AH52</f>
        <v>1378469.735</v>
      </c>
      <c r="AL120" s="262">
        <f>'Portfolio Sales'!AI52</f>
        <v>1393404.104</v>
      </c>
      <c r="AM120" s="262">
        <f>'Portfolio Sales'!AJ52</f>
        <v>1408513.775</v>
      </c>
      <c r="AN120" s="262">
        <f>'Portfolio Sales'!AK52</f>
        <v>1423800.887</v>
      </c>
      <c r="AO120" s="262">
        <f>'Portfolio Sales'!AL52</f>
        <v>1439267.606</v>
      </c>
      <c r="AP120" s="262">
        <f>'Portfolio Sales'!AM52</f>
        <v>1454916.125</v>
      </c>
      <c r="AQ120" s="262">
        <f>'Portfolio Sales'!AN52</f>
        <v>1470748.666</v>
      </c>
      <c r="AR120" s="262">
        <f>'Portfolio Sales'!AO52</f>
        <v>1486649.486</v>
      </c>
      <c r="AS120" s="262">
        <f>'Portfolio Sales'!AP52</f>
        <v>1502301.55</v>
      </c>
      <c r="AT120" s="262">
        <f>'Portfolio Sales'!AQ52</f>
        <v>1518130.742</v>
      </c>
      <c r="AU120" s="262">
        <f>'Portfolio Sales'!AR52</f>
        <v>1534139.136</v>
      </c>
      <c r="AV120" s="262">
        <f>'Portfolio Sales'!AS52</f>
        <v>1550328.829</v>
      </c>
      <c r="AW120" s="262">
        <f>'Portfolio Sales'!AT52</f>
        <v>1566701.945</v>
      </c>
      <c r="AX120" s="262">
        <f>'Portfolio Sales'!AU52</f>
        <v>1583260.631</v>
      </c>
      <c r="AY120" s="262">
        <f>'Portfolio Sales'!AV52</f>
        <v>1600007.061</v>
      </c>
      <c r="AZ120" s="262">
        <f>'Portfolio Sales'!AW52</f>
        <v>1616943.434</v>
      </c>
      <c r="BA120" s="262">
        <f>'Portfolio Sales'!AX52</f>
        <v>1634071.976</v>
      </c>
      <c r="BB120" s="262">
        <f>'Portfolio Sales'!AY52</f>
        <v>1651394.939</v>
      </c>
      <c r="BC120" s="262">
        <f>'Portfolio Sales'!AZ52</f>
        <v>1668914.602</v>
      </c>
      <c r="BD120" s="262">
        <f>'Portfolio Sales'!BA52</f>
        <v>1670614.769</v>
      </c>
      <c r="BE120" s="262">
        <f>'Portfolio Sales'!BB52</f>
        <v>1692316.837</v>
      </c>
      <c r="BF120" s="262">
        <f>'Portfolio Sales'!BC52</f>
        <v>1590988.66</v>
      </c>
      <c r="BG120" s="262">
        <f>'Portfolio Sales'!BD52</f>
        <v>1611960.517</v>
      </c>
      <c r="BH120" s="262">
        <f>'Portfolio Sales'!BE52</f>
        <v>1633303.914</v>
      </c>
      <c r="BI120" s="262">
        <f>'Portfolio Sales'!BF52</f>
        <v>1655027.505</v>
      </c>
      <c r="BJ120" s="262">
        <f>'Portfolio Sales'!BG52</f>
        <v>1677140.18</v>
      </c>
      <c r="BK120" s="262">
        <f>'Portfolio Sales'!BH52</f>
        <v>1699651.083</v>
      </c>
      <c r="BL120" s="262">
        <f>'Portfolio Sales'!BI52</f>
        <v>1722569.613</v>
      </c>
      <c r="BM120" s="262">
        <f>'Portfolio Sales'!BJ52</f>
        <v>1745905.433</v>
      </c>
      <c r="BN120" s="262">
        <f>'Portfolio Sales'!BK52</f>
        <v>1769668.479</v>
      </c>
      <c r="BO120" s="262">
        <f>'Portfolio Sales'!BL52</f>
        <v>1793868.969</v>
      </c>
      <c r="BP120" s="262">
        <f>'Portfolio Sales'!BM52</f>
        <v>1845069.092</v>
      </c>
      <c r="BQ120" s="262">
        <f>'Portfolio Sales'!BN52</f>
        <v>1853428.928</v>
      </c>
      <c r="BR120" s="262">
        <f>'Portfolio Sales'!BO52</f>
        <v>1734243.781</v>
      </c>
      <c r="BS120" s="262">
        <f>'Portfolio Sales'!BP52</f>
        <v>1741830.377</v>
      </c>
      <c r="BT120" s="262">
        <f>'Portfolio Sales'!BQ52</f>
        <v>1749776.239</v>
      </c>
      <c r="BU120" s="262">
        <f>'Portfolio Sales'!BR52</f>
        <v>1758078.37</v>
      </c>
      <c r="BV120" s="262">
        <f>'Portfolio Sales'!BS52</f>
        <v>1766733.926</v>
      </c>
      <c r="BW120" s="262">
        <f>'Portfolio Sales'!BT52</f>
        <v>1775740.215</v>
      </c>
      <c r="BX120" s="262">
        <f>'Portfolio Sales'!BU52</f>
        <v>1785094.692</v>
      </c>
      <c r="BY120" s="262">
        <f>'Portfolio Sales'!BV52</f>
        <v>1794794.956</v>
      </c>
      <c r="BZ120" s="262">
        <f>'Portfolio Sales'!BW52</f>
        <v>1804838.749</v>
      </c>
      <c r="CA120" s="262">
        <f>'Portfolio Sales'!BX52</f>
        <v>1815223.952</v>
      </c>
    </row>
    <row r="121" ht="15.75" customHeight="1">
      <c r="A121" s="1" t="s">
        <v>456</v>
      </c>
      <c r="B121" s="263"/>
      <c r="C121" s="135"/>
      <c r="D121" s="263"/>
      <c r="E121" s="263"/>
      <c r="F121" s="263"/>
      <c r="G121" s="263"/>
      <c r="H121" s="263"/>
      <c r="I121" s="263"/>
      <c r="J121" s="263"/>
      <c r="K121" s="263"/>
      <c r="L121" s="263"/>
      <c r="M121" s="263"/>
      <c r="N121" s="265">
        <f t="shared" ref="N121:CA121" si="113">N120/N122</f>
        <v>0.05916780348</v>
      </c>
      <c r="O121" s="265">
        <f t="shared" si="113"/>
        <v>0.1413048456</v>
      </c>
      <c r="P121" s="265">
        <f t="shared" si="113"/>
        <v>0.05643485822</v>
      </c>
      <c r="Q121" s="265">
        <f t="shared" si="113"/>
        <v>0.05199329927</v>
      </c>
      <c r="R121" s="265">
        <f t="shared" si="113"/>
        <v>0.0888488244</v>
      </c>
      <c r="S121" s="265">
        <f t="shared" si="113"/>
        <v>0.2177730253</v>
      </c>
      <c r="T121" s="265">
        <f t="shared" si="113"/>
        <v>0.2031524771</v>
      </c>
      <c r="U121" s="265">
        <f t="shared" si="113"/>
        <v>0.2170596554</v>
      </c>
      <c r="V121" s="265">
        <f t="shared" si="113"/>
        <v>0.2522024462</v>
      </c>
      <c r="W121" s="265">
        <f t="shared" si="113"/>
        <v>0.2776853743</v>
      </c>
      <c r="X121" s="265">
        <f t="shared" si="113"/>
        <v>0.2861861105</v>
      </c>
      <c r="Y121" s="265">
        <f t="shared" si="113"/>
        <v>0.286886996</v>
      </c>
      <c r="Z121" s="265">
        <f t="shared" si="113"/>
        <v>0.2910942943</v>
      </c>
      <c r="AA121" s="265">
        <f t="shared" si="113"/>
        <v>0.2949405351</v>
      </c>
      <c r="AB121" s="265">
        <f t="shared" si="113"/>
        <v>0.3089184878</v>
      </c>
      <c r="AC121" s="265">
        <f t="shared" si="113"/>
        <v>0.3265807959</v>
      </c>
      <c r="AD121" s="265">
        <f t="shared" si="113"/>
        <v>0.3345767514</v>
      </c>
      <c r="AE121" s="265">
        <f t="shared" si="113"/>
        <v>0.345165728</v>
      </c>
      <c r="AF121" s="265">
        <f t="shared" si="113"/>
        <v>0.2679178709</v>
      </c>
      <c r="AG121" s="265">
        <f t="shared" si="113"/>
        <v>0.3627516132</v>
      </c>
      <c r="AH121" s="265">
        <f t="shared" si="113"/>
        <v>0.3737997048</v>
      </c>
      <c r="AI121" s="265">
        <f t="shared" si="113"/>
        <v>0.3754071279</v>
      </c>
      <c r="AJ121" s="265">
        <f t="shared" si="113"/>
        <v>0.3770185751</v>
      </c>
      <c r="AK121" s="265">
        <f t="shared" si="113"/>
        <v>0.3773068311</v>
      </c>
      <c r="AL121" s="265">
        <f t="shared" si="113"/>
        <v>0.3789225761</v>
      </c>
      <c r="AM121" s="265">
        <f t="shared" si="113"/>
        <v>0.3805422762</v>
      </c>
      <c r="AN121" s="265">
        <f t="shared" si="113"/>
        <v>0.3821658999</v>
      </c>
      <c r="AO121" s="265">
        <f t="shared" si="113"/>
        <v>0.3837934157</v>
      </c>
      <c r="AP121" s="265">
        <f t="shared" si="113"/>
        <v>0.3854247913</v>
      </c>
      <c r="AQ121" s="265">
        <f t="shared" si="113"/>
        <v>0.3870599943</v>
      </c>
      <c r="AR121" s="265">
        <f t="shared" si="113"/>
        <v>0.3873268777</v>
      </c>
      <c r="AS121" s="265">
        <f t="shared" si="113"/>
        <v>0.3879462703</v>
      </c>
      <c r="AT121" s="265">
        <f t="shared" si="113"/>
        <v>0.3894987527</v>
      </c>
      <c r="AU121" s="265">
        <f t="shared" si="113"/>
        <v>0.3910544296</v>
      </c>
      <c r="AV121" s="265">
        <f t="shared" si="113"/>
        <v>0.3926132715</v>
      </c>
      <c r="AW121" s="265">
        <f t="shared" si="113"/>
        <v>0.3960672587</v>
      </c>
      <c r="AX121" s="265">
        <f t="shared" si="113"/>
        <v>0.3976368712</v>
      </c>
      <c r="AY121" s="265">
        <f t="shared" si="113"/>
        <v>0.3992095237</v>
      </c>
      <c r="AZ121" s="265">
        <f t="shared" si="113"/>
        <v>0.4007851852</v>
      </c>
      <c r="BA121" s="265">
        <f t="shared" si="113"/>
        <v>0.4023638242</v>
      </c>
      <c r="BB121" s="265">
        <f t="shared" si="113"/>
        <v>0.4039454089</v>
      </c>
      <c r="BC121" s="265">
        <f t="shared" si="113"/>
        <v>0.4055299074</v>
      </c>
      <c r="BD121" s="265">
        <f t="shared" si="113"/>
        <v>0.4048159938</v>
      </c>
      <c r="BE121" s="265">
        <f t="shared" si="113"/>
        <v>0.4069675708</v>
      </c>
      <c r="BF121" s="265">
        <f t="shared" si="113"/>
        <v>0.3849149739</v>
      </c>
      <c r="BG121" s="265">
        <f t="shared" si="113"/>
        <v>0.3914772314</v>
      </c>
      <c r="BH121" s="265">
        <f t="shared" si="113"/>
        <v>0.3936590116</v>
      </c>
      <c r="BI121" s="265">
        <f t="shared" si="113"/>
        <v>0.3958582039</v>
      </c>
      <c r="BJ121" s="265">
        <f t="shared" si="113"/>
        <v>0.3980749863</v>
      </c>
      <c r="BK121" s="265">
        <f t="shared" si="113"/>
        <v>0.4003095367</v>
      </c>
      <c r="BL121" s="265">
        <f t="shared" si="113"/>
        <v>0.4025620325</v>
      </c>
      <c r="BM121" s="265">
        <f t="shared" si="113"/>
        <v>0.4048326506</v>
      </c>
      <c r="BN121" s="265">
        <f t="shared" si="113"/>
        <v>0.4071215673</v>
      </c>
      <c r="BO121" s="265">
        <f t="shared" si="113"/>
        <v>0.4094289577</v>
      </c>
      <c r="BP121" s="265">
        <f t="shared" si="113"/>
        <v>0.4152703462</v>
      </c>
      <c r="BQ121" s="265">
        <f t="shared" si="113"/>
        <v>0.4153872698</v>
      </c>
      <c r="BR121" s="265">
        <f t="shared" si="113"/>
        <v>0.3983733835</v>
      </c>
      <c r="BS121" s="265">
        <f t="shared" si="113"/>
        <v>0.4198707216</v>
      </c>
      <c r="BT121" s="265">
        <f t="shared" si="113"/>
        <v>0.4200138742</v>
      </c>
      <c r="BU121" s="265">
        <f t="shared" si="113"/>
        <v>0.4202004046</v>
      </c>
      <c r="BV121" s="265">
        <f t="shared" si="113"/>
        <v>0.4204292883</v>
      </c>
      <c r="BW121" s="265">
        <f t="shared" si="113"/>
        <v>0.4206995153</v>
      </c>
      <c r="BX121" s="265">
        <f t="shared" si="113"/>
        <v>0.4210100907</v>
      </c>
      <c r="BY121" s="265">
        <f t="shared" si="113"/>
        <v>0.4213600347</v>
      </c>
      <c r="BZ121" s="265">
        <f t="shared" si="113"/>
        <v>0.421748383</v>
      </c>
      <c r="CA121" s="265">
        <f t="shared" si="113"/>
        <v>0.4221741874</v>
      </c>
    </row>
    <row r="122" ht="15.75" customHeight="1">
      <c r="A122" s="137" t="s">
        <v>457</v>
      </c>
      <c r="B122" s="264"/>
      <c r="C122" s="135"/>
      <c r="D122" s="264"/>
      <c r="E122" s="264"/>
      <c r="F122" s="264"/>
      <c r="G122" s="135"/>
      <c r="H122" s="135"/>
      <c r="I122" s="264"/>
      <c r="J122" s="264"/>
      <c r="K122" s="264"/>
      <c r="L122" s="264"/>
      <c r="M122" s="264"/>
      <c r="N122" s="262">
        <f t="shared" ref="N122:CA122" si="114">N118+N120</f>
        <v>9786150</v>
      </c>
      <c r="O122" s="262">
        <f t="shared" si="114"/>
        <v>9171660</v>
      </c>
      <c r="P122" s="262">
        <f t="shared" si="114"/>
        <v>12846670</v>
      </c>
      <c r="Q122" s="262">
        <f t="shared" si="114"/>
        <v>7106685</v>
      </c>
      <c r="R122" s="262">
        <f t="shared" si="114"/>
        <v>10846421.83</v>
      </c>
      <c r="S122" s="262">
        <f t="shared" si="114"/>
        <v>2958140.763</v>
      </c>
      <c r="T122" s="262">
        <f t="shared" si="114"/>
        <v>3543036.05</v>
      </c>
      <c r="U122" s="262">
        <f t="shared" si="114"/>
        <v>3966567.149</v>
      </c>
      <c r="V122" s="262">
        <f t="shared" si="114"/>
        <v>4152976.209</v>
      </c>
      <c r="W122" s="262">
        <f t="shared" si="114"/>
        <v>4299491.302</v>
      </c>
      <c r="X122" s="262">
        <f t="shared" si="114"/>
        <v>4350693.501</v>
      </c>
      <c r="Y122" s="262">
        <f t="shared" si="114"/>
        <v>4429779.244</v>
      </c>
      <c r="Z122" s="262">
        <f t="shared" si="114"/>
        <v>4456069.628</v>
      </c>
      <c r="AA122" s="262">
        <f t="shared" si="114"/>
        <v>4480378.381</v>
      </c>
      <c r="AB122" s="262">
        <f t="shared" si="114"/>
        <v>4570999.41</v>
      </c>
      <c r="AC122" s="262">
        <f t="shared" si="114"/>
        <v>4505713.489</v>
      </c>
      <c r="AD122" s="262">
        <f t="shared" si="114"/>
        <v>4559855.698</v>
      </c>
      <c r="AE122" s="262">
        <f t="shared" si="114"/>
        <v>4633590.699</v>
      </c>
      <c r="AF122" s="262">
        <f t="shared" si="114"/>
        <v>4191645.376</v>
      </c>
      <c r="AG122" s="262">
        <f t="shared" si="114"/>
        <v>3640075.899</v>
      </c>
      <c r="AH122" s="262">
        <f t="shared" si="114"/>
        <v>3570621.968</v>
      </c>
      <c r="AI122" s="262">
        <f t="shared" si="114"/>
        <v>3593747.629</v>
      </c>
      <c r="AJ122" s="262">
        <f t="shared" si="114"/>
        <v>3617085.853</v>
      </c>
      <c r="AK122" s="262">
        <f t="shared" si="114"/>
        <v>3653444.945</v>
      </c>
      <c r="AL122" s="262">
        <f t="shared" si="114"/>
        <v>3677279.19</v>
      </c>
      <c r="AM122" s="262">
        <f t="shared" si="114"/>
        <v>3701333.237</v>
      </c>
      <c r="AN122" s="262">
        <f t="shared" si="114"/>
        <v>3725609.446</v>
      </c>
      <c r="AO122" s="262">
        <f t="shared" si="114"/>
        <v>3750110.208</v>
      </c>
      <c r="AP122" s="262">
        <f t="shared" si="114"/>
        <v>3774837.94</v>
      </c>
      <c r="AQ122" s="262">
        <f t="shared" si="114"/>
        <v>3799795.09</v>
      </c>
      <c r="AR122" s="262">
        <f t="shared" si="114"/>
        <v>3838229.597</v>
      </c>
      <c r="AS122" s="262">
        <f t="shared" si="114"/>
        <v>3872447.462</v>
      </c>
      <c r="AT122" s="262">
        <f t="shared" si="114"/>
        <v>3897652.383</v>
      </c>
      <c r="AU122" s="262">
        <f t="shared" si="114"/>
        <v>3923083.386</v>
      </c>
      <c r="AV122" s="262">
        <f t="shared" si="114"/>
        <v>3948742.8</v>
      </c>
      <c r="AW122" s="262">
        <f t="shared" si="114"/>
        <v>3955646.195</v>
      </c>
      <c r="AX122" s="262">
        <f t="shared" si="114"/>
        <v>3981674.602</v>
      </c>
      <c r="AY122" s="262">
        <f t="shared" si="114"/>
        <v>4007938.102</v>
      </c>
      <c r="AZ122" s="262">
        <f t="shared" si="114"/>
        <v>4034439.13</v>
      </c>
      <c r="BA122" s="262">
        <f t="shared" si="114"/>
        <v>4061180.151</v>
      </c>
      <c r="BB122" s="262">
        <f t="shared" si="114"/>
        <v>4088163.655</v>
      </c>
      <c r="BC122" s="262">
        <f t="shared" si="114"/>
        <v>4115392.161</v>
      </c>
      <c r="BD122" s="262">
        <f t="shared" si="114"/>
        <v>4126849.716</v>
      </c>
      <c r="BE122" s="262">
        <f t="shared" si="114"/>
        <v>4158357.958</v>
      </c>
      <c r="BF122" s="262">
        <f t="shared" si="114"/>
        <v>4133350.917</v>
      </c>
      <c r="BG122" s="262">
        <f t="shared" si="114"/>
        <v>4117635.426</v>
      </c>
      <c r="BH122" s="262">
        <f t="shared" si="114"/>
        <v>4149032.198</v>
      </c>
      <c r="BI122" s="262">
        <f t="shared" si="114"/>
        <v>4180859.43</v>
      </c>
      <c r="BJ122" s="262">
        <f t="shared" si="114"/>
        <v>4213126.265</v>
      </c>
      <c r="BK122" s="262">
        <f t="shared" si="114"/>
        <v>4245842.099</v>
      </c>
      <c r="BL122" s="262">
        <f t="shared" si="114"/>
        <v>4279016.584</v>
      </c>
      <c r="BM122" s="262">
        <f t="shared" si="114"/>
        <v>4312659.638</v>
      </c>
      <c r="BN122" s="262">
        <f t="shared" si="114"/>
        <v>4346781.455</v>
      </c>
      <c r="BO122" s="262">
        <f t="shared" si="114"/>
        <v>4381392.51</v>
      </c>
      <c r="BP122" s="262">
        <f t="shared" si="114"/>
        <v>4443055.251</v>
      </c>
      <c r="BQ122" s="262">
        <f t="shared" si="114"/>
        <v>4461930.018</v>
      </c>
      <c r="BR122" s="262">
        <f t="shared" si="114"/>
        <v>4353312.376</v>
      </c>
      <c r="BS122" s="262">
        <f t="shared" si="114"/>
        <v>4148492.113</v>
      </c>
      <c r="BT122" s="262">
        <f t="shared" si="114"/>
        <v>4165996.283</v>
      </c>
      <c r="BU122" s="262">
        <f t="shared" si="114"/>
        <v>4183904.514</v>
      </c>
      <c r="BV122" s="262">
        <f t="shared" si="114"/>
        <v>4202214.201</v>
      </c>
      <c r="BW122" s="262">
        <f t="shared" si="114"/>
        <v>4220922.891</v>
      </c>
      <c r="BX122" s="262">
        <f t="shared" si="114"/>
        <v>4240028.282</v>
      </c>
      <c r="BY122" s="262">
        <f t="shared" si="114"/>
        <v>4259528.214</v>
      </c>
      <c r="BZ122" s="262">
        <f t="shared" si="114"/>
        <v>4279420.673</v>
      </c>
      <c r="CA122" s="262">
        <f t="shared" si="114"/>
        <v>4299703.786</v>
      </c>
    </row>
    <row r="123" ht="15.75" customHeight="1">
      <c r="A123" s="137" t="s">
        <v>458</v>
      </c>
      <c r="B123" s="264"/>
      <c r="C123" s="135"/>
      <c r="D123" s="264"/>
      <c r="E123" s="263"/>
      <c r="F123" s="264"/>
      <c r="G123" s="135"/>
      <c r="H123" s="135"/>
      <c r="I123" s="264"/>
      <c r="J123" s="264"/>
      <c r="K123" s="264"/>
      <c r="L123" s="264"/>
      <c r="M123" s="264"/>
      <c r="N123" s="262">
        <f t="shared" ref="N123:CA123" si="115">N122-M122</f>
        <v>9786150</v>
      </c>
      <c r="O123" s="262">
        <f t="shared" si="115"/>
        <v>-614490</v>
      </c>
      <c r="P123" s="262">
        <f t="shared" si="115"/>
        <v>3675010</v>
      </c>
      <c r="Q123" s="262">
        <f t="shared" si="115"/>
        <v>-5739985</v>
      </c>
      <c r="R123" s="262">
        <f t="shared" si="115"/>
        <v>3739736.828</v>
      </c>
      <c r="S123" s="262">
        <f t="shared" si="115"/>
        <v>-7888281.065</v>
      </c>
      <c r="T123" s="262">
        <f t="shared" si="115"/>
        <v>584895.2864</v>
      </c>
      <c r="U123" s="262">
        <f t="shared" si="115"/>
        <v>423531.0987</v>
      </c>
      <c r="V123" s="262">
        <f t="shared" si="115"/>
        <v>186409.0604</v>
      </c>
      <c r="W123" s="262">
        <f t="shared" si="115"/>
        <v>146515.0927</v>
      </c>
      <c r="X123" s="262">
        <f t="shared" si="115"/>
        <v>51202.19925</v>
      </c>
      <c r="Y123" s="262">
        <f t="shared" si="115"/>
        <v>79085.74332</v>
      </c>
      <c r="Z123" s="262">
        <f t="shared" si="115"/>
        <v>26290.3835</v>
      </c>
      <c r="AA123" s="262">
        <f t="shared" si="115"/>
        <v>24308.75368</v>
      </c>
      <c r="AB123" s="262">
        <f t="shared" si="115"/>
        <v>90621.02818</v>
      </c>
      <c r="AC123" s="262">
        <f t="shared" si="115"/>
        <v>-65285.92017</v>
      </c>
      <c r="AD123" s="262">
        <f t="shared" si="115"/>
        <v>54142.20885</v>
      </c>
      <c r="AE123" s="262">
        <f t="shared" si="115"/>
        <v>73735.00043</v>
      </c>
      <c r="AF123" s="262">
        <f t="shared" si="115"/>
        <v>-441945.3228</v>
      </c>
      <c r="AG123" s="262">
        <f t="shared" si="115"/>
        <v>-551569.477</v>
      </c>
      <c r="AH123" s="262">
        <f t="shared" si="115"/>
        <v>-69453.9304</v>
      </c>
      <c r="AI123" s="262">
        <f t="shared" si="115"/>
        <v>23125.66071</v>
      </c>
      <c r="AJ123" s="262">
        <f t="shared" si="115"/>
        <v>23338.22435</v>
      </c>
      <c r="AK123" s="262">
        <f t="shared" si="115"/>
        <v>36359.0917</v>
      </c>
      <c r="AL123" s="262">
        <f t="shared" si="115"/>
        <v>23834.24514</v>
      </c>
      <c r="AM123" s="262">
        <f t="shared" si="115"/>
        <v>24054.04626</v>
      </c>
      <c r="AN123" s="262">
        <f t="shared" si="115"/>
        <v>24276.20926</v>
      </c>
      <c r="AO123" s="262">
        <f t="shared" si="115"/>
        <v>24500.76196</v>
      </c>
      <c r="AP123" s="262">
        <f t="shared" si="115"/>
        <v>24727.73254</v>
      </c>
      <c r="AQ123" s="262">
        <f t="shared" si="115"/>
        <v>24957.1495</v>
      </c>
      <c r="AR123" s="262">
        <f t="shared" si="115"/>
        <v>38434.5067</v>
      </c>
      <c r="AS123" s="262">
        <f t="shared" si="115"/>
        <v>34217.8651</v>
      </c>
      <c r="AT123" s="262">
        <f t="shared" si="115"/>
        <v>25204.92186</v>
      </c>
      <c r="AU123" s="262">
        <f t="shared" si="115"/>
        <v>25431.00208</v>
      </c>
      <c r="AV123" s="262">
        <f t="shared" si="115"/>
        <v>25659.4146</v>
      </c>
      <c r="AW123" s="262">
        <f t="shared" si="115"/>
        <v>6903.394404</v>
      </c>
      <c r="AX123" s="262">
        <f t="shared" si="115"/>
        <v>26028.40726</v>
      </c>
      <c r="AY123" s="262">
        <f t="shared" si="115"/>
        <v>26263.4998</v>
      </c>
      <c r="AZ123" s="262">
        <f t="shared" si="115"/>
        <v>26501.0285</v>
      </c>
      <c r="BA123" s="262">
        <f t="shared" si="115"/>
        <v>26741.02068</v>
      </c>
      <c r="BB123" s="262">
        <f t="shared" si="115"/>
        <v>26983.50398</v>
      </c>
      <c r="BC123" s="262">
        <f t="shared" si="115"/>
        <v>27228.50637</v>
      </c>
      <c r="BD123" s="262">
        <f t="shared" si="115"/>
        <v>11457.55447</v>
      </c>
      <c r="BE123" s="262">
        <f t="shared" si="115"/>
        <v>31508.24286</v>
      </c>
      <c r="BF123" s="262">
        <f t="shared" si="115"/>
        <v>-25007.04144</v>
      </c>
      <c r="BG123" s="262">
        <f t="shared" si="115"/>
        <v>-15715.49094</v>
      </c>
      <c r="BH123" s="262">
        <f t="shared" si="115"/>
        <v>31396.77225</v>
      </c>
      <c r="BI123" s="262">
        <f t="shared" si="115"/>
        <v>31827.23169</v>
      </c>
      <c r="BJ123" s="262">
        <f t="shared" si="115"/>
        <v>32266.83531</v>
      </c>
      <c r="BK123" s="262">
        <f t="shared" si="115"/>
        <v>32715.83357</v>
      </c>
      <c r="BL123" s="262">
        <f t="shared" si="115"/>
        <v>33174.48459</v>
      </c>
      <c r="BM123" s="262">
        <f t="shared" si="115"/>
        <v>33643.05437</v>
      </c>
      <c r="BN123" s="262">
        <f t="shared" si="115"/>
        <v>34121.81703</v>
      </c>
      <c r="BO123" s="262">
        <f t="shared" si="115"/>
        <v>34611.05511</v>
      </c>
      <c r="BP123" s="262">
        <f t="shared" si="115"/>
        <v>61662.74144</v>
      </c>
      <c r="BQ123" s="262">
        <f t="shared" si="115"/>
        <v>18874.76659</v>
      </c>
      <c r="BR123" s="262">
        <f t="shared" si="115"/>
        <v>-108617.6419</v>
      </c>
      <c r="BS123" s="262">
        <f t="shared" si="115"/>
        <v>-204820.2633</v>
      </c>
      <c r="BT123" s="262">
        <f t="shared" si="115"/>
        <v>17504.17062</v>
      </c>
      <c r="BU123" s="262">
        <f t="shared" si="115"/>
        <v>17908.23088</v>
      </c>
      <c r="BV123" s="262">
        <f t="shared" si="115"/>
        <v>18309.68682</v>
      </c>
      <c r="BW123" s="262">
        <f t="shared" si="115"/>
        <v>18708.6903</v>
      </c>
      <c r="BX123" s="262">
        <f t="shared" si="115"/>
        <v>19105.39014</v>
      </c>
      <c r="BY123" s="262">
        <f t="shared" si="115"/>
        <v>19499.93223</v>
      </c>
      <c r="BZ123" s="262">
        <f t="shared" si="115"/>
        <v>19892.45964</v>
      </c>
      <c r="CA123" s="262">
        <f t="shared" si="115"/>
        <v>20283.11267</v>
      </c>
    </row>
    <row r="124" ht="15.75" customHeight="1">
      <c r="A124" s="91"/>
      <c r="B124" s="263"/>
      <c r="C124" s="135"/>
      <c r="D124" s="263"/>
      <c r="E124" s="263"/>
      <c r="F124" s="263"/>
      <c r="G124" s="135"/>
      <c r="H124" s="135"/>
      <c r="I124" s="263"/>
      <c r="J124" s="263"/>
      <c r="K124" s="263"/>
      <c r="L124" s="263"/>
      <c r="M124" s="263"/>
      <c r="N124" s="266"/>
      <c r="O124" s="267"/>
      <c r="P124" s="266"/>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row>
    <row r="125" ht="15.75" customHeight="1">
      <c r="A125" s="91"/>
      <c r="B125" s="263"/>
      <c r="C125" s="263"/>
      <c r="D125" s="263"/>
      <c r="E125" s="263"/>
      <c r="F125" s="263"/>
      <c r="G125" s="263"/>
      <c r="H125" s="263"/>
      <c r="I125" s="263"/>
      <c r="J125" s="263"/>
      <c r="K125" s="263"/>
      <c r="L125" s="263"/>
      <c r="M125" s="263"/>
      <c r="N125" s="266"/>
      <c r="O125" s="267" t="str">
        <f>'Portfolio Sales'!L56</f>
        <v/>
      </c>
      <c r="P125" s="266"/>
      <c r="Q125" s="266"/>
      <c r="R125" s="266"/>
      <c r="S125" s="267"/>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row>
    <row r="126" ht="15.75" customHeight="1">
      <c r="A126" s="91"/>
      <c r="B126" s="263"/>
      <c r="C126" s="263"/>
      <c r="D126" s="263"/>
      <c r="E126" s="263"/>
      <c r="F126" s="263"/>
      <c r="G126" s="263"/>
      <c r="H126" s="263"/>
      <c r="I126" s="263"/>
      <c r="J126" s="263"/>
      <c r="K126" s="263"/>
      <c r="L126" s="263"/>
      <c r="M126" s="263"/>
      <c r="N126" s="266"/>
      <c r="O126" s="266"/>
      <c r="P126" s="266"/>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row>
    <row r="127" ht="15.75" customHeight="1">
      <c r="A127" s="91"/>
      <c r="B127" s="263"/>
      <c r="C127" s="263"/>
      <c r="D127" s="263"/>
      <c r="E127" s="263"/>
      <c r="F127" s="263"/>
      <c r="G127" s="263"/>
      <c r="H127" s="263"/>
      <c r="I127" s="263"/>
      <c r="J127" s="263"/>
      <c r="K127" s="263"/>
      <c r="L127" s="263"/>
      <c r="M127" s="263"/>
      <c r="N127" s="266"/>
      <c r="O127" s="266"/>
      <c r="P127" s="266"/>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row>
    <row r="128" ht="15.75" customHeight="1">
      <c r="A128" s="91"/>
      <c r="B128" s="263"/>
      <c r="C128" s="263"/>
      <c r="D128" s="263"/>
      <c r="E128" s="263"/>
      <c r="F128" s="263"/>
      <c r="G128" s="263"/>
      <c r="H128" s="263"/>
      <c r="I128" s="263"/>
      <c r="J128" s="263"/>
      <c r="K128" s="263"/>
      <c r="L128" s="263"/>
      <c r="M128" s="263"/>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row>
    <row r="129" ht="15.75" customHeight="1">
      <c r="A129" s="91" t="s">
        <v>459</v>
      </c>
      <c r="B129" s="263">
        <f t="shared" ref="B129:R129" si="116">B130/B$116</f>
        <v>0.001183325863</v>
      </c>
      <c r="C129" s="263">
        <f t="shared" si="116"/>
        <v>0.00162851234</v>
      </c>
      <c r="D129" s="263">
        <f t="shared" si="116"/>
        <v>0.001698805249</v>
      </c>
      <c r="E129" s="263">
        <f t="shared" si="116"/>
        <v>0.001214955703</v>
      </c>
      <c r="F129" s="263">
        <f t="shared" si="116"/>
        <v>0.001538768721</v>
      </c>
      <c r="G129" s="263">
        <f t="shared" si="116"/>
        <v>0.001425891917</v>
      </c>
      <c r="H129" s="263">
        <f t="shared" si="116"/>
        <v>0.0008567116378</v>
      </c>
      <c r="I129" s="263">
        <f t="shared" si="116"/>
        <v>0.002229599708</v>
      </c>
      <c r="J129" s="263">
        <f t="shared" si="116"/>
        <v>0.001751068438</v>
      </c>
      <c r="K129" s="263">
        <f t="shared" si="116"/>
        <v>0.001316085507</v>
      </c>
      <c r="L129" s="263">
        <f t="shared" si="116"/>
        <v>0.001422549164</v>
      </c>
      <c r="M129" s="263">
        <f t="shared" si="116"/>
        <v>0.001016984845</v>
      </c>
      <c r="N129" s="263">
        <f t="shared" si="116"/>
        <v>0.001541290725</v>
      </c>
      <c r="O129" s="263">
        <f t="shared" si="116"/>
        <v>0.001446471852</v>
      </c>
      <c r="P129" s="263">
        <f t="shared" si="116"/>
        <v>0.001435040478</v>
      </c>
      <c r="Q129" s="263">
        <f t="shared" si="116"/>
        <v>0.001961760708</v>
      </c>
      <c r="R129" s="263">
        <f t="shared" si="116"/>
        <v>0.0009189561636</v>
      </c>
      <c r="S129" s="266">
        <f t="shared" ref="S129:CA129" si="117">R129</f>
        <v>0.0009189561636</v>
      </c>
      <c r="T129" s="266">
        <f t="shared" si="117"/>
        <v>0.0009189561636</v>
      </c>
      <c r="U129" s="266">
        <f t="shared" si="117"/>
        <v>0.0009189561636</v>
      </c>
      <c r="V129" s="266">
        <f t="shared" si="117"/>
        <v>0.0009189561636</v>
      </c>
      <c r="W129" s="266">
        <f t="shared" si="117"/>
        <v>0.0009189561636</v>
      </c>
      <c r="X129" s="266">
        <f t="shared" si="117"/>
        <v>0.0009189561636</v>
      </c>
      <c r="Y129" s="266">
        <f t="shared" si="117"/>
        <v>0.0009189561636</v>
      </c>
      <c r="Z129" s="266">
        <f t="shared" si="117"/>
        <v>0.0009189561636</v>
      </c>
      <c r="AA129" s="266">
        <f t="shared" si="117"/>
        <v>0.0009189561636</v>
      </c>
      <c r="AB129" s="266">
        <f t="shared" si="117"/>
        <v>0.0009189561636</v>
      </c>
      <c r="AC129" s="266">
        <f t="shared" si="117"/>
        <v>0.0009189561636</v>
      </c>
      <c r="AD129" s="266">
        <f t="shared" si="117"/>
        <v>0.0009189561636</v>
      </c>
      <c r="AE129" s="266">
        <f t="shared" si="117"/>
        <v>0.0009189561636</v>
      </c>
      <c r="AF129" s="266">
        <f t="shared" si="117"/>
        <v>0.0009189561636</v>
      </c>
      <c r="AG129" s="266">
        <f t="shared" si="117"/>
        <v>0.0009189561636</v>
      </c>
      <c r="AH129" s="266">
        <f t="shared" si="117"/>
        <v>0.0009189561636</v>
      </c>
      <c r="AI129" s="266">
        <f t="shared" si="117"/>
        <v>0.0009189561636</v>
      </c>
      <c r="AJ129" s="266">
        <f t="shared" si="117"/>
        <v>0.0009189561636</v>
      </c>
      <c r="AK129" s="266">
        <f t="shared" si="117"/>
        <v>0.0009189561636</v>
      </c>
      <c r="AL129" s="266">
        <f t="shared" si="117"/>
        <v>0.0009189561636</v>
      </c>
      <c r="AM129" s="266">
        <f t="shared" si="117"/>
        <v>0.0009189561636</v>
      </c>
      <c r="AN129" s="266">
        <f t="shared" si="117"/>
        <v>0.0009189561636</v>
      </c>
      <c r="AO129" s="266">
        <f t="shared" si="117"/>
        <v>0.0009189561636</v>
      </c>
      <c r="AP129" s="266">
        <f t="shared" si="117"/>
        <v>0.0009189561636</v>
      </c>
      <c r="AQ129" s="266">
        <f t="shared" si="117"/>
        <v>0.0009189561636</v>
      </c>
      <c r="AR129" s="266">
        <f t="shared" si="117"/>
        <v>0.0009189561636</v>
      </c>
      <c r="AS129" s="266">
        <f t="shared" si="117"/>
        <v>0.0009189561636</v>
      </c>
      <c r="AT129" s="266">
        <f t="shared" si="117"/>
        <v>0.0009189561636</v>
      </c>
      <c r="AU129" s="266">
        <f t="shared" si="117"/>
        <v>0.0009189561636</v>
      </c>
      <c r="AV129" s="266">
        <f t="shared" si="117"/>
        <v>0.0009189561636</v>
      </c>
      <c r="AW129" s="266">
        <f t="shared" si="117"/>
        <v>0.0009189561636</v>
      </c>
      <c r="AX129" s="266">
        <f t="shared" si="117"/>
        <v>0.0009189561636</v>
      </c>
      <c r="AY129" s="266">
        <f t="shared" si="117"/>
        <v>0.0009189561636</v>
      </c>
      <c r="AZ129" s="266">
        <f t="shared" si="117"/>
        <v>0.0009189561636</v>
      </c>
      <c r="BA129" s="266">
        <f t="shared" si="117"/>
        <v>0.0009189561636</v>
      </c>
      <c r="BB129" s="266">
        <f t="shared" si="117"/>
        <v>0.0009189561636</v>
      </c>
      <c r="BC129" s="266">
        <f t="shared" si="117"/>
        <v>0.0009189561636</v>
      </c>
      <c r="BD129" s="266">
        <f t="shared" si="117"/>
        <v>0.0009189561636</v>
      </c>
      <c r="BE129" s="266">
        <f t="shared" si="117"/>
        <v>0.0009189561636</v>
      </c>
      <c r="BF129" s="266">
        <f t="shared" si="117"/>
        <v>0.0009189561636</v>
      </c>
      <c r="BG129" s="266">
        <f t="shared" si="117"/>
        <v>0.0009189561636</v>
      </c>
      <c r="BH129" s="266">
        <f t="shared" si="117"/>
        <v>0.0009189561636</v>
      </c>
      <c r="BI129" s="266">
        <f t="shared" si="117"/>
        <v>0.0009189561636</v>
      </c>
      <c r="BJ129" s="266">
        <f t="shared" si="117"/>
        <v>0.0009189561636</v>
      </c>
      <c r="BK129" s="266">
        <f t="shared" si="117"/>
        <v>0.0009189561636</v>
      </c>
      <c r="BL129" s="266">
        <f t="shared" si="117"/>
        <v>0.0009189561636</v>
      </c>
      <c r="BM129" s="266">
        <f t="shared" si="117"/>
        <v>0.0009189561636</v>
      </c>
      <c r="BN129" s="266">
        <f t="shared" si="117"/>
        <v>0.0009189561636</v>
      </c>
      <c r="BO129" s="266">
        <f t="shared" si="117"/>
        <v>0.0009189561636</v>
      </c>
      <c r="BP129" s="266">
        <f t="shared" si="117"/>
        <v>0.0009189561636</v>
      </c>
      <c r="BQ129" s="266">
        <f t="shared" si="117"/>
        <v>0.0009189561636</v>
      </c>
      <c r="BR129" s="266">
        <f t="shared" si="117"/>
        <v>0.0009189561636</v>
      </c>
      <c r="BS129" s="266">
        <f t="shared" si="117"/>
        <v>0.0009189561636</v>
      </c>
      <c r="BT129" s="266">
        <f t="shared" si="117"/>
        <v>0.0009189561636</v>
      </c>
      <c r="BU129" s="266">
        <f t="shared" si="117"/>
        <v>0.0009189561636</v>
      </c>
      <c r="BV129" s="266">
        <f t="shared" si="117"/>
        <v>0.0009189561636</v>
      </c>
      <c r="BW129" s="266">
        <f t="shared" si="117"/>
        <v>0.0009189561636</v>
      </c>
      <c r="BX129" s="266">
        <f t="shared" si="117"/>
        <v>0.0009189561636</v>
      </c>
      <c r="BY129" s="266">
        <f t="shared" si="117"/>
        <v>0.0009189561636</v>
      </c>
      <c r="BZ129" s="266">
        <f t="shared" si="117"/>
        <v>0.0009189561636</v>
      </c>
      <c r="CA129" s="266">
        <f t="shared" si="117"/>
        <v>0.0009189561636</v>
      </c>
    </row>
    <row r="130" ht="15.75" customHeight="1">
      <c r="A130" s="132" t="s">
        <v>212</v>
      </c>
      <c r="B130" s="247">
        <f t="array" ref="B130">INDEX('IS Proforma'!$1:$1048490,MATCH($A130,'IS Proforma'!$C:$C,0),MATCH(B$4,'IS Proforma'!$4:$4))</f>
        <v>1386</v>
      </c>
      <c r="C130" s="247">
        <f t="array" ref="C130">INDEX('IS Proforma'!$1:$1048490,MATCH($A130,'IS Proforma'!$C:$C,0),MATCH(C$4,'IS Proforma'!$4:$4))</f>
        <v>1656</v>
      </c>
      <c r="D130" s="247">
        <f t="array" ref="D130">INDEX('IS Proforma'!$1:$1048490,MATCH($A130,'IS Proforma'!$C:$C,0),MATCH(D$4,'IS Proforma'!$4:$4))</f>
        <v>2037</v>
      </c>
      <c r="E130" s="247">
        <f t="array" ref="E130">INDEX('IS Proforma'!$1:$1048490,MATCH($A130,'IS Proforma'!$C:$C,0),MATCH(E$4,'IS Proforma'!$4:$4))</f>
        <v>1634</v>
      </c>
      <c r="F130" s="247">
        <f t="array" ref="F130">INDEX('IS Proforma'!$1:$1048490,MATCH($A130,'IS Proforma'!$C:$C,0),MATCH(F$4,'IS Proforma'!$4:$4))</f>
        <v>1865</v>
      </c>
      <c r="G130" s="247">
        <f t="array" ref="G130">INDEX('IS Proforma'!$1:$1048490,MATCH($A130,'IS Proforma'!$C:$C,0),MATCH(G$4,'IS Proforma'!$4:$4))</f>
        <v>1601</v>
      </c>
      <c r="H130" s="247">
        <f t="array" ref="H130">INDEX('IS Proforma'!$1:$1048490,MATCH($A130,'IS Proforma'!$C:$C,0),MATCH(H$4,'IS Proforma'!$4:$4))</f>
        <v>1154</v>
      </c>
      <c r="I130" s="247">
        <f t="array" ref="I130">INDEX('IS Proforma'!$1:$1048490,MATCH($A130,'IS Proforma'!$C:$C,0),MATCH(I$4,'IS Proforma'!$4:$4))</f>
        <v>2454</v>
      </c>
      <c r="J130" s="247">
        <f t="array" ref="J130">INDEX('IS Proforma'!$1:$1048490,MATCH($A130,'IS Proforma'!$C:$C,0),MATCH(J$4,'IS Proforma'!$4:$4))</f>
        <v>2140</v>
      </c>
      <c r="K130" s="247">
        <f t="array" ref="K130">INDEX('IS Proforma'!$1:$1048490,MATCH($A130,'IS Proforma'!$C:$C,0),MATCH(K$4,'IS Proforma'!$4:$4))</f>
        <v>1673</v>
      </c>
      <c r="L130" s="247">
        <f t="array" ref="L130">INDEX('IS Proforma'!$1:$1048490,MATCH($A130,'IS Proforma'!$C:$C,0),MATCH(L$4,'IS Proforma'!$4:$4))</f>
        <v>1940</v>
      </c>
      <c r="M130" s="247">
        <f t="array" ref="M130">INDEX('IS Proforma'!$1:$1048490,MATCH($A130,'IS Proforma'!$C:$C,0),MATCH(M$4,'IS Proforma'!$4:$4))</f>
        <v>1188</v>
      </c>
      <c r="N130" s="247">
        <f t="array" ref="N130">INDEX('IS Proforma'!$1:$1048490,MATCH($A130,'IS Proforma'!$C:$C,0),MATCH(N$4,'IS Proforma'!$4:$4))</f>
        <v>2040</v>
      </c>
      <c r="O130" s="247">
        <f t="array" ref="O130">INDEX('IS Proforma'!$1:$1048490,MATCH($A130,'IS Proforma'!$C:$C,0),MATCH(O$4,'IS Proforma'!$4:$4))</f>
        <v>2164</v>
      </c>
      <c r="P130" s="247">
        <f t="array" ref="P130">INDEX('IS Proforma'!$1:$1048490,MATCH($A130,'IS Proforma'!$C:$C,0),MATCH(P$4,'IS Proforma'!$4:$4))</f>
        <v>2083</v>
      </c>
      <c r="Q130" s="247">
        <f t="array" ref="Q130">INDEX('IS Proforma'!$1:$1048490,MATCH($A130,'IS Proforma'!$C:$C,0),MATCH(Q$4,'IS Proforma'!$4:$4))</f>
        <v>2478</v>
      </c>
      <c r="R130" s="247">
        <f t="array" ref="R130">INDEX('IS Proforma'!$1:$1048490,MATCH($A130,'IS Proforma'!$C:$C,0),MATCH(R$4,'IS Proforma'!$4:$4))</f>
        <v>1203</v>
      </c>
      <c r="S130" s="246">
        <f t="shared" ref="S130:CA130" si="118">S129*S$116</f>
        <v>1301.049526</v>
      </c>
      <c r="T130" s="246">
        <f t="shared" si="118"/>
        <v>1532.319329</v>
      </c>
      <c r="U130" s="246">
        <f t="shared" si="118"/>
        <v>1760.871</v>
      </c>
      <c r="V130" s="246">
        <f t="shared" si="118"/>
        <v>1970.175753</v>
      </c>
      <c r="W130" s="246">
        <f t="shared" si="118"/>
        <v>2170.602508</v>
      </c>
      <c r="X130" s="246">
        <f t="shared" si="118"/>
        <v>2369.743247</v>
      </c>
      <c r="Y130" s="246">
        <f t="shared" si="118"/>
        <v>2570.058322</v>
      </c>
      <c r="Z130" s="246">
        <f t="shared" si="118"/>
        <v>2750.631523</v>
      </c>
      <c r="AA130" s="246">
        <f t="shared" si="118"/>
        <v>2927.719281</v>
      </c>
      <c r="AB130" s="246">
        <f t="shared" si="118"/>
        <v>3101.099108</v>
      </c>
      <c r="AC130" s="246">
        <f t="shared" si="118"/>
        <v>3262.274321</v>
      </c>
      <c r="AD130" s="246">
        <f t="shared" si="118"/>
        <v>3421.893582</v>
      </c>
      <c r="AE130" s="246">
        <f t="shared" si="118"/>
        <v>3583.522647</v>
      </c>
      <c r="AF130" s="246">
        <f t="shared" si="118"/>
        <v>3743.20077</v>
      </c>
      <c r="AG130" s="246">
        <f t="shared" si="118"/>
        <v>3771.63902</v>
      </c>
      <c r="AH130" s="246">
        <f t="shared" si="118"/>
        <v>3811.510845</v>
      </c>
      <c r="AI130" s="246">
        <f t="shared" si="118"/>
        <v>3863.192929</v>
      </c>
      <c r="AJ130" s="246">
        <f t="shared" si="118"/>
        <v>3918.060296</v>
      </c>
      <c r="AK130" s="246">
        <f t="shared" si="118"/>
        <v>3975.124608</v>
      </c>
      <c r="AL130" s="246">
        <f t="shared" si="118"/>
        <v>4031.565283</v>
      </c>
      <c r="AM130" s="246">
        <f t="shared" si="118"/>
        <v>4099.704439</v>
      </c>
      <c r="AN130" s="246">
        <f t="shared" si="118"/>
        <v>4154.701167</v>
      </c>
      <c r="AO130" s="246">
        <f t="shared" si="118"/>
        <v>4208.91709</v>
      </c>
      <c r="AP130" s="246">
        <f t="shared" si="118"/>
        <v>4262.383482</v>
      </c>
      <c r="AQ130" s="246">
        <f t="shared" si="118"/>
        <v>4315.136683</v>
      </c>
      <c r="AR130" s="246">
        <f t="shared" si="118"/>
        <v>4430.041937</v>
      </c>
      <c r="AS130" s="246">
        <f t="shared" si="118"/>
        <v>4516.537413</v>
      </c>
      <c r="AT130" s="246">
        <f t="shared" si="118"/>
        <v>4600.366158</v>
      </c>
      <c r="AU130" s="246">
        <f t="shared" si="118"/>
        <v>4682.037686</v>
      </c>
      <c r="AV130" s="246">
        <f t="shared" si="118"/>
        <v>4761.881426</v>
      </c>
      <c r="AW130" s="246">
        <f t="shared" si="118"/>
        <v>4840.109547</v>
      </c>
      <c r="AX130" s="246">
        <f t="shared" si="118"/>
        <v>4916.883794</v>
      </c>
      <c r="AY130" s="246">
        <f t="shared" si="118"/>
        <v>4992.336072</v>
      </c>
      <c r="AZ130" s="246">
        <f t="shared" si="118"/>
        <v>5066.577726</v>
      </c>
      <c r="BA130" s="246">
        <f t="shared" si="118"/>
        <v>5139.704944</v>
      </c>
      <c r="BB130" s="246">
        <f t="shared" si="118"/>
        <v>5211.802364</v>
      </c>
      <c r="BC130" s="246">
        <f t="shared" si="118"/>
        <v>5282.945638</v>
      </c>
      <c r="BD130" s="246">
        <f t="shared" si="118"/>
        <v>5385.765301</v>
      </c>
      <c r="BE130" s="246">
        <f t="shared" si="118"/>
        <v>5465.576988</v>
      </c>
      <c r="BF130" s="246">
        <f t="shared" si="118"/>
        <v>5537.858335</v>
      </c>
      <c r="BG130" s="246">
        <f t="shared" si="118"/>
        <v>5608.711234</v>
      </c>
      <c r="BH130" s="246">
        <f t="shared" si="118"/>
        <v>5679.213299</v>
      </c>
      <c r="BI130" s="246">
        <f t="shared" si="118"/>
        <v>5749.39164</v>
      </c>
      <c r="BJ130" s="246">
        <f t="shared" si="118"/>
        <v>5819.292994</v>
      </c>
      <c r="BK130" s="246">
        <f t="shared" si="118"/>
        <v>5888.962515</v>
      </c>
      <c r="BL130" s="246">
        <f t="shared" si="118"/>
        <v>5958.442954</v>
      </c>
      <c r="BM130" s="246">
        <f t="shared" si="118"/>
        <v>6027.775418</v>
      </c>
      <c r="BN130" s="246">
        <f t="shared" si="118"/>
        <v>6096.999833</v>
      </c>
      <c r="BO130" s="246">
        <f t="shared" si="118"/>
        <v>6166.155179</v>
      </c>
      <c r="BP130" s="246">
        <f t="shared" si="118"/>
        <v>6260.727664</v>
      </c>
      <c r="BQ130" s="246">
        <f t="shared" si="118"/>
        <v>6304.931543</v>
      </c>
      <c r="BR130" s="246">
        <f t="shared" si="118"/>
        <v>6347.184155</v>
      </c>
      <c r="BS130" s="246">
        <f t="shared" si="118"/>
        <v>6391.642137</v>
      </c>
      <c r="BT130" s="246">
        <f t="shared" si="118"/>
        <v>6437.38462</v>
      </c>
      <c r="BU130" s="246">
        <f t="shared" si="118"/>
        <v>6483.719206</v>
      </c>
      <c r="BV130" s="246">
        <f t="shared" si="118"/>
        <v>6530.356292</v>
      </c>
      <c r="BW130" s="246">
        <f t="shared" si="118"/>
        <v>6577.147734</v>
      </c>
      <c r="BX130" s="246">
        <f t="shared" si="118"/>
        <v>6624.009895</v>
      </c>
      <c r="BY130" s="246">
        <f t="shared" si="118"/>
        <v>6670.894868</v>
      </c>
      <c r="BZ130" s="246">
        <f t="shared" si="118"/>
        <v>6717.777153</v>
      </c>
      <c r="CA130" s="246">
        <f t="shared" si="118"/>
        <v>6764.646305</v>
      </c>
    </row>
    <row r="131" ht="15.75" customHeight="1">
      <c r="A131" s="132"/>
      <c r="B131" s="260"/>
      <c r="C131" s="260"/>
      <c r="D131" s="260"/>
      <c r="E131" s="260"/>
      <c r="F131" s="260"/>
      <c r="G131" s="253"/>
      <c r="H131" s="266"/>
      <c r="I131" s="266"/>
      <c r="J131" s="266"/>
      <c r="K131" s="266"/>
      <c r="L131" s="26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row>
    <row r="132" ht="15.75" customHeight="1">
      <c r="A132" s="91" t="s">
        <v>460</v>
      </c>
      <c r="B132" s="263">
        <f t="shared" ref="B132:R132" si="119">B133/B$116</f>
        <v>0.001132953405</v>
      </c>
      <c r="C132" s="263">
        <f t="shared" si="119"/>
        <v>0.00161966173</v>
      </c>
      <c r="D132" s="263">
        <f t="shared" si="119"/>
        <v>0.001543686065</v>
      </c>
      <c r="E132" s="263">
        <f t="shared" si="119"/>
        <v>0.001373331202</v>
      </c>
      <c r="F132" s="263">
        <f t="shared" si="119"/>
        <v>0.001444709936</v>
      </c>
      <c r="G132" s="263">
        <f t="shared" si="119"/>
        <v>0.001003735285</v>
      </c>
      <c r="H132" s="263">
        <f t="shared" si="119"/>
        <v>0.001347427749</v>
      </c>
      <c r="I132" s="263">
        <f t="shared" si="119"/>
        <v>0.001410080989</v>
      </c>
      <c r="J132" s="263">
        <f t="shared" si="119"/>
        <v>0.001611964871</v>
      </c>
      <c r="K132" s="263">
        <f t="shared" si="119"/>
        <v>0.001911588632</v>
      </c>
      <c r="L132" s="263">
        <f t="shared" si="119"/>
        <v>0.0007530711297</v>
      </c>
      <c r="M132" s="263">
        <f t="shared" si="119"/>
        <v>0.001694974742</v>
      </c>
      <c r="N132" s="263">
        <f t="shared" si="119"/>
        <v>0.001489158833</v>
      </c>
      <c r="O132" s="263">
        <f t="shared" si="119"/>
        <v>0.00128404456</v>
      </c>
      <c r="P132" s="263">
        <f t="shared" si="119"/>
        <v>0.0007013303921</v>
      </c>
      <c r="Q132" s="263">
        <f t="shared" si="119"/>
        <v>0.001748801212</v>
      </c>
      <c r="R132" s="263">
        <f t="shared" si="119"/>
        <v>0.00132610798</v>
      </c>
      <c r="S132" s="266">
        <f t="shared" ref="S132:AE132" si="120">R132</f>
        <v>0.00132610798</v>
      </c>
      <c r="T132" s="266">
        <f t="shared" si="120"/>
        <v>0.00132610798</v>
      </c>
      <c r="U132" s="266">
        <f t="shared" si="120"/>
        <v>0.00132610798</v>
      </c>
      <c r="V132" s="266">
        <f t="shared" si="120"/>
        <v>0.00132610798</v>
      </c>
      <c r="W132" s="266">
        <f t="shared" si="120"/>
        <v>0.00132610798</v>
      </c>
      <c r="X132" s="266">
        <f t="shared" si="120"/>
        <v>0.00132610798</v>
      </c>
      <c r="Y132" s="266">
        <f t="shared" si="120"/>
        <v>0.00132610798</v>
      </c>
      <c r="Z132" s="266">
        <f t="shared" si="120"/>
        <v>0.00132610798</v>
      </c>
      <c r="AA132" s="266">
        <f t="shared" si="120"/>
        <v>0.00132610798</v>
      </c>
      <c r="AB132" s="266">
        <f t="shared" si="120"/>
        <v>0.00132610798</v>
      </c>
      <c r="AC132" s="266">
        <f t="shared" si="120"/>
        <v>0.00132610798</v>
      </c>
      <c r="AD132" s="266">
        <f t="shared" si="120"/>
        <v>0.00132610798</v>
      </c>
      <c r="AE132" s="266">
        <f t="shared" si="120"/>
        <v>0.00132610798</v>
      </c>
      <c r="AF132" s="266">
        <v>0.011</v>
      </c>
      <c r="AG132" s="266">
        <f t="shared" ref="AG132:AQ132" si="121">AF132</f>
        <v>0.011</v>
      </c>
      <c r="AH132" s="266">
        <f t="shared" si="121"/>
        <v>0.011</v>
      </c>
      <c r="AI132" s="266">
        <f t="shared" si="121"/>
        <v>0.011</v>
      </c>
      <c r="AJ132" s="266">
        <f t="shared" si="121"/>
        <v>0.011</v>
      </c>
      <c r="AK132" s="266">
        <f t="shared" si="121"/>
        <v>0.011</v>
      </c>
      <c r="AL132" s="266">
        <f t="shared" si="121"/>
        <v>0.011</v>
      </c>
      <c r="AM132" s="266">
        <f t="shared" si="121"/>
        <v>0.011</v>
      </c>
      <c r="AN132" s="266">
        <f t="shared" si="121"/>
        <v>0.011</v>
      </c>
      <c r="AO132" s="266">
        <f t="shared" si="121"/>
        <v>0.011</v>
      </c>
      <c r="AP132" s="266">
        <f t="shared" si="121"/>
        <v>0.011</v>
      </c>
      <c r="AQ132" s="266">
        <f t="shared" si="121"/>
        <v>0.011</v>
      </c>
      <c r="AR132" s="266">
        <v>0.0125</v>
      </c>
      <c r="AS132" s="266">
        <f t="shared" ref="AS132:BC132" si="122">AR132</f>
        <v>0.0125</v>
      </c>
      <c r="AT132" s="266">
        <f t="shared" si="122"/>
        <v>0.0125</v>
      </c>
      <c r="AU132" s="266">
        <f t="shared" si="122"/>
        <v>0.0125</v>
      </c>
      <c r="AV132" s="266">
        <f t="shared" si="122"/>
        <v>0.0125</v>
      </c>
      <c r="AW132" s="266">
        <f t="shared" si="122"/>
        <v>0.0125</v>
      </c>
      <c r="AX132" s="266">
        <f t="shared" si="122"/>
        <v>0.0125</v>
      </c>
      <c r="AY132" s="266">
        <f t="shared" si="122"/>
        <v>0.0125</v>
      </c>
      <c r="AZ132" s="266">
        <f t="shared" si="122"/>
        <v>0.0125</v>
      </c>
      <c r="BA132" s="266">
        <f t="shared" si="122"/>
        <v>0.0125</v>
      </c>
      <c r="BB132" s="266">
        <f t="shared" si="122"/>
        <v>0.0125</v>
      </c>
      <c r="BC132" s="266">
        <f t="shared" si="122"/>
        <v>0.0125</v>
      </c>
      <c r="BD132" s="266">
        <v>0.014</v>
      </c>
      <c r="BE132" s="266">
        <f t="shared" ref="BE132:BP132" si="123">BD132</f>
        <v>0.014</v>
      </c>
      <c r="BF132" s="266">
        <f t="shared" si="123"/>
        <v>0.014</v>
      </c>
      <c r="BG132" s="266">
        <f t="shared" si="123"/>
        <v>0.014</v>
      </c>
      <c r="BH132" s="266">
        <f t="shared" si="123"/>
        <v>0.014</v>
      </c>
      <c r="BI132" s="266">
        <f t="shared" si="123"/>
        <v>0.014</v>
      </c>
      <c r="BJ132" s="266">
        <f t="shared" si="123"/>
        <v>0.014</v>
      </c>
      <c r="BK132" s="266">
        <f t="shared" si="123"/>
        <v>0.014</v>
      </c>
      <c r="BL132" s="266">
        <f t="shared" si="123"/>
        <v>0.014</v>
      </c>
      <c r="BM132" s="266">
        <f t="shared" si="123"/>
        <v>0.014</v>
      </c>
      <c r="BN132" s="266">
        <f t="shared" si="123"/>
        <v>0.014</v>
      </c>
      <c r="BO132" s="266">
        <f t="shared" si="123"/>
        <v>0.014</v>
      </c>
      <c r="BP132" s="266">
        <f t="shared" si="123"/>
        <v>0.014</v>
      </c>
      <c r="BQ132" s="266">
        <v>0.015</v>
      </c>
      <c r="BR132" s="266">
        <f t="shared" ref="BR132:CA132" si="124">BQ132</f>
        <v>0.015</v>
      </c>
      <c r="BS132" s="266">
        <f t="shared" si="124"/>
        <v>0.015</v>
      </c>
      <c r="BT132" s="266">
        <f t="shared" si="124"/>
        <v>0.015</v>
      </c>
      <c r="BU132" s="266">
        <f t="shared" si="124"/>
        <v>0.015</v>
      </c>
      <c r="BV132" s="266">
        <f t="shared" si="124"/>
        <v>0.015</v>
      </c>
      <c r="BW132" s="266">
        <f t="shared" si="124"/>
        <v>0.015</v>
      </c>
      <c r="BX132" s="266">
        <f t="shared" si="124"/>
        <v>0.015</v>
      </c>
      <c r="BY132" s="266">
        <f t="shared" si="124"/>
        <v>0.015</v>
      </c>
      <c r="BZ132" s="266">
        <f t="shared" si="124"/>
        <v>0.015</v>
      </c>
      <c r="CA132" s="266">
        <f t="shared" si="124"/>
        <v>0.015</v>
      </c>
    </row>
    <row r="133" ht="15.75" customHeight="1">
      <c r="A133" s="132" t="s">
        <v>213</v>
      </c>
      <c r="B133" s="247">
        <f t="array" ref="B133">INDEX('IS Proforma'!$1:$1048490,MATCH($A133,'IS Proforma'!$C:$C,0),MATCH(B$4,'IS Proforma'!$4:$4))</f>
        <v>1327</v>
      </c>
      <c r="C133" s="247">
        <f t="array" ref="C133">INDEX('IS Proforma'!$1:$1048490,MATCH($A133,'IS Proforma'!$C:$C,0),MATCH(C$4,'IS Proforma'!$4:$4))</f>
        <v>1647</v>
      </c>
      <c r="D133" s="247">
        <f t="array" ref="D133">INDEX('IS Proforma'!$1:$1048490,MATCH($A133,'IS Proforma'!$C:$C,0),MATCH(D$4,'IS Proforma'!$4:$4))</f>
        <v>1851</v>
      </c>
      <c r="E133" s="247">
        <f t="array" ref="E133">INDEX('IS Proforma'!$1:$1048490,MATCH($A133,'IS Proforma'!$C:$C,0),MATCH(E$4,'IS Proforma'!$4:$4))</f>
        <v>1847</v>
      </c>
      <c r="F133" s="247">
        <f t="array" ref="F133">INDEX('IS Proforma'!$1:$1048490,MATCH($A133,'IS Proforma'!$C:$C,0),MATCH(F$4,'IS Proforma'!$4:$4))</f>
        <v>1751</v>
      </c>
      <c r="G133" s="247">
        <f t="array" ref="G133">INDEX('IS Proforma'!$1:$1048490,MATCH($A133,'IS Proforma'!$C:$C,0),MATCH(G$4,'IS Proforma'!$4:$4))</f>
        <v>1127</v>
      </c>
      <c r="H133" s="247">
        <f t="array" ref="H133">INDEX('IS Proforma'!$1:$1048490,MATCH($A133,'IS Proforma'!$C:$C,0),MATCH(H$4,'IS Proforma'!$4:$4))</f>
        <v>1815</v>
      </c>
      <c r="I133" s="247">
        <f t="array" ref="I133">INDEX('IS Proforma'!$1:$1048490,MATCH($A133,'IS Proforma'!$C:$C,0),MATCH(I$4,'IS Proforma'!$4:$4))</f>
        <v>1552</v>
      </c>
      <c r="J133" s="247">
        <f t="array" ref="J133">INDEX('IS Proforma'!$1:$1048490,MATCH($A133,'IS Proforma'!$C:$C,0),MATCH(J$4,'IS Proforma'!$4:$4))</f>
        <v>1970</v>
      </c>
      <c r="K133" s="247">
        <f t="array" ref="K133">INDEX('IS Proforma'!$1:$1048490,MATCH($A133,'IS Proforma'!$C:$C,0),MATCH(K$4,'IS Proforma'!$4:$4))</f>
        <v>2430</v>
      </c>
      <c r="L133" s="247">
        <f t="array" ref="L133">INDEX('IS Proforma'!$1:$1048490,MATCH($A133,'IS Proforma'!$C:$C,0),MATCH(L$4,'IS Proforma'!$4:$4))</f>
        <v>1027</v>
      </c>
      <c r="M133" s="247">
        <f t="array" ref="M133">INDEX('IS Proforma'!$1:$1048490,MATCH($A133,'IS Proforma'!$C:$C,0),MATCH(M$4,'IS Proforma'!$4:$4))</f>
        <v>1980</v>
      </c>
      <c r="N133" s="247">
        <f t="array" ref="N133">INDEX('IS Proforma'!$1:$1048490,MATCH($A133,'IS Proforma'!$C:$C,0),MATCH(N$4,'IS Proforma'!$4:$4))</f>
        <v>1971</v>
      </c>
      <c r="O133" s="247">
        <f t="array" ref="O133">INDEX('IS Proforma'!$1:$1048490,MATCH($A133,'IS Proforma'!$C:$C,0),MATCH(O$4,'IS Proforma'!$4:$4))</f>
        <v>1921</v>
      </c>
      <c r="P133" s="247">
        <f t="array" ref="P133">INDEX('IS Proforma'!$1:$1048490,MATCH($A133,'IS Proforma'!$C:$C,0),MATCH(P$4,'IS Proforma'!$4:$4))</f>
        <v>1018</v>
      </c>
      <c r="Q133" s="247">
        <f t="array" ref="Q133">INDEX('IS Proforma'!$1:$1048490,MATCH($A133,'IS Proforma'!$C:$C,0),MATCH(Q$4,'IS Proforma'!$4:$4))</f>
        <v>2209</v>
      </c>
      <c r="R133" s="247">
        <f t="array" ref="R133">INDEX('IS Proforma'!$1:$1048490,MATCH($A133,'IS Proforma'!$C:$C,0),MATCH(R$4,'IS Proforma'!$4:$4))</f>
        <v>1736</v>
      </c>
      <c r="S133" s="246">
        <f t="shared" ref="S133:CA133" si="125">S132*S$116</f>
        <v>1877.491253</v>
      </c>
      <c r="T133" s="246">
        <f t="shared" si="125"/>
        <v>2211.227228</v>
      </c>
      <c r="U133" s="246">
        <f t="shared" si="125"/>
        <v>2541.040778</v>
      </c>
      <c r="V133" s="246">
        <f t="shared" si="125"/>
        <v>2843.07989</v>
      </c>
      <c r="W133" s="246">
        <f t="shared" si="125"/>
        <v>3132.307526</v>
      </c>
      <c r="X133" s="246">
        <f t="shared" si="125"/>
        <v>3419.679366</v>
      </c>
      <c r="Y133" s="246">
        <f t="shared" si="125"/>
        <v>3708.745841</v>
      </c>
      <c r="Z133" s="246">
        <f t="shared" si="125"/>
        <v>3969.323628</v>
      </c>
      <c r="AA133" s="246">
        <f t="shared" si="125"/>
        <v>4224.871714</v>
      </c>
      <c r="AB133" s="246">
        <f t="shared" si="125"/>
        <v>4475.069038</v>
      </c>
      <c r="AC133" s="246">
        <f t="shared" si="125"/>
        <v>4707.654381</v>
      </c>
      <c r="AD133" s="246">
        <f t="shared" si="125"/>
        <v>4937.994396</v>
      </c>
      <c r="AE133" s="246">
        <f t="shared" si="125"/>
        <v>5171.234676</v>
      </c>
      <c r="AF133" s="246">
        <f t="shared" si="125"/>
        <v>44806.49905</v>
      </c>
      <c r="AG133" s="246">
        <f t="shared" si="125"/>
        <v>45146.90784</v>
      </c>
      <c r="AH133" s="246">
        <f t="shared" si="125"/>
        <v>45624.17769</v>
      </c>
      <c r="AI133" s="246">
        <f t="shared" si="125"/>
        <v>46242.81756</v>
      </c>
      <c r="AJ133" s="246">
        <f t="shared" si="125"/>
        <v>46899.5856</v>
      </c>
      <c r="AK133" s="246">
        <f t="shared" si="125"/>
        <v>47582.6513</v>
      </c>
      <c r="AL133" s="246">
        <f t="shared" si="125"/>
        <v>48258.25199</v>
      </c>
      <c r="AM133" s="246">
        <f t="shared" si="125"/>
        <v>49073.88472</v>
      </c>
      <c r="AN133" s="246">
        <f t="shared" si="125"/>
        <v>49732.20121</v>
      </c>
      <c r="AO133" s="246">
        <f t="shared" si="125"/>
        <v>50381.1714</v>
      </c>
      <c r="AP133" s="246">
        <f t="shared" si="125"/>
        <v>51021.16963</v>
      </c>
      <c r="AQ133" s="246">
        <f t="shared" si="125"/>
        <v>51652.63089</v>
      </c>
      <c r="AR133" s="246">
        <f t="shared" si="125"/>
        <v>60259.15752</v>
      </c>
      <c r="AS133" s="246">
        <f t="shared" si="125"/>
        <v>61435.7027</v>
      </c>
      <c r="AT133" s="246">
        <f t="shared" si="125"/>
        <v>62575.97397</v>
      </c>
      <c r="AU133" s="246">
        <f t="shared" si="125"/>
        <v>63686.90194</v>
      </c>
      <c r="AV133" s="246">
        <f t="shared" si="125"/>
        <v>64772.96761</v>
      </c>
      <c r="AW133" s="246">
        <f t="shared" si="125"/>
        <v>65837.05702</v>
      </c>
      <c r="AX133" s="246">
        <f t="shared" si="125"/>
        <v>66881.37025</v>
      </c>
      <c r="AY133" s="246">
        <f t="shared" si="125"/>
        <v>67907.70156</v>
      </c>
      <c r="AZ133" s="246">
        <f t="shared" si="125"/>
        <v>68917.56548</v>
      </c>
      <c r="BA133" s="246">
        <f t="shared" si="125"/>
        <v>69912.2704</v>
      </c>
      <c r="BB133" s="246">
        <f t="shared" si="125"/>
        <v>70892.96762</v>
      </c>
      <c r="BC133" s="246">
        <f t="shared" si="125"/>
        <v>71860.68617</v>
      </c>
      <c r="BD133" s="246">
        <f t="shared" si="125"/>
        <v>82050.39283</v>
      </c>
      <c r="BE133" s="246">
        <f t="shared" si="125"/>
        <v>83266.29807</v>
      </c>
      <c r="BF133" s="246">
        <f t="shared" si="125"/>
        <v>84367.48103</v>
      </c>
      <c r="BG133" s="246">
        <f t="shared" si="125"/>
        <v>85446.90202</v>
      </c>
      <c r="BH133" s="246">
        <f t="shared" si="125"/>
        <v>86520.97819</v>
      </c>
      <c r="BI133" s="246">
        <f t="shared" si="125"/>
        <v>87590.12252</v>
      </c>
      <c r="BJ133" s="246">
        <f t="shared" si="125"/>
        <v>88655.04705</v>
      </c>
      <c r="BK133" s="246">
        <f t="shared" si="125"/>
        <v>89716.43968</v>
      </c>
      <c r="BL133" s="246">
        <f t="shared" si="125"/>
        <v>90774.95169</v>
      </c>
      <c r="BM133" s="246">
        <f t="shared" si="125"/>
        <v>91831.20936</v>
      </c>
      <c r="BN133" s="246">
        <f t="shared" si="125"/>
        <v>92885.82095</v>
      </c>
      <c r="BO133" s="246">
        <f t="shared" si="125"/>
        <v>93939.38027</v>
      </c>
      <c r="BP133" s="246">
        <f t="shared" si="125"/>
        <v>95380.1615</v>
      </c>
      <c r="BQ133" s="246">
        <f t="shared" si="125"/>
        <v>102914.5643</v>
      </c>
      <c r="BR133" s="246">
        <f t="shared" si="125"/>
        <v>103604.2481</v>
      </c>
      <c r="BS133" s="246">
        <f t="shared" si="125"/>
        <v>104329.9298</v>
      </c>
      <c r="BT133" s="246">
        <f t="shared" si="125"/>
        <v>105076.5783</v>
      </c>
      <c r="BU133" s="246">
        <f t="shared" si="125"/>
        <v>105832.8917</v>
      </c>
      <c r="BV133" s="246">
        <f t="shared" si="125"/>
        <v>106594.1426</v>
      </c>
      <c r="BW133" s="246">
        <f t="shared" si="125"/>
        <v>107357.9132</v>
      </c>
      <c r="BX133" s="246">
        <f t="shared" si="125"/>
        <v>108122.838</v>
      </c>
      <c r="BY133" s="246">
        <f t="shared" si="125"/>
        <v>108888.1352</v>
      </c>
      <c r="BZ133" s="246">
        <f t="shared" si="125"/>
        <v>109653.3886</v>
      </c>
      <c r="CA133" s="246">
        <f t="shared" si="125"/>
        <v>110418.4276</v>
      </c>
    </row>
    <row r="134" ht="15.75" customHeight="1">
      <c r="A134" s="132"/>
      <c r="B134" s="260"/>
      <c r="C134" s="260"/>
      <c r="D134" s="260"/>
      <c r="E134" s="260"/>
      <c r="F134" s="260"/>
      <c r="G134" s="253"/>
      <c r="H134" s="266"/>
      <c r="I134" s="266"/>
      <c r="J134" s="266"/>
      <c r="K134" s="266"/>
      <c r="L134" s="26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row>
    <row r="135" ht="15.75" customHeight="1">
      <c r="A135" s="132" t="s">
        <v>461</v>
      </c>
      <c r="B135" s="247">
        <f>'Ops Departments'!J19</f>
        <v>4245</v>
      </c>
      <c r="C135" s="247">
        <f>'Ops Departments'!K19</f>
        <v>1674</v>
      </c>
      <c r="D135" s="247">
        <f>'Ops Departments'!L19</f>
        <v>3003</v>
      </c>
      <c r="E135" s="247">
        <f>'Ops Departments'!M19</f>
        <v>1231</v>
      </c>
      <c r="F135" s="247">
        <f>'Ops Departments'!N19</f>
        <v>764</v>
      </c>
      <c r="G135" s="247">
        <f>'Ops Departments'!O19</f>
        <v>2966</v>
      </c>
      <c r="H135" s="247">
        <f>'Ops Departments'!P19</f>
        <v>2301</v>
      </c>
      <c r="I135" s="247">
        <f>'Ops Departments'!Q19</f>
        <v>862</v>
      </c>
      <c r="J135" s="247">
        <f>'Ops Departments'!R19</f>
        <v>388</v>
      </c>
      <c r="K135" s="247">
        <f>'Ops Departments'!S19</f>
        <v>2098</v>
      </c>
      <c r="L135" s="247">
        <f>'Ops Departments'!T19</f>
        <v>913</v>
      </c>
      <c r="M135" s="247">
        <f>'Ops Departments'!U19</f>
        <v>1927</v>
      </c>
      <c r="N135" s="247">
        <f>'Ops Departments'!V19</f>
        <v>3165</v>
      </c>
      <c r="O135" s="246">
        <v>0.0</v>
      </c>
      <c r="P135" s="246">
        <v>0.0</v>
      </c>
      <c r="Q135" s="246">
        <v>0.0</v>
      </c>
      <c r="R135" s="246">
        <v>0.0</v>
      </c>
      <c r="S135" s="246">
        <f t="shared" ref="S135:CA135" si="126">SUM(P135:R135)/SUM(P$116:R$116)*S$116</f>
        <v>0</v>
      </c>
      <c r="T135" s="246">
        <f t="shared" si="126"/>
        <v>0</v>
      </c>
      <c r="U135" s="246">
        <f t="shared" si="126"/>
        <v>0</v>
      </c>
      <c r="V135" s="246">
        <f t="shared" si="126"/>
        <v>0</v>
      </c>
      <c r="W135" s="246">
        <f t="shared" si="126"/>
        <v>0</v>
      </c>
      <c r="X135" s="246">
        <f t="shared" si="126"/>
        <v>0</v>
      </c>
      <c r="Y135" s="246">
        <f t="shared" si="126"/>
        <v>0</v>
      </c>
      <c r="Z135" s="246">
        <f t="shared" si="126"/>
        <v>0</v>
      </c>
      <c r="AA135" s="246">
        <f t="shared" si="126"/>
        <v>0</v>
      </c>
      <c r="AB135" s="246">
        <f t="shared" si="126"/>
        <v>0</v>
      </c>
      <c r="AC135" s="246">
        <f t="shared" si="126"/>
        <v>0</v>
      </c>
      <c r="AD135" s="246">
        <f t="shared" si="126"/>
        <v>0</v>
      </c>
      <c r="AE135" s="246">
        <f t="shared" si="126"/>
        <v>0</v>
      </c>
      <c r="AF135" s="246">
        <f t="shared" si="126"/>
        <v>0</v>
      </c>
      <c r="AG135" s="246">
        <f t="shared" si="126"/>
        <v>0</v>
      </c>
      <c r="AH135" s="246">
        <f t="shared" si="126"/>
        <v>0</v>
      </c>
      <c r="AI135" s="246">
        <f t="shared" si="126"/>
        <v>0</v>
      </c>
      <c r="AJ135" s="246">
        <f t="shared" si="126"/>
        <v>0</v>
      </c>
      <c r="AK135" s="246">
        <f t="shared" si="126"/>
        <v>0</v>
      </c>
      <c r="AL135" s="246">
        <f t="shared" si="126"/>
        <v>0</v>
      </c>
      <c r="AM135" s="246">
        <f t="shared" si="126"/>
        <v>0</v>
      </c>
      <c r="AN135" s="246">
        <f t="shared" si="126"/>
        <v>0</v>
      </c>
      <c r="AO135" s="246">
        <f t="shared" si="126"/>
        <v>0</v>
      </c>
      <c r="AP135" s="246">
        <f t="shared" si="126"/>
        <v>0</v>
      </c>
      <c r="AQ135" s="246">
        <f t="shared" si="126"/>
        <v>0</v>
      </c>
      <c r="AR135" s="246">
        <f t="shared" si="126"/>
        <v>0</v>
      </c>
      <c r="AS135" s="246">
        <f t="shared" si="126"/>
        <v>0</v>
      </c>
      <c r="AT135" s="246">
        <f t="shared" si="126"/>
        <v>0</v>
      </c>
      <c r="AU135" s="246">
        <f t="shared" si="126"/>
        <v>0</v>
      </c>
      <c r="AV135" s="246">
        <f t="shared" si="126"/>
        <v>0</v>
      </c>
      <c r="AW135" s="246">
        <f t="shared" si="126"/>
        <v>0</v>
      </c>
      <c r="AX135" s="246">
        <f t="shared" si="126"/>
        <v>0</v>
      </c>
      <c r="AY135" s="246">
        <f t="shared" si="126"/>
        <v>0</v>
      </c>
      <c r="AZ135" s="246">
        <f t="shared" si="126"/>
        <v>0</v>
      </c>
      <c r="BA135" s="246">
        <f t="shared" si="126"/>
        <v>0</v>
      </c>
      <c r="BB135" s="246">
        <f t="shared" si="126"/>
        <v>0</v>
      </c>
      <c r="BC135" s="246">
        <f t="shared" si="126"/>
        <v>0</v>
      </c>
      <c r="BD135" s="246">
        <f t="shared" si="126"/>
        <v>0</v>
      </c>
      <c r="BE135" s="246">
        <f t="shared" si="126"/>
        <v>0</v>
      </c>
      <c r="BF135" s="246">
        <f t="shared" si="126"/>
        <v>0</v>
      </c>
      <c r="BG135" s="246">
        <f t="shared" si="126"/>
        <v>0</v>
      </c>
      <c r="BH135" s="246">
        <f t="shared" si="126"/>
        <v>0</v>
      </c>
      <c r="BI135" s="246">
        <f t="shared" si="126"/>
        <v>0</v>
      </c>
      <c r="BJ135" s="246">
        <f t="shared" si="126"/>
        <v>0</v>
      </c>
      <c r="BK135" s="246">
        <f t="shared" si="126"/>
        <v>0</v>
      </c>
      <c r="BL135" s="246">
        <f t="shared" si="126"/>
        <v>0</v>
      </c>
      <c r="BM135" s="246">
        <f t="shared" si="126"/>
        <v>0</v>
      </c>
      <c r="BN135" s="246">
        <f t="shared" si="126"/>
        <v>0</v>
      </c>
      <c r="BO135" s="246">
        <f t="shared" si="126"/>
        <v>0</v>
      </c>
      <c r="BP135" s="246">
        <f t="shared" si="126"/>
        <v>0</v>
      </c>
      <c r="BQ135" s="246">
        <f t="shared" si="126"/>
        <v>0</v>
      </c>
      <c r="BR135" s="246">
        <f t="shared" si="126"/>
        <v>0</v>
      </c>
      <c r="BS135" s="246">
        <f t="shared" si="126"/>
        <v>0</v>
      </c>
      <c r="BT135" s="246">
        <f t="shared" si="126"/>
        <v>0</v>
      </c>
      <c r="BU135" s="246">
        <f t="shared" si="126"/>
        <v>0</v>
      </c>
      <c r="BV135" s="246">
        <f t="shared" si="126"/>
        <v>0</v>
      </c>
      <c r="BW135" s="246">
        <f t="shared" si="126"/>
        <v>0</v>
      </c>
      <c r="BX135" s="246">
        <f t="shared" si="126"/>
        <v>0</v>
      </c>
      <c r="BY135" s="246">
        <f t="shared" si="126"/>
        <v>0</v>
      </c>
      <c r="BZ135" s="246">
        <f t="shared" si="126"/>
        <v>0</v>
      </c>
      <c r="CA135" s="246">
        <f t="shared" si="126"/>
        <v>0</v>
      </c>
    </row>
    <row r="136" ht="15.75" customHeight="1">
      <c r="A136" s="132" t="s">
        <v>462</v>
      </c>
      <c r="B136" s="247">
        <f>'Ops Departments'!J51</f>
        <v>2024</v>
      </c>
      <c r="C136" s="247">
        <f>'Ops Departments'!K51</f>
        <v>2203</v>
      </c>
      <c r="D136" s="247">
        <f>'Ops Departments'!L51</f>
        <v>1902</v>
      </c>
      <c r="E136" s="247">
        <f>'Ops Departments'!M51</f>
        <v>349</v>
      </c>
      <c r="F136" s="247">
        <f>'Ops Departments'!N51</f>
        <v>2054</v>
      </c>
      <c r="G136" s="247">
        <f>'Ops Departments'!O51</f>
        <v>4288</v>
      </c>
      <c r="H136" s="247">
        <f>'Ops Departments'!P51</f>
        <v>2720</v>
      </c>
      <c r="I136" s="247">
        <f>'Ops Departments'!Q51</f>
        <v>1618</v>
      </c>
      <c r="J136" s="247">
        <f>'Ops Departments'!R51</f>
        <v>1294</v>
      </c>
      <c r="K136" s="247">
        <f>'Ops Departments'!S51</f>
        <v>1726</v>
      </c>
      <c r="L136" s="247">
        <f>'Ops Departments'!T51</f>
        <v>2523</v>
      </c>
      <c r="M136" s="247">
        <f>'Ops Departments'!U51</f>
        <v>671</v>
      </c>
      <c r="N136" s="247">
        <f>'Ops Departments'!V51</f>
        <v>3722</v>
      </c>
      <c r="O136" s="246">
        <v>0.0</v>
      </c>
      <c r="P136" s="246">
        <v>0.0</v>
      </c>
      <c r="Q136" s="246">
        <v>0.0</v>
      </c>
      <c r="R136" s="246">
        <v>0.0</v>
      </c>
      <c r="S136" s="249">
        <f t="shared" ref="S136:CA136" si="127">R136</f>
        <v>0</v>
      </c>
      <c r="T136" s="249">
        <f t="shared" si="127"/>
        <v>0</v>
      </c>
      <c r="U136" s="249">
        <f t="shared" si="127"/>
        <v>0</v>
      </c>
      <c r="V136" s="249">
        <f t="shared" si="127"/>
        <v>0</v>
      </c>
      <c r="W136" s="249">
        <f t="shared" si="127"/>
        <v>0</v>
      </c>
      <c r="X136" s="249">
        <f t="shared" si="127"/>
        <v>0</v>
      </c>
      <c r="Y136" s="249">
        <f t="shared" si="127"/>
        <v>0</v>
      </c>
      <c r="Z136" s="249">
        <f t="shared" si="127"/>
        <v>0</v>
      </c>
      <c r="AA136" s="249">
        <f t="shared" si="127"/>
        <v>0</v>
      </c>
      <c r="AB136" s="249">
        <f t="shared" si="127"/>
        <v>0</v>
      </c>
      <c r="AC136" s="249">
        <f t="shared" si="127"/>
        <v>0</v>
      </c>
      <c r="AD136" s="249">
        <f t="shared" si="127"/>
        <v>0</v>
      </c>
      <c r="AE136" s="249">
        <f t="shared" si="127"/>
        <v>0</v>
      </c>
      <c r="AF136" s="249">
        <f t="shared" si="127"/>
        <v>0</v>
      </c>
      <c r="AG136" s="249">
        <f t="shared" si="127"/>
        <v>0</v>
      </c>
      <c r="AH136" s="249">
        <f t="shared" si="127"/>
        <v>0</v>
      </c>
      <c r="AI136" s="249">
        <f t="shared" si="127"/>
        <v>0</v>
      </c>
      <c r="AJ136" s="249">
        <f t="shared" si="127"/>
        <v>0</v>
      </c>
      <c r="AK136" s="249">
        <f t="shared" si="127"/>
        <v>0</v>
      </c>
      <c r="AL136" s="249">
        <f t="shared" si="127"/>
        <v>0</v>
      </c>
      <c r="AM136" s="249">
        <f t="shared" si="127"/>
        <v>0</v>
      </c>
      <c r="AN136" s="249">
        <f t="shared" si="127"/>
        <v>0</v>
      </c>
      <c r="AO136" s="249">
        <f t="shared" si="127"/>
        <v>0</v>
      </c>
      <c r="AP136" s="249">
        <f t="shared" si="127"/>
        <v>0</v>
      </c>
      <c r="AQ136" s="249">
        <f t="shared" si="127"/>
        <v>0</v>
      </c>
      <c r="AR136" s="249">
        <f t="shared" si="127"/>
        <v>0</v>
      </c>
      <c r="AS136" s="249">
        <f t="shared" si="127"/>
        <v>0</v>
      </c>
      <c r="AT136" s="249">
        <f t="shared" si="127"/>
        <v>0</v>
      </c>
      <c r="AU136" s="249">
        <f t="shared" si="127"/>
        <v>0</v>
      </c>
      <c r="AV136" s="249">
        <f t="shared" si="127"/>
        <v>0</v>
      </c>
      <c r="AW136" s="249">
        <f t="shared" si="127"/>
        <v>0</v>
      </c>
      <c r="AX136" s="249">
        <f t="shared" si="127"/>
        <v>0</v>
      </c>
      <c r="AY136" s="249">
        <f t="shared" si="127"/>
        <v>0</v>
      </c>
      <c r="AZ136" s="249">
        <f t="shared" si="127"/>
        <v>0</v>
      </c>
      <c r="BA136" s="249">
        <f t="shared" si="127"/>
        <v>0</v>
      </c>
      <c r="BB136" s="249">
        <f t="shared" si="127"/>
        <v>0</v>
      </c>
      <c r="BC136" s="249">
        <f t="shared" si="127"/>
        <v>0</v>
      </c>
      <c r="BD136" s="249">
        <f t="shared" si="127"/>
        <v>0</v>
      </c>
      <c r="BE136" s="249">
        <f t="shared" si="127"/>
        <v>0</v>
      </c>
      <c r="BF136" s="249">
        <f t="shared" si="127"/>
        <v>0</v>
      </c>
      <c r="BG136" s="249">
        <f t="shared" si="127"/>
        <v>0</v>
      </c>
      <c r="BH136" s="249">
        <f t="shared" si="127"/>
        <v>0</v>
      </c>
      <c r="BI136" s="249">
        <f t="shared" si="127"/>
        <v>0</v>
      </c>
      <c r="BJ136" s="249">
        <f t="shared" si="127"/>
        <v>0</v>
      </c>
      <c r="BK136" s="249">
        <f t="shared" si="127"/>
        <v>0</v>
      </c>
      <c r="BL136" s="249">
        <f t="shared" si="127"/>
        <v>0</v>
      </c>
      <c r="BM136" s="249">
        <f t="shared" si="127"/>
        <v>0</v>
      </c>
      <c r="BN136" s="249">
        <f t="shared" si="127"/>
        <v>0</v>
      </c>
      <c r="BO136" s="249">
        <f t="shared" si="127"/>
        <v>0</v>
      </c>
      <c r="BP136" s="249">
        <f t="shared" si="127"/>
        <v>0</v>
      </c>
      <c r="BQ136" s="249">
        <f t="shared" si="127"/>
        <v>0</v>
      </c>
      <c r="BR136" s="249">
        <f t="shared" si="127"/>
        <v>0</v>
      </c>
      <c r="BS136" s="249">
        <f t="shared" si="127"/>
        <v>0</v>
      </c>
      <c r="BT136" s="249">
        <f t="shared" si="127"/>
        <v>0</v>
      </c>
      <c r="BU136" s="249">
        <f t="shared" si="127"/>
        <v>0</v>
      </c>
      <c r="BV136" s="249">
        <f t="shared" si="127"/>
        <v>0</v>
      </c>
      <c r="BW136" s="249">
        <f t="shared" si="127"/>
        <v>0</v>
      </c>
      <c r="BX136" s="249">
        <f t="shared" si="127"/>
        <v>0</v>
      </c>
      <c r="BY136" s="249">
        <f t="shared" si="127"/>
        <v>0</v>
      </c>
      <c r="BZ136" s="249">
        <f t="shared" si="127"/>
        <v>0</v>
      </c>
      <c r="CA136" s="249">
        <f t="shared" si="127"/>
        <v>0</v>
      </c>
    </row>
    <row r="137" ht="15.75" customHeight="1">
      <c r="A137" s="132" t="s">
        <v>463</v>
      </c>
      <c r="B137" s="247">
        <f>'Ops Departments'!J83</f>
        <v>1842</v>
      </c>
      <c r="C137" s="247">
        <f>'Ops Departments'!K83</f>
        <v>4931</v>
      </c>
      <c r="D137" s="247">
        <f>'Ops Departments'!L83</f>
        <v>1285</v>
      </c>
      <c r="E137" s="247">
        <f>'Ops Departments'!M83</f>
        <v>1475</v>
      </c>
      <c r="F137" s="247">
        <f>'Ops Departments'!N83</f>
        <v>2628</v>
      </c>
      <c r="G137" s="247">
        <f>'Ops Departments'!O83</f>
        <v>2776</v>
      </c>
      <c r="H137" s="247">
        <f>'Ops Departments'!P83</f>
        <v>4538</v>
      </c>
      <c r="I137" s="247">
        <f>'Ops Departments'!Q83</f>
        <v>4401</v>
      </c>
      <c r="J137" s="249">
        <f t="shared" ref="J137:N137" si="128">I137</f>
        <v>4401</v>
      </c>
      <c r="K137" s="249">
        <f t="shared" si="128"/>
        <v>4401</v>
      </c>
      <c r="L137" s="249">
        <f t="shared" si="128"/>
        <v>4401</v>
      </c>
      <c r="M137" s="249">
        <f t="shared" si="128"/>
        <v>4401</v>
      </c>
      <c r="N137" s="249">
        <f t="shared" si="128"/>
        <v>4401</v>
      </c>
      <c r="O137" s="246">
        <v>0.0</v>
      </c>
      <c r="P137" s="246">
        <v>0.0</v>
      </c>
      <c r="Q137" s="246">
        <v>0.0</v>
      </c>
      <c r="R137" s="246">
        <v>0.0</v>
      </c>
      <c r="S137" s="249">
        <f t="shared" ref="S137:CA137" si="129">R137</f>
        <v>0</v>
      </c>
      <c r="T137" s="249">
        <f t="shared" si="129"/>
        <v>0</v>
      </c>
      <c r="U137" s="249">
        <f t="shared" si="129"/>
        <v>0</v>
      </c>
      <c r="V137" s="249">
        <f t="shared" si="129"/>
        <v>0</v>
      </c>
      <c r="W137" s="249">
        <f t="shared" si="129"/>
        <v>0</v>
      </c>
      <c r="X137" s="249">
        <f t="shared" si="129"/>
        <v>0</v>
      </c>
      <c r="Y137" s="249">
        <f t="shared" si="129"/>
        <v>0</v>
      </c>
      <c r="Z137" s="249">
        <f t="shared" si="129"/>
        <v>0</v>
      </c>
      <c r="AA137" s="249">
        <f t="shared" si="129"/>
        <v>0</v>
      </c>
      <c r="AB137" s="249">
        <f t="shared" si="129"/>
        <v>0</v>
      </c>
      <c r="AC137" s="249">
        <f t="shared" si="129"/>
        <v>0</v>
      </c>
      <c r="AD137" s="249">
        <f t="shared" si="129"/>
        <v>0</v>
      </c>
      <c r="AE137" s="249">
        <f t="shared" si="129"/>
        <v>0</v>
      </c>
      <c r="AF137" s="249">
        <f t="shared" si="129"/>
        <v>0</v>
      </c>
      <c r="AG137" s="249">
        <f t="shared" si="129"/>
        <v>0</v>
      </c>
      <c r="AH137" s="249">
        <f t="shared" si="129"/>
        <v>0</v>
      </c>
      <c r="AI137" s="249">
        <f t="shared" si="129"/>
        <v>0</v>
      </c>
      <c r="AJ137" s="249">
        <f t="shared" si="129"/>
        <v>0</v>
      </c>
      <c r="AK137" s="249">
        <f t="shared" si="129"/>
        <v>0</v>
      </c>
      <c r="AL137" s="249">
        <f t="shared" si="129"/>
        <v>0</v>
      </c>
      <c r="AM137" s="249">
        <f t="shared" si="129"/>
        <v>0</v>
      </c>
      <c r="AN137" s="249">
        <f t="shared" si="129"/>
        <v>0</v>
      </c>
      <c r="AO137" s="249">
        <f t="shared" si="129"/>
        <v>0</v>
      </c>
      <c r="AP137" s="249">
        <f t="shared" si="129"/>
        <v>0</v>
      </c>
      <c r="AQ137" s="249">
        <f t="shared" si="129"/>
        <v>0</v>
      </c>
      <c r="AR137" s="249">
        <f t="shared" si="129"/>
        <v>0</v>
      </c>
      <c r="AS137" s="249">
        <f t="shared" si="129"/>
        <v>0</v>
      </c>
      <c r="AT137" s="249">
        <f t="shared" si="129"/>
        <v>0</v>
      </c>
      <c r="AU137" s="249">
        <f t="shared" si="129"/>
        <v>0</v>
      </c>
      <c r="AV137" s="249">
        <f t="shared" si="129"/>
        <v>0</v>
      </c>
      <c r="AW137" s="249">
        <f t="shared" si="129"/>
        <v>0</v>
      </c>
      <c r="AX137" s="249">
        <f t="shared" si="129"/>
        <v>0</v>
      </c>
      <c r="AY137" s="249">
        <f t="shared" si="129"/>
        <v>0</v>
      </c>
      <c r="AZ137" s="249">
        <f t="shared" si="129"/>
        <v>0</v>
      </c>
      <c r="BA137" s="249">
        <f t="shared" si="129"/>
        <v>0</v>
      </c>
      <c r="BB137" s="249">
        <f t="shared" si="129"/>
        <v>0</v>
      </c>
      <c r="BC137" s="249">
        <f t="shared" si="129"/>
        <v>0</v>
      </c>
      <c r="BD137" s="249">
        <f t="shared" si="129"/>
        <v>0</v>
      </c>
      <c r="BE137" s="249">
        <f t="shared" si="129"/>
        <v>0</v>
      </c>
      <c r="BF137" s="249">
        <f t="shared" si="129"/>
        <v>0</v>
      </c>
      <c r="BG137" s="249">
        <f t="shared" si="129"/>
        <v>0</v>
      </c>
      <c r="BH137" s="249">
        <f t="shared" si="129"/>
        <v>0</v>
      </c>
      <c r="BI137" s="249">
        <f t="shared" si="129"/>
        <v>0</v>
      </c>
      <c r="BJ137" s="249">
        <f t="shared" si="129"/>
        <v>0</v>
      </c>
      <c r="BK137" s="249">
        <f t="shared" si="129"/>
        <v>0</v>
      </c>
      <c r="BL137" s="249">
        <f t="shared" si="129"/>
        <v>0</v>
      </c>
      <c r="BM137" s="249">
        <f t="shared" si="129"/>
        <v>0</v>
      </c>
      <c r="BN137" s="249">
        <f t="shared" si="129"/>
        <v>0</v>
      </c>
      <c r="BO137" s="249">
        <f t="shared" si="129"/>
        <v>0</v>
      </c>
      <c r="BP137" s="249">
        <f t="shared" si="129"/>
        <v>0</v>
      </c>
      <c r="BQ137" s="249">
        <f t="shared" si="129"/>
        <v>0</v>
      </c>
      <c r="BR137" s="249">
        <f t="shared" si="129"/>
        <v>0</v>
      </c>
      <c r="BS137" s="249">
        <f t="shared" si="129"/>
        <v>0</v>
      </c>
      <c r="BT137" s="249">
        <f t="shared" si="129"/>
        <v>0</v>
      </c>
      <c r="BU137" s="249">
        <f t="shared" si="129"/>
        <v>0</v>
      </c>
      <c r="BV137" s="249">
        <f t="shared" si="129"/>
        <v>0</v>
      </c>
      <c r="BW137" s="249">
        <f t="shared" si="129"/>
        <v>0</v>
      </c>
      <c r="BX137" s="249">
        <f t="shared" si="129"/>
        <v>0</v>
      </c>
      <c r="BY137" s="249">
        <f t="shared" si="129"/>
        <v>0</v>
      </c>
      <c r="BZ137" s="249">
        <f t="shared" si="129"/>
        <v>0</v>
      </c>
      <c r="CA137" s="249">
        <f t="shared" si="129"/>
        <v>0</v>
      </c>
    </row>
    <row r="138" ht="15.75" customHeight="1">
      <c r="A138" s="132" t="s">
        <v>464</v>
      </c>
      <c r="B138" s="247">
        <f>'Ops Departments'!J115</f>
        <v>2607</v>
      </c>
      <c r="C138" s="247">
        <f>'Ops Departments'!K115</f>
        <v>2765</v>
      </c>
      <c r="D138" s="247">
        <f>'Ops Departments'!L115</f>
        <v>4719</v>
      </c>
      <c r="E138" s="247">
        <f>'Ops Departments'!M115</f>
        <v>4445</v>
      </c>
      <c r="F138" s="247">
        <f>'Ops Departments'!N115</f>
        <v>3911</v>
      </c>
      <c r="G138" s="247">
        <f>'Ops Departments'!O115</f>
        <v>2504</v>
      </c>
      <c r="H138" s="247">
        <f>'Ops Departments'!P115</f>
        <v>4951</v>
      </c>
      <c r="I138" s="247">
        <f>'Ops Departments'!Q115</f>
        <v>3064</v>
      </c>
      <c r="J138" s="249">
        <f t="shared" ref="J138:N138" si="130">I138</f>
        <v>3064</v>
      </c>
      <c r="K138" s="249">
        <f t="shared" si="130"/>
        <v>3064</v>
      </c>
      <c r="L138" s="249">
        <f t="shared" si="130"/>
        <v>3064</v>
      </c>
      <c r="M138" s="249">
        <f t="shared" si="130"/>
        <v>3064</v>
      </c>
      <c r="N138" s="249">
        <f t="shared" si="130"/>
        <v>3064</v>
      </c>
      <c r="O138" s="246">
        <v>0.0</v>
      </c>
      <c r="P138" s="246">
        <v>0.0</v>
      </c>
      <c r="Q138" s="246">
        <v>0.0</v>
      </c>
      <c r="R138" s="246">
        <v>0.0</v>
      </c>
      <c r="S138" s="249">
        <f t="shared" ref="S138:CA138" si="131">R138</f>
        <v>0</v>
      </c>
      <c r="T138" s="249">
        <f t="shared" si="131"/>
        <v>0</v>
      </c>
      <c r="U138" s="249">
        <f t="shared" si="131"/>
        <v>0</v>
      </c>
      <c r="V138" s="249">
        <f t="shared" si="131"/>
        <v>0</v>
      </c>
      <c r="W138" s="249">
        <f t="shared" si="131"/>
        <v>0</v>
      </c>
      <c r="X138" s="249">
        <f t="shared" si="131"/>
        <v>0</v>
      </c>
      <c r="Y138" s="249">
        <f t="shared" si="131"/>
        <v>0</v>
      </c>
      <c r="Z138" s="249">
        <f t="shared" si="131"/>
        <v>0</v>
      </c>
      <c r="AA138" s="249">
        <f t="shared" si="131"/>
        <v>0</v>
      </c>
      <c r="AB138" s="249">
        <f t="shared" si="131"/>
        <v>0</v>
      </c>
      <c r="AC138" s="249">
        <f t="shared" si="131"/>
        <v>0</v>
      </c>
      <c r="AD138" s="249">
        <f t="shared" si="131"/>
        <v>0</v>
      </c>
      <c r="AE138" s="249">
        <f t="shared" si="131"/>
        <v>0</v>
      </c>
      <c r="AF138" s="249">
        <f t="shared" si="131"/>
        <v>0</v>
      </c>
      <c r="AG138" s="249">
        <f t="shared" si="131"/>
        <v>0</v>
      </c>
      <c r="AH138" s="249">
        <f t="shared" si="131"/>
        <v>0</v>
      </c>
      <c r="AI138" s="249">
        <f t="shared" si="131"/>
        <v>0</v>
      </c>
      <c r="AJ138" s="249">
        <f t="shared" si="131"/>
        <v>0</v>
      </c>
      <c r="AK138" s="249">
        <f t="shared" si="131"/>
        <v>0</v>
      </c>
      <c r="AL138" s="249">
        <f t="shared" si="131"/>
        <v>0</v>
      </c>
      <c r="AM138" s="249">
        <f t="shared" si="131"/>
        <v>0</v>
      </c>
      <c r="AN138" s="249">
        <f t="shared" si="131"/>
        <v>0</v>
      </c>
      <c r="AO138" s="249">
        <f t="shared" si="131"/>
        <v>0</v>
      </c>
      <c r="AP138" s="249">
        <f t="shared" si="131"/>
        <v>0</v>
      </c>
      <c r="AQ138" s="249">
        <f t="shared" si="131"/>
        <v>0</v>
      </c>
      <c r="AR138" s="249">
        <f t="shared" si="131"/>
        <v>0</v>
      </c>
      <c r="AS138" s="249">
        <f t="shared" si="131"/>
        <v>0</v>
      </c>
      <c r="AT138" s="249">
        <f t="shared" si="131"/>
        <v>0</v>
      </c>
      <c r="AU138" s="249">
        <f t="shared" si="131"/>
        <v>0</v>
      </c>
      <c r="AV138" s="249">
        <f t="shared" si="131"/>
        <v>0</v>
      </c>
      <c r="AW138" s="249">
        <f t="shared" si="131"/>
        <v>0</v>
      </c>
      <c r="AX138" s="249">
        <f t="shared" si="131"/>
        <v>0</v>
      </c>
      <c r="AY138" s="249">
        <f t="shared" si="131"/>
        <v>0</v>
      </c>
      <c r="AZ138" s="249">
        <f t="shared" si="131"/>
        <v>0</v>
      </c>
      <c r="BA138" s="249">
        <f t="shared" si="131"/>
        <v>0</v>
      </c>
      <c r="BB138" s="249">
        <f t="shared" si="131"/>
        <v>0</v>
      </c>
      <c r="BC138" s="249">
        <f t="shared" si="131"/>
        <v>0</v>
      </c>
      <c r="BD138" s="249">
        <f t="shared" si="131"/>
        <v>0</v>
      </c>
      <c r="BE138" s="249">
        <f t="shared" si="131"/>
        <v>0</v>
      </c>
      <c r="BF138" s="249">
        <f t="shared" si="131"/>
        <v>0</v>
      </c>
      <c r="BG138" s="249">
        <f t="shared" si="131"/>
        <v>0</v>
      </c>
      <c r="BH138" s="249">
        <f t="shared" si="131"/>
        <v>0</v>
      </c>
      <c r="BI138" s="249">
        <f t="shared" si="131"/>
        <v>0</v>
      </c>
      <c r="BJ138" s="249">
        <f t="shared" si="131"/>
        <v>0</v>
      </c>
      <c r="BK138" s="249">
        <f t="shared" si="131"/>
        <v>0</v>
      </c>
      <c r="BL138" s="249">
        <f t="shared" si="131"/>
        <v>0</v>
      </c>
      <c r="BM138" s="249">
        <f t="shared" si="131"/>
        <v>0</v>
      </c>
      <c r="BN138" s="249">
        <f t="shared" si="131"/>
        <v>0</v>
      </c>
      <c r="BO138" s="249">
        <f t="shared" si="131"/>
        <v>0</v>
      </c>
      <c r="BP138" s="249">
        <f t="shared" si="131"/>
        <v>0</v>
      </c>
      <c r="BQ138" s="249">
        <f t="shared" si="131"/>
        <v>0</v>
      </c>
      <c r="BR138" s="249">
        <f t="shared" si="131"/>
        <v>0</v>
      </c>
      <c r="BS138" s="249">
        <f t="shared" si="131"/>
        <v>0</v>
      </c>
      <c r="BT138" s="249">
        <f t="shared" si="131"/>
        <v>0</v>
      </c>
      <c r="BU138" s="249">
        <f t="shared" si="131"/>
        <v>0</v>
      </c>
      <c r="BV138" s="249">
        <f t="shared" si="131"/>
        <v>0</v>
      </c>
      <c r="BW138" s="249">
        <f t="shared" si="131"/>
        <v>0</v>
      </c>
      <c r="BX138" s="249">
        <f t="shared" si="131"/>
        <v>0</v>
      </c>
      <c r="BY138" s="249">
        <f t="shared" si="131"/>
        <v>0</v>
      </c>
      <c r="BZ138" s="249">
        <f t="shared" si="131"/>
        <v>0</v>
      </c>
      <c r="CA138" s="249">
        <f t="shared" si="131"/>
        <v>0</v>
      </c>
    </row>
    <row r="139" ht="15.75" customHeight="1">
      <c r="A139" s="132" t="s">
        <v>465</v>
      </c>
      <c r="B139" s="247">
        <f>'Ops Departments'!J181</f>
        <v>2292</v>
      </c>
      <c r="C139" s="247">
        <f>'Ops Departments'!K181</f>
        <v>337</v>
      </c>
      <c r="D139" s="247">
        <f>'Ops Departments'!L181</f>
        <v>2985</v>
      </c>
      <c r="E139" s="247">
        <f>'Ops Departments'!M181</f>
        <v>210</v>
      </c>
      <c r="F139" s="247">
        <f>'Ops Departments'!N181</f>
        <v>4386</v>
      </c>
      <c r="G139" s="247">
        <f>'Ops Departments'!O181</f>
        <v>4951</v>
      </c>
      <c r="H139" s="247">
        <f>'Ops Departments'!P181</f>
        <v>1277</v>
      </c>
      <c r="I139" s="247">
        <f>'Ops Departments'!Q181</f>
        <v>3413</v>
      </c>
      <c r="J139" s="249">
        <f t="shared" ref="J139:K139" si="132">I139</f>
        <v>3413</v>
      </c>
      <c r="K139" s="249">
        <f t="shared" si="132"/>
        <v>3413</v>
      </c>
      <c r="L139" s="249"/>
      <c r="M139" s="249"/>
      <c r="N139" s="249"/>
      <c r="O139" s="247">
        <f>'Ops Departments'!W181</f>
        <v>1652</v>
      </c>
      <c r="P139" s="247">
        <f>'Ops Departments'!X181</f>
        <v>4722</v>
      </c>
      <c r="Q139" s="247">
        <f>'Ops Departments'!Y181</f>
        <v>1853</v>
      </c>
      <c r="R139" s="247">
        <f>'Ops Departments'!Z181</f>
        <v>2084</v>
      </c>
      <c r="S139" s="246">
        <f>Summary!AM11*S140</f>
        <v>1186.441301</v>
      </c>
      <c r="T139" s="246">
        <f>Summary!AN11*T140</f>
        <v>1270.914108</v>
      </c>
      <c r="U139" s="246">
        <f>Summary!AO11*U140</f>
        <v>1346.203335</v>
      </c>
      <c r="V139" s="246">
        <f>Summary!AP11*V140</f>
        <v>1411.338309</v>
      </c>
      <c r="W139" s="246">
        <f>Summary!AQ11*W140</f>
        <v>1469.515195</v>
      </c>
      <c r="X139" s="246">
        <f>Summary!AR11*X140</f>
        <v>1500.232295</v>
      </c>
      <c r="Y139" s="246">
        <f>Summary!AS11*Y140</f>
        <v>1527.759174</v>
      </c>
      <c r="Z139" s="246">
        <f>Summary!AT11*Z140</f>
        <v>1545.002959</v>
      </c>
      <c r="AA139" s="246">
        <f>Summary!AU11*AA140</f>
        <v>1559.915933</v>
      </c>
      <c r="AB139" s="246">
        <f>Summary!AV11*AB140</f>
        <v>1579.540318</v>
      </c>
      <c r="AC139" s="246">
        <f>Summary!AW11*AC140</f>
        <v>1602.579883</v>
      </c>
      <c r="AD139" s="246">
        <f>Summary!AX11*AD140</f>
        <v>1622.707124</v>
      </c>
      <c r="AE139" s="246">
        <f>Summary!AY11*AE140</f>
        <v>1641.087428</v>
      </c>
      <c r="AF139" s="246">
        <f>Summary!AZ11*AF140</f>
        <v>1652.529221</v>
      </c>
      <c r="AG139" s="246">
        <f>Summary!BA11*AG140</f>
        <v>1668.328325</v>
      </c>
      <c r="AH139" s="246">
        <f>Summary!BB11*AH140</f>
        <v>1688.594432</v>
      </c>
      <c r="AI139" s="246">
        <f>Summary!BC11*AI140</f>
        <v>1706.589473</v>
      </c>
      <c r="AJ139" s="246">
        <f>Summary!BD11*AJ140</f>
        <v>1722.89484</v>
      </c>
      <c r="AK139" s="246">
        <f>Summary!BE11*AK140</f>
        <v>1739.281383</v>
      </c>
      <c r="AL139" s="246">
        <f>Summary!BF11*AL140</f>
        <v>1754.40569</v>
      </c>
      <c r="AM139" s="246">
        <f>Summary!BG11*AM140</f>
        <v>1768.594134</v>
      </c>
      <c r="AN139" s="246">
        <f>Summary!BH11*AN140</f>
        <v>1782.090577</v>
      </c>
      <c r="AO139" s="246">
        <f>Summary!BI11*AO140</f>
        <v>1795.077244</v>
      </c>
      <c r="AP139" s="246">
        <f>Summary!BJ11*AP140</f>
        <v>1807.690323</v>
      </c>
      <c r="AQ139" s="246">
        <f>Summary!BK11*AQ140</f>
        <v>1820.031607</v>
      </c>
      <c r="AR139" s="246">
        <f>Summary!BL11*AR140</f>
        <v>1836.368184</v>
      </c>
      <c r="AS139" s="246">
        <f>Summary!BM11*AS140</f>
        <v>1852.234939</v>
      </c>
      <c r="AT139" s="246">
        <f>Summary!BN11*AT140</f>
        <v>1867.041753</v>
      </c>
      <c r="AU139" s="246">
        <f>Summary!BO11*AU140</f>
        <v>1881.064159</v>
      </c>
      <c r="AV139" s="246">
        <f>Summary!BP11*AV140</f>
        <v>1894.508044</v>
      </c>
      <c r="AW139" s="246">
        <f>Summary!BQ11*AW140</f>
        <v>1907.527265</v>
      </c>
      <c r="AX139" s="246">
        <f>Summary!BR11*AX140</f>
        <v>1920.23682</v>
      </c>
      <c r="AY139" s="246">
        <f>Summary!BS11*AY140</f>
        <v>1932.722674</v>
      </c>
      <c r="AZ139" s="246">
        <f>Summary!BT11*AZ140</f>
        <v>1945.049107</v>
      </c>
      <c r="BA139" s="246">
        <f>Summary!BU11*BA140</f>
        <v>1957.264203</v>
      </c>
      <c r="BB139" s="246">
        <f>Summary!BV11*BB140</f>
        <v>1969.403944</v>
      </c>
      <c r="BC139" s="246">
        <f>Summary!BW11*BC140</f>
        <v>1981.495276</v>
      </c>
      <c r="BD139" s="246">
        <f>Summary!BX11*BD140</f>
        <v>2000.905443</v>
      </c>
      <c r="BE139" s="246">
        <f>Summary!BY11*BE140</f>
        <v>2019.851224</v>
      </c>
      <c r="BF139" s="246">
        <f>Summary!BZ11*BF140</f>
        <v>2035.227183</v>
      </c>
      <c r="BG139" s="246">
        <f>Summary!CA11*BG140</f>
        <v>2050.488425</v>
      </c>
      <c r="BH139" s="246">
        <f>Summary!CB11*BH140</f>
        <v>2065.675755</v>
      </c>
      <c r="BI139" s="246">
        <f>Summary!CC11*BI140</f>
        <v>2080.819857</v>
      </c>
      <c r="BJ139" s="246">
        <f>Summary!CD11*BJ140</f>
        <v>2095.943857</v>
      </c>
      <c r="BK139" s="246">
        <f>Summary!CE11*BK140</f>
        <v>2111.06524</v>
      </c>
      <c r="BL139" s="246">
        <f>Summary!CF11*BL140</f>
        <v>2126.197285</v>
      </c>
      <c r="BM139" s="246">
        <f>Summary!CG11*BM140</f>
        <v>2141.350131</v>
      </c>
      <c r="BN139" s="246">
        <f>Summary!CH11*BN140</f>
        <v>2156.531582</v>
      </c>
      <c r="BO139" s="246">
        <f>Summary!CI11*BO140</f>
        <v>2171.747701</v>
      </c>
      <c r="BP139" s="246">
        <f>Summary!CJ11*BP140</f>
        <v>2187.556415</v>
      </c>
      <c r="BQ139" s="246">
        <f>Summary!CK11*BQ140</f>
        <v>2185.073035</v>
      </c>
      <c r="BR139" s="246">
        <f>Summary!CL11*BR140</f>
        <v>2184.029775</v>
      </c>
      <c r="BS139" s="246">
        <f>Summary!CM11*BS140</f>
        <v>2186.707188</v>
      </c>
      <c r="BT139" s="246">
        <f>Summary!CN11*BT140</f>
        <v>2192.175271</v>
      </c>
      <c r="BU139" s="246">
        <f>Summary!CO11*BU140</f>
        <v>2199.73927</v>
      </c>
      <c r="BV139" s="246">
        <f>Summary!CP11*BV140</f>
        <v>2208.880163</v>
      </c>
      <c r="BW139" s="246">
        <f>Summary!CQ11*BW140</f>
        <v>2219.210203</v>
      </c>
      <c r="BX139" s="246">
        <f>Summary!CR11*BX140</f>
        <v>2230.439712</v>
      </c>
      <c r="BY139" s="246">
        <f>Summary!CS11*BY140</f>
        <v>2242.352268</v>
      </c>
      <c r="BZ139" s="246">
        <f>Summary!CT11*BZ140</f>
        <v>2254.786178</v>
      </c>
      <c r="CA139" s="246">
        <f>Summary!CU11*CA140</f>
        <v>2267.62063</v>
      </c>
    </row>
    <row r="140" ht="15.75" customHeight="1">
      <c r="A140" s="132" t="s">
        <v>466</v>
      </c>
      <c r="B140" s="247"/>
      <c r="C140" s="247"/>
      <c r="D140" s="247"/>
      <c r="E140" s="247"/>
      <c r="F140" s="247"/>
      <c r="G140" s="247"/>
      <c r="H140" s="247"/>
      <c r="I140" s="247"/>
      <c r="J140" s="247"/>
      <c r="K140" s="247"/>
      <c r="L140" s="247"/>
      <c r="M140" s="247"/>
      <c r="N140" s="247"/>
      <c r="O140" s="266"/>
      <c r="P140" s="266"/>
      <c r="Q140" s="266"/>
      <c r="R140" s="266"/>
      <c r="S140" s="266">
        <v>0.005</v>
      </c>
      <c r="T140" s="266">
        <v>0.005</v>
      </c>
      <c r="U140" s="266">
        <v>0.005</v>
      </c>
      <c r="V140" s="266">
        <v>0.005</v>
      </c>
      <c r="W140" s="266">
        <v>0.005</v>
      </c>
      <c r="X140" s="266">
        <v>0.005</v>
      </c>
      <c r="Y140" s="266">
        <v>0.005</v>
      </c>
      <c r="Z140" s="266">
        <v>0.005</v>
      </c>
      <c r="AA140" s="266">
        <v>0.005</v>
      </c>
      <c r="AB140" s="266">
        <v>0.005</v>
      </c>
      <c r="AC140" s="266">
        <v>0.005</v>
      </c>
      <c r="AD140" s="266">
        <v>0.005</v>
      </c>
      <c r="AE140" s="266">
        <v>0.005</v>
      </c>
      <c r="AF140" s="266">
        <v>0.005</v>
      </c>
      <c r="AG140" s="266">
        <v>0.005</v>
      </c>
      <c r="AH140" s="266">
        <v>0.005</v>
      </c>
      <c r="AI140" s="266">
        <v>0.005</v>
      </c>
      <c r="AJ140" s="266">
        <v>0.005</v>
      </c>
      <c r="AK140" s="266">
        <v>0.005</v>
      </c>
      <c r="AL140" s="266">
        <v>0.005</v>
      </c>
      <c r="AM140" s="266">
        <v>0.005</v>
      </c>
      <c r="AN140" s="266">
        <v>0.005</v>
      </c>
      <c r="AO140" s="266">
        <v>0.005</v>
      </c>
      <c r="AP140" s="266">
        <v>0.005</v>
      </c>
      <c r="AQ140" s="266">
        <v>0.005</v>
      </c>
      <c r="AR140" s="266">
        <v>0.005</v>
      </c>
      <c r="AS140" s="266">
        <v>0.005</v>
      </c>
      <c r="AT140" s="266">
        <v>0.005</v>
      </c>
      <c r="AU140" s="266">
        <v>0.005</v>
      </c>
      <c r="AV140" s="266">
        <v>0.005</v>
      </c>
      <c r="AW140" s="266">
        <v>0.005</v>
      </c>
      <c r="AX140" s="266">
        <v>0.005</v>
      </c>
      <c r="AY140" s="266">
        <v>0.005</v>
      </c>
      <c r="AZ140" s="266">
        <v>0.005</v>
      </c>
      <c r="BA140" s="266">
        <v>0.005</v>
      </c>
      <c r="BB140" s="266">
        <v>0.005</v>
      </c>
      <c r="BC140" s="266">
        <v>0.005</v>
      </c>
      <c r="BD140" s="266">
        <v>0.005</v>
      </c>
      <c r="BE140" s="266">
        <v>0.005</v>
      </c>
      <c r="BF140" s="266">
        <v>0.005</v>
      </c>
      <c r="BG140" s="266">
        <v>0.005</v>
      </c>
      <c r="BH140" s="266">
        <v>0.005</v>
      </c>
      <c r="BI140" s="266">
        <v>0.005</v>
      </c>
      <c r="BJ140" s="266">
        <v>0.005</v>
      </c>
      <c r="BK140" s="266">
        <v>0.005</v>
      </c>
      <c r="BL140" s="266">
        <v>0.005</v>
      </c>
      <c r="BM140" s="266">
        <v>0.005</v>
      </c>
      <c r="BN140" s="266">
        <v>0.005</v>
      </c>
      <c r="BO140" s="266">
        <v>0.005</v>
      </c>
      <c r="BP140" s="266">
        <v>0.005</v>
      </c>
      <c r="BQ140" s="266">
        <v>0.005</v>
      </c>
      <c r="BR140" s="266">
        <v>0.005</v>
      </c>
      <c r="BS140" s="266">
        <v>0.005</v>
      </c>
      <c r="BT140" s="266">
        <v>0.005</v>
      </c>
      <c r="BU140" s="266">
        <v>0.005</v>
      </c>
      <c r="BV140" s="266">
        <v>0.005</v>
      </c>
      <c r="BW140" s="266">
        <v>0.005</v>
      </c>
      <c r="BX140" s="266">
        <v>0.005</v>
      </c>
      <c r="BY140" s="266">
        <v>0.005</v>
      </c>
      <c r="BZ140" s="266">
        <v>0.005</v>
      </c>
      <c r="CA140" s="266">
        <v>0.005</v>
      </c>
    </row>
    <row r="141" ht="15.75" customHeight="1">
      <c r="A141" s="132" t="s">
        <v>467</v>
      </c>
      <c r="B141" s="247">
        <f>'Ops Departments'!J213</f>
        <v>4334</v>
      </c>
      <c r="C141" s="247">
        <f>'Ops Departments'!K213</f>
        <v>3930</v>
      </c>
      <c r="D141" s="247">
        <f>'Ops Departments'!L213</f>
        <v>4110</v>
      </c>
      <c r="E141" s="247">
        <f>'Ops Departments'!M213</f>
        <v>821</v>
      </c>
      <c r="F141" s="247">
        <f>'Ops Departments'!N213</f>
        <v>1764</v>
      </c>
      <c r="G141" s="247">
        <f>'Ops Departments'!O213</f>
        <v>3161</v>
      </c>
      <c r="H141" s="247">
        <f>'Ops Departments'!P213</f>
        <v>793</v>
      </c>
      <c r="I141" s="247">
        <f>'Ops Departments'!Q213</f>
        <v>3603</v>
      </c>
      <c r="J141" s="247">
        <f>'Ops Departments'!R213</f>
        <v>4418</v>
      </c>
      <c r="K141" s="247">
        <f>'Ops Departments'!S213</f>
        <v>3594</v>
      </c>
      <c r="L141" s="247">
        <f>'Ops Departments'!T213</f>
        <v>2630</v>
      </c>
      <c r="M141" s="247">
        <f>'Ops Departments'!U213</f>
        <v>1055</v>
      </c>
      <c r="N141" s="247">
        <f>'Ops Departments'!V213</f>
        <v>1138</v>
      </c>
      <c r="O141" s="247">
        <f>'Ops Departments'!W213</f>
        <v>1216</v>
      </c>
      <c r="P141" s="247">
        <f>'Ops Departments'!X213</f>
        <v>4706</v>
      </c>
      <c r="Q141" s="247">
        <f>'Ops Departments'!Y213</f>
        <v>3082</v>
      </c>
      <c r="R141" s="247">
        <f>'Ops Departments'!Z213</f>
        <v>2385</v>
      </c>
      <c r="S141" s="246">
        <f>Summary!AM12*S142</f>
        <v>250</v>
      </c>
      <c r="T141" s="246">
        <f>Summary!AN12*T142</f>
        <v>250</v>
      </c>
      <c r="U141" s="246">
        <f>Summary!AO12*U142</f>
        <v>250</v>
      </c>
      <c r="V141" s="246">
        <f>Summary!AP12*V142</f>
        <v>250</v>
      </c>
      <c r="W141" s="246">
        <f>Summary!AQ12*W142</f>
        <v>250</v>
      </c>
      <c r="X141" s="246">
        <f>Summary!AR12*X142</f>
        <v>250</v>
      </c>
      <c r="Y141" s="246">
        <f>Summary!AS12*Y142</f>
        <v>250</v>
      </c>
      <c r="Z141" s="246">
        <f>Summary!AT12*Z142</f>
        <v>250</v>
      </c>
      <c r="AA141" s="246">
        <f>Summary!AU12*AA142</f>
        <v>250</v>
      </c>
      <c r="AB141" s="246">
        <f>Summary!AV12*AB142</f>
        <v>250</v>
      </c>
      <c r="AC141" s="246">
        <f>Summary!AW12*AC142</f>
        <v>250</v>
      </c>
      <c r="AD141" s="246">
        <f>Summary!AX12*AD142</f>
        <v>250</v>
      </c>
      <c r="AE141" s="246">
        <f>Summary!AY12*AE142</f>
        <v>250</v>
      </c>
      <c r="AF141" s="246">
        <f>Summary!AZ12*AF142</f>
        <v>375</v>
      </c>
      <c r="AG141" s="246">
        <f>Summary!BA12*AG142</f>
        <v>375</v>
      </c>
      <c r="AH141" s="246">
        <f>Summary!BB12*AH142</f>
        <v>375</v>
      </c>
      <c r="AI141" s="246">
        <f>Summary!BC12*AI142</f>
        <v>375</v>
      </c>
      <c r="AJ141" s="246">
        <f>Summary!BD12*AJ142</f>
        <v>375</v>
      </c>
      <c r="AK141" s="246">
        <f>Summary!BE12*AK142</f>
        <v>375</v>
      </c>
      <c r="AL141" s="246">
        <f>Summary!BF12*AL142</f>
        <v>375</v>
      </c>
      <c r="AM141" s="246">
        <f>Summary!BG12*AM142</f>
        <v>375</v>
      </c>
      <c r="AN141" s="246">
        <f>Summary!BH12*AN142</f>
        <v>375</v>
      </c>
      <c r="AO141" s="246">
        <f>Summary!BI12*AO142</f>
        <v>375</v>
      </c>
      <c r="AP141" s="246">
        <f>Summary!BJ12*AP142</f>
        <v>375</v>
      </c>
      <c r="AQ141" s="246">
        <f>Summary!BK12*AQ142</f>
        <v>375</v>
      </c>
      <c r="AR141" s="246">
        <f>Summary!BL12*AR142</f>
        <v>500</v>
      </c>
      <c r="AS141" s="246">
        <f>Summary!BM12*AS142</f>
        <v>500</v>
      </c>
      <c r="AT141" s="246">
        <f>Summary!BN12*AT142</f>
        <v>500</v>
      </c>
      <c r="AU141" s="246">
        <f>Summary!BO12*AU142</f>
        <v>500</v>
      </c>
      <c r="AV141" s="246">
        <f>Summary!BP12*AV142</f>
        <v>500</v>
      </c>
      <c r="AW141" s="246">
        <f>Summary!BQ12*AW142</f>
        <v>500</v>
      </c>
      <c r="AX141" s="246">
        <f>Summary!BR12*AX142</f>
        <v>500</v>
      </c>
      <c r="AY141" s="246">
        <f>Summary!BS12*AY142</f>
        <v>500</v>
      </c>
      <c r="AZ141" s="246">
        <f>Summary!BT12*AZ142</f>
        <v>500</v>
      </c>
      <c r="BA141" s="246">
        <f>Summary!BU12*BA142</f>
        <v>500</v>
      </c>
      <c r="BB141" s="246">
        <f>Summary!BV12*BB142</f>
        <v>500</v>
      </c>
      <c r="BC141" s="246">
        <f>Summary!BW12*BC142</f>
        <v>500</v>
      </c>
      <c r="BD141" s="246">
        <f>Summary!BX12*BD142</f>
        <v>500</v>
      </c>
      <c r="BE141" s="246">
        <f>Summary!BY12*BE142</f>
        <v>500</v>
      </c>
      <c r="BF141" s="246">
        <f>Summary!BZ12*BF142</f>
        <v>500</v>
      </c>
      <c r="BG141" s="246">
        <f>Summary!CA12*BG142</f>
        <v>500</v>
      </c>
      <c r="BH141" s="246">
        <f>Summary!CB12*BH142</f>
        <v>500</v>
      </c>
      <c r="BI141" s="246">
        <f>Summary!CC12*BI142</f>
        <v>500</v>
      </c>
      <c r="BJ141" s="246">
        <f>Summary!CD12*BJ142</f>
        <v>500</v>
      </c>
      <c r="BK141" s="246">
        <f>Summary!CE12*BK142</f>
        <v>500</v>
      </c>
      <c r="BL141" s="246">
        <f>Summary!CF12*BL142</f>
        <v>500</v>
      </c>
      <c r="BM141" s="246">
        <f>Summary!CG12*BM142</f>
        <v>500</v>
      </c>
      <c r="BN141" s="246">
        <f>Summary!CH12*BN142</f>
        <v>500</v>
      </c>
      <c r="BO141" s="246">
        <f>Summary!CI12*BO142</f>
        <v>500</v>
      </c>
      <c r="BP141" s="246">
        <f>Summary!CJ12*BP142</f>
        <v>500</v>
      </c>
      <c r="BQ141" s="246">
        <f>Summary!CK12*BQ142</f>
        <v>500</v>
      </c>
      <c r="BR141" s="246">
        <f>Summary!CL12*BR142</f>
        <v>500</v>
      </c>
      <c r="BS141" s="246">
        <f>Summary!CM12*BS142</f>
        <v>500</v>
      </c>
      <c r="BT141" s="246">
        <f>Summary!CN12*BT142</f>
        <v>500</v>
      </c>
      <c r="BU141" s="246">
        <f>Summary!CO12*BU142</f>
        <v>500</v>
      </c>
      <c r="BV141" s="246">
        <f>Summary!CP12*BV142</f>
        <v>500</v>
      </c>
      <c r="BW141" s="246">
        <f>Summary!CQ12*BW142</f>
        <v>500</v>
      </c>
      <c r="BX141" s="246">
        <f>Summary!CR12*BX142</f>
        <v>500</v>
      </c>
      <c r="BY141" s="246">
        <f>Summary!CS12*BY142</f>
        <v>500</v>
      </c>
      <c r="BZ141" s="246">
        <f>Summary!CT12*BZ142</f>
        <v>500</v>
      </c>
      <c r="CA141" s="246">
        <f>Summary!CU12*CA142</f>
        <v>500</v>
      </c>
    </row>
    <row r="142" ht="15.75" customHeight="1">
      <c r="A142" s="132" t="s">
        <v>468</v>
      </c>
      <c r="B142" s="247"/>
      <c r="C142" s="247"/>
      <c r="D142" s="247"/>
      <c r="E142" s="247"/>
      <c r="F142" s="247"/>
      <c r="G142" s="247"/>
      <c r="H142" s="247"/>
      <c r="I142" s="247"/>
      <c r="J142" s="247"/>
      <c r="K142" s="247"/>
      <c r="L142" s="247"/>
      <c r="M142" s="247"/>
      <c r="N142" s="247"/>
      <c r="O142" s="247"/>
      <c r="P142" s="266"/>
      <c r="Q142" s="266"/>
      <c r="R142" s="266"/>
      <c r="S142" s="266">
        <v>0.005</v>
      </c>
      <c r="T142" s="266">
        <v>0.005</v>
      </c>
      <c r="U142" s="266">
        <v>0.005</v>
      </c>
      <c r="V142" s="266">
        <v>0.005</v>
      </c>
      <c r="W142" s="266">
        <v>0.005</v>
      </c>
      <c r="X142" s="266">
        <v>0.005</v>
      </c>
      <c r="Y142" s="266">
        <v>0.005</v>
      </c>
      <c r="Z142" s="266">
        <v>0.005</v>
      </c>
      <c r="AA142" s="266">
        <v>0.005</v>
      </c>
      <c r="AB142" s="266">
        <v>0.005</v>
      </c>
      <c r="AC142" s="266">
        <v>0.005</v>
      </c>
      <c r="AD142" s="266">
        <v>0.005</v>
      </c>
      <c r="AE142" s="266">
        <v>0.005</v>
      </c>
      <c r="AF142" s="266">
        <v>0.005</v>
      </c>
      <c r="AG142" s="266">
        <v>0.005</v>
      </c>
      <c r="AH142" s="266">
        <v>0.005</v>
      </c>
      <c r="AI142" s="266">
        <v>0.005</v>
      </c>
      <c r="AJ142" s="266">
        <v>0.005</v>
      </c>
      <c r="AK142" s="266">
        <v>0.005</v>
      </c>
      <c r="AL142" s="266">
        <v>0.005</v>
      </c>
      <c r="AM142" s="266">
        <v>0.005</v>
      </c>
      <c r="AN142" s="266">
        <v>0.005</v>
      </c>
      <c r="AO142" s="266">
        <v>0.005</v>
      </c>
      <c r="AP142" s="266">
        <v>0.005</v>
      </c>
      <c r="AQ142" s="266">
        <v>0.005</v>
      </c>
      <c r="AR142" s="266">
        <v>0.005</v>
      </c>
      <c r="AS142" s="266">
        <v>0.005</v>
      </c>
      <c r="AT142" s="266">
        <v>0.005</v>
      </c>
      <c r="AU142" s="266">
        <v>0.005</v>
      </c>
      <c r="AV142" s="266">
        <v>0.005</v>
      </c>
      <c r="AW142" s="266">
        <v>0.005</v>
      </c>
      <c r="AX142" s="266">
        <v>0.005</v>
      </c>
      <c r="AY142" s="266">
        <v>0.005</v>
      </c>
      <c r="AZ142" s="266">
        <v>0.005</v>
      </c>
      <c r="BA142" s="266">
        <v>0.005</v>
      </c>
      <c r="BB142" s="266">
        <v>0.005</v>
      </c>
      <c r="BC142" s="266">
        <v>0.005</v>
      </c>
      <c r="BD142" s="266">
        <v>0.005</v>
      </c>
      <c r="BE142" s="266">
        <v>0.005</v>
      </c>
      <c r="BF142" s="266">
        <v>0.005</v>
      </c>
      <c r="BG142" s="266">
        <v>0.005</v>
      </c>
      <c r="BH142" s="266">
        <v>0.005</v>
      </c>
      <c r="BI142" s="266">
        <v>0.005</v>
      </c>
      <c r="BJ142" s="266">
        <v>0.005</v>
      </c>
      <c r="BK142" s="266">
        <v>0.005</v>
      </c>
      <c r="BL142" s="266">
        <v>0.005</v>
      </c>
      <c r="BM142" s="266">
        <v>0.005</v>
      </c>
      <c r="BN142" s="266">
        <v>0.005</v>
      </c>
      <c r="BO142" s="266">
        <v>0.005</v>
      </c>
      <c r="BP142" s="266">
        <v>0.005</v>
      </c>
      <c r="BQ142" s="266">
        <v>0.005</v>
      </c>
      <c r="BR142" s="266">
        <v>0.005</v>
      </c>
      <c r="BS142" s="266">
        <v>0.005</v>
      </c>
      <c r="BT142" s="266">
        <v>0.005</v>
      </c>
      <c r="BU142" s="266">
        <v>0.005</v>
      </c>
      <c r="BV142" s="266">
        <v>0.005</v>
      </c>
      <c r="BW142" s="266">
        <v>0.005</v>
      </c>
      <c r="BX142" s="266">
        <v>0.005</v>
      </c>
      <c r="BY142" s="266">
        <v>0.005</v>
      </c>
      <c r="BZ142" s="266">
        <v>0.005</v>
      </c>
      <c r="CA142" s="266">
        <v>0.005</v>
      </c>
    </row>
    <row r="143" ht="15.75" customHeight="1">
      <c r="A143" s="1" t="s">
        <v>214</v>
      </c>
      <c r="B143" s="5"/>
      <c r="C143" s="5"/>
      <c r="D143" s="5"/>
      <c r="E143" s="5"/>
      <c r="F143" s="5"/>
      <c r="G143" s="91"/>
      <c r="H143" s="91"/>
      <c r="I143" s="91"/>
      <c r="J143" s="91"/>
      <c r="K143" s="247">
        <f t="array" ref="K143">INDEX('IS Proforma'!$1:$1048490,MATCH($A143,'IS Proforma'!$C:$C,0),MATCH(K$4,'IS Proforma'!$4:$4))</f>
        <v>1685</v>
      </c>
      <c r="L143" s="247">
        <f t="array" ref="L143">INDEX('IS Proforma'!$1:$1048490,MATCH($A143,'IS Proforma'!$C:$C,0),MATCH(L$4,'IS Proforma'!$4:$4))</f>
        <v>1862</v>
      </c>
      <c r="M143" s="247">
        <f t="array" ref="M143">INDEX('IS Proforma'!$1:$1048490,MATCH($A143,'IS Proforma'!$C:$C,0),MATCH(M$4,'IS Proforma'!$4:$4))</f>
        <v>1316</v>
      </c>
      <c r="N143" s="247">
        <f t="array" ref="N143">INDEX('IS Proforma'!$1:$1048490,MATCH($A143,'IS Proforma'!$C:$C,0),MATCH(N$4,'IS Proforma'!$4:$4))</f>
        <v>1873</v>
      </c>
      <c r="O143" s="247">
        <f t="array" ref="O143">INDEX('IS Proforma'!$1:$1048490,MATCH($A143,'IS Proforma'!$C:$C,0),MATCH(O$4,'IS Proforma'!$4:$4))</f>
        <v>1222</v>
      </c>
      <c r="P143" s="247">
        <f t="array" ref="P143">INDEX('IS Proforma'!$1:$1048490,MATCH($A143,'IS Proforma'!$C:$C,0),MATCH(P$4,'IS Proforma'!$4:$4))</f>
        <v>2057</v>
      </c>
      <c r="Q143" s="247">
        <f t="array" ref="Q143">INDEX('IS Proforma'!$1:$1048490,MATCH($A143,'IS Proforma'!$C:$C,0),MATCH(Q$4,'IS Proforma'!$4:$4))</f>
        <v>2054</v>
      </c>
      <c r="R143" s="247">
        <f t="array" ref="R143">INDEX('IS Proforma'!$1:$1048490,MATCH($A143,'IS Proforma'!$C:$C,0),MATCH(R$4,'IS Proforma'!$4:$4))</f>
        <v>2035</v>
      </c>
      <c r="S143" s="268">
        <f t="shared" ref="S143:CA143" si="133">S139+S141</f>
        <v>1436.441301</v>
      </c>
      <c r="T143" s="268">
        <f t="shared" si="133"/>
        <v>1520.914108</v>
      </c>
      <c r="U143" s="268">
        <f t="shared" si="133"/>
        <v>1596.203335</v>
      </c>
      <c r="V143" s="268">
        <f t="shared" si="133"/>
        <v>1661.338309</v>
      </c>
      <c r="W143" s="268">
        <f t="shared" si="133"/>
        <v>1719.515195</v>
      </c>
      <c r="X143" s="268">
        <f t="shared" si="133"/>
        <v>1750.232295</v>
      </c>
      <c r="Y143" s="268">
        <f t="shared" si="133"/>
        <v>1777.759174</v>
      </c>
      <c r="Z143" s="268">
        <f t="shared" si="133"/>
        <v>1795.002959</v>
      </c>
      <c r="AA143" s="268">
        <f t="shared" si="133"/>
        <v>1809.915933</v>
      </c>
      <c r="AB143" s="268">
        <f t="shared" si="133"/>
        <v>1829.540318</v>
      </c>
      <c r="AC143" s="268">
        <f t="shared" si="133"/>
        <v>1852.579883</v>
      </c>
      <c r="AD143" s="268">
        <f t="shared" si="133"/>
        <v>1872.707124</v>
      </c>
      <c r="AE143" s="268">
        <f t="shared" si="133"/>
        <v>1891.087428</v>
      </c>
      <c r="AF143" s="268">
        <f t="shared" si="133"/>
        <v>2027.529221</v>
      </c>
      <c r="AG143" s="268">
        <f t="shared" si="133"/>
        <v>2043.328325</v>
      </c>
      <c r="AH143" s="268">
        <f t="shared" si="133"/>
        <v>2063.594432</v>
      </c>
      <c r="AI143" s="268">
        <f t="shared" si="133"/>
        <v>2081.589473</v>
      </c>
      <c r="AJ143" s="268">
        <f t="shared" si="133"/>
        <v>2097.89484</v>
      </c>
      <c r="AK143" s="268">
        <f t="shared" si="133"/>
        <v>2114.281383</v>
      </c>
      <c r="AL143" s="268">
        <f t="shared" si="133"/>
        <v>2129.40569</v>
      </c>
      <c r="AM143" s="268">
        <f t="shared" si="133"/>
        <v>2143.594134</v>
      </c>
      <c r="AN143" s="268">
        <f t="shared" si="133"/>
        <v>2157.090577</v>
      </c>
      <c r="AO143" s="268">
        <f t="shared" si="133"/>
        <v>2170.077244</v>
      </c>
      <c r="AP143" s="268">
        <f t="shared" si="133"/>
        <v>2182.690323</v>
      </c>
      <c r="AQ143" s="268">
        <f t="shared" si="133"/>
        <v>2195.031607</v>
      </c>
      <c r="AR143" s="268">
        <f t="shared" si="133"/>
        <v>2336.368184</v>
      </c>
      <c r="AS143" s="268">
        <f t="shared" si="133"/>
        <v>2352.234939</v>
      </c>
      <c r="AT143" s="268">
        <f t="shared" si="133"/>
        <v>2367.041753</v>
      </c>
      <c r="AU143" s="268">
        <f t="shared" si="133"/>
        <v>2381.064159</v>
      </c>
      <c r="AV143" s="268">
        <f t="shared" si="133"/>
        <v>2394.508044</v>
      </c>
      <c r="AW143" s="268">
        <f t="shared" si="133"/>
        <v>2407.527265</v>
      </c>
      <c r="AX143" s="268">
        <f t="shared" si="133"/>
        <v>2420.23682</v>
      </c>
      <c r="AY143" s="268">
        <f t="shared" si="133"/>
        <v>2432.722674</v>
      </c>
      <c r="AZ143" s="268">
        <f t="shared" si="133"/>
        <v>2445.049107</v>
      </c>
      <c r="BA143" s="268">
        <f t="shared" si="133"/>
        <v>2457.264203</v>
      </c>
      <c r="BB143" s="268">
        <f t="shared" si="133"/>
        <v>2469.403944</v>
      </c>
      <c r="BC143" s="268">
        <f t="shared" si="133"/>
        <v>2481.495276</v>
      </c>
      <c r="BD143" s="268">
        <f t="shared" si="133"/>
        <v>2500.905443</v>
      </c>
      <c r="BE143" s="268">
        <f t="shared" si="133"/>
        <v>2519.851224</v>
      </c>
      <c r="BF143" s="268">
        <f t="shared" si="133"/>
        <v>2535.227183</v>
      </c>
      <c r="BG143" s="268">
        <f t="shared" si="133"/>
        <v>2550.488425</v>
      </c>
      <c r="BH143" s="268">
        <f t="shared" si="133"/>
        <v>2565.675755</v>
      </c>
      <c r="BI143" s="268">
        <f t="shared" si="133"/>
        <v>2580.819857</v>
      </c>
      <c r="BJ143" s="268">
        <f t="shared" si="133"/>
        <v>2595.943857</v>
      </c>
      <c r="BK143" s="268">
        <f t="shared" si="133"/>
        <v>2611.06524</v>
      </c>
      <c r="BL143" s="268">
        <f t="shared" si="133"/>
        <v>2626.197285</v>
      </c>
      <c r="BM143" s="268">
        <f t="shared" si="133"/>
        <v>2641.350131</v>
      </c>
      <c r="BN143" s="268">
        <f t="shared" si="133"/>
        <v>2656.531582</v>
      </c>
      <c r="BO143" s="268">
        <f t="shared" si="133"/>
        <v>2671.747701</v>
      </c>
      <c r="BP143" s="268">
        <f t="shared" si="133"/>
        <v>2687.556415</v>
      </c>
      <c r="BQ143" s="268">
        <f t="shared" si="133"/>
        <v>2685.073035</v>
      </c>
      <c r="BR143" s="268">
        <f t="shared" si="133"/>
        <v>2684.029775</v>
      </c>
      <c r="BS143" s="268">
        <f t="shared" si="133"/>
        <v>2686.707188</v>
      </c>
      <c r="BT143" s="268">
        <f t="shared" si="133"/>
        <v>2692.175271</v>
      </c>
      <c r="BU143" s="268">
        <f t="shared" si="133"/>
        <v>2699.73927</v>
      </c>
      <c r="BV143" s="268">
        <f t="shared" si="133"/>
        <v>2708.880163</v>
      </c>
      <c r="BW143" s="268">
        <f t="shared" si="133"/>
        <v>2719.210203</v>
      </c>
      <c r="BX143" s="268">
        <f t="shared" si="133"/>
        <v>2730.439712</v>
      </c>
      <c r="BY143" s="268">
        <f t="shared" si="133"/>
        <v>2742.352268</v>
      </c>
      <c r="BZ143" s="268">
        <f t="shared" si="133"/>
        <v>2754.786178</v>
      </c>
      <c r="CA143" s="268">
        <f t="shared" si="133"/>
        <v>2767.62063</v>
      </c>
    </row>
    <row r="144" ht="15.75" customHeight="1"/>
    <row r="145" ht="15.75" customHeight="1"/>
    <row r="146" ht="15.75" customHeight="1">
      <c r="A146" s="91" t="s">
        <v>469</v>
      </c>
      <c r="B146" s="263">
        <f t="shared" ref="B146:R146" si="134">B147/B$116</f>
        <v>0.001322490448</v>
      </c>
      <c r="C146" s="263">
        <f t="shared" si="134"/>
        <v>0.002311976154</v>
      </c>
      <c r="D146" s="263">
        <f t="shared" si="134"/>
        <v>0.001778032789</v>
      </c>
      <c r="E146" s="263">
        <f t="shared" si="134"/>
        <v>0.001250645956</v>
      </c>
      <c r="F146" s="263">
        <f t="shared" si="134"/>
        <v>0.001219463898</v>
      </c>
      <c r="G146" s="263">
        <f t="shared" si="134"/>
        <v>0.002005689318</v>
      </c>
      <c r="H146" s="263">
        <f t="shared" si="134"/>
        <v>0.001612458993</v>
      </c>
      <c r="I146" s="263">
        <f t="shared" si="134"/>
        <v>0.001574529867</v>
      </c>
      <c r="J146" s="263">
        <f t="shared" si="134"/>
        <v>0.002045640699</v>
      </c>
      <c r="K146" s="263">
        <f t="shared" si="134"/>
        <v>0.001717283121</v>
      </c>
      <c r="L146" s="263">
        <f t="shared" si="134"/>
        <v>0.001457012984</v>
      </c>
      <c r="M146" s="263">
        <f t="shared" si="134"/>
        <v>0.0009724703572</v>
      </c>
      <c r="N146" s="263">
        <f t="shared" si="134"/>
        <v>0.0007774451746</v>
      </c>
      <c r="O146" s="263">
        <f t="shared" si="134"/>
        <v>0.001247949606</v>
      </c>
      <c r="P146" s="263">
        <f t="shared" si="134"/>
        <v>0.0007454218902</v>
      </c>
      <c r="Q146" s="263">
        <f t="shared" si="134"/>
        <v>0.0009903804058</v>
      </c>
      <c r="R146" s="263">
        <f t="shared" si="134"/>
        <v>0.001615621185</v>
      </c>
      <c r="S146" s="266">
        <f t="shared" ref="S146:CA146" si="135">R146</f>
        <v>0.001615621185</v>
      </c>
      <c r="T146" s="266">
        <f t="shared" si="135"/>
        <v>0.001615621185</v>
      </c>
      <c r="U146" s="266">
        <f t="shared" si="135"/>
        <v>0.001615621185</v>
      </c>
      <c r="V146" s="266">
        <f t="shared" si="135"/>
        <v>0.001615621185</v>
      </c>
      <c r="W146" s="266">
        <f t="shared" si="135"/>
        <v>0.001615621185</v>
      </c>
      <c r="X146" s="266">
        <f t="shared" si="135"/>
        <v>0.001615621185</v>
      </c>
      <c r="Y146" s="266">
        <f t="shared" si="135"/>
        <v>0.001615621185</v>
      </c>
      <c r="Z146" s="266">
        <f t="shared" si="135"/>
        <v>0.001615621185</v>
      </c>
      <c r="AA146" s="266">
        <f t="shared" si="135"/>
        <v>0.001615621185</v>
      </c>
      <c r="AB146" s="266">
        <f t="shared" si="135"/>
        <v>0.001615621185</v>
      </c>
      <c r="AC146" s="266">
        <f t="shared" si="135"/>
        <v>0.001615621185</v>
      </c>
      <c r="AD146" s="266">
        <f t="shared" si="135"/>
        <v>0.001615621185</v>
      </c>
      <c r="AE146" s="266">
        <f t="shared" si="135"/>
        <v>0.001615621185</v>
      </c>
      <c r="AF146" s="266">
        <f t="shared" si="135"/>
        <v>0.001615621185</v>
      </c>
      <c r="AG146" s="266">
        <f t="shared" si="135"/>
        <v>0.001615621185</v>
      </c>
      <c r="AH146" s="266">
        <f t="shared" si="135"/>
        <v>0.001615621185</v>
      </c>
      <c r="AI146" s="266">
        <f t="shared" si="135"/>
        <v>0.001615621185</v>
      </c>
      <c r="AJ146" s="266">
        <f t="shared" si="135"/>
        <v>0.001615621185</v>
      </c>
      <c r="AK146" s="266">
        <f t="shared" si="135"/>
        <v>0.001615621185</v>
      </c>
      <c r="AL146" s="266">
        <f t="shared" si="135"/>
        <v>0.001615621185</v>
      </c>
      <c r="AM146" s="266">
        <f t="shared" si="135"/>
        <v>0.001615621185</v>
      </c>
      <c r="AN146" s="266">
        <f t="shared" si="135"/>
        <v>0.001615621185</v>
      </c>
      <c r="AO146" s="266">
        <f t="shared" si="135"/>
        <v>0.001615621185</v>
      </c>
      <c r="AP146" s="266">
        <f t="shared" si="135"/>
        <v>0.001615621185</v>
      </c>
      <c r="AQ146" s="266">
        <f t="shared" si="135"/>
        <v>0.001615621185</v>
      </c>
      <c r="AR146" s="266">
        <f t="shared" si="135"/>
        <v>0.001615621185</v>
      </c>
      <c r="AS146" s="266">
        <f t="shared" si="135"/>
        <v>0.001615621185</v>
      </c>
      <c r="AT146" s="266">
        <f t="shared" si="135"/>
        <v>0.001615621185</v>
      </c>
      <c r="AU146" s="266">
        <f t="shared" si="135"/>
        <v>0.001615621185</v>
      </c>
      <c r="AV146" s="266">
        <f t="shared" si="135"/>
        <v>0.001615621185</v>
      </c>
      <c r="AW146" s="266">
        <f t="shared" si="135"/>
        <v>0.001615621185</v>
      </c>
      <c r="AX146" s="266">
        <f t="shared" si="135"/>
        <v>0.001615621185</v>
      </c>
      <c r="AY146" s="266">
        <f t="shared" si="135"/>
        <v>0.001615621185</v>
      </c>
      <c r="AZ146" s="266">
        <f t="shared" si="135"/>
        <v>0.001615621185</v>
      </c>
      <c r="BA146" s="266">
        <f t="shared" si="135"/>
        <v>0.001615621185</v>
      </c>
      <c r="BB146" s="266">
        <f t="shared" si="135"/>
        <v>0.001615621185</v>
      </c>
      <c r="BC146" s="266">
        <f t="shared" si="135"/>
        <v>0.001615621185</v>
      </c>
      <c r="BD146" s="266">
        <f t="shared" si="135"/>
        <v>0.001615621185</v>
      </c>
      <c r="BE146" s="266">
        <f t="shared" si="135"/>
        <v>0.001615621185</v>
      </c>
      <c r="BF146" s="266">
        <f t="shared" si="135"/>
        <v>0.001615621185</v>
      </c>
      <c r="BG146" s="266">
        <f t="shared" si="135"/>
        <v>0.001615621185</v>
      </c>
      <c r="BH146" s="266">
        <f t="shared" si="135"/>
        <v>0.001615621185</v>
      </c>
      <c r="BI146" s="266">
        <f t="shared" si="135"/>
        <v>0.001615621185</v>
      </c>
      <c r="BJ146" s="266">
        <f t="shared" si="135"/>
        <v>0.001615621185</v>
      </c>
      <c r="BK146" s="266">
        <f t="shared" si="135"/>
        <v>0.001615621185</v>
      </c>
      <c r="BL146" s="266">
        <f t="shared" si="135"/>
        <v>0.001615621185</v>
      </c>
      <c r="BM146" s="266">
        <f t="shared" si="135"/>
        <v>0.001615621185</v>
      </c>
      <c r="BN146" s="266">
        <f t="shared" si="135"/>
        <v>0.001615621185</v>
      </c>
      <c r="BO146" s="266">
        <f t="shared" si="135"/>
        <v>0.001615621185</v>
      </c>
      <c r="BP146" s="266">
        <f t="shared" si="135"/>
        <v>0.001615621185</v>
      </c>
      <c r="BQ146" s="266">
        <f t="shared" si="135"/>
        <v>0.001615621185</v>
      </c>
      <c r="BR146" s="266">
        <f t="shared" si="135"/>
        <v>0.001615621185</v>
      </c>
      <c r="BS146" s="266">
        <f t="shared" si="135"/>
        <v>0.001615621185</v>
      </c>
      <c r="BT146" s="266">
        <f t="shared" si="135"/>
        <v>0.001615621185</v>
      </c>
      <c r="BU146" s="266">
        <f t="shared" si="135"/>
        <v>0.001615621185</v>
      </c>
      <c r="BV146" s="266">
        <f t="shared" si="135"/>
        <v>0.001615621185</v>
      </c>
      <c r="BW146" s="266">
        <f t="shared" si="135"/>
        <v>0.001615621185</v>
      </c>
      <c r="BX146" s="266">
        <f t="shared" si="135"/>
        <v>0.001615621185</v>
      </c>
      <c r="BY146" s="266">
        <f t="shared" si="135"/>
        <v>0.001615621185</v>
      </c>
      <c r="BZ146" s="266">
        <f t="shared" si="135"/>
        <v>0.001615621185</v>
      </c>
      <c r="CA146" s="266">
        <f t="shared" si="135"/>
        <v>0.001615621185</v>
      </c>
    </row>
    <row r="147" ht="15.75" customHeight="1">
      <c r="A147" s="132" t="s">
        <v>228</v>
      </c>
      <c r="B147" s="247">
        <f t="array" ref="B147">INDEX('IS Proforma'!$1:$1048490,MATCH($A147,'IS Proforma'!$C:$C,0),MATCH(B$4,'IS Proforma'!$4:$4))</f>
        <v>1549</v>
      </c>
      <c r="C147" s="247">
        <f t="array" ref="C147">INDEX('IS Proforma'!$1:$1048490,MATCH($A147,'IS Proforma'!$C:$C,0),MATCH(C$4,'IS Proforma'!$4:$4))</f>
        <v>2351</v>
      </c>
      <c r="D147" s="247">
        <f t="array" ref="D147">INDEX('IS Proforma'!$1:$1048490,MATCH($A147,'IS Proforma'!$C:$C,0),MATCH(D$4,'IS Proforma'!$4:$4))</f>
        <v>2132</v>
      </c>
      <c r="E147" s="247">
        <f t="array" ref="E147">INDEX('IS Proforma'!$1:$1048490,MATCH($A147,'IS Proforma'!$C:$C,0),MATCH(E$4,'IS Proforma'!$4:$4))</f>
        <v>1682</v>
      </c>
      <c r="F147" s="247">
        <f t="array" ref="F147">INDEX('IS Proforma'!$1:$1048490,MATCH($A147,'IS Proforma'!$C:$C,0),MATCH(F$4,'IS Proforma'!$4:$4))</f>
        <v>1478</v>
      </c>
      <c r="G147" s="247">
        <f t="array" ref="G147">INDEX('IS Proforma'!$1:$1048490,MATCH($A147,'IS Proforma'!$C:$C,0),MATCH(G$4,'IS Proforma'!$4:$4))</f>
        <v>2252</v>
      </c>
      <c r="H147" s="247">
        <f t="array" ref="H147">INDEX('IS Proforma'!$1:$1048490,MATCH($A147,'IS Proforma'!$C:$C,0),MATCH(H$4,'IS Proforma'!$4:$4))</f>
        <v>2172</v>
      </c>
      <c r="I147" s="247">
        <f t="array" ref="I147">INDEX('IS Proforma'!$1:$1048490,MATCH($A147,'IS Proforma'!$C:$C,0),MATCH(I$4,'IS Proforma'!$4:$4))</f>
        <v>1733</v>
      </c>
      <c r="J147" s="247">
        <f t="array" ref="J147">INDEX('IS Proforma'!$1:$1048490,MATCH($A147,'IS Proforma'!$C:$C,0),MATCH(J$4,'IS Proforma'!$4:$4))</f>
        <v>2500</v>
      </c>
      <c r="K147" s="247">
        <f t="array" ref="K147">INDEX('IS Proforma'!$1:$1048490,MATCH($A147,'IS Proforma'!$C:$C,0),MATCH(K$4,'IS Proforma'!$4:$4))</f>
        <v>2183</v>
      </c>
      <c r="L147" s="247">
        <f t="array" ref="L147">INDEX('IS Proforma'!$1:$1048490,MATCH($A147,'IS Proforma'!$C:$C,0),MATCH(L$4,'IS Proforma'!$4:$4))</f>
        <v>1987</v>
      </c>
      <c r="M147" s="247">
        <f t="array" ref="M147">INDEX('IS Proforma'!$1:$1048490,MATCH($A147,'IS Proforma'!$C:$C,0),MATCH(M$4,'IS Proforma'!$4:$4))</f>
        <v>1136</v>
      </c>
      <c r="N147" s="247">
        <f t="array" ref="N147">INDEX('IS Proforma'!$1:$1048490,MATCH($A147,'IS Proforma'!$C:$C,0),MATCH(N$4,'IS Proforma'!$4:$4))</f>
        <v>1029</v>
      </c>
      <c r="O147" s="247">
        <f t="array" ref="O147">INDEX('IS Proforma'!$1:$1048490,MATCH($A147,'IS Proforma'!$C:$C,0),MATCH(O$4,'IS Proforma'!$4:$4))</f>
        <v>1867</v>
      </c>
      <c r="P147" s="247">
        <f t="array" ref="P147">INDEX('IS Proforma'!$1:$1048490,MATCH($A147,'IS Proforma'!$C:$C,0),MATCH(P$4,'IS Proforma'!$4:$4))</f>
        <v>1082</v>
      </c>
      <c r="Q147" s="247">
        <f t="array" ref="Q147">INDEX('IS Proforma'!$1:$1048490,MATCH($A147,'IS Proforma'!$C:$C,0),MATCH(Q$4,'IS Proforma'!$4:$4))</f>
        <v>1251</v>
      </c>
      <c r="R147" s="247">
        <f t="array" ref="R147">INDEX('IS Proforma'!$1:$1048490,MATCH($A147,'IS Proforma'!$C:$C,0),MATCH(R$4,'IS Proforma'!$4:$4))</f>
        <v>2115</v>
      </c>
      <c r="S147" s="246">
        <f t="shared" ref="S147:CA147" si="136">S146*S$116</f>
        <v>2287.381337</v>
      </c>
      <c r="T147" s="246">
        <f t="shared" si="136"/>
        <v>2693.977872</v>
      </c>
      <c r="U147" s="246">
        <f t="shared" si="136"/>
        <v>3095.795648</v>
      </c>
      <c r="V147" s="246">
        <f t="shared" si="136"/>
        <v>3463.775326</v>
      </c>
      <c r="W147" s="246">
        <f t="shared" si="136"/>
        <v>3816.146554</v>
      </c>
      <c r="X147" s="246">
        <f t="shared" si="136"/>
        <v>4166.256831</v>
      </c>
      <c r="Y147" s="246">
        <f t="shared" si="136"/>
        <v>4518.431713</v>
      </c>
      <c r="Z147" s="246">
        <f t="shared" si="136"/>
        <v>4835.898314</v>
      </c>
      <c r="AA147" s="246">
        <f t="shared" si="136"/>
        <v>5147.23714</v>
      </c>
      <c r="AB147" s="246">
        <f t="shared" si="136"/>
        <v>5452.057036</v>
      </c>
      <c r="AC147" s="246">
        <f t="shared" si="136"/>
        <v>5735.41994</v>
      </c>
      <c r="AD147" s="246">
        <f t="shared" si="136"/>
        <v>6016.04732</v>
      </c>
      <c r="AE147" s="246">
        <f t="shared" si="136"/>
        <v>6300.208145</v>
      </c>
      <c r="AF147" s="246">
        <f t="shared" si="136"/>
        <v>6580.939009</v>
      </c>
      <c r="AG147" s="246">
        <f t="shared" si="136"/>
        <v>6630.936432</v>
      </c>
      <c r="AH147" s="246">
        <f t="shared" si="136"/>
        <v>6701.035277</v>
      </c>
      <c r="AI147" s="246">
        <f t="shared" si="136"/>
        <v>6791.897792</v>
      </c>
      <c r="AJ147" s="246">
        <f t="shared" si="136"/>
        <v>6888.36037</v>
      </c>
      <c r="AK147" s="246">
        <f t="shared" si="136"/>
        <v>6988.685408</v>
      </c>
      <c r="AL147" s="246">
        <f t="shared" si="136"/>
        <v>7087.914026</v>
      </c>
      <c r="AM147" s="246">
        <f t="shared" si="136"/>
        <v>7207.709799</v>
      </c>
      <c r="AN147" s="246">
        <f t="shared" si="136"/>
        <v>7304.399807</v>
      </c>
      <c r="AO147" s="246">
        <f t="shared" si="136"/>
        <v>7399.717078</v>
      </c>
      <c r="AP147" s="246">
        <f t="shared" si="136"/>
        <v>7493.716596</v>
      </c>
      <c r="AQ147" s="246">
        <f t="shared" si="136"/>
        <v>7586.462249</v>
      </c>
      <c r="AR147" s="246">
        <f t="shared" si="136"/>
        <v>7788.47772</v>
      </c>
      <c r="AS147" s="246">
        <f t="shared" si="136"/>
        <v>7940.545826</v>
      </c>
      <c r="AT147" s="246">
        <f t="shared" si="136"/>
        <v>8087.92554</v>
      </c>
      <c r="AU147" s="246">
        <f t="shared" si="136"/>
        <v>8231.51264</v>
      </c>
      <c r="AV147" s="246">
        <f t="shared" si="136"/>
        <v>8371.886297</v>
      </c>
      <c r="AW147" s="246">
        <f t="shared" si="136"/>
        <v>8509.419528</v>
      </c>
      <c r="AX147" s="246">
        <f t="shared" si="136"/>
        <v>8644.396695</v>
      </c>
      <c r="AY147" s="246">
        <f t="shared" si="136"/>
        <v>8777.049703</v>
      </c>
      <c r="AZ147" s="246">
        <f t="shared" si="136"/>
        <v>8907.574307</v>
      </c>
      <c r="BA147" s="246">
        <f t="shared" si="136"/>
        <v>9036.139614</v>
      </c>
      <c r="BB147" s="246">
        <f t="shared" si="136"/>
        <v>9162.894431</v>
      </c>
      <c r="BC147" s="246">
        <f t="shared" si="136"/>
        <v>9287.971757</v>
      </c>
      <c r="BD147" s="246">
        <f t="shared" si="136"/>
        <v>9468.739494</v>
      </c>
      <c r="BE147" s="246">
        <f t="shared" si="136"/>
        <v>9609.0568</v>
      </c>
      <c r="BF147" s="246">
        <f t="shared" si="136"/>
        <v>9736.134978</v>
      </c>
      <c r="BG147" s="246">
        <f t="shared" si="136"/>
        <v>9860.701795</v>
      </c>
      <c r="BH147" s="246">
        <f t="shared" si="136"/>
        <v>9984.65181</v>
      </c>
      <c r="BI147" s="246">
        <f t="shared" si="136"/>
        <v>10108.03268</v>
      </c>
      <c r="BJ147" s="246">
        <f t="shared" si="136"/>
        <v>10230.92659</v>
      </c>
      <c r="BK147" s="246">
        <f t="shared" si="136"/>
        <v>10353.4129</v>
      </c>
      <c r="BL147" s="246">
        <f t="shared" si="136"/>
        <v>10475.56679</v>
      </c>
      <c r="BM147" s="246">
        <f t="shared" si="136"/>
        <v>10597.46052</v>
      </c>
      <c r="BN147" s="246">
        <f t="shared" si="136"/>
        <v>10719.1643</v>
      </c>
      <c r="BO147" s="246">
        <f t="shared" si="136"/>
        <v>10840.74664</v>
      </c>
      <c r="BP147" s="246">
        <f t="shared" si="136"/>
        <v>11007.01497</v>
      </c>
      <c r="BQ147" s="246">
        <f t="shared" si="136"/>
        <v>11084.73002</v>
      </c>
      <c r="BR147" s="246">
        <f t="shared" si="136"/>
        <v>11159.01454</v>
      </c>
      <c r="BS147" s="246">
        <f t="shared" si="136"/>
        <v>11237.17632</v>
      </c>
      <c r="BT147" s="246">
        <f t="shared" si="136"/>
        <v>11317.5964</v>
      </c>
      <c r="BU147" s="246">
        <f t="shared" si="136"/>
        <v>11399.05746</v>
      </c>
      <c r="BV147" s="246">
        <f t="shared" si="136"/>
        <v>11481.05034</v>
      </c>
      <c r="BW147" s="246">
        <f t="shared" si="136"/>
        <v>11563.31459</v>
      </c>
      <c r="BX147" s="246">
        <f t="shared" si="136"/>
        <v>11645.70318</v>
      </c>
      <c r="BY147" s="246">
        <f t="shared" si="136"/>
        <v>11728.13187</v>
      </c>
      <c r="BZ147" s="246">
        <f t="shared" si="136"/>
        <v>11810.55584</v>
      </c>
      <c r="CA147" s="246">
        <f t="shared" si="136"/>
        <v>11892.95672</v>
      </c>
    </row>
    <row r="148" ht="15.75" customHeight="1">
      <c r="A148" s="91"/>
      <c r="B148" s="5"/>
      <c r="C148" s="5"/>
      <c r="D148" s="5"/>
      <c r="E148" s="5"/>
      <c r="F148" s="5"/>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row>
    <row r="149" ht="15.75" customHeight="1">
      <c r="A149" s="91" t="s">
        <v>470</v>
      </c>
      <c r="B149" s="263">
        <f t="shared" ref="B149:R149" si="137">B150/B$116</f>
        <v>0.000885359971</v>
      </c>
      <c r="C149" s="263">
        <f t="shared" si="137"/>
        <v>0.001665881585</v>
      </c>
      <c r="D149" s="263">
        <f t="shared" si="137"/>
        <v>0.001800550089</v>
      </c>
      <c r="E149" s="263">
        <f t="shared" si="137"/>
        <v>0.001324257104</v>
      </c>
      <c r="F149" s="263">
        <f t="shared" si="137"/>
        <v>0.001656754741</v>
      </c>
      <c r="G149" s="263">
        <f t="shared" si="137"/>
        <v>0.002101876905</v>
      </c>
      <c r="H149" s="263">
        <f t="shared" si="137"/>
        <v>0.001757223957</v>
      </c>
      <c r="I149" s="263">
        <f t="shared" si="137"/>
        <v>0.001848914183</v>
      </c>
      <c r="J149" s="263">
        <f t="shared" si="137"/>
        <v>0.001798527302</v>
      </c>
      <c r="K149" s="263">
        <f t="shared" si="137"/>
        <v>0.001312152197</v>
      </c>
      <c r="L149" s="263">
        <f t="shared" si="137"/>
        <v>0.001757654818</v>
      </c>
      <c r="M149" s="263">
        <f t="shared" si="137"/>
        <v>0.001938948379</v>
      </c>
      <c r="N149" s="263">
        <f t="shared" si="137"/>
        <v>0.0008983307217</v>
      </c>
      <c r="O149" s="263">
        <f t="shared" si="137"/>
        <v>0.0007914152831</v>
      </c>
      <c r="P149" s="263">
        <f t="shared" si="137"/>
        <v>0.0009217878827</v>
      </c>
      <c r="Q149" s="263">
        <f t="shared" si="137"/>
        <v>0.001948302301</v>
      </c>
      <c r="R149" s="263">
        <f t="shared" si="137"/>
        <v>0.001481940945</v>
      </c>
      <c r="S149" s="266">
        <f>R149</f>
        <v>0.001481940945</v>
      </c>
      <c r="T149" s="266">
        <v>0.0025</v>
      </c>
      <c r="U149" s="266">
        <f t="shared" ref="U149:AE149" si="138">T149</f>
        <v>0.0025</v>
      </c>
      <c r="V149" s="266">
        <f t="shared" si="138"/>
        <v>0.0025</v>
      </c>
      <c r="W149" s="266">
        <f t="shared" si="138"/>
        <v>0.0025</v>
      </c>
      <c r="X149" s="266">
        <f t="shared" si="138"/>
        <v>0.0025</v>
      </c>
      <c r="Y149" s="266">
        <f t="shared" si="138"/>
        <v>0.0025</v>
      </c>
      <c r="Z149" s="266">
        <f t="shared" si="138"/>
        <v>0.0025</v>
      </c>
      <c r="AA149" s="266">
        <f t="shared" si="138"/>
        <v>0.0025</v>
      </c>
      <c r="AB149" s="266">
        <f t="shared" si="138"/>
        <v>0.0025</v>
      </c>
      <c r="AC149" s="266">
        <f t="shared" si="138"/>
        <v>0.0025</v>
      </c>
      <c r="AD149" s="266">
        <f t="shared" si="138"/>
        <v>0.0025</v>
      </c>
      <c r="AE149" s="266">
        <f t="shared" si="138"/>
        <v>0.0025</v>
      </c>
      <c r="AF149" s="266">
        <v>0.0075</v>
      </c>
      <c r="AG149" s="266">
        <f t="shared" ref="AG149:AQ149" si="139">AF149</f>
        <v>0.0075</v>
      </c>
      <c r="AH149" s="266">
        <f t="shared" si="139"/>
        <v>0.0075</v>
      </c>
      <c r="AI149" s="266">
        <f t="shared" si="139"/>
        <v>0.0075</v>
      </c>
      <c r="AJ149" s="266">
        <f t="shared" si="139"/>
        <v>0.0075</v>
      </c>
      <c r="AK149" s="266">
        <f t="shared" si="139"/>
        <v>0.0075</v>
      </c>
      <c r="AL149" s="266">
        <f t="shared" si="139"/>
        <v>0.0075</v>
      </c>
      <c r="AM149" s="266">
        <f t="shared" si="139"/>
        <v>0.0075</v>
      </c>
      <c r="AN149" s="266">
        <f t="shared" si="139"/>
        <v>0.0075</v>
      </c>
      <c r="AO149" s="266">
        <f t="shared" si="139"/>
        <v>0.0075</v>
      </c>
      <c r="AP149" s="266">
        <f t="shared" si="139"/>
        <v>0.0075</v>
      </c>
      <c r="AQ149" s="266">
        <f t="shared" si="139"/>
        <v>0.0075</v>
      </c>
      <c r="AR149" s="266">
        <v>0.0085</v>
      </c>
      <c r="AS149" s="266">
        <f t="shared" ref="AS149:BC149" si="140">AR149</f>
        <v>0.0085</v>
      </c>
      <c r="AT149" s="266">
        <f t="shared" si="140"/>
        <v>0.0085</v>
      </c>
      <c r="AU149" s="266">
        <f t="shared" si="140"/>
        <v>0.0085</v>
      </c>
      <c r="AV149" s="266">
        <f t="shared" si="140"/>
        <v>0.0085</v>
      </c>
      <c r="AW149" s="266">
        <f t="shared" si="140"/>
        <v>0.0085</v>
      </c>
      <c r="AX149" s="266">
        <f t="shared" si="140"/>
        <v>0.0085</v>
      </c>
      <c r="AY149" s="266">
        <f t="shared" si="140"/>
        <v>0.0085</v>
      </c>
      <c r="AZ149" s="266">
        <f t="shared" si="140"/>
        <v>0.0085</v>
      </c>
      <c r="BA149" s="266">
        <f t="shared" si="140"/>
        <v>0.0085</v>
      </c>
      <c r="BB149" s="266">
        <f t="shared" si="140"/>
        <v>0.0085</v>
      </c>
      <c r="BC149" s="266">
        <f t="shared" si="140"/>
        <v>0.0085</v>
      </c>
      <c r="BD149" s="266">
        <v>0.01</v>
      </c>
      <c r="BE149" s="266">
        <f t="shared" ref="BE149:BO149" si="141">BD149</f>
        <v>0.01</v>
      </c>
      <c r="BF149" s="266">
        <f t="shared" si="141"/>
        <v>0.01</v>
      </c>
      <c r="BG149" s="266">
        <f t="shared" si="141"/>
        <v>0.01</v>
      </c>
      <c r="BH149" s="266">
        <f t="shared" si="141"/>
        <v>0.01</v>
      </c>
      <c r="BI149" s="266">
        <f t="shared" si="141"/>
        <v>0.01</v>
      </c>
      <c r="BJ149" s="266">
        <f t="shared" si="141"/>
        <v>0.01</v>
      </c>
      <c r="BK149" s="266">
        <f t="shared" si="141"/>
        <v>0.01</v>
      </c>
      <c r="BL149" s="266">
        <f t="shared" si="141"/>
        <v>0.01</v>
      </c>
      <c r="BM149" s="266">
        <f t="shared" si="141"/>
        <v>0.01</v>
      </c>
      <c r="BN149" s="266">
        <f t="shared" si="141"/>
        <v>0.01</v>
      </c>
      <c r="BO149" s="266">
        <f t="shared" si="141"/>
        <v>0.01</v>
      </c>
      <c r="BP149" s="266">
        <v>0.0115</v>
      </c>
      <c r="BQ149" s="266">
        <f t="shared" ref="BQ149:CA149" si="142">BP149</f>
        <v>0.0115</v>
      </c>
      <c r="BR149" s="266">
        <f t="shared" si="142"/>
        <v>0.0115</v>
      </c>
      <c r="BS149" s="266">
        <f t="shared" si="142"/>
        <v>0.0115</v>
      </c>
      <c r="BT149" s="266">
        <f t="shared" si="142"/>
        <v>0.0115</v>
      </c>
      <c r="BU149" s="266">
        <f t="shared" si="142"/>
        <v>0.0115</v>
      </c>
      <c r="BV149" s="266">
        <f t="shared" si="142"/>
        <v>0.0115</v>
      </c>
      <c r="BW149" s="266">
        <f t="shared" si="142"/>
        <v>0.0115</v>
      </c>
      <c r="BX149" s="266">
        <f t="shared" si="142"/>
        <v>0.0115</v>
      </c>
      <c r="BY149" s="266">
        <f t="shared" si="142"/>
        <v>0.0115</v>
      </c>
      <c r="BZ149" s="266">
        <f t="shared" si="142"/>
        <v>0.0115</v>
      </c>
      <c r="CA149" s="266">
        <f t="shared" si="142"/>
        <v>0.0115</v>
      </c>
    </row>
    <row r="150" ht="15.75" customHeight="1">
      <c r="A150" s="132" t="s">
        <v>229</v>
      </c>
      <c r="B150" s="247">
        <f t="array" ref="B150">INDEX('IS Proforma'!$1:$1048490,MATCH($A150,'IS Proforma'!$C:$C,0),MATCH(B$4,'IS Proforma'!$4:$4))</f>
        <v>1037</v>
      </c>
      <c r="C150" s="247">
        <f t="array" ref="C150">INDEX('IS Proforma'!$1:$1048490,MATCH($A150,'IS Proforma'!$C:$C,0),MATCH(C$4,'IS Proforma'!$4:$4))</f>
        <v>1694</v>
      </c>
      <c r="D150" s="247">
        <f t="array" ref="D150">INDEX('IS Proforma'!$1:$1048490,MATCH($A150,'IS Proforma'!$C:$C,0),MATCH(D$4,'IS Proforma'!$4:$4))</f>
        <v>2159</v>
      </c>
      <c r="E150" s="247">
        <f t="array" ref="E150">INDEX('IS Proforma'!$1:$1048490,MATCH($A150,'IS Proforma'!$C:$C,0),MATCH(E$4,'IS Proforma'!$4:$4))</f>
        <v>1781</v>
      </c>
      <c r="F150" s="247">
        <f t="array" ref="F150">INDEX('IS Proforma'!$1:$1048490,MATCH($A150,'IS Proforma'!$C:$C,0),MATCH(F$4,'IS Proforma'!$4:$4))</f>
        <v>2008</v>
      </c>
      <c r="G150" s="247">
        <f t="array" ref="G150">INDEX('IS Proforma'!$1:$1048490,MATCH($A150,'IS Proforma'!$C:$C,0),MATCH(G$4,'IS Proforma'!$4:$4))</f>
        <v>2360</v>
      </c>
      <c r="H150" s="247">
        <f t="array" ref="H150">INDEX('IS Proforma'!$1:$1048490,MATCH($A150,'IS Proforma'!$C:$C,0),MATCH(H$4,'IS Proforma'!$4:$4))</f>
        <v>2367</v>
      </c>
      <c r="I150" s="247">
        <f t="array" ref="I150">INDEX('IS Proforma'!$1:$1048490,MATCH($A150,'IS Proforma'!$C:$C,0),MATCH(I$4,'IS Proforma'!$4:$4))</f>
        <v>2035</v>
      </c>
      <c r="J150" s="247">
        <f t="array" ref="J150">INDEX('IS Proforma'!$1:$1048490,MATCH($A150,'IS Proforma'!$C:$C,0),MATCH(J$4,'IS Proforma'!$4:$4))</f>
        <v>2198</v>
      </c>
      <c r="K150" s="247">
        <f t="array" ref="K150">INDEX('IS Proforma'!$1:$1048490,MATCH($A150,'IS Proforma'!$C:$C,0),MATCH(K$4,'IS Proforma'!$4:$4))</f>
        <v>1668</v>
      </c>
      <c r="L150" s="247">
        <f t="array" ref="L150">INDEX('IS Proforma'!$1:$1048490,MATCH($A150,'IS Proforma'!$C:$C,0),MATCH(L$4,'IS Proforma'!$4:$4))</f>
        <v>2397</v>
      </c>
      <c r="M150" s="247">
        <f t="array" ref="M150">INDEX('IS Proforma'!$1:$1048490,MATCH($A150,'IS Proforma'!$C:$C,0),MATCH(M$4,'IS Proforma'!$4:$4))</f>
        <v>2265</v>
      </c>
      <c r="N150" s="247">
        <f t="array" ref="N150">INDEX('IS Proforma'!$1:$1048490,MATCH($A150,'IS Proforma'!$C:$C,0),MATCH(N$4,'IS Proforma'!$4:$4))</f>
        <v>1189</v>
      </c>
      <c r="O150" s="247">
        <f t="array" ref="O150">INDEX('IS Proforma'!$1:$1048490,MATCH($A150,'IS Proforma'!$C:$C,0),MATCH(O$4,'IS Proforma'!$4:$4))</f>
        <v>1184</v>
      </c>
      <c r="P150" s="247">
        <f t="array" ref="P150">INDEX('IS Proforma'!$1:$1048490,MATCH($A150,'IS Proforma'!$C:$C,0),MATCH(P$4,'IS Proforma'!$4:$4))</f>
        <v>1338</v>
      </c>
      <c r="Q150" s="247">
        <f t="array" ref="Q150">INDEX('IS Proforma'!$1:$1048490,MATCH($A150,'IS Proforma'!$C:$C,0),MATCH(Q$4,'IS Proforma'!$4:$4))</f>
        <v>2461</v>
      </c>
      <c r="R150" s="247">
        <f t="array" ref="R150">INDEX('IS Proforma'!$1:$1048490,MATCH($A150,'IS Proforma'!$C:$C,0),MATCH(R$4,'IS Proforma'!$4:$4))</f>
        <v>1940</v>
      </c>
      <c r="S150" s="246">
        <f t="shared" ref="S150:CA150" si="143">S149*S$116</f>
        <v>2098.118106</v>
      </c>
      <c r="T150" s="246">
        <f t="shared" si="143"/>
        <v>4168.64098</v>
      </c>
      <c r="U150" s="246">
        <f t="shared" si="143"/>
        <v>4790.410767</v>
      </c>
      <c r="V150" s="246">
        <f t="shared" si="143"/>
        <v>5359.819737</v>
      </c>
      <c r="W150" s="246">
        <f t="shared" si="143"/>
        <v>5905.076308</v>
      </c>
      <c r="X150" s="246">
        <f t="shared" si="143"/>
        <v>6446.834302</v>
      </c>
      <c r="Y150" s="246">
        <f t="shared" si="143"/>
        <v>6991.787051</v>
      </c>
      <c r="Z150" s="246">
        <f t="shared" si="143"/>
        <v>7483.032468</v>
      </c>
      <c r="AA150" s="246">
        <f t="shared" si="143"/>
        <v>7964.795812</v>
      </c>
      <c r="AB150" s="246">
        <f t="shared" si="143"/>
        <v>8436.471813</v>
      </c>
      <c r="AC150" s="246">
        <f t="shared" si="143"/>
        <v>8874.945427</v>
      </c>
      <c r="AD150" s="246">
        <f t="shared" si="143"/>
        <v>9309.186112</v>
      </c>
      <c r="AE150" s="246">
        <f t="shared" si="143"/>
        <v>9748.894422</v>
      </c>
      <c r="AF150" s="246">
        <f t="shared" si="143"/>
        <v>30549.88571</v>
      </c>
      <c r="AG150" s="246">
        <f t="shared" si="143"/>
        <v>30781.98262</v>
      </c>
      <c r="AH150" s="246">
        <f t="shared" si="143"/>
        <v>31107.39388</v>
      </c>
      <c r="AI150" s="246">
        <f t="shared" si="143"/>
        <v>31529.19379</v>
      </c>
      <c r="AJ150" s="246">
        <f t="shared" si="143"/>
        <v>31976.99018</v>
      </c>
      <c r="AK150" s="246">
        <f t="shared" si="143"/>
        <v>32442.71679</v>
      </c>
      <c r="AL150" s="246">
        <f t="shared" si="143"/>
        <v>32903.35363</v>
      </c>
      <c r="AM150" s="246">
        <f t="shared" si="143"/>
        <v>33459.46685</v>
      </c>
      <c r="AN150" s="246">
        <f t="shared" si="143"/>
        <v>33908.31901</v>
      </c>
      <c r="AO150" s="246">
        <f t="shared" si="143"/>
        <v>34350.79868</v>
      </c>
      <c r="AP150" s="246">
        <f t="shared" si="143"/>
        <v>34787.16111</v>
      </c>
      <c r="AQ150" s="246">
        <f t="shared" si="143"/>
        <v>35217.70288</v>
      </c>
      <c r="AR150" s="246">
        <f t="shared" si="143"/>
        <v>40976.22712</v>
      </c>
      <c r="AS150" s="246">
        <f t="shared" si="143"/>
        <v>41776.27784</v>
      </c>
      <c r="AT150" s="246">
        <f t="shared" si="143"/>
        <v>42551.6623</v>
      </c>
      <c r="AU150" s="246">
        <f t="shared" si="143"/>
        <v>43307.09332</v>
      </c>
      <c r="AV150" s="246">
        <f t="shared" si="143"/>
        <v>44045.61798</v>
      </c>
      <c r="AW150" s="246">
        <f t="shared" si="143"/>
        <v>44769.19877</v>
      </c>
      <c r="AX150" s="246">
        <f t="shared" si="143"/>
        <v>45479.33177</v>
      </c>
      <c r="AY150" s="246">
        <f t="shared" si="143"/>
        <v>46177.23706</v>
      </c>
      <c r="AZ150" s="246">
        <f t="shared" si="143"/>
        <v>46863.94453</v>
      </c>
      <c r="BA150" s="246">
        <f t="shared" si="143"/>
        <v>47540.34387</v>
      </c>
      <c r="BB150" s="246">
        <f t="shared" si="143"/>
        <v>48207.21798</v>
      </c>
      <c r="BC150" s="246">
        <f t="shared" si="143"/>
        <v>48865.26659</v>
      </c>
      <c r="BD150" s="246">
        <f t="shared" si="143"/>
        <v>58607.42345</v>
      </c>
      <c r="BE150" s="246">
        <f t="shared" si="143"/>
        <v>59475.9272</v>
      </c>
      <c r="BF150" s="246">
        <f t="shared" si="143"/>
        <v>60262.48645</v>
      </c>
      <c r="BG150" s="246">
        <f t="shared" si="143"/>
        <v>61033.50145</v>
      </c>
      <c r="BH150" s="246">
        <f t="shared" si="143"/>
        <v>61800.69871</v>
      </c>
      <c r="BI150" s="246">
        <f t="shared" si="143"/>
        <v>62564.37323</v>
      </c>
      <c r="BJ150" s="246">
        <f t="shared" si="143"/>
        <v>63325.03361</v>
      </c>
      <c r="BK150" s="246">
        <f t="shared" si="143"/>
        <v>64083.1712</v>
      </c>
      <c r="BL150" s="246">
        <f t="shared" si="143"/>
        <v>64839.25121</v>
      </c>
      <c r="BM150" s="246">
        <f t="shared" si="143"/>
        <v>65593.72097</v>
      </c>
      <c r="BN150" s="246">
        <f t="shared" si="143"/>
        <v>66347.01496</v>
      </c>
      <c r="BO150" s="246">
        <f t="shared" si="143"/>
        <v>67099.55734</v>
      </c>
      <c r="BP150" s="246">
        <f t="shared" si="143"/>
        <v>78347.98981</v>
      </c>
      <c r="BQ150" s="246">
        <f t="shared" si="143"/>
        <v>78901.16593</v>
      </c>
      <c r="BR150" s="246">
        <f t="shared" si="143"/>
        <v>79429.92351</v>
      </c>
      <c r="BS150" s="246">
        <f t="shared" si="143"/>
        <v>79986.27952</v>
      </c>
      <c r="BT150" s="246">
        <f t="shared" si="143"/>
        <v>80558.71004</v>
      </c>
      <c r="BU150" s="246">
        <f t="shared" si="143"/>
        <v>81138.55027</v>
      </c>
      <c r="BV150" s="246">
        <f t="shared" si="143"/>
        <v>81722.17602</v>
      </c>
      <c r="BW150" s="246">
        <f t="shared" si="143"/>
        <v>82307.73342</v>
      </c>
      <c r="BX150" s="246">
        <f t="shared" si="143"/>
        <v>82894.17582</v>
      </c>
      <c r="BY150" s="246">
        <f t="shared" si="143"/>
        <v>83480.90368</v>
      </c>
      <c r="BZ150" s="246">
        <f t="shared" si="143"/>
        <v>84067.59792</v>
      </c>
      <c r="CA150" s="246">
        <f t="shared" si="143"/>
        <v>84654.1278</v>
      </c>
    </row>
    <row r="151" ht="15.75" customHeight="1">
      <c r="A151" s="91"/>
      <c r="B151" s="5"/>
      <c r="C151" s="5"/>
      <c r="D151" s="5"/>
      <c r="E151" s="5"/>
      <c r="F151" s="5"/>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269">
        <f t="shared" ref="AF151:CA151" si="144">AF154+0.002</f>
        <v>0.022</v>
      </c>
      <c r="AG151" s="269">
        <f t="shared" si="144"/>
        <v>0.022</v>
      </c>
      <c r="AH151" s="269">
        <f t="shared" si="144"/>
        <v>0.022</v>
      </c>
      <c r="AI151" s="269">
        <f t="shared" si="144"/>
        <v>0.022</v>
      </c>
      <c r="AJ151" s="269">
        <f t="shared" si="144"/>
        <v>0.022</v>
      </c>
      <c r="AK151" s="269">
        <f t="shared" si="144"/>
        <v>0.022</v>
      </c>
      <c r="AL151" s="269">
        <f t="shared" si="144"/>
        <v>0.022</v>
      </c>
      <c r="AM151" s="269">
        <f t="shared" si="144"/>
        <v>0.022</v>
      </c>
      <c r="AN151" s="269">
        <f t="shared" si="144"/>
        <v>0.022</v>
      </c>
      <c r="AO151" s="269">
        <f t="shared" si="144"/>
        <v>0.022</v>
      </c>
      <c r="AP151" s="269">
        <f t="shared" si="144"/>
        <v>0.022</v>
      </c>
      <c r="AQ151" s="269">
        <f t="shared" si="144"/>
        <v>0.022</v>
      </c>
      <c r="AR151" s="269">
        <f t="shared" si="144"/>
        <v>0.022</v>
      </c>
      <c r="AS151" s="269">
        <f t="shared" si="144"/>
        <v>0.022</v>
      </c>
      <c r="AT151" s="269">
        <f t="shared" si="144"/>
        <v>0.022</v>
      </c>
      <c r="AU151" s="269">
        <f t="shared" si="144"/>
        <v>0.022</v>
      </c>
      <c r="AV151" s="269">
        <f t="shared" si="144"/>
        <v>0.022</v>
      </c>
      <c r="AW151" s="269">
        <f t="shared" si="144"/>
        <v>0.022</v>
      </c>
      <c r="AX151" s="269">
        <f t="shared" si="144"/>
        <v>0.022</v>
      </c>
      <c r="AY151" s="269">
        <f t="shared" si="144"/>
        <v>0.022</v>
      </c>
      <c r="AZ151" s="269">
        <f t="shared" si="144"/>
        <v>0.022</v>
      </c>
      <c r="BA151" s="269">
        <f t="shared" si="144"/>
        <v>0.022</v>
      </c>
      <c r="BB151" s="269">
        <f t="shared" si="144"/>
        <v>0.022</v>
      </c>
      <c r="BC151" s="269">
        <f t="shared" si="144"/>
        <v>0.022</v>
      </c>
      <c r="BD151" s="269">
        <f t="shared" si="144"/>
        <v>0.023</v>
      </c>
      <c r="BE151" s="269">
        <f t="shared" si="144"/>
        <v>0.023</v>
      </c>
      <c r="BF151" s="269">
        <f t="shared" si="144"/>
        <v>0.023</v>
      </c>
      <c r="BG151" s="269">
        <f t="shared" si="144"/>
        <v>0.023</v>
      </c>
      <c r="BH151" s="269">
        <f t="shared" si="144"/>
        <v>0.023</v>
      </c>
      <c r="BI151" s="269">
        <f t="shared" si="144"/>
        <v>0.023</v>
      </c>
      <c r="BJ151" s="269">
        <f t="shared" si="144"/>
        <v>0.023</v>
      </c>
      <c r="BK151" s="269">
        <f t="shared" si="144"/>
        <v>0.023</v>
      </c>
      <c r="BL151" s="269">
        <f t="shared" si="144"/>
        <v>0.023</v>
      </c>
      <c r="BM151" s="269">
        <f t="shared" si="144"/>
        <v>0.023</v>
      </c>
      <c r="BN151" s="269">
        <f t="shared" si="144"/>
        <v>0.023</v>
      </c>
      <c r="BO151" s="269">
        <f t="shared" si="144"/>
        <v>0.023</v>
      </c>
      <c r="BP151" s="269">
        <f t="shared" si="144"/>
        <v>0.026</v>
      </c>
      <c r="BQ151" s="269">
        <f t="shared" si="144"/>
        <v>0.026</v>
      </c>
      <c r="BR151" s="269">
        <f t="shared" si="144"/>
        <v>0.026</v>
      </c>
      <c r="BS151" s="269">
        <f t="shared" si="144"/>
        <v>0.026</v>
      </c>
      <c r="BT151" s="269">
        <f t="shared" si="144"/>
        <v>0.026</v>
      </c>
      <c r="BU151" s="269">
        <f t="shared" si="144"/>
        <v>0.026</v>
      </c>
      <c r="BV151" s="269">
        <f t="shared" si="144"/>
        <v>0.026</v>
      </c>
      <c r="BW151" s="269">
        <f t="shared" si="144"/>
        <v>0.026</v>
      </c>
      <c r="BX151" s="269">
        <f t="shared" si="144"/>
        <v>0.026</v>
      </c>
      <c r="BY151" s="269">
        <f t="shared" si="144"/>
        <v>0.026</v>
      </c>
      <c r="BZ151" s="269">
        <f t="shared" si="144"/>
        <v>0.026</v>
      </c>
      <c r="CA151" s="269">
        <f t="shared" si="144"/>
        <v>0.026</v>
      </c>
    </row>
    <row r="152" ht="15.75" customHeight="1">
      <c r="A152" s="91" t="s">
        <v>471</v>
      </c>
      <c r="B152" s="260" t="str">
        <f t="shared" ref="B152:R152" si="145">B153/B120</f>
        <v>#DIV/0!</v>
      </c>
      <c r="C152" s="260" t="str">
        <f t="shared" si="145"/>
        <v>#DIV/0!</v>
      </c>
      <c r="D152" s="260" t="str">
        <f t="shared" si="145"/>
        <v>#DIV/0!</v>
      </c>
      <c r="E152" s="260" t="str">
        <f t="shared" si="145"/>
        <v>#DIV/0!</v>
      </c>
      <c r="F152" s="260" t="str">
        <f t="shared" si="145"/>
        <v>#DIV/0!</v>
      </c>
      <c r="G152" s="260" t="str">
        <f t="shared" si="145"/>
        <v>#DIV/0!</v>
      </c>
      <c r="H152" s="260">
        <f t="shared" si="145"/>
        <v>-0.05140288327</v>
      </c>
      <c r="I152" s="260">
        <f t="shared" si="145"/>
        <v>-0.02687742651</v>
      </c>
      <c r="J152" s="260">
        <f t="shared" si="145"/>
        <v>-0.0507260233</v>
      </c>
      <c r="K152" s="260">
        <f t="shared" si="145"/>
        <v>-0.0194212557</v>
      </c>
      <c r="L152" s="260">
        <f t="shared" si="145"/>
        <v>-0.01113321407</v>
      </c>
      <c r="M152" s="260">
        <f t="shared" si="145"/>
        <v>-0.01925460592</v>
      </c>
      <c r="N152" s="260">
        <f t="shared" si="145"/>
        <v>-0.0235171193</v>
      </c>
      <c r="O152" s="260">
        <f t="shared" si="145"/>
        <v>-0.001270061728</v>
      </c>
      <c r="P152" s="260">
        <f t="shared" si="145"/>
        <v>-0.01016689655</v>
      </c>
      <c r="Q152" s="260">
        <f t="shared" si="145"/>
        <v>-0.007797023004</v>
      </c>
      <c r="R152" s="260">
        <f t="shared" si="145"/>
        <v>-0.002525703683</v>
      </c>
      <c r="S152" s="270">
        <v>0.0125</v>
      </c>
      <c r="T152" s="270">
        <v>0.0125</v>
      </c>
      <c r="U152" s="270">
        <v>0.0125</v>
      </c>
      <c r="V152" s="270">
        <v>0.0125</v>
      </c>
      <c r="W152" s="270">
        <v>0.0125</v>
      </c>
      <c r="X152" s="270">
        <v>0.02</v>
      </c>
      <c r="Y152" s="270">
        <v>0.02</v>
      </c>
      <c r="Z152" s="270">
        <v>0.02</v>
      </c>
      <c r="AA152" s="270">
        <v>0.02</v>
      </c>
      <c r="AB152" s="270">
        <v>0.02</v>
      </c>
      <c r="AC152" s="270">
        <v>0.02</v>
      </c>
      <c r="AD152" s="270">
        <v>0.02</v>
      </c>
      <c r="AE152" s="270">
        <v>0.02</v>
      </c>
      <c r="AF152" s="270">
        <f t="shared" ref="AF152:CA152" si="146">AE152</f>
        <v>0.02</v>
      </c>
      <c r="AG152" s="270">
        <f t="shared" si="146"/>
        <v>0.02</v>
      </c>
      <c r="AH152" s="270">
        <f t="shared" si="146"/>
        <v>0.02</v>
      </c>
      <c r="AI152" s="270">
        <f t="shared" si="146"/>
        <v>0.02</v>
      </c>
      <c r="AJ152" s="270">
        <f t="shared" si="146"/>
        <v>0.02</v>
      </c>
      <c r="AK152" s="270">
        <f t="shared" si="146"/>
        <v>0.02</v>
      </c>
      <c r="AL152" s="270">
        <f t="shared" si="146"/>
        <v>0.02</v>
      </c>
      <c r="AM152" s="270">
        <f t="shared" si="146"/>
        <v>0.02</v>
      </c>
      <c r="AN152" s="270">
        <f t="shared" si="146"/>
        <v>0.02</v>
      </c>
      <c r="AO152" s="270">
        <f t="shared" si="146"/>
        <v>0.02</v>
      </c>
      <c r="AP152" s="270">
        <f t="shared" si="146"/>
        <v>0.02</v>
      </c>
      <c r="AQ152" s="270">
        <f t="shared" si="146"/>
        <v>0.02</v>
      </c>
      <c r="AR152" s="270">
        <f t="shared" si="146"/>
        <v>0.02</v>
      </c>
      <c r="AS152" s="270">
        <f t="shared" si="146"/>
        <v>0.02</v>
      </c>
      <c r="AT152" s="270">
        <f t="shared" si="146"/>
        <v>0.02</v>
      </c>
      <c r="AU152" s="270">
        <f t="shared" si="146"/>
        <v>0.02</v>
      </c>
      <c r="AV152" s="270">
        <f t="shared" si="146"/>
        <v>0.02</v>
      </c>
      <c r="AW152" s="270">
        <f t="shared" si="146"/>
        <v>0.02</v>
      </c>
      <c r="AX152" s="270">
        <f t="shared" si="146"/>
        <v>0.02</v>
      </c>
      <c r="AY152" s="270">
        <f t="shared" si="146"/>
        <v>0.02</v>
      </c>
      <c r="AZ152" s="270">
        <f t="shared" si="146"/>
        <v>0.02</v>
      </c>
      <c r="BA152" s="270">
        <f t="shared" si="146"/>
        <v>0.02</v>
      </c>
      <c r="BB152" s="270">
        <f t="shared" si="146"/>
        <v>0.02</v>
      </c>
      <c r="BC152" s="270">
        <f t="shared" si="146"/>
        <v>0.02</v>
      </c>
      <c r="BD152" s="270">
        <f t="shared" si="146"/>
        <v>0.02</v>
      </c>
      <c r="BE152" s="270">
        <f t="shared" si="146"/>
        <v>0.02</v>
      </c>
      <c r="BF152" s="270">
        <f t="shared" si="146"/>
        <v>0.02</v>
      </c>
      <c r="BG152" s="270">
        <f t="shared" si="146"/>
        <v>0.02</v>
      </c>
      <c r="BH152" s="270">
        <f t="shared" si="146"/>
        <v>0.02</v>
      </c>
      <c r="BI152" s="270">
        <f t="shared" si="146"/>
        <v>0.02</v>
      </c>
      <c r="BJ152" s="270">
        <f t="shared" si="146"/>
        <v>0.02</v>
      </c>
      <c r="BK152" s="270">
        <f t="shared" si="146"/>
        <v>0.02</v>
      </c>
      <c r="BL152" s="270">
        <f t="shared" si="146"/>
        <v>0.02</v>
      </c>
      <c r="BM152" s="270">
        <f t="shared" si="146"/>
        <v>0.02</v>
      </c>
      <c r="BN152" s="270">
        <f t="shared" si="146"/>
        <v>0.02</v>
      </c>
      <c r="BO152" s="270">
        <f t="shared" si="146"/>
        <v>0.02</v>
      </c>
      <c r="BP152" s="270">
        <f t="shared" si="146"/>
        <v>0.02</v>
      </c>
      <c r="BQ152" s="270">
        <f t="shared" si="146"/>
        <v>0.02</v>
      </c>
      <c r="BR152" s="270">
        <f t="shared" si="146"/>
        <v>0.02</v>
      </c>
      <c r="BS152" s="270">
        <f t="shared" si="146"/>
        <v>0.02</v>
      </c>
      <c r="BT152" s="270">
        <f t="shared" si="146"/>
        <v>0.02</v>
      </c>
      <c r="BU152" s="270">
        <f t="shared" si="146"/>
        <v>0.02</v>
      </c>
      <c r="BV152" s="270">
        <f t="shared" si="146"/>
        <v>0.02</v>
      </c>
      <c r="BW152" s="270">
        <f t="shared" si="146"/>
        <v>0.02</v>
      </c>
      <c r="BX152" s="270">
        <f t="shared" si="146"/>
        <v>0.02</v>
      </c>
      <c r="BY152" s="270">
        <f t="shared" si="146"/>
        <v>0.02</v>
      </c>
      <c r="BZ152" s="270">
        <f t="shared" si="146"/>
        <v>0.02</v>
      </c>
      <c r="CA152" s="270">
        <f t="shared" si="146"/>
        <v>0.02</v>
      </c>
    </row>
    <row r="153" ht="15.75" customHeight="1">
      <c r="A153" s="132" t="s">
        <v>472</v>
      </c>
      <c r="B153" s="247">
        <f t="shared" ref="B153:R153" si="147">B143-SUM(B135:B141)</f>
        <v>-17344</v>
      </c>
      <c r="C153" s="247">
        <f t="shared" si="147"/>
        <v>-15840</v>
      </c>
      <c r="D153" s="247">
        <f t="shared" si="147"/>
        <v>-18004</v>
      </c>
      <c r="E153" s="247">
        <f t="shared" si="147"/>
        <v>-8531</v>
      </c>
      <c r="F153" s="247">
        <f t="shared" si="147"/>
        <v>-15507</v>
      </c>
      <c r="G153" s="247">
        <f t="shared" si="147"/>
        <v>-20646</v>
      </c>
      <c r="H153" s="247">
        <f t="shared" si="147"/>
        <v>-16580</v>
      </c>
      <c r="I153" s="247">
        <f t="shared" si="147"/>
        <v>-16961</v>
      </c>
      <c r="J153" s="247">
        <f t="shared" si="147"/>
        <v>-16978</v>
      </c>
      <c r="K153" s="247">
        <f t="shared" si="147"/>
        <v>-16611</v>
      </c>
      <c r="L153" s="247">
        <f t="shared" si="147"/>
        <v>-11669</v>
      </c>
      <c r="M153" s="247">
        <f t="shared" si="147"/>
        <v>-9802</v>
      </c>
      <c r="N153" s="247">
        <f t="shared" si="147"/>
        <v>-13617</v>
      </c>
      <c r="O153" s="247">
        <f t="shared" si="147"/>
        <v>-1646</v>
      </c>
      <c r="P153" s="247">
        <f t="shared" si="147"/>
        <v>-7371</v>
      </c>
      <c r="Q153" s="247">
        <f t="shared" si="147"/>
        <v>-2881</v>
      </c>
      <c r="R153" s="247">
        <f t="shared" si="147"/>
        <v>-2434</v>
      </c>
      <c r="S153" s="271">
        <f t="shared" ref="S153:CA153" si="148">S120*S152</f>
        <v>8052.540793</v>
      </c>
      <c r="T153" s="271">
        <f t="shared" si="148"/>
        <v>8997.206873</v>
      </c>
      <c r="U153" s="271">
        <f t="shared" si="148"/>
        <v>10762.27123</v>
      </c>
      <c r="V153" s="271">
        <f t="shared" si="148"/>
        <v>13092.38449</v>
      </c>
      <c r="W153" s="271">
        <f t="shared" si="148"/>
        <v>14923.82314</v>
      </c>
      <c r="X153" s="271">
        <f t="shared" si="148"/>
        <v>24902.16102</v>
      </c>
      <c r="Y153" s="271">
        <f t="shared" si="148"/>
        <v>25416.9212</v>
      </c>
      <c r="Z153" s="271">
        <f t="shared" si="148"/>
        <v>25942.72887</v>
      </c>
      <c r="AA153" s="271">
        <f t="shared" si="148"/>
        <v>26428.90395</v>
      </c>
      <c r="AB153" s="271">
        <f t="shared" si="148"/>
        <v>28241.32451</v>
      </c>
      <c r="AC153" s="271">
        <f t="shared" si="148"/>
        <v>29429.58995</v>
      </c>
      <c r="AD153" s="246">
        <f t="shared" si="148"/>
        <v>30512.43413</v>
      </c>
      <c r="AE153" s="246">
        <f t="shared" si="148"/>
        <v>31987.13414</v>
      </c>
      <c r="AF153" s="246">
        <f t="shared" si="148"/>
        <v>22460.3341</v>
      </c>
      <c r="AG153" s="246">
        <f t="shared" si="148"/>
        <v>26408.86809</v>
      </c>
      <c r="AH153" s="246">
        <f t="shared" si="148"/>
        <v>26693.94875</v>
      </c>
      <c r="AI153" s="246">
        <f t="shared" si="148"/>
        <v>26982.36952</v>
      </c>
      <c r="AJ153" s="246">
        <f t="shared" si="148"/>
        <v>27274.17109</v>
      </c>
      <c r="AK153" s="246">
        <f t="shared" si="148"/>
        <v>27569.39469</v>
      </c>
      <c r="AL153" s="246">
        <f t="shared" si="148"/>
        <v>27868.08208</v>
      </c>
      <c r="AM153" s="246">
        <f t="shared" si="148"/>
        <v>28170.27549</v>
      </c>
      <c r="AN153" s="246">
        <f t="shared" si="148"/>
        <v>28476.01773</v>
      </c>
      <c r="AO153" s="246">
        <f t="shared" si="148"/>
        <v>28785.35212</v>
      </c>
      <c r="AP153" s="246">
        <f t="shared" si="148"/>
        <v>29098.32251</v>
      </c>
      <c r="AQ153" s="246">
        <f t="shared" si="148"/>
        <v>29414.97331</v>
      </c>
      <c r="AR153" s="246">
        <f t="shared" si="148"/>
        <v>29732.98971</v>
      </c>
      <c r="AS153" s="246">
        <f t="shared" si="148"/>
        <v>30046.03099</v>
      </c>
      <c r="AT153" s="246">
        <f t="shared" si="148"/>
        <v>30362.61484</v>
      </c>
      <c r="AU153" s="246">
        <f t="shared" si="148"/>
        <v>30682.78272</v>
      </c>
      <c r="AV153" s="246">
        <f t="shared" si="148"/>
        <v>31006.57658</v>
      </c>
      <c r="AW153" s="246">
        <f t="shared" si="148"/>
        <v>31334.0389</v>
      </c>
      <c r="AX153" s="246">
        <f t="shared" si="148"/>
        <v>31665.21262</v>
      </c>
      <c r="AY153" s="246">
        <f t="shared" si="148"/>
        <v>32000.14121</v>
      </c>
      <c r="AZ153" s="246">
        <f t="shared" si="148"/>
        <v>32338.86868</v>
      </c>
      <c r="BA153" s="246">
        <f t="shared" si="148"/>
        <v>32681.43952</v>
      </c>
      <c r="BB153" s="246">
        <f t="shared" si="148"/>
        <v>33027.89879</v>
      </c>
      <c r="BC153" s="246">
        <f t="shared" si="148"/>
        <v>33378.29204</v>
      </c>
      <c r="BD153" s="246">
        <f t="shared" si="148"/>
        <v>33412.29538</v>
      </c>
      <c r="BE153" s="246">
        <f t="shared" si="148"/>
        <v>33846.33674</v>
      </c>
      <c r="BF153" s="246">
        <f t="shared" si="148"/>
        <v>31819.77321</v>
      </c>
      <c r="BG153" s="246">
        <f t="shared" si="148"/>
        <v>32239.21033</v>
      </c>
      <c r="BH153" s="246">
        <f t="shared" si="148"/>
        <v>32666.07829</v>
      </c>
      <c r="BI153" s="246">
        <f t="shared" si="148"/>
        <v>33100.55009</v>
      </c>
      <c r="BJ153" s="246">
        <f t="shared" si="148"/>
        <v>33542.80361</v>
      </c>
      <c r="BK153" s="246">
        <f t="shared" si="148"/>
        <v>33993.02167</v>
      </c>
      <c r="BL153" s="246">
        <f t="shared" si="148"/>
        <v>34451.39226</v>
      </c>
      <c r="BM153" s="246">
        <f t="shared" si="148"/>
        <v>34918.10865</v>
      </c>
      <c r="BN153" s="246">
        <f t="shared" si="148"/>
        <v>35393.36957</v>
      </c>
      <c r="BO153" s="246">
        <f t="shared" si="148"/>
        <v>35877.37937</v>
      </c>
      <c r="BP153" s="246">
        <f t="shared" si="148"/>
        <v>36901.38185</v>
      </c>
      <c r="BQ153" s="246">
        <f t="shared" si="148"/>
        <v>37068.57857</v>
      </c>
      <c r="BR153" s="246">
        <f t="shared" si="148"/>
        <v>34684.87562</v>
      </c>
      <c r="BS153" s="246">
        <f t="shared" si="148"/>
        <v>34836.60754</v>
      </c>
      <c r="BT153" s="246">
        <f t="shared" si="148"/>
        <v>34995.52478</v>
      </c>
      <c r="BU153" s="246">
        <f t="shared" si="148"/>
        <v>35161.56739</v>
      </c>
      <c r="BV153" s="246">
        <f t="shared" si="148"/>
        <v>35334.67852</v>
      </c>
      <c r="BW153" s="246">
        <f t="shared" si="148"/>
        <v>35514.80429</v>
      </c>
      <c r="BX153" s="246">
        <f t="shared" si="148"/>
        <v>35701.89383</v>
      </c>
      <c r="BY153" s="246">
        <f t="shared" si="148"/>
        <v>35895.89912</v>
      </c>
      <c r="BZ153" s="246">
        <f t="shared" si="148"/>
        <v>36096.77498</v>
      </c>
      <c r="CA153" s="246">
        <f t="shared" si="148"/>
        <v>36304.47904</v>
      </c>
    </row>
    <row r="154" ht="15.75" customHeight="1">
      <c r="A154" s="91" t="s">
        <v>473</v>
      </c>
      <c r="B154" s="263">
        <f t="shared" ref="B154:G154" si="149">B156/B116</f>
        <v>0.001628994045</v>
      </c>
      <c r="C154" s="263">
        <f t="shared" si="149"/>
        <v>0.001551807049</v>
      </c>
      <c r="D154" s="263">
        <f t="shared" si="149"/>
        <v>0.002049908346</v>
      </c>
      <c r="E154" s="263">
        <f t="shared" si="149"/>
        <v>0.001324257104</v>
      </c>
      <c r="F154" s="263">
        <f t="shared" si="149"/>
        <v>0.001175734814</v>
      </c>
      <c r="G154" s="263">
        <f t="shared" si="149"/>
        <v>0.00119165733</v>
      </c>
      <c r="H154" s="263">
        <f t="shared" ref="H154:R154" si="150">H156/H118</f>
        <v>0.0001406920783</v>
      </c>
      <c r="I154" s="263">
        <f t="shared" si="150"/>
        <v>0.0001891628081</v>
      </c>
      <c r="J154" s="263">
        <f t="shared" si="150"/>
        <v>0.0002057317014</v>
      </c>
      <c r="K154" s="263">
        <f t="shared" si="150"/>
        <v>0.0002020400321</v>
      </c>
      <c r="L154" s="263">
        <f t="shared" si="150"/>
        <v>0.0002283326507</v>
      </c>
      <c r="M154" s="263">
        <f t="shared" si="150"/>
        <v>0.0001981243354</v>
      </c>
      <c r="N154" s="263">
        <f t="shared" si="150"/>
        <v>0.000256540451</v>
      </c>
      <c r="O154" s="263">
        <f t="shared" si="150"/>
        <v>0.0002008720539</v>
      </c>
      <c r="P154" s="263">
        <f t="shared" si="150"/>
        <v>0.00008472429954</v>
      </c>
      <c r="Q154" s="263">
        <f t="shared" si="150"/>
        <v>0.0003167495029</v>
      </c>
      <c r="R154" s="263">
        <f t="shared" si="150"/>
        <v>0.0002082420546</v>
      </c>
      <c r="S154" s="266">
        <v>0.017</v>
      </c>
      <c r="T154" s="266">
        <v>0.02</v>
      </c>
      <c r="U154" s="266">
        <v>0.02</v>
      </c>
      <c r="V154" s="266">
        <v>0.02</v>
      </c>
      <c r="W154" s="266">
        <v>0.02</v>
      </c>
      <c r="X154" s="266">
        <v>0.02</v>
      </c>
      <c r="Y154" s="266">
        <v>0.02</v>
      </c>
      <c r="Z154" s="266">
        <v>0.02</v>
      </c>
      <c r="AA154" s="266">
        <v>0.02</v>
      </c>
      <c r="AB154" s="266">
        <v>0.02</v>
      </c>
      <c r="AC154" s="266">
        <v>0.02</v>
      </c>
      <c r="AD154" s="266">
        <v>0.02</v>
      </c>
      <c r="AE154" s="266">
        <v>0.02</v>
      </c>
      <c r="AF154" s="266">
        <v>0.02</v>
      </c>
      <c r="AG154" s="266">
        <v>0.02</v>
      </c>
      <c r="AH154" s="266">
        <v>0.02</v>
      </c>
      <c r="AI154" s="266">
        <v>0.02</v>
      </c>
      <c r="AJ154" s="266">
        <v>0.02</v>
      </c>
      <c r="AK154" s="266">
        <v>0.02</v>
      </c>
      <c r="AL154" s="266">
        <v>0.02</v>
      </c>
      <c r="AM154" s="266">
        <v>0.02</v>
      </c>
      <c r="AN154" s="266">
        <v>0.02</v>
      </c>
      <c r="AO154" s="266">
        <v>0.02</v>
      </c>
      <c r="AP154" s="266">
        <v>0.02</v>
      </c>
      <c r="AQ154" s="266">
        <v>0.02</v>
      </c>
      <c r="AR154" s="266">
        <v>0.02</v>
      </c>
      <c r="AS154" s="266">
        <v>0.02</v>
      </c>
      <c r="AT154" s="266">
        <v>0.02</v>
      </c>
      <c r="AU154" s="266">
        <v>0.02</v>
      </c>
      <c r="AV154" s="266">
        <v>0.02</v>
      </c>
      <c r="AW154" s="266">
        <v>0.02</v>
      </c>
      <c r="AX154" s="266">
        <v>0.02</v>
      </c>
      <c r="AY154" s="266">
        <v>0.02</v>
      </c>
      <c r="AZ154" s="266">
        <v>0.02</v>
      </c>
      <c r="BA154" s="266">
        <v>0.02</v>
      </c>
      <c r="BB154" s="266">
        <v>0.02</v>
      </c>
      <c r="BC154" s="266">
        <v>0.02</v>
      </c>
      <c r="BD154" s="266">
        <v>0.021</v>
      </c>
      <c r="BE154" s="266">
        <v>0.021</v>
      </c>
      <c r="BF154" s="266">
        <v>0.021</v>
      </c>
      <c r="BG154" s="266">
        <v>0.021</v>
      </c>
      <c r="BH154" s="266">
        <v>0.021</v>
      </c>
      <c r="BI154" s="266">
        <v>0.021</v>
      </c>
      <c r="BJ154" s="266">
        <v>0.021</v>
      </c>
      <c r="BK154" s="266">
        <v>0.021</v>
      </c>
      <c r="BL154" s="266">
        <v>0.021</v>
      </c>
      <c r="BM154" s="266">
        <v>0.021</v>
      </c>
      <c r="BN154" s="266">
        <v>0.021</v>
      </c>
      <c r="BO154" s="266">
        <v>0.021</v>
      </c>
      <c r="BP154" s="266">
        <v>0.024</v>
      </c>
      <c r="BQ154" s="266">
        <v>0.024</v>
      </c>
      <c r="BR154" s="266">
        <v>0.024</v>
      </c>
      <c r="BS154" s="266">
        <v>0.024</v>
      </c>
      <c r="BT154" s="266">
        <v>0.024</v>
      </c>
      <c r="BU154" s="266">
        <v>0.024</v>
      </c>
      <c r="BV154" s="266">
        <v>0.024</v>
      </c>
      <c r="BW154" s="266">
        <v>0.024</v>
      </c>
      <c r="BX154" s="266">
        <v>0.024</v>
      </c>
      <c r="BY154" s="266">
        <v>0.024</v>
      </c>
      <c r="BZ154" s="266">
        <v>0.024</v>
      </c>
      <c r="CA154" s="266">
        <v>0.024</v>
      </c>
    </row>
    <row r="155" ht="15.75" customHeight="1">
      <c r="A155" s="132" t="s">
        <v>474</v>
      </c>
      <c r="B155" s="247"/>
      <c r="C155" s="247"/>
      <c r="D155" s="247"/>
      <c r="E155" s="247"/>
      <c r="F155" s="247"/>
      <c r="G155" s="247"/>
      <c r="H155" s="247"/>
      <c r="I155" s="247"/>
      <c r="J155" s="247"/>
      <c r="K155" s="247"/>
      <c r="L155" s="247"/>
      <c r="M155" s="247"/>
      <c r="N155" s="247"/>
      <c r="O155" s="247"/>
      <c r="P155" s="247"/>
      <c r="Q155" s="247"/>
      <c r="R155" s="247"/>
      <c r="S155" s="246"/>
      <c r="T155" s="271">
        <f t="shared" ref="T155:CA155" si="151">T118*T154</f>
        <v>56465.19</v>
      </c>
      <c r="U155" s="271">
        <f t="shared" si="151"/>
        <v>62111.709</v>
      </c>
      <c r="V155" s="271">
        <f t="shared" si="151"/>
        <v>62111.709</v>
      </c>
      <c r="W155" s="271">
        <f t="shared" si="151"/>
        <v>62111.709</v>
      </c>
      <c r="X155" s="271">
        <f t="shared" si="151"/>
        <v>62111.709</v>
      </c>
      <c r="Y155" s="271">
        <f t="shared" si="151"/>
        <v>63178.66368</v>
      </c>
      <c r="Z155" s="271">
        <f t="shared" si="151"/>
        <v>63178.66368</v>
      </c>
      <c r="AA155" s="271">
        <f t="shared" si="151"/>
        <v>63178.66368</v>
      </c>
      <c r="AB155" s="271">
        <f t="shared" si="151"/>
        <v>63178.66368</v>
      </c>
      <c r="AC155" s="271">
        <f t="shared" si="151"/>
        <v>60684.67984</v>
      </c>
      <c r="AD155" s="271">
        <f t="shared" si="151"/>
        <v>60684.67984</v>
      </c>
      <c r="AE155" s="271">
        <f t="shared" si="151"/>
        <v>60684.67984</v>
      </c>
      <c r="AF155" s="271">
        <f t="shared" si="151"/>
        <v>61372.57342</v>
      </c>
      <c r="AG155" s="271">
        <f t="shared" si="151"/>
        <v>46392.64989</v>
      </c>
      <c r="AH155" s="271">
        <f t="shared" si="151"/>
        <v>44718.49061</v>
      </c>
      <c r="AI155" s="271">
        <f t="shared" si="151"/>
        <v>44892.58307</v>
      </c>
      <c r="AJ155" s="271">
        <f t="shared" si="151"/>
        <v>45067.54598</v>
      </c>
      <c r="AK155" s="271">
        <f t="shared" si="151"/>
        <v>45499.50421</v>
      </c>
      <c r="AL155" s="271">
        <f t="shared" si="151"/>
        <v>45677.50173</v>
      </c>
      <c r="AM155" s="271">
        <f t="shared" si="151"/>
        <v>45856.38924</v>
      </c>
      <c r="AN155" s="271">
        <f t="shared" si="151"/>
        <v>46036.17118</v>
      </c>
      <c r="AO155" s="271">
        <f t="shared" si="151"/>
        <v>46216.85204</v>
      </c>
      <c r="AP155" s="271">
        <f t="shared" si="151"/>
        <v>46398.4363</v>
      </c>
      <c r="AQ155" s="271">
        <f t="shared" si="151"/>
        <v>46580.92848</v>
      </c>
      <c r="AR155" s="271">
        <f t="shared" si="151"/>
        <v>47031.60222</v>
      </c>
      <c r="AS155" s="271">
        <f t="shared" si="151"/>
        <v>47402.91824</v>
      </c>
      <c r="AT155" s="271">
        <f t="shared" si="151"/>
        <v>47590.43283</v>
      </c>
      <c r="AU155" s="271">
        <f t="shared" si="151"/>
        <v>47778.885</v>
      </c>
      <c r="AV155" s="271">
        <f t="shared" si="151"/>
        <v>47968.27942</v>
      </c>
      <c r="AW155" s="271">
        <f t="shared" si="151"/>
        <v>47778.885</v>
      </c>
      <c r="AX155" s="271">
        <f t="shared" si="151"/>
        <v>47968.27942</v>
      </c>
      <c r="AY155" s="271">
        <f t="shared" si="151"/>
        <v>48158.62082</v>
      </c>
      <c r="AZ155" s="271">
        <f t="shared" si="151"/>
        <v>48349.91392</v>
      </c>
      <c r="BA155" s="271">
        <f t="shared" si="151"/>
        <v>48542.16349</v>
      </c>
      <c r="BB155" s="271">
        <f t="shared" si="151"/>
        <v>48735.37431</v>
      </c>
      <c r="BC155" s="271">
        <f t="shared" si="151"/>
        <v>48929.55118</v>
      </c>
      <c r="BD155" s="271">
        <f t="shared" si="151"/>
        <v>51580.93388</v>
      </c>
      <c r="BE155" s="271">
        <f t="shared" si="151"/>
        <v>51786.86355</v>
      </c>
      <c r="BF155" s="271">
        <f t="shared" si="151"/>
        <v>53389.60739</v>
      </c>
      <c r="BG155" s="271">
        <f t="shared" si="151"/>
        <v>52619.1731</v>
      </c>
      <c r="BH155" s="271">
        <f t="shared" si="151"/>
        <v>52830.29396</v>
      </c>
      <c r="BI155" s="271">
        <f t="shared" si="151"/>
        <v>53042.47043</v>
      </c>
      <c r="BJ155" s="271">
        <f t="shared" si="151"/>
        <v>53255.70779</v>
      </c>
      <c r="BK155" s="271">
        <f t="shared" si="151"/>
        <v>53470.01132</v>
      </c>
      <c r="BL155" s="271">
        <f t="shared" si="151"/>
        <v>53685.38638</v>
      </c>
      <c r="BM155" s="271">
        <f t="shared" si="151"/>
        <v>53901.83831</v>
      </c>
      <c r="BN155" s="271">
        <f t="shared" si="151"/>
        <v>54119.3725</v>
      </c>
      <c r="BO155" s="271">
        <f t="shared" si="151"/>
        <v>54337.99437</v>
      </c>
      <c r="BP155" s="271">
        <f t="shared" si="151"/>
        <v>62351.66782</v>
      </c>
      <c r="BQ155" s="271">
        <f t="shared" si="151"/>
        <v>62604.02616</v>
      </c>
      <c r="BR155" s="271">
        <f t="shared" si="151"/>
        <v>62857.64629</v>
      </c>
      <c r="BS155" s="271">
        <f t="shared" si="151"/>
        <v>57759.88166</v>
      </c>
      <c r="BT155" s="271">
        <f t="shared" si="151"/>
        <v>57989.28107</v>
      </c>
      <c r="BU155" s="271">
        <f t="shared" si="151"/>
        <v>58219.82747</v>
      </c>
      <c r="BV155" s="271">
        <f t="shared" si="151"/>
        <v>58451.52661</v>
      </c>
      <c r="BW155" s="271">
        <f t="shared" si="151"/>
        <v>58684.38424</v>
      </c>
      <c r="BX155" s="271">
        <f t="shared" si="151"/>
        <v>58918.40616</v>
      </c>
      <c r="BY155" s="271">
        <f t="shared" si="151"/>
        <v>59153.59819</v>
      </c>
      <c r="BZ155" s="271">
        <f t="shared" si="151"/>
        <v>59389.96618</v>
      </c>
      <c r="CA155" s="271">
        <f t="shared" si="151"/>
        <v>59627.51602</v>
      </c>
    </row>
    <row r="156" ht="15.75" customHeight="1">
      <c r="A156" s="132" t="s">
        <v>230</v>
      </c>
      <c r="B156" s="247">
        <f t="array" ref="B156">INDEX('IS Proforma'!$1:$1048490,MATCH($A156,'IS Proforma'!$C:$C,0),MATCH(B$4,'IS Proforma'!$4:$4))</f>
        <v>1908</v>
      </c>
      <c r="C156" s="247">
        <f t="array" ref="C156">INDEX('IS Proforma'!$1:$1048490,MATCH($A156,'IS Proforma'!$C:$C,0),MATCH(C$4,'IS Proforma'!$4:$4))</f>
        <v>1578</v>
      </c>
      <c r="D156" s="247">
        <f t="array" ref="D156">INDEX('IS Proforma'!$1:$1048490,MATCH($A156,'IS Proforma'!$C:$C,0),MATCH(D$4,'IS Proforma'!$4:$4))</f>
        <v>2458</v>
      </c>
      <c r="E156" s="247">
        <f t="array" ref="E156">INDEX('IS Proforma'!$1:$1048490,MATCH($A156,'IS Proforma'!$C:$C,0),MATCH(E$4,'IS Proforma'!$4:$4))</f>
        <v>1781</v>
      </c>
      <c r="F156" s="247">
        <f t="array" ref="F156">INDEX('IS Proforma'!$1:$1048490,MATCH($A156,'IS Proforma'!$C:$C,0),MATCH(F$4,'IS Proforma'!$4:$4))</f>
        <v>1425</v>
      </c>
      <c r="G156" s="247">
        <f t="array" ref="G156">INDEX('IS Proforma'!$1:$1048490,MATCH($A156,'IS Proforma'!$C:$C,0),MATCH(G$4,'IS Proforma'!$4:$4))</f>
        <v>1338</v>
      </c>
      <c r="H156" s="247">
        <f t="array" ref="H156">INDEX('IS Proforma'!$1:$1048490,MATCH($A156,'IS Proforma'!$C:$C,0),MATCH(H$4,'IS Proforma'!$4:$4))</f>
        <v>1110</v>
      </c>
      <c r="I156" s="247">
        <f t="array" ref="I156">INDEX('IS Proforma'!$1:$1048490,MATCH($A156,'IS Proforma'!$C:$C,0),MATCH(I$4,'IS Proforma'!$4:$4))</f>
        <v>1905</v>
      </c>
      <c r="J156" s="247">
        <f t="array" ref="J156">INDEX('IS Proforma'!$1:$1048490,MATCH($A156,'IS Proforma'!$C:$C,0),MATCH(J$4,'IS Proforma'!$4:$4))</f>
        <v>2287</v>
      </c>
      <c r="K156" s="247">
        <f t="array" ref="K156">INDEX('IS Proforma'!$1:$1048490,MATCH($A156,'IS Proforma'!$C:$C,0),MATCH(K$4,'IS Proforma'!$4:$4))</f>
        <v>2048</v>
      </c>
      <c r="L156" s="247">
        <f t="array" ref="L156">INDEX('IS Proforma'!$1:$1048490,MATCH($A156,'IS Proforma'!$C:$C,0),MATCH(L$4,'IS Proforma'!$4:$4))</f>
        <v>1271</v>
      </c>
      <c r="M156" s="247">
        <f t="array" ref="M156">INDEX('IS Proforma'!$1:$1048490,MATCH($A156,'IS Proforma'!$C:$C,0),MATCH(M$4,'IS Proforma'!$4:$4))</f>
        <v>1961</v>
      </c>
      <c r="N156" s="247">
        <f t="array" ref="N156">INDEX('IS Proforma'!$1:$1048490,MATCH($A156,'IS Proforma'!$C:$C,0),MATCH(N$4,'IS Proforma'!$4:$4))</f>
        <v>2362</v>
      </c>
      <c r="O156" s="247">
        <f t="array" ref="O156">INDEX('IS Proforma'!$1:$1048490,MATCH($A156,'IS Proforma'!$C:$C,0),MATCH(O$4,'IS Proforma'!$4:$4))</f>
        <v>1582</v>
      </c>
      <c r="P156" s="247">
        <f t="array" ref="P156">INDEX('IS Proforma'!$1:$1048490,MATCH($A156,'IS Proforma'!$C:$C,0),MATCH(P$4,'IS Proforma'!$4:$4))</f>
        <v>1027</v>
      </c>
      <c r="Q156" s="247">
        <f t="array" ref="Q156">INDEX('IS Proforma'!$1:$1048490,MATCH($A156,'IS Proforma'!$C:$C,0),MATCH(Q$4,'IS Proforma'!$4:$4))</f>
        <v>2134</v>
      </c>
      <c r="R156" s="247">
        <f t="array" ref="R156">INDEX('IS Proforma'!$1:$1048490,MATCH($A156,'IS Proforma'!$C:$C,0),MATCH(R$4,'IS Proforma'!$4:$4))</f>
        <v>2058</v>
      </c>
      <c r="S156" s="246">
        <f>S118*S154</f>
        <v>39336.9375</v>
      </c>
      <c r="T156" s="246">
        <f t="shared" ref="T156:CA156" si="152">T155+T153</f>
        <v>65462.39687</v>
      </c>
      <c r="U156" s="246">
        <f t="shared" si="152"/>
        <v>72873.98023</v>
      </c>
      <c r="V156" s="246">
        <f t="shared" si="152"/>
        <v>75204.09349</v>
      </c>
      <c r="W156" s="246">
        <f t="shared" si="152"/>
        <v>77035.53214</v>
      </c>
      <c r="X156" s="246">
        <f t="shared" si="152"/>
        <v>87013.87002</v>
      </c>
      <c r="Y156" s="246">
        <f t="shared" si="152"/>
        <v>88595.58488</v>
      </c>
      <c r="Z156" s="246">
        <f t="shared" si="152"/>
        <v>89121.39255</v>
      </c>
      <c r="AA156" s="246">
        <f t="shared" si="152"/>
        <v>89607.56763</v>
      </c>
      <c r="AB156" s="246">
        <f t="shared" si="152"/>
        <v>91419.98819</v>
      </c>
      <c r="AC156" s="246">
        <f t="shared" si="152"/>
        <v>90114.26979</v>
      </c>
      <c r="AD156" s="246">
        <f t="shared" si="152"/>
        <v>91197.11396</v>
      </c>
      <c r="AE156" s="246">
        <f t="shared" si="152"/>
        <v>92671.81397</v>
      </c>
      <c r="AF156" s="246">
        <f t="shared" si="152"/>
        <v>83832.90752</v>
      </c>
      <c r="AG156" s="246">
        <f t="shared" si="152"/>
        <v>72801.51798</v>
      </c>
      <c r="AH156" s="246">
        <f t="shared" si="152"/>
        <v>71412.43937</v>
      </c>
      <c r="AI156" s="246">
        <f t="shared" si="152"/>
        <v>71874.95258</v>
      </c>
      <c r="AJ156" s="246">
        <f t="shared" si="152"/>
        <v>72341.71707</v>
      </c>
      <c r="AK156" s="246">
        <f t="shared" si="152"/>
        <v>73068.8989</v>
      </c>
      <c r="AL156" s="246">
        <f t="shared" si="152"/>
        <v>73545.58381</v>
      </c>
      <c r="AM156" s="246">
        <f t="shared" si="152"/>
        <v>74026.66473</v>
      </c>
      <c r="AN156" s="246">
        <f t="shared" si="152"/>
        <v>74512.18892</v>
      </c>
      <c r="AO156" s="246">
        <f t="shared" si="152"/>
        <v>75002.20416</v>
      </c>
      <c r="AP156" s="246">
        <f t="shared" si="152"/>
        <v>75496.75881</v>
      </c>
      <c r="AQ156" s="246">
        <f t="shared" si="152"/>
        <v>75995.9018</v>
      </c>
      <c r="AR156" s="246">
        <f t="shared" si="152"/>
        <v>76764.59193</v>
      </c>
      <c r="AS156" s="246">
        <f t="shared" si="152"/>
        <v>77448.94923</v>
      </c>
      <c r="AT156" s="246">
        <f t="shared" si="152"/>
        <v>77953.04767</v>
      </c>
      <c r="AU156" s="246">
        <f t="shared" si="152"/>
        <v>78461.66771</v>
      </c>
      <c r="AV156" s="246">
        <f t="shared" si="152"/>
        <v>78974.856</v>
      </c>
      <c r="AW156" s="246">
        <f t="shared" si="152"/>
        <v>79112.92389</v>
      </c>
      <c r="AX156" s="246">
        <f t="shared" si="152"/>
        <v>79633.49204</v>
      </c>
      <c r="AY156" s="246">
        <f t="shared" si="152"/>
        <v>80158.76203</v>
      </c>
      <c r="AZ156" s="246">
        <f t="shared" si="152"/>
        <v>80688.7826</v>
      </c>
      <c r="BA156" s="246">
        <f t="shared" si="152"/>
        <v>81223.60302</v>
      </c>
      <c r="BB156" s="246">
        <f t="shared" si="152"/>
        <v>81763.2731</v>
      </c>
      <c r="BC156" s="246">
        <f t="shared" si="152"/>
        <v>82307.84322</v>
      </c>
      <c r="BD156" s="246">
        <f t="shared" si="152"/>
        <v>84993.22926</v>
      </c>
      <c r="BE156" s="246">
        <f t="shared" si="152"/>
        <v>85633.20029</v>
      </c>
      <c r="BF156" s="246">
        <f t="shared" si="152"/>
        <v>85209.3806</v>
      </c>
      <c r="BG156" s="246">
        <f t="shared" si="152"/>
        <v>84858.38343</v>
      </c>
      <c r="BH156" s="246">
        <f t="shared" si="152"/>
        <v>85496.37225</v>
      </c>
      <c r="BI156" s="246">
        <f t="shared" si="152"/>
        <v>86143.02053</v>
      </c>
      <c r="BJ156" s="246">
        <f t="shared" si="152"/>
        <v>86798.51139</v>
      </c>
      <c r="BK156" s="246">
        <f t="shared" si="152"/>
        <v>87463.03299</v>
      </c>
      <c r="BL156" s="246">
        <f t="shared" si="152"/>
        <v>88136.77864</v>
      </c>
      <c r="BM156" s="246">
        <f t="shared" si="152"/>
        <v>88819.94696</v>
      </c>
      <c r="BN156" s="246">
        <f t="shared" si="152"/>
        <v>89512.74207</v>
      </c>
      <c r="BO156" s="246">
        <f t="shared" si="152"/>
        <v>90215.37374</v>
      </c>
      <c r="BP156" s="246">
        <f t="shared" si="152"/>
        <v>99253.04967</v>
      </c>
      <c r="BQ156" s="246">
        <f t="shared" si="152"/>
        <v>99672.60472</v>
      </c>
      <c r="BR156" s="246">
        <f t="shared" si="152"/>
        <v>97542.5219</v>
      </c>
      <c r="BS156" s="246">
        <f t="shared" si="152"/>
        <v>92596.4892</v>
      </c>
      <c r="BT156" s="246">
        <f t="shared" si="152"/>
        <v>92984.80585</v>
      </c>
      <c r="BU156" s="246">
        <f t="shared" si="152"/>
        <v>93381.39487</v>
      </c>
      <c r="BV156" s="246">
        <f t="shared" si="152"/>
        <v>93786.20512</v>
      </c>
      <c r="BW156" s="246">
        <f t="shared" si="152"/>
        <v>94199.18854</v>
      </c>
      <c r="BX156" s="246">
        <f t="shared" si="152"/>
        <v>94620.29999</v>
      </c>
      <c r="BY156" s="246">
        <f t="shared" si="152"/>
        <v>95049.49731</v>
      </c>
      <c r="BZ156" s="246">
        <f t="shared" si="152"/>
        <v>95486.74117</v>
      </c>
      <c r="CA156" s="246">
        <f t="shared" si="152"/>
        <v>95931.99506</v>
      </c>
    </row>
    <row r="157" ht="15.75" customHeight="1">
      <c r="A157" s="91"/>
      <c r="B157" s="91"/>
      <c r="C157" s="91"/>
      <c r="D157" s="91"/>
      <c r="E157" s="91"/>
      <c r="F157" s="91"/>
      <c r="G157" s="91"/>
      <c r="H157" s="91"/>
      <c r="I157" s="91"/>
      <c r="J157" s="263"/>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row>
    <row r="158" ht="15.75" customHeight="1">
      <c r="A158" s="91"/>
      <c r="B158" s="91"/>
      <c r="C158" s="91"/>
      <c r="D158" s="91"/>
      <c r="E158" s="91"/>
      <c r="F158" s="91"/>
      <c r="G158" s="91"/>
      <c r="H158" s="91"/>
      <c r="I158" s="91"/>
      <c r="J158" s="91"/>
      <c r="K158" s="91"/>
      <c r="L158" s="91"/>
      <c r="M158" s="91"/>
      <c r="N158" s="91"/>
      <c r="O158" s="91"/>
      <c r="P158" s="91"/>
      <c r="Q158" s="91"/>
      <c r="R158" s="91"/>
      <c r="S158" s="91"/>
      <c r="T158" s="269">
        <f t="shared" ref="T158:CA158" si="153">T154+0.5%</f>
        <v>0.025</v>
      </c>
      <c r="U158" s="269">
        <f t="shared" si="153"/>
        <v>0.025</v>
      </c>
      <c r="V158" s="269">
        <f t="shared" si="153"/>
        <v>0.025</v>
      </c>
      <c r="W158" s="269">
        <f t="shared" si="153"/>
        <v>0.025</v>
      </c>
      <c r="X158" s="269">
        <f t="shared" si="153"/>
        <v>0.025</v>
      </c>
      <c r="Y158" s="269">
        <f t="shared" si="153"/>
        <v>0.025</v>
      </c>
      <c r="Z158" s="269">
        <f t="shared" si="153"/>
        <v>0.025</v>
      </c>
      <c r="AA158" s="269">
        <f t="shared" si="153"/>
        <v>0.025</v>
      </c>
      <c r="AB158" s="269">
        <f t="shared" si="153"/>
        <v>0.025</v>
      </c>
      <c r="AC158" s="269">
        <f t="shared" si="153"/>
        <v>0.025</v>
      </c>
      <c r="AD158" s="269">
        <f t="shared" si="153"/>
        <v>0.025</v>
      </c>
      <c r="AE158" s="269">
        <f t="shared" si="153"/>
        <v>0.025</v>
      </c>
      <c r="AF158" s="269">
        <f t="shared" si="153"/>
        <v>0.025</v>
      </c>
      <c r="AG158" s="269">
        <f t="shared" si="153"/>
        <v>0.025</v>
      </c>
      <c r="AH158" s="269">
        <f t="shared" si="153"/>
        <v>0.025</v>
      </c>
      <c r="AI158" s="269">
        <f t="shared" si="153"/>
        <v>0.025</v>
      </c>
      <c r="AJ158" s="269">
        <f t="shared" si="153"/>
        <v>0.025</v>
      </c>
      <c r="AK158" s="269">
        <f t="shared" si="153"/>
        <v>0.025</v>
      </c>
      <c r="AL158" s="269">
        <f t="shared" si="153"/>
        <v>0.025</v>
      </c>
      <c r="AM158" s="269">
        <f t="shared" si="153"/>
        <v>0.025</v>
      </c>
      <c r="AN158" s="269">
        <f t="shared" si="153"/>
        <v>0.025</v>
      </c>
      <c r="AO158" s="269">
        <f t="shared" si="153"/>
        <v>0.025</v>
      </c>
      <c r="AP158" s="269">
        <f t="shared" si="153"/>
        <v>0.025</v>
      </c>
      <c r="AQ158" s="269">
        <f t="shared" si="153"/>
        <v>0.025</v>
      </c>
      <c r="AR158" s="269">
        <f t="shared" si="153"/>
        <v>0.025</v>
      </c>
      <c r="AS158" s="269">
        <f t="shared" si="153"/>
        <v>0.025</v>
      </c>
      <c r="AT158" s="269">
        <f t="shared" si="153"/>
        <v>0.025</v>
      </c>
      <c r="AU158" s="269">
        <f t="shared" si="153"/>
        <v>0.025</v>
      </c>
      <c r="AV158" s="269">
        <f t="shared" si="153"/>
        <v>0.025</v>
      </c>
      <c r="AW158" s="269">
        <f t="shared" si="153"/>
        <v>0.025</v>
      </c>
      <c r="AX158" s="269">
        <f t="shared" si="153"/>
        <v>0.025</v>
      </c>
      <c r="AY158" s="269">
        <f t="shared" si="153"/>
        <v>0.025</v>
      </c>
      <c r="AZ158" s="269">
        <f t="shared" si="153"/>
        <v>0.025</v>
      </c>
      <c r="BA158" s="269">
        <f t="shared" si="153"/>
        <v>0.025</v>
      </c>
      <c r="BB158" s="269">
        <f t="shared" si="153"/>
        <v>0.025</v>
      </c>
      <c r="BC158" s="269">
        <f t="shared" si="153"/>
        <v>0.025</v>
      </c>
      <c r="BD158" s="269">
        <f t="shared" si="153"/>
        <v>0.026</v>
      </c>
      <c r="BE158" s="269">
        <f t="shared" si="153"/>
        <v>0.026</v>
      </c>
      <c r="BF158" s="269">
        <f t="shared" si="153"/>
        <v>0.026</v>
      </c>
      <c r="BG158" s="269">
        <f t="shared" si="153"/>
        <v>0.026</v>
      </c>
      <c r="BH158" s="269">
        <f t="shared" si="153"/>
        <v>0.026</v>
      </c>
      <c r="BI158" s="269">
        <f t="shared" si="153"/>
        <v>0.026</v>
      </c>
      <c r="BJ158" s="269">
        <f t="shared" si="153"/>
        <v>0.026</v>
      </c>
      <c r="BK158" s="269">
        <f t="shared" si="153"/>
        <v>0.026</v>
      </c>
      <c r="BL158" s="269">
        <f t="shared" si="153"/>
        <v>0.026</v>
      </c>
      <c r="BM158" s="269">
        <f t="shared" si="153"/>
        <v>0.026</v>
      </c>
      <c r="BN158" s="269">
        <f t="shared" si="153"/>
        <v>0.026</v>
      </c>
      <c r="BO158" s="269">
        <f t="shared" si="153"/>
        <v>0.026</v>
      </c>
      <c r="BP158" s="269">
        <f t="shared" si="153"/>
        <v>0.029</v>
      </c>
      <c r="BQ158" s="269">
        <f t="shared" si="153"/>
        <v>0.029</v>
      </c>
      <c r="BR158" s="269">
        <f t="shared" si="153"/>
        <v>0.029</v>
      </c>
      <c r="BS158" s="269">
        <f t="shared" si="153"/>
        <v>0.029</v>
      </c>
      <c r="BT158" s="269">
        <f t="shared" si="153"/>
        <v>0.029</v>
      </c>
      <c r="BU158" s="269">
        <f t="shared" si="153"/>
        <v>0.029</v>
      </c>
      <c r="BV158" s="269">
        <f t="shared" si="153"/>
        <v>0.029</v>
      </c>
      <c r="BW158" s="269">
        <f t="shared" si="153"/>
        <v>0.029</v>
      </c>
      <c r="BX158" s="269">
        <f t="shared" si="153"/>
        <v>0.029</v>
      </c>
      <c r="BY158" s="269">
        <f t="shared" si="153"/>
        <v>0.029</v>
      </c>
      <c r="BZ158" s="269">
        <f t="shared" si="153"/>
        <v>0.029</v>
      </c>
      <c r="CA158" s="269">
        <f t="shared" si="153"/>
        <v>0.029</v>
      </c>
    </row>
    <row r="159" ht="15.75" customHeight="1">
      <c r="A159" s="115" t="s">
        <v>475</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269">
        <f t="shared" ref="AE159:CA159" si="154">AE154-0.3%</f>
        <v>0.017</v>
      </c>
      <c r="AF159" s="269">
        <f t="shared" si="154"/>
        <v>0.017</v>
      </c>
      <c r="AG159" s="269">
        <f t="shared" si="154"/>
        <v>0.017</v>
      </c>
      <c r="AH159" s="269">
        <f t="shared" si="154"/>
        <v>0.017</v>
      </c>
      <c r="AI159" s="269">
        <f t="shared" si="154"/>
        <v>0.017</v>
      </c>
      <c r="AJ159" s="269">
        <f t="shared" si="154"/>
        <v>0.017</v>
      </c>
      <c r="AK159" s="269">
        <f t="shared" si="154"/>
        <v>0.017</v>
      </c>
      <c r="AL159" s="269">
        <f t="shared" si="154"/>
        <v>0.017</v>
      </c>
      <c r="AM159" s="269">
        <f t="shared" si="154"/>
        <v>0.017</v>
      </c>
      <c r="AN159" s="269">
        <f t="shared" si="154"/>
        <v>0.017</v>
      </c>
      <c r="AO159" s="269">
        <f t="shared" si="154"/>
        <v>0.017</v>
      </c>
      <c r="AP159" s="269">
        <f t="shared" si="154"/>
        <v>0.017</v>
      </c>
      <c r="AQ159" s="269">
        <f t="shared" si="154"/>
        <v>0.017</v>
      </c>
      <c r="AR159" s="269">
        <f t="shared" si="154"/>
        <v>0.017</v>
      </c>
      <c r="AS159" s="269">
        <f t="shared" si="154"/>
        <v>0.017</v>
      </c>
      <c r="AT159" s="269">
        <f t="shared" si="154"/>
        <v>0.017</v>
      </c>
      <c r="AU159" s="269">
        <f t="shared" si="154"/>
        <v>0.017</v>
      </c>
      <c r="AV159" s="269">
        <f t="shared" si="154"/>
        <v>0.017</v>
      </c>
      <c r="AW159" s="269">
        <f t="shared" si="154"/>
        <v>0.017</v>
      </c>
      <c r="AX159" s="269">
        <f t="shared" si="154"/>
        <v>0.017</v>
      </c>
      <c r="AY159" s="269">
        <f t="shared" si="154"/>
        <v>0.017</v>
      </c>
      <c r="AZ159" s="269">
        <f t="shared" si="154"/>
        <v>0.017</v>
      </c>
      <c r="BA159" s="269">
        <f t="shared" si="154"/>
        <v>0.017</v>
      </c>
      <c r="BB159" s="269">
        <f t="shared" si="154"/>
        <v>0.017</v>
      </c>
      <c r="BC159" s="269">
        <f t="shared" si="154"/>
        <v>0.017</v>
      </c>
      <c r="BD159" s="269">
        <f t="shared" si="154"/>
        <v>0.018</v>
      </c>
      <c r="BE159" s="269">
        <f t="shared" si="154"/>
        <v>0.018</v>
      </c>
      <c r="BF159" s="269">
        <f t="shared" si="154"/>
        <v>0.018</v>
      </c>
      <c r="BG159" s="269">
        <f t="shared" si="154"/>
        <v>0.018</v>
      </c>
      <c r="BH159" s="269">
        <f t="shared" si="154"/>
        <v>0.018</v>
      </c>
      <c r="BI159" s="269">
        <f t="shared" si="154"/>
        <v>0.018</v>
      </c>
      <c r="BJ159" s="269">
        <f t="shared" si="154"/>
        <v>0.018</v>
      </c>
      <c r="BK159" s="269">
        <f t="shared" si="154"/>
        <v>0.018</v>
      </c>
      <c r="BL159" s="269">
        <f t="shared" si="154"/>
        <v>0.018</v>
      </c>
      <c r="BM159" s="269">
        <f t="shared" si="154"/>
        <v>0.018</v>
      </c>
      <c r="BN159" s="269">
        <f t="shared" si="154"/>
        <v>0.018</v>
      </c>
      <c r="BO159" s="269">
        <f t="shared" si="154"/>
        <v>0.018</v>
      </c>
      <c r="BP159" s="269">
        <f t="shared" si="154"/>
        <v>0.021</v>
      </c>
      <c r="BQ159" s="269">
        <f t="shared" si="154"/>
        <v>0.021</v>
      </c>
      <c r="BR159" s="269">
        <f t="shared" si="154"/>
        <v>0.021</v>
      </c>
      <c r="BS159" s="269">
        <f t="shared" si="154"/>
        <v>0.021</v>
      </c>
      <c r="BT159" s="269">
        <f t="shared" si="154"/>
        <v>0.021</v>
      </c>
      <c r="BU159" s="269">
        <f t="shared" si="154"/>
        <v>0.021</v>
      </c>
      <c r="BV159" s="269">
        <f t="shared" si="154"/>
        <v>0.021</v>
      </c>
      <c r="BW159" s="269">
        <f t="shared" si="154"/>
        <v>0.021</v>
      </c>
      <c r="BX159" s="269">
        <f t="shared" si="154"/>
        <v>0.021</v>
      </c>
      <c r="BY159" s="269">
        <f t="shared" si="154"/>
        <v>0.021</v>
      </c>
      <c r="BZ159" s="269">
        <f t="shared" si="154"/>
        <v>0.021</v>
      </c>
      <c r="CA159" s="269">
        <f t="shared" si="154"/>
        <v>0.021</v>
      </c>
    </row>
    <row r="160" ht="15.75" customHeight="1">
      <c r="A160" s="129"/>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row>
    <row r="161" ht="15.75" customHeight="1">
      <c r="A161" s="132" t="s">
        <v>476</v>
      </c>
      <c r="B161" s="247">
        <f>'Ops Departments'!J12</f>
        <v>2979</v>
      </c>
      <c r="C161" s="247">
        <f>'Ops Departments'!K12</f>
        <v>3601</v>
      </c>
      <c r="D161" s="247">
        <f>'Ops Departments'!L12</f>
        <v>3159</v>
      </c>
      <c r="E161" s="247">
        <f>'Ops Departments'!M12</f>
        <v>1282</v>
      </c>
      <c r="F161" s="247">
        <f>'Ops Departments'!N12</f>
        <v>3412</v>
      </c>
      <c r="G161" s="247">
        <f>'Ops Departments'!O12</f>
        <v>2463</v>
      </c>
      <c r="H161" s="247">
        <f>'Ops Departments'!P12</f>
        <v>4570</v>
      </c>
      <c r="I161" s="247">
        <f>'Ops Departments'!Q12</f>
        <v>4022</v>
      </c>
      <c r="J161" s="247">
        <f>'Ops Departments'!R12</f>
        <v>3346</v>
      </c>
      <c r="K161" s="247">
        <f>'Ops Departments'!S12</f>
        <v>4053</v>
      </c>
      <c r="L161" s="247">
        <f>'Ops Departments'!T12</f>
        <v>4689</v>
      </c>
      <c r="M161" s="247">
        <f>'Ops Departments'!U12</f>
        <v>2300</v>
      </c>
      <c r="N161" s="247">
        <f>'Ops Departments'!V12</f>
        <v>4001</v>
      </c>
      <c r="O161" s="247">
        <f>'Ops Departments'!W12</f>
        <v>1726</v>
      </c>
      <c r="P161" s="247">
        <f>'Ops Departments'!X12</f>
        <v>3221</v>
      </c>
      <c r="Q161" s="247">
        <f>'Ops Departments'!Y12</f>
        <v>3265</v>
      </c>
      <c r="R161" s="247">
        <f>'Ops Departments'!Z12</f>
        <v>3998</v>
      </c>
      <c r="S161" s="246">
        <f t="shared" ref="S161:CA161" si="155">S171*S$179*S$180*S$181</f>
        <v>15000</v>
      </c>
      <c r="T161" s="246">
        <f t="shared" si="155"/>
        <v>15000</v>
      </c>
      <c r="U161" s="246">
        <f t="shared" si="155"/>
        <v>15000</v>
      </c>
      <c r="V161" s="246">
        <f t="shared" si="155"/>
        <v>15000</v>
      </c>
      <c r="W161" s="246">
        <f t="shared" si="155"/>
        <v>15000</v>
      </c>
      <c r="X161" s="246">
        <f t="shared" si="155"/>
        <v>15000</v>
      </c>
      <c r="Y161" s="246">
        <f t="shared" si="155"/>
        <v>15000</v>
      </c>
      <c r="Z161" s="246">
        <f t="shared" si="155"/>
        <v>20000</v>
      </c>
      <c r="AA161" s="246">
        <f t="shared" si="155"/>
        <v>20000</v>
      </c>
      <c r="AB161" s="246">
        <f t="shared" si="155"/>
        <v>20000</v>
      </c>
      <c r="AC161" s="246">
        <f t="shared" si="155"/>
        <v>20000</v>
      </c>
      <c r="AD161" s="246">
        <f t="shared" si="155"/>
        <v>20000</v>
      </c>
      <c r="AE161" s="246">
        <f t="shared" si="155"/>
        <v>20000</v>
      </c>
      <c r="AF161" s="246">
        <f t="shared" si="155"/>
        <v>25000</v>
      </c>
      <c r="AG161" s="246">
        <f t="shared" si="155"/>
        <v>25000</v>
      </c>
      <c r="AH161" s="246">
        <f t="shared" si="155"/>
        <v>25000</v>
      </c>
      <c r="AI161" s="246">
        <f t="shared" si="155"/>
        <v>25000</v>
      </c>
      <c r="AJ161" s="246">
        <f t="shared" si="155"/>
        <v>25000</v>
      </c>
      <c r="AK161" s="246">
        <f t="shared" si="155"/>
        <v>25000</v>
      </c>
      <c r="AL161" s="246">
        <f t="shared" si="155"/>
        <v>30000</v>
      </c>
      <c r="AM161" s="246">
        <f t="shared" si="155"/>
        <v>30000</v>
      </c>
      <c r="AN161" s="246">
        <f t="shared" si="155"/>
        <v>30000</v>
      </c>
      <c r="AO161" s="246">
        <f t="shared" si="155"/>
        <v>30000</v>
      </c>
      <c r="AP161" s="246">
        <f t="shared" si="155"/>
        <v>30000</v>
      </c>
      <c r="AQ161" s="246">
        <f t="shared" si="155"/>
        <v>30000</v>
      </c>
      <c r="AR161" s="246">
        <f t="shared" si="155"/>
        <v>30000</v>
      </c>
      <c r="AS161" s="246">
        <f t="shared" si="155"/>
        <v>30000</v>
      </c>
      <c r="AT161" s="246">
        <f t="shared" si="155"/>
        <v>30000</v>
      </c>
      <c r="AU161" s="246">
        <f t="shared" si="155"/>
        <v>30000</v>
      </c>
      <c r="AV161" s="246">
        <f t="shared" si="155"/>
        <v>30000</v>
      </c>
      <c r="AW161" s="246">
        <f t="shared" si="155"/>
        <v>30000</v>
      </c>
      <c r="AX161" s="246">
        <f t="shared" si="155"/>
        <v>30000</v>
      </c>
      <c r="AY161" s="246">
        <f t="shared" si="155"/>
        <v>30000</v>
      </c>
      <c r="AZ161" s="246">
        <f t="shared" si="155"/>
        <v>30000</v>
      </c>
      <c r="BA161" s="246">
        <f t="shared" si="155"/>
        <v>30000</v>
      </c>
      <c r="BB161" s="246">
        <f t="shared" si="155"/>
        <v>30000</v>
      </c>
      <c r="BC161" s="246">
        <f t="shared" si="155"/>
        <v>30000</v>
      </c>
      <c r="BD161" s="246">
        <f t="shared" si="155"/>
        <v>30000</v>
      </c>
      <c r="BE161" s="246">
        <f t="shared" si="155"/>
        <v>30000</v>
      </c>
      <c r="BF161" s="246">
        <f t="shared" si="155"/>
        <v>30000</v>
      </c>
      <c r="BG161" s="246">
        <f t="shared" si="155"/>
        <v>30000</v>
      </c>
      <c r="BH161" s="246">
        <f t="shared" si="155"/>
        <v>30000</v>
      </c>
      <c r="BI161" s="246">
        <f t="shared" si="155"/>
        <v>30000</v>
      </c>
      <c r="BJ161" s="246">
        <f t="shared" si="155"/>
        <v>30000</v>
      </c>
      <c r="BK161" s="246">
        <f t="shared" si="155"/>
        <v>30000</v>
      </c>
      <c r="BL161" s="246">
        <f t="shared" si="155"/>
        <v>30000</v>
      </c>
      <c r="BM161" s="246">
        <f t="shared" si="155"/>
        <v>30000</v>
      </c>
      <c r="BN161" s="246">
        <f t="shared" si="155"/>
        <v>30000</v>
      </c>
      <c r="BO161" s="246">
        <f t="shared" si="155"/>
        <v>30000</v>
      </c>
      <c r="BP161" s="246">
        <f t="shared" si="155"/>
        <v>30000</v>
      </c>
      <c r="BQ161" s="246">
        <f t="shared" si="155"/>
        <v>30000</v>
      </c>
      <c r="BR161" s="246">
        <f t="shared" si="155"/>
        <v>30000</v>
      </c>
      <c r="BS161" s="246">
        <f t="shared" si="155"/>
        <v>30000</v>
      </c>
      <c r="BT161" s="246">
        <f t="shared" si="155"/>
        <v>30000</v>
      </c>
      <c r="BU161" s="246">
        <f t="shared" si="155"/>
        <v>30000</v>
      </c>
      <c r="BV161" s="246">
        <f t="shared" si="155"/>
        <v>30000</v>
      </c>
      <c r="BW161" s="246">
        <f t="shared" si="155"/>
        <v>30000</v>
      </c>
      <c r="BX161" s="246">
        <f t="shared" si="155"/>
        <v>30000</v>
      </c>
      <c r="BY161" s="246">
        <f t="shared" si="155"/>
        <v>30000</v>
      </c>
      <c r="BZ161" s="246">
        <f t="shared" si="155"/>
        <v>30000</v>
      </c>
      <c r="CA161" s="246">
        <f t="shared" si="155"/>
        <v>30000</v>
      </c>
    </row>
    <row r="162" ht="15.75" customHeight="1">
      <c r="A162" s="132" t="s">
        <v>477</v>
      </c>
      <c r="B162" s="247">
        <f>'Ops Departments'!J44</f>
        <v>2518</v>
      </c>
      <c r="C162" s="247">
        <f>'Ops Departments'!K44</f>
        <v>3384</v>
      </c>
      <c r="D162" s="247">
        <f>'Ops Departments'!L44</f>
        <v>3706</v>
      </c>
      <c r="E162" s="247">
        <f>'Ops Departments'!M44</f>
        <v>3150</v>
      </c>
      <c r="F162" s="247">
        <f>'Ops Departments'!N44</f>
        <v>3802</v>
      </c>
      <c r="G162" s="247">
        <f>'Ops Departments'!O44</f>
        <v>301</v>
      </c>
      <c r="H162" s="247">
        <f>'Ops Departments'!P44</f>
        <v>1088</v>
      </c>
      <c r="I162" s="247">
        <f>'Ops Departments'!Q44</f>
        <v>1696</v>
      </c>
      <c r="J162" s="247">
        <f>'Ops Departments'!R44</f>
        <v>2804</v>
      </c>
      <c r="K162" s="247">
        <f>'Ops Departments'!S44</f>
        <v>242</v>
      </c>
      <c r="L162" s="247">
        <f>'Ops Departments'!T44</f>
        <v>2789</v>
      </c>
      <c r="M162" s="247">
        <f>'Ops Departments'!U44</f>
        <v>1343</v>
      </c>
      <c r="N162" s="247">
        <f>'Ops Departments'!V44</f>
        <v>160</v>
      </c>
      <c r="O162" s="247">
        <f>'Ops Departments'!W44</f>
        <v>3699</v>
      </c>
      <c r="P162" s="247">
        <f>'Ops Departments'!X44</f>
        <v>409</v>
      </c>
      <c r="Q162" s="247">
        <f>'Ops Departments'!Y44</f>
        <v>318</v>
      </c>
      <c r="R162" s="247">
        <f>'Ops Departments'!Z44</f>
        <v>4531</v>
      </c>
      <c r="S162" s="246">
        <f t="shared" ref="S162:CA162" si="156">S172*S$179*S$180*S$181</f>
        <v>10000</v>
      </c>
      <c r="T162" s="246">
        <f t="shared" si="156"/>
        <v>15000</v>
      </c>
      <c r="U162" s="246">
        <f t="shared" si="156"/>
        <v>15000</v>
      </c>
      <c r="V162" s="246">
        <f t="shared" si="156"/>
        <v>15000</v>
      </c>
      <c r="W162" s="246">
        <f t="shared" si="156"/>
        <v>15000</v>
      </c>
      <c r="X162" s="246">
        <f t="shared" si="156"/>
        <v>15000</v>
      </c>
      <c r="Y162" s="246">
        <f t="shared" si="156"/>
        <v>15000</v>
      </c>
      <c r="Z162" s="246">
        <f t="shared" si="156"/>
        <v>20000</v>
      </c>
      <c r="AA162" s="246">
        <f t="shared" si="156"/>
        <v>20000</v>
      </c>
      <c r="AB162" s="246">
        <f t="shared" si="156"/>
        <v>20000</v>
      </c>
      <c r="AC162" s="246">
        <f t="shared" si="156"/>
        <v>20000</v>
      </c>
      <c r="AD162" s="246">
        <f t="shared" si="156"/>
        <v>20000</v>
      </c>
      <c r="AE162" s="246">
        <f t="shared" si="156"/>
        <v>20000</v>
      </c>
      <c r="AF162" s="246">
        <f t="shared" si="156"/>
        <v>25000</v>
      </c>
      <c r="AG162" s="246">
        <f t="shared" si="156"/>
        <v>25000</v>
      </c>
      <c r="AH162" s="246">
        <f t="shared" si="156"/>
        <v>25000</v>
      </c>
      <c r="AI162" s="246">
        <f t="shared" si="156"/>
        <v>25000</v>
      </c>
      <c r="AJ162" s="246">
        <f t="shared" si="156"/>
        <v>25000</v>
      </c>
      <c r="AK162" s="246">
        <f t="shared" si="156"/>
        <v>25000</v>
      </c>
      <c r="AL162" s="246">
        <f t="shared" si="156"/>
        <v>30000</v>
      </c>
      <c r="AM162" s="246">
        <f t="shared" si="156"/>
        <v>30000</v>
      </c>
      <c r="AN162" s="246">
        <f t="shared" si="156"/>
        <v>30000</v>
      </c>
      <c r="AO162" s="246">
        <f t="shared" si="156"/>
        <v>30000</v>
      </c>
      <c r="AP162" s="246">
        <f t="shared" si="156"/>
        <v>30000</v>
      </c>
      <c r="AQ162" s="246">
        <f t="shared" si="156"/>
        <v>30000</v>
      </c>
      <c r="AR162" s="246">
        <f t="shared" si="156"/>
        <v>30000</v>
      </c>
      <c r="AS162" s="246">
        <f t="shared" si="156"/>
        <v>30000</v>
      </c>
      <c r="AT162" s="246">
        <f t="shared" si="156"/>
        <v>30000</v>
      </c>
      <c r="AU162" s="246">
        <f t="shared" si="156"/>
        <v>30000</v>
      </c>
      <c r="AV162" s="246">
        <f t="shared" si="156"/>
        <v>30000</v>
      </c>
      <c r="AW162" s="246">
        <f t="shared" si="156"/>
        <v>30000</v>
      </c>
      <c r="AX162" s="246">
        <f t="shared" si="156"/>
        <v>30000</v>
      </c>
      <c r="AY162" s="246">
        <f t="shared" si="156"/>
        <v>30000</v>
      </c>
      <c r="AZ162" s="246">
        <f t="shared" si="156"/>
        <v>30000</v>
      </c>
      <c r="BA162" s="246">
        <f t="shared" si="156"/>
        <v>30000</v>
      </c>
      <c r="BB162" s="246">
        <f t="shared" si="156"/>
        <v>30000</v>
      </c>
      <c r="BC162" s="246">
        <f t="shared" si="156"/>
        <v>30000</v>
      </c>
      <c r="BD162" s="246">
        <f t="shared" si="156"/>
        <v>30000</v>
      </c>
      <c r="BE162" s="246">
        <f t="shared" si="156"/>
        <v>30000</v>
      </c>
      <c r="BF162" s="246">
        <f t="shared" si="156"/>
        <v>30000</v>
      </c>
      <c r="BG162" s="246">
        <f t="shared" si="156"/>
        <v>30000</v>
      </c>
      <c r="BH162" s="246">
        <f t="shared" si="156"/>
        <v>30000</v>
      </c>
      <c r="BI162" s="246">
        <f t="shared" si="156"/>
        <v>30000</v>
      </c>
      <c r="BJ162" s="246">
        <f t="shared" si="156"/>
        <v>30000</v>
      </c>
      <c r="BK162" s="246">
        <f t="shared" si="156"/>
        <v>30000</v>
      </c>
      <c r="BL162" s="246">
        <f t="shared" si="156"/>
        <v>30000</v>
      </c>
      <c r="BM162" s="246">
        <f t="shared" si="156"/>
        <v>30000</v>
      </c>
      <c r="BN162" s="246">
        <f t="shared" si="156"/>
        <v>30000</v>
      </c>
      <c r="BO162" s="246">
        <f t="shared" si="156"/>
        <v>30000</v>
      </c>
      <c r="BP162" s="246">
        <f t="shared" si="156"/>
        <v>30000</v>
      </c>
      <c r="BQ162" s="246">
        <f t="shared" si="156"/>
        <v>30000</v>
      </c>
      <c r="BR162" s="246">
        <f t="shared" si="156"/>
        <v>30000</v>
      </c>
      <c r="BS162" s="246">
        <f t="shared" si="156"/>
        <v>30000</v>
      </c>
      <c r="BT162" s="246">
        <f t="shared" si="156"/>
        <v>30000</v>
      </c>
      <c r="BU162" s="246">
        <f t="shared" si="156"/>
        <v>30000</v>
      </c>
      <c r="BV162" s="246">
        <f t="shared" si="156"/>
        <v>30000</v>
      </c>
      <c r="BW162" s="246">
        <f t="shared" si="156"/>
        <v>30000</v>
      </c>
      <c r="BX162" s="246">
        <f t="shared" si="156"/>
        <v>30000</v>
      </c>
      <c r="BY162" s="246">
        <f t="shared" si="156"/>
        <v>30000</v>
      </c>
      <c r="BZ162" s="246">
        <f t="shared" si="156"/>
        <v>30000</v>
      </c>
      <c r="CA162" s="246">
        <f t="shared" si="156"/>
        <v>30000</v>
      </c>
    </row>
    <row r="163" ht="15.75" customHeight="1">
      <c r="A163" s="132" t="s">
        <v>478</v>
      </c>
      <c r="B163" s="247">
        <f>'Ops Departments'!J76</f>
        <v>2</v>
      </c>
      <c r="C163" s="247">
        <f>'Ops Departments'!K76</f>
        <v>1254</v>
      </c>
      <c r="D163" s="247">
        <f>'Ops Departments'!L76</f>
        <v>2272</v>
      </c>
      <c r="E163" s="247">
        <f>'Ops Departments'!M76</f>
        <v>1042</v>
      </c>
      <c r="F163" s="247">
        <f>'Ops Departments'!N76</f>
        <v>4837</v>
      </c>
      <c r="G163" s="247">
        <f>'Ops Departments'!O76</f>
        <v>943</v>
      </c>
      <c r="H163" s="247">
        <f>'Ops Departments'!P76</f>
        <v>3038</v>
      </c>
      <c r="I163" s="247">
        <f>'Ops Departments'!Q76</f>
        <v>4314</v>
      </c>
      <c r="J163" s="247">
        <f>'Ops Departments'!R76</f>
        <v>1650</v>
      </c>
      <c r="K163" s="247">
        <f>'Ops Departments'!S76</f>
        <v>228</v>
      </c>
      <c r="L163" s="247">
        <f>'Ops Departments'!T76</f>
        <v>2790</v>
      </c>
      <c r="M163" s="247">
        <f>'Ops Departments'!U76</f>
        <v>3260</v>
      </c>
      <c r="N163" s="247">
        <f>'Ops Departments'!V76</f>
        <v>1102</v>
      </c>
      <c r="O163" s="247">
        <f>'Ops Departments'!W76</f>
        <v>1689</v>
      </c>
      <c r="P163" s="247">
        <f>'Ops Departments'!X76</f>
        <v>2213</v>
      </c>
      <c r="Q163" s="247">
        <f>'Ops Departments'!Y76</f>
        <v>3635</v>
      </c>
      <c r="R163" s="247">
        <f>'Ops Departments'!Z76</f>
        <v>2452</v>
      </c>
      <c r="S163" s="246">
        <f t="shared" ref="S163:CA163" si="157">S173*S$179*S$180*S$181</f>
        <v>10000</v>
      </c>
      <c r="T163" s="246">
        <f t="shared" si="157"/>
        <v>10000</v>
      </c>
      <c r="U163" s="246">
        <f t="shared" si="157"/>
        <v>10000</v>
      </c>
      <c r="V163" s="246">
        <f t="shared" si="157"/>
        <v>10000</v>
      </c>
      <c r="W163" s="246">
        <f t="shared" si="157"/>
        <v>10000</v>
      </c>
      <c r="X163" s="246">
        <f t="shared" si="157"/>
        <v>10000</v>
      </c>
      <c r="Y163" s="246">
        <f t="shared" si="157"/>
        <v>10000</v>
      </c>
      <c r="Z163" s="246">
        <f t="shared" si="157"/>
        <v>10000</v>
      </c>
      <c r="AA163" s="246">
        <f t="shared" si="157"/>
        <v>10000</v>
      </c>
      <c r="AB163" s="246">
        <f t="shared" si="157"/>
        <v>10000</v>
      </c>
      <c r="AC163" s="246">
        <f t="shared" si="157"/>
        <v>10000</v>
      </c>
      <c r="AD163" s="246">
        <f t="shared" si="157"/>
        <v>10000</v>
      </c>
      <c r="AE163" s="246">
        <f t="shared" si="157"/>
        <v>10000</v>
      </c>
      <c r="AF163" s="246">
        <f t="shared" si="157"/>
        <v>15000</v>
      </c>
      <c r="AG163" s="246">
        <f t="shared" si="157"/>
        <v>15000</v>
      </c>
      <c r="AH163" s="246">
        <f t="shared" si="157"/>
        <v>15000</v>
      </c>
      <c r="AI163" s="246">
        <f t="shared" si="157"/>
        <v>15000</v>
      </c>
      <c r="AJ163" s="246">
        <f t="shared" si="157"/>
        <v>15000</v>
      </c>
      <c r="AK163" s="246">
        <f t="shared" si="157"/>
        <v>15000</v>
      </c>
      <c r="AL163" s="246">
        <f t="shared" si="157"/>
        <v>20000</v>
      </c>
      <c r="AM163" s="246">
        <f t="shared" si="157"/>
        <v>20000</v>
      </c>
      <c r="AN163" s="246">
        <f t="shared" si="157"/>
        <v>20000</v>
      </c>
      <c r="AO163" s="246">
        <f t="shared" si="157"/>
        <v>20000</v>
      </c>
      <c r="AP163" s="246">
        <f t="shared" si="157"/>
        <v>20000</v>
      </c>
      <c r="AQ163" s="246">
        <f t="shared" si="157"/>
        <v>20000</v>
      </c>
      <c r="AR163" s="246">
        <f t="shared" si="157"/>
        <v>20000</v>
      </c>
      <c r="AS163" s="246">
        <f t="shared" si="157"/>
        <v>20000</v>
      </c>
      <c r="AT163" s="246">
        <f t="shared" si="157"/>
        <v>20000</v>
      </c>
      <c r="AU163" s="246">
        <f t="shared" si="157"/>
        <v>20000</v>
      </c>
      <c r="AV163" s="246">
        <f t="shared" si="157"/>
        <v>20000</v>
      </c>
      <c r="AW163" s="246">
        <f t="shared" si="157"/>
        <v>20000</v>
      </c>
      <c r="AX163" s="246">
        <f t="shared" si="157"/>
        <v>20000</v>
      </c>
      <c r="AY163" s="246">
        <f t="shared" si="157"/>
        <v>20000</v>
      </c>
      <c r="AZ163" s="246">
        <f t="shared" si="157"/>
        <v>20000</v>
      </c>
      <c r="BA163" s="246">
        <f t="shared" si="157"/>
        <v>20000</v>
      </c>
      <c r="BB163" s="246">
        <f t="shared" si="157"/>
        <v>20000</v>
      </c>
      <c r="BC163" s="246">
        <f t="shared" si="157"/>
        <v>20000</v>
      </c>
      <c r="BD163" s="246">
        <f t="shared" si="157"/>
        <v>20000</v>
      </c>
      <c r="BE163" s="246">
        <f t="shared" si="157"/>
        <v>20000</v>
      </c>
      <c r="BF163" s="246">
        <f t="shared" si="157"/>
        <v>20000</v>
      </c>
      <c r="BG163" s="246">
        <f t="shared" si="157"/>
        <v>20000</v>
      </c>
      <c r="BH163" s="246">
        <f t="shared" si="157"/>
        <v>20000</v>
      </c>
      <c r="BI163" s="246">
        <f t="shared" si="157"/>
        <v>20000</v>
      </c>
      <c r="BJ163" s="246">
        <f t="shared" si="157"/>
        <v>20000</v>
      </c>
      <c r="BK163" s="246">
        <f t="shared" si="157"/>
        <v>20000</v>
      </c>
      <c r="BL163" s="246">
        <f t="shared" si="157"/>
        <v>20000</v>
      </c>
      <c r="BM163" s="246">
        <f t="shared" si="157"/>
        <v>20000</v>
      </c>
      <c r="BN163" s="246">
        <f t="shared" si="157"/>
        <v>20000</v>
      </c>
      <c r="BO163" s="246">
        <f t="shared" si="157"/>
        <v>20000</v>
      </c>
      <c r="BP163" s="246">
        <f t="shared" si="157"/>
        <v>20000</v>
      </c>
      <c r="BQ163" s="246">
        <f t="shared" si="157"/>
        <v>20000</v>
      </c>
      <c r="BR163" s="246">
        <f t="shared" si="157"/>
        <v>20000</v>
      </c>
      <c r="BS163" s="246">
        <f t="shared" si="157"/>
        <v>20000</v>
      </c>
      <c r="BT163" s="246">
        <f t="shared" si="157"/>
        <v>20000</v>
      </c>
      <c r="BU163" s="246">
        <f t="shared" si="157"/>
        <v>20000</v>
      </c>
      <c r="BV163" s="246">
        <f t="shared" si="157"/>
        <v>20000</v>
      </c>
      <c r="BW163" s="246">
        <f t="shared" si="157"/>
        <v>20000</v>
      </c>
      <c r="BX163" s="246">
        <f t="shared" si="157"/>
        <v>20000</v>
      </c>
      <c r="BY163" s="246">
        <f t="shared" si="157"/>
        <v>20000</v>
      </c>
      <c r="BZ163" s="246">
        <f t="shared" si="157"/>
        <v>20000</v>
      </c>
      <c r="CA163" s="246">
        <f t="shared" si="157"/>
        <v>20000</v>
      </c>
    </row>
    <row r="164" ht="15.75" customHeight="1">
      <c r="A164" s="132" t="s">
        <v>479</v>
      </c>
      <c r="B164" s="246">
        <f t="shared" ref="B164:F164" si="158">B166-SUM(B161:B163)</f>
        <v>-3671</v>
      </c>
      <c r="C164" s="246">
        <f t="shared" si="158"/>
        <v>-6239</v>
      </c>
      <c r="D164" s="246">
        <f t="shared" si="158"/>
        <v>-7762</v>
      </c>
      <c r="E164" s="246">
        <f t="shared" si="158"/>
        <v>-4064</v>
      </c>
      <c r="F164" s="246">
        <f t="shared" si="158"/>
        <v>-9610</v>
      </c>
      <c r="G164" s="247">
        <f>'Ops Departments'!O108</f>
        <v>3449</v>
      </c>
      <c r="H164" s="247">
        <f>'Ops Departments'!P108</f>
        <v>3756</v>
      </c>
      <c r="I164" s="247">
        <f>'Ops Departments'!Q108</f>
        <v>696</v>
      </c>
      <c r="J164" s="247">
        <f>'Ops Departments'!R108</f>
        <v>4105</v>
      </c>
      <c r="K164" s="247">
        <f>'Ops Departments'!S108</f>
        <v>3951</v>
      </c>
      <c r="L164" s="247">
        <f>'Ops Departments'!T108</f>
        <v>4005</v>
      </c>
      <c r="M164" s="247">
        <f>'Ops Departments'!U108</f>
        <v>3144</v>
      </c>
      <c r="N164" s="247">
        <f>'Ops Departments'!V108</f>
        <v>4129</v>
      </c>
      <c r="O164" s="247">
        <f>'Ops Departments'!W108</f>
        <v>4158</v>
      </c>
      <c r="P164" s="247">
        <f>'Ops Departments'!X108</f>
        <v>3333</v>
      </c>
      <c r="Q164" s="247">
        <f>'Ops Departments'!Y108</f>
        <v>1463</v>
      </c>
      <c r="R164" s="247">
        <f>'Ops Departments'!Z108</f>
        <v>4197</v>
      </c>
      <c r="S164" s="246">
        <f t="shared" ref="S164:CA164" si="159">S174*S$179*S$180*S$181</f>
        <v>5000</v>
      </c>
      <c r="T164" s="246">
        <f t="shared" si="159"/>
        <v>5000</v>
      </c>
      <c r="U164" s="246">
        <f t="shared" si="159"/>
        <v>5000</v>
      </c>
      <c r="V164" s="246">
        <f t="shared" si="159"/>
        <v>5000</v>
      </c>
      <c r="W164" s="246">
        <f t="shared" si="159"/>
        <v>5000</v>
      </c>
      <c r="X164" s="246">
        <f t="shared" si="159"/>
        <v>5000</v>
      </c>
      <c r="Y164" s="246">
        <f t="shared" si="159"/>
        <v>5000</v>
      </c>
      <c r="Z164" s="246">
        <f t="shared" si="159"/>
        <v>10000</v>
      </c>
      <c r="AA164" s="246">
        <f t="shared" si="159"/>
        <v>10000</v>
      </c>
      <c r="AB164" s="246">
        <f t="shared" si="159"/>
        <v>10000</v>
      </c>
      <c r="AC164" s="246">
        <f t="shared" si="159"/>
        <v>10000</v>
      </c>
      <c r="AD164" s="246">
        <f t="shared" si="159"/>
        <v>10000</v>
      </c>
      <c r="AE164" s="246">
        <f t="shared" si="159"/>
        <v>10000</v>
      </c>
      <c r="AF164" s="246">
        <f t="shared" si="159"/>
        <v>15000</v>
      </c>
      <c r="AG164" s="246">
        <f t="shared" si="159"/>
        <v>15000</v>
      </c>
      <c r="AH164" s="246">
        <f t="shared" si="159"/>
        <v>15000</v>
      </c>
      <c r="AI164" s="246">
        <f t="shared" si="159"/>
        <v>15000</v>
      </c>
      <c r="AJ164" s="246">
        <f t="shared" si="159"/>
        <v>15000</v>
      </c>
      <c r="AK164" s="246">
        <f t="shared" si="159"/>
        <v>15000</v>
      </c>
      <c r="AL164" s="246">
        <f t="shared" si="159"/>
        <v>20000</v>
      </c>
      <c r="AM164" s="246">
        <f t="shared" si="159"/>
        <v>20000</v>
      </c>
      <c r="AN164" s="246">
        <f t="shared" si="159"/>
        <v>20000</v>
      </c>
      <c r="AO164" s="246">
        <f t="shared" si="159"/>
        <v>20000</v>
      </c>
      <c r="AP164" s="246">
        <f t="shared" si="159"/>
        <v>20000</v>
      </c>
      <c r="AQ164" s="246">
        <f t="shared" si="159"/>
        <v>20000</v>
      </c>
      <c r="AR164" s="246">
        <f t="shared" si="159"/>
        <v>20000</v>
      </c>
      <c r="AS164" s="246">
        <f t="shared" si="159"/>
        <v>20000</v>
      </c>
      <c r="AT164" s="246">
        <f t="shared" si="159"/>
        <v>20000</v>
      </c>
      <c r="AU164" s="246">
        <f t="shared" si="159"/>
        <v>20000</v>
      </c>
      <c r="AV164" s="246">
        <f t="shared" si="159"/>
        <v>20000</v>
      </c>
      <c r="AW164" s="246">
        <f t="shared" si="159"/>
        <v>20000</v>
      </c>
      <c r="AX164" s="246">
        <f t="shared" si="159"/>
        <v>20000</v>
      </c>
      <c r="AY164" s="246">
        <f t="shared" si="159"/>
        <v>20000</v>
      </c>
      <c r="AZ164" s="246">
        <f t="shared" si="159"/>
        <v>20000</v>
      </c>
      <c r="BA164" s="246">
        <f t="shared" si="159"/>
        <v>20000</v>
      </c>
      <c r="BB164" s="246">
        <f t="shared" si="159"/>
        <v>20000</v>
      </c>
      <c r="BC164" s="246">
        <f t="shared" si="159"/>
        <v>20000</v>
      </c>
      <c r="BD164" s="246">
        <f t="shared" si="159"/>
        <v>20000</v>
      </c>
      <c r="BE164" s="246">
        <f t="shared" si="159"/>
        <v>20000</v>
      </c>
      <c r="BF164" s="246">
        <f t="shared" si="159"/>
        <v>20000</v>
      </c>
      <c r="BG164" s="246">
        <f t="shared" si="159"/>
        <v>20000</v>
      </c>
      <c r="BH164" s="246">
        <f t="shared" si="159"/>
        <v>20000</v>
      </c>
      <c r="BI164" s="246">
        <f t="shared" si="159"/>
        <v>20000</v>
      </c>
      <c r="BJ164" s="246">
        <f t="shared" si="159"/>
        <v>20000</v>
      </c>
      <c r="BK164" s="246">
        <f t="shared" si="159"/>
        <v>20000</v>
      </c>
      <c r="BL164" s="246">
        <f t="shared" si="159"/>
        <v>20000</v>
      </c>
      <c r="BM164" s="246">
        <f t="shared" si="159"/>
        <v>20000</v>
      </c>
      <c r="BN164" s="246">
        <f t="shared" si="159"/>
        <v>20000</v>
      </c>
      <c r="BO164" s="246">
        <f t="shared" si="159"/>
        <v>20000</v>
      </c>
      <c r="BP164" s="246">
        <f t="shared" si="159"/>
        <v>20000</v>
      </c>
      <c r="BQ164" s="246">
        <f t="shared" si="159"/>
        <v>20000</v>
      </c>
      <c r="BR164" s="246">
        <f t="shared" si="159"/>
        <v>20000</v>
      </c>
      <c r="BS164" s="246">
        <f t="shared" si="159"/>
        <v>20000</v>
      </c>
      <c r="BT164" s="246">
        <f t="shared" si="159"/>
        <v>20000</v>
      </c>
      <c r="BU164" s="246">
        <f t="shared" si="159"/>
        <v>20000</v>
      </c>
      <c r="BV164" s="246">
        <f t="shared" si="159"/>
        <v>20000</v>
      </c>
      <c r="BW164" s="246">
        <f t="shared" si="159"/>
        <v>20000</v>
      </c>
      <c r="BX164" s="246">
        <f t="shared" si="159"/>
        <v>20000</v>
      </c>
      <c r="BY164" s="246">
        <f t="shared" si="159"/>
        <v>20000</v>
      </c>
      <c r="BZ164" s="246">
        <f t="shared" si="159"/>
        <v>20000</v>
      </c>
      <c r="CA164" s="246">
        <f t="shared" si="159"/>
        <v>20000</v>
      </c>
    </row>
    <row r="165" ht="15.75" customHeight="1">
      <c r="A165" s="257" t="s">
        <v>480</v>
      </c>
      <c r="B165" s="247"/>
      <c r="C165" s="247"/>
      <c r="D165" s="247"/>
      <c r="E165" s="247"/>
      <c r="F165" s="247"/>
      <c r="G165" s="247"/>
      <c r="H165" s="247"/>
      <c r="I165" s="247"/>
      <c r="J165" s="247"/>
      <c r="K165" s="247"/>
      <c r="L165" s="247"/>
      <c r="M165" s="247"/>
      <c r="N165" s="247">
        <f>'Ops Departments'!V174</f>
        <v>1149</v>
      </c>
      <c r="O165" s="247">
        <f>'Ops Departments'!W174</f>
        <v>1042</v>
      </c>
      <c r="P165" s="247">
        <f>'Ops Departments'!X174</f>
        <v>855</v>
      </c>
      <c r="Q165" s="247">
        <f>'Ops Departments'!Y174</f>
        <v>2002</v>
      </c>
      <c r="R165" s="247">
        <f>'Ops Departments'!Z174</f>
        <v>1669</v>
      </c>
      <c r="S165" s="246">
        <f t="shared" ref="S165:CA165" si="160">S175*S$179*S$180*S$181</f>
        <v>5000</v>
      </c>
      <c r="T165" s="246">
        <f t="shared" si="160"/>
        <v>5000</v>
      </c>
      <c r="U165" s="246">
        <f t="shared" si="160"/>
        <v>5000</v>
      </c>
      <c r="V165" s="246">
        <f t="shared" si="160"/>
        <v>5000</v>
      </c>
      <c r="W165" s="246">
        <f t="shared" si="160"/>
        <v>5000</v>
      </c>
      <c r="X165" s="246">
        <f t="shared" si="160"/>
        <v>5000</v>
      </c>
      <c r="Y165" s="246">
        <f t="shared" si="160"/>
        <v>5000</v>
      </c>
      <c r="Z165" s="246">
        <f t="shared" si="160"/>
        <v>5000</v>
      </c>
      <c r="AA165" s="246">
        <f t="shared" si="160"/>
        <v>5000</v>
      </c>
      <c r="AB165" s="246">
        <f t="shared" si="160"/>
        <v>10000</v>
      </c>
      <c r="AC165" s="246">
        <f t="shared" si="160"/>
        <v>10000</v>
      </c>
      <c r="AD165" s="246">
        <f t="shared" si="160"/>
        <v>10000</v>
      </c>
      <c r="AE165" s="246">
        <f t="shared" si="160"/>
        <v>10000</v>
      </c>
      <c r="AF165" s="246">
        <f t="shared" si="160"/>
        <v>10000</v>
      </c>
      <c r="AG165" s="246">
        <f t="shared" si="160"/>
        <v>10000</v>
      </c>
      <c r="AH165" s="246">
        <f t="shared" si="160"/>
        <v>10000</v>
      </c>
      <c r="AI165" s="246">
        <f t="shared" si="160"/>
        <v>10000</v>
      </c>
      <c r="AJ165" s="246">
        <f t="shared" si="160"/>
        <v>15000</v>
      </c>
      <c r="AK165" s="246">
        <f t="shared" si="160"/>
        <v>15000</v>
      </c>
      <c r="AL165" s="246">
        <f t="shared" si="160"/>
        <v>15000</v>
      </c>
      <c r="AM165" s="246">
        <f t="shared" si="160"/>
        <v>15000</v>
      </c>
      <c r="AN165" s="246">
        <f t="shared" si="160"/>
        <v>15000</v>
      </c>
      <c r="AO165" s="246">
        <f t="shared" si="160"/>
        <v>15000</v>
      </c>
      <c r="AP165" s="246">
        <f t="shared" si="160"/>
        <v>15000</v>
      </c>
      <c r="AQ165" s="246">
        <f t="shared" si="160"/>
        <v>15000</v>
      </c>
      <c r="AR165" s="246">
        <f t="shared" si="160"/>
        <v>15000</v>
      </c>
      <c r="AS165" s="246">
        <f t="shared" si="160"/>
        <v>15000</v>
      </c>
      <c r="AT165" s="246">
        <f t="shared" si="160"/>
        <v>15000</v>
      </c>
      <c r="AU165" s="246">
        <f t="shared" si="160"/>
        <v>15000</v>
      </c>
      <c r="AV165" s="246">
        <f t="shared" si="160"/>
        <v>15000</v>
      </c>
      <c r="AW165" s="246">
        <f t="shared" si="160"/>
        <v>15000</v>
      </c>
      <c r="AX165" s="246">
        <f t="shared" si="160"/>
        <v>15000</v>
      </c>
      <c r="AY165" s="246">
        <f t="shared" si="160"/>
        <v>15000</v>
      </c>
      <c r="AZ165" s="246">
        <f t="shared" si="160"/>
        <v>15000</v>
      </c>
      <c r="BA165" s="246">
        <f t="shared" si="160"/>
        <v>15000</v>
      </c>
      <c r="BB165" s="246">
        <f t="shared" si="160"/>
        <v>15000</v>
      </c>
      <c r="BC165" s="246">
        <f t="shared" si="160"/>
        <v>15000</v>
      </c>
      <c r="BD165" s="246">
        <f t="shared" si="160"/>
        <v>15000</v>
      </c>
      <c r="BE165" s="246">
        <f t="shared" si="160"/>
        <v>15000</v>
      </c>
      <c r="BF165" s="246">
        <f t="shared" si="160"/>
        <v>15000</v>
      </c>
      <c r="BG165" s="246">
        <f t="shared" si="160"/>
        <v>15000</v>
      </c>
      <c r="BH165" s="246">
        <f t="shared" si="160"/>
        <v>15000</v>
      </c>
      <c r="BI165" s="246">
        <f t="shared" si="160"/>
        <v>15000</v>
      </c>
      <c r="BJ165" s="246">
        <f t="shared" si="160"/>
        <v>15000</v>
      </c>
      <c r="BK165" s="246">
        <f t="shared" si="160"/>
        <v>15000</v>
      </c>
      <c r="BL165" s="246">
        <f t="shared" si="160"/>
        <v>15000</v>
      </c>
      <c r="BM165" s="246">
        <f t="shared" si="160"/>
        <v>15000</v>
      </c>
      <c r="BN165" s="246">
        <f t="shared" si="160"/>
        <v>15000</v>
      </c>
      <c r="BO165" s="246">
        <f t="shared" si="160"/>
        <v>15000</v>
      </c>
      <c r="BP165" s="246">
        <f t="shared" si="160"/>
        <v>15000</v>
      </c>
      <c r="BQ165" s="246">
        <f t="shared" si="160"/>
        <v>15000</v>
      </c>
      <c r="BR165" s="246">
        <f t="shared" si="160"/>
        <v>15000</v>
      </c>
      <c r="BS165" s="246">
        <f t="shared" si="160"/>
        <v>15000</v>
      </c>
      <c r="BT165" s="246">
        <f t="shared" si="160"/>
        <v>15000</v>
      </c>
      <c r="BU165" s="246">
        <f t="shared" si="160"/>
        <v>15000</v>
      </c>
      <c r="BV165" s="246">
        <f t="shared" si="160"/>
        <v>15000</v>
      </c>
      <c r="BW165" s="246">
        <f t="shared" si="160"/>
        <v>15000</v>
      </c>
      <c r="BX165" s="246">
        <f t="shared" si="160"/>
        <v>15000</v>
      </c>
      <c r="BY165" s="246">
        <f t="shared" si="160"/>
        <v>15000</v>
      </c>
      <c r="BZ165" s="246">
        <f t="shared" si="160"/>
        <v>15000</v>
      </c>
      <c r="CA165" s="246">
        <f t="shared" si="160"/>
        <v>15000</v>
      </c>
    </row>
    <row r="166" ht="15.75" customHeight="1">
      <c r="A166" s="272" t="s">
        <v>207</v>
      </c>
      <c r="B166" s="255">
        <f t="array" ref="B166">INDEX('IS Proforma'!$1:$1048490,MATCH($A166,'IS Proforma'!$C:$C,0),MATCH(B$4,'IS Proforma'!$4:$4))</f>
        <v>1828</v>
      </c>
      <c r="C166" s="255">
        <f t="array" ref="C166">INDEX('IS Proforma'!$1:$1048490,MATCH($A166,'IS Proforma'!$C:$C,0),MATCH(C$4,'IS Proforma'!$4:$4))</f>
        <v>2000</v>
      </c>
      <c r="D166" s="255">
        <f t="array" ref="D166">INDEX('IS Proforma'!$1:$1048490,MATCH($A166,'IS Proforma'!$C:$C,0),MATCH(D$4,'IS Proforma'!$4:$4))</f>
        <v>1375</v>
      </c>
      <c r="E166" s="255">
        <f t="array" ref="E166">INDEX('IS Proforma'!$1:$1048490,MATCH($A166,'IS Proforma'!$C:$C,0),MATCH(E$4,'IS Proforma'!$4:$4))</f>
        <v>1410</v>
      </c>
      <c r="F166" s="255">
        <f t="array" ref="F166">INDEX('IS Proforma'!$1:$1048490,MATCH($A166,'IS Proforma'!$C:$C,0),MATCH(F$4,'IS Proforma'!$4:$4))</f>
        <v>2441</v>
      </c>
      <c r="G166" s="255">
        <f t="array" ref="G166">INDEX('IS Proforma'!$1:$1048490,MATCH($A166,'IS Proforma'!$C:$C,0),MATCH(G$4,'IS Proforma'!$4:$4))</f>
        <v>2367</v>
      </c>
      <c r="H166" s="255">
        <f t="array" ref="H166">INDEX('IS Proforma'!$1:$1048490,MATCH($A166,'IS Proforma'!$C:$C,0),MATCH(H$4,'IS Proforma'!$4:$4))</f>
        <v>1270</v>
      </c>
      <c r="I166" s="255">
        <f t="array" ref="I166">INDEX('IS Proforma'!$1:$1048490,MATCH($A166,'IS Proforma'!$C:$C,0),MATCH(I$4,'IS Proforma'!$4:$4))</f>
        <v>1869</v>
      </c>
      <c r="J166" s="255">
        <f t="array" ref="J166">INDEX('IS Proforma'!$1:$1048490,MATCH($A166,'IS Proforma'!$C:$C,0),MATCH(J$4,'IS Proforma'!$4:$4))</f>
        <v>2247</v>
      </c>
      <c r="K166" s="255">
        <f t="array" ref="K166">INDEX('IS Proforma'!$1:$1048490,MATCH($A166,'IS Proforma'!$C:$C,0),MATCH(K$4,'IS Proforma'!$4:$4))</f>
        <v>2204</v>
      </c>
      <c r="L166" s="255">
        <f t="array" ref="L166">INDEX('IS Proforma'!$1:$1048490,MATCH($A166,'IS Proforma'!$C:$C,0),MATCH(L$4,'IS Proforma'!$4:$4))</f>
        <v>1149</v>
      </c>
      <c r="M166" s="255">
        <f t="array" ref="M166">INDEX('IS Proforma'!$1:$1048490,MATCH($A166,'IS Proforma'!$C:$C,0),MATCH(M$4,'IS Proforma'!$4:$4))</f>
        <v>1066</v>
      </c>
      <c r="N166" s="255">
        <f t="array" ref="N166">INDEX('IS Proforma'!$1:$1048490,MATCH($A166,'IS Proforma'!$C:$C,0),MATCH(N$4,'IS Proforma'!$4:$4))</f>
        <v>1254</v>
      </c>
      <c r="O166" s="255">
        <f t="array" ref="O166">INDEX('IS Proforma'!$1:$1048490,MATCH($A166,'IS Proforma'!$C:$C,0),MATCH(O$4,'IS Proforma'!$4:$4))</f>
        <v>1365</v>
      </c>
      <c r="P166" s="255">
        <f t="array" ref="P166">INDEX('IS Proforma'!$1:$1048490,MATCH($A166,'IS Proforma'!$C:$C,0),MATCH(P$4,'IS Proforma'!$4:$4))</f>
        <v>1838</v>
      </c>
      <c r="Q166" s="255">
        <f t="array" ref="Q166">INDEX('IS Proforma'!$1:$1048490,MATCH($A166,'IS Proforma'!$C:$C,0),MATCH(Q$4,'IS Proforma'!$4:$4))</f>
        <v>1436</v>
      </c>
      <c r="R166" s="255">
        <f t="array" ref="R166">INDEX('IS Proforma'!$1:$1048490,MATCH($A166,'IS Proforma'!$C:$C,0),MATCH(R$4,'IS Proforma'!$4:$4))</f>
        <v>2146</v>
      </c>
      <c r="S166" s="256">
        <f t="shared" ref="S166:CA166" si="161">SUM(S161:S164)</f>
        <v>40000</v>
      </c>
      <c r="T166" s="256">
        <f t="shared" si="161"/>
        <v>45000</v>
      </c>
      <c r="U166" s="256">
        <f t="shared" si="161"/>
        <v>45000</v>
      </c>
      <c r="V166" s="256">
        <f t="shared" si="161"/>
        <v>45000</v>
      </c>
      <c r="W166" s="256">
        <f t="shared" si="161"/>
        <v>45000</v>
      </c>
      <c r="X166" s="256">
        <f t="shared" si="161"/>
        <v>45000</v>
      </c>
      <c r="Y166" s="256">
        <f t="shared" si="161"/>
        <v>45000</v>
      </c>
      <c r="Z166" s="256">
        <f t="shared" si="161"/>
        <v>60000</v>
      </c>
      <c r="AA166" s="256">
        <f t="shared" si="161"/>
        <v>60000</v>
      </c>
      <c r="AB166" s="256">
        <f t="shared" si="161"/>
        <v>60000</v>
      </c>
      <c r="AC166" s="256">
        <f t="shared" si="161"/>
        <v>60000</v>
      </c>
      <c r="AD166" s="256">
        <f t="shared" si="161"/>
        <v>60000</v>
      </c>
      <c r="AE166" s="256">
        <f t="shared" si="161"/>
        <v>60000</v>
      </c>
      <c r="AF166" s="256">
        <f t="shared" si="161"/>
        <v>80000</v>
      </c>
      <c r="AG166" s="256">
        <f t="shared" si="161"/>
        <v>80000</v>
      </c>
      <c r="AH166" s="256">
        <f t="shared" si="161"/>
        <v>80000</v>
      </c>
      <c r="AI166" s="256">
        <f t="shared" si="161"/>
        <v>80000</v>
      </c>
      <c r="AJ166" s="256">
        <f t="shared" si="161"/>
        <v>80000</v>
      </c>
      <c r="AK166" s="256">
        <f t="shared" si="161"/>
        <v>80000</v>
      </c>
      <c r="AL166" s="256">
        <f t="shared" si="161"/>
        <v>100000</v>
      </c>
      <c r="AM166" s="256">
        <f t="shared" si="161"/>
        <v>100000</v>
      </c>
      <c r="AN166" s="256">
        <f t="shared" si="161"/>
        <v>100000</v>
      </c>
      <c r="AO166" s="256">
        <f t="shared" si="161"/>
        <v>100000</v>
      </c>
      <c r="AP166" s="256">
        <f t="shared" si="161"/>
        <v>100000</v>
      </c>
      <c r="AQ166" s="256">
        <f t="shared" si="161"/>
        <v>100000</v>
      </c>
      <c r="AR166" s="256">
        <f t="shared" si="161"/>
        <v>100000</v>
      </c>
      <c r="AS166" s="256">
        <f t="shared" si="161"/>
        <v>100000</v>
      </c>
      <c r="AT166" s="256">
        <f t="shared" si="161"/>
        <v>100000</v>
      </c>
      <c r="AU166" s="256">
        <f t="shared" si="161"/>
        <v>100000</v>
      </c>
      <c r="AV166" s="256">
        <f t="shared" si="161"/>
        <v>100000</v>
      </c>
      <c r="AW166" s="256">
        <f t="shared" si="161"/>
        <v>100000</v>
      </c>
      <c r="AX166" s="256">
        <f t="shared" si="161"/>
        <v>100000</v>
      </c>
      <c r="AY166" s="256">
        <f t="shared" si="161"/>
        <v>100000</v>
      </c>
      <c r="AZ166" s="256">
        <f t="shared" si="161"/>
        <v>100000</v>
      </c>
      <c r="BA166" s="256">
        <f t="shared" si="161"/>
        <v>100000</v>
      </c>
      <c r="BB166" s="256">
        <f t="shared" si="161"/>
        <v>100000</v>
      </c>
      <c r="BC166" s="256">
        <f t="shared" si="161"/>
        <v>100000</v>
      </c>
      <c r="BD166" s="256">
        <f t="shared" si="161"/>
        <v>100000</v>
      </c>
      <c r="BE166" s="256">
        <f t="shared" si="161"/>
        <v>100000</v>
      </c>
      <c r="BF166" s="256">
        <f t="shared" si="161"/>
        <v>100000</v>
      </c>
      <c r="BG166" s="256">
        <f t="shared" si="161"/>
        <v>100000</v>
      </c>
      <c r="BH166" s="256">
        <f t="shared" si="161"/>
        <v>100000</v>
      </c>
      <c r="BI166" s="256">
        <f t="shared" si="161"/>
        <v>100000</v>
      </c>
      <c r="BJ166" s="256">
        <f t="shared" si="161"/>
        <v>100000</v>
      </c>
      <c r="BK166" s="256">
        <f t="shared" si="161"/>
        <v>100000</v>
      </c>
      <c r="BL166" s="256">
        <f t="shared" si="161"/>
        <v>100000</v>
      </c>
      <c r="BM166" s="256">
        <f t="shared" si="161"/>
        <v>100000</v>
      </c>
      <c r="BN166" s="256">
        <f t="shared" si="161"/>
        <v>100000</v>
      </c>
      <c r="BO166" s="256">
        <f t="shared" si="161"/>
        <v>100000</v>
      </c>
      <c r="BP166" s="256">
        <f t="shared" si="161"/>
        <v>100000</v>
      </c>
      <c r="BQ166" s="256">
        <f t="shared" si="161"/>
        <v>100000</v>
      </c>
      <c r="BR166" s="256">
        <f t="shared" si="161"/>
        <v>100000</v>
      </c>
      <c r="BS166" s="256">
        <f t="shared" si="161"/>
        <v>100000</v>
      </c>
      <c r="BT166" s="256">
        <f t="shared" si="161"/>
        <v>100000</v>
      </c>
      <c r="BU166" s="256">
        <f t="shared" si="161"/>
        <v>100000</v>
      </c>
      <c r="BV166" s="256">
        <f t="shared" si="161"/>
        <v>100000</v>
      </c>
      <c r="BW166" s="256">
        <f t="shared" si="161"/>
        <v>100000</v>
      </c>
      <c r="BX166" s="256">
        <f t="shared" si="161"/>
        <v>100000</v>
      </c>
      <c r="BY166" s="256">
        <f t="shared" si="161"/>
        <v>100000</v>
      </c>
      <c r="BZ166" s="256">
        <f t="shared" si="161"/>
        <v>100000</v>
      </c>
      <c r="CA166" s="256">
        <f t="shared" si="161"/>
        <v>100000</v>
      </c>
    </row>
    <row r="167" ht="15.75" customHeight="1">
      <c r="A167" s="257"/>
      <c r="B167" s="247"/>
      <c r="C167" s="247"/>
      <c r="D167" s="247"/>
      <c r="E167" s="247"/>
      <c r="F167" s="247"/>
      <c r="G167" s="247"/>
      <c r="H167" s="247"/>
      <c r="I167" s="247"/>
      <c r="J167" s="246"/>
      <c r="K167" s="246"/>
      <c r="L167" s="246"/>
      <c r="M167" s="246"/>
      <c r="N167" s="246"/>
      <c r="O167" s="246"/>
      <c r="P167" s="246"/>
      <c r="Q167" s="246"/>
      <c r="R167" s="246"/>
      <c r="S167" s="246"/>
      <c r="T167" s="246"/>
      <c r="U167" s="246"/>
      <c r="V167" s="246"/>
      <c r="W167" s="246"/>
      <c r="X167" s="246"/>
      <c r="Y167" s="246"/>
      <c r="Z167" s="246"/>
      <c r="AA167" s="246"/>
      <c r="AB167" s="246"/>
      <c r="AC167" s="246"/>
      <c r="AD167" s="246"/>
      <c r="AE167" s="246"/>
      <c r="AF167" s="246"/>
      <c r="AG167" s="246"/>
      <c r="AH167" s="246"/>
      <c r="AI167" s="246"/>
      <c r="AJ167" s="246"/>
      <c r="AK167" s="246"/>
      <c r="AL167" s="246"/>
      <c r="AM167" s="246"/>
      <c r="AN167" s="246"/>
      <c r="AO167" s="246"/>
      <c r="AP167" s="246"/>
      <c r="AQ167" s="246"/>
      <c r="AR167" s="246"/>
      <c r="AS167" s="246"/>
      <c r="AT167" s="246"/>
      <c r="AU167" s="246"/>
      <c r="AV167" s="246"/>
      <c r="AW167" s="246"/>
      <c r="AX167" s="246"/>
      <c r="AY167" s="246"/>
      <c r="AZ167" s="246"/>
      <c r="BA167" s="246"/>
      <c r="BB167" s="246"/>
      <c r="BC167" s="246"/>
      <c r="BD167" s="246"/>
      <c r="BE167" s="246"/>
      <c r="BF167" s="246"/>
      <c r="BG167" s="246"/>
      <c r="BH167" s="246"/>
      <c r="BI167" s="246"/>
      <c r="BJ167" s="246"/>
      <c r="BK167" s="246"/>
      <c r="BL167" s="246"/>
      <c r="BM167" s="246"/>
      <c r="BN167" s="246"/>
      <c r="BO167" s="246"/>
      <c r="BP167" s="246"/>
      <c r="BQ167" s="246"/>
      <c r="BR167" s="246"/>
      <c r="BS167" s="246"/>
      <c r="BT167" s="246"/>
      <c r="BU167" s="246"/>
      <c r="BV167" s="246"/>
      <c r="BW167" s="246"/>
      <c r="BX167" s="246"/>
      <c r="BY167" s="246"/>
      <c r="BZ167" s="246"/>
      <c r="CA167" s="246"/>
    </row>
    <row r="168" ht="15.75" customHeight="1">
      <c r="A168" s="257" t="s">
        <v>223</v>
      </c>
      <c r="B168" s="247">
        <f t="array" ref="B168">INDEX('IS Proforma'!$1:$1048490,MATCH($A168,'IS Proforma'!$C:$C,0),MATCH(B$4,'IS Proforma'!$4:$4))</f>
        <v>1020</v>
      </c>
      <c r="C168" s="247">
        <f t="array" ref="C168">INDEX('IS Proforma'!$1:$1048490,MATCH($A168,'IS Proforma'!$C:$C,0),MATCH(C$4,'IS Proforma'!$4:$4))</f>
        <v>2478</v>
      </c>
      <c r="D168" s="247">
        <f t="array" ref="D168">INDEX('IS Proforma'!$1:$1048490,MATCH($A168,'IS Proforma'!$C:$C,0),MATCH(D$4,'IS Proforma'!$4:$4))</f>
        <v>2349</v>
      </c>
      <c r="E168" s="247">
        <f t="array" ref="E168">INDEX('IS Proforma'!$1:$1048490,MATCH($A168,'IS Proforma'!$C:$C,0),MATCH(E$4,'IS Proforma'!$4:$4))</f>
        <v>1409</v>
      </c>
      <c r="F168" s="247">
        <f t="array" ref="F168">INDEX('IS Proforma'!$1:$1048490,MATCH($A168,'IS Proforma'!$C:$C,0),MATCH(F$4,'IS Proforma'!$4:$4))</f>
        <v>1611</v>
      </c>
      <c r="G168" s="247">
        <f t="array" ref="G168">INDEX('IS Proforma'!$1:$1048490,MATCH($A168,'IS Proforma'!$C:$C,0),MATCH(G$4,'IS Proforma'!$4:$4))</f>
        <v>1375</v>
      </c>
      <c r="H168" s="247">
        <f t="array" ref="H168">INDEX('IS Proforma'!$1:$1048490,MATCH($A168,'IS Proforma'!$C:$C,0),MATCH(H$4,'IS Proforma'!$4:$4))</f>
        <v>1250</v>
      </c>
      <c r="I168" s="247">
        <f t="array" ref="I168">INDEX('IS Proforma'!$1:$1048490,MATCH($A168,'IS Proforma'!$C:$C,0),MATCH(I$4,'IS Proforma'!$4:$4))</f>
        <v>1054</v>
      </c>
      <c r="J168" s="247">
        <f t="array" ref="J168">INDEX('IS Proforma'!$1:$1048490,MATCH($A168,'IS Proforma'!$C:$C,0),MATCH(J$4,'IS Proforma'!$4:$4))</f>
        <v>2304</v>
      </c>
      <c r="K168" s="247">
        <f t="array" ref="K168">INDEX('IS Proforma'!$1:$1048490,MATCH($A168,'IS Proforma'!$C:$C,0),MATCH(K$4,'IS Proforma'!$4:$4))</f>
        <v>1777</v>
      </c>
      <c r="L168" s="247">
        <f t="array" ref="L168">INDEX('IS Proforma'!$1:$1048490,MATCH($A168,'IS Proforma'!$C:$C,0),MATCH(L$4,'IS Proforma'!$4:$4))</f>
        <v>2247</v>
      </c>
      <c r="M168" s="247">
        <f t="array" ref="M168">INDEX('IS Proforma'!$1:$1048490,MATCH($A168,'IS Proforma'!$C:$C,0),MATCH(M$4,'IS Proforma'!$4:$4))</f>
        <v>2492</v>
      </c>
      <c r="N168" s="247">
        <f t="array" ref="N168">INDEX('IS Proforma'!$1:$1048490,MATCH($A168,'IS Proforma'!$C:$C,0),MATCH(N$4,'IS Proforma'!$4:$4))</f>
        <v>2283</v>
      </c>
      <c r="O168" s="247">
        <f t="array" ref="O168">INDEX('IS Proforma'!$1:$1048490,MATCH($A168,'IS Proforma'!$C:$C,0),MATCH(O$4,'IS Proforma'!$4:$4))</f>
        <v>2095</v>
      </c>
      <c r="P168" s="247">
        <f t="array" ref="P168">INDEX('IS Proforma'!$1:$1048490,MATCH($A168,'IS Proforma'!$C:$C,0),MATCH(P$4,'IS Proforma'!$4:$4))</f>
        <v>2327</v>
      </c>
      <c r="Q168" s="247">
        <f t="array" ref="Q168">INDEX('IS Proforma'!$1:$1048490,MATCH($A168,'IS Proforma'!$C:$C,0),MATCH(Q$4,'IS Proforma'!$4:$4))</f>
        <v>1566</v>
      </c>
      <c r="R168" s="246">
        <f t="shared" ref="R168:CA168" si="162">R177*R$179*R$180*R$181</f>
        <v>0</v>
      </c>
      <c r="S168" s="246">
        <f t="shared" si="162"/>
        <v>0</v>
      </c>
      <c r="T168" s="246">
        <f t="shared" si="162"/>
        <v>0</v>
      </c>
      <c r="U168" s="246">
        <f t="shared" si="162"/>
        <v>0</v>
      </c>
      <c r="V168" s="246">
        <f t="shared" si="162"/>
        <v>0</v>
      </c>
      <c r="W168" s="246">
        <f t="shared" si="162"/>
        <v>0</v>
      </c>
      <c r="X168" s="246">
        <f t="shared" si="162"/>
        <v>0</v>
      </c>
      <c r="Y168" s="246">
        <f t="shared" si="162"/>
        <v>0</v>
      </c>
      <c r="Z168" s="246">
        <f t="shared" si="162"/>
        <v>5000</v>
      </c>
      <c r="AA168" s="246">
        <f t="shared" si="162"/>
        <v>5000</v>
      </c>
      <c r="AB168" s="246">
        <f t="shared" si="162"/>
        <v>5000</v>
      </c>
      <c r="AC168" s="246">
        <f t="shared" si="162"/>
        <v>5000</v>
      </c>
      <c r="AD168" s="246">
        <f t="shared" si="162"/>
        <v>5000</v>
      </c>
      <c r="AE168" s="246">
        <f t="shared" si="162"/>
        <v>5000</v>
      </c>
      <c r="AF168" s="246">
        <f t="shared" si="162"/>
        <v>10000</v>
      </c>
      <c r="AG168" s="246">
        <f t="shared" si="162"/>
        <v>10000</v>
      </c>
      <c r="AH168" s="246">
        <f t="shared" si="162"/>
        <v>10000</v>
      </c>
      <c r="AI168" s="246">
        <f t="shared" si="162"/>
        <v>10000</v>
      </c>
      <c r="AJ168" s="246">
        <f t="shared" si="162"/>
        <v>10000</v>
      </c>
      <c r="AK168" s="246">
        <f t="shared" si="162"/>
        <v>10000</v>
      </c>
      <c r="AL168" s="246">
        <f t="shared" si="162"/>
        <v>15000</v>
      </c>
      <c r="AM168" s="246">
        <f t="shared" si="162"/>
        <v>15000</v>
      </c>
      <c r="AN168" s="246">
        <f t="shared" si="162"/>
        <v>15000</v>
      </c>
      <c r="AO168" s="246">
        <f t="shared" si="162"/>
        <v>15000</v>
      </c>
      <c r="AP168" s="246">
        <f t="shared" si="162"/>
        <v>15000</v>
      </c>
      <c r="AQ168" s="246">
        <f t="shared" si="162"/>
        <v>15000</v>
      </c>
      <c r="AR168" s="246">
        <f t="shared" si="162"/>
        <v>20000</v>
      </c>
      <c r="AS168" s="246">
        <f t="shared" si="162"/>
        <v>25000</v>
      </c>
      <c r="AT168" s="246">
        <f t="shared" si="162"/>
        <v>30000</v>
      </c>
      <c r="AU168" s="246">
        <f t="shared" si="162"/>
        <v>35000</v>
      </c>
      <c r="AV168" s="246">
        <f t="shared" si="162"/>
        <v>40000</v>
      </c>
      <c r="AW168" s="246">
        <f t="shared" si="162"/>
        <v>45000</v>
      </c>
      <c r="AX168" s="246">
        <f t="shared" si="162"/>
        <v>50000</v>
      </c>
      <c r="AY168" s="246">
        <f t="shared" si="162"/>
        <v>55000</v>
      </c>
      <c r="AZ168" s="246">
        <f t="shared" si="162"/>
        <v>60000</v>
      </c>
      <c r="BA168" s="246">
        <f t="shared" si="162"/>
        <v>65000</v>
      </c>
      <c r="BB168" s="246">
        <f t="shared" si="162"/>
        <v>70000</v>
      </c>
      <c r="BC168" s="246">
        <f t="shared" si="162"/>
        <v>75000</v>
      </c>
      <c r="BD168" s="246">
        <f t="shared" si="162"/>
        <v>80000</v>
      </c>
      <c r="BE168" s="246">
        <f t="shared" si="162"/>
        <v>85000</v>
      </c>
      <c r="BF168" s="246">
        <f t="shared" si="162"/>
        <v>90000</v>
      </c>
      <c r="BG168" s="246">
        <f t="shared" si="162"/>
        <v>95000</v>
      </c>
      <c r="BH168" s="246">
        <f t="shared" si="162"/>
        <v>100000</v>
      </c>
      <c r="BI168" s="246">
        <f t="shared" si="162"/>
        <v>105000</v>
      </c>
      <c r="BJ168" s="246">
        <f t="shared" si="162"/>
        <v>110000</v>
      </c>
      <c r="BK168" s="246">
        <f t="shared" si="162"/>
        <v>115000</v>
      </c>
      <c r="BL168" s="246">
        <f t="shared" si="162"/>
        <v>120000</v>
      </c>
      <c r="BM168" s="246">
        <f t="shared" si="162"/>
        <v>125000</v>
      </c>
      <c r="BN168" s="246">
        <f t="shared" si="162"/>
        <v>130000</v>
      </c>
      <c r="BO168" s="246">
        <f t="shared" si="162"/>
        <v>135000</v>
      </c>
      <c r="BP168" s="246">
        <f t="shared" si="162"/>
        <v>140000</v>
      </c>
      <c r="BQ168" s="246">
        <f t="shared" si="162"/>
        <v>145000</v>
      </c>
      <c r="BR168" s="246">
        <f t="shared" si="162"/>
        <v>150000</v>
      </c>
      <c r="BS168" s="246">
        <f t="shared" si="162"/>
        <v>155000</v>
      </c>
      <c r="BT168" s="246">
        <f t="shared" si="162"/>
        <v>160000</v>
      </c>
      <c r="BU168" s="246">
        <f t="shared" si="162"/>
        <v>165000</v>
      </c>
      <c r="BV168" s="246">
        <f t="shared" si="162"/>
        <v>170000</v>
      </c>
      <c r="BW168" s="246">
        <f t="shared" si="162"/>
        <v>175000</v>
      </c>
      <c r="BX168" s="246">
        <f t="shared" si="162"/>
        <v>180000</v>
      </c>
      <c r="BY168" s="246">
        <f t="shared" si="162"/>
        <v>185000</v>
      </c>
      <c r="BZ168" s="246">
        <f t="shared" si="162"/>
        <v>190000</v>
      </c>
      <c r="CA168" s="246">
        <f t="shared" si="162"/>
        <v>195000</v>
      </c>
    </row>
    <row r="169" ht="15.75" customHeight="1">
      <c r="A169" s="257" t="s">
        <v>481</v>
      </c>
      <c r="B169" s="247" t="str">
        <f t="array" ref="B169">INDEX('IS Proforma'!$1:$1048490,MATCH($A169,'IS Proforma'!$C:$C,0),MATCH(B$4,'IS Proforma'!$4:$4))</f>
        <v>#N/A</v>
      </c>
      <c r="C169" s="247" t="str">
        <f t="array" ref="C169">INDEX('IS Proforma'!$1:$1048490,MATCH($A169,'IS Proforma'!$C:$C,0),MATCH(C$4,'IS Proforma'!$4:$4))</f>
        <v>#N/A</v>
      </c>
      <c r="D169" s="247" t="str">
        <f t="array" ref="D169">INDEX('IS Proforma'!$1:$1048490,MATCH($A169,'IS Proforma'!$C:$C,0),MATCH(D$4,'IS Proforma'!$4:$4))</f>
        <v>#N/A</v>
      </c>
      <c r="E169" s="247" t="str">
        <f t="array" ref="E169">INDEX('IS Proforma'!$1:$1048490,MATCH($A169,'IS Proforma'!$C:$C,0),MATCH(E$4,'IS Proforma'!$4:$4))</f>
        <v>#N/A</v>
      </c>
      <c r="F169" s="247" t="str">
        <f t="array" ref="F169">INDEX('IS Proforma'!$1:$1048490,MATCH($A169,'IS Proforma'!$C:$C,0),MATCH(F$4,'IS Proforma'!$4:$4))</f>
        <v>#N/A</v>
      </c>
      <c r="G169" s="247" t="str">
        <f t="array" ref="G169">INDEX('IS Proforma'!$1:$1048490,MATCH($A169,'IS Proforma'!$C:$C,0),MATCH(G$4,'IS Proforma'!$4:$4))</f>
        <v>#N/A</v>
      </c>
      <c r="H169" s="247" t="str">
        <f t="array" ref="H169">INDEX('IS Proforma'!$1:$1048490,MATCH($A169,'IS Proforma'!$C:$C,0),MATCH(H$4,'IS Proforma'!$4:$4))</f>
        <v>#N/A</v>
      </c>
      <c r="I169" s="247" t="str">
        <f t="array" ref="I169">INDEX('IS Proforma'!$1:$1048490,MATCH($A169,'IS Proforma'!$C:$C,0),MATCH(I$4,'IS Proforma'!$4:$4))</f>
        <v>#N/A</v>
      </c>
      <c r="J169" s="247" t="str">
        <f t="array" ref="J169">INDEX('IS Proforma'!$1:$1048490,MATCH($A169,'IS Proforma'!$C:$C,0),MATCH(J$4,'IS Proforma'!$4:$4))</f>
        <v>#N/A</v>
      </c>
      <c r="K169" s="246"/>
      <c r="L169" s="246"/>
      <c r="M169" s="246"/>
      <c r="N169" s="246"/>
      <c r="O169" s="246"/>
      <c r="P169" s="246"/>
      <c r="Q169" s="246"/>
      <c r="R169" s="246"/>
      <c r="S169" s="246"/>
      <c r="T169" s="246"/>
      <c r="U169" s="246"/>
      <c r="V169" s="246"/>
      <c r="W169" s="246"/>
      <c r="X169" s="246"/>
      <c r="Y169" s="246"/>
      <c r="Z169" s="246"/>
      <c r="AA169" s="246"/>
      <c r="AB169" s="246"/>
      <c r="AC169" s="246"/>
      <c r="AD169" s="246"/>
      <c r="AE169" s="246"/>
      <c r="AF169" s="246"/>
      <c r="AG169" s="246"/>
      <c r="AH169" s="246"/>
      <c r="AI169" s="246"/>
      <c r="AJ169" s="246"/>
      <c r="AK169" s="246"/>
      <c r="AL169" s="246"/>
      <c r="AM169" s="246"/>
      <c r="AN169" s="246"/>
      <c r="AO169" s="246"/>
      <c r="AP169" s="246"/>
      <c r="AQ169" s="246"/>
      <c r="AR169" s="246"/>
      <c r="AS169" s="246"/>
      <c r="AT169" s="246"/>
      <c r="AU169" s="246"/>
      <c r="AV169" s="246"/>
      <c r="AW169" s="246"/>
      <c r="AX169" s="246"/>
      <c r="AY169" s="246"/>
      <c r="AZ169" s="246"/>
      <c r="BA169" s="246"/>
      <c r="BB169" s="246"/>
      <c r="BC169" s="246"/>
      <c r="BD169" s="246"/>
      <c r="BE169" s="246"/>
      <c r="BF169" s="246"/>
      <c r="BG169" s="246"/>
      <c r="BH169" s="246"/>
      <c r="BI169" s="246"/>
      <c r="BJ169" s="246"/>
      <c r="BK169" s="246"/>
      <c r="BL169" s="246"/>
      <c r="BM169" s="246"/>
      <c r="BN169" s="246"/>
      <c r="BO169" s="246"/>
      <c r="BP169" s="246"/>
      <c r="BQ169" s="246"/>
      <c r="BR169" s="246"/>
      <c r="BS169" s="246"/>
      <c r="BT169" s="246"/>
      <c r="BU169" s="246"/>
      <c r="BV169" s="246"/>
      <c r="BW169" s="246"/>
      <c r="BX169" s="246"/>
      <c r="BY169" s="246"/>
      <c r="BZ169" s="246"/>
      <c r="CA169" s="246"/>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row>
    <row r="171" ht="15.75" customHeight="1">
      <c r="A171" s="91" t="s">
        <v>482</v>
      </c>
      <c r="B171" s="91"/>
      <c r="C171" s="91"/>
      <c r="D171" s="91"/>
      <c r="E171" s="91"/>
      <c r="F171" s="5">
        <v>5.0</v>
      </c>
      <c r="G171" s="5">
        <v>5.0</v>
      </c>
      <c r="H171" s="5">
        <v>8.0</v>
      </c>
      <c r="I171" s="5">
        <f t="shared" ref="I171:I174" si="167">H171</f>
        <v>8</v>
      </c>
      <c r="J171" s="5">
        <v>6.0</v>
      </c>
      <c r="K171" s="5">
        <v>6.0</v>
      </c>
      <c r="L171" s="5">
        <v>2.0</v>
      </c>
      <c r="M171" s="5">
        <v>2.0</v>
      </c>
      <c r="N171" s="5">
        <v>2.0</v>
      </c>
      <c r="O171" s="5">
        <v>3.0</v>
      </c>
      <c r="P171" s="5">
        <v>3.0</v>
      </c>
      <c r="Q171" s="5">
        <v>3.0</v>
      </c>
      <c r="R171" s="5">
        <v>3.0</v>
      </c>
      <c r="S171" s="6">
        <f>R171</f>
        <v>3</v>
      </c>
      <c r="T171" s="6">
        <v>3.0</v>
      </c>
      <c r="U171" s="6">
        <f t="shared" ref="U171:Y171" si="163">T171</f>
        <v>3</v>
      </c>
      <c r="V171" s="6">
        <f t="shared" si="163"/>
        <v>3</v>
      </c>
      <c r="W171" s="6">
        <f t="shared" si="163"/>
        <v>3</v>
      </c>
      <c r="X171" s="6">
        <f t="shared" si="163"/>
        <v>3</v>
      </c>
      <c r="Y171" s="6">
        <f t="shared" si="163"/>
        <v>3</v>
      </c>
      <c r="Z171" s="6">
        <f t="shared" ref="Z171:Z172" si="170">Y171+1</f>
        <v>4</v>
      </c>
      <c r="AA171" s="6">
        <f t="shared" ref="AA171:AE171" si="164">Z171</f>
        <v>4</v>
      </c>
      <c r="AB171" s="6">
        <f t="shared" si="164"/>
        <v>4</v>
      </c>
      <c r="AC171" s="6">
        <f t="shared" si="164"/>
        <v>4</v>
      </c>
      <c r="AD171" s="6">
        <f t="shared" si="164"/>
        <v>4</v>
      </c>
      <c r="AE171" s="6">
        <f t="shared" si="164"/>
        <v>4</v>
      </c>
      <c r="AF171" s="6">
        <f t="shared" ref="AF171:AF174" si="172">AE171+1</f>
        <v>5</v>
      </c>
      <c r="AG171" s="6">
        <f t="shared" ref="AG171:AK171" si="165">AF171</f>
        <v>5</v>
      </c>
      <c r="AH171" s="6">
        <f t="shared" si="165"/>
        <v>5</v>
      </c>
      <c r="AI171" s="6">
        <f t="shared" si="165"/>
        <v>5</v>
      </c>
      <c r="AJ171" s="6">
        <f t="shared" si="165"/>
        <v>5</v>
      </c>
      <c r="AK171" s="6">
        <f t="shared" si="165"/>
        <v>5</v>
      </c>
      <c r="AL171" s="6">
        <f t="shared" ref="AL171:AL174" si="174">AK171+1</f>
        <v>6</v>
      </c>
      <c r="AM171" s="6">
        <f t="shared" ref="AM171:CA171" si="166">AL171</f>
        <v>6</v>
      </c>
      <c r="AN171" s="6">
        <f t="shared" si="166"/>
        <v>6</v>
      </c>
      <c r="AO171" s="6">
        <f t="shared" si="166"/>
        <v>6</v>
      </c>
      <c r="AP171" s="6">
        <f t="shared" si="166"/>
        <v>6</v>
      </c>
      <c r="AQ171" s="6">
        <f t="shared" si="166"/>
        <v>6</v>
      </c>
      <c r="AR171" s="6">
        <f t="shared" si="166"/>
        <v>6</v>
      </c>
      <c r="AS171" s="6">
        <f t="shared" si="166"/>
        <v>6</v>
      </c>
      <c r="AT171" s="6">
        <f t="shared" si="166"/>
        <v>6</v>
      </c>
      <c r="AU171" s="6">
        <f t="shared" si="166"/>
        <v>6</v>
      </c>
      <c r="AV171" s="6">
        <f t="shared" si="166"/>
        <v>6</v>
      </c>
      <c r="AW171" s="6">
        <f t="shared" si="166"/>
        <v>6</v>
      </c>
      <c r="AX171" s="6">
        <f t="shared" si="166"/>
        <v>6</v>
      </c>
      <c r="AY171" s="6">
        <f t="shared" si="166"/>
        <v>6</v>
      </c>
      <c r="AZ171" s="6">
        <f t="shared" si="166"/>
        <v>6</v>
      </c>
      <c r="BA171" s="6">
        <f t="shared" si="166"/>
        <v>6</v>
      </c>
      <c r="BB171" s="6">
        <f t="shared" si="166"/>
        <v>6</v>
      </c>
      <c r="BC171" s="6">
        <f t="shared" si="166"/>
        <v>6</v>
      </c>
      <c r="BD171" s="6">
        <f t="shared" si="166"/>
        <v>6</v>
      </c>
      <c r="BE171" s="6">
        <f t="shared" si="166"/>
        <v>6</v>
      </c>
      <c r="BF171" s="6">
        <f t="shared" si="166"/>
        <v>6</v>
      </c>
      <c r="BG171" s="6">
        <f t="shared" si="166"/>
        <v>6</v>
      </c>
      <c r="BH171" s="6">
        <f t="shared" si="166"/>
        <v>6</v>
      </c>
      <c r="BI171" s="6">
        <f t="shared" si="166"/>
        <v>6</v>
      </c>
      <c r="BJ171" s="6">
        <f t="shared" si="166"/>
        <v>6</v>
      </c>
      <c r="BK171" s="6">
        <f t="shared" si="166"/>
        <v>6</v>
      </c>
      <c r="BL171" s="6">
        <f t="shared" si="166"/>
        <v>6</v>
      </c>
      <c r="BM171" s="6">
        <f t="shared" si="166"/>
        <v>6</v>
      </c>
      <c r="BN171" s="6">
        <f t="shared" si="166"/>
        <v>6</v>
      </c>
      <c r="BO171" s="6">
        <f t="shared" si="166"/>
        <v>6</v>
      </c>
      <c r="BP171" s="6">
        <f t="shared" si="166"/>
        <v>6</v>
      </c>
      <c r="BQ171" s="6">
        <f t="shared" si="166"/>
        <v>6</v>
      </c>
      <c r="BR171" s="6">
        <f t="shared" si="166"/>
        <v>6</v>
      </c>
      <c r="BS171" s="6">
        <f t="shared" si="166"/>
        <v>6</v>
      </c>
      <c r="BT171" s="6">
        <f t="shared" si="166"/>
        <v>6</v>
      </c>
      <c r="BU171" s="6">
        <f t="shared" si="166"/>
        <v>6</v>
      </c>
      <c r="BV171" s="6">
        <f t="shared" si="166"/>
        <v>6</v>
      </c>
      <c r="BW171" s="6">
        <f t="shared" si="166"/>
        <v>6</v>
      </c>
      <c r="BX171" s="6">
        <f t="shared" si="166"/>
        <v>6</v>
      </c>
      <c r="BY171" s="6">
        <f t="shared" si="166"/>
        <v>6</v>
      </c>
      <c r="BZ171" s="6">
        <f t="shared" si="166"/>
        <v>6</v>
      </c>
      <c r="CA171" s="6">
        <f t="shared" si="166"/>
        <v>6</v>
      </c>
    </row>
    <row r="172" ht="15.75" customHeight="1">
      <c r="A172" s="91" t="s">
        <v>483</v>
      </c>
      <c r="B172" s="91"/>
      <c r="C172" s="91"/>
      <c r="D172" s="91"/>
      <c r="E172" s="91"/>
      <c r="F172" s="5">
        <v>0.0</v>
      </c>
      <c r="G172" s="5">
        <v>0.0</v>
      </c>
      <c r="H172" s="5">
        <v>3.0</v>
      </c>
      <c r="I172" s="5">
        <f t="shared" si="167"/>
        <v>3</v>
      </c>
      <c r="J172" s="5">
        <v>0.0</v>
      </c>
      <c r="K172" s="5">
        <v>0.0</v>
      </c>
      <c r="L172" s="5">
        <v>0.0</v>
      </c>
      <c r="M172" s="5">
        <v>0.0</v>
      </c>
      <c r="N172" s="5">
        <v>0.0</v>
      </c>
      <c r="O172" s="5">
        <v>0.0</v>
      </c>
      <c r="P172" s="5">
        <v>2.0</v>
      </c>
      <c r="Q172" s="5">
        <v>2.0</v>
      </c>
      <c r="R172" s="5">
        <f t="shared" ref="R172:S172" si="168">Q172</f>
        <v>2</v>
      </c>
      <c r="S172" s="6">
        <f t="shared" si="168"/>
        <v>2</v>
      </c>
      <c r="T172" s="6">
        <v>3.0</v>
      </c>
      <c r="U172" s="6">
        <f t="shared" ref="U172:Y172" si="169">T172</f>
        <v>3</v>
      </c>
      <c r="V172" s="6">
        <f t="shared" si="169"/>
        <v>3</v>
      </c>
      <c r="W172" s="6">
        <f t="shared" si="169"/>
        <v>3</v>
      </c>
      <c r="X172" s="6">
        <f t="shared" si="169"/>
        <v>3</v>
      </c>
      <c r="Y172" s="6">
        <f t="shared" si="169"/>
        <v>3</v>
      </c>
      <c r="Z172" s="6">
        <f t="shared" si="170"/>
        <v>4</v>
      </c>
      <c r="AA172" s="6">
        <f t="shared" ref="AA172:AE172" si="171">Z172</f>
        <v>4</v>
      </c>
      <c r="AB172" s="6">
        <f t="shared" si="171"/>
        <v>4</v>
      </c>
      <c r="AC172" s="6">
        <f t="shared" si="171"/>
        <v>4</v>
      </c>
      <c r="AD172" s="6">
        <f t="shared" si="171"/>
        <v>4</v>
      </c>
      <c r="AE172" s="6">
        <f t="shared" si="171"/>
        <v>4</v>
      </c>
      <c r="AF172" s="6">
        <f t="shared" si="172"/>
        <v>5</v>
      </c>
      <c r="AG172" s="6">
        <f t="shared" ref="AG172:AK172" si="173">AF172</f>
        <v>5</v>
      </c>
      <c r="AH172" s="6">
        <f t="shared" si="173"/>
        <v>5</v>
      </c>
      <c r="AI172" s="6">
        <f t="shared" si="173"/>
        <v>5</v>
      </c>
      <c r="AJ172" s="6">
        <f t="shared" si="173"/>
        <v>5</v>
      </c>
      <c r="AK172" s="6">
        <f t="shared" si="173"/>
        <v>5</v>
      </c>
      <c r="AL172" s="6">
        <f t="shared" si="174"/>
        <v>6</v>
      </c>
      <c r="AM172" s="6">
        <f t="shared" ref="AM172:CA172" si="175">AL172</f>
        <v>6</v>
      </c>
      <c r="AN172" s="6">
        <f t="shared" si="175"/>
        <v>6</v>
      </c>
      <c r="AO172" s="6">
        <f t="shared" si="175"/>
        <v>6</v>
      </c>
      <c r="AP172" s="6">
        <f t="shared" si="175"/>
        <v>6</v>
      </c>
      <c r="AQ172" s="6">
        <f t="shared" si="175"/>
        <v>6</v>
      </c>
      <c r="AR172" s="6">
        <f t="shared" si="175"/>
        <v>6</v>
      </c>
      <c r="AS172" s="6">
        <f t="shared" si="175"/>
        <v>6</v>
      </c>
      <c r="AT172" s="6">
        <f t="shared" si="175"/>
        <v>6</v>
      </c>
      <c r="AU172" s="6">
        <f t="shared" si="175"/>
        <v>6</v>
      </c>
      <c r="AV172" s="6">
        <f t="shared" si="175"/>
        <v>6</v>
      </c>
      <c r="AW172" s="6">
        <f t="shared" si="175"/>
        <v>6</v>
      </c>
      <c r="AX172" s="6">
        <f t="shared" si="175"/>
        <v>6</v>
      </c>
      <c r="AY172" s="6">
        <f t="shared" si="175"/>
        <v>6</v>
      </c>
      <c r="AZ172" s="6">
        <f t="shared" si="175"/>
        <v>6</v>
      </c>
      <c r="BA172" s="6">
        <f t="shared" si="175"/>
        <v>6</v>
      </c>
      <c r="BB172" s="6">
        <f t="shared" si="175"/>
        <v>6</v>
      </c>
      <c r="BC172" s="6">
        <f t="shared" si="175"/>
        <v>6</v>
      </c>
      <c r="BD172" s="6">
        <f t="shared" si="175"/>
        <v>6</v>
      </c>
      <c r="BE172" s="6">
        <f t="shared" si="175"/>
        <v>6</v>
      </c>
      <c r="BF172" s="6">
        <f t="shared" si="175"/>
        <v>6</v>
      </c>
      <c r="BG172" s="6">
        <f t="shared" si="175"/>
        <v>6</v>
      </c>
      <c r="BH172" s="6">
        <f t="shared" si="175"/>
        <v>6</v>
      </c>
      <c r="BI172" s="6">
        <f t="shared" si="175"/>
        <v>6</v>
      </c>
      <c r="BJ172" s="6">
        <f t="shared" si="175"/>
        <v>6</v>
      </c>
      <c r="BK172" s="6">
        <f t="shared" si="175"/>
        <v>6</v>
      </c>
      <c r="BL172" s="6">
        <f t="shared" si="175"/>
        <v>6</v>
      </c>
      <c r="BM172" s="6">
        <f t="shared" si="175"/>
        <v>6</v>
      </c>
      <c r="BN172" s="6">
        <f t="shared" si="175"/>
        <v>6</v>
      </c>
      <c r="BO172" s="6">
        <f t="shared" si="175"/>
        <v>6</v>
      </c>
      <c r="BP172" s="6">
        <f t="shared" si="175"/>
        <v>6</v>
      </c>
      <c r="BQ172" s="6">
        <f t="shared" si="175"/>
        <v>6</v>
      </c>
      <c r="BR172" s="6">
        <f t="shared" si="175"/>
        <v>6</v>
      </c>
      <c r="BS172" s="6">
        <f t="shared" si="175"/>
        <v>6</v>
      </c>
      <c r="BT172" s="6">
        <f t="shared" si="175"/>
        <v>6</v>
      </c>
      <c r="BU172" s="6">
        <f t="shared" si="175"/>
        <v>6</v>
      </c>
      <c r="BV172" s="6">
        <f t="shared" si="175"/>
        <v>6</v>
      </c>
      <c r="BW172" s="6">
        <f t="shared" si="175"/>
        <v>6</v>
      </c>
      <c r="BX172" s="6">
        <f t="shared" si="175"/>
        <v>6</v>
      </c>
      <c r="BY172" s="6">
        <f t="shared" si="175"/>
        <v>6</v>
      </c>
      <c r="BZ172" s="6">
        <f t="shared" si="175"/>
        <v>6</v>
      </c>
      <c r="CA172" s="6">
        <f t="shared" si="175"/>
        <v>6</v>
      </c>
    </row>
    <row r="173" ht="15.75" customHeight="1">
      <c r="A173" s="91" t="s">
        <v>484</v>
      </c>
      <c r="B173" s="91"/>
      <c r="C173" s="91"/>
      <c r="D173" s="91"/>
      <c r="E173" s="91"/>
      <c r="F173" s="5">
        <v>2.0</v>
      </c>
      <c r="G173" s="5">
        <v>2.0</v>
      </c>
      <c r="H173" s="5">
        <v>3.0</v>
      </c>
      <c r="I173" s="5">
        <f t="shared" si="167"/>
        <v>3</v>
      </c>
      <c r="J173" s="5">
        <v>1.0</v>
      </c>
      <c r="K173" s="5">
        <v>1.0</v>
      </c>
      <c r="L173" s="5">
        <v>1.0</v>
      </c>
      <c r="M173" s="5">
        <v>1.0</v>
      </c>
      <c r="N173" s="5">
        <v>1.0</v>
      </c>
      <c r="O173" s="5">
        <f t="shared" ref="O173:P173" si="176">N173</f>
        <v>1</v>
      </c>
      <c r="P173" s="5">
        <f t="shared" si="176"/>
        <v>1</v>
      </c>
      <c r="Q173" s="5">
        <v>2.0</v>
      </c>
      <c r="R173" s="5">
        <v>1.0</v>
      </c>
      <c r="S173" s="6">
        <v>2.0</v>
      </c>
      <c r="T173" s="6">
        <v>2.0</v>
      </c>
      <c r="U173" s="6">
        <v>2.0</v>
      </c>
      <c r="V173" s="6">
        <v>2.0</v>
      </c>
      <c r="W173" s="6">
        <v>2.0</v>
      </c>
      <c r="X173" s="6">
        <v>2.0</v>
      </c>
      <c r="Y173" s="6">
        <v>2.0</v>
      </c>
      <c r="Z173" s="6">
        <v>2.0</v>
      </c>
      <c r="AA173" s="6">
        <f t="shared" ref="AA173:AE173" si="177">Z173</f>
        <v>2</v>
      </c>
      <c r="AB173" s="6">
        <f t="shared" si="177"/>
        <v>2</v>
      </c>
      <c r="AC173" s="6">
        <f t="shared" si="177"/>
        <v>2</v>
      </c>
      <c r="AD173" s="6">
        <f t="shared" si="177"/>
        <v>2</v>
      </c>
      <c r="AE173" s="6">
        <f t="shared" si="177"/>
        <v>2</v>
      </c>
      <c r="AF173" s="6">
        <f t="shared" si="172"/>
        <v>3</v>
      </c>
      <c r="AG173" s="6">
        <f t="shared" ref="AG173:AK173" si="178">AF173</f>
        <v>3</v>
      </c>
      <c r="AH173" s="6">
        <f t="shared" si="178"/>
        <v>3</v>
      </c>
      <c r="AI173" s="6">
        <f t="shared" si="178"/>
        <v>3</v>
      </c>
      <c r="AJ173" s="6">
        <f t="shared" si="178"/>
        <v>3</v>
      </c>
      <c r="AK173" s="6">
        <f t="shared" si="178"/>
        <v>3</v>
      </c>
      <c r="AL173" s="6">
        <f t="shared" si="174"/>
        <v>4</v>
      </c>
      <c r="AM173" s="6">
        <f t="shared" ref="AM173:CA173" si="179">AL173</f>
        <v>4</v>
      </c>
      <c r="AN173" s="6">
        <f t="shared" si="179"/>
        <v>4</v>
      </c>
      <c r="AO173" s="6">
        <f t="shared" si="179"/>
        <v>4</v>
      </c>
      <c r="AP173" s="6">
        <f t="shared" si="179"/>
        <v>4</v>
      </c>
      <c r="AQ173" s="6">
        <f t="shared" si="179"/>
        <v>4</v>
      </c>
      <c r="AR173" s="6">
        <f t="shared" si="179"/>
        <v>4</v>
      </c>
      <c r="AS173" s="6">
        <f t="shared" si="179"/>
        <v>4</v>
      </c>
      <c r="AT173" s="6">
        <f t="shared" si="179"/>
        <v>4</v>
      </c>
      <c r="AU173" s="6">
        <f t="shared" si="179"/>
        <v>4</v>
      </c>
      <c r="AV173" s="6">
        <f t="shared" si="179"/>
        <v>4</v>
      </c>
      <c r="AW173" s="6">
        <f t="shared" si="179"/>
        <v>4</v>
      </c>
      <c r="AX173" s="6">
        <f t="shared" si="179"/>
        <v>4</v>
      </c>
      <c r="AY173" s="6">
        <f t="shared" si="179"/>
        <v>4</v>
      </c>
      <c r="AZ173" s="6">
        <f t="shared" si="179"/>
        <v>4</v>
      </c>
      <c r="BA173" s="6">
        <f t="shared" si="179"/>
        <v>4</v>
      </c>
      <c r="BB173" s="6">
        <f t="shared" si="179"/>
        <v>4</v>
      </c>
      <c r="BC173" s="6">
        <f t="shared" si="179"/>
        <v>4</v>
      </c>
      <c r="BD173" s="6">
        <f t="shared" si="179"/>
        <v>4</v>
      </c>
      <c r="BE173" s="6">
        <f t="shared" si="179"/>
        <v>4</v>
      </c>
      <c r="BF173" s="6">
        <f t="shared" si="179"/>
        <v>4</v>
      </c>
      <c r="BG173" s="6">
        <f t="shared" si="179"/>
        <v>4</v>
      </c>
      <c r="BH173" s="6">
        <f t="shared" si="179"/>
        <v>4</v>
      </c>
      <c r="BI173" s="6">
        <f t="shared" si="179"/>
        <v>4</v>
      </c>
      <c r="BJ173" s="6">
        <f t="shared" si="179"/>
        <v>4</v>
      </c>
      <c r="BK173" s="6">
        <f t="shared" si="179"/>
        <v>4</v>
      </c>
      <c r="BL173" s="6">
        <f t="shared" si="179"/>
        <v>4</v>
      </c>
      <c r="BM173" s="6">
        <f t="shared" si="179"/>
        <v>4</v>
      </c>
      <c r="BN173" s="6">
        <f t="shared" si="179"/>
        <v>4</v>
      </c>
      <c r="BO173" s="6">
        <f t="shared" si="179"/>
        <v>4</v>
      </c>
      <c r="BP173" s="6">
        <f t="shared" si="179"/>
        <v>4</v>
      </c>
      <c r="BQ173" s="6">
        <f t="shared" si="179"/>
        <v>4</v>
      </c>
      <c r="BR173" s="6">
        <f t="shared" si="179"/>
        <v>4</v>
      </c>
      <c r="BS173" s="6">
        <f t="shared" si="179"/>
        <v>4</v>
      </c>
      <c r="BT173" s="6">
        <f t="shared" si="179"/>
        <v>4</v>
      </c>
      <c r="BU173" s="6">
        <f t="shared" si="179"/>
        <v>4</v>
      </c>
      <c r="BV173" s="6">
        <f t="shared" si="179"/>
        <v>4</v>
      </c>
      <c r="BW173" s="6">
        <f t="shared" si="179"/>
        <v>4</v>
      </c>
      <c r="BX173" s="6">
        <f t="shared" si="179"/>
        <v>4</v>
      </c>
      <c r="BY173" s="6">
        <f t="shared" si="179"/>
        <v>4</v>
      </c>
      <c r="BZ173" s="6">
        <f t="shared" si="179"/>
        <v>4</v>
      </c>
      <c r="CA173" s="6">
        <f t="shared" si="179"/>
        <v>4</v>
      </c>
    </row>
    <row r="174" ht="15.75" customHeight="1">
      <c r="A174" s="91" t="s">
        <v>485</v>
      </c>
      <c r="B174" s="91"/>
      <c r="C174" s="91"/>
      <c r="D174" s="91"/>
      <c r="E174" s="91"/>
      <c r="F174" s="5">
        <v>0.0</v>
      </c>
      <c r="G174" s="5">
        <v>0.0</v>
      </c>
      <c r="H174" s="5">
        <v>1.0</v>
      </c>
      <c r="I174" s="5">
        <f t="shared" si="167"/>
        <v>1</v>
      </c>
      <c r="J174" s="5">
        <v>1.0</v>
      </c>
      <c r="K174" s="5">
        <v>2.0</v>
      </c>
      <c r="L174" s="5">
        <v>1.0</v>
      </c>
      <c r="M174" s="5">
        <v>1.0</v>
      </c>
      <c r="N174" s="5">
        <v>1.0</v>
      </c>
      <c r="O174" s="5">
        <v>0.0</v>
      </c>
      <c r="P174" s="5">
        <v>0.0</v>
      </c>
      <c r="Q174" s="5">
        <f t="shared" ref="Q174:R174" si="180">P174</f>
        <v>0</v>
      </c>
      <c r="R174" s="5">
        <f t="shared" si="180"/>
        <v>0</v>
      </c>
      <c r="S174" s="6">
        <v>1.0</v>
      </c>
      <c r="T174" s="6">
        <f t="shared" ref="T174:Y174" si="181">S174</f>
        <v>1</v>
      </c>
      <c r="U174" s="6">
        <f t="shared" si="181"/>
        <v>1</v>
      </c>
      <c r="V174" s="6">
        <f t="shared" si="181"/>
        <v>1</v>
      </c>
      <c r="W174" s="6">
        <f t="shared" si="181"/>
        <v>1</v>
      </c>
      <c r="X174" s="6">
        <f t="shared" si="181"/>
        <v>1</v>
      </c>
      <c r="Y174" s="6">
        <f t="shared" si="181"/>
        <v>1</v>
      </c>
      <c r="Z174" s="6">
        <f>Y174+1</f>
        <v>2</v>
      </c>
      <c r="AA174" s="6">
        <f t="shared" ref="AA174:AE174" si="182">Z174</f>
        <v>2</v>
      </c>
      <c r="AB174" s="6">
        <f t="shared" si="182"/>
        <v>2</v>
      </c>
      <c r="AC174" s="6">
        <f t="shared" si="182"/>
        <v>2</v>
      </c>
      <c r="AD174" s="6">
        <f t="shared" si="182"/>
        <v>2</v>
      </c>
      <c r="AE174" s="6">
        <f t="shared" si="182"/>
        <v>2</v>
      </c>
      <c r="AF174" s="6">
        <f t="shared" si="172"/>
        <v>3</v>
      </c>
      <c r="AG174" s="6">
        <f t="shared" ref="AG174:AK174" si="183">AF174</f>
        <v>3</v>
      </c>
      <c r="AH174" s="6">
        <f t="shared" si="183"/>
        <v>3</v>
      </c>
      <c r="AI174" s="6">
        <f t="shared" si="183"/>
        <v>3</v>
      </c>
      <c r="AJ174" s="6">
        <f t="shared" si="183"/>
        <v>3</v>
      </c>
      <c r="AK174" s="6">
        <f t="shared" si="183"/>
        <v>3</v>
      </c>
      <c r="AL174" s="6">
        <f t="shared" si="174"/>
        <v>4</v>
      </c>
      <c r="AM174" s="6">
        <f t="shared" ref="AM174:CA174" si="184">AL174</f>
        <v>4</v>
      </c>
      <c r="AN174" s="6">
        <f t="shared" si="184"/>
        <v>4</v>
      </c>
      <c r="AO174" s="6">
        <f t="shared" si="184"/>
        <v>4</v>
      </c>
      <c r="AP174" s="6">
        <f t="shared" si="184"/>
        <v>4</v>
      </c>
      <c r="AQ174" s="6">
        <f t="shared" si="184"/>
        <v>4</v>
      </c>
      <c r="AR174" s="6">
        <f t="shared" si="184"/>
        <v>4</v>
      </c>
      <c r="AS174" s="6">
        <f t="shared" si="184"/>
        <v>4</v>
      </c>
      <c r="AT174" s="6">
        <f t="shared" si="184"/>
        <v>4</v>
      </c>
      <c r="AU174" s="6">
        <f t="shared" si="184"/>
        <v>4</v>
      </c>
      <c r="AV174" s="6">
        <f t="shared" si="184"/>
        <v>4</v>
      </c>
      <c r="AW174" s="6">
        <f t="shared" si="184"/>
        <v>4</v>
      </c>
      <c r="AX174" s="6">
        <f t="shared" si="184"/>
        <v>4</v>
      </c>
      <c r="AY174" s="6">
        <f t="shared" si="184"/>
        <v>4</v>
      </c>
      <c r="AZ174" s="6">
        <f t="shared" si="184"/>
        <v>4</v>
      </c>
      <c r="BA174" s="6">
        <f t="shared" si="184"/>
        <v>4</v>
      </c>
      <c r="BB174" s="6">
        <f t="shared" si="184"/>
        <v>4</v>
      </c>
      <c r="BC174" s="6">
        <f t="shared" si="184"/>
        <v>4</v>
      </c>
      <c r="BD174" s="6">
        <f t="shared" si="184"/>
        <v>4</v>
      </c>
      <c r="BE174" s="6">
        <f t="shared" si="184"/>
        <v>4</v>
      </c>
      <c r="BF174" s="6">
        <f t="shared" si="184"/>
        <v>4</v>
      </c>
      <c r="BG174" s="6">
        <f t="shared" si="184"/>
        <v>4</v>
      </c>
      <c r="BH174" s="6">
        <f t="shared" si="184"/>
        <v>4</v>
      </c>
      <c r="BI174" s="6">
        <f t="shared" si="184"/>
        <v>4</v>
      </c>
      <c r="BJ174" s="6">
        <f t="shared" si="184"/>
        <v>4</v>
      </c>
      <c r="BK174" s="6">
        <f t="shared" si="184"/>
        <v>4</v>
      </c>
      <c r="BL174" s="6">
        <f t="shared" si="184"/>
        <v>4</v>
      </c>
      <c r="BM174" s="6">
        <f t="shared" si="184"/>
        <v>4</v>
      </c>
      <c r="BN174" s="6">
        <f t="shared" si="184"/>
        <v>4</v>
      </c>
      <c r="BO174" s="6">
        <f t="shared" si="184"/>
        <v>4</v>
      </c>
      <c r="BP174" s="6">
        <f t="shared" si="184"/>
        <v>4</v>
      </c>
      <c r="BQ174" s="6">
        <f t="shared" si="184"/>
        <v>4</v>
      </c>
      <c r="BR174" s="6">
        <f t="shared" si="184"/>
        <v>4</v>
      </c>
      <c r="BS174" s="6">
        <f t="shared" si="184"/>
        <v>4</v>
      </c>
      <c r="BT174" s="6">
        <f t="shared" si="184"/>
        <v>4</v>
      </c>
      <c r="BU174" s="6">
        <f t="shared" si="184"/>
        <v>4</v>
      </c>
      <c r="BV174" s="6">
        <f t="shared" si="184"/>
        <v>4</v>
      </c>
      <c r="BW174" s="6">
        <f t="shared" si="184"/>
        <v>4</v>
      </c>
      <c r="BX174" s="6">
        <f t="shared" si="184"/>
        <v>4</v>
      </c>
      <c r="BY174" s="6">
        <f t="shared" si="184"/>
        <v>4</v>
      </c>
      <c r="BZ174" s="6">
        <f t="shared" si="184"/>
        <v>4</v>
      </c>
      <c r="CA174" s="6">
        <f t="shared" si="184"/>
        <v>4</v>
      </c>
    </row>
    <row r="175" ht="15.75" customHeight="1">
      <c r="A175" s="91" t="s">
        <v>486</v>
      </c>
      <c r="B175" s="91"/>
      <c r="C175" s="91"/>
      <c r="D175" s="91"/>
      <c r="E175" s="91"/>
      <c r="F175" s="5"/>
      <c r="G175" s="5"/>
      <c r="H175" s="5"/>
      <c r="I175" s="5"/>
      <c r="J175" s="5"/>
      <c r="K175" s="5"/>
      <c r="L175" s="5"/>
      <c r="M175" s="5"/>
      <c r="N175" s="5"/>
      <c r="O175" s="5"/>
      <c r="P175" s="5"/>
      <c r="Q175" s="5">
        <v>1.0</v>
      </c>
      <c r="R175" s="5">
        <v>1.0</v>
      </c>
      <c r="S175" s="6">
        <f t="shared" ref="S175:AA175" si="185">R175</f>
        <v>1</v>
      </c>
      <c r="T175" s="6">
        <f t="shared" si="185"/>
        <v>1</v>
      </c>
      <c r="U175" s="6">
        <f t="shared" si="185"/>
        <v>1</v>
      </c>
      <c r="V175" s="6">
        <f t="shared" si="185"/>
        <v>1</v>
      </c>
      <c r="W175" s="6">
        <f t="shared" si="185"/>
        <v>1</v>
      </c>
      <c r="X175" s="6">
        <f t="shared" si="185"/>
        <v>1</v>
      </c>
      <c r="Y175" s="6">
        <f t="shared" si="185"/>
        <v>1</v>
      </c>
      <c r="Z175" s="6">
        <f t="shared" si="185"/>
        <v>1</v>
      </c>
      <c r="AA175" s="6">
        <f t="shared" si="185"/>
        <v>1</v>
      </c>
      <c r="AB175" s="6">
        <v>2.0</v>
      </c>
      <c r="AC175" s="6">
        <v>2.0</v>
      </c>
      <c r="AD175" s="6">
        <v>2.0</v>
      </c>
      <c r="AE175" s="6">
        <v>2.0</v>
      </c>
      <c r="AF175" s="6">
        <v>2.0</v>
      </c>
      <c r="AG175" s="6">
        <v>2.0</v>
      </c>
      <c r="AH175" s="6">
        <v>2.0</v>
      </c>
      <c r="AI175" s="6">
        <v>2.0</v>
      </c>
      <c r="AJ175" s="6">
        <v>3.0</v>
      </c>
      <c r="AK175" s="6">
        <v>3.0</v>
      </c>
      <c r="AL175" s="6">
        <v>3.0</v>
      </c>
      <c r="AM175" s="6">
        <v>3.0</v>
      </c>
      <c r="AN175" s="6">
        <v>3.0</v>
      </c>
      <c r="AO175" s="6">
        <v>3.0</v>
      </c>
      <c r="AP175" s="6">
        <v>3.0</v>
      </c>
      <c r="AQ175" s="6">
        <v>3.0</v>
      </c>
      <c r="AR175" s="6">
        <v>3.0</v>
      </c>
      <c r="AS175" s="6">
        <v>3.0</v>
      </c>
      <c r="AT175" s="6">
        <v>3.0</v>
      </c>
      <c r="AU175" s="6">
        <v>3.0</v>
      </c>
      <c r="AV175" s="6">
        <v>3.0</v>
      </c>
      <c r="AW175" s="6">
        <v>3.0</v>
      </c>
      <c r="AX175" s="6">
        <v>3.0</v>
      </c>
      <c r="AY175" s="6">
        <v>3.0</v>
      </c>
      <c r="AZ175" s="6">
        <v>3.0</v>
      </c>
      <c r="BA175" s="6">
        <v>3.0</v>
      </c>
      <c r="BB175" s="6">
        <v>3.0</v>
      </c>
      <c r="BC175" s="6">
        <v>3.0</v>
      </c>
      <c r="BD175" s="6">
        <v>3.0</v>
      </c>
      <c r="BE175" s="6">
        <v>3.0</v>
      </c>
      <c r="BF175" s="6">
        <v>3.0</v>
      </c>
      <c r="BG175" s="6">
        <v>3.0</v>
      </c>
      <c r="BH175" s="6">
        <v>3.0</v>
      </c>
      <c r="BI175" s="6">
        <v>3.0</v>
      </c>
      <c r="BJ175" s="6">
        <v>3.0</v>
      </c>
      <c r="BK175" s="6">
        <v>3.0</v>
      </c>
      <c r="BL175" s="6">
        <v>3.0</v>
      </c>
      <c r="BM175" s="6">
        <v>3.0</v>
      </c>
      <c r="BN175" s="6">
        <v>3.0</v>
      </c>
      <c r="BO175" s="6">
        <v>3.0</v>
      </c>
      <c r="BP175" s="6">
        <v>3.0</v>
      </c>
      <c r="BQ175" s="6">
        <v>3.0</v>
      </c>
      <c r="BR175" s="6">
        <v>3.0</v>
      </c>
      <c r="BS175" s="6">
        <v>3.0</v>
      </c>
      <c r="BT175" s="6">
        <v>3.0</v>
      </c>
      <c r="BU175" s="6">
        <v>3.0</v>
      </c>
      <c r="BV175" s="6">
        <v>3.0</v>
      </c>
      <c r="BW175" s="6">
        <v>3.0</v>
      </c>
      <c r="BX175" s="6">
        <v>3.0</v>
      </c>
      <c r="BY175" s="6">
        <v>3.0</v>
      </c>
      <c r="BZ175" s="6">
        <v>3.0</v>
      </c>
      <c r="CA175" s="6">
        <v>3.0</v>
      </c>
    </row>
    <row r="176" ht="15.75" customHeight="1">
      <c r="A176" s="273" t="s">
        <v>487</v>
      </c>
      <c r="B176" s="273"/>
      <c r="C176" s="273"/>
      <c r="D176" s="273"/>
      <c r="E176" s="273"/>
      <c r="F176" s="274">
        <f t="shared" ref="F176:P176" si="186">SUM(F171:F174)</f>
        <v>7</v>
      </c>
      <c r="G176" s="274">
        <f t="shared" si="186"/>
        <v>7</v>
      </c>
      <c r="H176" s="274">
        <f t="shared" si="186"/>
        <v>15</v>
      </c>
      <c r="I176" s="274">
        <f t="shared" si="186"/>
        <v>15</v>
      </c>
      <c r="J176" s="274">
        <f t="shared" si="186"/>
        <v>8</v>
      </c>
      <c r="K176" s="274">
        <f t="shared" si="186"/>
        <v>9</v>
      </c>
      <c r="L176" s="274">
        <f t="shared" si="186"/>
        <v>4</v>
      </c>
      <c r="M176" s="274">
        <f t="shared" si="186"/>
        <v>4</v>
      </c>
      <c r="N176" s="274">
        <f t="shared" si="186"/>
        <v>4</v>
      </c>
      <c r="O176" s="274">
        <f t="shared" si="186"/>
        <v>4</v>
      </c>
      <c r="P176" s="274">
        <f t="shared" si="186"/>
        <v>6</v>
      </c>
      <c r="Q176" s="274">
        <f t="shared" ref="Q176:R176" si="187">SUM(Q171:Q175)</f>
        <v>8</v>
      </c>
      <c r="R176" s="274">
        <f t="shared" si="187"/>
        <v>7</v>
      </c>
      <c r="S176" s="275">
        <f t="shared" ref="S176:CA176" si="188">SUM(S171:S174)</f>
        <v>8</v>
      </c>
      <c r="T176" s="275">
        <f t="shared" si="188"/>
        <v>9</v>
      </c>
      <c r="U176" s="275">
        <f t="shared" si="188"/>
        <v>9</v>
      </c>
      <c r="V176" s="275">
        <f t="shared" si="188"/>
        <v>9</v>
      </c>
      <c r="W176" s="275">
        <f t="shared" si="188"/>
        <v>9</v>
      </c>
      <c r="X176" s="275">
        <f t="shared" si="188"/>
        <v>9</v>
      </c>
      <c r="Y176" s="275">
        <f t="shared" si="188"/>
        <v>9</v>
      </c>
      <c r="Z176" s="275">
        <f t="shared" si="188"/>
        <v>12</v>
      </c>
      <c r="AA176" s="275">
        <f t="shared" si="188"/>
        <v>12</v>
      </c>
      <c r="AB176" s="275">
        <f t="shared" si="188"/>
        <v>12</v>
      </c>
      <c r="AC176" s="275">
        <f t="shared" si="188"/>
        <v>12</v>
      </c>
      <c r="AD176" s="275">
        <f t="shared" si="188"/>
        <v>12</v>
      </c>
      <c r="AE176" s="275">
        <f t="shared" si="188"/>
        <v>12</v>
      </c>
      <c r="AF176" s="275">
        <f t="shared" si="188"/>
        <v>16</v>
      </c>
      <c r="AG176" s="275">
        <f t="shared" si="188"/>
        <v>16</v>
      </c>
      <c r="AH176" s="275">
        <f t="shared" si="188"/>
        <v>16</v>
      </c>
      <c r="AI176" s="275">
        <f t="shared" si="188"/>
        <v>16</v>
      </c>
      <c r="AJ176" s="275">
        <f t="shared" si="188"/>
        <v>16</v>
      </c>
      <c r="AK176" s="275">
        <f t="shared" si="188"/>
        <v>16</v>
      </c>
      <c r="AL176" s="275">
        <f t="shared" si="188"/>
        <v>20</v>
      </c>
      <c r="AM176" s="275">
        <f t="shared" si="188"/>
        <v>20</v>
      </c>
      <c r="AN176" s="275">
        <f t="shared" si="188"/>
        <v>20</v>
      </c>
      <c r="AO176" s="275">
        <f t="shared" si="188"/>
        <v>20</v>
      </c>
      <c r="AP176" s="275">
        <f t="shared" si="188"/>
        <v>20</v>
      </c>
      <c r="AQ176" s="275">
        <f t="shared" si="188"/>
        <v>20</v>
      </c>
      <c r="AR176" s="275">
        <f t="shared" si="188"/>
        <v>20</v>
      </c>
      <c r="AS176" s="275">
        <f t="shared" si="188"/>
        <v>20</v>
      </c>
      <c r="AT176" s="275">
        <f t="shared" si="188"/>
        <v>20</v>
      </c>
      <c r="AU176" s="275">
        <f t="shared" si="188"/>
        <v>20</v>
      </c>
      <c r="AV176" s="275">
        <f t="shared" si="188"/>
        <v>20</v>
      </c>
      <c r="AW176" s="275">
        <f t="shared" si="188"/>
        <v>20</v>
      </c>
      <c r="AX176" s="275">
        <f t="shared" si="188"/>
        <v>20</v>
      </c>
      <c r="AY176" s="275">
        <f t="shared" si="188"/>
        <v>20</v>
      </c>
      <c r="AZ176" s="275">
        <f t="shared" si="188"/>
        <v>20</v>
      </c>
      <c r="BA176" s="275">
        <f t="shared" si="188"/>
        <v>20</v>
      </c>
      <c r="BB176" s="275">
        <f t="shared" si="188"/>
        <v>20</v>
      </c>
      <c r="BC176" s="275">
        <f t="shared" si="188"/>
        <v>20</v>
      </c>
      <c r="BD176" s="275">
        <f t="shared" si="188"/>
        <v>20</v>
      </c>
      <c r="BE176" s="275">
        <f t="shared" si="188"/>
        <v>20</v>
      </c>
      <c r="BF176" s="275">
        <f t="shared" si="188"/>
        <v>20</v>
      </c>
      <c r="BG176" s="275">
        <f t="shared" si="188"/>
        <v>20</v>
      </c>
      <c r="BH176" s="275">
        <f t="shared" si="188"/>
        <v>20</v>
      </c>
      <c r="BI176" s="275">
        <f t="shared" si="188"/>
        <v>20</v>
      </c>
      <c r="BJ176" s="275">
        <f t="shared" si="188"/>
        <v>20</v>
      </c>
      <c r="BK176" s="275">
        <f t="shared" si="188"/>
        <v>20</v>
      </c>
      <c r="BL176" s="275">
        <f t="shared" si="188"/>
        <v>20</v>
      </c>
      <c r="BM176" s="275">
        <f t="shared" si="188"/>
        <v>20</v>
      </c>
      <c r="BN176" s="275">
        <f t="shared" si="188"/>
        <v>20</v>
      </c>
      <c r="BO176" s="275">
        <f t="shared" si="188"/>
        <v>20</v>
      </c>
      <c r="BP176" s="275">
        <f t="shared" si="188"/>
        <v>20</v>
      </c>
      <c r="BQ176" s="275">
        <f t="shared" si="188"/>
        <v>20</v>
      </c>
      <c r="BR176" s="275">
        <f t="shared" si="188"/>
        <v>20</v>
      </c>
      <c r="BS176" s="275">
        <f t="shared" si="188"/>
        <v>20</v>
      </c>
      <c r="BT176" s="275">
        <f t="shared" si="188"/>
        <v>20</v>
      </c>
      <c r="BU176" s="275">
        <f t="shared" si="188"/>
        <v>20</v>
      </c>
      <c r="BV176" s="275">
        <f t="shared" si="188"/>
        <v>20</v>
      </c>
      <c r="BW176" s="275">
        <f t="shared" si="188"/>
        <v>20</v>
      </c>
      <c r="BX176" s="275">
        <f t="shared" si="188"/>
        <v>20</v>
      </c>
      <c r="BY176" s="275">
        <f t="shared" si="188"/>
        <v>20</v>
      </c>
      <c r="BZ176" s="275">
        <f t="shared" si="188"/>
        <v>20</v>
      </c>
      <c r="CA176" s="275">
        <f t="shared" si="188"/>
        <v>20</v>
      </c>
    </row>
    <row r="177" ht="15.75" customHeight="1">
      <c r="A177" s="91" t="s">
        <v>488</v>
      </c>
      <c r="B177" s="91"/>
      <c r="C177" s="91"/>
      <c r="D177" s="91"/>
      <c r="E177" s="91"/>
      <c r="F177" s="5">
        <v>1.0</v>
      </c>
      <c r="G177" s="5">
        <v>1.0</v>
      </c>
      <c r="H177" s="5">
        <v>0.0</v>
      </c>
      <c r="I177" s="5">
        <f>H177</f>
        <v>0</v>
      </c>
      <c r="J177" s="5">
        <v>2.0</v>
      </c>
      <c r="K177" s="5">
        <v>2.0</v>
      </c>
      <c r="L177" s="5">
        <v>3.0</v>
      </c>
      <c r="M177" s="5">
        <v>3.0</v>
      </c>
      <c r="N177" s="5">
        <f>M177</f>
        <v>3</v>
      </c>
      <c r="O177" s="5">
        <v>1.0</v>
      </c>
      <c r="P177" s="5">
        <v>0.0</v>
      </c>
      <c r="Q177" s="6">
        <f t="shared" ref="Q177:Y177" si="189">P177</f>
        <v>0</v>
      </c>
      <c r="R177" s="6">
        <f t="shared" si="189"/>
        <v>0</v>
      </c>
      <c r="S177" s="6">
        <f t="shared" si="189"/>
        <v>0</v>
      </c>
      <c r="T177" s="6">
        <f t="shared" si="189"/>
        <v>0</v>
      </c>
      <c r="U177" s="6">
        <f t="shared" si="189"/>
        <v>0</v>
      </c>
      <c r="V177" s="6">
        <f t="shared" si="189"/>
        <v>0</v>
      </c>
      <c r="W177" s="6">
        <f t="shared" si="189"/>
        <v>0</v>
      </c>
      <c r="X177" s="6">
        <f t="shared" si="189"/>
        <v>0</v>
      </c>
      <c r="Y177" s="6">
        <f t="shared" si="189"/>
        <v>0</v>
      </c>
      <c r="Z177" s="6">
        <f>Y177+1</f>
        <v>1</v>
      </c>
      <c r="AA177" s="6">
        <f t="shared" ref="AA177:AE177" si="190">Z177</f>
        <v>1</v>
      </c>
      <c r="AB177" s="6">
        <f t="shared" si="190"/>
        <v>1</v>
      </c>
      <c r="AC177" s="6">
        <f t="shared" si="190"/>
        <v>1</v>
      </c>
      <c r="AD177" s="6">
        <f t="shared" si="190"/>
        <v>1</v>
      </c>
      <c r="AE177" s="6">
        <f t="shared" si="190"/>
        <v>1</v>
      </c>
      <c r="AF177" s="6">
        <f>AE177+1</f>
        <v>2</v>
      </c>
      <c r="AG177" s="6">
        <f t="shared" ref="AG177:AK177" si="191">AF177</f>
        <v>2</v>
      </c>
      <c r="AH177" s="6">
        <f t="shared" si="191"/>
        <v>2</v>
      </c>
      <c r="AI177" s="6">
        <f t="shared" si="191"/>
        <v>2</v>
      </c>
      <c r="AJ177" s="6">
        <f t="shared" si="191"/>
        <v>2</v>
      </c>
      <c r="AK177" s="6">
        <f t="shared" si="191"/>
        <v>2</v>
      </c>
      <c r="AL177" s="6">
        <f>AK177+1</f>
        <v>3</v>
      </c>
      <c r="AM177" s="6">
        <f t="shared" ref="AM177:AQ177" si="192">AL177</f>
        <v>3</v>
      </c>
      <c r="AN177" s="6">
        <f t="shared" si="192"/>
        <v>3</v>
      </c>
      <c r="AO177" s="6">
        <f t="shared" si="192"/>
        <v>3</v>
      </c>
      <c r="AP177" s="6">
        <f t="shared" si="192"/>
        <v>3</v>
      </c>
      <c r="AQ177" s="6">
        <f t="shared" si="192"/>
        <v>3</v>
      </c>
      <c r="AR177" s="6">
        <f t="shared" ref="AR177:CA177" si="193">AQ177+1</f>
        <v>4</v>
      </c>
      <c r="AS177" s="6">
        <f t="shared" si="193"/>
        <v>5</v>
      </c>
      <c r="AT177" s="6">
        <f t="shared" si="193"/>
        <v>6</v>
      </c>
      <c r="AU177" s="6">
        <f t="shared" si="193"/>
        <v>7</v>
      </c>
      <c r="AV177" s="6">
        <f t="shared" si="193"/>
        <v>8</v>
      </c>
      <c r="AW177" s="6">
        <f t="shared" si="193"/>
        <v>9</v>
      </c>
      <c r="AX177" s="6">
        <f t="shared" si="193"/>
        <v>10</v>
      </c>
      <c r="AY177" s="6">
        <f t="shared" si="193"/>
        <v>11</v>
      </c>
      <c r="AZ177" s="6">
        <f t="shared" si="193"/>
        <v>12</v>
      </c>
      <c r="BA177" s="6">
        <f t="shared" si="193"/>
        <v>13</v>
      </c>
      <c r="BB177" s="6">
        <f t="shared" si="193"/>
        <v>14</v>
      </c>
      <c r="BC177" s="6">
        <f t="shared" si="193"/>
        <v>15</v>
      </c>
      <c r="BD177" s="6">
        <f t="shared" si="193"/>
        <v>16</v>
      </c>
      <c r="BE177" s="6">
        <f t="shared" si="193"/>
        <v>17</v>
      </c>
      <c r="BF177" s="6">
        <f t="shared" si="193"/>
        <v>18</v>
      </c>
      <c r="BG177" s="6">
        <f t="shared" si="193"/>
        <v>19</v>
      </c>
      <c r="BH177" s="6">
        <f t="shared" si="193"/>
        <v>20</v>
      </c>
      <c r="BI177" s="6">
        <f t="shared" si="193"/>
        <v>21</v>
      </c>
      <c r="BJ177" s="6">
        <f t="shared" si="193"/>
        <v>22</v>
      </c>
      <c r="BK177" s="6">
        <f t="shared" si="193"/>
        <v>23</v>
      </c>
      <c r="BL177" s="6">
        <f t="shared" si="193"/>
        <v>24</v>
      </c>
      <c r="BM177" s="6">
        <f t="shared" si="193"/>
        <v>25</v>
      </c>
      <c r="BN177" s="6">
        <f t="shared" si="193"/>
        <v>26</v>
      </c>
      <c r="BO177" s="6">
        <f t="shared" si="193"/>
        <v>27</v>
      </c>
      <c r="BP177" s="6">
        <f t="shared" si="193"/>
        <v>28</v>
      </c>
      <c r="BQ177" s="6">
        <f t="shared" si="193"/>
        <v>29</v>
      </c>
      <c r="BR177" s="6">
        <f t="shared" si="193"/>
        <v>30</v>
      </c>
      <c r="BS177" s="6">
        <f t="shared" si="193"/>
        <v>31</v>
      </c>
      <c r="BT177" s="6">
        <f t="shared" si="193"/>
        <v>32</v>
      </c>
      <c r="BU177" s="6">
        <f t="shared" si="193"/>
        <v>33</v>
      </c>
      <c r="BV177" s="6">
        <f t="shared" si="193"/>
        <v>34</v>
      </c>
      <c r="BW177" s="6">
        <f t="shared" si="193"/>
        <v>35</v>
      </c>
      <c r="BX177" s="6">
        <f t="shared" si="193"/>
        <v>36</v>
      </c>
      <c r="BY177" s="6">
        <f t="shared" si="193"/>
        <v>37</v>
      </c>
      <c r="BZ177" s="6">
        <f t="shared" si="193"/>
        <v>38</v>
      </c>
      <c r="CA177" s="6">
        <f t="shared" si="193"/>
        <v>39</v>
      </c>
    </row>
    <row r="178" ht="15.75" customHeight="1">
      <c r="A178" s="91"/>
      <c r="B178" s="91"/>
      <c r="C178" s="91"/>
      <c r="D178" s="91"/>
      <c r="E178" s="91"/>
      <c r="F178" s="91"/>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row>
    <row r="179" ht="15.75" customHeight="1">
      <c r="A179" s="91" t="s">
        <v>489</v>
      </c>
      <c r="B179" s="276">
        <v>50.0</v>
      </c>
      <c r="C179" s="276">
        <v>50.0</v>
      </c>
      <c r="D179" s="276">
        <v>50.0</v>
      </c>
      <c r="E179" s="276">
        <v>50.0</v>
      </c>
      <c r="F179" s="276">
        <v>50.0</v>
      </c>
      <c r="G179" s="276">
        <v>50.0</v>
      </c>
      <c r="H179" s="276">
        <v>50.0</v>
      </c>
      <c r="I179" s="276">
        <v>50.0</v>
      </c>
      <c r="J179" s="276">
        <v>50.0</v>
      </c>
      <c r="K179" s="276">
        <v>50.0</v>
      </c>
      <c r="L179" s="276">
        <v>50.0</v>
      </c>
      <c r="M179" s="276">
        <v>50.0</v>
      </c>
      <c r="N179" s="276">
        <v>50.0</v>
      </c>
      <c r="O179" s="276">
        <v>50.0</v>
      </c>
      <c r="P179" s="276">
        <v>50.0</v>
      </c>
      <c r="Q179" s="276">
        <v>50.0</v>
      </c>
      <c r="R179" s="276">
        <v>50.0</v>
      </c>
      <c r="S179" s="276">
        <v>50.0</v>
      </c>
      <c r="T179" s="276">
        <v>50.0</v>
      </c>
      <c r="U179" s="276">
        <v>50.0</v>
      </c>
      <c r="V179" s="276">
        <v>50.0</v>
      </c>
      <c r="W179" s="276">
        <v>50.0</v>
      </c>
      <c r="X179" s="276">
        <v>50.0</v>
      </c>
      <c r="Y179" s="276">
        <v>50.0</v>
      </c>
      <c r="Z179" s="276">
        <v>50.0</v>
      </c>
      <c r="AA179" s="276">
        <v>50.0</v>
      </c>
      <c r="AB179" s="276">
        <v>50.0</v>
      </c>
      <c r="AC179" s="276">
        <v>50.0</v>
      </c>
      <c r="AD179" s="276">
        <v>50.0</v>
      </c>
      <c r="AE179" s="276">
        <v>50.0</v>
      </c>
      <c r="AF179" s="276">
        <v>50.0</v>
      </c>
      <c r="AG179" s="276">
        <v>50.0</v>
      </c>
      <c r="AH179" s="276">
        <v>50.0</v>
      </c>
      <c r="AI179" s="276">
        <v>50.0</v>
      </c>
      <c r="AJ179" s="276">
        <v>50.0</v>
      </c>
      <c r="AK179" s="276">
        <v>50.0</v>
      </c>
      <c r="AL179" s="276">
        <v>50.0</v>
      </c>
      <c r="AM179" s="276">
        <v>50.0</v>
      </c>
      <c r="AN179" s="276">
        <v>50.0</v>
      </c>
      <c r="AO179" s="276">
        <v>50.0</v>
      </c>
      <c r="AP179" s="276">
        <v>50.0</v>
      </c>
      <c r="AQ179" s="276">
        <v>50.0</v>
      </c>
      <c r="AR179" s="276">
        <v>50.0</v>
      </c>
      <c r="AS179" s="276">
        <v>50.0</v>
      </c>
      <c r="AT179" s="276">
        <v>50.0</v>
      </c>
      <c r="AU179" s="276">
        <v>50.0</v>
      </c>
      <c r="AV179" s="276">
        <v>50.0</v>
      </c>
      <c r="AW179" s="276">
        <v>50.0</v>
      </c>
      <c r="AX179" s="276">
        <v>50.0</v>
      </c>
      <c r="AY179" s="276">
        <v>50.0</v>
      </c>
      <c r="AZ179" s="276">
        <v>50.0</v>
      </c>
      <c r="BA179" s="276">
        <v>50.0</v>
      </c>
      <c r="BB179" s="276">
        <v>50.0</v>
      </c>
      <c r="BC179" s="276">
        <v>50.0</v>
      </c>
      <c r="BD179" s="276">
        <v>50.0</v>
      </c>
      <c r="BE179" s="276">
        <v>50.0</v>
      </c>
      <c r="BF179" s="276">
        <v>50.0</v>
      </c>
      <c r="BG179" s="276">
        <v>50.0</v>
      </c>
      <c r="BH179" s="276">
        <v>50.0</v>
      </c>
      <c r="BI179" s="276">
        <v>50.0</v>
      </c>
      <c r="BJ179" s="276">
        <v>50.0</v>
      </c>
      <c r="BK179" s="276">
        <v>50.0</v>
      </c>
      <c r="BL179" s="276">
        <v>50.0</v>
      </c>
      <c r="BM179" s="276">
        <v>50.0</v>
      </c>
      <c r="BN179" s="276">
        <v>50.0</v>
      </c>
      <c r="BO179" s="276">
        <v>50.0</v>
      </c>
      <c r="BP179" s="276">
        <v>50.0</v>
      </c>
      <c r="BQ179" s="276">
        <v>50.0</v>
      </c>
      <c r="BR179" s="276">
        <v>50.0</v>
      </c>
      <c r="BS179" s="276">
        <v>50.0</v>
      </c>
      <c r="BT179" s="276">
        <v>50.0</v>
      </c>
      <c r="BU179" s="276">
        <v>50.0</v>
      </c>
      <c r="BV179" s="276">
        <v>50.0</v>
      </c>
      <c r="BW179" s="276">
        <v>50.0</v>
      </c>
      <c r="BX179" s="276">
        <v>50.0</v>
      </c>
      <c r="BY179" s="276">
        <v>50.0</v>
      </c>
      <c r="BZ179" s="276">
        <v>50.0</v>
      </c>
      <c r="CA179" s="276">
        <v>50.0</v>
      </c>
    </row>
    <row r="180" ht="15.75" customHeight="1">
      <c r="A180" s="91" t="s">
        <v>490</v>
      </c>
      <c r="B180" s="6">
        <v>25.0</v>
      </c>
      <c r="C180" s="6">
        <v>25.0</v>
      </c>
      <c r="D180" s="6">
        <v>25.0</v>
      </c>
      <c r="E180" s="6">
        <v>25.0</v>
      </c>
      <c r="F180" s="6">
        <v>25.0</v>
      </c>
      <c r="G180" s="6">
        <v>25.0</v>
      </c>
      <c r="H180" s="6">
        <f t="shared" ref="H180:CA180" si="194">G180</f>
        <v>25</v>
      </c>
      <c r="I180" s="6">
        <f t="shared" si="194"/>
        <v>25</v>
      </c>
      <c r="J180" s="6">
        <f t="shared" si="194"/>
        <v>25</v>
      </c>
      <c r="K180" s="6">
        <f t="shared" si="194"/>
        <v>25</v>
      </c>
      <c r="L180" s="6">
        <f t="shared" si="194"/>
        <v>25</v>
      </c>
      <c r="M180" s="6">
        <f t="shared" si="194"/>
        <v>25</v>
      </c>
      <c r="N180" s="6">
        <f t="shared" si="194"/>
        <v>25</v>
      </c>
      <c r="O180" s="6">
        <f t="shared" si="194"/>
        <v>25</v>
      </c>
      <c r="P180" s="6">
        <f t="shared" si="194"/>
        <v>25</v>
      </c>
      <c r="Q180" s="6">
        <f t="shared" si="194"/>
        <v>25</v>
      </c>
      <c r="R180" s="6">
        <f t="shared" si="194"/>
        <v>25</v>
      </c>
      <c r="S180" s="6">
        <f t="shared" si="194"/>
        <v>25</v>
      </c>
      <c r="T180" s="6">
        <f t="shared" si="194"/>
        <v>25</v>
      </c>
      <c r="U180" s="6">
        <f t="shared" si="194"/>
        <v>25</v>
      </c>
      <c r="V180" s="6">
        <f t="shared" si="194"/>
        <v>25</v>
      </c>
      <c r="W180" s="6">
        <f t="shared" si="194"/>
        <v>25</v>
      </c>
      <c r="X180" s="6">
        <f t="shared" si="194"/>
        <v>25</v>
      </c>
      <c r="Y180" s="6">
        <f t="shared" si="194"/>
        <v>25</v>
      </c>
      <c r="Z180" s="6">
        <f t="shared" si="194"/>
        <v>25</v>
      </c>
      <c r="AA180" s="6">
        <f t="shared" si="194"/>
        <v>25</v>
      </c>
      <c r="AB180" s="6">
        <f t="shared" si="194"/>
        <v>25</v>
      </c>
      <c r="AC180" s="6">
        <f t="shared" si="194"/>
        <v>25</v>
      </c>
      <c r="AD180" s="6">
        <f t="shared" si="194"/>
        <v>25</v>
      </c>
      <c r="AE180" s="6">
        <f t="shared" si="194"/>
        <v>25</v>
      </c>
      <c r="AF180" s="6">
        <f t="shared" si="194"/>
        <v>25</v>
      </c>
      <c r="AG180" s="6">
        <f t="shared" si="194"/>
        <v>25</v>
      </c>
      <c r="AH180" s="6">
        <f t="shared" si="194"/>
        <v>25</v>
      </c>
      <c r="AI180" s="6">
        <f t="shared" si="194"/>
        <v>25</v>
      </c>
      <c r="AJ180" s="6">
        <f t="shared" si="194"/>
        <v>25</v>
      </c>
      <c r="AK180" s="6">
        <f t="shared" si="194"/>
        <v>25</v>
      </c>
      <c r="AL180" s="6">
        <f t="shared" si="194"/>
        <v>25</v>
      </c>
      <c r="AM180" s="6">
        <f t="shared" si="194"/>
        <v>25</v>
      </c>
      <c r="AN180" s="6">
        <f t="shared" si="194"/>
        <v>25</v>
      </c>
      <c r="AO180" s="6">
        <f t="shared" si="194"/>
        <v>25</v>
      </c>
      <c r="AP180" s="6">
        <f t="shared" si="194"/>
        <v>25</v>
      </c>
      <c r="AQ180" s="6">
        <f t="shared" si="194"/>
        <v>25</v>
      </c>
      <c r="AR180" s="6">
        <f t="shared" si="194"/>
        <v>25</v>
      </c>
      <c r="AS180" s="6">
        <f t="shared" si="194"/>
        <v>25</v>
      </c>
      <c r="AT180" s="6">
        <f t="shared" si="194"/>
        <v>25</v>
      </c>
      <c r="AU180" s="6">
        <f t="shared" si="194"/>
        <v>25</v>
      </c>
      <c r="AV180" s="6">
        <f t="shared" si="194"/>
        <v>25</v>
      </c>
      <c r="AW180" s="6">
        <f t="shared" si="194"/>
        <v>25</v>
      </c>
      <c r="AX180" s="6">
        <f t="shared" si="194"/>
        <v>25</v>
      </c>
      <c r="AY180" s="6">
        <f t="shared" si="194"/>
        <v>25</v>
      </c>
      <c r="AZ180" s="6">
        <f t="shared" si="194"/>
        <v>25</v>
      </c>
      <c r="BA180" s="6">
        <f t="shared" si="194"/>
        <v>25</v>
      </c>
      <c r="BB180" s="6">
        <f t="shared" si="194"/>
        <v>25</v>
      </c>
      <c r="BC180" s="6">
        <f t="shared" si="194"/>
        <v>25</v>
      </c>
      <c r="BD180" s="6">
        <f t="shared" si="194"/>
        <v>25</v>
      </c>
      <c r="BE180" s="6">
        <f t="shared" si="194"/>
        <v>25</v>
      </c>
      <c r="BF180" s="6">
        <f t="shared" si="194"/>
        <v>25</v>
      </c>
      <c r="BG180" s="6">
        <f t="shared" si="194"/>
        <v>25</v>
      </c>
      <c r="BH180" s="6">
        <f t="shared" si="194"/>
        <v>25</v>
      </c>
      <c r="BI180" s="6">
        <f t="shared" si="194"/>
        <v>25</v>
      </c>
      <c r="BJ180" s="6">
        <f t="shared" si="194"/>
        <v>25</v>
      </c>
      <c r="BK180" s="6">
        <f t="shared" si="194"/>
        <v>25</v>
      </c>
      <c r="BL180" s="6">
        <f t="shared" si="194"/>
        <v>25</v>
      </c>
      <c r="BM180" s="6">
        <f t="shared" si="194"/>
        <v>25</v>
      </c>
      <c r="BN180" s="6">
        <f t="shared" si="194"/>
        <v>25</v>
      </c>
      <c r="BO180" s="6">
        <f t="shared" si="194"/>
        <v>25</v>
      </c>
      <c r="BP180" s="6">
        <f t="shared" si="194"/>
        <v>25</v>
      </c>
      <c r="BQ180" s="6">
        <f t="shared" si="194"/>
        <v>25</v>
      </c>
      <c r="BR180" s="6">
        <f t="shared" si="194"/>
        <v>25</v>
      </c>
      <c r="BS180" s="6">
        <f t="shared" si="194"/>
        <v>25</v>
      </c>
      <c r="BT180" s="6">
        <f t="shared" si="194"/>
        <v>25</v>
      </c>
      <c r="BU180" s="6">
        <f t="shared" si="194"/>
        <v>25</v>
      </c>
      <c r="BV180" s="6">
        <f t="shared" si="194"/>
        <v>25</v>
      </c>
      <c r="BW180" s="6">
        <f t="shared" si="194"/>
        <v>25</v>
      </c>
      <c r="BX180" s="6">
        <f t="shared" si="194"/>
        <v>25</v>
      </c>
      <c r="BY180" s="6">
        <f t="shared" si="194"/>
        <v>25</v>
      </c>
      <c r="BZ180" s="6">
        <f t="shared" si="194"/>
        <v>25</v>
      </c>
      <c r="CA180" s="6">
        <f t="shared" si="194"/>
        <v>25</v>
      </c>
    </row>
    <row r="181" ht="15.75" customHeight="1">
      <c r="A181" s="91" t="s">
        <v>491</v>
      </c>
      <c r="B181" s="6">
        <v>4.0</v>
      </c>
      <c r="C181" s="6">
        <v>4.0</v>
      </c>
      <c r="D181" s="6">
        <v>4.0</v>
      </c>
      <c r="E181" s="6">
        <v>4.0</v>
      </c>
      <c r="F181" s="6">
        <v>4.0</v>
      </c>
      <c r="G181" s="6">
        <v>4.0</v>
      </c>
      <c r="H181" s="6">
        <f t="shared" ref="H181:CA181" si="195">G181</f>
        <v>4</v>
      </c>
      <c r="I181" s="6">
        <f t="shared" si="195"/>
        <v>4</v>
      </c>
      <c r="J181" s="6">
        <f t="shared" si="195"/>
        <v>4</v>
      </c>
      <c r="K181" s="6">
        <f t="shared" si="195"/>
        <v>4</v>
      </c>
      <c r="L181" s="6">
        <f t="shared" si="195"/>
        <v>4</v>
      </c>
      <c r="M181" s="6">
        <f t="shared" si="195"/>
        <v>4</v>
      </c>
      <c r="N181" s="6">
        <f t="shared" si="195"/>
        <v>4</v>
      </c>
      <c r="O181" s="6">
        <f t="shared" si="195"/>
        <v>4</v>
      </c>
      <c r="P181" s="6">
        <f t="shared" si="195"/>
        <v>4</v>
      </c>
      <c r="Q181" s="6">
        <f t="shared" si="195"/>
        <v>4</v>
      </c>
      <c r="R181" s="6">
        <f t="shared" si="195"/>
        <v>4</v>
      </c>
      <c r="S181" s="6">
        <f t="shared" si="195"/>
        <v>4</v>
      </c>
      <c r="T181" s="6">
        <f t="shared" si="195"/>
        <v>4</v>
      </c>
      <c r="U181" s="6">
        <f t="shared" si="195"/>
        <v>4</v>
      </c>
      <c r="V181" s="6">
        <f t="shared" si="195"/>
        <v>4</v>
      </c>
      <c r="W181" s="6">
        <f t="shared" si="195"/>
        <v>4</v>
      </c>
      <c r="X181" s="6">
        <f t="shared" si="195"/>
        <v>4</v>
      </c>
      <c r="Y181" s="6">
        <f t="shared" si="195"/>
        <v>4</v>
      </c>
      <c r="Z181" s="6">
        <f t="shared" si="195"/>
        <v>4</v>
      </c>
      <c r="AA181" s="6">
        <f t="shared" si="195"/>
        <v>4</v>
      </c>
      <c r="AB181" s="6">
        <f t="shared" si="195"/>
        <v>4</v>
      </c>
      <c r="AC181" s="6">
        <f t="shared" si="195"/>
        <v>4</v>
      </c>
      <c r="AD181" s="6">
        <f t="shared" si="195"/>
        <v>4</v>
      </c>
      <c r="AE181" s="6">
        <f t="shared" si="195"/>
        <v>4</v>
      </c>
      <c r="AF181" s="6">
        <f t="shared" si="195"/>
        <v>4</v>
      </c>
      <c r="AG181" s="6">
        <f t="shared" si="195"/>
        <v>4</v>
      </c>
      <c r="AH181" s="6">
        <f t="shared" si="195"/>
        <v>4</v>
      </c>
      <c r="AI181" s="6">
        <f t="shared" si="195"/>
        <v>4</v>
      </c>
      <c r="AJ181" s="6">
        <f t="shared" si="195"/>
        <v>4</v>
      </c>
      <c r="AK181" s="6">
        <f t="shared" si="195"/>
        <v>4</v>
      </c>
      <c r="AL181" s="6">
        <f t="shared" si="195"/>
        <v>4</v>
      </c>
      <c r="AM181" s="6">
        <f t="shared" si="195"/>
        <v>4</v>
      </c>
      <c r="AN181" s="6">
        <f t="shared" si="195"/>
        <v>4</v>
      </c>
      <c r="AO181" s="6">
        <f t="shared" si="195"/>
        <v>4</v>
      </c>
      <c r="AP181" s="6">
        <f t="shared" si="195"/>
        <v>4</v>
      </c>
      <c r="AQ181" s="6">
        <f t="shared" si="195"/>
        <v>4</v>
      </c>
      <c r="AR181" s="6">
        <f t="shared" si="195"/>
        <v>4</v>
      </c>
      <c r="AS181" s="6">
        <f t="shared" si="195"/>
        <v>4</v>
      </c>
      <c r="AT181" s="6">
        <f t="shared" si="195"/>
        <v>4</v>
      </c>
      <c r="AU181" s="6">
        <f t="shared" si="195"/>
        <v>4</v>
      </c>
      <c r="AV181" s="6">
        <f t="shared" si="195"/>
        <v>4</v>
      </c>
      <c r="AW181" s="6">
        <f t="shared" si="195"/>
        <v>4</v>
      </c>
      <c r="AX181" s="6">
        <f t="shared" si="195"/>
        <v>4</v>
      </c>
      <c r="AY181" s="6">
        <f t="shared" si="195"/>
        <v>4</v>
      </c>
      <c r="AZ181" s="6">
        <f t="shared" si="195"/>
        <v>4</v>
      </c>
      <c r="BA181" s="6">
        <f t="shared" si="195"/>
        <v>4</v>
      </c>
      <c r="BB181" s="6">
        <f t="shared" si="195"/>
        <v>4</v>
      </c>
      <c r="BC181" s="6">
        <f t="shared" si="195"/>
        <v>4</v>
      </c>
      <c r="BD181" s="6">
        <f t="shared" si="195"/>
        <v>4</v>
      </c>
      <c r="BE181" s="6">
        <f t="shared" si="195"/>
        <v>4</v>
      </c>
      <c r="BF181" s="6">
        <f t="shared" si="195"/>
        <v>4</v>
      </c>
      <c r="BG181" s="6">
        <f t="shared" si="195"/>
        <v>4</v>
      </c>
      <c r="BH181" s="6">
        <f t="shared" si="195"/>
        <v>4</v>
      </c>
      <c r="BI181" s="6">
        <f t="shared" si="195"/>
        <v>4</v>
      </c>
      <c r="BJ181" s="6">
        <f t="shared" si="195"/>
        <v>4</v>
      </c>
      <c r="BK181" s="6">
        <f t="shared" si="195"/>
        <v>4</v>
      </c>
      <c r="BL181" s="6">
        <f t="shared" si="195"/>
        <v>4</v>
      </c>
      <c r="BM181" s="6">
        <f t="shared" si="195"/>
        <v>4</v>
      </c>
      <c r="BN181" s="6">
        <f t="shared" si="195"/>
        <v>4</v>
      </c>
      <c r="BO181" s="6">
        <f t="shared" si="195"/>
        <v>4</v>
      </c>
      <c r="BP181" s="6">
        <f t="shared" si="195"/>
        <v>4</v>
      </c>
      <c r="BQ181" s="6">
        <f t="shared" si="195"/>
        <v>4</v>
      </c>
      <c r="BR181" s="6">
        <f t="shared" si="195"/>
        <v>4</v>
      </c>
      <c r="BS181" s="6">
        <f t="shared" si="195"/>
        <v>4</v>
      </c>
      <c r="BT181" s="6">
        <f t="shared" si="195"/>
        <v>4</v>
      </c>
      <c r="BU181" s="6">
        <f t="shared" si="195"/>
        <v>4</v>
      </c>
      <c r="BV181" s="6">
        <f t="shared" si="195"/>
        <v>4</v>
      </c>
      <c r="BW181" s="6">
        <f t="shared" si="195"/>
        <v>4</v>
      </c>
      <c r="BX181" s="6">
        <f t="shared" si="195"/>
        <v>4</v>
      </c>
      <c r="BY181" s="6">
        <f t="shared" si="195"/>
        <v>4</v>
      </c>
      <c r="BZ181" s="6">
        <f t="shared" si="195"/>
        <v>4</v>
      </c>
      <c r="CA181" s="6">
        <f t="shared" si="195"/>
        <v>4</v>
      </c>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row>
    <row r="184" ht="15.75" customHeight="1">
      <c r="A184" s="115" t="s">
        <v>66</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row>
    <row r="185" ht="15.75" customHeight="1">
      <c r="A185" s="91" t="s">
        <v>492</v>
      </c>
      <c r="B185" s="91"/>
      <c r="C185" s="91"/>
      <c r="D185" s="91"/>
      <c r="E185" s="91"/>
      <c r="F185" s="91"/>
      <c r="G185" s="91"/>
      <c r="H185" s="91"/>
      <c r="I185" s="91"/>
      <c r="J185" s="91"/>
      <c r="K185" s="91"/>
      <c r="L185" s="91"/>
      <c r="M185" s="264">
        <f>'Ops Departments'!U20</f>
        <v>2933</v>
      </c>
      <c r="N185" s="264">
        <f>'Ops Departments'!V20</f>
        <v>4086</v>
      </c>
      <c r="O185" s="264">
        <f>'Ops Departments'!W20</f>
        <v>3199</v>
      </c>
      <c r="P185" s="264">
        <f>'Ops Departments'!X20</f>
        <v>4864</v>
      </c>
      <c r="Q185" s="264">
        <f>'Ops Departments'!Y20</f>
        <v>1247</v>
      </c>
      <c r="R185" s="264">
        <f>'Ops Departments'!Z20</f>
        <v>3570</v>
      </c>
      <c r="S185" s="262">
        <f>Capacity!Z58</f>
        <v>799.2201641</v>
      </c>
      <c r="T185" s="262">
        <f>Capacity!AA58</f>
        <v>647.1155187</v>
      </c>
      <c r="U185" s="262">
        <f>Capacity!AB58</f>
        <v>748.8167738</v>
      </c>
      <c r="V185" s="262">
        <f>Capacity!AC58</f>
        <v>846.0515209</v>
      </c>
      <c r="W185" s="262">
        <f>Capacity!AD58</f>
        <v>943.2032263</v>
      </c>
      <c r="X185" s="262">
        <f>Capacity!AE58</f>
        <v>1614.146134</v>
      </c>
      <c r="Y185" s="262">
        <f>Capacity!AF58</f>
        <v>1772.901505</v>
      </c>
      <c r="Z185" s="262">
        <f>Capacity!AG58</f>
        <v>1927.547635</v>
      </c>
      <c r="AA185" s="262">
        <f>Capacity!AH58</f>
        <v>2080.412814</v>
      </c>
      <c r="AB185" s="262">
        <f>Capacity!AI58</f>
        <v>2237.449035</v>
      </c>
      <c r="AC185" s="262">
        <f>Capacity!AJ58</f>
        <v>2384.380298</v>
      </c>
      <c r="AD185" s="262">
        <f>Capacity!AK58</f>
        <v>2538.118301</v>
      </c>
      <c r="AE185" s="262">
        <f>Capacity!AL58</f>
        <v>2697.675187</v>
      </c>
      <c r="AF185" s="262">
        <f>Capacity!AM58</f>
        <v>2886.457535</v>
      </c>
      <c r="AG185" s="262">
        <f>Capacity!AN58</f>
        <v>2922.943028</v>
      </c>
      <c r="AH185" s="262">
        <f>Capacity!AO58</f>
        <v>2974.618779</v>
      </c>
      <c r="AI185" s="262">
        <f>Capacity!AP58</f>
        <v>3032.293726</v>
      </c>
      <c r="AJ185" s="262">
        <f>Capacity!AQ58</f>
        <v>3089.820517</v>
      </c>
      <c r="AK185" s="262">
        <f>Capacity!AR58</f>
        <v>3147.185188</v>
      </c>
      <c r="AL185" s="262">
        <f>Capacity!AS58</f>
        <v>3203.159111</v>
      </c>
      <c r="AM185" s="262">
        <f>Capacity!AT58</f>
        <v>3360.462535</v>
      </c>
      <c r="AN185" s="262">
        <f>Capacity!AU58</f>
        <v>3416.076287</v>
      </c>
      <c r="AO185" s="262">
        <f>Capacity!AV58</f>
        <v>3470.736154</v>
      </c>
      <c r="AP185" s="262">
        <f>Capacity!AW58</f>
        <v>3524.505142</v>
      </c>
      <c r="AQ185" s="262">
        <f>Capacity!AX58</f>
        <v>3577.442791</v>
      </c>
      <c r="AR185" s="262">
        <f>Capacity!AY58</f>
        <v>3770.092701</v>
      </c>
      <c r="AS185" s="262">
        <f>Capacity!AZ58</f>
        <v>3852.672645</v>
      </c>
      <c r="AT185" s="262">
        <f>Capacity!BA58</f>
        <v>3933.427123</v>
      </c>
      <c r="AU185" s="262">
        <f>Capacity!BB58</f>
        <v>4012.732032</v>
      </c>
      <c r="AV185" s="262">
        <f>Capacity!BC58</f>
        <v>4090.705312</v>
      </c>
      <c r="AW185" s="262">
        <f>Capacity!BD58</f>
        <v>4167.423904</v>
      </c>
      <c r="AX185" s="262">
        <f>Capacity!BE58</f>
        <v>4242.956383</v>
      </c>
      <c r="AY185" s="262">
        <f>Capacity!BF58</f>
        <v>4317.367942</v>
      </c>
      <c r="AZ185" s="262">
        <f>Capacity!BG58</f>
        <v>4390.721235</v>
      </c>
      <c r="BA185" s="262">
        <f>Capacity!BH58</f>
        <v>4463.076576</v>
      </c>
      <c r="BB185" s="262">
        <f>Capacity!BI58</f>
        <v>4534.492054</v>
      </c>
      <c r="BC185" s="262">
        <f>Capacity!BJ58</f>
        <v>4605.023631</v>
      </c>
      <c r="BD185" s="262">
        <f>Capacity!BK58</f>
        <v>4994.586647</v>
      </c>
      <c r="BE185" s="262">
        <f>Capacity!BL58</f>
        <v>5071.7839</v>
      </c>
      <c r="BF185" s="262">
        <f>Capacity!BM58</f>
        <v>5140.341332</v>
      </c>
      <c r="BG185" s="262">
        <f>Capacity!BN58</f>
        <v>5209.000195</v>
      </c>
      <c r="BH185" s="262">
        <f>Capacity!BO58</f>
        <v>5277.523981</v>
      </c>
      <c r="BI185" s="262">
        <f>Capacity!BP58</f>
        <v>5345.912716</v>
      </c>
      <c r="BJ185" s="262">
        <f>Capacity!BQ58</f>
        <v>5414.201201</v>
      </c>
      <c r="BK185" s="262">
        <f>Capacity!BR58</f>
        <v>5482.428797</v>
      </c>
      <c r="BL185" s="262">
        <f>Capacity!BS58</f>
        <v>5550.634936</v>
      </c>
      <c r="BM185" s="262">
        <f>Capacity!BT58</f>
        <v>5618.858484</v>
      </c>
      <c r="BN185" s="262">
        <f>Capacity!BU58</f>
        <v>5687.137695</v>
      </c>
      <c r="BO185" s="262">
        <f>Capacity!BV58</f>
        <v>5755.510238</v>
      </c>
      <c r="BP185" s="262">
        <f>Capacity!BW58</f>
        <v>6011.083675</v>
      </c>
      <c r="BQ185" s="262">
        <f>Capacity!BX58</f>
        <v>6065.647335</v>
      </c>
      <c r="BR185" s="262">
        <f>Capacity!BY58</f>
        <v>6115.394387</v>
      </c>
      <c r="BS185" s="262">
        <f>Capacity!BZ58</f>
        <v>6165.606412</v>
      </c>
      <c r="BT185" s="262">
        <f>Capacity!CA58</f>
        <v>6215.431613</v>
      </c>
      <c r="BU185" s="262">
        <f>Capacity!CB58</f>
        <v>6264.787792</v>
      </c>
      <c r="BV185" s="262">
        <f>Capacity!CC58</f>
        <v>6313.706314</v>
      </c>
      <c r="BW185" s="262">
        <f>Capacity!CD58</f>
        <v>6362.233779</v>
      </c>
      <c r="BX185" s="262">
        <f>Capacity!CE58</f>
        <v>6410.417353</v>
      </c>
      <c r="BY185" s="262">
        <f>Capacity!CF58</f>
        <v>6458.30264</v>
      </c>
      <c r="BZ185" s="262">
        <f>Capacity!CG58</f>
        <v>6505.933435</v>
      </c>
      <c r="CA185" s="262">
        <f>Capacity!CH58</f>
        <v>6553.351756</v>
      </c>
    </row>
    <row r="186" ht="15.75" customHeight="1">
      <c r="A186" s="91" t="s">
        <v>493</v>
      </c>
      <c r="B186" s="91"/>
      <c r="C186" s="91"/>
      <c r="D186" s="91"/>
      <c r="E186" s="91"/>
      <c r="F186" s="91"/>
      <c r="G186" s="91"/>
      <c r="H186" s="91"/>
      <c r="I186" s="91"/>
      <c r="J186" s="91"/>
      <c r="K186" s="91"/>
      <c r="L186" s="91"/>
      <c r="M186" s="264">
        <f>'Ops Departments'!U52</f>
        <v>4213</v>
      </c>
      <c r="N186" s="264">
        <f>'Ops Departments'!V52</f>
        <v>342</v>
      </c>
      <c r="O186" s="264">
        <f>'Ops Departments'!W52</f>
        <v>4878</v>
      </c>
      <c r="P186" s="264">
        <f>'Ops Departments'!X52</f>
        <v>4073</v>
      </c>
      <c r="Q186" s="264">
        <f>'Ops Departments'!Y52</f>
        <v>523</v>
      </c>
      <c r="R186" s="264">
        <f>'Ops Departments'!Z52</f>
        <v>4191</v>
      </c>
      <c r="S186" s="262">
        <f>Capacity!Z94</f>
        <v>1914.359331</v>
      </c>
      <c r="T186" s="262">
        <f>Capacity!AA94</f>
        <v>834.4388414</v>
      </c>
      <c r="U186" s="262">
        <f>Capacity!AB94</f>
        <v>992.126524</v>
      </c>
      <c r="V186" s="262">
        <f>Capacity!AC94</f>
        <v>1141.888194</v>
      </c>
      <c r="W186" s="262">
        <f>Capacity!AD94</f>
        <v>1292.31605</v>
      </c>
      <c r="X186" s="262">
        <f>Capacity!AE94</f>
        <v>864.8704292</v>
      </c>
      <c r="Y186" s="262">
        <f>Capacity!AF94</f>
        <v>953.027468</v>
      </c>
      <c r="Z186" s="262">
        <f>Capacity!AG94</f>
        <v>1034.64053</v>
      </c>
      <c r="AA186" s="262">
        <f>Capacity!AH94</f>
        <v>1112.855309</v>
      </c>
      <c r="AB186" s="262">
        <f>Capacity!AI94</f>
        <v>1188.97851</v>
      </c>
      <c r="AC186" s="262">
        <f>Capacity!AJ94</f>
        <v>1255.740085</v>
      </c>
      <c r="AD186" s="262">
        <f>Capacity!AK94</f>
        <v>1325.537557</v>
      </c>
      <c r="AE186" s="262">
        <f>Capacity!AL94</f>
        <v>1395.135472</v>
      </c>
      <c r="AF186" s="262">
        <f>Capacity!AM94</f>
        <v>1444.662109</v>
      </c>
      <c r="AG186" s="262">
        <f>Capacity!AN94</f>
        <v>1454.082561</v>
      </c>
      <c r="AH186" s="262">
        <f>Capacity!AO94</f>
        <v>1476.818218</v>
      </c>
      <c r="AI186" s="262">
        <f>Capacity!AP94</f>
        <v>1504.387886</v>
      </c>
      <c r="AJ186" s="262">
        <f>Capacity!AQ94</f>
        <v>1532.164606</v>
      </c>
      <c r="AK186" s="262">
        <f>Capacity!AR94</f>
        <v>1559.98802</v>
      </c>
      <c r="AL186" s="262">
        <f>Capacity!AS94</f>
        <v>1587.057704</v>
      </c>
      <c r="AM186" s="262">
        <f>Capacity!AT94</f>
        <v>1613.580656</v>
      </c>
      <c r="AN186" s="262">
        <f>Capacity!AU94</f>
        <v>1639.616471</v>
      </c>
      <c r="AO186" s="262">
        <f>Capacity!AV94</f>
        <v>1665.20128</v>
      </c>
      <c r="AP186" s="262">
        <f>Capacity!AW94</f>
        <v>1690.366413</v>
      </c>
      <c r="AQ186" s="262">
        <f>Capacity!AX94</f>
        <v>1715.141262</v>
      </c>
      <c r="AR186" s="262">
        <f>Capacity!AY94</f>
        <v>1754.93614</v>
      </c>
      <c r="AS186" s="262">
        <f>Capacity!AZ94</f>
        <v>1794.267705</v>
      </c>
      <c r="AT186" s="262">
        <f>Capacity!BA94</f>
        <v>1832.606394</v>
      </c>
      <c r="AU186" s="262">
        <f>Capacity!BB94</f>
        <v>1870.215225</v>
      </c>
      <c r="AV186" s="262">
        <f>Capacity!BC94</f>
        <v>1907.164497</v>
      </c>
      <c r="AW186" s="262">
        <f>Capacity!BD94</f>
        <v>1943.494414</v>
      </c>
      <c r="AX186" s="262">
        <f>Capacity!BE94</f>
        <v>1979.239522</v>
      </c>
      <c r="AY186" s="262">
        <f>Capacity!BF94</f>
        <v>2014.432427</v>
      </c>
      <c r="AZ186" s="262">
        <f>Capacity!BG94</f>
        <v>2049.104397</v>
      </c>
      <c r="BA186" s="262">
        <f>Capacity!BH94</f>
        <v>2083.285495</v>
      </c>
      <c r="BB186" s="262">
        <f>Capacity!BI94</f>
        <v>2117.004644</v>
      </c>
      <c r="BC186" s="262">
        <f>Capacity!BJ94</f>
        <v>2150.289671</v>
      </c>
      <c r="BD186" s="262">
        <f>Capacity!BK94</f>
        <v>2541.484782</v>
      </c>
      <c r="BE186" s="262">
        <f>Capacity!BL94</f>
        <v>2558.20779</v>
      </c>
      <c r="BF186" s="262">
        <f>Capacity!BM94</f>
        <v>2585.551334</v>
      </c>
      <c r="BG186" s="262">
        <f>Capacity!BN94</f>
        <v>2615.079531</v>
      </c>
      <c r="BH186" s="262">
        <f>Capacity!BO94</f>
        <v>2644.888969</v>
      </c>
      <c r="BI186" s="262">
        <f>Capacity!BP94</f>
        <v>2674.708684</v>
      </c>
      <c r="BJ186" s="262">
        <f>Capacity!BQ94</f>
        <v>2704.512278</v>
      </c>
      <c r="BK186" s="262">
        <f>Capacity!BR94</f>
        <v>2734.309761</v>
      </c>
      <c r="BL186" s="262">
        <f>Capacity!BS94</f>
        <v>2764.11634</v>
      </c>
      <c r="BM186" s="262">
        <f>Capacity!BT94</f>
        <v>2793.947761</v>
      </c>
      <c r="BN186" s="262">
        <f>Capacity!BU94</f>
        <v>2823.819623</v>
      </c>
      <c r="BO186" s="262">
        <f>Capacity!BV94</f>
        <v>2853.747294</v>
      </c>
      <c r="BP186" s="262">
        <f>Capacity!BW94</f>
        <v>3175.551253</v>
      </c>
      <c r="BQ186" s="262">
        <f>Capacity!BX94</f>
        <v>3141.74391</v>
      </c>
      <c r="BR186" s="262">
        <f>Capacity!BY94</f>
        <v>3156.585895</v>
      </c>
      <c r="BS186" s="262">
        <f>Capacity!BZ94</f>
        <v>3179.260699</v>
      </c>
      <c r="BT186" s="262">
        <f>Capacity!CA94</f>
        <v>3202.923174</v>
      </c>
      <c r="BU186" s="262">
        <f>Capacity!CB94</f>
        <v>3226.566738</v>
      </c>
      <c r="BV186" s="262">
        <f>Capacity!CC94</f>
        <v>3250.059743</v>
      </c>
      <c r="BW186" s="262">
        <f>Capacity!CD94</f>
        <v>3273.400973</v>
      </c>
      <c r="BX186" s="262">
        <f>Capacity!CE94</f>
        <v>3296.607996</v>
      </c>
      <c r="BY186" s="262">
        <f>Capacity!CF94</f>
        <v>3319.700458</v>
      </c>
      <c r="BZ186" s="262">
        <f>Capacity!CG94</f>
        <v>3342.697606</v>
      </c>
      <c r="CA186" s="262">
        <f>Capacity!CH94</f>
        <v>3365.617949</v>
      </c>
    </row>
    <row r="187" ht="15.75" customHeight="1">
      <c r="A187" s="91" t="s">
        <v>494</v>
      </c>
      <c r="B187" s="91"/>
      <c r="C187" s="91"/>
      <c r="D187" s="91"/>
      <c r="E187" s="91"/>
      <c r="F187" s="91"/>
      <c r="G187" s="91"/>
      <c r="H187" s="91"/>
      <c r="I187" s="91"/>
      <c r="J187" s="91"/>
      <c r="K187" s="91"/>
      <c r="L187" s="91"/>
      <c r="M187" s="264">
        <f>'Ops Departments'!U84</f>
        <v>1979</v>
      </c>
      <c r="N187" s="264">
        <f>'Ops Departments'!V84</f>
        <v>3328</v>
      </c>
      <c r="O187" s="264">
        <f>'Ops Departments'!W84</f>
        <v>2623</v>
      </c>
      <c r="P187" s="264">
        <f>'Ops Departments'!X84</f>
        <v>3545</v>
      </c>
      <c r="Q187" s="264">
        <f>'Ops Departments'!Y84</f>
        <v>2928</v>
      </c>
      <c r="R187" s="264">
        <f>'Ops Departments'!Z84</f>
        <v>39</v>
      </c>
      <c r="S187" s="262">
        <f>Capacity!Z123</f>
        <v>552.02195</v>
      </c>
      <c r="T187" s="262">
        <f>Capacity!AA123</f>
        <v>1402.74811</v>
      </c>
      <c r="U187" s="262">
        <f>Capacity!AB123</f>
        <v>1700.945336</v>
      </c>
      <c r="V187" s="262">
        <f>Capacity!AC123</f>
        <v>1975.384633</v>
      </c>
      <c r="W187" s="262">
        <f>Capacity!AD123</f>
        <v>2230.260803</v>
      </c>
      <c r="X187" s="262">
        <f>Capacity!AE123</f>
        <v>2475.176266</v>
      </c>
      <c r="Y187" s="262">
        <f>Capacity!AF123</f>
        <v>2716.667462</v>
      </c>
      <c r="Z187" s="262">
        <f>Capacity!AG123</f>
        <v>2951.782882</v>
      </c>
      <c r="AA187" s="262">
        <f>Capacity!AH123</f>
        <v>3195.821264</v>
      </c>
      <c r="AB187" s="262">
        <f>Capacity!AI123</f>
        <v>3428.142091</v>
      </c>
      <c r="AC187" s="262">
        <f>Capacity!AJ123</f>
        <v>3636.894992</v>
      </c>
      <c r="AD187" s="262">
        <f>Capacity!AK123</f>
        <v>3819.187228</v>
      </c>
      <c r="AE187" s="262">
        <f>Capacity!AL123</f>
        <v>4001.243052</v>
      </c>
      <c r="AF187" s="262">
        <f>Capacity!AM123</f>
        <v>9305.067003</v>
      </c>
      <c r="AG187" s="262">
        <f>Capacity!AN123</f>
        <v>9461.056658</v>
      </c>
      <c r="AH187" s="262">
        <f>Capacity!AO123</f>
        <v>9523.41483</v>
      </c>
      <c r="AI187" s="262">
        <f>Capacity!AP123</f>
        <v>9616.179111</v>
      </c>
      <c r="AJ187" s="262">
        <f>Capacity!AQ123</f>
        <v>9727.219124</v>
      </c>
      <c r="AK187" s="262">
        <f>Capacity!AR123</f>
        <v>9847.48149</v>
      </c>
      <c r="AL187" s="262">
        <f>Capacity!AS123</f>
        <v>9969.723208</v>
      </c>
      <c r="AM187" s="262">
        <f>Capacity!AT123</f>
        <v>10089.63204</v>
      </c>
      <c r="AN187" s="262">
        <f>Capacity!AU123</f>
        <v>10207.40096</v>
      </c>
      <c r="AO187" s="262">
        <f>Capacity!AV123</f>
        <v>10323.18278</v>
      </c>
      <c r="AP187" s="262">
        <f>Capacity!AW123</f>
        <v>10437.11221</v>
      </c>
      <c r="AQ187" s="262">
        <f>Capacity!AX123</f>
        <v>10549.31373</v>
      </c>
      <c r="AR187" s="262">
        <f>Capacity!AY123</f>
        <v>15400.88293</v>
      </c>
      <c r="AS187" s="262">
        <f>Capacity!AZ123</f>
        <v>15695.79809</v>
      </c>
      <c r="AT187" s="262">
        <f>Capacity!BA123</f>
        <v>15985.06741</v>
      </c>
      <c r="AU187" s="262">
        <f>Capacity!BB123</f>
        <v>16267.36847</v>
      </c>
      <c r="AV187" s="262">
        <f>Capacity!BC123</f>
        <v>16543.63427</v>
      </c>
      <c r="AW187" s="262">
        <f>Capacity!BD123</f>
        <v>16814.36724</v>
      </c>
      <c r="AX187" s="262">
        <f>Capacity!BE123</f>
        <v>17079.9121</v>
      </c>
      <c r="AY187" s="262">
        <f>Capacity!BF123</f>
        <v>17340.55177</v>
      </c>
      <c r="AZ187" s="262">
        <f>Capacity!BG123</f>
        <v>17596.54109</v>
      </c>
      <c r="BA187" s="262">
        <f>Capacity!BH123</f>
        <v>17848.11897</v>
      </c>
      <c r="BB187" s="262">
        <f>Capacity!BI123</f>
        <v>18095.51288</v>
      </c>
      <c r="BC187" s="262">
        <f>Capacity!BJ123</f>
        <v>18338.94062</v>
      </c>
      <c r="BD187" s="262">
        <f>Capacity!BK123</f>
        <v>25966.1775</v>
      </c>
      <c r="BE187" s="262">
        <f>Capacity!BL123</f>
        <v>26399.63023</v>
      </c>
      <c r="BF187" s="262">
        <f>Capacity!BM123</f>
        <v>26811.9286</v>
      </c>
      <c r="BG187" s="262">
        <f>Capacity!BN123</f>
        <v>27191.85072</v>
      </c>
      <c r="BH187" s="262">
        <f>Capacity!BO123</f>
        <v>27565.83879</v>
      </c>
      <c r="BI187" s="262">
        <f>Capacity!BP123</f>
        <v>27934.72143</v>
      </c>
      <c r="BJ187" s="262">
        <f>Capacity!BQ123</f>
        <v>28298.97359</v>
      </c>
      <c r="BK187" s="262">
        <f>Capacity!BR123</f>
        <v>28658.94043</v>
      </c>
      <c r="BL187" s="262">
        <f>Capacity!BS123</f>
        <v>29014.91599</v>
      </c>
      <c r="BM187" s="262">
        <f>Capacity!BT123</f>
        <v>29367.17094</v>
      </c>
      <c r="BN187" s="262">
        <f>Capacity!BU123</f>
        <v>29715.96256</v>
      </c>
      <c r="BO187" s="262">
        <f>Capacity!BV123</f>
        <v>30061.53848</v>
      </c>
      <c r="BP187" s="262">
        <f>Capacity!BW123</f>
        <v>41805.69001</v>
      </c>
      <c r="BQ187" s="262">
        <f>Capacity!BX123</f>
        <v>42148.45894</v>
      </c>
      <c r="BR187" s="262">
        <f>Capacity!BY123</f>
        <v>42434.4579</v>
      </c>
      <c r="BS187" s="262">
        <f>Capacity!BZ123</f>
        <v>42721.36742</v>
      </c>
      <c r="BT187" s="262">
        <f>Capacity!CA123</f>
        <v>43019.3963</v>
      </c>
      <c r="BU187" s="262">
        <f>Capacity!CB123</f>
        <v>43319.98862</v>
      </c>
      <c r="BV187" s="262">
        <f>Capacity!CC123</f>
        <v>43620.28562</v>
      </c>
      <c r="BW187" s="262">
        <f>Capacity!CD123</f>
        <v>43919.41705</v>
      </c>
      <c r="BX187" s="262">
        <f>Capacity!CE123</f>
        <v>44217.20335</v>
      </c>
      <c r="BY187" s="262">
        <f>Capacity!CF123</f>
        <v>44513.70164</v>
      </c>
      <c r="BZ187" s="262">
        <f>Capacity!CG123</f>
        <v>44809.04702</v>
      </c>
      <c r="CA187" s="262">
        <f>Capacity!CH123</f>
        <v>45103.39729</v>
      </c>
    </row>
    <row r="188" ht="15.75" customHeight="1">
      <c r="A188" s="91" t="s">
        <v>495</v>
      </c>
      <c r="B188" s="91"/>
      <c r="C188" s="91"/>
      <c r="D188" s="91"/>
      <c r="E188" s="91"/>
      <c r="F188" s="91"/>
      <c r="G188" s="91"/>
      <c r="H188" s="144" t="str">
        <f>Capacity!O150</f>
        <v/>
      </c>
      <c r="I188" s="144" t="str">
        <f>Capacity!P150</f>
        <v/>
      </c>
      <c r="J188" s="144" t="str">
        <f>Capacity!Q150</f>
        <v/>
      </c>
      <c r="K188" s="144" t="str">
        <f>Capacity!R150</f>
        <v/>
      </c>
      <c r="L188" s="144" t="str">
        <f>Capacity!S150</f>
        <v/>
      </c>
      <c r="M188" s="264">
        <f>'Ops Departments'!U116</f>
        <v>2714</v>
      </c>
      <c r="N188" s="264">
        <f>'Ops Departments'!V116</f>
        <v>4220</v>
      </c>
      <c r="O188" s="264">
        <f>'Ops Departments'!W116</f>
        <v>1646</v>
      </c>
      <c r="P188" s="264">
        <f>'Ops Departments'!X116</f>
        <v>1350</v>
      </c>
      <c r="Q188" s="264">
        <f>'Ops Departments'!Y116</f>
        <v>482</v>
      </c>
      <c r="R188" s="264">
        <f>'Ops Departments'!Z116</f>
        <v>4572</v>
      </c>
      <c r="S188" s="262">
        <f>Capacity!Z150</f>
        <v>0</v>
      </c>
      <c r="T188" s="262">
        <f>Capacity!AA150</f>
        <v>0</v>
      </c>
      <c r="U188" s="262">
        <f>Capacity!AB150</f>
        <v>0</v>
      </c>
      <c r="V188" s="262">
        <f>Capacity!AC150</f>
        <v>0</v>
      </c>
      <c r="W188" s="262">
        <f>Capacity!AD150</f>
        <v>0</v>
      </c>
      <c r="X188" s="262">
        <f>Capacity!AE150</f>
        <v>0</v>
      </c>
      <c r="Y188" s="262">
        <f>Capacity!AF150</f>
        <v>0</v>
      </c>
      <c r="Z188" s="262">
        <f>Capacity!AG150</f>
        <v>0</v>
      </c>
      <c r="AA188" s="262">
        <f>Capacity!AH150</f>
        <v>0</v>
      </c>
      <c r="AB188" s="262">
        <f>Capacity!AI150</f>
        <v>0</v>
      </c>
      <c r="AC188" s="262">
        <f>Capacity!AJ150</f>
        <v>0</v>
      </c>
      <c r="AD188" s="262">
        <f>Capacity!AK150</f>
        <v>0</v>
      </c>
      <c r="AE188" s="262">
        <f>Capacity!AL150</f>
        <v>0</v>
      </c>
      <c r="AF188" s="262">
        <f>Capacity!AM150</f>
        <v>0</v>
      </c>
      <c r="AG188" s="262">
        <f>Capacity!AN150</f>
        <v>0</v>
      </c>
      <c r="AH188" s="262">
        <f>Capacity!AO150</f>
        <v>0</v>
      </c>
      <c r="AI188" s="262">
        <f>Capacity!AP150</f>
        <v>0</v>
      </c>
      <c r="AJ188" s="262">
        <f>Capacity!AQ150</f>
        <v>0</v>
      </c>
      <c r="AK188" s="262">
        <f>Capacity!AR150</f>
        <v>0</v>
      </c>
      <c r="AL188" s="262">
        <f>Capacity!AS150</f>
        <v>0</v>
      </c>
      <c r="AM188" s="262">
        <f>Capacity!AT150</f>
        <v>0</v>
      </c>
      <c r="AN188" s="262">
        <f>Capacity!AU150</f>
        <v>0</v>
      </c>
      <c r="AO188" s="262">
        <f>Capacity!AV150</f>
        <v>0</v>
      </c>
      <c r="AP188" s="262">
        <f>Capacity!AW150</f>
        <v>0</v>
      </c>
      <c r="AQ188" s="262">
        <f>Capacity!AX150</f>
        <v>0</v>
      </c>
      <c r="AR188" s="262">
        <f>Capacity!AY150</f>
        <v>0</v>
      </c>
      <c r="AS188" s="262">
        <f>Capacity!AZ150</f>
        <v>0</v>
      </c>
      <c r="AT188" s="262">
        <f>Capacity!BA150</f>
        <v>0</v>
      </c>
      <c r="AU188" s="262">
        <f>Capacity!BB150</f>
        <v>0</v>
      </c>
      <c r="AV188" s="262">
        <f>Capacity!BC150</f>
        <v>0</v>
      </c>
      <c r="AW188" s="262">
        <f>Capacity!BD150</f>
        <v>0</v>
      </c>
      <c r="AX188" s="262">
        <f>Capacity!BE150</f>
        <v>0</v>
      </c>
      <c r="AY188" s="262">
        <f>Capacity!BF150</f>
        <v>0</v>
      </c>
      <c r="AZ188" s="262">
        <f>Capacity!BG150</f>
        <v>0</v>
      </c>
      <c r="BA188" s="262">
        <f>Capacity!BH150</f>
        <v>0</v>
      </c>
      <c r="BB188" s="262">
        <f>Capacity!BI150</f>
        <v>0</v>
      </c>
      <c r="BC188" s="262">
        <f>Capacity!BJ150</f>
        <v>0</v>
      </c>
      <c r="BD188" s="262">
        <f>Capacity!BK150</f>
        <v>0</v>
      </c>
      <c r="BE188" s="262">
        <f>Capacity!BL150</f>
        <v>0</v>
      </c>
      <c r="BF188" s="262">
        <f>Capacity!BM150</f>
        <v>0</v>
      </c>
      <c r="BG188" s="262">
        <f>Capacity!BN150</f>
        <v>0</v>
      </c>
      <c r="BH188" s="262">
        <f>Capacity!BO150</f>
        <v>0</v>
      </c>
      <c r="BI188" s="262">
        <f>Capacity!BP150</f>
        <v>0</v>
      </c>
      <c r="BJ188" s="262">
        <f>Capacity!BQ150</f>
        <v>0</v>
      </c>
      <c r="BK188" s="262">
        <f>Capacity!BR150</f>
        <v>0</v>
      </c>
      <c r="BL188" s="262">
        <f>Capacity!BS150</f>
        <v>0</v>
      </c>
      <c r="BM188" s="262">
        <f>Capacity!BT150</f>
        <v>0</v>
      </c>
      <c r="BN188" s="262">
        <f>Capacity!BU150</f>
        <v>0</v>
      </c>
      <c r="BO188" s="262">
        <f>Capacity!BV150</f>
        <v>0</v>
      </c>
      <c r="BP188" s="262">
        <f>Capacity!BW150</f>
        <v>0</v>
      </c>
      <c r="BQ188" s="262">
        <f>Capacity!BX150</f>
        <v>0</v>
      </c>
      <c r="BR188" s="262">
        <f>Capacity!BY150</f>
        <v>0</v>
      </c>
      <c r="BS188" s="262">
        <f>Capacity!BZ150</f>
        <v>0</v>
      </c>
      <c r="BT188" s="262">
        <f>Capacity!CA150</f>
        <v>0</v>
      </c>
      <c r="BU188" s="262">
        <f>Capacity!CB150</f>
        <v>0</v>
      </c>
      <c r="BV188" s="262">
        <f>Capacity!CC150</f>
        <v>0</v>
      </c>
      <c r="BW188" s="262">
        <f>Capacity!CD150</f>
        <v>0</v>
      </c>
      <c r="BX188" s="262">
        <f>Capacity!CE150</f>
        <v>0</v>
      </c>
      <c r="BY188" s="262">
        <f>Capacity!CF150</f>
        <v>0</v>
      </c>
      <c r="BZ188" s="262">
        <f>Capacity!CG150</f>
        <v>0</v>
      </c>
      <c r="CA188" s="262">
        <f>Capacity!CH150</f>
        <v>0</v>
      </c>
    </row>
    <row r="189" ht="15.75" customHeight="1">
      <c r="A189" s="268" t="s">
        <v>496</v>
      </c>
      <c r="B189" s="268"/>
      <c r="C189" s="268"/>
      <c r="D189" s="268"/>
      <c r="E189" s="268"/>
      <c r="F189" s="268"/>
      <c r="G189" s="268"/>
      <c r="H189" s="268"/>
      <c r="I189" s="268"/>
      <c r="J189" s="268"/>
      <c r="K189" s="268"/>
      <c r="L189" s="268"/>
      <c r="M189" s="264">
        <f>'Ops Departments'!U182</f>
        <v>2317</v>
      </c>
      <c r="N189" s="264">
        <f>'Ops Departments'!V182</f>
        <v>2638</v>
      </c>
      <c r="O189" s="264">
        <f>'Ops Departments'!W182</f>
        <v>3372</v>
      </c>
      <c r="P189" s="264">
        <f>'Ops Departments'!X182</f>
        <v>4165</v>
      </c>
      <c r="Q189" s="264">
        <f>'Ops Departments'!Y182</f>
        <v>2241</v>
      </c>
      <c r="R189" s="264">
        <f>'Ops Departments'!Z182</f>
        <v>1013</v>
      </c>
      <c r="S189" s="262">
        <f>Capacity!Z188</f>
        <v>4745.765205</v>
      </c>
      <c r="T189" s="262">
        <f>Capacity!AA188</f>
        <v>1270.914108</v>
      </c>
      <c r="U189" s="262">
        <f>Capacity!AB188</f>
        <v>1346.203335</v>
      </c>
      <c r="V189" s="262">
        <f>Capacity!AC188</f>
        <v>1411.338309</v>
      </c>
      <c r="W189" s="262">
        <f>Capacity!AD188</f>
        <v>1469.515195</v>
      </c>
      <c r="X189" s="262">
        <f>Capacity!AE188</f>
        <v>1500.232295</v>
      </c>
      <c r="Y189" s="262">
        <f>Capacity!AF188</f>
        <v>1527.759174</v>
      </c>
      <c r="Z189" s="262">
        <f>Capacity!AG188</f>
        <v>1545.002959</v>
      </c>
      <c r="AA189" s="262">
        <f>Capacity!AH188</f>
        <v>1559.915933</v>
      </c>
      <c r="AB189" s="262">
        <f>Capacity!AI188</f>
        <v>1579.540318</v>
      </c>
      <c r="AC189" s="262">
        <f>Capacity!AJ188</f>
        <v>1602.579883</v>
      </c>
      <c r="AD189" s="262">
        <f>Capacity!AK188</f>
        <v>1622.707124</v>
      </c>
      <c r="AE189" s="262">
        <f>Capacity!AL188</f>
        <v>1641.087428</v>
      </c>
      <c r="AF189" s="262">
        <f>Capacity!AM188</f>
        <v>2974.552598</v>
      </c>
      <c r="AG189" s="262">
        <f>Capacity!AN188</f>
        <v>3002.990985</v>
      </c>
      <c r="AH189" s="262">
        <f>Capacity!AO188</f>
        <v>3039.469978</v>
      </c>
      <c r="AI189" s="262">
        <f>Capacity!AP188</f>
        <v>3071.861051</v>
      </c>
      <c r="AJ189" s="262">
        <f>Capacity!AQ188</f>
        <v>3101.210712</v>
      </c>
      <c r="AK189" s="262">
        <f>Capacity!AR188</f>
        <v>3130.706489</v>
      </c>
      <c r="AL189" s="262">
        <f>Capacity!AS188</f>
        <v>3157.930243</v>
      </c>
      <c r="AM189" s="262">
        <f>Capacity!AT188</f>
        <v>3183.469442</v>
      </c>
      <c r="AN189" s="262">
        <f>Capacity!AU188</f>
        <v>3207.763038</v>
      </c>
      <c r="AO189" s="262">
        <f>Capacity!AV188</f>
        <v>3231.13904</v>
      </c>
      <c r="AP189" s="262">
        <f>Capacity!AW188</f>
        <v>3253.842581</v>
      </c>
      <c r="AQ189" s="262">
        <f>Capacity!AX188</f>
        <v>3276.056893</v>
      </c>
      <c r="AR189" s="262">
        <f>Capacity!AY188</f>
        <v>4774.557278</v>
      </c>
      <c r="AS189" s="262">
        <f>Capacity!AZ188</f>
        <v>4815.810842</v>
      </c>
      <c r="AT189" s="262">
        <f>Capacity!BA188</f>
        <v>4854.308558</v>
      </c>
      <c r="AU189" s="262">
        <f>Capacity!BB188</f>
        <v>4890.766814</v>
      </c>
      <c r="AV189" s="262">
        <f>Capacity!BC188</f>
        <v>4925.720914</v>
      </c>
      <c r="AW189" s="262">
        <f>Capacity!BD188</f>
        <v>4959.57089</v>
      </c>
      <c r="AX189" s="262">
        <f>Capacity!BE188</f>
        <v>4992.615733</v>
      </c>
      <c r="AY189" s="262">
        <f>Capacity!BF188</f>
        <v>5025.078952</v>
      </c>
      <c r="AZ189" s="262">
        <f>Capacity!BG188</f>
        <v>5057.127678</v>
      </c>
      <c r="BA189" s="262">
        <f>Capacity!BH188</f>
        <v>5088.886927</v>
      </c>
      <c r="BB189" s="262">
        <f>Capacity!BI188</f>
        <v>5120.450253</v>
      </c>
      <c r="BC189" s="262">
        <f>Capacity!BJ188</f>
        <v>5151.887718</v>
      </c>
      <c r="BD189" s="262">
        <f>Capacity!BK188</f>
        <v>31450.77942</v>
      </c>
      <c r="BE189" s="262">
        <f>Capacity!BL188</f>
        <v>31812.11658</v>
      </c>
      <c r="BF189" s="262">
        <f>Capacity!BM188</f>
        <v>32043.64204</v>
      </c>
      <c r="BG189" s="262">
        <f>Capacity!BN188</f>
        <v>32270.99595</v>
      </c>
      <c r="BH189" s="262">
        <f>Capacity!BO188</f>
        <v>32495.66218</v>
      </c>
      <c r="BI189" s="262">
        <f>Capacity!BP188</f>
        <v>32718.75649</v>
      </c>
      <c r="BJ189" s="262">
        <f>Capacity!BQ188</f>
        <v>32941.11979</v>
      </c>
      <c r="BK189" s="262">
        <f>Capacity!BR188</f>
        <v>33163.38793</v>
      </c>
      <c r="BL189" s="262">
        <f>Capacity!BS188</f>
        <v>33386.04376</v>
      </c>
      <c r="BM189" s="262">
        <f>Capacity!BT188</f>
        <v>33609.45603</v>
      </c>
      <c r="BN189" s="262">
        <f>Capacity!BU188</f>
        <v>33833.90848</v>
      </c>
      <c r="BO189" s="262">
        <f>Capacity!BV188</f>
        <v>34059.62155</v>
      </c>
      <c r="BP189" s="262">
        <f>Capacity!BW188</f>
        <v>47171.96491</v>
      </c>
      <c r="BQ189" s="262">
        <f>Capacity!BX188</f>
        <v>46597.34544</v>
      </c>
      <c r="BR189" s="262">
        <f>Capacity!BY188</f>
        <v>46094.73201</v>
      </c>
      <c r="BS189" s="262">
        <f>Capacity!BZ188</f>
        <v>45778.1522</v>
      </c>
      <c r="BT189" s="262">
        <f>Capacity!CA188</f>
        <v>45601.10591</v>
      </c>
      <c r="BU189" s="262">
        <f>Capacity!CB188</f>
        <v>45528.8554</v>
      </c>
      <c r="BV189" s="262">
        <f>Capacity!CC188</f>
        <v>45535.44958</v>
      </c>
      <c r="BW189" s="262">
        <f>Capacity!CD188</f>
        <v>45601.50116</v>
      </c>
      <c r="BX189" s="262">
        <f>Capacity!CE188</f>
        <v>45712.52616</v>
      </c>
      <c r="BY189" s="262">
        <f>Capacity!CF188</f>
        <v>45857.70351</v>
      </c>
      <c r="BZ189" s="262">
        <f>Capacity!CG188</f>
        <v>46028.94852</v>
      </c>
      <c r="CA189" s="262">
        <f>Capacity!CH188</f>
        <v>46220.2207</v>
      </c>
    </row>
    <row r="190" ht="15.75" customHeight="1">
      <c r="A190" s="277" t="s">
        <v>497</v>
      </c>
      <c r="B190" s="277"/>
      <c r="C190" s="277"/>
      <c r="D190" s="277"/>
      <c r="E190" s="277"/>
      <c r="F190" s="277"/>
      <c r="G190" s="277"/>
      <c r="H190" s="277"/>
      <c r="I190" s="277"/>
      <c r="J190" s="277"/>
      <c r="K190" s="277"/>
      <c r="L190" s="277">
        <f>SUM(L185:L188)</f>
        <v>0</v>
      </c>
      <c r="M190" s="277">
        <f t="shared" ref="M190:CA190" si="196">SUM(M185:M189)</f>
        <v>14156</v>
      </c>
      <c r="N190" s="277">
        <f t="shared" si="196"/>
        <v>14614</v>
      </c>
      <c r="O190" s="277">
        <f t="shared" si="196"/>
        <v>15718</v>
      </c>
      <c r="P190" s="277">
        <f t="shared" si="196"/>
        <v>17997</v>
      </c>
      <c r="Q190" s="277">
        <f t="shared" si="196"/>
        <v>7421</v>
      </c>
      <c r="R190" s="277">
        <f t="shared" si="196"/>
        <v>13385</v>
      </c>
      <c r="S190" s="277">
        <f t="shared" si="196"/>
        <v>8011.36665</v>
      </c>
      <c r="T190" s="277">
        <f t="shared" si="196"/>
        <v>4155.216578</v>
      </c>
      <c r="U190" s="277">
        <f t="shared" si="196"/>
        <v>4788.091968</v>
      </c>
      <c r="V190" s="277">
        <f t="shared" si="196"/>
        <v>5374.662657</v>
      </c>
      <c r="W190" s="277">
        <f t="shared" si="196"/>
        <v>5935.295274</v>
      </c>
      <c r="X190" s="277">
        <f t="shared" si="196"/>
        <v>6454.425123</v>
      </c>
      <c r="Y190" s="277">
        <f t="shared" si="196"/>
        <v>6970.355608</v>
      </c>
      <c r="Z190" s="277">
        <f t="shared" si="196"/>
        <v>7458.974007</v>
      </c>
      <c r="AA190" s="277">
        <f t="shared" si="196"/>
        <v>7949.00532</v>
      </c>
      <c r="AB190" s="277">
        <f t="shared" si="196"/>
        <v>8434.109954</v>
      </c>
      <c r="AC190" s="277">
        <f t="shared" si="196"/>
        <v>8879.595258</v>
      </c>
      <c r="AD190" s="277">
        <f t="shared" si="196"/>
        <v>9305.55021</v>
      </c>
      <c r="AE190" s="277">
        <f t="shared" si="196"/>
        <v>9735.141139</v>
      </c>
      <c r="AF190" s="277">
        <f t="shared" si="196"/>
        <v>16610.73924</v>
      </c>
      <c r="AG190" s="277">
        <f t="shared" si="196"/>
        <v>16841.07323</v>
      </c>
      <c r="AH190" s="277">
        <f t="shared" si="196"/>
        <v>17014.32181</v>
      </c>
      <c r="AI190" s="277">
        <f t="shared" si="196"/>
        <v>17224.72177</v>
      </c>
      <c r="AJ190" s="277">
        <f t="shared" si="196"/>
        <v>17450.41496</v>
      </c>
      <c r="AK190" s="277">
        <f t="shared" si="196"/>
        <v>17685.36119</v>
      </c>
      <c r="AL190" s="277">
        <f t="shared" si="196"/>
        <v>17917.87027</v>
      </c>
      <c r="AM190" s="277">
        <f t="shared" si="196"/>
        <v>18247.14468</v>
      </c>
      <c r="AN190" s="277">
        <f t="shared" si="196"/>
        <v>18470.85675</v>
      </c>
      <c r="AO190" s="277">
        <f t="shared" si="196"/>
        <v>18690.25925</v>
      </c>
      <c r="AP190" s="277">
        <f t="shared" si="196"/>
        <v>18905.82635</v>
      </c>
      <c r="AQ190" s="277">
        <f t="shared" si="196"/>
        <v>19117.95467</v>
      </c>
      <c r="AR190" s="277">
        <f t="shared" si="196"/>
        <v>25700.46904</v>
      </c>
      <c r="AS190" s="277">
        <f t="shared" si="196"/>
        <v>26158.54929</v>
      </c>
      <c r="AT190" s="277">
        <f t="shared" si="196"/>
        <v>26605.40948</v>
      </c>
      <c r="AU190" s="277">
        <f t="shared" si="196"/>
        <v>27041.08254</v>
      </c>
      <c r="AV190" s="277">
        <f t="shared" si="196"/>
        <v>27467.225</v>
      </c>
      <c r="AW190" s="277">
        <f t="shared" si="196"/>
        <v>27884.85644</v>
      </c>
      <c r="AX190" s="277">
        <f t="shared" si="196"/>
        <v>28294.72374</v>
      </c>
      <c r="AY190" s="277">
        <f t="shared" si="196"/>
        <v>28697.43109</v>
      </c>
      <c r="AZ190" s="277">
        <f t="shared" si="196"/>
        <v>29093.4944</v>
      </c>
      <c r="BA190" s="277">
        <f t="shared" si="196"/>
        <v>29483.36797</v>
      </c>
      <c r="BB190" s="277">
        <f t="shared" si="196"/>
        <v>29867.45983</v>
      </c>
      <c r="BC190" s="277">
        <f t="shared" si="196"/>
        <v>30246.14163</v>
      </c>
      <c r="BD190" s="277">
        <f t="shared" si="196"/>
        <v>64953.02835</v>
      </c>
      <c r="BE190" s="277">
        <f t="shared" si="196"/>
        <v>65841.73851</v>
      </c>
      <c r="BF190" s="277">
        <f t="shared" si="196"/>
        <v>66581.4633</v>
      </c>
      <c r="BG190" s="277">
        <f t="shared" si="196"/>
        <v>67286.92639</v>
      </c>
      <c r="BH190" s="277">
        <f t="shared" si="196"/>
        <v>67983.91392</v>
      </c>
      <c r="BI190" s="277">
        <f t="shared" si="196"/>
        <v>68674.09932</v>
      </c>
      <c r="BJ190" s="277">
        <f t="shared" si="196"/>
        <v>69358.80686</v>
      </c>
      <c r="BK190" s="277">
        <f t="shared" si="196"/>
        <v>70039.06692</v>
      </c>
      <c r="BL190" s="277">
        <f t="shared" si="196"/>
        <v>70715.71103</v>
      </c>
      <c r="BM190" s="277">
        <f t="shared" si="196"/>
        <v>71389.43322</v>
      </c>
      <c r="BN190" s="277">
        <f t="shared" si="196"/>
        <v>72060.82836</v>
      </c>
      <c r="BO190" s="277">
        <f t="shared" si="196"/>
        <v>72730.41757</v>
      </c>
      <c r="BP190" s="277">
        <f t="shared" si="196"/>
        <v>98164.28985</v>
      </c>
      <c r="BQ190" s="277">
        <f t="shared" si="196"/>
        <v>97953.19563</v>
      </c>
      <c r="BR190" s="277">
        <f t="shared" si="196"/>
        <v>97801.1702</v>
      </c>
      <c r="BS190" s="277">
        <f t="shared" si="196"/>
        <v>97844.38673</v>
      </c>
      <c r="BT190" s="277">
        <f t="shared" si="196"/>
        <v>98038.857</v>
      </c>
      <c r="BU190" s="277">
        <f t="shared" si="196"/>
        <v>98340.19854</v>
      </c>
      <c r="BV190" s="277">
        <f t="shared" si="196"/>
        <v>98719.50126</v>
      </c>
      <c r="BW190" s="277">
        <f t="shared" si="196"/>
        <v>99156.55297</v>
      </c>
      <c r="BX190" s="277">
        <f t="shared" si="196"/>
        <v>99636.75486</v>
      </c>
      <c r="BY190" s="277">
        <f t="shared" si="196"/>
        <v>100149.4082</v>
      </c>
      <c r="BZ190" s="277">
        <f t="shared" si="196"/>
        <v>100686.6266</v>
      </c>
      <c r="CA190" s="277">
        <f t="shared" si="196"/>
        <v>101242.5877</v>
      </c>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E194" s="1">
        <f>SUM(R188:AE188)/668000</f>
        <v>0.006844311377</v>
      </c>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3.57"/>
    <col customWidth="1" min="2" max="2" width="26.29"/>
    <col customWidth="1" min="3" max="4" width="11.57"/>
    <col customWidth="1" min="5" max="5" width="12.29"/>
    <col customWidth="1" min="6" max="12" width="11.57"/>
    <col customWidth="1" min="13" max="13" width="12.57"/>
    <col customWidth="1" min="14" max="20" width="11.57"/>
    <col customWidth="1" min="21" max="82" width="12.57"/>
  </cols>
  <sheetData>
    <row r="1">
      <c r="B1" s="1" t="s">
        <v>25</v>
      </c>
      <c r="C1" s="116">
        <f>Revenue!I13</f>
        <v>809898</v>
      </c>
      <c r="D1" s="116">
        <f>Revenue!J13</f>
        <v>777794</v>
      </c>
      <c r="E1" s="116">
        <f>Revenue!K13</f>
        <v>839691</v>
      </c>
      <c r="F1" s="116">
        <f>Revenue!L13</f>
        <v>896666</v>
      </c>
      <c r="G1" s="116">
        <f>Revenue!M13</f>
        <v>872418</v>
      </c>
      <c r="H1" s="116">
        <f>Revenue!N13</f>
        <v>1004888</v>
      </c>
      <c r="I1" s="116">
        <f>Revenue!O13</f>
        <v>1129075</v>
      </c>
      <c r="J1" s="116">
        <f>Revenue!P13</f>
        <v>972065</v>
      </c>
      <c r="K1" s="116">
        <f>Revenue!Q13</f>
        <v>1065202</v>
      </c>
      <c r="L1" s="116">
        <f>Revenue!R13</f>
        <v>1164976</v>
      </c>
      <c r="M1" s="116">
        <f>Revenue!S13</f>
        <v>1141215</v>
      </c>
      <c r="N1" s="116">
        <f>Revenue!T13</f>
        <v>1026384</v>
      </c>
      <c r="O1" s="116">
        <f>Revenue!U13</f>
        <v>1084442</v>
      </c>
      <c r="P1" s="116">
        <f>Revenue!V13</f>
        <v>1281940</v>
      </c>
      <c r="Q1" s="116">
        <f>Revenue!W13</f>
        <v>1204294</v>
      </c>
      <c r="R1" s="116">
        <f>Revenue!X13</f>
        <v>1076142</v>
      </c>
      <c r="S1" s="116">
        <f>Revenue!Y13</f>
        <v>1079035</v>
      </c>
      <c r="T1" s="116">
        <f>Revenue!Z13</f>
        <v>1415790.631</v>
      </c>
      <c r="U1" s="116">
        <f>Revenue!AA13</f>
        <v>1667456.392</v>
      </c>
      <c r="V1" s="116">
        <f>Revenue!AB13</f>
        <v>1916164.307</v>
      </c>
      <c r="W1" s="116">
        <f>Revenue!AC13</f>
        <v>2143927.895</v>
      </c>
      <c r="X1" s="116">
        <f>Revenue!AD13</f>
        <v>2362030.523</v>
      </c>
      <c r="Y1" s="116">
        <f>Revenue!AE13</f>
        <v>2578733.721</v>
      </c>
      <c r="Z1" s="116">
        <f>Revenue!AF13</f>
        <v>2796714.82</v>
      </c>
      <c r="AA1" s="116">
        <f>Revenue!AG13</f>
        <v>2993212.987</v>
      </c>
      <c r="AB1" s="116">
        <f>Revenue!AH13</f>
        <v>3185918.325</v>
      </c>
      <c r="AC1" s="116">
        <f>Revenue!AI13</f>
        <v>3374588.725</v>
      </c>
      <c r="AD1" s="116">
        <f>Revenue!AJ13</f>
        <v>3549978.171</v>
      </c>
      <c r="AE1" s="116">
        <f>Revenue!AK13</f>
        <v>3723674.445</v>
      </c>
      <c r="AF1" s="116">
        <f>Revenue!AL13</f>
        <v>3899557.769</v>
      </c>
      <c r="AG1" s="116">
        <f>Revenue!AM13</f>
        <v>4073318.095</v>
      </c>
      <c r="AH1" s="116">
        <f>Revenue!AN13</f>
        <v>4104264.349</v>
      </c>
      <c r="AI1" s="116">
        <f>Revenue!AO13</f>
        <v>4147652.518</v>
      </c>
      <c r="AJ1" s="116">
        <f>Revenue!AP13</f>
        <v>4203892.505</v>
      </c>
      <c r="AK1" s="116">
        <f>Revenue!AQ13</f>
        <v>4263598.691</v>
      </c>
      <c r="AL1" s="116">
        <f>Revenue!AR13</f>
        <v>4325695.573</v>
      </c>
      <c r="AM1" s="116">
        <f>Revenue!AS13</f>
        <v>4387113.817</v>
      </c>
      <c r="AN1" s="116">
        <f>Revenue!AT13</f>
        <v>4461262.247</v>
      </c>
      <c r="AO1" s="116">
        <f>Revenue!AU13</f>
        <v>4521109.201</v>
      </c>
      <c r="AP1" s="116">
        <f>Revenue!AV13</f>
        <v>4580106.491</v>
      </c>
      <c r="AQ1" s="116">
        <f>Revenue!AW13</f>
        <v>4638288.148</v>
      </c>
      <c r="AR1" s="116">
        <f>Revenue!AX13</f>
        <v>4695693.717</v>
      </c>
      <c r="AS1" s="116">
        <f>Revenue!AY13</f>
        <v>4820732.602</v>
      </c>
      <c r="AT1" s="116">
        <f>Revenue!AZ13</f>
        <v>4914856.216</v>
      </c>
      <c r="AU1" s="116">
        <f>Revenue!BA13</f>
        <v>5006077.918</v>
      </c>
      <c r="AV1" s="116">
        <f>Revenue!BB13</f>
        <v>5094952.155</v>
      </c>
      <c r="AW1" s="116">
        <f>Revenue!BC13</f>
        <v>5181837.409</v>
      </c>
      <c r="AX1" s="116">
        <f>Revenue!BD13</f>
        <v>5266964.562</v>
      </c>
      <c r="AY1" s="116">
        <f>Revenue!BE13</f>
        <v>5350509.62</v>
      </c>
      <c r="AZ1" s="116">
        <f>Revenue!BF13</f>
        <v>5432616.125</v>
      </c>
      <c r="BA1" s="116">
        <f>Revenue!BG13</f>
        <v>5513405.239</v>
      </c>
      <c r="BB1" s="116">
        <f>Revenue!BH13</f>
        <v>5592981.632</v>
      </c>
      <c r="BC1" s="116">
        <f>Revenue!BI13</f>
        <v>5671437.41</v>
      </c>
      <c r="BD1" s="116">
        <f>Revenue!BJ13</f>
        <v>5748854.893</v>
      </c>
      <c r="BE1" s="116">
        <f>Revenue!BK13</f>
        <v>5860742.345</v>
      </c>
      <c r="BF1" s="116">
        <f>Revenue!BL13</f>
        <v>5947592.72</v>
      </c>
      <c r="BG1" s="116">
        <f>Revenue!BM13</f>
        <v>6026248.645</v>
      </c>
      <c r="BH1" s="116">
        <f>Revenue!BN13</f>
        <v>6103350.145</v>
      </c>
      <c r="BI1" s="116">
        <f>Revenue!BO13</f>
        <v>6180069.871</v>
      </c>
      <c r="BJ1" s="116">
        <f>Revenue!BP13</f>
        <v>6256437.323</v>
      </c>
      <c r="BK1" s="116">
        <f>Revenue!BQ13</f>
        <v>6332503.361</v>
      </c>
      <c r="BL1" s="116">
        <f>Revenue!BR13</f>
        <v>6408317.12</v>
      </c>
      <c r="BM1" s="116">
        <f>Revenue!BS13</f>
        <v>6483925.121</v>
      </c>
      <c r="BN1" s="116">
        <f>Revenue!BT13</f>
        <v>6559372.097</v>
      </c>
      <c r="BO1" s="116">
        <f>Revenue!BU13</f>
        <v>6634701.496</v>
      </c>
      <c r="BP1" s="116">
        <f>Revenue!BV13</f>
        <v>6709955.734</v>
      </c>
      <c r="BQ1" s="116">
        <f>Revenue!BW13</f>
        <v>6812868.679</v>
      </c>
      <c r="BR1" s="116">
        <f>Revenue!BX13</f>
        <v>6860970.95</v>
      </c>
      <c r="BS1" s="116">
        <f>Revenue!BY13</f>
        <v>6906949.871</v>
      </c>
      <c r="BT1" s="116">
        <f>Revenue!BZ13</f>
        <v>6955328.654</v>
      </c>
      <c r="BU1" s="116">
        <f>Revenue!CA13</f>
        <v>7005105.221</v>
      </c>
      <c r="BV1" s="116">
        <f>Revenue!CB13</f>
        <v>7055526.11</v>
      </c>
      <c r="BW1" s="116">
        <f>Revenue!CC13</f>
        <v>7106276.176</v>
      </c>
      <c r="BX1" s="116">
        <f>Revenue!CD13</f>
        <v>7157194.211</v>
      </c>
      <c r="BY1" s="116">
        <f>Revenue!CE13</f>
        <v>7208189.201</v>
      </c>
      <c r="BZ1" s="116">
        <f>Revenue!CF13</f>
        <v>7259209.016</v>
      </c>
      <c r="CA1" s="116">
        <f>Revenue!CG13</f>
        <v>7310225.906</v>
      </c>
      <c r="CB1" s="116">
        <f>Revenue!CH13</f>
        <v>7361228.504</v>
      </c>
      <c r="CC1" s="116" t="str">
        <f>Revenue!CJ13</f>
        <v/>
      </c>
      <c r="CD1" s="116" t="str">
        <f>Revenue!CK13</f>
        <v/>
      </c>
    </row>
    <row r="2">
      <c r="B2" s="1" t="s">
        <v>328</v>
      </c>
      <c r="C2" s="278">
        <f>Revenue!I15</f>
        <v>-0.1664851914</v>
      </c>
      <c r="D2" s="278">
        <f>Revenue!J15</f>
        <v>-0.03963955955</v>
      </c>
      <c r="E2" s="278">
        <f>Revenue!K15</f>
        <v>0.07958019733</v>
      </c>
      <c r="F2" s="278">
        <f>Revenue!L15</f>
        <v>0.06785234092</v>
      </c>
      <c r="G2" s="278">
        <f>Revenue!M15</f>
        <v>-0.02704239929</v>
      </c>
      <c r="H2" s="278">
        <f>Revenue!N15</f>
        <v>0.1518423508</v>
      </c>
      <c r="I2" s="278">
        <f>Revenue!O15</f>
        <v>0.1235829267</v>
      </c>
      <c r="J2" s="278">
        <f>Revenue!P15</f>
        <v>-0.1390607356</v>
      </c>
      <c r="K2" s="278">
        <f>Revenue!Q15</f>
        <v>0.09581355156</v>
      </c>
      <c r="L2" s="278">
        <f>Revenue!R15</f>
        <v>0.09366674114</v>
      </c>
      <c r="M2" s="278">
        <f>Revenue!S15</f>
        <v>-0.02039612833</v>
      </c>
      <c r="N2" s="278">
        <f>Revenue!T15</f>
        <v>-0.1006217058</v>
      </c>
      <c r="O2" s="278">
        <f>Revenue!U15</f>
        <v>0.0565655739</v>
      </c>
      <c r="P2" s="278">
        <f>Revenue!V15</f>
        <v>0.1821194679</v>
      </c>
      <c r="Q2" s="278">
        <f>Revenue!W15</f>
        <v>-0.0605691374</v>
      </c>
      <c r="R2" s="278">
        <f>Revenue!X15</f>
        <v>-0.1064125537</v>
      </c>
      <c r="S2" s="278">
        <f>Revenue!Y15</f>
        <v>0.002688306933</v>
      </c>
      <c r="T2" s="278">
        <f>Revenue!Z15</f>
        <v>0.3120896271</v>
      </c>
      <c r="U2" s="278">
        <f>Revenue!AA15</f>
        <v>0.1777563403</v>
      </c>
      <c r="V2" s="278">
        <f>Revenue!AB15</f>
        <v>0.1491540744</v>
      </c>
      <c r="W2" s="278">
        <f>Revenue!AC15</f>
        <v>0.1188643308</v>
      </c>
      <c r="X2" s="278">
        <f>Revenue!AD15</f>
        <v>0.1017303936</v>
      </c>
      <c r="Y2" s="278">
        <f>Revenue!AE15</f>
        <v>0.09174445276</v>
      </c>
      <c r="Z2" s="278">
        <f>Revenue!AF15</f>
        <v>0.0845302862</v>
      </c>
      <c r="AA2" s="278">
        <f>Revenue!AG15</f>
        <v>0.07026035169</v>
      </c>
      <c r="AB2" s="278">
        <f>Revenue!AH15</f>
        <v>0.06438076349</v>
      </c>
      <c r="AC2" s="278">
        <f>Revenue!AI15</f>
        <v>0.0592200996</v>
      </c>
      <c r="AD2" s="278">
        <f>Revenue!AJ15</f>
        <v>0.05197357664</v>
      </c>
      <c r="AE2" s="278">
        <f>Revenue!AK15</f>
        <v>0.04892882872</v>
      </c>
      <c r="AF2" s="278">
        <f>Revenue!AL15</f>
        <v>0.0472338081</v>
      </c>
      <c r="AG2" s="278">
        <f>Revenue!AM15</f>
        <v>0.04455898244</v>
      </c>
      <c r="AH2" s="278">
        <f>Revenue!AN15</f>
        <v>0.007597308372</v>
      </c>
      <c r="AI2" s="278">
        <f>Revenue!AO15</f>
        <v>0.01057148499</v>
      </c>
      <c r="AJ2" s="278">
        <f>Revenue!AP15</f>
        <v>0.01355947424</v>
      </c>
      <c r="AK2" s="278">
        <f>Revenue!AQ15</f>
        <v>0.01420259568</v>
      </c>
      <c r="AL2" s="278">
        <f>Revenue!AR15</f>
        <v>0.01456442934</v>
      </c>
      <c r="AM2" s="278">
        <f>Revenue!AS15</f>
        <v>0.01419846673</v>
      </c>
      <c r="AN2" s="278">
        <f>Revenue!AT15</f>
        <v>0.01690141463</v>
      </c>
      <c r="AO2" s="278">
        <f>Revenue!AU15</f>
        <v>0.01341480303</v>
      </c>
      <c r="AP2" s="278">
        <f>Revenue!AV15</f>
        <v>0.01304929552</v>
      </c>
      <c r="AQ2" s="278">
        <f>Revenue!AW15</f>
        <v>0.01270312319</v>
      </c>
      <c r="AR2" s="278">
        <f>Revenue!AX15</f>
        <v>0.01237645588</v>
      </c>
      <c r="AS2" s="278">
        <f>Revenue!AY15</f>
        <v>0.02662841586</v>
      </c>
      <c r="AT2" s="278">
        <f>Revenue!AZ15</f>
        <v>0.01952475318</v>
      </c>
      <c r="AU2" s="278">
        <f>Revenue!BA15</f>
        <v>0.01856040092</v>
      </c>
      <c r="AV2" s="278">
        <f>Revenue!BB15</f>
        <v>0.0177532668</v>
      </c>
      <c r="AW2" s="278">
        <f>Revenue!BC15</f>
        <v>0.01705320316</v>
      </c>
      <c r="AX2" s="278">
        <f>Revenue!BD15</f>
        <v>0.01642798605</v>
      </c>
      <c r="AY2" s="278">
        <f>Revenue!BE15</f>
        <v>0.01586208858</v>
      </c>
      <c r="AZ2" s="278">
        <f>Revenue!BF15</f>
        <v>0.01534554847</v>
      </c>
      <c r="BA2" s="278">
        <f>Revenue!BG15</f>
        <v>0.01487112503</v>
      </c>
      <c r="BB2" s="278">
        <f>Revenue!BH15</f>
        <v>0.01443325682</v>
      </c>
      <c r="BC2" s="278">
        <f>Revenue!BI15</f>
        <v>0.01402754073</v>
      </c>
      <c r="BD2" s="278">
        <f>Revenue!BJ15</f>
        <v>0.0136504166</v>
      </c>
      <c r="BE2" s="278">
        <f>Revenue!BK15</f>
        <v>0.01946256315</v>
      </c>
      <c r="BF2" s="278">
        <f>Revenue!BL15</f>
        <v>0.01481900581</v>
      </c>
      <c r="BG2" s="278">
        <f>Revenue!BM15</f>
        <v>0.01322483377</v>
      </c>
      <c r="BH2" s="278">
        <f>Revenue!BN15</f>
        <v>0.0127942779</v>
      </c>
      <c r="BI2" s="278">
        <f>Revenue!BO15</f>
        <v>0.01257010076</v>
      </c>
      <c r="BJ2" s="278">
        <f>Revenue!BP15</f>
        <v>0.01235705312</v>
      </c>
      <c r="BK2" s="278">
        <f>Revenue!BQ15</f>
        <v>0.0121580437</v>
      </c>
      <c r="BL2" s="278">
        <f>Revenue!BR15</f>
        <v>0.01197216243</v>
      </c>
      <c r="BM2" s="278">
        <f>Revenue!BS15</f>
        <v>0.01179841754</v>
      </c>
      <c r="BN2" s="278">
        <f>Revenue!BT15</f>
        <v>0.01163600361</v>
      </c>
      <c r="BO2" s="278">
        <f>Revenue!BU15</f>
        <v>0.01148423936</v>
      </c>
      <c r="BP2" s="278">
        <f>Revenue!BV15</f>
        <v>0.01134252046</v>
      </c>
      <c r="BQ2" s="278">
        <f>Revenue!BW15</f>
        <v>0.01533735083</v>
      </c>
      <c r="BR2" s="278">
        <f>Revenue!BX15</f>
        <v>0.007060501771</v>
      </c>
      <c r="BS2" s="278">
        <f>Revenue!BY15</f>
        <v>0.006701518048</v>
      </c>
      <c r="BT2" s="278">
        <f>Revenue!BZ15</f>
        <v>0.007004362904</v>
      </c>
      <c r="BU2" s="278">
        <f>Revenue!CA15</f>
        <v>0.007156608903</v>
      </c>
      <c r="BV2" s="278">
        <f>Revenue!CB15</f>
        <v>0.007197734692</v>
      </c>
      <c r="BW2" s="278">
        <f>Revenue!CC15</f>
        <v>0.007192952672</v>
      </c>
      <c r="BX2" s="278">
        <f>Revenue!CD15</f>
        <v>0.007165220399</v>
      </c>
      <c r="BY2" s="278">
        <f>Revenue!CE15</f>
        <v>0.007124997505</v>
      </c>
      <c r="BZ2" s="278">
        <f>Revenue!CF15</f>
        <v>0.007078034869</v>
      </c>
      <c r="CA2" s="278">
        <f>Revenue!CG15</f>
        <v>0.00702788552</v>
      </c>
      <c r="CB2" s="278">
        <f>Revenue!CH15</f>
        <v>0.006976883991</v>
      </c>
      <c r="CC2" s="278" t="str">
        <f>Revenue!CJ15</f>
        <v/>
      </c>
      <c r="CD2" s="278" t="str">
        <f>Revenue!CK15</f>
        <v/>
      </c>
    </row>
    <row r="3">
      <c r="B3" s="6"/>
    </row>
    <row r="4">
      <c r="A4" s="91"/>
      <c r="B4" s="279" t="s">
        <v>498</v>
      </c>
      <c r="C4" s="241">
        <v>44378.0</v>
      </c>
      <c r="D4" s="241">
        <v>44409.0</v>
      </c>
      <c r="E4" s="241">
        <v>44440.0</v>
      </c>
      <c r="F4" s="241">
        <v>44470.0</v>
      </c>
      <c r="G4" s="241">
        <v>44501.0</v>
      </c>
      <c r="H4" s="241">
        <v>44531.0</v>
      </c>
      <c r="I4" s="92">
        <v>44562.0</v>
      </c>
      <c r="J4" s="93">
        <v>44593.0</v>
      </c>
      <c r="K4" s="93">
        <v>44621.0</v>
      </c>
      <c r="L4" s="93">
        <v>44652.0</v>
      </c>
      <c r="M4" s="93">
        <v>44682.0</v>
      </c>
      <c r="N4" s="93">
        <v>44713.0</v>
      </c>
      <c r="O4" s="93">
        <v>44743.0</v>
      </c>
      <c r="P4" s="93">
        <v>44774.0</v>
      </c>
      <c r="Q4" s="95">
        <v>44805.0</v>
      </c>
      <c r="R4" s="95">
        <v>44835.0</v>
      </c>
      <c r="S4" s="95">
        <v>44866.0</v>
      </c>
      <c r="T4" s="95">
        <v>44896.0</v>
      </c>
      <c r="U4" s="150">
        <v>44927.0</v>
      </c>
      <c r="V4" s="97">
        <v>44958.0</v>
      </c>
      <c r="W4" s="97">
        <v>44986.0</v>
      </c>
      <c r="X4" s="97">
        <v>45017.0</v>
      </c>
      <c r="Y4" s="98">
        <v>45047.0</v>
      </c>
      <c r="Z4" s="98">
        <v>45078.0</v>
      </c>
      <c r="AA4" s="98">
        <v>45108.0</v>
      </c>
      <c r="AB4" s="98">
        <v>45139.0</v>
      </c>
      <c r="AC4" s="98">
        <v>45170.0</v>
      </c>
      <c r="AD4" s="98">
        <v>45200.0</v>
      </c>
      <c r="AE4" s="98">
        <v>45231.0</v>
      </c>
      <c r="AF4" s="99">
        <v>45261.0</v>
      </c>
      <c r="AG4" s="100">
        <v>45292.0</v>
      </c>
      <c r="AH4" s="98">
        <v>45323.0</v>
      </c>
      <c r="AI4" s="98">
        <v>45352.0</v>
      </c>
      <c r="AJ4" s="98">
        <v>45383.0</v>
      </c>
      <c r="AK4" s="98">
        <v>45413.0</v>
      </c>
      <c r="AL4" s="98">
        <v>45444.0</v>
      </c>
      <c r="AM4" s="98">
        <v>45474.0</v>
      </c>
      <c r="AN4" s="98">
        <v>45505.0</v>
      </c>
      <c r="AO4" s="98">
        <v>45536.0</v>
      </c>
      <c r="AP4" s="98">
        <v>45566.0</v>
      </c>
      <c r="AQ4" s="98">
        <v>45597.0</v>
      </c>
      <c r="AR4" s="99">
        <v>45627.0</v>
      </c>
      <c r="AS4" s="100">
        <v>45658.0</v>
      </c>
      <c r="AT4" s="98">
        <v>45689.0</v>
      </c>
      <c r="AU4" s="98">
        <v>45717.0</v>
      </c>
      <c r="AV4" s="98">
        <v>45748.0</v>
      </c>
      <c r="AW4" s="98">
        <v>45778.0</v>
      </c>
      <c r="AX4" s="98">
        <v>45809.0</v>
      </c>
      <c r="AY4" s="98">
        <v>45839.0</v>
      </c>
      <c r="AZ4" s="98">
        <v>45870.0</v>
      </c>
      <c r="BA4" s="98">
        <v>45901.0</v>
      </c>
      <c r="BB4" s="98">
        <v>45931.0</v>
      </c>
      <c r="BC4" s="98">
        <v>45962.0</v>
      </c>
      <c r="BD4" s="99">
        <v>45992.0</v>
      </c>
      <c r="BE4" s="100">
        <v>46023.0</v>
      </c>
      <c r="BF4" s="98">
        <v>46054.0</v>
      </c>
      <c r="BG4" s="98">
        <v>46082.0</v>
      </c>
      <c r="BH4" s="98">
        <v>46113.0</v>
      </c>
      <c r="BI4" s="98">
        <v>46143.0</v>
      </c>
      <c r="BJ4" s="98">
        <v>46174.0</v>
      </c>
      <c r="BK4" s="98">
        <v>46204.0</v>
      </c>
      <c r="BL4" s="98">
        <v>46235.0</v>
      </c>
      <c r="BM4" s="98">
        <v>46266.0</v>
      </c>
      <c r="BN4" s="98">
        <v>46296.0</v>
      </c>
      <c r="BO4" s="98">
        <v>46327.0</v>
      </c>
      <c r="BP4" s="99">
        <v>46357.0</v>
      </c>
      <c r="BQ4" s="100">
        <v>46388.0</v>
      </c>
      <c r="BR4" s="98">
        <v>46419.0</v>
      </c>
      <c r="BS4" s="98">
        <v>46447.0</v>
      </c>
      <c r="BT4" s="98">
        <v>46478.0</v>
      </c>
      <c r="BU4" s="98">
        <v>46508.0</v>
      </c>
      <c r="BV4" s="98">
        <v>46539.0</v>
      </c>
      <c r="BW4" s="98">
        <v>46569.0</v>
      </c>
      <c r="BX4" s="98">
        <v>46600.0</v>
      </c>
      <c r="BY4" s="98">
        <v>46631.0</v>
      </c>
      <c r="BZ4" s="98">
        <v>46661.0</v>
      </c>
      <c r="CA4" s="98">
        <v>46692.0</v>
      </c>
      <c r="CB4" s="99">
        <v>46722.0</v>
      </c>
      <c r="CC4" s="100"/>
      <c r="CD4" s="280"/>
    </row>
    <row r="5">
      <c r="B5" s="6"/>
    </row>
    <row r="6">
      <c r="A6" s="115" t="s">
        <v>499</v>
      </c>
      <c r="B6" s="6"/>
    </row>
    <row r="7">
      <c r="B7" s="6"/>
    </row>
    <row r="8">
      <c r="A8" s="1" t="s">
        <v>500</v>
      </c>
      <c r="B8" s="6"/>
      <c r="C8" s="247">
        <f t="shared" ref="C8:S8" si="1">C48</f>
        <v>5302</v>
      </c>
      <c r="D8" s="247">
        <f t="shared" si="1"/>
        <v>4642</v>
      </c>
      <c r="E8" s="247">
        <f t="shared" si="1"/>
        <v>6482</v>
      </c>
      <c r="F8" s="247">
        <f t="shared" si="1"/>
        <v>5298</v>
      </c>
      <c r="G8" s="247">
        <f t="shared" si="1"/>
        <v>6283</v>
      </c>
      <c r="H8" s="247">
        <f t="shared" si="1"/>
        <v>9733</v>
      </c>
      <c r="I8" s="247">
        <f t="shared" si="1"/>
        <v>19881</v>
      </c>
      <c r="J8" s="247">
        <f t="shared" si="1"/>
        <v>15123</v>
      </c>
      <c r="K8" s="247">
        <f t="shared" si="1"/>
        <v>22022</v>
      </c>
      <c r="L8" s="247">
        <f t="shared" si="1"/>
        <v>18333</v>
      </c>
      <c r="M8" s="247">
        <f t="shared" si="1"/>
        <v>13814</v>
      </c>
      <c r="N8" s="247">
        <f t="shared" si="1"/>
        <v>23104</v>
      </c>
      <c r="O8" s="247">
        <f t="shared" si="1"/>
        <v>17891</v>
      </c>
      <c r="P8" s="247">
        <f t="shared" si="1"/>
        <v>5314</v>
      </c>
      <c r="Q8" s="247">
        <f t="shared" si="1"/>
        <v>4820</v>
      </c>
      <c r="R8" s="247">
        <f t="shared" si="1"/>
        <v>5419</v>
      </c>
      <c r="S8" s="247">
        <f t="shared" si="1"/>
        <v>4843</v>
      </c>
      <c r="T8" s="117">
        <v>136276.24869661254</v>
      </c>
      <c r="U8" s="117">
        <v>130735.62104703327</v>
      </c>
      <c r="V8" s="117">
        <f t="shared" ref="V8:CB8" si="2">V12+V9</f>
        <v>99788.09197</v>
      </c>
      <c r="W8" s="117">
        <f t="shared" si="2"/>
        <v>100374.6627</v>
      </c>
      <c r="X8" s="117">
        <f t="shared" si="2"/>
        <v>100935.2953</v>
      </c>
      <c r="Y8" s="117">
        <f t="shared" si="2"/>
        <v>101454.4251</v>
      </c>
      <c r="Z8" s="117">
        <f t="shared" si="2"/>
        <v>102920.3556</v>
      </c>
      <c r="AA8" s="117">
        <f t="shared" si="2"/>
        <v>104368.474</v>
      </c>
      <c r="AB8" s="117">
        <f t="shared" si="2"/>
        <v>105827.6003</v>
      </c>
      <c r="AC8" s="117">
        <f t="shared" si="2"/>
        <v>107291.4909</v>
      </c>
      <c r="AD8" s="117">
        <f t="shared" si="2"/>
        <v>108725.55</v>
      </c>
      <c r="AE8" s="117">
        <f t="shared" si="2"/>
        <v>110149.9645</v>
      </c>
      <c r="AF8" s="117">
        <f t="shared" si="2"/>
        <v>65199.56901</v>
      </c>
      <c r="AG8" s="117">
        <f t="shared" si="2"/>
        <v>72629.81139</v>
      </c>
      <c r="AH8" s="117">
        <f t="shared" si="2"/>
        <v>73420.3361</v>
      </c>
      <c r="AI8" s="117">
        <f t="shared" si="2"/>
        <v>74159.3773</v>
      </c>
      <c r="AJ8" s="117">
        <f t="shared" si="2"/>
        <v>74941.22783</v>
      </c>
      <c r="AK8" s="117">
        <f t="shared" si="2"/>
        <v>75744.08607</v>
      </c>
      <c r="AL8" s="117">
        <f t="shared" si="2"/>
        <v>76561.96901</v>
      </c>
      <c r="AM8" s="117">
        <f t="shared" si="2"/>
        <v>77383.24417</v>
      </c>
      <c r="AN8" s="117">
        <f t="shared" si="2"/>
        <v>78307.17232</v>
      </c>
      <c r="AO8" s="117">
        <f t="shared" si="2"/>
        <v>79131.48467</v>
      </c>
      <c r="AP8" s="117">
        <f t="shared" si="2"/>
        <v>79957.49345</v>
      </c>
      <c r="AQ8" s="117">
        <f t="shared" si="2"/>
        <v>80785.73289</v>
      </c>
      <c r="AR8" s="117">
        <f t="shared" si="2"/>
        <v>81616.66028</v>
      </c>
      <c r="AS8" s="117">
        <f t="shared" si="2"/>
        <v>88824.1617</v>
      </c>
      <c r="AT8" s="117">
        <f t="shared" si="2"/>
        <v>89913.47887</v>
      </c>
      <c r="AU8" s="117">
        <f t="shared" si="2"/>
        <v>90997.88837</v>
      </c>
      <c r="AV8" s="117">
        <f t="shared" si="2"/>
        <v>92077.48621</v>
      </c>
      <c r="AW8" s="117">
        <f t="shared" si="2"/>
        <v>93153.9927</v>
      </c>
      <c r="AX8" s="117">
        <f t="shared" si="2"/>
        <v>94228.49183</v>
      </c>
      <c r="AY8" s="117">
        <f t="shared" si="2"/>
        <v>95301.79548</v>
      </c>
      <c r="AZ8" s="117">
        <f t="shared" si="2"/>
        <v>96374.57355</v>
      </c>
      <c r="BA8" s="117">
        <f t="shared" si="2"/>
        <v>97447.40828</v>
      </c>
      <c r="BB8" s="117">
        <f t="shared" si="2"/>
        <v>98520.82099</v>
      </c>
      <c r="BC8" s="117">
        <f t="shared" si="2"/>
        <v>99595.28738</v>
      </c>
      <c r="BD8" s="117">
        <f t="shared" si="2"/>
        <v>100671.2475</v>
      </c>
      <c r="BE8" s="117">
        <f t="shared" si="2"/>
        <v>136082.3852</v>
      </c>
      <c r="BF8" s="117">
        <f t="shared" si="2"/>
        <v>137682.389</v>
      </c>
      <c r="BG8" s="117">
        <f t="shared" si="2"/>
        <v>139140.5203</v>
      </c>
      <c r="BH8" s="117">
        <f t="shared" si="2"/>
        <v>140571.5739</v>
      </c>
      <c r="BI8" s="117">
        <f t="shared" si="2"/>
        <v>142001.4079</v>
      </c>
      <c r="BJ8" s="117">
        <f t="shared" si="2"/>
        <v>143431.7683</v>
      </c>
      <c r="BK8" s="117">
        <f t="shared" si="2"/>
        <v>144864.0525</v>
      </c>
      <c r="BL8" s="117">
        <f t="shared" si="2"/>
        <v>146299.365</v>
      </c>
      <c r="BM8" s="117">
        <f t="shared" si="2"/>
        <v>147738.6121</v>
      </c>
      <c r="BN8" s="117">
        <f t="shared" si="2"/>
        <v>149182.5633</v>
      </c>
      <c r="BO8" s="117">
        <f t="shared" si="2"/>
        <v>150631.8897</v>
      </c>
      <c r="BP8" s="117">
        <f t="shared" si="2"/>
        <v>152087.1896</v>
      </c>
      <c r="BQ8" s="117">
        <f t="shared" si="2"/>
        <v>178314.6296</v>
      </c>
      <c r="BR8" s="117">
        <f t="shared" si="2"/>
        <v>178905.0387</v>
      </c>
      <c r="BS8" s="117">
        <f t="shared" si="2"/>
        <v>179562.5317</v>
      </c>
      <c r="BT8" s="117">
        <f t="shared" si="2"/>
        <v>180423.3619</v>
      </c>
      <c r="BU8" s="117">
        <f t="shared" si="2"/>
        <v>181443.6219</v>
      </c>
      <c r="BV8" s="117">
        <f t="shared" si="2"/>
        <v>182579.0111</v>
      </c>
      <c r="BW8" s="117">
        <f t="shared" si="2"/>
        <v>183800.7019</v>
      </c>
      <c r="BX8" s="117">
        <f t="shared" si="2"/>
        <v>185088.5657</v>
      </c>
      <c r="BY8" s="117">
        <f t="shared" si="2"/>
        <v>186428.0877</v>
      </c>
      <c r="BZ8" s="117">
        <f t="shared" si="2"/>
        <v>187808.6544</v>
      </c>
      <c r="CA8" s="117">
        <f t="shared" si="2"/>
        <v>189222.4652</v>
      </c>
      <c r="CB8" s="117">
        <f t="shared" si="2"/>
        <v>190663.7847</v>
      </c>
      <c r="CC8" s="117"/>
      <c r="CD8" s="117"/>
    </row>
    <row r="9">
      <c r="A9" s="1" t="s">
        <v>501</v>
      </c>
      <c r="B9" s="6"/>
      <c r="C9" s="247"/>
      <c r="D9" s="247"/>
      <c r="E9" s="247"/>
      <c r="F9" s="247"/>
      <c r="G9" s="247"/>
      <c r="H9" s="249"/>
      <c r="I9" s="249"/>
      <c r="J9" s="249"/>
      <c r="K9" s="249"/>
      <c r="L9" s="249"/>
      <c r="M9" s="249"/>
      <c r="N9" s="249"/>
      <c r="O9" s="249"/>
      <c r="P9" s="249"/>
      <c r="Q9" s="249"/>
      <c r="R9" s="249"/>
      <c r="S9" s="249"/>
      <c r="T9" s="246">
        <v>95000.0</v>
      </c>
      <c r="U9" s="246">
        <f t="shared" ref="U9:CB9" si="3">(1+U10)*T9</f>
        <v>95000</v>
      </c>
      <c r="V9" s="246">
        <f t="shared" si="3"/>
        <v>95000</v>
      </c>
      <c r="W9" s="246">
        <f t="shared" si="3"/>
        <v>95000</v>
      </c>
      <c r="X9" s="246">
        <f t="shared" si="3"/>
        <v>95000</v>
      </c>
      <c r="Y9" s="246">
        <f t="shared" si="3"/>
        <v>95000</v>
      </c>
      <c r="Z9" s="246">
        <f t="shared" si="3"/>
        <v>95950</v>
      </c>
      <c r="AA9" s="246">
        <f t="shared" si="3"/>
        <v>96909.5</v>
      </c>
      <c r="AB9" s="246">
        <f t="shared" si="3"/>
        <v>97878.595</v>
      </c>
      <c r="AC9" s="246">
        <f t="shared" si="3"/>
        <v>98857.38095</v>
      </c>
      <c r="AD9" s="246">
        <f t="shared" si="3"/>
        <v>99845.95476</v>
      </c>
      <c r="AE9" s="246">
        <f t="shared" si="3"/>
        <v>100844.4143</v>
      </c>
      <c r="AF9" s="246">
        <f t="shared" si="3"/>
        <v>55464.42787</v>
      </c>
      <c r="AG9" s="246">
        <f t="shared" si="3"/>
        <v>56019.07215</v>
      </c>
      <c r="AH9" s="246">
        <f t="shared" si="3"/>
        <v>56579.26287</v>
      </c>
      <c r="AI9" s="246">
        <f t="shared" si="3"/>
        <v>57145.0555</v>
      </c>
      <c r="AJ9" s="246">
        <f t="shared" si="3"/>
        <v>57716.50605</v>
      </c>
      <c r="AK9" s="246">
        <f t="shared" si="3"/>
        <v>58293.67111</v>
      </c>
      <c r="AL9" s="246">
        <f t="shared" si="3"/>
        <v>58876.60782</v>
      </c>
      <c r="AM9" s="246">
        <f t="shared" si="3"/>
        <v>59465.3739</v>
      </c>
      <c r="AN9" s="246">
        <f t="shared" si="3"/>
        <v>60060.02764</v>
      </c>
      <c r="AO9" s="246">
        <f t="shared" si="3"/>
        <v>60660.62792</v>
      </c>
      <c r="AP9" s="246">
        <f t="shared" si="3"/>
        <v>61267.2342</v>
      </c>
      <c r="AQ9" s="246">
        <f t="shared" si="3"/>
        <v>61879.90654</v>
      </c>
      <c r="AR9" s="246">
        <f t="shared" si="3"/>
        <v>62498.7056</v>
      </c>
      <c r="AS9" s="246">
        <f t="shared" si="3"/>
        <v>63123.69266</v>
      </c>
      <c r="AT9" s="246">
        <f t="shared" si="3"/>
        <v>63754.92959</v>
      </c>
      <c r="AU9" s="246">
        <f t="shared" si="3"/>
        <v>64392.47888</v>
      </c>
      <c r="AV9" s="246">
        <f t="shared" si="3"/>
        <v>65036.40367</v>
      </c>
      <c r="AW9" s="246">
        <f t="shared" si="3"/>
        <v>65686.76771</v>
      </c>
      <c r="AX9" s="246">
        <f t="shared" si="3"/>
        <v>66343.63539</v>
      </c>
      <c r="AY9" s="246">
        <f t="shared" si="3"/>
        <v>67007.07174</v>
      </c>
      <c r="AZ9" s="246">
        <f t="shared" si="3"/>
        <v>67677.14246</v>
      </c>
      <c r="BA9" s="246">
        <f t="shared" si="3"/>
        <v>68353.91388</v>
      </c>
      <c r="BB9" s="246">
        <f t="shared" si="3"/>
        <v>69037.45302</v>
      </c>
      <c r="BC9" s="246">
        <f t="shared" si="3"/>
        <v>69727.82755</v>
      </c>
      <c r="BD9" s="246">
        <f t="shared" si="3"/>
        <v>70425.10583</v>
      </c>
      <c r="BE9" s="246">
        <f t="shared" si="3"/>
        <v>71129.35688</v>
      </c>
      <c r="BF9" s="246">
        <f t="shared" si="3"/>
        <v>71840.65045</v>
      </c>
      <c r="BG9" s="246">
        <f t="shared" si="3"/>
        <v>72559.05696</v>
      </c>
      <c r="BH9" s="246">
        <f t="shared" si="3"/>
        <v>73284.64753</v>
      </c>
      <c r="BI9" s="246">
        <f t="shared" si="3"/>
        <v>74017.494</v>
      </c>
      <c r="BJ9" s="246">
        <f t="shared" si="3"/>
        <v>74757.66894</v>
      </c>
      <c r="BK9" s="246">
        <f t="shared" si="3"/>
        <v>75505.24563</v>
      </c>
      <c r="BL9" s="246">
        <f t="shared" si="3"/>
        <v>76260.29809</v>
      </c>
      <c r="BM9" s="246">
        <f t="shared" si="3"/>
        <v>77022.90107</v>
      </c>
      <c r="BN9" s="246">
        <f t="shared" si="3"/>
        <v>77793.13008</v>
      </c>
      <c r="BO9" s="246">
        <f t="shared" si="3"/>
        <v>78571.06138</v>
      </c>
      <c r="BP9" s="246">
        <f t="shared" si="3"/>
        <v>79356.77199</v>
      </c>
      <c r="BQ9" s="246">
        <f t="shared" si="3"/>
        <v>80150.33971</v>
      </c>
      <c r="BR9" s="246">
        <f t="shared" si="3"/>
        <v>80951.84311</v>
      </c>
      <c r="BS9" s="246">
        <f t="shared" si="3"/>
        <v>81761.36154</v>
      </c>
      <c r="BT9" s="246">
        <f t="shared" si="3"/>
        <v>82578.97516</v>
      </c>
      <c r="BU9" s="246">
        <f t="shared" si="3"/>
        <v>83404.76491</v>
      </c>
      <c r="BV9" s="246">
        <f t="shared" si="3"/>
        <v>84238.81256</v>
      </c>
      <c r="BW9" s="246">
        <f t="shared" si="3"/>
        <v>85081.20068</v>
      </c>
      <c r="BX9" s="246">
        <f t="shared" si="3"/>
        <v>85932.01269</v>
      </c>
      <c r="BY9" s="246">
        <f t="shared" si="3"/>
        <v>86791.33282</v>
      </c>
      <c r="BZ9" s="246">
        <f t="shared" si="3"/>
        <v>87659.24615</v>
      </c>
      <c r="CA9" s="246">
        <f t="shared" si="3"/>
        <v>88535.83861</v>
      </c>
      <c r="CB9" s="246">
        <f t="shared" si="3"/>
        <v>89421.19699</v>
      </c>
      <c r="CC9" s="249"/>
      <c r="CD9" s="249"/>
    </row>
    <row r="10">
      <c r="A10" s="1" t="s">
        <v>502</v>
      </c>
      <c r="B10" s="6"/>
      <c r="C10" s="5"/>
      <c r="D10" s="5"/>
      <c r="E10" s="5"/>
      <c r="F10" s="5"/>
      <c r="G10" s="5"/>
      <c r="H10" s="117"/>
      <c r="I10" s="117"/>
      <c r="J10" s="117"/>
      <c r="K10" s="117"/>
      <c r="L10" s="117"/>
      <c r="M10" s="117"/>
      <c r="N10" s="117"/>
      <c r="O10" s="117"/>
      <c r="P10" s="117"/>
      <c r="Q10" s="117"/>
      <c r="R10" s="117"/>
      <c r="S10" s="117"/>
      <c r="T10" s="117"/>
      <c r="U10" s="281">
        <v>0.0</v>
      </c>
      <c r="V10" s="281">
        <v>0.0</v>
      </c>
      <c r="W10" s="281">
        <v>0.0</v>
      </c>
      <c r="X10" s="281">
        <v>0.0</v>
      </c>
      <c r="Y10" s="281">
        <v>0.0</v>
      </c>
      <c r="Z10" s="281">
        <v>0.01</v>
      </c>
      <c r="AA10" s="281">
        <v>0.01</v>
      </c>
      <c r="AB10" s="281">
        <v>0.01</v>
      </c>
      <c r="AC10" s="281">
        <v>0.01</v>
      </c>
      <c r="AD10" s="281">
        <v>0.01</v>
      </c>
      <c r="AE10" s="281">
        <v>0.01</v>
      </c>
      <c r="AF10" s="281">
        <v>-0.45</v>
      </c>
      <c r="AG10" s="281">
        <v>0.01</v>
      </c>
      <c r="AH10" s="281">
        <v>0.01</v>
      </c>
      <c r="AI10" s="281">
        <v>0.01</v>
      </c>
      <c r="AJ10" s="281">
        <v>0.01</v>
      </c>
      <c r="AK10" s="281">
        <v>0.01</v>
      </c>
      <c r="AL10" s="281">
        <v>0.01</v>
      </c>
      <c r="AM10" s="281">
        <v>0.01</v>
      </c>
      <c r="AN10" s="281">
        <v>0.01</v>
      </c>
      <c r="AO10" s="281">
        <v>0.01</v>
      </c>
      <c r="AP10" s="281">
        <v>0.01</v>
      </c>
      <c r="AQ10" s="281">
        <v>0.01</v>
      </c>
      <c r="AR10" s="281">
        <v>0.01</v>
      </c>
      <c r="AS10" s="281">
        <v>0.01</v>
      </c>
      <c r="AT10" s="281">
        <v>0.01</v>
      </c>
      <c r="AU10" s="281">
        <v>0.01</v>
      </c>
      <c r="AV10" s="281">
        <v>0.01</v>
      </c>
      <c r="AW10" s="281">
        <v>0.01</v>
      </c>
      <c r="AX10" s="281">
        <v>0.01</v>
      </c>
      <c r="AY10" s="281">
        <v>0.01</v>
      </c>
      <c r="AZ10" s="281">
        <v>0.01</v>
      </c>
      <c r="BA10" s="281">
        <v>0.01</v>
      </c>
      <c r="BB10" s="281">
        <v>0.01</v>
      </c>
      <c r="BC10" s="281">
        <v>0.01</v>
      </c>
      <c r="BD10" s="281">
        <v>0.01</v>
      </c>
      <c r="BE10" s="281">
        <v>0.01</v>
      </c>
      <c r="BF10" s="281">
        <v>0.01</v>
      </c>
      <c r="BG10" s="281">
        <v>0.01</v>
      </c>
      <c r="BH10" s="281">
        <v>0.01</v>
      </c>
      <c r="BI10" s="281">
        <v>0.01</v>
      </c>
      <c r="BJ10" s="281">
        <v>0.01</v>
      </c>
      <c r="BK10" s="281">
        <v>0.01</v>
      </c>
      <c r="BL10" s="281">
        <v>0.01</v>
      </c>
      <c r="BM10" s="281">
        <v>0.01</v>
      </c>
      <c r="BN10" s="281">
        <v>0.01</v>
      </c>
      <c r="BO10" s="281">
        <v>0.01</v>
      </c>
      <c r="BP10" s="281">
        <v>0.01</v>
      </c>
      <c r="BQ10" s="281">
        <v>0.01</v>
      </c>
      <c r="BR10" s="281">
        <v>0.01</v>
      </c>
      <c r="BS10" s="281">
        <v>0.01</v>
      </c>
      <c r="BT10" s="281">
        <v>0.01</v>
      </c>
      <c r="BU10" s="281">
        <v>0.01</v>
      </c>
      <c r="BV10" s="281">
        <v>0.01</v>
      </c>
      <c r="BW10" s="281">
        <v>0.01</v>
      </c>
      <c r="BX10" s="281">
        <v>0.01</v>
      </c>
      <c r="BY10" s="281">
        <v>0.01</v>
      </c>
      <c r="BZ10" s="281">
        <v>0.01</v>
      </c>
      <c r="CA10" s="281">
        <v>0.01</v>
      </c>
      <c r="CB10" s="281">
        <v>0.01</v>
      </c>
      <c r="CC10" s="117"/>
      <c r="CD10" s="117"/>
    </row>
    <row r="11">
      <c r="A11" s="132"/>
      <c r="B11" s="282"/>
      <c r="C11" s="247"/>
      <c r="D11" s="247"/>
      <c r="E11" s="247"/>
      <c r="F11" s="247"/>
      <c r="G11" s="247"/>
      <c r="H11" s="247"/>
      <c r="I11" s="247"/>
      <c r="J11" s="247"/>
      <c r="K11" s="247"/>
      <c r="L11" s="247"/>
      <c r="M11" s="247"/>
      <c r="N11" s="247"/>
      <c r="O11" s="247"/>
      <c r="P11" s="247"/>
      <c r="Q11" s="247"/>
      <c r="R11" s="247"/>
      <c r="S11" s="247"/>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7"/>
      <c r="CD11" s="117"/>
    </row>
    <row r="12">
      <c r="A12" s="132" t="s">
        <v>215</v>
      </c>
      <c r="B12" s="282"/>
      <c r="C12" s="247">
        <f t="array" ref="C12">INDEX('IS Proforma'!$1:$1048490,MATCH(Expenses!$A12,'IS Proforma'!$C:$C,0),MATCH(Expenses!C$4,'IS Proforma'!$4:$4))</f>
        <v>2083</v>
      </c>
      <c r="D12" s="247">
        <f t="array" ref="D12">INDEX('IS Proforma'!$1:$1048490,MATCH(Expenses!$A12,'IS Proforma'!$C:$C,0),MATCH(Expenses!D$4,'IS Proforma'!$4:$4))</f>
        <v>1448</v>
      </c>
      <c r="E12" s="247">
        <f t="array" ref="E12">INDEX('IS Proforma'!$1:$1048490,MATCH(Expenses!$A12,'IS Proforma'!$C:$C,0),MATCH(Expenses!E$4,'IS Proforma'!$4:$4))</f>
        <v>2059</v>
      </c>
      <c r="F12" s="247">
        <f t="array" ref="F12">INDEX('IS Proforma'!$1:$1048490,MATCH(Expenses!$A12,'IS Proforma'!$C:$C,0),MATCH(Expenses!F$4,'IS Proforma'!$4:$4))</f>
        <v>1404</v>
      </c>
      <c r="G12" s="247">
        <f t="array" ref="G12">INDEX('IS Proforma'!$1:$1048490,MATCH(Expenses!$A12,'IS Proforma'!$C:$C,0),MATCH(Expenses!G$4,'IS Proforma'!$4:$4))</f>
        <v>2081</v>
      </c>
      <c r="H12" s="247">
        <f t="array" ref="H12">INDEX('IS Proforma'!$1:$1048490,MATCH(Expenses!$A12,'IS Proforma'!$C:$C,0),MATCH(Expenses!H$4,'IS Proforma'!$4:$4))</f>
        <v>1884</v>
      </c>
      <c r="I12" s="247">
        <f t="array" ref="I12">INDEX('IS Proforma'!$1:$1048490,MATCH(Expenses!$A12,'IS Proforma'!$C:$C,0),MATCH(Expenses!I$4,'IS Proforma'!$4:$4))</f>
        <v>2450</v>
      </c>
      <c r="J12" s="247">
        <f t="array" ref="J12">INDEX('IS Proforma'!$1:$1048490,MATCH(Expenses!$A12,'IS Proforma'!$C:$C,0),MATCH(Expenses!J$4,'IS Proforma'!$4:$4))</f>
        <v>1975</v>
      </c>
      <c r="K12" s="247">
        <f t="array" ref="K12">INDEX('IS Proforma'!$1:$1048490,MATCH(Expenses!$A12,'IS Proforma'!$C:$C,0),MATCH(Expenses!K$4,'IS Proforma'!$4:$4))</f>
        <v>2474</v>
      </c>
      <c r="L12" s="247">
        <f t="array" ref="L12">INDEX('IS Proforma'!$1:$1048490,MATCH(Expenses!$A12,'IS Proforma'!$C:$C,0),MATCH(Expenses!L$4,'IS Proforma'!$4:$4))</f>
        <v>2340</v>
      </c>
      <c r="M12" s="247">
        <f t="array" ref="M12">INDEX('IS Proforma'!$1:$1048490,MATCH(Expenses!$A12,'IS Proforma'!$C:$C,0),MATCH(Expenses!M$4,'IS Proforma'!$4:$4))</f>
        <v>2418</v>
      </c>
      <c r="N12" s="247">
        <f t="array" ref="N12">INDEX('IS Proforma'!$1:$1048490,MATCH(Expenses!$A12,'IS Proforma'!$C:$C,0),MATCH(Expenses!N$4,'IS Proforma'!$4:$4))</f>
        <v>1630</v>
      </c>
      <c r="O12" s="247">
        <f t="array" ref="O12">INDEX('IS Proforma'!$1:$1048490,MATCH(Expenses!$A12,'IS Proforma'!$C:$C,0),MATCH(Expenses!O$4,'IS Proforma'!$4:$4))</f>
        <v>2073</v>
      </c>
      <c r="P12" s="247">
        <f t="array" ref="P12">INDEX('IS Proforma'!$1:$1048490,MATCH(Expenses!$A12,'IS Proforma'!$C:$C,0),MATCH(Expenses!P$4,'IS Proforma'!$4:$4))</f>
        <v>1910</v>
      </c>
      <c r="Q12" s="247">
        <f t="array" ref="Q12">INDEX('IS Proforma'!$1:$1048490,MATCH(Expenses!$A12,'IS Proforma'!$C:$C,0),MATCH(Expenses!Q$4,'IS Proforma'!$4:$4))</f>
        <v>1214</v>
      </c>
      <c r="R12" s="247">
        <f t="array" ref="R12">INDEX('IS Proforma'!$1:$1048490,MATCH(Expenses!$A12,'IS Proforma'!$C:$C,0),MATCH(Expenses!R$4,'IS Proforma'!$4:$4))</f>
        <v>1332</v>
      </c>
      <c r="S12" s="247">
        <f t="array" ref="S12">INDEX('IS Proforma'!$1:$1048490,MATCH(Expenses!$A12,'IS Proforma'!$C:$C,0),MATCH(Expenses!S$4,'IS Proforma'!$4:$4))</f>
        <v>1186</v>
      </c>
      <c r="T12" s="116">
        <f>Headcount!S190</f>
        <v>8011.36665</v>
      </c>
      <c r="U12" s="116">
        <f>Headcount!T190</f>
        <v>4155.216578</v>
      </c>
      <c r="V12" s="116">
        <f>Headcount!U190</f>
        <v>4788.091968</v>
      </c>
      <c r="W12" s="116">
        <f>Headcount!V190</f>
        <v>5374.662657</v>
      </c>
      <c r="X12" s="116">
        <f>Headcount!W190</f>
        <v>5935.295274</v>
      </c>
      <c r="Y12" s="116">
        <f>Headcount!X190</f>
        <v>6454.425123</v>
      </c>
      <c r="Z12" s="116">
        <f>Headcount!Y190</f>
        <v>6970.355608</v>
      </c>
      <c r="AA12" s="116">
        <f>Headcount!Z190</f>
        <v>7458.974007</v>
      </c>
      <c r="AB12" s="116">
        <f>Headcount!AA190</f>
        <v>7949.00532</v>
      </c>
      <c r="AC12" s="116">
        <f>Headcount!AB190</f>
        <v>8434.109954</v>
      </c>
      <c r="AD12" s="116">
        <f>Headcount!AC190</f>
        <v>8879.595258</v>
      </c>
      <c r="AE12" s="116">
        <f>Headcount!AD190</f>
        <v>9305.55021</v>
      </c>
      <c r="AF12" s="116">
        <f>Headcount!AE190</f>
        <v>9735.141139</v>
      </c>
      <c r="AG12" s="116">
        <f>Headcount!AF190</f>
        <v>16610.73924</v>
      </c>
      <c r="AH12" s="116">
        <f>Headcount!AG190</f>
        <v>16841.07323</v>
      </c>
      <c r="AI12" s="116">
        <f>Headcount!AH190</f>
        <v>17014.32181</v>
      </c>
      <c r="AJ12" s="116">
        <f>Headcount!AI190</f>
        <v>17224.72177</v>
      </c>
      <c r="AK12" s="116">
        <f>Headcount!AJ190</f>
        <v>17450.41496</v>
      </c>
      <c r="AL12" s="116">
        <f>Headcount!AK190</f>
        <v>17685.36119</v>
      </c>
      <c r="AM12" s="116">
        <f>Headcount!AL190</f>
        <v>17917.87027</v>
      </c>
      <c r="AN12" s="116">
        <f>Headcount!AM190</f>
        <v>18247.14468</v>
      </c>
      <c r="AO12" s="116">
        <f>Headcount!AN190</f>
        <v>18470.85675</v>
      </c>
      <c r="AP12" s="116">
        <f>Headcount!AO190</f>
        <v>18690.25925</v>
      </c>
      <c r="AQ12" s="116">
        <f>Headcount!AP190</f>
        <v>18905.82635</v>
      </c>
      <c r="AR12" s="116">
        <f>Headcount!AQ190</f>
        <v>19117.95467</v>
      </c>
      <c r="AS12" s="116">
        <f>Headcount!AR190</f>
        <v>25700.46904</v>
      </c>
      <c r="AT12" s="116">
        <f>Headcount!AS190</f>
        <v>26158.54929</v>
      </c>
      <c r="AU12" s="116">
        <f>Headcount!AT190</f>
        <v>26605.40948</v>
      </c>
      <c r="AV12" s="116">
        <f>Headcount!AU190</f>
        <v>27041.08254</v>
      </c>
      <c r="AW12" s="116">
        <f>Headcount!AV190</f>
        <v>27467.225</v>
      </c>
      <c r="AX12" s="116">
        <f>Headcount!AW190</f>
        <v>27884.85644</v>
      </c>
      <c r="AY12" s="116">
        <f>Headcount!AX190</f>
        <v>28294.72374</v>
      </c>
      <c r="AZ12" s="116">
        <f>Headcount!AY190</f>
        <v>28697.43109</v>
      </c>
      <c r="BA12" s="116">
        <f>Headcount!AZ190</f>
        <v>29093.4944</v>
      </c>
      <c r="BB12" s="116">
        <f>Headcount!BA190</f>
        <v>29483.36797</v>
      </c>
      <c r="BC12" s="116">
        <f>Headcount!BB190</f>
        <v>29867.45983</v>
      </c>
      <c r="BD12" s="116">
        <f>Headcount!BC190</f>
        <v>30246.14163</v>
      </c>
      <c r="BE12" s="116">
        <f>Headcount!BD190</f>
        <v>64953.02835</v>
      </c>
      <c r="BF12" s="116">
        <f>Headcount!BE190</f>
        <v>65841.73851</v>
      </c>
      <c r="BG12" s="116">
        <f>Headcount!BF190</f>
        <v>66581.4633</v>
      </c>
      <c r="BH12" s="116">
        <f>Headcount!BG190</f>
        <v>67286.92639</v>
      </c>
      <c r="BI12" s="116">
        <f>Headcount!BH190</f>
        <v>67983.91392</v>
      </c>
      <c r="BJ12" s="116">
        <f>Headcount!BI190</f>
        <v>68674.09932</v>
      </c>
      <c r="BK12" s="116">
        <f>Headcount!BJ190</f>
        <v>69358.80686</v>
      </c>
      <c r="BL12" s="116">
        <f>Headcount!BK190</f>
        <v>70039.06692</v>
      </c>
      <c r="BM12" s="116">
        <f>Headcount!BL190</f>
        <v>70715.71103</v>
      </c>
      <c r="BN12" s="116">
        <f>Headcount!BM190</f>
        <v>71389.43322</v>
      </c>
      <c r="BO12" s="116">
        <f>Headcount!BN190</f>
        <v>72060.82836</v>
      </c>
      <c r="BP12" s="116">
        <f>Headcount!BO190</f>
        <v>72730.41757</v>
      </c>
      <c r="BQ12" s="116">
        <f>Headcount!BP190</f>
        <v>98164.28985</v>
      </c>
      <c r="BR12" s="116">
        <f>Headcount!BQ190</f>
        <v>97953.19563</v>
      </c>
      <c r="BS12" s="116">
        <f>Headcount!BR190</f>
        <v>97801.1702</v>
      </c>
      <c r="BT12" s="116">
        <f>Headcount!BS190</f>
        <v>97844.38673</v>
      </c>
      <c r="BU12" s="116">
        <f>Headcount!BT190</f>
        <v>98038.857</v>
      </c>
      <c r="BV12" s="116">
        <f>Headcount!BU190</f>
        <v>98340.19854</v>
      </c>
      <c r="BW12" s="116">
        <f>Headcount!BV190</f>
        <v>98719.50126</v>
      </c>
      <c r="BX12" s="116">
        <f>Headcount!BW190</f>
        <v>99156.55297</v>
      </c>
      <c r="BY12" s="116">
        <f>Headcount!BX190</f>
        <v>99636.75486</v>
      </c>
      <c r="BZ12" s="116">
        <f>Headcount!BY190</f>
        <v>100149.4082</v>
      </c>
      <c r="CA12" s="116">
        <f>Headcount!BZ190</f>
        <v>100686.6266</v>
      </c>
      <c r="CB12" s="116">
        <f>Headcount!CA190</f>
        <v>101242.5877</v>
      </c>
      <c r="CC12" s="117"/>
      <c r="CD12" s="117"/>
    </row>
    <row r="13">
      <c r="A13" s="257"/>
      <c r="B13" s="283"/>
      <c r="C13" s="247"/>
      <c r="D13" s="247"/>
      <c r="E13" s="247"/>
      <c r="F13" s="247"/>
      <c r="G13" s="247"/>
      <c r="H13" s="247"/>
      <c r="I13" s="247"/>
      <c r="J13" s="247"/>
      <c r="K13" s="247"/>
      <c r="L13" s="247"/>
      <c r="M13" s="247"/>
      <c r="N13" s="247"/>
      <c r="O13" s="247"/>
      <c r="P13" s="117"/>
      <c r="Q13" s="117"/>
      <c r="R13" s="117"/>
      <c r="S13" s="117"/>
      <c r="T13" s="117">
        <f t="shared" ref="T13:AF13" si="4">(T8-T12)*$B13</f>
        <v>0</v>
      </c>
      <c r="U13" s="117">
        <f t="shared" si="4"/>
        <v>0</v>
      </c>
      <c r="V13" s="117">
        <f t="shared" si="4"/>
        <v>0</v>
      </c>
      <c r="W13" s="117">
        <f t="shared" si="4"/>
        <v>0</v>
      </c>
      <c r="X13" s="117">
        <f t="shared" si="4"/>
        <v>0</v>
      </c>
      <c r="Y13" s="117">
        <f t="shared" si="4"/>
        <v>0</v>
      </c>
      <c r="Z13" s="117">
        <f t="shared" si="4"/>
        <v>0</v>
      </c>
      <c r="AA13" s="117">
        <f t="shared" si="4"/>
        <v>0</v>
      </c>
      <c r="AB13" s="117">
        <f t="shared" si="4"/>
        <v>0</v>
      </c>
      <c r="AC13" s="117">
        <f t="shared" si="4"/>
        <v>0</v>
      </c>
      <c r="AD13" s="117">
        <f t="shared" si="4"/>
        <v>0</v>
      </c>
      <c r="AE13" s="117">
        <f t="shared" si="4"/>
        <v>0</v>
      </c>
      <c r="AF13" s="117">
        <f t="shared" si="4"/>
        <v>0</v>
      </c>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row>
    <row r="14">
      <c r="A14" s="257" t="s">
        <v>236</v>
      </c>
      <c r="B14" s="283"/>
      <c r="C14" s="247">
        <f t="array" ref="C14">INDEX('IS Proforma'!$1:$1048490,MATCH(Expenses!$A14,'IS Proforma'!$C:$C,0),MATCH(Expenses!C$4,'IS Proforma'!$4:$4))</f>
        <v>1177</v>
      </c>
      <c r="D14" s="247">
        <f t="array" ref="D14">INDEX('IS Proforma'!$1:$1048490,MATCH(Expenses!$A14,'IS Proforma'!$C:$C,0),MATCH(Expenses!D$4,'IS Proforma'!$4:$4))</f>
        <v>2079</v>
      </c>
      <c r="E14" s="247">
        <f t="array" ref="E14">INDEX('IS Proforma'!$1:$1048490,MATCH(Expenses!$A14,'IS Proforma'!$C:$C,0),MATCH(Expenses!E$4,'IS Proforma'!$4:$4))</f>
        <v>1323</v>
      </c>
      <c r="F14" s="247">
        <f t="array" ref="F14">INDEX('IS Proforma'!$1:$1048490,MATCH(Expenses!$A14,'IS Proforma'!$C:$C,0),MATCH(Expenses!F$4,'IS Proforma'!$4:$4))</f>
        <v>1911</v>
      </c>
      <c r="G14" s="247">
        <f t="array" ref="G14">INDEX('IS Proforma'!$1:$1048490,MATCH(Expenses!$A14,'IS Proforma'!$C:$C,0),MATCH(Expenses!G$4,'IS Proforma'!$4:$4))</f>
        <v>1831</v>
      </c>
      <c r="H14" s="247">
        <f t="array" ref="H14">INDEX('IS Proforma'!$1:$1048490,MATCH(Expenses!$A14,'IS Proforma'!$C:$C,0),MATCH(Expenses!H$4,'IS Proforma'!$4:$4))</f>
        <v>1967</v>
      </c>
      <c r="I14" s="247">
        <f t="array" ref="I14">INDEX('IS Proforma'!$1:$1048490,MATCH(Expenses!$A14,'IS Proforma'!$C:$C,0),MATCH(Expenses!I$4,'IS Proforma'!$4:$4))</f>
        <v>2005</v>
      </c>
      <c r="J14" s="247">
        <f t="array" ref="J14">INDEX('IS Proforma'!$1:$1048490,MATCH(Expenses!$A14,'IS Proforma'!$C:$C,0),MATCH(Expenses!J$4,'IS Proforma'!$4:$4))</f>
        <v>1133</v>
      </c>
      <c r="K14" s="247">
        <f t="array" ref="K14">INDEX('IS Proforma'!$1:$1048490,MATCH(Expenses!$A14,'IS Proforma'!$C:$C,0),MATCH(Expenses!K$4,'IS Proforma'!$4:$4))</f>
        <v>1023</v>
      </c>
      <c r="L14" s="247">
        <f t="array" ref="L14">INDEX('IS Proforma'!$1:$1048490,MATCH(Expenses!$A14,'IS Proforma'!$C:$C,0),MATCH(Expenses!L$4,'IS Proforma'!$4:$4))</f>
        <v>2038</v>
      </c>
      <c r="M14" s="247">
        <f t="array" ref="M14">INDEX('IS Proforma'!$1:$1048490,MATCH(Expenses!$A14,'IS Proforma'!$C:$C,0),MATCH(Expenses!M$4,'IS Proforma'!$4:$4))</f>
        <v>1637</v>
      </c>
      <c r="N14" s="247">
        <f t="array" ref="N14">INDEX('IS Proforma'!$1:$1048490,MATCH(Expenses!$A14,'IS Proforma'!$C:$C,0),MATCH(Expenses!N$4,'IS Proforma'!$4:$4))</f>
        <v>2063</v>
      </c>
      <c r="O14" s="247">
        <f t="array" ref="O14">INDEX('IS Proforma'!$1:$1048490,MATCH(Expenses!$A14,'IS Proforma'!$C:$C,0),MATCH(Expenses!O$4,'IS Proforma'!$4:$4))</f>
        <v>1794</v>
      </c>
      <c r="P14" s="247">
        <f t="array" ref="P14">INDEX('IS Proforma'!$1:$1048490,MATCH(Expenses!$A14,'IS Proforma'!$C:$C,0),MATCH(Expenses!P$4,'IS Proforma'!$4:$4))</f>
        <v>1231</v>
      </c>
      <c r="Q14" s="247">
        <f t="array" ref="Q14">INDEX('IS Proforma'!$1:$1048490,MATCH(Expenses!$A14,'IS Proforma'!$C:$C,0),MATCH(Expenses!Q$4,'IS Proforma'!$4:$4))</f>
        <v>2076</v>
      </c>
      <c r="R14" s="247">
        <f t="array" ref="R14">INDEX('IS Proforma'!$1:$1048490,MATCH(Expenses!$A14,'IS Proforma'!$C:$C,0),MATCH(Expenses!R$4,'IS Proforma'!$4:$4))</f>
        <v>1590</v>
      </c>
      <c r="S14" s="247">
        <f t="array" ref="S14">INDEX('IS Proforma'!$1:$1048490,MATCH(Expenses!$A14,'IS Proforma'!$C:$C,0),MATCH(Expenses!S$4,'IS Proforma'!$4:$4))</f>
        <v>1425</v>
      </c>
      <c r="T14" s="117">
        <f t="shared" ref="T14:CB14" si="5">SUM(T16,T19,T22,T25,T28)</f>
        <v>13133.59</v>
      </c>
      <c r="U14" s="117">
        <f t="shared" si="5"/>
        <v>18149.25795</v>
      </c>
      <c r="V14" s="117">
        <f t="shared" si="5"/>
        <v>18190.00424</v>
      </c>
      <c r="W14" s="117">
        <f t="shared" si="5"/>
        <v>18230.95426</v>
      </c>
      <c r="X14" s="117">
        <f t="shared" si="5"/>
        <v>18272.10903</v>
      </c>
      <c r="Y14" s="117">
        <f t="shared" si="5"/>
        <v>18313.46958</v>
      </c>
      <c r="Z14" s="117">
        <f t="shared" si="5"/>
        <v>18355.03693</v>
      </c>
      <c r="AA14" s="117">
        <f t="shared" si="5"/>
        <v>18396.81211</v>
      </c>
      <c r="AB14" s="117">
        <f t="shared" si="5"/>
        <v>18438.79617</v>
      </c>
      <c r="AC14" s="117">
        <f t="shared" si="5"/>
        <v>18480.99015</v>
      </c>
      <c r="AD14" s="117">
        <f t="shared" si="5"/>
        <v>18523.3951</v>
      </c>
      <c r="AE14" s="117">
        <f t="shared" si="5"/>
        <v>18566.01208</v>
      </c>
      <c r="AF14" s="117">
        <f t="shared" si="5"/>
        <v>18608.84214</v>
      </c>
      <c r="AG14" s="117">
        <f t="shared" si="5"/>
        <v>18651.88635</v>
      </c>
      <c r="AH14" s="117">
        <f t="shared" si="5"/>
        <v>18695.14578</v>
      </c>
      <c r="AI14" s="117">
        <f t="shared" si="5"/>
        <v>18738.62151</v>
      </c>
      <c r="AJ14" s="117">
        <f t="shared" si="5"/>
        <v>18782.31462</v>
      </c>
      <c r="AK14" s="117">
        <f t="shared" si="5"/>
        <v>18826.22619</v>
      </c>
      <c r="AL14" s="117">
        <f t="shared" si="5"/>
        <v>18870.35732</v>
      </c>
      <c r="AM14" s="117">
        <f t="shared" si="5"/>
        <v>18914.70911</v>
      </c>
      <c r="AN14" s="117">
        <f t="shared" si="5"/>
        <v>18959.28265</v>
      </c>
      <c r="AO14" s="117">
        <f t="shared" si="5"/>
        <v>19004.07907</v>
      </c>
      <c r="AP14" s="117">
        <f t="shared" si="5"/>
        <v>19049.09946</v>
      </c>
      <c r="AQ14" s="117">
        <f t="shared" si="5"/>
        <v>19094.34496</v>
      </c>
      <c r="AR14" s="117">
        <f t="shared" si="5"/>
        <v>19139.81668</v>
      </c>
      <c r="AS14" s="117">
        <f t="shared" si="5"/>
        <v>19185.51577</v>
      </c>
      <c r="AT14" s="117">
        <f t="shared" si="5"/>
        <v>19231.44335</v>
      </c>
      <c r="AU14" s="117">
        <f t="shared" si="5"/>
        <v>19277.60056</v>
      </c>
      <c r="AV14" s="117">
        <f t="shared" si="5"/>
        <v>19323.98857</v>
      </c>
      <c r="AW14" s="117">
        <f t="shared" si="5"/>
        <v>19370.60851</v>
      </c>
      <c r="AX14" s="117">
        <f t="shared" si="5"/>
        <v>19417.46155</v>
      </c>
      <c r="AY14" s="117">
        <f t="shared" si="5"/>
        <v>19464.54886</v>
      </c>
      <c r="AZ14" s="117">
        <f t="shared" si="5"/>
        <v>19511.8716</v>
      </c>
      <c r="BA14" s="117">
        <f t="shared" si="5"/>
        <v>19559.43096</v>
      </c>
      <c r="BB14" s="117">
        <f t="shared" si="5"/>
        <v>19607.22812</v>
      </c>
      <c r="BC14" s="117">
        <f t="shared" si="5"/>
        <v>19655.26426</v>
      </c>
      <c r="BD14" s="117">
        <f t="shared" si="5"/>
        <v>19703.54058</v>
      </c>
      <c r="BE14" s="117">
        <f t="shared" si="5"/>
        <v>19752.05828</v>
      </c>
      <c r="BF14" s="117">
        <f t="shared" si="5"/>
        <v>19800.81857</v>
      </c>
      <c r="BG14" s="117">
        <f t="shared" si="5"/>
        <v>19849.82266</v>
      </c>
      <c r="BH14" s="117">
        <f t="shared" si="5"/>
        <v>19899.07178</v>
      </c>
      <c r="BI14" s="117">
        <f t="shared" si="5"/>
        <v>19948.56714</v>
      </c>
      <c r="BJ14" s="117">
        <f t="shared" si="5"/>
        <v>19998.30997</v>
      </c>
      <c r="BK14" s="117">
        <f t="shared" si="5"/>
        <v>20048.30152</v>
      </c>
      <c r="BL14" s="117">
        <f t="shared" si="5"/>
        <v>20098.54303</v>
      </c>
      <c r="BM14" s="117">
        <f t="shared" si="5"/>
        <v>20149.03575</v>
      </c>
      <c r="BN14" s="117">
        <f t="shared" si="5"/>
        <v>20199.78092</v>
      </c>
      <c r="BO14" s="117">
        <f t="shared" si="5"/>
        <v>20250.77983</v>
      </c>
      <c r="BP14" s="117">
        <f t="shared" si="5"/>
        <v>20302.03373</v>
      </c>
      <c r="BQ14" s="117">
        <f t="shared" si="5"/>
        <v>20353.5439</v>
      </c>
      <c r="BR14" s="117">
        <f t="shared" si="5"/>
        <v>20405.31162</v>
      </c>
      <c r="BS14" s="117">
        <f t="shared" si="5"/>
        <v>20457.33817</v>
      </c>
      <c r="BT14" s="117">
        <f t="shared" si="5"/>
        <v>20509.62486</v>
      </c>
      <c r="BU14" s="117">
        <f t="shared" si="5"/>
        <v>20562.17299</v>
      </c>
      <c r="BV14" s="117">
        <f t="shared" si="5"/>
        <v>20614.98385</v>
      </c>
      <c r="BW14" s="117">
        <f t="shared" si="5"/>
        <v>20668.05877</v>
      </c>
      <c r="BX14" s="117">
        <f t="shared" si="5"/>
        <v>20721.39907</v>
      </c>
      <c r="BY14" s="117">
        <f t="shared" si="5"/>
        <v>20775.00606</v>
      </c>
      <c r="BZ14" s="117">
        <f t="shared" si="5"/>
        <v>20828.88109</v>
      </c>
      <c r="CA14" s="117">
        <f t="shared" si="5"/>
        <v>20883.0255</v>
      </c>
      <c r="CB14" s="117">
        <f t="shared" si="5"/>
        <v>20937.44063</v>
      </c>
      <c r="CC14" s="117"/>
      <c r="CD14" s="117"/>
    </row>
    <row r="15">
      <c r="A15" s="284"/>
      <c r="B15" s="285"/>
      <c r="C15" s="247"/>
      <c r="D15" s="247"/>
      <c r="E15" s="247"/>
      <c r="F15" s="247"/>
      <c r="G15" s="247"/>
      <c r="H15" s="247"/>
      <c r="I15" s="247"/>
      <c r="J15" s="247"/>
      <c r="K15" s="247"/>
      <c r="L15" s="247"/>
      <c r="M15" s="247"/>
      <c r="N15" s="247"/>
      <c r="O15" s="247"/>
      <c r="P15" s="247"/>
      <c r="Q15" s="247"/>
      <c r="R15" s="247"/>
      <c r="S15" s="247"/>
      <c r="T15" s="117"/>
      <c r="U15" s="286"/>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17"/>
      <c r="BV15" s="117"/>
      <c r="BW15" s="117"/>
      <c r="BX15" s="117"/>
      <c r="BY15" s="117"/>
      <c r="BZ15" s="117"/>
      <c r="CA15" s="117"/>
      <c r="CB15" s="117"/>
      <c r="CC15" s="117"/>
      <c r="CD15" s="117"/>
    </row>
    <row r="16">
      <c r="A16" s="284" t="s">
        <v>503</v>
      </c>
      <c r="B16" s="285"/>
      <c r="C16" s="247"/>
      <c r="D16" s="247"/>
      <c r="E16" s="247"/>
      <c r="F16" s="247"/>
      <c r="G16" s="247"/>
      <c r="H16" s="247"/>
      <c r="I16" s="247">
        <f>'Opex Departments'!P14</f>
        <v>3840</v>
      </c>
      <c r="J16" s="247">
        <f>'Opex Departments'!Q14</f>
        <v>4299</v>
      </c>
      <c r="K16" s="247">
        <f>'Opex Departments'!R14</f>
        <v>4465</v>
      </c>
      <c r="L16" s="247">
        <f>'Opex Departments'!S14</f>
        <v>2473</v>
      </c>
      <c r="M16" s="247">
        <f>'Opex Departments'!T14</f>
        <v>640</v>
      </c>
      <c r="N16" s="247">
        <f>'Opex Departments'!U14</f>
        <v>4129</v>
      </c>
      <c r="O16" s="247">
        <f>'Opex Departments'!V14</f>
        <v>4313</v>
      </c>
      <c r="P16" s="247">
        <f>'Opex Departments'!W14</f>
        <v>657</v>
      </c>
      <c r="Q16" s="247">
        <f>'Opex Departments'!X14</f>
        <v>470</v>
      </c>
      <c r="R16" s="247">
        <f>'Opex Departments'!Y14</f>
        <v>4806</v>
      </c>
      <c r="S16" s="247">
        <f>'Opex Departments'!Z14</f>
        <v>900</v>
      </c>
      <c r="T16" s="117">
        <f>T$13*$B16</f>
        <v>0</v>
      </c>
      <c r="U16" s="286">
        <v>5000.0</v>
      </c>
      <c r="V16" s="117">
        <f t="shared" ref="V16:CB16" si="6">U16*(1+V17)</f>
        <v>5025</v>
      </c>
      <c r="W16" s="117">
        <f t="shared" si="6"/>
        <v>5050.125</v>
      </c>
      <c r="X16" s="117">
        <f t="shared" si="6"/>
        <v>5075.375625</v>
      </c>
      <c r="Y16" s="117">
        <f t="shared" si="6"/>
        <v>5100.752503</v>
      </c>
      <c r="Z16" s="117">
        <f t="shared" si="6"/>
        <v>5126.256266</v>
      </c>
      <c r="AA16" s="117">
        <f t="shared" si="6"/>
        <v>5151.887547</v>
      </c>
      <c r="AB16" s="117">
        <f t="shared" si="6"/>
        <v>5177.646985</v>
      </c>
      <c r="AC16" s="117">
        <f t="shared" si="6"/>
        <v>5203.53522</v>
      </c>
      <c r="AD16" s="117">
        <f t="shared" si="6"/>
        <v>5229.552896</v>
      </c>
      <c r="AE16" s="117">
        <f t="shared" si="6"/>
        <v>5255.70066</v>
      </c>
      <c r="AF16" s="117">
        <f t="shared" si="6"/>
        <v>5281.979164</v>
      </c>
      <c r="AG16" s="117">
        <f t="shared" si="6"/>
        <v>5308.389059</v>
      </c>
      <c r="AH16" s="117">
        <f t="shared" si="6"/>
        <v>5334.931005</v>
      </c>
      <c r="AI16" s="117">
        <f t="shared" si="6"/>
        <v>5361.60566</v>
      </c>
      <c r="AJ16" s="117">
        <f t="shared" si="6"/>
        <v>5388.413688</v>
      </c>
      <c r="AK16" s="117">
        <f t="shared" si="6"/>
        <v>5415.355756</v>
      </c>
      <c r="AL16" s="117">
        <f t="shared" si="6"/>
        <v>5442.432535</v>
      </c>
      <c r="AM16" s="117">
        <f t="shared" si="6"/>
        <v>5469.644698</v>
      </c>
      <c r="AN16" s="117">
        <f t="shared" si="6"/>
        <v>5496.992921</v>
      </c>
      <c r="AO16" s="117">
        <f t="shared" si="6"/>
        <v>5524.477886</v>
      </c>
      <c r="AP16" s="117">
        <f t="shared" si="6"/>
        <v>5552.100275</v>
      </c>
      <c r="AQ16" s="117">
        <f t="shared" si="6"/>
        <v>5579.860777</v>
      </c>
      <c r="AR16" s="117">
        <f t="shared" si="6"/>
        <v>5607.760081</v>
      </c>
      <c r="AS16" s="117">
        <f t="shared" si="6"/>
        <v>5635.798881</v>
      </c>
      <c r="AT16" s="117">
        <f t="shared" si="6"/>
        <v>5663.977875</v>
      </c>
      <c r="AU16" s="117">
        <f t="shared" si="6"/>
        <v>5692.297765</v>
      </c>
      <c r="AV16" s="117">
        <f t="shared" si="6"/>
        <v>5720.759254</v>
      </c>
      <c r="AW16" s="117">
        <f t="shared" si="6"/>
        <v>5749.36305</v>
      </c>
      <c r="AX16" s="117">
        <f t="shared" si="6"/>
        <v>5778.109865</v>
      </c>
      <c r="AY16" s="117">
        <f t="shared" si="6"/>
        <v>5807.000414</v>
      </c>
      <c r="AZ16" s="117">
        <f t="shared" si="6"/>
        <v>5836.035417</v>
      </c>
      <c r="BA16" s="117">
        <f t="shared" si="6"/>
        <v>5865.215594</v>
      </c>
      <c r="BB16" s="117">
        <f t="shared" si="6"/>
        <v>5894.541672</v>
      </c>
      <c r="BC16" s="117">
        <f t="shared" si="6"/>
        <v>5924.01438</v>
      </c>
      <c r="BD16" s="117">
        <f t="shared" si="6"/>
        <v>5953.634452</v>
      </c>
      <c r="BE16" s="117">
        <f t="shared" si="6"/>
        <v>5983.402624</v>
      </c>
      <c r="BF16" s="117">
        <f t="shared" si="6"/>
        <v>6013.319637</v>
      </c>
      <c r="BG16" s="117">
        <f t="shared" si="6"/>
        <v>6043.386235</v>
      </c>
      <c r="BH16" s="117">
        <f t="shared" si="6"/>
        <v>6073.603167</v>
      </c>
      <c r="BI16" s="117">
        <f t="shared" si="6"/>
        <v>6103.971182</v>
      </c>
      <c r="BJ16" s="117">
        <f t="shared" si="6"/>
        <v>6134.491038</v>
      </c>
      <c r="BK16" s="117">
        <f t="shared" si="6"/>
        <v>6165.163494</v>
      </c>
      <c r="BL16" s="117">
        <f t="shared" si="6"/>
        <v>6195.989311</v>
      </c>
      <c r="BM16" s="117">
        <f t="shared" si="6"/>
        <v>6226.969258</v>
      </c>
      <c r="BN16" s="117">
        <f t="shared" si="6"/>
        <v>6258.104104</v>
      </c>
      <c r="BO16" s="117">
        <f t="shared" si="6"/>
        <v>6289.394624</v>
      </c>
      <c r="BP16" s="117">
        <f t="shared" si="6"/>
        <v>6320.841597</v>
      </c>
      <c r="BQ16" s="117">
        <f t="shared" si="6"/>
        <v>6352.445805</v>
      </c>
      <c r="BR16" s="117">
        <f t="shared" si="6"/>
        <v>6384.208035</v>
      </c>
      <c r="BS16" s="117">
        <f t="shared" si="6"/>
        <v>6416.129075</v>
      </c>
      <c r="BT16" s="117">
        <f t="shared" si="6"/>
        <v>6448.20972</v>
      </c>
      <c r="BU16" s="117">
        <f t="shared" si="6"/>
        <v>6480.450769</v>
      </c>
      <c r="BV16" s="117">
        <f t="shared" si="6"/>
        <v>6512.853022</v>
      </c>
      <c r="BW16" s="117">
        <f t="shared" si="6"/>
        <v>6545.417288</v>
      </c>
      <c r="BX16" s="117">
        <f t="shared" si="6"/>
        <v>6578.144374</v>
      </c>
      <c r="BY16" s="117">
        <f t="shared" si="6"/>
        <v>6611.035096</v>
      </c>
      <c r="BZ16" s="117">
        <f t="shared" si="6"/>
        <v>6644.090271</v>
      </c>
      <c r="CA16" s="117">
        <f t="shared" si="6"/>
        <v>6677.310723</v>
      </c>
      <c r="CB16" s="117">
        <f t="shared" si="6"/>
        <v>6710.697276</v>
      </c>
      <c r="CC16" s="117"/>
      <c r="CD16" s="117"/>
    </row>
    <row r="17">
      <c r="A17" s="284"/>
      <c r="B17" s="285"/>
      <c r="C17" s="247"/>
      <c r="D17" s="247"/>
      <c r="E17" s="247"/>
      <c r="F17" s="247"/>
      <c r="G17" s="247"/>
      <c r="H17" s="247"/>
      <c r="I17" s="247"/>
      <c r="J17" s="247"/>
      <c r="K17" s="247"/>
      <c r="L17" s="247"/>
      <c r="M17" s="247"/>
      <c r="N17" s="247"/>
      <c r="O17" s="247"/>
      <c r="P17" s="247"/>
      <c r="Q17" s="247"/>
      <c r="R17" s="247"/>
      <c r="S17" s="247"/>
      <c r="T17" s="117"/>
      <c r="U17" s="287">
        <v>0.005</v>
      </c>
      <c r="V17" s="287">
        <f t="shared" ref="V17:CB17" si="7">U17</f>
        <v>0.005</v>
      </c>
      <c r="W17" s="287">
        <f t="shared" si="7"/>
        <v>0.005</v>
      </c>
      <c r="X17" s="287">
        <f t="shared" si="7"/>
        <v>0.005</v>
      </c>
      <c r="Y17" s="287">
        <f t="shared" si="7"/>
        <v>0.005</v>
      </c>
      <c r="Z17" s="287">
        <f t="shared" si="7"/>
        <v>0.005</v>
      </c>
      <c r="AA17" s="287">
        <f t="shared" si="7"/>
        <v>0.005</v>
      </c>
      <c r="AB17" s="287">
        <f t="shared" si="7"/>
        <v>0.005</v>
      </c>
      <c r="AC17" s="287">
        <f t="shared" si="7"/>
        <v>0.005</v>
      </c>
      <c r="AD17" s="287">
        <f t="shared" si="7"/>
        <v>0.005</v>
      </c>
      <c r="AE17" s="287">
        <f t="shared" si="7"/>
        <v>0.005</v>
      </c>
      <c r="AF17" s="287">
        <f t="shared" si="7"/>
        <v>0.005</v>
      </c>
      <c r="AG17" s="287">
        <f t="shared" si="7"/>
        <v>0.005</v>
      </c>
      <c r="AH17" s="287">
        <f t="shared" si="7"/>
        <v>0.005</v>
      </c>
      <c r="AI17" s="287">
        <f t="shared" si="7"/>
        <v>0.005</v>
      </c>
      <c r="AJ17" s="287">
        <f t="shared" si="7"/>
        <v>0.005</v>
      </c>
      <c r="AK17" s="287">
        <f t="shared" si="7"/>
        <v>0.005</v>
      </c>
      <c r="AL17" s="287">
        <f t="shared" si="7"/>
        <v>0.005</v>
      </c>
      <c r="AM17" s="287">
        <f t="shared" si="7"/>
        <v>0.005</v>
      </c>
      <c r="AN17" s="287">
        <f t="shared" si="7"/>
        <v>0.005</v>
      </c>
      <c r="AO17" s="287">
        <f t="shared" si="7"/>
        <v>0.005</v>
      </c>
      <c r="AP17" s="287">
        <f t="shared" si="7"/>
        <v>0.005</v>
      </c>
      <c r="AQ17" s="287">
        <f t="shared" si="7"/>
        <v>0.005</v>
      </c>
      <c r="AR17" s="287">
        <f t="shared" si="7"/>
        <v>0.005</v>
      </c>
      <c r="AS17" s="287">
        <f t="shared" si="7"/>
        <v>0.005</v>
      </c>
      <c r="AT17" s="287">
        <f t="shared" si="7"/>
        <v>0.005</v>
      </c>
      <c r="AU17" s="287">
        <f t="shared" si="7"/>
        <v>0.005</v>
      </c>
      <c r="AV17" s="287">
        <f t="shared" si="7"/>
        <v>0.005</v>
      </c>
      <c r="AW17" s="287">
        <f t="shared" si="7"/>
        <v>0.005</v>
      </c>
      <c r="AX17" s="287">
        <f t="shared" si="7"/>
        <v>0.005</v>
      </c>
      <c r="AY17" s="287">
        <f t="shared" si="7"/>
        <v>0.005</v>
      </c>
      <c r="AZ17" s="287">
        <f t="shared" si="7"/>
        <v>0.005</v>
      </c>
      <c r="BA17" s="287">
        <f t="shared" si="7"/>
        <v>0.005</v>
      </c>
      <c r="BB17" s="287">
        <f t="shared" si="7"/>
        <v>0.005</v>
      </c>
      <c r="BC17" s="287">
        <f t="shared" si="7"/>
        <v>0.005</v>
      </c>
      <c r="BD17" s="287">
        <f t="shared" si="7"/>
        <v>0.005</v>
      </c>
      <c r="BE17" s="287">
        <f t="shared" si="7"/>
        <v>0.005</v>
      </c>
      <c r="BF17" s="287">
        <f t="shared" si="7"/>
        <v>0.005</v>
      </c>
      <c r="BG17" s="287">
        <f t="shared" si="7"/>
        <v>0.005</v>
      </c>
      <c r="BH17" s="287">
        <f t="shared" si="7"/>
        <v>0.005</v>
      </c>
      <c r="BI17" s="287">
        <f t="shared" si="7"/>
        <v>0.005</v>
      </c>
      <c r="BJ17" s="287">
        <f t="shared" si="7"/>
        <v>0.005</v>
      </c>
      <c r="BK17" s="287">
        <f t="shared" si="7"/>
        <v>0.005</v>
      </c>
      <c r="BL17" s="287">
        <f t="shared" si="7"/>
        <v>0.005</v>
      </c>
      <c r="BM17" s="287">
        <f t="shared" si="7"/>
        <v>0.005</v>
      </c>
      <c r="BN17" s="287">
        <f t="shared" si="7"/>
        <v>0.005</v>
      </c>
      <c r="BO17" s="287">
        <f t="shared" si="7"/>
        <v>0.005</v>
      </c>
      <c r="BP17" s="287">
        <f t="shared" si="7"/>
        <v>0.005</v>
      </c>
      <c r="BQ17" s="287">
        <f t="shared" si="7"/>
        <v>0.005</v>
      </c>
      <c r="BR17" s="287">
        <f t="shared" si="7"/>
        <v>0.005</v>
      </c>
      <c r="BS17" s="287">
        <f t="shared" si="7"/>
        <v>0.005</v>
      </c>
      <c r="BT17" s="287">
        <f t="shared" si="7"/>
        <v>0.005</v>
      </c>
      <c r="BU17" s="287">
        <f t="shared" si="7"/>
        <v>0.005</v>
      </c>
      <c r="BV17" s="287">
        <f t="shared" si="7"/>
        <v>0.005</v>
      </c>
      <c r="BW17" s="287">
        <f t="shared" si="7"/>
        <v>0.005</v>
      </c>
      <c r="BX17" s="287">
        <f t="shared" si="7"/>
        <v>0.005</v>
      </c>
      <c r="BY17" s="287">
        <f t="shared" si="7"/>
        <v>0.005</v>
      </c>
      <c r="BZ17" s="287">
        <f t="shared" si="7"/>
        <v>0.005</v>
      </c>
      <c r="CA17" s="287">
        <f t="shared" si="7"/>
        <v>0.005</v>
      </c>
      <c r="CB17" s="287">
        <f t="shared" si="7"/>
        <v>0.005</v>
      </c>
      <c r="CC17" s="117"/>
      <c r="CD17" s="117"/>
    </row>
    <row r="18">
      <c r="A18" s="284"/>
      <c r="B18" s="285"/>
      <c r="C18" s="247"/>
      <c r="D18" s="247"/>
      <c r="E18" s="247"/>
      <c r="F18" s="247"/>
      <c r="G18" s="247"/>
      <c r="H18" s="247"/>
      <c r="I18" s="247"/>
      <c r="J18" s="247"/>
      <c r="K18" s="247"/>
      <c r="L18" s="247"/>
      <c r="M18" s="247"/>
      <c r="N18" s="247"/>
      <c r="O18" s="247"/>
      <c r="P18" s="247"/>
      <c r="Q18" s="247"/>
      <c r="R18" s="247"/>
      <c r="S18" s="24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7"/>
      <c r="BY18" s="117"/>
      <c r="BZ18" s="117"/>
      <c r="CA18" s="117"/>
      <c r="CB18" s="117"/>
      <c r="CC18" s="117"/>
      <c r="CD18" s="117"/>
    </row>
    <row r="19">
      <c r="A19" s="284" t="s">
        <v>504</v>
      </c>
      <c r="B19" s="285"/>
      <c r="C19" s="247"/>
      <c r="D19" s="247"/>
      <c r="E19" s="247"/>
      <c r="F19" s="247"/>
      <c r="G19" s="247"/>
      <c r="H19" s="247"/>
      <c r="I19" s="247">
        <f>'Opex Departments'!P42</f>
        <v>781</v>
      </c>
      <c r="J19" s="247">
        <f>'Opex Departments'!Q42</f>
        <v>657</v>
      </c>
      <c r="K19" s="247">
        <f>'Opex Departments'!R42</f>
        <v>1107</v>
      </c>
      <c r="L19" s="247">
        <f>'Opex Departments'!S42</f>
        <v>2911</v>
      </c>
      <c r="M19" s="247">
        <f>'Opex Departments'!T42</f>
        <v>1572</v>
      </c>
      <c r="N19" s="247">
        <f>'Opex Departments'!U42</f>
        <v>428</v>
      </c>
      <c r="O19" s="247">
        <f>'Opex Departments'!V42</f>
        <v>1280</v>
      </c>
      <c r="P19" s="247">
        <f>'Opex Departments'!W42</f>
        <v>4492</v>
      </c>
      <c r="Q19" s="247">
        <f>'Opex Departments'!X42</f>
        <v>2625</v>
      </c>
      <c r="R19" s="247">
        <f>'Opex Departments'!Y42</f>
        <v>3992</v>
      </c>
      <c r="S19" s="247">
        <f>'Opex Departments'!Z42</f>
        <v>1690</v>
      </c>
      <c r="T19" s="117">
        <f t="shared" ref="T19:CB19" si="8">S19*(1+T20)</f>
        <v>1698.45</v>
      </c>
      <c r="U19" s="117">
        <f t="shared" si="8"/>
        <v>1706.94225</v>
      </c>
      <c r="V19" s="117">
        <f t="shared" si="8"/>
        <v>1715.476961</v>
      </c>
      <c r="W19" s="117">
        <f t="shared" si="8"/>
        <v>1724.054346</v>
      </c>
      <c r="X19" s="117">
        <f t="shared" si="8"/>
        <v>1732.674618</v>
      </c>
      <c r="Y19" s="117">
        <f t="shared" si="8"/>
        <v>1741.337991</v>
      </c>
      <c r="Z19" s="117">
        <f t="shared" si="8"/>
        <v>1750.044681</v>
      </c>
      <c r="AA19" s="117">
        <f t="shared" si="8"/>
        <v>1758.794904</v>
      </c>
      <c r="AB19" s="117">
        <f t="shared" si="8"/>
        <v>1767.588879</v>
      </c>
      <c r="AC19" s="117">
        <f t="shared" si="8"/>
        <v>1776.426823</v>
      </c>
      <c r="AD19" s="117">
        <f t="shared" si="8"/>
        <v>1785.308957</v>
      </c>
      <c r="AE19" s="117">
        <f t="shared" si="8"/>
        <v>1794.235502</v>
      </c>
      <c r="AF19" s="117">
        <f t="shared" si="8"/>
        <v>1803.20668</v>
      </c>
      <c r="AG19" s="117">
        <f t="shared" si="8"/>
        <v>1812.222713</v>
      </c>
      <c r="AH19" s="117">
        <f t="shared" si="8"/>
        <v>1821.283827</v>
      </c>
      <c r="AI19" s="117">
        <f t="shared" si="8"/>
        <v>1830.390246</v>
      </c>
      <c r="AJ19" s="117">
        <f t="shared" si="8"/>
        <v>1839.542197</v>
      </c>
      <c r="AK19" s="117">
        <f t="shared" si="8"/>
        <v>1848.739908</v>
      </c>
      <c r="AL19" s="117">
        <f t="shared" si="8"/>
        <v>1857.983607</v>
      </c>
      <c r="AM19" s="117">
        <f t="shared" si="8"/>
        <v>1867.273525</v>
      </c>
      <c r="AN19" s="117">
        <f t="shared" si="8"/>
        <v>1876.609893</v>
      </c>
      <c r="AO19" s="117">
        <f t="shared" si="8"/>
        <v>1885.992943</v>
      </c>
      <c r="AP19" s="117">
        <f t="shared" si="8"/>
        <v>1895.422907</v>
      </c>
      <c r="AQ19" s="117">
        <f t="shared" si="8"/>
        <v>1904.900022</v>
      </c>
      <c r="AR19" s="117">
        <f t="shared" si="8"/>
        <v>1914.424522</v>
      </c>
      <c r="AS19" s="117">
        <f t="shared" si="8"/>
        <v>1923.996645</v>
      </c>
      <c r="AT19" s="117">
        <f t="shared" si="8"/>
        <v>1933.616628</v>
      </c>
      <c r="AU19" s="117">
        <f t="shared" si="8"/>
        <v>1943.284711</v>
      </c>
      <c r="AV19" s="117">
        <f t="shared" si="8"/>
        <v>1953.001134</v>
      </c>
      <c r="AW19" s="117">
        <f t="shared" si="8"/>
        <v>1962.76614</v>
      </c>
      <c r="AX19" s="117">
        <f t="shared" si="8"/>
        <v>1972.579971</v>
      </c>
      <c r="AY19" s="117">
        <f t="shared" si="8"/>
        <v>1982.442871</v>
      </c>
      <c r="AZ19" s="117">
        <f t="shared" si="8"/>
        <v>1992.355085</v>
      </c>
      <c r="BA19" s="117">
        <f t="shared" si="8"/>
        <v>2002.31686</v>
      </c>
      <c r="BB19" s="117">
        <f t="shared" si="8"/>
        <v>2012.328445</v>
      </c>
      <c r="BC19" s="117">
        <f t="shared" si="8"/>
        <v>2022.390087</v>
      </c>
      <c r="BD19" s="117">
        <f t="shared" si="8"/>
        <v>2032.502037</v>
      </c>
      <c r="BE19" s="117">
        <f t="shared" si="8"/>
        <v>2042.664548</v>
      </c>
      <c r="BF19" s="117">
        <f t="shared" si="8"/>
        <v>2052.87787</v>
      </c>
      <c r="BG19" s="117">
        <f t="shared" si="8"/>
        <v>2063.14226</v>
      </c>
      <c r="BH19" s="117">
        <f t="shared" si="8"/>
        <v>2073.457971</v>
      </c>
      <c r="BI19" s="117">
        <f t="shared" si="8"/>
        <v>2083.825261</v>
      </c>
      <c r="BJ19" s="117">
        <f t="shared" si="8"/>
        <v>2094.244387</v>
      </c>
      <c r="BK19" s="117">
        <f t="shared" si="8"/>
        <v>2104.715609</v>
      </c>
      <c r="BL19" s="117">
        <f t="shared" si="8"/>
        <v>2115.239187</v>
      </c>
      <c r="BM19" s="117">
        <f t="shared" si="8"/>
        <v>2125.815383</v>
      </c>
      <c r="BN19" s="117">
        <f t="shared" si="8"/>
        <v>2136.44446</v>
      </c>
      <c r="BO19" s="117">
        <f t="shared" si="8"/>
        <v>2147.126682</v>
      </c>
      <c r="BP19" s="117">
        <f t="shared" si="8"/>
        <v>2157.862316</v>
      </c>
      <c r="BQ19" s="117">
        <f t="shared" si="8"/>
        <v>2168.651627</v>
      </c>
      <c r="BR19" s="117">
        <f t="shared" si="8"/>
        <v>2179.494885</v>
      </c>
      <c r="BS19" s="117">
        <f t="shared" si="8"/>
        <v>2190.39236</v>
      </c>
      <c r="BT19" s="117">
        <f t="shared" si="8"/>
        <v>2201.344322</v>
      </c>
      <c r="BU19" s="117">
        <f t="shared" si="8"/>
        <v>2212.351043</v>
      </c>
      <c r="BV19" s="117">
        <f t="shared" si="8"/>
        <v>2223.412798</v>
      </c>
      <c r="BW19" s="117">
        <f t="shared" si="8"/>
        <v>2234.529862</v>
      </c>
      <c r="BX19" s="117">
        <f t="shared" si="8"/>
        <v>2245.702512</v>
      </c>
      <c r="BY19" s="117">
        <f t="shared" si="8"/>
        <v>2256.931024</v>
      </c>
      <c r="BZ19" s="117">
        <f t="shared" si="8"/>
        <v>2268.215679</v>
      </c>
      <c r="CA19" s="117">
        <f t="shared" si="8"/>
        <v>2279.556758</v>
      </c>
      <c r="CB19" s="117">
        <f t="shared" si="8"/>
        <v>2290.954542</v>
      </c>
      <c r="CC19" s="117"/>
      <c r="CD19" s="117"/>
    </row>
    <row r="20" ht="15.75" customHeight="1">
      <c r="A20" s="284"/>
      <c r="B20" s="285"/>
      <c r="C20" s="247"/>
      <c r="D20" s="247"/>
      <c r="E20" s="247"/>
      <c r="F20" s="247"/>
      <c r="G20" s="247"/>
      <c r="H20" s="247"/>
      <c r="I20" s="247"/>
      <c r="J20" s="247"/>
      <c r="K20" s="247"/>
      <c r="L20" s="247"/>
      <c r="M20" s="247"/>
      <c r="N20" s="247"/>
      <c r="O20" s="247"/>
      <c r="P20" s="247"/>
      <c r="Q20" s="247"/>
      <c r="R20" s="247"/>
      <c r="S20" s="247"/>
      <c r="T20" s="287">
        <v>0.005</v>
      </c>
      <c r="U20" s="287">
        <f t="shared" ref="U20:CB20" si="9">T20</f>
        <v>0.005</v>
      </c>
      <c r="V20" s="287">
        <f t="shared" si="9"/>
        <v>0.005</v>
      </c>
      <c r="W20" s="287">
        <f t="shared" si="9"/>
        <v>0.005</v>
      </c>
      <c r="X20" s="287">
        <f t="shared" si="9"/>
        <v>0.005</v>
      </c>
      <c r="Y20" s="287">
        <f t="shared" si="9"/>
        <v>0.005</v>
      </c>
      <c r="Z20" s="287">
        <f t="shared" si="9"/>
        <v>0.005</v>
      </c>
      <c r="AA20" s="287">
        <f t="shared" si="9"/>
        <v>0.005</v>
      </c>
      <c r="AB20" s="287">
        <f t="shared" si="9"/>
        <v>0.005</v>
      </c>
      <c r="AC20" s="287">
        <f t="shared" si="9"/>
        <v>0.005</v>
      </c>
      <c r="AD20" s="287">
        <f t="shared" si="9"/>
        <v>0.005</v>
      </c>
      <c r="AE20" s="287">
        <f t="shared" si="9"/>
        <v>0.005</v>
      </c>
      <c r="AF20" s="287">
        <f t="shared" si="9"/>
        <v>0.005</v>
      </c>
      <c r="AG20" s="287">
        <f t="shared" si="9"/>
        <v>0.005</v>
      </c>
      <c r="AH20" s="287">
        <f t="shared" si="9"/>
        <v>0.005</v>
      </c>
      <c r="AI20" s="287">
        <f t="shared" si="9"/>
        <v>0.005</v>
      </c>
      <c r="AJ20" s="287">
        <f t="shared" si="9"/>
        <v>0.005</v>
      </c>
      <c r="AK20" s="287">
        <f t="shared" si="9"/>
        <v>0.005</v>
      </c>
      <c r="AL20" s="287">
        <f t="shared" si="9"/>
        <v>0.005</v>
      </c>
      <c r="AM20" s="287">
        <f t="shared" si="9"/>
        <v>0.005</v>
      </c>
      <c r="AN20" s="287">
        <f t="shared" si="9"/>
        <v>0.005</v>
      </c>
      <c r="AO20" s="287">
        <f t="shared" si="9"/>
        <v>0.005</v>
      </c>
      <c r="AP20" s="287">
        <f t="shared" si="9"/>
        <v>0.005</v>
      </c>
      <c r="AQ20" s="287">
        <f t="shared" si="9"/>
        <v>0.005</v>
      </c>
      <c r="AR20" s="287">
        <f t="shared" si="9"/>
        <v>0.005</v>
      </c>
      <c r="AS20" s="287">
        <f t="shared" si="9"/>
        <v>0.005</v>
      </c>
      <c r="AT20" s="287">
        <f t="shared" si="9"/>
        <v>0.005</v>
      </c>
      <c r="AU20" s="287">
        <f t="shared" si="9"/>
        <v>0.005</v>
      </c>
      <c r="AV20" s="287">
        <f t="shared" si="9"/>
        <v>0.005</v>
      </c>
      <c r="AW20" s="287">
        <f t="shared" si="9"/>
        <v>0.005</v>
      </c>
      <c r="AX20" s="287">
        <f t="shared" si="9"/>
        <v>0.005</v>
      </c>
      <c r="AY20" s="287">
        <f t="shared" si="9"/>
        <v>0.005</v>
      </c>
      <c r="AZ20" s="287">
        <f t="shared" si="9"/>
        <v>0.005</v>
      </c>
      <c r="BA20" s="287">
        <f t="shared" si="9"/>
        <v>0.005</v>
      </c>
      <c r="BB20" s="287">
        <f t="shared" si="9"/>
        <v>0.005</v>
      </c>
      <c r="BC20" s="287">
        <f t="shared" si="9"/>
        <v>0.005</v>
      </c>
      <c r="BD20" s="287">
        <f t="shared" si="9"/>
        <v>0.005</v>
      </c>
      <c r="BE20" s="287">
        <f t="shared" si="9"/>
        <v>0.005</v>
      </c>
      <c r="BF20" s="287">
        <f t="shared" si="9"/>
        <v>0.005</v>
      </c>
      <c r="BG20" s="287">
        <f t="shared" si="9"/>
        <v>0.005</v>
      </c>
      <c r="BH20" s="287">
        <f t="shared" si="9"/>
        <v>0.005</v>
      </c>
      <c r="BI20" s="287">
        <f t="shared" si="9"/>
        <v>0.005</v>
      </c>
      <c r="BJ20" s="287">
        <f t="shared" si="9"/>
        <v>0.005</v>
      </c>
      <c r="BK20" s="287">
        <f t="shared" si="9"/>
        <v>0.005</v>
      </c>
      <c r="BL20" s="287">
        <f t="shared" si="9"/>
        <v>0.005</v>
      </c>
      <c r="BM20" s="287">
        <f t="shared" si="9"/>
        <v>0.005</v>
      </c>
      <c r="BN20" s="287">
        <f t="shared" si="9"/>
        <v>0.005</v>
      </c>
      <c r="BO20" s="287">
        <f t="shared" si="9"/>
        <v>0.005</v>
      </c>
      <c r="BP20" s="287">
        <f t="shared" si="9"/>
        <v>0.005</v>
      </c>
      <c r="BQ20" s="287">
        <f t="shared" si="9"/>
        <v>0.005</v>
      </c>
      <c r="BR20" s="287">
        <f t="shared" si="9"/>
        <v>0.005</v>
      </c>
      <c r="BS20" s="287">
        <f t="shared" si="9"/>
        <v>0.005</v>
      </c>
      <c r="BT20" s="287">
        <f t="shared" si="9"/>
        <v>0.005</v>
      </c>
      <c r="BU20" s="287">
        <f t="shared" si="9"/>
        <v>0.005</v>
      </c>
      <c r="BV20" s="287">
        <f t="shared" si="9"/>
        <v>0.005</v>
      </c>
      <c r="BW20" s="287">
        <f t="shared" si="9"/>
        <v>0.005</v>
      </c>
      <c r="BX20" s="287">
        <f t="shared" si="9"/>
        <v>0.005</v>
      </c>
      <c r="BY20" s="287">
        <f t="shared" si="9"/>
        <v>0.005</v>
      </c>
      <c r="BZ20" s="287">
        <f t="shared" si="9"/>
        <v>0.005</v>
      </c>
      <c r="CA20" s="287">
        <f t="shared" si="9"/>
        <v>0.005</v>
      </c>
      <c r="CB20" s="287">
        <f t="shared" si="9"/>
        <v>0.005</v>
      </c>
      <c r="CC20" s="117"/>
      <c r="CD20" s="117"/>
    </row>
    <row r="21" ht="15.75" customHeight="1">
      <c r="A21" s="284"/>
      <c r="B21" s="285"/>
      <c r="C21" s="247"/>
      <c r="D21" s="247"/>
      <c r="E21" s="247"/>
      <c r="F21" s="247"/>
      <c r="G21" s="247"/>
      <c r="H21" s="247"/>
      <c r="I21" s="247"/>
      <c r="J21" s="247"/>
      <c r="K21" s="247"/>
      <c r="L21" s="247"/>
      <c r="M21" s="247"/>
      <c r="N21" s="247"/>
      <c r="O21" s="247"/>
      <c r="P21" s="247"/>
      <c r="Q21" s="247"/>
      <c r="R21" s="247"/>
      <c r="S21" s="247"/>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117"/>
      <c r="CD21" s="117"/>
    </row>
    <row r="22" ht="15.75" customHeight="1">
      <c r="A22" s="284" t="s">
        <v>505</v>
      </c>
      <c r="B22" s="285"/>
      <c r="C22" s="247"/>
      <c r="D22" s="247"/>
      <c r="E22" s="247"/>
      <c r="F22" s="247"/>
      <c r="G22" s="247"/>
      <c r="H22" s="247"/>
      <c r="I22" s="247">
        <f>'Opex Departments'!P64</f>
        <v>2557</v>
      </c>
      <c r="J22" s="247">
        <f>'Opex Departments'!Q64</f>
        <v>2854</v>
      </c>
      <c r="K22" s="247">
        <f>'Opex Departments'!R64</f>
        <v>4086</v>
      </c>
      <c r="L22" s="247">
        <f>'Opex Departments'!S64</f>
        <v>3932</v>
      </c>
      <c r="M22" s="247">
        <f>'Opex Departments'!T64</f>
        <v>1663</v>
      </c>
      <c r="N22" s="247">
        <f>'Opex Departments'!U64</f>
        <v>4652</v>
      </c>
      <c r="O22" s="247">
        <f>'Opex Departments'!V64</f>
        <v>1515</v>
      </c>
      <c r="P22" s="247">
        <v>0.0</v>
      </c>
      <c r="Q22" s="247">
        <v>0.0</v>
      </c>
      <c r="R22" s="247">
        <v>0.0</v>
      </c>
      <c r="S22" s="247">
        <v>0.0</v>
      </c>
      <c r="T22" s="286">
        <f>T$13*$B22 + 10000</f>
        <v>10000</v>
      </c>
      <c r="U22" s="117">
        <f t="shared" ref="U22:CB22" si="10">T22*(1+U23)</f>
        <v>10000</v>
      </c>
      <c r="V22" s="117">
        <f t="shared" si="10"/>
        <v>10000</v>
      </c>
      <c r="W22" s="117">
        <f t="shared" si="10"/>
        <v>10000</v>
      </c>
      <c r="X22" s="117">
        <f t="shared" si="10"/>
        <v>10000</v>
      </c>
      <c r="Y22" s="117">
        <f t="shared" si="10"/>
        <v>10000</v>
      </c>
      <c r="Z22" s="117">
        <f t="shared" si="10"/>
        <v>10000</v>
      </c>
      <c r="AA22" s="117">
        <f t="shared" si="10"/>
        <v>10000</v>
      </c>
      <c r="AB22" s="117">
        <f t="shared" si="10"/>
        <v>10000</v>
      </c>
      <c r="AC22" s="117">
        <f t="shared" si="10"/>
        <v>10000</v>
      </c>
      <c r="AD22" s="117">
        <f t="shared" si="10"/>
        <v>10000</v>
      </c>
      <c r="AE22" s="117">
        <f t="shared" si="10"/>
        <v>10000</v>
      </c>
      <c r="AF22" s="117">
        <f t="shared" si="10"/>
        <v>10000</v>
      </c>
      <c r="AG22" s="117">
        <f t="shared" si="10"/>
        <v>10000</v>
      </c>
      <c r="AH22" s="117">
        <f t="shared" si="10"/>
        <v>10000</v>
      </c>
      <c r="AI22" s="117">
        <f t="shared" si="10"/>
        <v>10000</v>
      </c>
      <c r="AJ22" s="117">
        <f t="shared" si="10"/>
        <v>10000</v>
      </c>
      <c r="AK22" s="117">
        <f t="shared" si="10"/>
        <v>10000</v>
      </c>
      <c r="AL22" s="117">
        <f t="shared" si="10"/>
        <v>10000</v>
      </c>
      <c r="AM22" s="117">
        <f t="shared" si="10"/>
        <v>10000</v>
      </c>
      <c r="AN22" s="117">
        <f t="shared" si="10"/>
        <v>10000</v>
      </c>
      <c r="AO22" s="117">
        <f t="shared" si="10"/>
        <v>10000</v>
      </c>
      <c r="AP22" s="117">
        <f t="shared" si="10"/>
        <v>10000</v>
      </c>
      <c r="AQ22" s="117">
        <f t="shared" si="10"/>
        <v>10000</v>
      </c>
      <c r="AR22" s="117">
        <f t="shared" si="10"/>
        <v>10000</v>
      </c>
      <c r="AS22" s="117">
        <f t="shared" si="10"/>
        <v>10000</v>
      </c>
      <c r="AT22" s="117">
        <f t="shared" si="10"/>
        <v>10000</v>
      </c>
      <c r="AU22" s="117">
        <f t="shared" si="10"/>
        <v>10000</v>
      </c>
      <c r="AV22" s="117">
        <f t="shared" si="10"/>
        <v>10000</v>
      </c>
      <c r="AW22" s="117">
        <f t="shared" si="10"/>
        <v>10000</v>
      </c>
      <c r="AX22" s="117">
        <f t="shared" si="10"/>
        <v>10000</v>
      </c>
      <c r="AY22" s="117">
        <f t="shared" si="10"/>
        <v>10000</v>
      </c>
      <c r="AZ22" s="117">
        <f t="shared" si="10"/>
        <v>10000</v>
      </c>
      <c r="BA22" s="117">
        <f t="shared" si="10"/>
        <v>10000</v>
      </c>
      <c r="BB22" s="117">
        <f t="shared" si="10"/>
        <v>10000</v>
      </c>
      <c r="BC22" s="117">
        <f t="shared" si="10"/>
        <v>10000</v>
      </c>
      <c r="BD22" s="117">
        <f t="shared" si="10"/>
        <v>10000</v>
      </c>
      <c r="BE22" s="117">
        <f t="shared" si="10"/>
        <v>10000</v>
      </c>
      <c r="BF22" s="117">
        <f t="shared" si="10"/>
        <v>10000</v>
      </c>
      <c r="BG22" s="117">
        <f t="shared" si="10"/>
        <v>10000</v>
      </c>
      <c r="BH22" s="117">
        <f t="shared" si="10"/>
        <v>10000</v>
      </c>
      <c r="BI22" s="117">
        <f t="shared" si="10"/>
        <v>10000</v>
      </c>
      <c r="BJ22" s="117">
        <f t="shared" si="10"/>
        <v>10000</v>
      </c>
      <c r="BK22" s="117">
        <f t="shared" si="10"/>
        <v>10000</v>
      </c>
      <c r="BL22" s="117">
        <f t="shared" si="10"/>
        <v>10000</v>
      </c>
      <c r="BM22" s="117">
        <f t="shared" si="10"/>
        <v>10000</v>
      </c>
      <c r="BN22" s="117">
        <f t="shared" si="10"/>
        <v>10000</v>
      </c>
      <c r="BO22" s="117">
        <f t="shared" si="10"/>
        <v>10000</v>
      </c>
      <c r="BP22" s="117">
        <f t="shared" si="10"/>
        <v>10000</v>
      </c>
      <c r="BQ22" s="117">
        <f t="shared" si="10"/>
        <v>10000</v>
      </c>
      <c r="BR22" s="117">
        <f t="shared" si="10"/>
        <v>10000</v>
      </c>
      <c r="BS22" s="117">
        <f t="shared" si="10"/>
        <v>10000</v>
      </c>
      <c r="BT22" s="117">
        <f t="shared" si="10"/>
        <v>10000</v>
      </c>
      <c r="BU22" s="117">
        <f t="shared" si="10"/>
        <v>10000</v>
      </c>
      <c r="BV22" s="117">
        <f t="shared" si="10"/>
        <v>10000</v>
      </c>
      <c r="BW22" s="117">
        <f t="shared" si="10"/>
        <v>10000</v>
      </c>
      <c r="BX22" s="117">
        <f t="shared" si="10"/>
        <v>10000</v>
      </c>
      <c r="BY22" s="117">
        <f t="shared" si="10"/>
        <v>10000</v>
      </c>
      <c r="BZ22" s="117">
        <f t="shared" si="10"/>
        <v>10000</v>
      </c>
      <c r="CA22" s="117">
        <f t="shared" si="10"/>
        <v>10000</v>
      </c>
      <c r="CB22" s="117">
        <f t="shared" si="10"/>
        <v>10000</v>
      </c>
      <c r="CC22" s="117"/>
      <c r="CD22" s="117"/>
    </row>
    <row r="23" ht="15.75" customHeight="1">
      <c r="A23" s="284"/>
      <c r="B23" s="285"/>
      <c r="C23" s="247"/>
      <c r="D23" s="247"/>
      <c r="E23" s="247"/>
      <c r="F23" s="247"/>
      <c r="G23" s="247"/>
      <c r="H23" s="247"/>
      <c r="I23" s="247"/>
      <c r="J23" s="247"/>
      <c r="K23" s="247"/>
      <c r="L23" s="247"/>
      <c r="M23" s="247"/>
      <c r="N23" s="247"/>
      <c r="O23" s="247"/>
      <c r="P23" s="247"/>
      <c r="Q23" s="247"/>
      <c r="R23" s="247"/>
      <c r="S23" s="247"/>
      <c r="T23" s="287">
        <v>0.0</v>
      </c>
      <c r="U23" s="287">
        <v>0.0</v>
      </c>
      <c r="V23" s="287">
        <v>0.0</v>
      </c>
      <c r="W23" s="287">
        <v>0.0</v>
      </c>
      <c r="X23" s="287">
        <v>0.0</v>
      </c>
      <c r="Y23" s="287">
        <v>0.0</v>
      </c>
      <c r="Z23" s="287">
        <v>0.0</v>
      </c>
      <c r="AA23" s="287">
        <v>0.0</v>
      </c>
      <c r="AB23" s="287">
        <v>0.0</v>
      </c>
      <c r="AC23" s="287">
        <v>0.0</v>
      </c>
      <c r="AD23" s="287">
        <v>0.0</v>
      </c>
      <c r="AE23" s="287">
        <v>0.0</v>
      </c>
      <c r="AF23" s="287">
        <v>0.0</v>
      </c>
      <c r="AG23" s="287">
        <v>0.0</v>
      </c>
      <c r="AH23" s="287">
        <v>0.0</v>
      </c>
      <c r="AI23" s="287">
        <v>0.0</v>
      </c>
      <c r="AJ23" s="287">
        <v>0.0</v>
      </c>
      <c r="AK23" s="287">
        <v>0.0</v>
      </c>
      <c r="AL23" s="287">
        <v>0.0</v>
      </c>
      <c r="AM23" s="287">
        <v>0.0</v>
      </c>
      <c r="AN23" s="287">
        <v>0.0</v>
      </c>
      <c r="AO23" s="287">
        <v>0.0</v>
      </c>
      <c r="AP23" s="287">
        <v>0.0</v>
      </c>
      <c r="AQ23" s="287">
        <v>0.0</v>
      </c>
      <c r="AR23" s="287">
        <v>0.0</v>
      </c>
      <c r="AS23" s="287">
        <v>0.0</v>
      </c>
      <c r="AT23" s="287">
        <v>0.0</v>
      </c>
      <c r="AU23" s="287">
        <v>0.0</v>
      </c>
      <c r="AV23" s="287">
        <v>0.0</v>
      </c>
      <c r="AW23" s="287">
        <v>0.0</v>
      </c>
      <c r="AX23" s="287">
        <v>0.0</v>
      </c>
      <c r="AY23" s="287">
        <v>0.0</v>
      </c>
      <c r="AZ23" s="287">
        <v>0.0</v>
      </c>
      <c r="BA23" s="287">
        <v>0.0</v>
      </c>
      <c r="BB23" s="287">
        <v>0.0</v>
      </c>
      <c r="BC23" s="287">
        <v>0.0</v>
      </c>
      <c r="BD23" s="287">
        <v>0.0</v>
      </c>
      <c r="BE23" s="287">
        <v>0.0</v>
      </c>
      <c r="BF23" s="287">
        <v>0.0</v>
      </c>
      <c r="BG23" s="287">
        <v>0.0</v>
      </c>
      <c r="BH23" s="287">
        <v>0.0</v>
      </c>
      <c r="BI23" s="287">
        <v>0.0</v>
      </c>
      <c r="BJ23" s="287">
        <v>0.0</v>
      </c>
      <c r="BK23" s="287">
        <v>0.0</v>
      </c>
      <c r="BL23" s="287">
        <v>0.0</v>
      </c>
      <c r="BM23" s="287">
        <v>0.0</v>
      </c>
      <c r="BN23" s="287">
        <v>0.0</v>
      </c>
      <c r="BO23" s="287">
        <v>0.0</v>
      </c>
      <c r="BP23" s="287">
        <v>0.0</v>
      </c>
      <c r="BQ23" s="287">
        <v>0.0</v>
      </c>
      <c r="BR23" s="287">
        <v>0.0</v>
      </c>
      <c r="BS23" s="287">
        <v>0.0</v>
      </c>
      <c r="BT23" s="287">
        <v>0.0</v>
      </c>
      <c r="BU23" s="287">
        <v>0.0</v>
      </c>
      <c r="BV23" s="287">
        <v>0.0</v>
      </c>
      <c r="BW23" s="287">
        <v>0.0</v>
      </c>
      <c r="BX23" s="287">
        <v>0.0</v>
      </c>
      <c r="BY23" s="287">
        <v>0.0</v>
      </c>
      <c r="BZ23" s="287">
        <v>0.0</v>
      </c>
      <c r="CA23" s="287">
        <v>0.0</v>
      </c>
      <c r="CB23" s="287">
        <v>0.0</v>
      </c>
      <c r="CC23" s="117"/>
      <c r="CD23" s="117"/>
    </row>
    <row r="24" ht="15.75" customHeight="1">
      <c r="A24" s="284"/>
      <c r="B24" s="285"/>
      <c r="C24" s="247"/>
      <c r="D24" s="247"/>
      <c r="E24" s="247"/>
      <c r="F24" s="247"/>
      <c r="G24" s="247"/>
      <c r="H24" s="247"/>
      <c r="I24" s="247"/>
      <c r="J24" s="247"/>
      <c r="K24" s="247"/>
      <c r="L24" s="247"/>
      <c r="M24" s="247"/>
      <c r="N24" s="247"/>
      <c r="O24" s="247"/>
      <c r="P24" s="247"/>
      <c r="Q24" s="247"/>
      <c r="R24" s="247"/>
      <c r="S24" s="247"/>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7"/>
      <c r="CD24" s="117"/>
    </row>
    <row r="25" ht="15.75" customHeight="1">
      <c r="A25" s="284" t="s">
        <v>506</v>
      </c>
      <c r="B25" s="285"/>
      <c r="C25" s="247"/>
      <c r="D25" s="247"/>
      <c r="E25" s="247"/>
      <c r="F25" s="247"/>
      <c r="G25" s="247"/>
      <c r="H25" s="247"/>
      <c r="I25" s="247">
        <f>'Opex Departments'!P87</f>
        <v>2894</v>
      </c>
      <c r="J25" s="247">
        <f>'Opex Departments'!Q87</f>
        <v>2515</v>
      </c>
      <c r="K25" s="247">
        <f>'Opex Departments'!R87</f>
        <v>2865</v>
      </c>
      <c r="L25" s="247">
        <f>'Opex Departments'!S87</f>
        <v>1790</v>
      </c>
      <c r="M25" s="247">
        <f>'Opex Departments'!T87</f>
        <v>3366</v>
      </c>
      <c r="N25" s="247">
        <f>'Opex Departments'!U87</f>
        <v>4166</v>
      </c>
      <c r="O25" s="247">
        <f>'Opex Departments'!V87</f>
        <v>466</v>
      </c>
      <c r="P25" s="247">
        <f>'Opex Departments'!W87</f>
        <v>56</v>
      </c>
      <c r="Q25" s="247">
        <f>'Opex Departments'!X87</f>
        <v>4556</v>
      </c>
      <c r="R25" s="247">
        <f>'Opex Departments'!Y87</f>
        <v>2328</v>
      </c>
      <c r="S25" s="247">
        <f>'Opex Departments'!Z87</f>
        <v>2925</v>
      </c>
      <c r="T25" s="117">
        <f>T$13*$B25</f>
        <v>0</v>
      </c>
      <c r="U25" s="117">
        <f t="shared" ref="U25:CB25" si="11">T25*(1+U26)</f>
        <v>0</v>
      </c>
      <c r="V25" s="117">
        <f t="shared" si="11"/>
        <v>0</v>
      </c>
      <c r="W25" s="117">
        <f t="shared" si="11"/>
        <v>0</v>
      </c>
      <c r="X25" s="117">
        <f t="shared" si="11"/>
        <v>0</v>
      </c>
      <c r="Y25" s="117">
        <f t="shared" si="11"/>
        <v>0</v>
      </c>
      <c r="Z25" s="117">
        <f t="shared" si="11"/>
        <v>0</v>
      </c>
      <c r="AA25" s="117">
        <f t="shared" si="11"/>
        <v>0</v>
      </c>
      <c r="AB25" s="117">
        <f t="shared" si="11"/>
        <v>0</v>
      </c>
      <c r="AC25" s="117">
        <f t="shared" si="11"/>
        <v>0</v>
      </c>
      <c r="AD25" s="117">
        <f t="shared" si="11"/>
        <v>0</v>
      </c>
      <c r="AE25" s="117">
        <f t="shared" si="11"/>
        <v>0</v>
      </c>
      <c r="AF25" s="117">
        <f t="shared" si="11"/>
        <v>0</v>
      </c>
      <c r="AG25" s="117">
        <f t="shared" si="11"/>
        <v>0</v>
      </c>
      <c r="AH25" s="117">
        <f t="shared" si="11"/>
        <v>0</v>
      </c>
      <c r="AI25" s="117">
        <f t="shared" si="11"/>
        <v>0</v>
      </c>
      <c r="AJ25" s="117">
        <f t="shared" si="11"/>
        <v>0</v>
      </c>
      <c r="AK25" s="117">
        <f t="shared" si="11"/>
        <v>0</v>
      </c>
      <c r="AL25" s="117">
        <f t="shared" si="11"/>
        <v>0</v>
      </c>
      <c r="AM25" s="117">
        <f t="shared" si="11"/>
        <v>0</v>
      </c>
      <c r="AN25" s="117">
        <f t="shared" si="11"/>
        <v>0</v>
      </c>
      <c r="AO25" s="117">
        <f t="shared" si="11"/>
        <v>0</v>
      </c>
      <c r="AP25" s="117">
        <f t="shared" si="11"/>
        <v>0</v>
      </c>
      <c r="AQ25" s="117">
        <f t="shared" si="11"/>
        <v>0</v>
      </c>
      <c r="AR25" s="117">
        <f t="shared" si="11"/>
        <v>0</v>
      </c>
      <c r="AS25" s="117">
        <f t="shared" si="11"/>
        <v>0</v>
      </c>
      <c r="AT25" s="117">
        <f t="shared" si="11"/>
        <v>0</v>
      </c>
      <c r="AU25" s="117">
        <f t="shared" si="11"/>
        <v>0</v>
      </c>
      <c r="AV25" s="117">
        <f t="shared" si="11"/>
        <v>0</v>
      </c>
      <c r="AW25" s="117">
        <f t="shared" si="11"/>
        <v>0</v>
      </c>
      <c r="AX25" s="117">
        <f t="shared" si="11"/>
        <v>0</v>
      </c>
      <c r="AY25" s="117">
        <f t="shared" si="11"/>
        <v>0</v>
      </c>
      <c r="AZ25" s="117">
        <f t="shared" si="11"/>
        <v>0</v>
      </c>
      <c r="BA25" s="117">
        <f t="shared" si="11"/>
        <v>0</v>
      </c>
      <c r="BB25" s="117">
        <f t="shared" si="11"/>
        <v>0</v>
      </c>
      <c r="BC25" s="117">
        <f t="shared" si="11"/>
        <v>0</v>
      </c>
      <c r="BD25" s="117">
        <f t="shared" si="11"/>
        <v>0</v>
      </c>
      <c r="BE25" s="117">
        <f t="shared" si="11"/>
        <v>0</v>
      </c>
      <c r="BF25" s="117">
        <f t="shared" si="11"/>
        <v>0</v>
      </c>
      <c r="BG25" s="117">
        <f t="shared" si="11"/>
        <v>0</v>
      </c>
      <c r="BH25" s="117">
        <f t="shared" si="11"/>
        <v>0</v>
      </c>
      <c r="BI25" s="117">
        <f t="shared" si="11"/>
        <v>0</v>
      </c>
      <c r="BJ25" s="117">
        <f t="shared" si="11"/>
        <v>0</v>
      </c>
      <c r="BK25" s="117">
        <f t="shared" si="11"/>
        <v>0</v>
      </c>
      <c r="BL25" s="117">
        <f t="shared" si="11"/>
        <v>0</v>
      </c>
      <c r="BM25" s="117">
        <f t="shared" si="11"/>
        <v>0</v>
      </c>
      <c r="BN25" s="117">
        <f t="shared" si="11"/>
        <v>0</v>
      </c>
      <c r="BO25" s="117">
        <f t="shared" si="11"/>
        <v>0</v>
      </c>
      <c r="BP25" s="117">
        <f t="shared" si="11"/>
        <v>0</v>
      </c>
      <c r="BQ25" s="117">
        <f t="shared" si="11"/>
        <v>0</v>
      </c>
      <c r="BR25" s="117">
        <f t="shared" si="11"/>
        <v>0</v>
      </c>
      <c r="BS25" s="117">
        <f t="shared" si="11"/>
        <v>0</v>
      </c>
      <c r="BT25" s="117">
        <f t="shared" si="11"/>
        <v>0</v>
      </c>
      <c r="BU25" s="117">
        <f t="shared" si="11"/>
        <v>0</v>
      </c>
      <c r="BV25" s="117">
        <f t="shared" si="11"/>
        <v>0</v>
      </c>
      <c r="BW25" s="117">
        <f t="shared" si="11"/>
        <v>0</v>
      </c>
      <c r="BX25" s="117">
        <f t="shared" si="11"/>
        <v>0</v>
      </c>
      <c r="BY25" s="117">
        <f t="shared" si="11"/>
        <v>0</v>
      </c>
      <c r="BZ25" s="117">
        <f t="shared" si="11"/>
        <v>0</v>
      </c>
      <c r="CA25" s="117">
        <f t="shared" si="11"/>
        <v>0</v>
      </c>
      <c r="CB25" s="117">
        <f t="shared" si="11"/>
        <v>0</v>
      </c>
      <c r="CC25" s="117"/>
      <c r="CD25" s="117"/>
    </row>
    <row r="26" ht="15.75" customHeight="1">
      <c r="A26" s="284"/>
      <c r="B26" s="288"/>
      <c r="C26" s="247"/>
      <c r="D26" s="247"/>
      <c r="E26" s="247"/>
      <c r="F26" s="247"/>
      <c r="G26" s="247"/>
      <c r="H26" s="247"/>
      <c r="I26" s="247"/>
      <c r="J26" s="247"/>
      <c r="K26" s="247"/>
      <c r="L26" s="247"/>
      <c r="M26" s="247"/>
      <c r="N26" s="247"/>
      <c r="O26" s="247"/>
      <c r="P26" s="247"/>
      <c r="Q26" s="247"/>
      <c r="R26" s="247"/>
      <c r="S26" s="247"/>
      <c r="T26" s="287">
        <v>0.0</v>
      </c>
      <c r="U26" s="287">
        <v>0.0</v>
      </c>
      <c r="V26" s="287">
        <v>0.0</v>
      </c>
      <c r="W26" s="287">
        <v>0.0</v>
      </c>
      <c r="X26" s="287">
        <v>0.0</v>
      </c>
      <c r="Y26" s="287">
        <v>0.0</v>
      </c>
      <c r="Z26" s="287">
        <v>0.0</v>
      </c>
      <c r="AA26" s="287">
        <v>0.0</v>
      </c>
      <c r="AB26" s="287">
        <v>0.0</v>
      </c>
      <c r="AC26" s="287">
        <v>0.0</v>
      </c>
      <c r="AD26" s="287">
        <v>0.0</v>
      </c>
      <c r="AE26" s="287">
        <v>0.0</v>
      </c>
      <c r="AF26" s="287">
        <v>0.0</v>
      </c>
      <c r="AG26" s="287">
        <v>0.0</v>
      </c>
      <c r="AH26" s="287">
        <v>0.0</v>
      </c>
      <c r="AI26" s="287">
        <v>0.0</v>
      </c>
      <c r="AJ26" s="287">
        <v>0.0</v>
      </c>
      <c r="AK26" s="287">
        <v>0.0</v>
      </c>
      <c r="AL26" s="287">
        <v>0.0</v>
      </c>
      <c r="AM26" s="287">
        <v>0.0</v>
      </c>
      <c r="AN26" s="287">
        <v>0.0</v>
      </c>
      <c r="AO26" s="287">
        <v>0.0</v>
      </c>
      <c r="AP26" s="287">
        <v>0.0</v>
      </c>
      <c r="AQ26" s="287">
        <v>0.0</v>
      </c>
      <c r="AR26" s="287">
        <v>0.0</v>
      </c>
      <c r="AS26" s="287">
        <v>0.0</v>
      </c>
      <c r="AT26" s="287">
        <v>0.0</v>
      </c>
      <c r="AU26" s="287">
        <v>0.0</v>
      </c>
      <c r="AV26" s="287">
        <v>0.0</v>
      </c>
      <c r="AW26" s="287">
        <v>0.0</v>
      </c>
      <c r="AX26" s="287">
        <v>0.0</v>
      </c>
      <c r="AY26" s="287">
        <v>0.0</v>
      </c>
      <c r="AZ26" s="287">
        <v>0.0</v>
      </c>
      <c r="BA26" s="287">
        <v>0.0</v>
      </c>
      <c r="BB26" s="287">
        <v>0.0</v>
      </c>
      <c r="BC26" s="287">
        <v>0.0</v>
      </c>
      <c r="BD26" s="287">
        <v>0.0</v>
      </c>
      <c r="BE26" s="287">
        <v>0.0</v>
      </c>
      <c r="BF26" s="287">
        <v>0.0</v>
      </c>
      <c r="BG26" s="287">
        <v>0.0</v>
      </c>
      <c r="BH26" s="287">
        <v>0.0</v>
      </c>
      <c r="BI26" s="287">
        <v>0.0</v>
      </c>
      <c r="BJ26" s="287">
        <v>0.0</v>
      </c>
      <c r="BK26" s="287">
        <v>0.0</v>
      </c>
      <c r="BL26" s="287">
        <v>0.0</v>
      </c>
      <c r="BM26" s="287">
        <v>0.0</v>
      </c>
      <c r="BN26" s="287">
        <v>0.0</v>
      </c>
      <c r="BO26" s="287">
        <v>0.0</v>
      </c>
      <c r="BP26" s="287">
        <v>0.0</v>
      </c>
      <c r="BQ26" s="287">
        <v>0.0</v>
      </c>
      <c r="BR26" s="287">
        <v>0.0</v>
      </c>
      <c r="BS26" s="287">
        <v>0.0</v>
      </c>
      <c r="BT26" s="287">
        <v>0.0</v>
      </c>
      <c r="BU26" s="287">
        <v>0.0</v>
      </c>
      <c r="BV26" s="287">
        <v>0.0</v>
      </c>
      <c r="BW26" s="287">
        <v>0.0</v>
      </c>
      <c r="BX26" s="287">
        <v>0.0</v>
      </c>
      <c r="BY26" s="287">
        <v>0.0</v>
      </c>
      <c r="BZ26" s="287">
        <v>0.0</v>
      </c>
      <c r="CA26" s="287">
        <v>0.0</v>
      </c>
      <c r="CB26" s="287">
        <v>0.0</v>
      </c>
      <c r="CC26" s="117"/>
      <c r="CD26" s="117"/>
    </row>
    <row r="27" ht="15.75" customHeight="1">
      <c r="A27" s="284"/>
      <c r="B27" s="288"/>
      <c r="C27" s="247"/>
      <c r="D27" s="247"/>
      <c r="E27" s="247"/>
      <c r="F27" s="247"/>
      <c r="G27" s="247"/>
      <c r="H27" s="247"/>
      <c r="I27" s="247"/>
      <c r="J27" s="247"/>
      <c r="K27" s="247"/>
      <c r="L27" s="247"/>
      <c r="M27" s="247"/>
      <c r="N27" s="247"/>
      <c r="O27" s="247"/>
      <c r="P27" s="247"/>
      <c r="Q27" s="247"/>
      <c r="R27" s="247"/>
      <c r="S27" s="247"/>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7"/>
      <c r="BU27" s="117"/>
      <c r="BV27" s="117"/>
      <c r="BW27" s="117"/>
      <c r="BX27" s="117"/>
      <c r="BY27" s="117"/>
      <c r="BZ27" s="117"/>
      <c r="CA27" s="117"/>
      <c r="CB27" s="117"/>
      <c r="CC27" s="117"/>
      <c r="CD27" s="117"/>
    </row>
    <row r="28" ht="15.75" customHeight="1">
      <c r="A28" s="284" t="s">
        <v>507</v>
      </c>
      <c r="B28" s="288"/>
      <c r="C28" s="247">
        <v>0.0</v>
      </c>
      <c r="D28" s="247">
        <v>0.0</v>
      </c>
      <c r="E28" s="247">
        <f>'Opex Departments'!L88</f>
        <v>1371</v>
      </c>
      <c r="F28" s="247">
        <f>'Opex Departments'!M88</f>
        <v>916</v>
      </c>
      <c r="G28" s="247">
        <f>'Opex Departments'!N88</f>
        <v>247</v>
      </c>
      <c r="H28" s="247">
        <f>'Opex Departments'!O88</f>
        <v>4500</v>
      </c>
      <c r="I28" s="247">
        <f>'Opex Departments'!P88</f>
        <v>3357</v>
      </c>
      <c r="J28" s="247">
        <f>'Opex Departments'!Q88</f>
        <v>417</v>
      </c>
      <c r="K28" s="247">
        <f>'Opex Departments'!R88</f>
        <v>4190</v>
      </c>
      <c r="L28" s="247">
        <f>'Opex Departments'!S88</f>
        <v>1220</v>
      </c>
      <c r="M28" s="247">
        <f>'Opex Departments'!T88</f>
        <v>276</v>
      </c>
      <c r="N28" s="247">
        <f>'Opex Departments'!U88</f>
        <v>3753</v>
      </c>
      <c r="O28" s="247">
        <f>'Opex Departments'!V88</f>
        <v>4770</v>
      </c>
      <c r="P28" s="247">
        <f>'Opex Departments'!W88</f>
        <v>618</v>
      </c>
      <c r="Q28" s="247">
        <f>'Opex Departments'!X88</f>
        <v>4256</v>
      </c>
      <c r="R28" s="247">
        <f>'Opex Departments'!Y88</f>
        <v>3450</v>
      </c>
      <c r="S28" s="247">
        <f>'Opex Departments'!Z88</f>
        <v>1428</v>
      </c>
      <c r="T28" s="117">
        <f t="shared" ref="T28:CB28" si="12">S28*(1+T29)</f>
        <v>1435.14</v>
      </c>
      <c r="U28" s="117">
        <f t="shared" si="12"/>
        <v>1442.3157</v>
      </c>
      <c r="V28" s="117">
        <f t="shared" si="12"/>
        <v>1449.527279</v>
      </c>
      <c r="W28" s="117">
        <f t="shared" si="12"/>
        <v>1456.774915</v>
      </c>
      <c r="X28" s="117">
        <f t="shared" si="12"/>
        <v>1464.058789</v>
      </c>
      <c r="Y28" s="117">
        <f t="shared" si="12"/>
        <v>1471.379083</v>
      </c>
      <c r="Z28" s="117">
        <f t="shared" si="12"/>
        <v>1478.735979</v>
      </c>
      <c r="AA28" s="117">
        <f t="shared" si="12"/>
        <v>1486.129659</v>
      </c>
      <c r="AB28" s="117">
        <f t="shared" si="12"/>
        <v>1493.560307</v>
      </c>
      <c r="AC28" s="117">
        <f t="shared" si="12"/>
        <v>1501.028109</v>
      </c>
      <c r="AD28" s="117">
        <f t="shared" si="12"/>
        <v>1508.533249</v>
      </c>
      <c r="AE28" s="117">
        <f t="shared" si="12"/>
        <v>1516.075915</v>
      </c>
      <c r="AF28" s="117">
        <f t="shared" si="12"/>
        <v>1523.656295</v>
      </c>
      <c r="AG28" s="117">
        <f t="shared" si="12"/>
        <v>1531.274576</v>
      </c>
      <c r="AH28" s="117">
        <f t="shared" si="12"/>
        <v>1538.930949</v>
      </c>
      <c r="AI28" s="117">
        <f t="shared" si="12"/>
        <v>1546.625604</v>
      </c>
      <c r="AJ28" s="117">
        <f t="shared" si="12"/>
        <v>1554.358732</v>
      </c>
      <c r="AK28" s="117">
        <f t="shared" si="12"/>
        <v>1562.130526</v>
      </c>
      <c r="AL28" s="117">
        <f t="shared" si="12"/>
        <v>1569.941178</v>
      </c>
      <c r="AM28" s="117">
        <f t="shared" si="12"/>
        <v>1577.790884</v>
      </c>
      <c r="AN28" s="117">
        <f t="shared" si="12"/>
        <v>1585.679839</v>
      </c>
      <c r="AO28" s="117">
        <f t="shared" si="12"/>
        <v>1593.608238</v>
      </c>
      <c r="AP28" s="117">
        <f t="shared" si="12"/>
        <v>1601.576279</v>
      </c>
      <c r="AQ28" s="117">
        <f t="shared" si="12"/>
        <v>1609.58416</v>
      </c>
      <c r="AR28" s="117">
        <f t="shared" si="12"/>
        <v>1617.632081</v>
      </c>
      <c r="AS28" s="117">
        <f t="shared" si="12"/>
        <v>1625.720242</v>
      </c>
      <c r="AT28" s="117">
        <f t="shared" si="12"/>
        <v>1633.848843</v>
      </c>
      <c r="AU28" s="117">
        <f t="shared" si="12"/>
        <v>1642.018087</v>
      </c>
      <c r="AV28" s="117">
        <f t="shared" si="12"/>
        <v>1650.228177</v>
      </c>
      <c r="AW28" s="117">
        <f t="shared" si="12"/>
        <v>1658.479318</v>
      </c>
      <c r="AX28" s="117">
        <f t="shared" si="12"/>
        <v>1666.771715</v>
      </c>
      <c r="AY28" s="117">
        <f t="shared" si="12"/>
        <v>1675.105574</v>
      </c>
      <c r="AZ28" s="117">
        <f t="shared" si="12"/>
        <v>1683.481101</v>
      </c>
      <c r="BA28" s="117">
        <f t="shared" si="12"/>
        <v>1691.898507</v>
      </c>
      <c r="BB28" s="117">
        <f t="shared" si="12"/>
        <v>1700.357999</v>
      </c>
      <c r="BC28" s="117">
        <f t="shared" si="12"/>
        <v>1708.859789</v>
      </c>
      <c r="BD28" s="117">
        <f t="shared" si="12"/>
        <v>1717.404088</v>
      </c>
      <c r="BE28" s="117">
        <f t="shared" si="12"/>
        <v>1725.991109</v>
      </c>
      <c r="BF28" s="117">
        <f t="shared" si="12"/>
        <v>1734.621064</v>
      </c>
      <c r="BG28" s="117">
        <f t="shared" si="12"/>
        <v>1743.29417</v>
      </c>
      <c r="BH28" s="117">
        <f t="shared" si="12"/>
        <v>1752.010641</v>
      </c>
      <c r="BI28" s="117">
        <f t="shared" si="12"/>
        <v>1760.770694</v>
      </c>
      <c r="BJ28" s="117">
        <f t="shared" si="12"/>
        <v>1769.574547</v>
      </c>
      <c r="BK28" s="117">
        <f t="shared" si="12"/>
        <v>1778.42242</v>
      </c>
      <c r="BL28" s="117">
        <f t="shared" si="12"/>
        <v>1787.314532</v>
      </c>
      <c r="BM28" s="117">
        <f t="shared" si="12"/>
        <v>1796.251105</v>
      </c>
      <c r="BN28" s="117">
        <f t="shared" si="12"/>
        <v>1805.23236</v>
      </c>
      <c r="BO28" s="117">
        <f t="shared" si="12"/>
        <v>1814.258522</v>
      </c>
      <c r="BP28" s="117">
        <f t="shared" si="12"/>
        <v>1823.329815</v>
      </c>
      <c r="BQ28" s="117">
        <f t="shared" si="12"/>
        <v>1832.446464</v>
      </c>
      <c r="BR28" s="117">
        <f t="shared" si="12"/>
        <v>1841.608696</v>
      </c>
      <c r="BS28" s="117">
        <f t="shared" si="12"/>
        <v>1850.81674</v>
      </c>
      <c r="BT28" s="117">
        <f t="shared" si="12"/>
        <v>1860.070823</v>
      </c>
      <c r="BU28" s="117">
        <f t="shared" si="12"/>
        <v>1869.371177</v>
      </c>
      <c r="BV28" s="117">
        <f t="shared" si="12"/>
        <v>1878.718033</v>
      </c>
      <c r="BW28" s="117">
        <f t="shared" si="12"/>
        <v>1888.111623</v>
      </c>
      <c r="BX28" s="117">
        <f t="shared" si="12"/>
        <v>1897.552182</v>
      </c>
      <c r="BY28" s="117">
        <f t="shared" si="12"/>
        <v>1907.039942</v>
      </c>
      <c r="BZ28" s="117">
        <f t="shared" si="12"/>
        <v>1916.575142</v>
      </c>
      <c r="CA28" s="117">
        <f t="shared" si="12"/>
        <v>1926.158018</v>
      </c>
      <c r="CB28" s="117">
        <f t="shared" si="12"/>
        <v>1935.788808</v>
      </c>
      <c r="CC28" s="117"/>
      <c r="CD28" s="117"/>
    </row>
    <row r="29" ht="15.75" customHeight="1">
      <c r="A29" s="289"/>
      <c r="B29" s="285"/>
      <c r="C29" s="247"/>
      <c r="D29" s="247"/>
      <c r="E29" s="247"/>
      <c r="F29" s="247"/>
      <c r="G29" s="247"/>
      <c r="H29" s="247"/>
      <c r="I29" s="247"/>
      <c r="J29" s="247"/>
      <c r="K29" s="247"/>
      <c r="L29" s="247"/>
      <c r="M29" s="247"/>
      <c r="N29" s="247"/>
      <c r="O29" s="247"/>
      <c r="P29" s="117"/>
      <c r="Q29" s="117"/>
      <c r="R29" s="117"/>
      <c r="S29" s="117"/>
      <c r="T29" s="287">
        <v>0.005</v>
      </c>
      <c r="U29" s="287">
        <v>0.005</v>
      </c>
      <c r="V29" s="287">
        <v>0.005</v>
      </c>
      <c r="W29" s="287">
        <v>0.005</v>
      </c>
      <c r="X29" s="287">
        <v>0.005</v>
      </c>
      <c r="Y29" s="287">
        <v>0.005</v>
      </c>
      <c r="Z29" s="287">
        <v>0.005</v>
      </c>
      <c r="AA29" s="287">
        <v>0.005</v>
      </c>
      <c r="AB29" s="287">
        <v>0.005</v>
      </c>
      <c r="AC29" s="287">
        <v>0.005</v>
      </c>
      <c r="AD29" s="287">
        <v>0.005</v>
      </c>
      <c r="AE29" s="287">
        <v>0.005</v>
      </c>
      <c r="AF29" s="287">
        <v>0.005</v>
      </c>
      <c r="AG29" s="287">
        <v>0.005</v>
      </c>
      <c r="AH29" s="287">
        <v>0.005</v>
      </c>
      <c r="AI29" s="287">
        <v>0.005</v>
      </c>
      <c r="AJ29" s="287">
        <v>0.005</v>
      </c>
      <c r="AK29" s="287">
        <v>0.005</v>
      </c>
      <c r="AL29" s="287">
        <v>0.005</v>
      </c>
      <c r="AM29" s="287">
        <v>0.005</v>
      </c>
      <c r="AN29" s="287">
        <v>0.005</v>
      </c>
      <c r="AO29" s="287">
        <v>0.005</v>
      </c>
      <c r="AP29" s="287">
        <v>0.005</v>
      </c>
      <c r="AQ29" s="287">
        <v>0.005</v>
      </c>
      <c r="AR29" s="287">
        <v>0.005</v>
      </c>
      <c r="AS29" s="287">
        <v>0.005</v>
      </c>
      <c r="AT29" s="287">
        <v>0.005</v>
      </c>
      <c r="AU29" s="287">
        <v>0.005</v>
      </c>
      <c r="AV29" s="287">
        <v>0.005</v>
      </c>
      <c r="AW29" s="287">
        <v>0.005</v>
      </c>
      <c r="AX29" s="287">
        <v>0.005</v>
      </c>
      <c r="AY29" s="287">
        <v>0.005</v>
      </c>
      <c r="AZ29" s="287">
        <v>0.005</v>
      </c>
      <c r="BA29" s="287">
        <v>0.005</v>
      </c>
      <c r="BB29" s="287">
        <v>0.005</v>
      </c>
      <c r="BC29" s="287">
        <v>0.005</v>
      </c>
      <c r="BD29" s="287">
        <v>0.005</v>
      </c>
      <c r="BE29" s="287">
        <v>0.005</v>
      </c>
      <c r="BF29" s="287">
        <v>0.005</v>
      </c>
      <c r="BG29" s="287">
        <v>0.005</v>
      </c>
      <c r="BH29" s="287">
        <v>0.005</v>
      </c>
      <c r="BI29" s="287">
        <v>0.005</v>
      </c>
      <c r="BJ29" s="287">
        <v>0.005</v>
      </c>
      <c r="BK29" s="287">
        <v>0.005</v>
      </c>
      <c r="BL29" s="287">
        <v>0.005</v>
      </c>
      <c r="BM29" s="287">
        <v>0.005</v>
      </c>
      <c r="BN29" s="287">
        <v>0.005</v>
      </c>
      <c r="BO29" s="287">
        <v>0.005</v>
      </c>
      <c r="BP29" s="287">
        <v>0.005</v>
      </c>
      <c r="BQ29" s="287">
        <v>0.005</v>
      </c>
      <c r="BR29" s="287">
        <v>0.005</v>
      </c>
      <c r="BS29" s="287">
        <v>0.005</v>
      </c>
      <c r="BT29" s="287">
        <v>0.005</v>
      </c>
      <c r="BU29" s="287">
        <v>0.005</v>
      </c>
      <c r="BV29" s="287">
        <v>0.005</v>
      </c>
      <c r="BW29" s="287">
        <v>0.005</v>
      </c>
      <c r="BX29" s="287">
        <v>0.005</v>
      </c>
      <c r="BY29" s="287">
        <v>0.005</v>
      </c>
      <c r="BZ29" s="287">
        <v>0.005</v>
      </c>
      <c r="CA29" s="287">
        <v>0.005</v>
      </c>
      <c r="CB29" s="287">
        <v>0.005</v>
      </c>
      <c r="CC29" s="117"/>
      <c r="CD29" s="117"/>
    </row>
    <row r="30" ht="15.75" customHeight="1">
      <c r="A30" s="289"/>
      <c r="B30" s="285"/>
      <c r="C30" s="247"/>
      <c r="D30" s="247"/>
      <c r="E30" s="247"/>
      <c r="F30" s="247"/>
      <c r="G30" s="247"/>
      <c r="H30" s="247"/>
      <c r="I30" s="247"/>
      <c r="J30" s="247"/>
      <c r="K30" s="247"/>
      <c r="L30" s="247"/>
      <c r="M30" s="247"/>
      <c r="N30" s="247"/>
      <c r="O30" s="247"/>
      <c r="P30" s="117"/>
      <c r="Q30" s="117"/>
      <c r="R30" s="117"/>
      <c r="S30" s="117"/>
      <c r="T30" s="286"/>
      <c r="U30" s="286"/>
      <c r="V30" s="286"/>
      <c r="W30" s="286"/>
      <c r="X30" s="286"/>
      <c r="Y30" s="286"/>
      <c r="Z30" s="286"/>
      <c r="AA30" s="286"/>
      <c r="AB30" s="286"/>
      <c r="AC30" s="286"/>
      <c r="AD30" s="286"/>
      <c r="AE30" s="286"/>
      <c r="AF30" s="286"/>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c r="BY30" s="117"/>
      <c r="BZ30" s="117"/>
      <c r="CA30" s="117"/>
      <c r="CB30" s="117"/>
      <c r="CC30" s="117"/>
      <c r="CD30" s="117"/>
    </row>
    <row r="31" ht="15.75" customHeight="1">
      <c r="A31" s="290" t="s">
        <v>237</v>
      </c>
      <c r="B31" s="288"/>
      <c r="C31" s="247">
        <f t="array" ref="C31">INDEX('IS Proforma'!$1:$1048490,MATCH(Expenses!$A31,'IS Proforma'!$C:$C,0),MATCH(Expenses!C$4,'IS Proforma'!$4:$4))</f>
        <v>2042</v>
      </c>
      <c r="D31" s="247">
        <f t="array" ref="D31">INDEX('IS Proforma'!$1:$1048490,MATCH(Expenses!$A31,'IS Proforma'!$C:$C,0),MATCH(Expenses!D$4,'IS Proforma'!$4:$4))</f>
        <v>1115</v>
      </c>
      <c r="E31" s="247">
        <f t="array" ref="E31">INDEX('IS Proforma'!$1:$1048490,MATCH(Expenses!$A31,'IS Proforma'!$C:$C,0),MATCH(Expenses!E$4,'IS Proforma'!$4:$4))</f>
        <v>1729</v>
      </c>
      <c r="F31" s="247">
        <f t="array" ref="F31">INDEX('IS Proforma'!$1:$1048490,MATCH(Expenses!$A31,'IS Proforma'!$C:$C,0),MATCH(Expenses!F$4,'IS Proforma'!$4:$4))</f>
        <v>1067</v>
      </c>
      <c r="G31" s="247">
        <f t="array" ref="G31">INDEX('IS Proforma'!$1:$1048490,MATCH(Expenses!$A31,'IS Proforma'!$C:$C,0),MATCH(Expenses!G$4,'IS Proforma'!$4:$4))</f>
        <v>2124</v>
      </c>
      <c r="H31" s="247">
        <f t="array" ref="H31">INDEX('IS Proforma'!$1:$1048490,MATCH(Expenses!$A31,'IS Proforma'!$C:$C,0),MATCH(Expenses!H$4,'IS Proforma'!$4:$4))</f>
        <v>1382</v>
      </c>
      <c r="I31" s="247">
        <f t="array" ref="I31">INDEX('IS Proforma'!$1:$1048490,MATCH(Expenses!$A31,'IS Proforma'!$C:$C,0),MATCH(Expenses!I$4,'IS Proforma'!$4:$4))</f>
        <v>1997</v>
      </c>
      <c r="J31" s="247">
        <f t="array" ref="J31">INDEX('IS Proforma'!$1:$1048490,MATCH(Expenses!$A31,'IS Proforma'!$C:$C,0),MATCH(Expenses!J$4,'IS Proforma'!$4:$4))</f>
        <v>1273</v>
      </c>
      <c r="K31" s="247">
        <f t="array" ref="K31">INDEX('IS Proforma'!$1:$1048490,MATCH(Expenses!$A31,'IS Proforma'!$C:$C,0),MATCH(Expenses!K$4,'IS Proforma'!$4:$4))</f>
        <v>1812</v>
      </c>
      <c r="L31" s="247">
        <f t="array" ref="L31">INDEX('IS Proforma'!$1:$1048490,MATCH(Expenses!$A31,'IS Proforma'!$C:$C,0),MATCH(Expenses!L$4,'IS Proforma'!$4:$4))</f>
        <v>1629</v>
      </c>
      <c r="M31" s="247">
        <f t="array" ref="M31">INDEX('IS Proforma'!$1:$1048490,MATCH(Expenses!$A31,'IS Proforma'!$C:$C,0),MATCH(Expenses!M$4,'IS Proforma'!$4:$4))</f>
        <v>2242</v>
      </c>
      <c r="N31" s="247">
        <f t="array" ref="N31">INDEX('IS Proforma'!$1:$1048490,MATCH(Expenses!$A31,'IS Proforma'!$C:$C,0),MATCH(Expenses!N$4,'IS Proforma'!$4:$4))</f>
        <v>2283</v>
      </c>
      <c r="O31" s="247">
        <f t="array" ref="O31">INDEX('IS Proforma'!$1:$1048490,MATCH(Expenses!$A31,'IS Proforma'!$C:$C,0),MATCH(Expenses!O$4,'IS Proforma'!$4:$4))</f>
        <v>1680</v>
      </c>
      <c r="P31" s="247">
        <f t="array" ref="P31">INDEX('IS Proforma'!$1:$1048490,MATCH(Expenses!$A31,'IS Proforma'!$C:$C,0),MATCH(Expenses!P$4,'IS Proforma'!$4:$4))</f>
        <v>2173</v>
      </c>
      <c r="Q31" s="247">
        <f t="array" ref="Q31">INDEX('IS Proforma'!$1:$1048490,MATCH(Expenses!$A31,'IS Proforma'!$C:$C,0),MATCH(Expenses!Q$4,'IS Proforma'!$4:$4))</f>
        <v>1530</v>
      </c>
      <c r="R31" s="247">
        <f t="array" ref="R31">INDEX('IS Proforma'!$1:$1048490,MATCH(Expenses!$A31,'IS Proforma'!$C:$C,0),MATCH(Expenses!R$4,'IS Proforma'!$4:$4))</f>
        <v>2497</v>
      </c>
      <c r="S31" s="247">
        <f t="array" ref="S31">INDEX('IS Proforma'!$1:$1048490,MATCH(Expenses!$A31,'IS Proforma'!$C:$C,0),MATCH(Expenses!S$4,'IS Proforma'!$4:$4))</f>
        <v>2232</v>
      </c>
      <c r="T31" s="117">
        <f t="shared" ref="T31:CB31" si="13">SUM(T33,T36,T39,T42,T45)</f>
        <v>2350.14</v>
      </c>
      <c r="U31" s="117">
        <f t="shared" si="13"/>
        <v>2367.8157</v>
      </c>
      <c r="V31" s="117">
        <f t="shared" si="13"/>
        <v>2385.579779</v>
      </c>
      <c r="W31" s="117">
        <f t="shared" si="13"/>
        <v>2403.432677</v>
      </c>
      <c r="X31" s="117">
        <f t="shared" si="13"/>
        <v>2421.374841</v>
      </c>
      <c r="Y31" s="117">
        <f t="shared" si="13"/>
        <v>2439.406715</v>
      </c>
      <c r="Z31" s="117">
        <f t="shared" si="13"/>
        <v>2457.528749</v>
      </c>
      <c r="AA31" s="117">
        <f t="shared" si="13"/>
        <v>2475.741392</v>
      </c>
      <c r="AB31" s="117">
        <f t="shared" si="13"/>
        <v>2494.045099</v>
      </c>
      <c r="AC31" s="117">
        <f t="shared" si="13"/>
        <v>2512.440325</v>
      </c>
      <c r="AD31" s="117">
        <f t="shared" si="13"/>
        <v>2530.927526</v>
      </c>
      <c r="AE31" s="117">
        <f t="shared" si="13"/>
        <v>2549.507164</v>
      </c>
      <c r="AF31" s="117">
        <f t="shared" si="13"/>
        <v>2568.1797</v>
      </c>
      <c r="AG31" s="117">
        <f t="shared" si="13"/>
        <v>2581.020598</v>
      </c>
      <c r="AH31" s="117">
        <f t="shared" si="13"/>
        <v>2593.925701</v>
      </c>
      <c r="AI31" s="117">
        <f t="shared" si="13"/>
        <v>2606.89533</v>
      </c>
      <c r="AJ31" s="117">
        <f t="shared" si="13"/>
        <v>2619.929806</v>
      </c>
      <c r="AK31" s="117">
        <f t="shared" si="13"/>
        <v>2633.029456</v>
      </c>
      <c r="AL31" s="117">
        <f t="shared" si="13"/>
        <v>2646.194603</v>
      </c>
      <c r="AM31" s="117">
        <f t="shared" si="13"/>
        <v>2659.425576</v>
      </c>
      <c r="AN31" s="117">
        <f t="shared" si="13"/>
        <v>2672.722704</v>
      </c>
      <c r="AO31" s="117">
        <f t="shared" si="13"/>
        <v>2686.086317</v>
      </c>
      <c r="AP31" s="117">
        <f t="shared" si="13"/>
        <v>2699.516749</v>
      </c>
      <c r="AQ31" s="117">
        <f t="shared" si="13"/>
        <v>2713.014333</v>
      </c>
      <c r="AR31" s="117">
        <f t="shared" si="13"/>
        <v>2726.579404</v>
      </c>
      <c r="AS31" s="117">
        <f t="shared" si="13"/>
        <v>2740.212301</v>
      </c>
      <c r="AT31" s="117">
        <f t="shared" si="13"/>
        <v>2753.913363</v>
      </c>
      <c r="AU31" s="117">
        <f t="shared" si="13"/>
        <v>2767.68293</v>
      </c>
      <c r="AV31" s="117">
        <f t="shared" si="13"/>
        <v>2781.521344</v>
      </c>
      <c r="AW31" s="117">
        <f t="shared" si="13"/>
        <v>2795.428951</v>
      </c>
      <c r="AX31" s="117">
        <f t="shared" si="13"/>
        <v>2809.406096</v>
      </c>
      <c r="AY31" s="117">
        <f t="shared" si="13"/>
        <v>2823.453126</v>
      </c>
      <c r="AZ31" s="117">
        <f t="shared" si="13"/>
        <v>2837.570392</v>
      </c>
      <c r="BA31" s="117">
        <f t="shared" si="13"/>
        <v>2851.758244</v>
      </c>
      <c r="BB31" s="117">
        <f t="shared" si="13"/>
        <v>2866.017035</v>
      </c>
      <c r="BC31" s="117">
        <f t="shared" si="13"/>
        <v>2880.34712</v>
      </c>
      <c r="BD31" s="117">
        <f t="shared" si="13"/>
        <v>2894.748856</v>
      </c>
      <c r="BE31" s="117">
        <f t="shared" si="13"/>
        <v>2909.2226</v>
      </c>
      <c r="BF31" s="117">
        <f t="shared" si="13"/>
        <v>2923.768713</v>
      </c>
      <c r="BG31" s="117">
        <f t="shared" si="13"/>
        <v>2938.387557</v>
      </c>
      <c r="BH31" s="117">
        <f t="shared" si="13"/>
        <v>2953.079494</v>
      </c>
      <c r="BI31" s="117">
        <f t="shared" si="13"/>
        <v>2967.844892</v>
      </c>
      <c r="BJ31" s="117">
        <f t="shared" si="13"/>
        <v>2982.684116</v>
      </c>
      <c r="BK31" s="117">
        <f t="shared" si="13"/>
        <v>2997.597537</v>
      </c>
      <c r="BL31" s="117">
        <f t="shared" si="13"/>
        <v>3012.585525</v>
      </c>
      <c r="BM31" s="117">
        <f t="shared" si="13"/>
        <v>3027.648452</v>
      </c>
      <c r="BN31" s="117">
        <f t="shared" si="13"/>
        <v>3042.786694</v>
      </c>
      <c r="BO31" s="117">
        <f t="shared" si="13"/>
        <v>3058.000628</v>
      </c>
      <c r="BP31" s="117">
        <f t="shared" si="13"/>
        <v>3073.290631</v>
      </c>
      <c r="BQ31" s="117">
        <f t="shared" si="13"/>
        <v>3088.657084</v>
      </c>
      <c r="BR31" s="117">
        <f t="shared" si="13"/>
        <v>3104.10037</v>
      </c>
      <c r="BS31" s="117">
        <f t="shared" si="13"/>
        <v>3119.620871</v>
      </c>
      <c r="BT31" s="117">
        <f t="shared" si="13"/>
        <v>3135.218976</v>
      </c>
      <c r="BU31" s="117">
        <f t="shared" si="13"/>
        <v>3150.895071</v>
      </c>
      <c r="BV31" s="117">
        <f t="shared" si="13"/>
        <v>3166.649546</v>
      </c>
      <c r="BW31" s="117">
        <f t="shared" si="13"/>
        <v>3182.482794</v>
      </c>
      <c r="BX31" s="117">
        <f t="shared" si="13"/>
        <v>3198.395208</v>
      </c>
      <c r="BY31" s="117">
        <f t="shared" si="13"/>
        <v>3214.387184</v>
      </c>
      <c r="BZ31" s="117">
        <f t="shared" si="13"/>
        <v>3230.45912</v>
      </c>
      <c r="CA31" s="117">
        <f t="shared" si="13"/>
        <v>3246.611415</v>
      </c>
      <c r="CB31" s="117">
        <f t="shared" si="13"/>
        <v>3262.844472</v>
      </c>
      <c r="CC31" s="117"/>
      <c r="CD31" s="117"/>
    </row>
    <row r="32" ht="15.75" customHeight="1">
      <c r="A32" s="284"/>
      <c r="B32" s="285"/>
      <c r="C32" s="247"/>
      <c r="D32" s="247"/>
      <c r="E32" s="247"/>
      <c r="F32" s="247"/>
      <c r="G32" s="247"/>
      <c r="H32" s="247"/>
      <c r="I32" s="247"/>
      <c r="J32" s="247"/>
      <c r="K32" s="247"/>
      <c r="L32" s="117"/>
      <c r="M32" s="247"/>
      <c r="N32" s="117"/>
      <c r="O32" s="117"/>
      <c r="P32" s="247"/>
      <c r="Q32" s="247"/>
      <c r="R32" s="247"/>
      <c r="S32" s="247"/>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c r="BR32" s="117"/>
      <c r="BS32" s="117"/>
      <c r="BT32" s="117"/>
      <c r="BU32" s="117"/>
      <c r="BV32" s="117"/>
      <c r="BW32" s="117"/>
      <c r="BX32" s="117"/>
      <c r="BY32" s="117"/>
      <c r="BZ32" s="117"/>
      <c r="CA32" s="117"/>
      <c r="CB32" s="117"/>
      <c r="CC32" s="117"/>
      <c r="CD32" s="117"/>
    </row>
    <row r="33" ht="15.75" customHeight="1">
      <c r="A33" s="284" t="s">
        <v>508</v>
      </c>
      <c r="B33" s="285"/>
      <c r="C33" s="247"/>
      <c r="D33" s="247"/>
      <c r="E33" s="247"/>
      <c r="F33" s="247"/>
      <c r="G33" s="247"/>
      <c r="H33" s="247"/>
      <c r="I33" s="247"/>
      <c r="J33" s="247"/>
      <c r="K33" s="247"/>
      <c r="L33" s="117"/>
      <c r="M33" s="247"/>
      <c r="N33" s="117"/>
      <c r="O33" s="117"/>
      <c r="P33" s="247">
        <f>'Opex Departments'!W17</f>
        <v>3488</v>
      </c>
      <c r="Q33" s="247">
        <f>'Opex Departments'!X17</f>
        <v>3347</v>
      </c>
      <c r="R33" s="247">
        <f>'Opex Departments'!Y17</f>
        <v>3890</v>
      </c>
      <c r="S33" s="247">
        <f>'Opex Departments'!Z17</f>
        <v>1989</v>
      </c>
      <c r="T33" s="117">
        <v>2100.0</v>
      </c>
      <c r="U33" s="117">
        <f t="shared" ref="U33:CB33" si="14">T33*(1+U34)</f>
        <v>2110.5</v>
      </c>
      <c r="V33" s="117">
        <f t="shared" si="14"/>
        <v>2121.0525</v>
      </c>
      <c r="W33" s="117">
        <f t="shared" si="14"/>
        <v>2131.657763</v>
      </c>
      <c r="X33" s="117">
        <f t="shared" si="14"/>
        <v>2142.316051</v>
      </c>
      <c r="Y33" s="117">
        <f t="shared" si="14"/>
        <v>2153.027632</v>
      </c>
      <c r="Z33" s="117">
        <f t="shared" si="14"/>
        <v>2163.79277</v>
      </c>
      <c r="AA33" s="117">
        <f t="shared" si="14"/>
        <v>2174.611734</v>
      </c>
      <c r="AB33" s="117">
        <f t="shared" si="14"/>
        <v>2185.484792</v>
      </c>
      <c r="AC33" s="117">
        <f t="shared" si="14"/>
        <v>2196.412216</v>
      </c>
      <c r="AD33" s="117">
        <f t="shared" si="14"/>
        <v>2207.394277</v>
      </c>
      <c r="AE33" s="117">
        <f t="shared" si="14"/>
        <v>2218.431249</v>
      </c>
      <c r="AF33" s="117">
        <f t="shared" si="14"/>
        <v>2229.523405</v>
      </c>
      <c r="AG33" s="117">
        <f t="shared" si="14"/>
        <v>2240.671022</v>
      </c>
      <c r="AH33" s="117">
        <f t="shared" si="14"/>
        <v>2251.874377</v>
      </c>
      <c r="AI33" s="117">
        <f t="shared" si="14"/>
        <v>2263.133749</v>
      </c>
      <c r="AJ33" s="117">
        <f t="shared" si="14"/>
        <v>2274.449418</v>
      </c>
      <c r="AK33" s="117">
        <f t="shared" si="14"/>
        <v>2285.821665</v>
      </c>
      <c r="AL33" s="117">
        <f t="shared" si="14"/>
        <v>2297.250773</v>
      </c>
      <c r="AM33" s="117">
        <f t="shared" si="14"/>
        <v>2308.737027</v>
      </c>
      <c r="AN33" s="117">
        <f t="shared" si="14"/>
        <v>2320.280712</v>
      </c>
      <c r="AO33" s="117">
        <f t="shared" si="14"/>
        <v>2331.882116</v>
      </c>
      <c r="AP33" s="117">
        <f t="shared" si="14"/>
        <v>2343.541526</v>
      </c>
      <c r="AQ33" s="117">
        <f t="shared" si="14"/>
        <v>2355.259234</v>
      </c>
      <c r="AR33" s="117">
        <f t="shared" si="14"/>
        <v>2367.03553</v>
      </c>
      <c r="AS33" s="117">
        <f t="shared" si="14"/>
        <v>2378.870708</v>
      </c>
      <c r="AT33" s="117">
        <f t="shared" si="14"/>
        <v>2390.765061</v>
      </c>
      <c r="AU33" s="117">
        <f t="shared" si="14"/>
        <v>2402.718887</v>
      </c>
      <c r="AV33" s="117">
        <f t="shared" si="14"/>
        <v>2414.732481</v>
      </c>
      <c r="AW33" s="117">
        <f t="shared" si="14"/>
        <v>2426.806143</v>
      </c>
      <c r="AX33" s="117">
        <f t="shared" si="14"/>
        <v>2438.940174</v>
      </c>
      <c r="AY33" s="117">
        <f t="shared" si="14"/>
        <v>2451.134875</v>
      </c>
      <c r="AZ33" s="117">
        <f t="shared" si="14"/>
        <v>2463.390549</v>
      </c>
      <c r="BA33" s="117">
        <f t="shared" si="14"/>
        <v>2475.707502</v>
      </c>
      <c r="BB33" s="117">
        <f t="shared" si="14"/>
        <v>2488.08604</v>
      </c>
      <c r="BC33" s="117">
        <f t="shared" si="14"/>
        <v>2500.52647</v>
      </c>
      <c r="BD33" s="117">
        <f t="shared" si="14"/>
        <v>2513.029102</v>
      </c>
      <c r="BE33" s="117">
        <f t="shared" si="14"/>
        <v>2525.594248</v>
      </c>
      <c r="BF33" s="117">
        <f t="shared" si="14"/>
        <v>2538.222219</v>
      </c>
      <c r="BG33" s="117">
        <f t="shared" si="14"/>
        <v>2550.91333</v>
      </c>
      <c r="BH33" s="117">
        <f t="shared" si="14"/>
        <v>2563.667897</v>
      </c>
      <c r="BI33" s="117">
        <f t="shared" si="14"/>
        <v>2576.486236</v>
      </c>
      <c r="BJ33" s="117">
        <f t="shared" si="14"/>
        <v>2589.368667</v>
      </c>
      <c r="BK33" s="117">
        <f t="shared" si="14"/>
        <v>2602.315511</v>
      </c>
      <c r="BL33" s="117">
        <f t="shared" si="14"/>
        <v>2615.327088</v>
      </c>
      <c r="BM33" s="117">
        <f t="shared" si="14"/>
        <v>2628.403724</v>
      </c>
      <c r="BN33" s="117">
        <f t="shared" si="14"/>
        <v>2641.545742</v>
      </c>
      <c r="BO33" s="117">
        <f t="shared" si="14"/>
        <v>2654.753471</v>
      </c>
      <c r="BP33" s="117">
        <f t="shared" si="14"/>
        <v>2668.027238</v>
      </c>
      <c r="BQ33" s="117">
        <f t="shared" si="14"/>
        <v>2681.367374</v>
      </c>
      <c r="BR33" s="117">
        <f t="shared" si="14"/>
        <v>2694.774211</v>
      </c>
      <c r="BS33" s="117">
        <f t="shared" si="14"/>
        <v>2708.248082</v>
      </c>
      <c r="BT33" s="117">
        <f t="shared" si="14"/>
        <v>2721.789323</v>
      </c>
      <c r="BU33" s="117">
        <f t="shared" si="14"/>
        <v>2735.398269</v>
      </c>
      <c r="BV33" s="117">
        <f t="shared" si="14"/>
        <v>2749.075261</v>
      </c>
      <c r="BW33" s="117">
        <f t="shared" si="14"/>
        <v>2762.820637</v>
      </c>
      <c r="BX33" s="117">
        <f t="shared" si="14"/>
        <v>2776.63474</v>
      </c>
      <c r="BY33" s="117">
        <f t="shared" si="14"/>
        <v>2790.517914</v>
      </c>
      <c r="BZ33" s="117">
        <f t="shared" si="14"/>
        <v>2804.470504</v>
      </c>
      <c r="CA33" s="117">
        <f t="shared" si="14"/>
        <v>2818.492856</v>
      </c>
      <c r="CB33" s="117">
        <f t="shared" si="14"/>
        <v>2832.58532</v>
      </c>
      <c r="CC33" s="117"/>
      <c r="CD33" s="117"/>
    </row>
    <row r="34" ht="15.75" customHeight="1">
      <c r="A34" s="284"/>
      <c r="B34" s="285"/>
      <c r="C34" s="247"/>
      <c r="D34" s="247"/>
      <c r="E34" s="247"/>
      <c r="F34" s="247"/>
      <c r="G34" s="247"/>
      <c r="H34" s="247"/>
      <c r="I34" s="247"/>
      <c r="J34" s="247"/>
      <c r="K34" s="247"/>
      <c r="L34" s="117"/>
      <c r="M34" s="247"/>
      <c r="N34" s="117"/>
      <c r="O34" s="117"/>
      <c r="P34" s="247"/>
      <c r="Q34" s="247"/>
      <c r="R34" s="247"/>
      <c r="S34" s="247"/>
      <c r="T34" s="287">
        <v>0.005</v>
      </c>
      <c r="U34" s="291">
        <f t="shared" ref="U34:CB34" si="15">T34</f>
        <v>0.005</v>
      </c>
      <c r="V34" s="291">
        <f t="shared" si="15"/>
        <v>0.005</v>
      </c>
      <c r="W34" s="291">
        <f t="shared" si="15"/>
        <v>0.005</v>
      </c>
      <c r="X34" s="291">
        <f t="shared" si="15"/>
        <v>0.005</v>
      </c>
      <c r="Y34" s="291">
        <f t="shared" si="15"/>
        <v>0.005</v>
      </c>
      <c r="Z34" s="291">
        <f t="shared" si="15"/>
        <v>0.005</v>
      </c>
      <c r="AA34" s="291">
        <f t="shared" si="15"/>
        <v>0.005</v>
      </c>
      <c r="AB34" s="291">
        <f t="shared" si="15"/>
        <v>0.005</v>
      </c>
      <c r="AC34" s="291">
        <f t="shared" si="15"/>
        <v>0.005</v>
      </c>
      <c r="AD34" s="291">
        <f t="shared" si="15"/>
        <v>0.005</v>
      </c>
      <c r="AE34" s="291">
        <f t="shared" si="15"/>
        <v>0.005</v>
      </c>
      <c r="AF34" s="291">
        <f t="shared" si="15"/>
        <v>0.005</v>
      </c>
      <c r="AG34" s="291">
        <f t="shared" si="15"/>
        <v>0.005</v>
      </c>
      <c r="AH34" s="291">
        <f t="shared" si="15"/>
        <v>0.005</v>
      </c>
      <c r="AI34" s="291">
        <f t="shared" si="15"/>
        <v>0.005</v>
      </c>
      <c r="AJ34" s="291">
        <f t="shared" si="15"/>
        <v>0.005</v>
      </c>
      <c r="AK34" s="291">
        <f t="shared" si="15"/>
        <v>0.005</v>
      </c>
      <c r="AL34" s="291">
        <f t="shared" si="15"/>
        <v>0.005</v>
      </c>
      <c r="AM34" s="291">
        <f t="shared" si="15"/>
        <v>0.005</v>
      </c>
      <c r="AN34" s="291">
        <f t="shared" si="15"/>
        <v>0.005</v>
      </c>
      <c r="AO34" s="291">
        <f t="shared" si="15"/>
        <v>0.005</v>
      </c>
      <c r="AP34" s="291">
        <f t="shared" si="15"/>
        <v>0.005</v>
      </c>
      <c r="AQ34" s="291">
        <f t="shared" si="15"/>
        <v>0.005</v>
      </c>
      <c r="AR34" s="291">
        <f t="shared" si="15"/>
        <v>0.005</v>
      </c>
      <c r="AS34" s="291">
        <f t="shared" si="15"/>
        <v>0.005</v>
      </c>
      <c r="AT34" s="291">
        <f t="shared" si="15"/>
        <v>0.005</v>
      </c>
      <c r="AU34" s="291">
        <f t="shared" si="15"/>
        <v>0.005</v>
      </c>
      <c r="AV34" s="291">
        <f t="shared" si="15"/>
        <v>0.005</v>
      </c>
      <c r="AW34" s="291">
        <f t="shared" si="15"/>
        <v>0.005</v>
      </c>
      <c r="AX34" s="291">
        <f t="shared" si="15"/>
        <v>0.005</v>
      </c>
      <c r="AY34" s="291">
        <f t="shared" si="15"/>
        <v>0.005</v>
      </c>
      <c r="AZ34" s="291">
        <f t="shared" si="15"/>
        <v>0.005</v>
      </c>
      <c r="BA34" s="291">
        <f t="shared" si="15"/>
        <v>0.005</v>
      </c>
      <c r="BB34" s="291">
        <f t="shared" si="15"/>
        <v>0.005</v>
      </c>
      <c r="BC34" s="291">
        <f t="shared" si="15"/>
        <v>0.005</v>
      </c>
      <c r="BD34" s="291">
        <f t="shared" si="15"/>
        <v>0.005</v>
      </c>
      <c r="BE34" s="291">
        <f t="shared" si="15"/>
        <v>0.005</v>
      </c>
      <c r="BF34" s="291">
        <f t="shared" si="15"/>
        <v>0.005</v>
      </c>
      <c r="BG34" s="291">
        <f t="shared" si="15"/>
        <v>0.005</v>
      </c>
      <c r="BH34" s="291">
        <f t="shared" si="15"/>
        <v>0.005</v>
      </c>
      <c r="BI34" s="291">
        <f t="shared" si="15"/>
        <v>0.005</v>
      </c>
      <c r="BJ34" s="291">
        <f t="shared" si="15"/>
        <v>0.005</v>
      </c>
      <c r="BK34" s="291">
        <f t="shared" si="15"/>
        <v>0.005</v>
      </c>
      <c r="BL34" s="291">
        <f t="shared" si="15"/>
        <v>0.005</v>
      </c>
      <c r="BM34" s="291">
        <f t="shared" si="15"/>
        <v>0.005</v>
      </c>
      <c r="BN34" s="291">
        <f t="shared" si="15"/>
        <v>0.005</v>
      </c>
      <c r="BO34" s="291">
        <f t="shared" si="15"/>
        <v>0.005</v>
      </c>
      <c r="BP34" s="291">
        <f t="shared" si="15"/>
        <v>0.005</v>
      </c>
      <c r="BQ34" s="291">
        <f t="shared" si="15"/>
        <v>0.005</v>
      </c>
      <c r="BR34" s="291">
        <f t="shared" si="15"/>
        <v>0.005</v>
      </c>
      <c r="BS34" s="291">
        <f t="shared" si="15"/>
        <v>0.005</v>
      </c>
      <c r="BT34" s="291">
        <f t="shared" si="15"/>
        <v>0.005</v>
      </c>
      <c r="BU34" s="291">
        <f t="shared" si="15"/>
        <v>0.005</v>
      </c>
      <c r="BV34" s="291">
        <f t="shared" si="15"/>
        <v>0.005</v>
      </c>
      <c r="BW34" s="291">
        <f t="shared" si="15"/>
        <v>0.005</v>
      </c>
      <c r="BX34" s="291">
        <f t="shared" si="15"/>
        <v>0.005</v>
      </c>
      <c r="BY34" s="291">
        <f t="shared" si="15"/>
        <v>0.005</v>
      </c>
      <c r="BZ34" s="291">
        <f t="shared" si="15"/>
        <v>0.005</v>
      </c>
      <c r="CA34" s="291">
        <f t="shared" si="15"/>
        <v>0.005</v>
      </c>
      <c r="CB34" s="291">
        <f t="shared" si="15"/>
        <v>0.005</v>
      </c>
      <c r="CC34" s="117"/>
      <c r="CD34" s="117"/>
    </row>
    <row r="35" ht="15.75" customHeight="1">
      <c r="A35" s="284"/>
      <c r="B35" s="285"/>
      <c r="C35" s="247"/>
      <c r="D35" s="247"/>
      <c r="E35" s="247"/>
      <c r="F35" s="247"/>
      <c r="G35" s="247"/>
      <c r="H35" s="247"/>
      <c r="I35" s="247"/>
      <c r="J35" s="247"/>
      <c r="K35" s="247"/>
      <c r="L35" s="117"/>
      <c r="M35" s="247"/>
      <c r="N35" s="117"/>
      <c r="O35" s="117"/>
      <c r="P35" s="247"/>
      <c r="Q35" s="247"/>
      <c r="R35" s="247"/>
      <c r="S35" s="247"/>
      <c r="T35" s="286"/>
      <c r="U35" s="286"/>
      <c r="V35" s="286"/>
      <c r="W35" s="286"/>
      <c r="X35" s="286"/>
      <c r="Y35" s="286"/>
      <c r="Z35" s="286"/>
      <c r="AA35" s="286"/>
      <c r="AB35" s="286"/>
      <c r="AC35" s="286"/>
      <c r="AD35" s="286"/>
      <c r="AE35" s="286"/>
      <c r="AF35" s="286"/>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c r="BR35" s="117"/>
      <c r="BS35" s="117"/>
      <c r="BT35" s="117"/>
      <c r="BU35" s="117"/>
      <c r="BV35" s="117"/>
      <c r="BW35" s="117"/>
      <c r="BX35" s="117"/>
      <c r="BY35" s="117"/>
      <c r="BZ35" s="117"/>
      <c r="CA35" s="117"/>
      <c r="CB35" s="117"/>
      <c r="CC35" s="117"/>
      <c r="CD35" s="117"/>
    </row>
    <row r="36" ht="15.75" customHeight="1">
      <c r="A36" s="284" t="s">
        <v>509</v>
      </c>
      <c r="B36" s="285"/>
      <c r="C36" s="247"/>
      <c r="D36" s="247"/>
      <c r="E36" s="247"/>
      <c r="F36" s="247"/>
      <c r="G36" s="247"/>
      <c r="H36" s="247"/>
      <c r="I36" s="247"/>
      <c r="J36" s="247"/>
      <c r="K36" s="247"/>
      <c r="L36" s="117"/>
      <c r="M36" s="247"/>
      <c r="N36" s="117"/>
      <c r="O36" s="117"/>
      <c r="P36" s="247">
        <f>'Opex Departments'!W43</f>
        <v>2117</v>
      </c>
      <c r="Q36" s="247">
        <f>'Opex Departments'!X43</f>
        <v>4651</v>
      </c>
      <c r="R36" s="247">
        <f>'Opex Departments'!Y43</f>
        <v>1170</v>
      </c>
      <c r="S36" s="247">
        <f>'Opex Departments'!Z43</f>
        <v>686</v>
      </c>
      <c r="T36" s="117">
        <f t="shared" ref="T36:CB36" si="16">S36*(1+T37)</f>
        <v>686</v>
      </c>
      <c r="U36" s="117">
        <f t="shared" si="16"/>
        <v>686</v>
      </c>
      <c r="V36" s="117">
        <f t="shared" si="16"/>
        <v>686</v>
      </c>
      <c r="W36" s="117">
        <f t="shared" si="16"/>
        <v>686</v>
      </c>
      <c r="X36" s="117">
        <f t="shared" si="16"/>
        <v>686</v>
      </c>
      <c r="Y36" s="117">
        <f t="shared" si="16"/>
        <v>686</v>
      </c>
      <c r="Z36" s="117">
        <f t="shared" si="16"/>
        <v>686</v>
      </c>
      <c r="AA36" s="117">
        <f t="shared" si="16"/>
        <v>686</v>
      </c>
      <c r="AB36" s="117">
        <f t="shared" si="16"/>
        <v>686</v>
      </c>
      <c r="AC36" s="117">
        <f t="shared" si="16"/>
        <v>686</v>
      </c>
      <c r="AD36" s="117">
        <f t="shared" si="16"/>
        <v>686</v>
      </c>
      <c r="AE36" s="117">
        <f t="shared" si="16"/>
        <v>686</v>
      </c>
      <c r="AF36" s="117">
        <f t="shared" si="16"/>
        <v>686</v>
      </c>
      <c r="AG36" s="117">
        <f t="shared" si="16"/>
        <v>689.43</v>
      </c>
      <c r="AH36" s="117">
        <f t="shared" si="16"/>
        <v>692.87715</v>
      </c>
      <c r="AI36" s="117">
        <f t="shared" si="16"/>
        <v>696.3415358</v>
      </c>
      <c r="AJ36" s="117">
        <f t="shared" si="16"/>
        <v>699.8232434</v>
      </c>
      <c r="AK36" s="117">
        <f t="shared" si="16"/>
        <v>703.3223596</v>
      </c>
      <c r="AL36" s="117">
        <f t="shared" si="16"/>
        <v>706.8389714</v>
      </c>
      <c r="AM36" s="117">
        <f t="shared" si="16"/>
        <v>710.3731663</v>
      </c>
      <c r="AN36" s="117">
        <f t="shared" si="16"/>
        <v>713.9250321</v>
      </c>
      <c r="AO36" s="117">
        <f t="shared" si="16"/>
        <v>717.4946573</v>
      </c>
      <c r="AP36" s="117">
        <f t="shared" si="16"/>
        <v>721.0821306</v>
      </c>
      <c r="AQ36" s="117">
        <f t="shared" si="16"/>
        <v>724.6875412</v>
      </c>
      <c r="AR36" s="117">
        <f t="shared" si="16"/>
        <v>728.3109789</v>
      </c>
      <c r="AS36" s="117">
        <f t="shared" si="16"/>
        <v>731.9525338</v>
      </c>
      <c r="AT36" s="117">
        <f t="shared" si="16"/>
        <v>735.6122965</v>
      </c>
      <c r="AU36" s="117">
        <f t="shared" si="16"/>
        <v>739.290358</v>
      </c>
      <c r="AV36" s="117">
        <f t="shared" si="16"/>
        <v>742.9868098</v>
      </c>
      <c r="AW36" s="117">
        <f t="shared" si="16"/>
        <v>746.7017438</v>
      </c>
      <c r="AX36" s="117">
        <f t="shared" si="16"/>
        <v>750.4352525</v>
      </c>
      <c r="AY36" s="117">
        <f t="shared" si="16"/>
        <v>754.1874288</v>
      </c>
      <c r="AZ36" s="117">
        <f t="shared" si="16"/>
        <v>757.958366</v>
      </c>
      <c r="BA36" s="117">
        <f t="shared" si="16"/>
        <v>761.7481578</v>
      </c>
      <c r="BB36" s="117">
        <f t="shared" si="16"/>
        <v>765.5568986</v>
      </c>
      <c r="BC36" s="117">
        <f t="shared" si="16"/>
        <v>769.3846831</v>
      </c>
      <c r="BD36" s="117">
        <f t="shared" si="16"/>
        <v>773.2316065</v>
      </c>
      <c r="BE36" s="117">
        <f t="shared" si="16"/>
        <v>777.0977645</v>
      </c>
      <c r="BF36" s="117">
        <f t="shared" si="16"/>
        <v>780.9832533</v>
      </c>
      <c r="BG36" s="117">
        <f t="shared" si="16"/>
        <v>784.8881696</v>
      </c>
      <c r="BH36" s="117">
        <f t="shared" si="16"/>
        <v>788.8126104</v>
      </c>
      <c r="BI36" s="117">
        <f t="shared" si="16"/>
        <v>792.7566735</v>
      </c>
      <c r="BJ36" s="117">
        <f t="shared" si="16"/>
        <v>796.7204569</v>
      </c>
      <c r="BK36" s="117">
        <f t="shared" si="16"/>
        <v>800.7040592</v>
      </c>
      <c r="BL36" s="117">
        <f t="shared" si="16"/>
        <v>804.7075794</v>
      </c>
      <c r="BM36" s="117">
        <f t="shared" si="16"/>
        <v>808.7311173</v>
      </c>
      <c r="BN36" s="117">
        <f t="shared" si="16"/>
        <v>812.7747729</v>
      </c>
      <c r="BO36" s="117">
        <f t="shared" si="16"/>
        <v>816.8386468</v>
      </c>
      <c r="BP36" s="117">
        <f t="shared" si="16"/>
        <v>820.92284</v>
      </c>
      <c r="BQ36" s="117">
        <f t="shared" si="16"/>
        <v>825.0274542</v>
      </c>
      <c r="BR36" s="117">
        <f t="shared" si="16"/>
        <v>829.1525915</v>
      </c>
      <c r="BS36" s="117">
        <f t="shared" si="16"/>
        <v>833.2983545</v>
      </c>
      <c r="BT36" s="117">
        <f t="shared" si="16"/>
        <v>837.4648462</v>
      </c>
      <c r="BU36" s="117">
        <f t="shared" si="16"/>
        <v>841.6521705</v>
      </c>
      <c r="BV36" s="117">
        <f t="shared" si="16"/>
        <v>845.8604313</v>
      </c>
      <c r="BW36" s="117">
        <f t="shared" si="16"/>
        <v>850.0897335</v>
      </c>
      <c r="BX36" s="117">
        <f t="shared" si="16"/>
        <v>854.3401821</v>
      </c>
      <c r="BY36" s="117">
        <f t="shared" si="16"/>
        <v>858.611883</v>
      </c>
      <c r="BZ36" s="117">
        <f t="shared" si="16"/>
        <v>862.9049425</v>
      </c>
      <c r="CA36" s="117">
        <f t="shared" si="16"/>
        <v>867.2194672</v>
      </c>
      <c r="CB36" s="117">
        <f t="shared" si="16"/>
        <v>871.5555645</v>
      </c>
      <c r="CC36" s="117"/>
      <c r="CD36" s="117"/>
    </row>
    <row r="37" ht="15.75" customHeight="1">
      <c r="A37" s="284"/>
      <c r="B37" s="285"/>
      <c r="C37" s="247"/>
      <c r="D37" s="247"/>
      <c r="E37" s="247"/>
      <c r="F37" s="247"/>
      <c r="G37" s="247"/>
      <c r="H37" s="247"/>
      <c r="I37" s="247"/>
      <c r="J37" s="247"/>
      <c r="K37" s="247"/>
      <c r="L37" s="117"/>
      <c r="M37" s="247"/>
      <c r="N37" s="117"/>
      <c r="O37" s="117"/>
      <c r="P37" s="247"/>
      <c r="Q37" s="247"/>
      <c r="R37" s="247"/>
      <c r="S37" s="247"/>
      <c r="T37" s="291">
        <v>0.0</v>
      </c>
      <c r="U37" s="291">
        <v>0.0</v>
      </c>
      <c r="V37" s="291">
        <v>0.0</v>
      </c>
      <c r="W37" s="291">
        <v>0.0</v>
      </c>
      <c r="X37" s="291">
        <v>0.0</v>
      </c>
      <c r="Y37" s="291">
        <v>0.0</v>
      </c>
      <c r="Z37" s="291">
        <v>0.0</v>
      </c>
      <c r="AA37" s="291">
        <v>0.0</v>
      </c>
      <c r="AB37" s="291">
        <v>0.0</v>
      </c>
      <c r="AC37" s="291">
        <v>0.0</v>
      </c>
      <c r="AD37" s="291">
        <v>0.0</v>
      </c>
      <c r="AE37" s="291">
        <v>0.0</v>
      </c>
      <c r="AF37" s="291">
        <v>0.0</v>
      </c>
      <c r="AG37" s="291">
        <v>0.005</v>
      </c>
      <c r="AH37" s="291">
        <v>0.005</v>
      </c>
      <c r="AI37" s="291">
        <f t="shared" ref="AI37:CB37" si="17">AH37</f>
        <v>0.005</v>
      </c>
      <c r="AJ37" s="291">
        <f t="shared" si="17"/>
        <v>0.005</v>
      </c>
      <c r="AK37" s="291">
        <f t="shared" si="17"/>
        <v>0.005</v>
      </c>
      <c r="AL37" s="291">
        <f t="shared" si="17"/>
        <v>0.005</v>
      </c>
      <c r="AM37" s="291">
        <f t="shared" si="17"/>
        <v>0.005</v>
      </c>
      <c r="AN37" s="291">
        <f t="shared" si="17"/>
        <v>0.005</v>
      </c>
      <c r="AO37" s="291">
        <f t="shared" si="17"/>
        <v>0.005</v>
      </c>
      <c r="AP37" s="291">
        <f t="shared" si="17"/>
        <v>0.005</v>
      </c>
      <c r="AQ37" s="291">
        <f t="shared" si="17"/>
        <v>0.005</v>
      </c>
      <c r="AR37" s="291">
        <f t="shared" si="17"/>
        <v>0.005</v>
      </c>
      <c r="AS37" s="291">
        <f t="shared" si="17"/>
        <v>0.005</v>
      </c>
      <c r="AT37" s="291">
        <f t="shared" si="17"/>
        <v>0.005</v>
      </c>
      <c r="AU37" s="291">
        <f t="shared" si="17"/>
        <v>0.005</v>
      </c>
      <c r="AV37" s="291">
        <f t="shared" si="17"/>
        <v>0.005</v>
      </c>
      <c r="AW37" s="291">
        <f t="shared" si="17"/>
        <v>0.005</v>
      </c>
      <c r="AX37" s="291">
        <f t="shared" si="17"/>
        <v>0.005</v>
      </c>
      <c r="AY37" s="291">
        <f t="shared" si="17"/>
        <v>0.005</v>
      </c>
      <c r="AZ37" s="291">
        <f t="shared" si="17"/>
        <v>0.005</v>
      </c>
      <c r="BA37" s="291">
        <f t="shared" si="17"/>
        <v>0.005</v>
      </c>
      <c r="BB37" s="291">
        <f t="shared" si="17"/>
        <v>0.005</v>
      </c>
      <c r="BC37" s="291">
        <f t="shared" si="17"/>
        <v>0.005</v>
      </c>
      <c r="BD37" s="291">
        <f t="shared" si="17"/>
        <v>0.005</v>
      </c>
      <c r="BE37" s="291">
        <f t="shared" si="17"/>
        <v>0.005</v>
      </c>
      <c r="BF37" s="291">
        <f t="shared" si="17"/>
        <v>0.005</v>
      </c>
      <c r="BG37" s="291">
        <f t="shared" si="17"/>
        <v>0.005</v>
      </c>
      <c r="BH37" s="291">
        <f t="shared" si="17"/>
        <v>0.005</v>
      </c>
      <c r="BI37" s="291">
        <f t="shared" si="17"/>
        <v>0.005</v>
      </c>
      <c r="BJ37" s="291">
        <f t="shared" si="17"/>
        <v>0.005</v>
      </c>
      <c r="BK37" s="291">
        <f t="shared" si="17"/>
        <v>0.005</v>
      </c>
      <c r="BL37" s="291">
        <f t="shared" si="17"/>
        <v>0.005</v>
      </c>
      <c r="BM37" s="291">
        <f t="shared" si="17"/>
        <v>0.005</v>
      </c>
      <c r="BN37" s="291">
        <f t="shared" si="17"/>
        <v>0.005</v>
      </c>
      <c r="BO37" s="291">
        <f t="shared" si="17"/>
        <v>0.005</v>
      </c>
      <c r="BP37" s="291">
        <f t="shared" si="17"/>
        <v>0.005</v>
      </c>
      <c r="BQ37" s="291">
        <f t="shared" si="17"/>
        <v>0.005</v>
      </c>
      <c r="BR37" s="291">
        <f t="shared" si="17"/>
        <v>0.005</v>
      </c>
      <c r="BS37" s="291">
        <f t="shared" si="17"/>
        <v>0.005</v>
      </c>
      <c r="BT37" s="291">
        <f t="shared" si="17"/>
        <v>0.005</v>
      </c>
      <c r="BU37" s="291">
        <f t="shared" si="17"/>
        <v>0.005</v>
      </c>
      <c r="BV37" s="291">
        <f t="shared" si="17"/>
        <v>0.005</v>
      </c>
      <c r="BW37" s="291">
        <f t="shared" si="17"/>
        <v>0.005</v>
      </c>
      <c r="BX37" s="291">
        <f t="shared" si="17"/>
        <v>0.005</v>
      </c>
      <c r="BY37" s="291">
        <f t="shared" si="17"/>
        <v>0.005</v>
      </c>
      <c r="BZ37" s="291">
        <f t="shared" si="17"/>
        <v>0.005</v>
      </c>
      <c r="CA37" s="291">
        <f t="shared" si="17"/>
        <v>0.005</v>
      </c>
      <c r="CB37" s="291">
        <f t="shared" si="17"/>
        <v>0.005</v>
      </c>
      <c r="CC37" s="117"/>
      <c r="CD37" s="117"/>
    </row>
    <row r="38" ht="15.75" customHeight="1">
      <c r="A38" s="284"/>
      <c r="B38" s="285"/>
      <c r="C38" s="247"/>
      <c r="D38" s="247"/>
      <c r="E38" s="247"/>
      <c r="F38" s="247"/>
      <c r="G38" s="247"/>
      <c r="H38" s="247"/>
      <c r="I38" s="247"/>
      <c r="J38" s="247"/>
      <c r="K38" s="247"/>
      <c r="L38" s="117"/>
      <c r="M38" s="247"/>
      <c r="N38" s="117"/>
      <c r="O38" s="117"/>
      <c r="P38" s="247"/>
      <c r="Q38" s="247"/>
      <c r="R38" s="247"/>
      <c r="S38" s="247"/>
      <c r="T38" s="286"/>
      <c r="U38" s="286"/>
      <c r="V38" s="286"/>
      <c r="W38" s="286"/>
      <c r="X38" s="286"/>
      <c r="Y38" s="286"/>
      <c r="Z38" s="286"/>
      <c r="AA38" s="286"/>
      <c r="AB38" s="286"/>
      <c r="AC38" s="286"/>
      <c r="AD38" s="286"/>
      <c r="AE38" s="286"/>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117"/>
    </row>
    <row r="39" ht="15.75" customHeight="1">
      <c r="A39" s="284" t="s">
        <v>510</v>
      </c>
      <c r="B39" s="285"/>
      <c r="C39" s="247"/>
      <c r="D39" s="247"/>
      <c r="E39" s="247"/>
      <c r="F39" s="247"/>
      <c r="G39" s="247"/>
      <c r="H39" s="247"/>
      <c r="I39" s="247"/>
      <c r="J39" s="247"/>
      <c r="K39" s="247"/>
      <c r="L39" s="117"/>
      <c r="M39" s="247"/>
      <c r="N39" s="117"/>
      <c r="O39" s="117"/>
      <c r="P39" s="247">
        <f>'Opex Departments'!W65</f>
        <v>3810</v>
      </c>
      <c r="Q39" s="247">
        <f>'Opex Departments'!X65</f>
        <v>2698</v>
      </c>
      <c r="R39" s="247">
        <f>'Opex Departments'!Y65</f>
        <v>3860</v>
      </c>
      <c r="S39" s="247">
        <f>'Opex Departments'!Z65</f>
        <v>261</v>
      </c>
      <c r="T39" s="117">
        <f t="shared" ref="T39:CB39" si="18">S39*(1+T40)</f>
        <v>261</v>
      </c>
      <c r="U39" s="117">
        <f t="shared" si="18"/>
        <v>261</v>
      </c>
      <c r="V39" s="117">
        <f t="shared" si="18"/>
        <v>261</v>
      </c>
      <c r="W39" s="117">
        <f t="shared" si="18"/>
        <v>261</v>
      </c>
      <c r="X39" s="117">
        <f t="shared" si="18"/>
        <v>261</v>
      </c>
      <c r="Y39" s="117">
        <f t="shared" si="18"/>
        <v>261</v>
      </c>
      <c r="Z39" s="117">
        <f t="shared" si="18"/>
        <v>261</v>
      </c>
      <c r="AA39" s="117">
        <f t="shared" si="18"/>
        <v>261</v>
      </c>
      <c r="AB39" s="117">
        <f t="shared" si="18"/>
        <v>261</v>
      </c>
      <c r="AC39" s="117">
        <f t="shared" si="18"/>
        <v>261</v>
      </c>
      <c r="AD39" s="117">
        <f t="shared" si="18"/>
        <v>261</v>
      </c>
      <c r="AE39" s="117">
        <f t="shared" si="18"/>
        <v>261</v>
      </c>
      <c r="AF39" s="117">
        <f t="shared" si="18"/>
        <v>261</v>
      </c>
      <c r="AG39" s="117">
        <f t="shared" si="18"/>
        <v>262.305</v>
      </c>
      <c r="AH39" s="117">
        <f t="shared" si="18"/>
        <v>263.616525</v>
      </c>
      <c r="AI39" s="117">
        <f t="shared" si="18"/>
        <v>264.9346076</v>
      </c>
      <c r="AJ39" s="117">
        <f t="shared" si="18"/>
        <v>266.2592807</v>
      </c>
      <c r="AK39" s="117">
        <f t="shared" si="18"/>
        <v>267.5905771</v>
      </c>
      <c r="AL39" s="117">
        <f t="shared" si="18"/>
        <v>268.92853</v>
      </c>
      <c r="AM39" s="117">
        <f t="shared" si="18"/>
        <v>270.2731726</v>
      </c>
      <c r="AN39" s="117">
        <f t="shared" si="18"/>
        <v>271.6245385</v>
      </c>
      <c r="AO39" s="117">
        <f t="shared" si="18"/>
        <v>272.9826612</v>
      </c>
      <c r="AP39" s="117">
        <f t="shared" si="18"/>
        <v>274.3475745</v>
      </c>
      <c r="AQ39" s="117">
        <f t="shared" si="18"/>
        <v>275.7193123</v>
      </c>
      <c r="AR39" s="117">
        <f t="shared" si="18"/>
        <v>277.0979089</v>
      </c>
      <c r="AS39" s="117">
        <f t="shared" si="18"/>
        <v>278.4833984</v>
      </c>
      <c r="AT39" s="117">
        <f t="shared" si="18"/>
        <v>279.8758154</v>
      </c>
      <c r="AU39" s="117">
        <f t="shared" si="18"/>
        <v>281.2751945</v>
      </c>
      <c r="AV39" s="117">
        <f t="shared" si="18"/>
        <v>282.6815705</v>
      </c>
      <c r="AW39" s="117">
        <f t="shared" si="18"/>
        <v>284.0949783</v>
      </c>
      <c r="AX39" s="117">
        <f t="shared" si="18"/>
        <v>285.5154532</v>
      </c>
      <c r="AY39" s="117">
        <f t="shared" si="18"/>
        <v>286.9430305</v>
      </c>
      <c r="AZ39" s="117">
        <f t="shared" si="18"/>
        <v>288.3777456</v>
      </c>
      <c r="BA39" s="117">
        <f t="shared" si="18"/>
        <v>289.8196344</v>
      </c>
      <c r="BB39" s="117">
        <f t="shared" si="18"/>
        <v>291.2687325</v>
      </c>
      <c r="BC39" s="117">
        <f t="shared" si="18"/>
        <v>292.7250762</v>
      </c>
      <c r="BD39" s="117">
        <f t="shared" si="18"/>
        <v>294.1887016</v>
      </c>
      <c r="BE39" s="117">
        <f t="shared" si="18"/>
        <v>295.6596451</v>
      </c>
      <c r="BF39" s="117">
        <f t="shared" si="18"/>
        <v>297.1379433</v>
      </c>
      <c r="BG39" s="117">
        <f t="shared" si="18"/>
        <v>298.623633</v>
      </c>
      <c r="BH39" s="117">
        <f t="shared" si="18"/>
        <v>300.1167512</v>
      </c>
      <c r="BI39" s="117">
        <f t="shared" si="18"/>
        <v>301.617335</v>
      </c>
      <c r="BJ39" s="117">
        <f t="shared" si="18"/>
        <v>303.1254216</v>
      </c>
      <c r="BK39" s="117">
        <f t="shared" si="18"/>
        <v>304.6410487</v>
      </c>
      <c r="BL39" s="117">
        <f t="shared" si="18"/>
        <v>306.164254</v>
      </c>
      <c r="BM39" s="117">
        <f t="shared" si="18"/>
        <v>307.6950753</v>
      </c>
      <c r="BN39" s="117">
        <f t="shared" si="18"/>
        <v>309.2335506</v>
      </c>
      <c r="BO39" s="117">
        <f t="shared" si="18"/>
        <v>310.7797184</v>
      </c>
      <c r="BP39" s="117">
        <f t="shared" si="18"/>
        <v>312.333617</v>
      </c>
      <c r="BQ39" s="117">
        <f t="shared" si="18"/>
        <v>313.8952851</v>
      </c>
      <c r="BR39" s="117">
        <f t="shared" si="18"/>
        <v>315.4647615</v>
      </c>
      <c r="BS39" s="117">
        <f t="shared" si="18"/>
        <v>317.0420853</v>
      </c>
      <c r="BT39" s="117">
        <f t="shared" si="18"/>
        <v>318.6272957</v>
      </c>
      <c r="BU39" s="117">
        <f t="shared" si="18"/>
        <v>320.2204322</v>
      </c>
      <c r="BV39" s="117">
        <f t="shared" si="18"/>
        <v>321.8215344</v>
      </c>
      <c r="BW39" s="117">
        <f t="shared" si="18"/>
        <v>323.430642</v>
      </c>
      <c r="BX39" s="117">
        <f t="shared" si="18"/>
        <v>325.0477952</v>
      </c>
      <c r="BY39" s="117">
        <f t="shared" si="18"/>
        <v>326.6730342</v>
      </c>
      <c r="BZ39" s="117">
        <f t="shared" si="18"/>
        <v>328.3063994</v>
      </c>
      <c r="CA39" s="117">
        <f t="shared" si="18"/>
        <v>329.9479314</v>
      </c>
      <c r="CB39" s="117">
        <f t="shared" si="18"/>
        <v>331.597671</v>
      </c>
      <c r="CC39" s="117"/>
      <c r="CD39" s="117"/>
    </row>
    <row r="40" ht="15.75" customHeight="1">
      <c r="A40" s="284"/>
      <c r="B40" s="285"/>
      <c r="C40" s="247"/>
      <c r="D40" s="247"/>
      <c r="E40" s="247"/>
      <c r="F40" s="247"/>
      <c r="G40" s="247"/>
      <c r="H40" s="247"/>
      <c r="I40" s="247"/>
      <c r="J40" s="247"/>
      <c r="K40" s="247"/>
      <c r="L40" s="117"/>
      <c r="M40" s="247"/>
      <c r="N40" s="117"/>
      <c r="O40" s="117"/>
      <c r="P40" s="247"/>
      <c r="Q40" s="247"/>
      <c r="R40" s="247"/>
      <c r="S40" s="247"/>
      <c r="T40" s="291">
        <v>0.0</v>
      </c>
      <c r="U40" s="291">
        <v>0.0</v>
      </c>
      <c r="V40" s="291">
        <v>0.0</v>
      </c>
      <c r="W40" s="291">
        <v>0.0</v>
      </c>
      <c r="X40" s="291">
        <v>0.0</v>
      </c>
      <c r="Y40" s="291">
        <v>0.0</v>
      </c>
      <c r="Z40" s="291">
        <v>0.0</v>
      </c>
      <c r="AA40" s="291">
        <v>0.0</v>
      </c>
      <c r="AB40" s="291">
        <v>0.0</v>
      </c>
      <c r="AC40" s="291">
        <v>0.0</v>
      </c>
      <c r="AD40" s="291">
        <v>0.0</v>
      </c>
      <c r="AE40" s="291">
        <v>0.0</v>
      </c>
      <c r="AF40" s="291">
        <v>0.0</v>
      </c>
      <c r="AG40" s="291">
        <v>0.005</v>
      </c>
      <c r="AH40" s="291">
        <f t="shared" ref="AH40:CB40" si="19">AG40</f>
        <v>0.005</v>
      </c>
      <c r="AI40" s="291">
        <f t="shared" si="19"/>
        <v>0.005</v>
      </c>
      <c r="AJ40" s="291">
        <f t="shared" si="19"/>
        <v>0.005</v>
      </c>
      <c r="AK40" s="291">
        <f t="shared" si="19"/>
        <v>0.005</v>
      </c>
      <c r="AL40" s="291">
        <f t="shared" si="19"/>
        <v>0.005</v>
      </c>
      <c r="AM40" s="291">
        <f t="shared" si="19"/>
        <v>0.005</v>
      </c>
      <c r="AN40" s="291">
        <f t="shared" si="19"/>
        <v>0.005</v>
      </c>
      <c r="AO40" s="291">
        <f t="shared" si="19"/>
        <v>0.005</v>
      </c>
      <c r="AP40" s="291">
        <f t="shared" si="19"/>
        <v>0.005</v>
      </c>
      <c r="AQ40" s="291">
        <f t="shared" si="19"/>
        <v>0.005</v>
      </c>
      <c r="AR40" s="291">
        <f t="shared" si="19"/>
        <v>0.005</v>
      </c>
      <c r="AS40" s="291">
        <f t="shared" si="19"/>
        <v>0.005</v>
      </c>
      <c r="AT40" s="291">
        <f t="shared" si="19"/>
        <v>0.005</v>
      </c>
      <c r="AU40" s="291">
        <f t="shared" si="19"/>
        <v>0.005</v>
      </c>
      <c r="AV40" s="291">
        <f t="shared" si="19"/>
        <v>0.005</v>
      </c>
      <c r="AW40" s="291">
        <f t="shared" si="19"/>
        <v>0.005</v>
      </c>
      <c r="AX40" s="291">
        <f t="shared" si="19"/>
        <v>0.005</v>
      </c>
      <c r="AY40" s="291">
        <f t="shared" si="19"/>
        <v>0.005</v>
      </c>
      <c r="AZ40" s="291">
        <f t="shared" si="19"/>
        <v>0.005</v>
      </c>
      <c r="BA40" s="291">
        <f t="shared" si="19"/>
        <v>0.005</v>
      </c>
      <c r="BB40" s="291">
        <f t="shared" si="19"/>
        <v>0.005</v>
      </c>
      <c r="BC40" s="291">
        <f t="shared" si="19"/>
        <v>0.005</v>
      </c>
      <c r="BD40" s="291">
        <f t="shared" si="19"/>
        <v>0.005</v>
      </c>
      <c r="BE40" s="291">
        <f t="shared" si="19"/>
        <v>0.005</v>
      </c>
      <c r="BF40" s="291">
        <f t="shared" si="19"/>
        <v>0.005</v>
      </c>
      <c r="BG40" s="291">
        <f t="shared" si="19"/>
        <v>0.005</v>
      </c>
      <c r="BH40" s="291">
        <f t="shared" si="19"/>
        <v>0.005</v>
      </c>
      <c r="BI40" s="291">
        <f t="shared" si="19"/>
        <v>0.005</v>
      </c>
      <c r="BJ40" s="291">
        <f t="shared" si="19"/>
        <v>0.005</v>
      </c>
      <c r="BK40" s="291">
        <f t="shared" si="19"/>
        <v>0.005</v>
      </c>
      <c r="BL40" s="291">
        <f t="shared" si="19"/>
        <v>0.005</v>
      </c>
      <c r="BM40" s="291">
        <f t="shared" si="19"/>
        <v>0.005</v>
      </c>
      <c r="BN40" s="291">
        <f t="shared" si="19"/>
        <v>0.005</v>
      </c>
      <c r="BO40" s="291">
        <f t="shared" si="19"/>
        <v>0.005</v>
      </c>
      <c r="BP40" s="291">
        <f t="shared" si="19"/>
        <v>0.005</v>
      </c>
      <c r="BQ40" s="291">
        <f t="shared" si="19"/>
        <v>0.005</v>
      </c>
      <c r="BR40" s="291">
        <f t="shared" si="19"/>
        <v>0.005</v>
      </c>
      <c r="BS40" s="291">
        <f t="shared" si="19"/>
        <v>0.005</v>
      </c>
      <c r="BT40" s="291">
        <f t="shared" si="19"/>
        <v>0.005</v>
      </c>
      <c r="BU40" s="291">
        <f t="shared" si="19"/>
        <v>0.005</v>
      </c>
      <c r="BV40" s="291">
        <f t="shared" si="19"/>
        <v>0.005</v>
      </c>
      <c r="BW40" s="291">
        <f t="shared" si="19"/>
        <v>0.005</v>
      </c>
      <c r="BX40" s="291">
        <f t="shared" si="19"/>
        <v>0.005</v>
      </c>
      <c r="BY40" s="291">
        <f t="shared" si="19"/>
        <v>0.005</v>
      </c>
      <c r="BZ40" s="291">
        <f t="shared" si="19"/>
        <v>0.005</v>
      </c>
      <c r="CA40" s="291">
        <f t="shared" si="19"/>
        <v>0.005</v>
      </c>
      <c r="CB40" s="291">
        <f t="shared" si="19"/>
        <v>0.005</v>
      </c>
      <c r="CC40" s="117"/>
      <c r="CD40" s="117"/>
    </row>
    <row r="41" ht="15.75" customHeight="1">
      <c r="A41" s="284"/>
      <c r="B41" s="285"/>
      <c r="C41" s="247"/>
      <c r="D41" s="247"/>
      <c r="E41" s="247"/>
      <c r="F41" s="247"/>
      <c r="G41" s="247"/>
      <c r="H41" s="247"/>
      <c r="I41" s="247"/>
      <c r="J41" s="247"/>
      <c r="K41" s="247"/>
      <c r="L41" s="117"/>
      <c r="M41" s="247"/>
      <c r="N41" s="117"/>
      <c r="O41" s="117"/>
      <c r="P41" s="247"/>
      <c r="Q41" s="247"/>
      <c r="R41" s="247"/>
      <c r="S41" s="24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117"/>
      <c r="BS41" s="117"/>
      <c r="BT41" s="117"/>
      <c r="BU41" s="117"/>
      <c r="BV41" s="117"/>
      <c r="BW41" s="117"/>
      <c r="BX41" s="117"/>
      <c r="BY41" s="117"/>
      <c r="BZ41" s="117"/>
      <c r="CA41" s="117"/>
      <c r="CB41" s="117"/>
      <c r="CC41" s="117"/>
      <c r="CD41" s="117"/>
    </row>
    <row r="42" ht="15.75" customHeight="1">
      <c r="A42" s="284" t="s">
        <v>511</v>
      </c>
      <c r="B42" s="285"/>
      <c r="C42" s="247"/>
      <c r="D42" s="247"/>
      <c r="E42" s="247"/>
      <c r="F42" s="247"/>
      <c r="G42" s="247"/>
      <c r="H42" s="247"/>
      <c r="I42" s="247"/>
      <c r="J42" s="247"/>
      <c r="K42" s="247"/>
      <c r="L42" s="117"/>
      <c r="M42" s="247"/>
      <c r="N42" s="117"/>
      <c r="O42" s="117"/>
      <c r="P42" s="247">
        <f>'Opex Departments'!W88</f>
        <v>618</v>
      </c>
      <c r="Q42" s="247">
        <f>'Opex Departments'!X88</f>
        <v>4256</v>
      </c>
      <c r="R42" s="247">
        <f>'Opex Departments'!Y88</f>
        <v>3450</v>
      </c>
      <c r="S42" s="247">
        <f>'Opex Departments'!Z88</f>
        <v>1428</v>
      </c>
      <c r="T42" s="117">
        <f t="shared" ref="T42:CB42" si="20">S42*(1+T43)</f>
        <v>1435.14</v>
      </c>
      <c r="U42" s="117">
        <f t="shared" si="20"/>
        <v>1442.3157</v>
      </c>
      <c r="V42" s="117">
        <f t="shared" si="20"/>
        <v>1449.527279</v>
      </c>
      <c r="W42" s="117">
        <f t="shared" si="20"/>
        <v>1456.774915</v>
      </c>
      <c r="X42" s="117">
        <f t="shared" si="20"/>
        <v>1464.058789</v>
      </c>
      <c r="Y42" s="117">
        <f t="shared" si="20"/>
        <v>1471.379083</v>
      </c>
      <c r="Z42" s="117">
        <f t="shared" si="20"/>
        <v>1478.735979</v>
      </c>
      <c r="AA42" s="117">
        <f t="shared" si="20"/>
        <v>1486.129659</v>
      </c>
      <c r="AB42" s="117">
        <f t="shared" si="20"/>
        <v>1493.560307</v>
      </c>
      <c r="AC42" s="117">
        <f t="shared" si="20"/>
        <v>1501.028109</v>
      </c>
      <c r="AD42" s="117">
        <f t="shared" si="20"/>
        <v>1508.533249</v>
      </c>
      <c r="AE42" s="117">
        <f t="shared" si="20"/>
        <v>1516.075915</v>
      </c>
      <c r="AF42" s="117">
        <f t="shared" si="20"/>
        <v>1523.656295</v>
      </c>
      <c r="AG42" s="117">
        <f t="shared" si="20"/>
        <v>1531.274576</v>
      </c>
      <c r="AH42" s="117">
        <f t="shared" si="20"/>
        <v>1538.930949</v>
      </c>
      <c r="AI42" s="117">
        <f t="shared" si="20"/>
        <v>1546.625604</v>
      </c>
      <c r="AJ42" s="117">
        <f t="shared" si="20"/>
        <v>1554.358732</v>
      </c>
      <c r="AK42" s="117">
        <f t="shared" si="20"/>
        <v>1562.130526</v>
      </c>
      <c r="AL42" s="117">
        <f t="shared" si="20"/>
        <v>1569.941178</v>
      </c>
      <c r="AM42" s="117">
        <f t="shared" si="20"/>
        <v>1577.790884</v>
      </c>
      <c r="AN42" s="117">
        <f t="shared" si="20"/>
        <v>1585.679839</v>
      </c>
      <c r="AO42" s="117">
        <f t="shared" si="20"/>
        <v>1593.608238</v>
      </c>
      <c r="AP42" s="117">
        <f t="shared" si="20"/>
        <v>1601.576279</v>
      </c>
      <c r="AQ42" s="117">
        <f t="shared" si="20"/>
        <v>1609.58416</v>
      </c>
      <c r="AR42" s="117">
        <f t="shared" si="20"/>
        <v>1617.632081</v>
      </c>
      <c r="AS42" s="117">
        <f t="shared" si="20"/>
        <v>1625.720242</v>
      </c>
      <c r="AT42" s="117">
        <f t="shared" si="20"/>
        <v>1633.848843</v>
      </c>
      <c r="AU42" s="117">
        <f t="shared" si="20"/>
        <v>1642.018087</v>
      </c>
      <c r="AV42" s="117">
        <f t="shared" si="20"/>
        <v>1650.228177</v>
      </c>
      <c r="AW42" s="117">
        <f t="shared" si="20"/>
        <v>1658.479318</v>
      </c>
      <c r="AX42" s="117">
        <f t="shared" si="20"/>
        <v>1666.771715</v>
      </c>
      <c r="AY42" s="117">
        <f t="shared" si="20"/>
        <v>1675.105574</v>
      </c>
      <c r="AZ42" s="117">
        <f t="shared" si="20"/>
        <v>1683.481101</v>
      </c>
      <c r="BA42" s="117">
        <f t="shared" si="20"/>
        <v>1691.898507</v>
      </c>
      <c r="BB42" s="117">
        <f t="shared" si="20"/>
        <v>1700.357999</v>
      </c>
      <c r="BC42" s="117">
        <f t="shared" si="20"/>
        <v>1708.859789</v>
      </c>
      <c r="BD42" s="117">
        <f t="shared" si="20"/>
        <v>1717.404088</v>
      </c>
      <c r="BE42" s="117">
        <f t="shared" si="20"/>
        <v>1725.991109</v>
      </c>
      <c r="BF42" s="117">
        <f t="shared" si="20"/>
        <v>1734.621064</v>
      </c>
      <c r="BG42" s="117">
        <f t="shared" si="20"/>
        <v>1743.29417</v>
      </c>
      <c r="BH42" s="117">
        <f t="shared" si="20"/>
        <v>1752.010641</v>
      </c>
      <c r="BI42" s="117">
        <f t="shared" si="20"/>
        <v>1760.770694</v>
      </c>
      <c r="BJ42" s="117">
        <f t="shared" si="20"/>
        <v>1769.574547</v>
      </c>
      <c r="BK42" s="117">
        <f t="shared" si="20"/>
        <v>1778.42242</v>
      </c>
      <c r="BL42" s="117">
        <f t="shared" si="20"/>
        <v>1787.314532</v>
      </c>
      <c r="BM42" s="117">
        <f t="shared" si="20"/>
        <v>1796.251105</v>
      </c>
      <c r="BN42" s="117">
        <f t="shared" si="20"/>
        <v>1805.23236</v>
      </c>
      <c r="BO42" s="117">
        <f t="shared" si="20"/>
        <v>1814.258522</v>
      </c>
      <c r="BP42" s="117">
        <f t="shared" si="20"/>
        <v>1823.329815</v>
      </c>
      <c r="BQ42" s="117">
        <f t="shared" si="20"/>
        <v>1832.446464</v>
      </c>
      <c r="BR42" s="117">
        <f t="shared" si="20"/>
        <v>1841.608696</v>
      </c>
      <c r="BS42" s="117">
        <f t="shared" si="20"/>
        <v>1850.81674</v>
      </c>
      <c r="BT42" s="117">
        <f t="shared" si="20"/>
        <v>1860.070823</v>
      </c>
      <c r="BU42" s="117">
        <f t="shared" si="20"/>
        <v>1869.371177</v>
      </c>
      <c r="BV42" s="117">
        <f t="shared" si="20"/>
        <v>1878.718033</v>
      </c>
      <c r="BW42" s="117">
        <f t="shared" si="20"/>
        <v>1888.111623</v>
      </c>
      <c r="BX42" s="117">
        <f t="shared" si="20"/>
        <v>1897.552182</v>
      </c>
      <c r="BY42" s="117">
        <f t="shared" si="20"/>
        <v>1907.039942</v>
      </c>
      <c r="BZ42" s="117">
        <f t="shared" si="20"/>
        <v>1916.575142</v>
      </c>
      <c r="CA42" s="117">
        <f t="shared" si="20"/>
        <v>1926.158018</v>
      </c>
      <c r="CB42" s="117">
        <f t="shared" si="20"/>
        <v>1935.788808</v>
      </c>
      <c r="CC42" s="117"/>
      <c r="CD42" s="117"/>
    </row>
    <row r="43" ht="15.75" customHeight="1">
      <c r="A43" s="292"/>
      <c r="B43" s="293"/>
      <c r="C43" s="247"/>
      <c r="D43" s="247"/>
      <c r="E43" s="247"/>
      <c r="F43" s="247"/>
      <c r="G43" s="247"/>
      <c r="H43" s="247"/>
      <c r="I43" s="247"/>
      <c r="J43" s="247"/>
      <c r="K43" s="247"/>
      <c r="L43" s="117"/>
      <c r="M43" s="247"/>
      <c r="N43" s="117"/>
      <c r="O43" s="117"/>
      <c r="P43" s="247"/>
      <c r="Q43" s="247"/>
      <c r="R43" s="247"/>
      <c r="S43" s="247"/>
      <c r="T43" s="291">
        <v>0.005</v>
      </c>
      <c r="U43" s="291">
        <f t="shared" ref="U43:CB43" si="21">T43</f>
        <v>0.005</v>
      </c>
      <c r="V43" s="291">
        <f t="shared" si="21"/>
        <v>0.005</v>
      </c>
      <c r="W43" s="291">
        <f t="shared" si="21"/>
        <v>0.005</v>
      </c>
      <c r="X43" s="291">
        <f t="shared" si="21"/>
        <v>0.005</v>
      </c>
      <c r="Y43" s="291">
        <f t="shared" si="21"/>
        <v>0.005</v>
      </c>
      <c r="Z43" s="291">
        <f t="shared" si="21"/>
        <v>0.005</v>
      </c>
      <c r="AA43" s="291">
        <f t="shared" si="21"/>
        <v>0.005</v>
      </c>
      <c r="AB43" s="291">
        <f t="shared" si="21"/>
        <v>0.005</v>
      </c>
      <c r="AC43" s="291">
        <f t="shared" si="21"/>
        <v>0.005</v>
      </c>
      <c r="AD43" s="291">
        <f t="shared" si="21"/>
        <v>0.005</v>
      </c>
      <c r="AE43" s="291">
        <f t="shared" si="21"/>
        <v>0.005</v>
      </c>
      <c r="AF43" s="291">
        <f t="shared" si="21"/>
        <v>0.005</v>
      </c>
      <c r="AG43" s="291">
        <f t="shared" si="21"/>
        <v>0.005</v>
      </c>
      <c r="AH43" s="291">
        <f t="shared" si="21"/>
        <v>0.005</v>
      </c>
      <c r="AI43" s="291">
        <f t="shared" si="21"/>
        <v>0.005</v>
      </c>
      <c r="AJ43" s="291">
        <f t="shared" si="21"/>
        <v>0.005</v>
      </c>
      <c r="AK43" s="291">
        <f t="shared" si="21"/>
        <v>0.005</v>
      </c>
      <c r="AL43" s="291">
        <f t="shared" si="21"/>
        <v>0.005</v>
      </c>
      <c r="AM43" s="291">
        <f t="shared" si="21"/>
        <v>0.005</v>
      </c>
      <c r="AN43" s="291">
        <f t="shared" si="21"/>
        <v>0.005</v>
      </c>
      <c r="AO43" s="291">
        <f t="shared" si="21"/>
        <v>0.005</v>
      </c>
      <c r="AP43" s="291">
        <f t="shared" si="21"/>
        <v>0.005</v>
      </c>
      <c r="AQ43" s="291">
        <f t="shared" si="21"/>
        <v>0.005</v>
      </c>
      <c r="AR43" s="291">
        <f t="shared" si="21"/>
        <v>0.005</v>
      </c>
      <c r="AS43" s="291">
        <f t="shared" si="21"/>
        <v>0.005</v>
      </c>
      <c r="AT43" s="291">
        <f t="shared" si="21"/>
        <v>0.005</v>
      </c>
      <c r="AU43" s="291">
        <f t="shared" si="21"/>
        <v>0.005</v>
      </c>
      <c r="AV43" s="291">
        <f t="shared" si="21"/>
        <v>0.005</v>
      </c>
      <c r="AW43" s="291">
        <f t="shared" si="21"/>
        <v>0.005</v>
      </c>
      <c r="AX43" s="291">
        <f t="shared" si="21"/>
        <v>0.005</v>
      </c>
      <c r="AY43" s="291">
        <f t="shared" si="21"/>
        <v>0.005</v>
      </c>
      <c r="AZ43" s="291">
        <f t="shared" si="21"/>
        <v>0.005</v>
      </c>
      <c r="BA43" s="291">
        <f t="shared" si="21"/>
        <v>0.005</v>
      </c>
      <c r="BB43" s="291">
        <f t="shared" si="21"/>
        <v>0.005</v>
      </c>
      <c r="BC43" s="291">
        <f t="shared" si="21"/>
        <v>0.005</v>
      </c>
      <c r="BD43" s="291">
        <f t="shared" si="21"/>
        <v>0.005</v>
      </c>
      <c r="BE43" s="291">
        <f t="shared" si="21"/>
        <v>0.005</v>
      </c>
      <c r="BF43" s="291">
        <f t="shared" si="21"/>
        <v>0.005</v>
      </c>
      <c r="BG43" s="291">
        <f t="shared" si="21"/>
        <v>0.005</v>
      </c>
      <c r="BH43" s="291">
        <f t="shared" si="21"/>
        <v>0.005</v>
      </c>
      <c r="BI43" s="291">
        <f t="shared" si="21"/>
        <v>0.005</v>
      </c>
      <c r="BJ43" s="291">
        <f t="shared" si="21"/>
        <v>0.005</v>
      </c>
      <c r="BK43" s="291">
        <f t="shared" si="21"/>
        <v>0.005</v>
      </c>
      <c r="BL43" s="291">
        <f t="shared" si="21"/>
        <v>0.005</v>
      </c>
      <c r="BM43" s="291">
        <f t="shared" si="21"/>
        <v>0.005</v>
      </c>
      <c r="BN43" s="291">
        <f t="shared" si="21"/>
        <v>0.005</v>
      </c>
      <c r="BO43" s="291">
        <f t="shared" si="21"/>
        <v>0.005</v>
      </c>
      <c r="BP43" s="291">
        <f t="shared" si="21"/>
        <v>0.005</v>
      </c>
      <c r="BQ43" s="291">
        <f t="shared" si="21"/>
        <v>0.005</v>
      </c>
      <c r="BR43" s="291">
        <f t="shared" si="21"/>
        <v>0.005</v>
      </c>
      <c r="BS43" s="291">
        <f t="shared" si="21"/>
        <v>0.005</v>
      </c>
      <c r="BT43" s="291">
        <f t="shared" si="21"/>
        <v>0.005</v>
      </c>
      <c r="BU43" s="291">
        <f t="shared" si="21"/>
        <v>0.005</v>
      </c>
      <c r="BV43" s="291">
        <f t="shared" si="21"/>
        <v>0.005</v>
      </c>
      <c r="BW43" s="291">
        <f t="shared" si="21"/>
        <v>0.005</v>
      </c>
      <c r="BX43" s="291">
        <f t="shared" si="21"/>
        <v>0.005</v>
      </c>
      <c r="BY43" s="291">
        <f t="shared" si="21"/>
        <v>0.005</v>
      </c>
      <c r="BZ43" s="291">
        <f t="shared" si="21"/>
        <v>0.005</v>
      </c>
      <c r="CA43" s="291">
        <f t="shared" si="21"/>
        <v>0.005</v>
      </c>
      <c r="CB43" s="291">
        <f t="shared" si="21"/>
        <v>0.005</v>
      </c>
      <c r="CC43" s="117"/>
      <c r="CD43" s="117"/>
    </row>
    <row r="44" ht="15.75" customHeight="1">
      <c r="A44" s="292"/>
      <c r="B44" s="293"/>
      <c r="C44" s="247"/>
      <c r="D44" s="247"/>
      <c r="E44" s="247"/>
      <c r="F44" s="247"/>
      <c r="G44" s="247"/>
      <c r="H44" s="247"/>
      <c r="I44" s="247"/>
      <c r="J44" s="247"/>
      <c r="K44" s="247"/>
      <c r="L44" s="117"/>
      <c r="M44" s="247"/>
      <c r="N44" s="117"/>
      <c r="O44" s="117"/>
      <c r="P44" s="247"/>
      <c r="Q44" s="247"/>
      <c r="R44" s="247"/>
      <c r="S44" s="24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117"/>
      <c r="BS44" s="117"/>
      <c r="BT44" s="117"/>
      <c r="BU44" s="117"/>
      <c r="BV44" s="117"/>
      <c r="BW44" s="117"/>
      <c r="BX44" s="117"/>
      <c r="BY44" s="117"/>
      <c r="BZ44" s="117"/>
      <c r="CA44" s="117"/>
      <c r="CB44" s="117"/>
      <c r="CC44" s="117"/>
      <c r="CD44" s="117"/>
    </row>
    <row r="45" ht="15.75" customHeight="1">
      <c r="A45" s="292" t="s">
        <v>512</v>
      </c>
      <c r="B45" s="293"/>
      <c r="C45" s="247"/>
      <c r="D45" s="247"/>
      <c r="E45" s="247"/>
      <c r="F45" s="247"/>
      <c r="G45" s="247"/>
      <c r="H45" s="247"/>
      <c r="I45" s="247"/>
      <c r="J45" s="247"/>
      <c r="K45" s="247"/>
      <c r="L45" s="117"/>
      <c r="M45" s="247"/>
      <c r="N45" s="117"/>
      <c r="O45" s="117"/>
      <c r="P45" s="247">
        <f>'Opex Departments'!W111</f>
        <v>-7860</v>
      </c>
      <c r="Q45" s="247">
        <f>'Opex Departments'!X111</f>
        <v>-13422</v>
      </c>
      <c r="R45" s="247">
        <f>'Opex Departments'!Y111</f>
        <v>-9873</v>
      </c>
      <c r="S45" s="247">
        <f>'Opex Departments'!Z111</f>
        <v>-2132</v>
      </c>
      <c r="T45" s="117">
        <f t="shared" ref="T45:CB45" si="22">S45*(1+T46)</f>
        <v>-2132</v>
      </c>
      <c r="U45" s="117">
        <f t="shared" si="22"/>
        <v>-2132</v>
      </c>
      <c r="V45" s="117">
        <f t="shared" si="22"/>
        <v>-2132</v>
      </c>
      <c r="W45" s="117">
        <f t="shared" si="22"/>
        <v>-2132</v>
      </c>
      <c r="X45" s="117">
        <f t="shared" si="22"/>
        <v>-2132</v>
      </c>
      <c r="Y45" s="117">
        <f t="shared" si="22"/>
        <v>-2132</v>
      </c>
      <c r="Z45" s="117">
        <f t="shared" si="22"/>
        <v>-2132</v>
      </c>
      <c r="AA45" s="117">
        <f t="shared" si="22"/>
        <v>-2132</v>
      </c>
      <c r="AB45" s="117">
        <f t="shared" si="22"/>
        <v>-2132</v>
      </c>
      <c r="AC45" s="117">
        <f t="shared" si="22"/>
        <v>-2132</v>
      </c>
      <c r="AD45" s="117">
        <f t="shared" si="22"/>
        <v>-2132</v>
      </c>
      <c r="AE45" s="117">
        <f t="shared" si="22"/>
        <v>-2132</v>
      </c>
      <c r="AF45" s="117">
        <f t="shared" si="22"/>
        <v>-2132</v>
      </c>
      <c r="AG45" s="117">
        <f t="shared" si="22"/>
        <v>-2142.66</v>
      </c>
      <c r="AH45" s="117">
        <f t="shared" si="22"/>
        <v>-2153.3733</v>
      </c>
      <c r="AI45" s="117">
        <f t="shared" si="22"/>
        <v>-2164.140167</v>
      </c>
      <c r="AJ45" s="117">
        <f t="shared" si="22"/>
        <v>-2174.960867</v>
      </c>
      <c r="AK45" s="117">
        <f t="shared" si="22"/>
        <v>-2185.835672</v>
      </c>
      <c r="AL45" s="117">
        <f t="shared" si="22"/>
        <v>-2196.76485</v>
      </c>
      <c r="AM45" s="117">
        <f t="shared" si="22"/>
        <v>-2207.748674</v>
      </c>
      <c r="AN45" s="117">
        <f t="shared" si="22"/>
        <v>-2218.787418</v>
      </c>
      <c r="AO45" s="117">
        <f t="shared" si="22"/>
        <v>-2229.881355</v>
      </c>
      <c r="AP45" s="117">
        <f t="shared" si="22"/>
        <v>-2241.030762</v>
      </c>
      <c r="AQ45" s="117">
        <f t="shared" si="22"/>
        <v>-2252.235915</v>
      </c>
      <c r="AR45" s="117">
        <f t="shared" si="22"/>
        <v>-2263.497095</v>
      </c>
      <c r="AS45" s="117">
        <f t="shared" si="22"/>
        <v>-2274.81458</v>
      </c>
      <c r="AT45" s="117">
        <f t="shared" si="22"/>
        <v>-2286.188653</v>
      </c>
      <c r="AU45" s="117">
        <f t="shared" si="22"/>
        <v>-2297.619597</v>
      </c>
      <c r="AV45" s="117">
        <f t="shared" si="22"/>
        <v>-2309.107695</v>
      </c>
      <c r="AW45" s="117">
        <f t="shared" si="22"/>
        <v>-2320.653233</v>
      </c>
      <c r="AX45" s="117">
        <f t="shared" si="22"/>
        <v>-2332.256499</v>
      </c>
      <c r="AY45" s="117">
        <f t="shared" si="22"/>
        <v>-2343.917782</v>
      </c>
      <c r="AZ45" s="117">
        <f t="shared" si="22"/>
        <v>-2355.637371</v>
      </c>
      <c r="BA45" s="117">
        <f t="shared" si="22"/>
        <v>-2367.415557</v>
      </c>
      <c r="BB45" s="117">
        <f t="shared" si="22"/>
        <v>-2379.252635</v>
      </c>
      <c r="BC45" s="117">
        <f t="shared" si="22"/>
        <v>-2391.148898</v>
      </c>
      <c r="BD45" s="117">
        <f t="shared" si="22"/>
        <v>-2403.104643</v>
      </c>
      <c r="BE45" s="117">
        <f t="shared" si="22"/>
        <v>-2415.120166</v>
      </c>
      <c r="BF45" s="117">
        <f t="shared" si="22"/>
        <v>-2427.195767</v>
      </c>
      <c r="BG45" s="117">
        <f t="shared" si="22"/>
        <v>-2439.331746</v>
      </c>
      <c r="BH45" s="117">
        <f t="shared" si="22"/>
        <v>-2451.528404</v>
      </c>
      <c r="BI45" s="117">
        <f t="shared" si="22"/>
        <v>-2463.786047</v>
      </c>
      <c r="BJ45" s="117">
        <f t="shared" si="22"/>
        <v>-2476.104977</v>
      </c>
      <c r="BK45" s="117">
        <f t="shared" si="22"/>
        <v>-2488.485502</v>
      </c>
      <c r="BL45" s="117">
        <f t="shared" si="22"/>
        <v>-2500.927929</v>
      </c>
      <c r="BM45" s="117">
        <f t="shared" si="22"/>
        <v>-2513.432569</v>
      </c>
      <c r="BN45" s="117">
        <f t="shared" si="22"/>
        <v>-2525.999732</v>
      </c>
      <c r="BO45" s="117">
        <f t="shared" si="22"/>
        <v>-2538.62973</v>
      </c>
      <c r="BP45" s="117">
        <f t="shared" si="22"/>
        <v>-2551.322879</v>
      </c>
      <c r="BQ45" s="117">
        <f t="shared" si="22"/>
        <v>-2564.079493</v>
      </c>
      <c r="BR45" s="117">
        <f t="shared" si="22"/>
        <v>-2576.899891</v>
      </c>
      <c r="BS45" s="117">
        <f t="shared" si="22"/>
        <v>-2589.78439</v>
      </c>
      <c r="BT45" s="117">
        <f t="shared" si="22"/>
        <v>-2602.733312</v>
      </c>
      <c r="BU45" s="117">
        <f t="shared" si="22"/>
        <v>-2615.746979</v>
      </c>
      <c r="BV45" s="117">
        <f t="shared" si="22"/>
        <v>-2628.825714</v>
      </c>
      <c r="BW45" s="117">
        <f t="shared" si="22"/>
        <v>-2641.969842</v>
      </c>
      <c r="BX45" s="117">
        <f t="shared" si="22"/>
        <v>-2655.179691</v>
      </c>
      <c r="BY45" s="117">
        <f t="shared" si="22"/>
        <v>-2668.45559</v>
      </c>
      <c r="BZ45" s="117">
        <f t="shared" si="22"/>
        <v>-2681.797868</v>
      </c>
      <c r="CA45" s="117">
        <f t="shared" si="22"/>
        <v>-2695.206857</v>
      </c>
      <c r="CB45" s="117">
        <f t="shared" si="22"/>
        <v>-2708.682891</v>
      </c>
      <c r="CC45" s="117"/>
      <c r="CD45" s="117"/>
    </row>
    <row r="46" ht="15.75" customHeight="1">
      <c r="A46" s="132"/>
      <c r="B46" s="283"/>
      <c r="C46" s="247"/>
      <c r="D46" s="247"/>
      <c r="E46" s="247"/>
      <c r="F46" s="247"/>
      <c r="G46" s="247"/>
      <c r="H46" s="247"/>
      <c r="I46" s="247"/>
      <c r="J46" s="247"/>
      <c r="K46" s="247"/>
      <c r="L46" s="117"/>
      <c r="M46" s="247"/>
      <c r="N46" s="117"/>
      <c r="O46" s="117"/>
      <c r="P46" s="117"/>
      <c r="Q46" s="247"/>
      <c r="R46" s="117"/>
      <c r="S46" s="117"/>
      <c r="T46" s="291">
        <v>0.0</v>
      </c>
      <c r="U46" s="291">
        <v>0.0</v>
      </c>
      <c r="V46" s="291">
        <v>0.0</v>
      </c>
      <c r="W46" s="291">
        <v>0.0</v>
      </c>
      <c r="X46" s="291">
        <v>0.0</v>
      </c>
      <c r="Y46" s="291">
        <v>0.0</v>
      </c>
      <c r="Z46" s="291">
        <v>0.0</v>
      </c>
      <c r="AA46" s="291">
        <v>0.0</v>
      </c>
      <c r="AB46" s="291">
        <v>0.0</v>
      </c>
      <c r="AC46" s="291">
        <v>0.0</v>
      </c>
      <c r="AD46" s="291">
        <v>0.0</v>
      </c>
      <c r="AE46" s="291">
        <v>0.0</v>
      </c>
      <c r="AF46" s="291">
        <v>0.0</v>
      </c>
      <c r="AG46" s="291">
        <v>0.005</v>
      </c>
      <c r="AH46" s="291">
        <v>0.005</v>
      </c>
      <c r="AI46" s="291">
        <v>0.005</v>
      </c>
      <c r="AJ46" s="291">
        <v>0.005</v>
      </c>
      <c r="AK46" s="291">
        <v>0.005</v>
      </c>
      <c r="AL46" s="291">
        <v>0.005</v>
      </c>
      <c r="AM46" s="291">
        <v>0.005</v>
      </c>
      <c r="AN46" s="291">
        <v>0.005</v>
      </c>
      <c r="AO46" s="291">
        <v>0.005</v>
      </c>
      <c r="AP46" s="291">
        <v>0.005</v>
      </c>
      <c r="AQ46" s="291">
        <v>0.005</v>
      </c>
      <c r="AR46" s="291">
        <v>0.005</v>
      </c>
      <c r="AS46" s="291">
        <v>0.005</v>
      </c>
      <c r="AT46" s="291">
        <v>0.005</v>
      </c>
      <c r="AU46" s="291">
        <v>0.005</v>
      </c>
      <c r="AV46" s="291">
        <v>0.005</v>
      </c>
      <c r="AW46" s="291">
        <v>0.005</v>
      </c>
      <c r="AX46" s="291">
        <v>0.005</v>
      </c>
      <c r="AY46" s="291">
        <v>0.005</v>
      </c>
      <c r="AZ46" s="291">
        <v>0.005</v>
      </c>
      <c r="BA46" s="291">
        <v>0.005</v>
      </c>
      <c r="BB46" s="291">
        <v>0.005</v>
      </c>
      <c r="BC46" s="291">
        <v>0.005</v>
      </c>
      <c r="BD46" s="291">
        <v>0.005</v>
      </c>
      <c r="BE46" s="291">
        <v>0.005</v>
      </c>
      <c r="BF46" s="291">
        <v>0.005</v>
      </c>
      <c r="BG46" s="291">
        <v>0.005</v>
      </c>
      <c r="BH46" s="291">
        <v>0.005</v>
      </c>
      <c r="BI46" s="291">
        <v>0.005</v>
      </c>
      <c r="BJ46" s="291">
        <v>0.005</v>
      </c>
      <c r="BK46" s="291">
        <v>0.005</v>
      </c>
      <c r="BL46" s="291">
        <v>0.005</v>
      </c>
      <c r="BM46" s="291">
        <v>0.005</v>
      </c>
      <c r="BN46" s="291">
        <v>0.005</v>
      </c>
      <c r="BO46" s="291">
        <v>0.005</v>
      </c>
      <c r="BP46" s="291">
        <v>0.005</v>
      </c>
      <c r="BQ46" s="291">
        <v>0.005</v>
      </c>
      <c r="BR46" s="291">
        <v>0.005</v>
      </c>
      <c r="BS46" s="291">
        <v>0.005</v>
      </c>
      <c r="BT46" s="291">
        <v>0.005</v>
      </c>
      <c r="BU46" s="291">
        <v>0.005</v>
      </c>
      <c r="BV46" s="291">
        <v>0.005</v>
      </c>
      <c r="BW46" s="291">
        <v>0.005</v>
      </c>
      <c r="BX46" s="291">
        <v>0.005</v>
      </c>
      <c r="BY46" s="291">
        <v>0.005</v>
      </c>
      <c r="BZ46" s="291">
        <v>0.005</v>
      </c>
      <c r="CA46" s="291">
        <v>0.005</v>
      </c>
      <c r="CB46" s="291">
        <v>0.005</v>
      </c>
      <c r="CC46" s="117"/>
      <c r="CD46" s="117"/>
    </row>
    <row r="47" ht="15.75" customHeight="1">
      <c r="A47" s="132"/>
      <c r="B47" s="283"/>
      <c r="C47" s="247"/>
      <c r="D47" s="247"/>
      <c r="E47" s="247"/>
      <c r="F47" s="247"/>
      <c r="G47" s="247"/>
      <c r="H47" s="247"/>
      <c r="I47" s="247"/>
      <c r="J47" s="247"/>
      <c r="K47" s="247"/>
      <c r="L47" s="117"/>
      <c r="M47" s="24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c r="BR47" s="117"/>
      <c r="BS47" s="117"/>
      <c r="BT47" s="117"/>
      <c r="BU47" s="117"/>
      <c r="BV47" s="117"/>
      <c r="BW47" s="117"/>
      <c r="BX47" s="117"/>
      <c r="BY47" s="117"/>
      <c r="BZ47" s="117"/>
      <c r="CA47" s="117"/>
      <c r="CB47" s="117"/>
      <c r="CC47" s="117"/>
      <c r="CD47" s="117"/>
    </row>
    <row r="48" ht="15.75" customHeight="1">
      <c r="A48" s="119" t="s">
        <v>513</v>
      </c>
      <c r="B48" s="294"/>
      <c r="C48" s="121">
        <f t="shared" ref="C48:O48" si="23">SUM(C12:C47)</f>
        <v>5302</v>
      </c>
      <c r="D48" s="121">
        <f t="shared" si="23"/>
        <v>4642</v>
      </c>
      <c r="E48" s="121">
        <f t="shared" si="23"/>
        <v>6482</v>
      </c>
      <c r="F48" s="121">
        <f t="shared" si="23"/>
        <v>5298</v>
      </c>
      <c r="G48" s="121">
        <f t="shared" si="23"/>
        <v>6283</v>
      </c>
      <c r="H48" s="121">
        <f t="shared" si="23"/>
        <v>9733</v>
      </c>
      <c r="I48" s="121">
        <f t="shared" si="23"/>
        <v>19881</v>
      </c>
      <c r="J48" s="121">
        <f t="shared" si="23"/>
        <v>15123</v>
      </c>
      <c r="K48" s="121">
        <f t="shared" si="23"/>
        <v>22022</v>
      </c>
      <c r="L48" s="121">
        <f t="shared" si="23"/>
        <v>18333</v>
      </c>
      <c r="M48" s="121">
        <f t="shared" si="23"/>
        <v>13814</v>
      </c>
      <c r="N48" s="121">
        <f t="shared" si="23"/>
        <v>23104</v>
      </c>
      <c r="O48" s="121">
        <f t="shared" si="23"/>
        <v>17891</v>
      </c>
      <c r="P48" s="121">
        <f t="shared" ref="P48:CB48" si="24">SUM(P12,P14,P31)</f>
        <v>5314</v>
      </c>
      <c r="Q48" s="121">
        <f t="shared" si="24"/>
        <v>4820</v>
      </c>
      <c r="R48" s="121">
        <f t="shared" si="24"/>
        <v>5419</v>
      </c>
      <c r="S48" s="121">
        <f t="shared" si="24"/>
        <v>4843</v>
      </c>
      <c r="T48" s="121">
        <f t="shared" si="24"/>
        <v>23495.09665</v>
      </c>
      <c r="U48" s="121">
        <f t="shared" si="24"/>
        <v>24672.29023</v>
      </c>
      <c r="V48" s="121">
        <f t="shared" si="24"/>
        <v>25363.67599</v>
      </c>
      <c r="W48" s="121">
        <f t="shared" si="24"/>
        <v>26009.04959</v>
      </c>
      <c r="X48" s="121">
        <f t="shared" si="24"/>
        <v>26628.77915</v>
      </c>
      <c r="Y48" s="121">
        <f t="shared" si="24"/>
        <v>27207.30142</v>
      </c>
      <c r="Z48" s="121">
        <f t="shared" si="24"/>
        <v>27782.92128</v>
      </c>
      <c r="AA48" s="121">
        <f t="shared" si="24"/>
        <v>28331.52751</v>
      </c>
      <c r="AB48" s="121">
        <f t="shared" si="24"/>
        <v>28881.84659</v>
      </c>
      <c r="AC48" s="121">
        <f t="shared" si="24"/>
        <v>29427.54043</v>
      </c>
      <c r="AD48" s="121">
        <f t="shared" si="24"/>
        <v>29933.91789</v>
      </c>
      <c r="AE48" s="121">
        <f t="shared" si="24"/>
        <v>30421.06945</v>
      </c>
      <c r="AF48" s="121">
        <f t="shared" si="24"/>
        <v>30912.16298</v>
      </c>
      <c r="AG48" s="121">
        <f t="shared" si="24"/>
        <v>37843.64619</v>
      </c>
      <c r="AH48" s="121">
        <f t="shared" si="24"/>
        <v>38130.14471</v>
      </c>
      <c r="AI48" s="121">
        <f t="shared" si="24"/>
        <v>38359.83864</v>
      </c>
      <c r="AJ48" s="121">
        <f t="shared" si="24"/>
        <v>38626.9662</v>
      </c>
      <c r="AK48" s="121">
        <f t="shared" si="24"/>
        <v>38909.6706</v>
      </c>
      <c r="AL48" s="121">
        <f t="shared" si="24"/>
        <v>39201.91311</v>
      </c>
      <c r="AM48" s="121">
        <f t="shared" si="24"/>
        <v>39492.00495</v>
      </c>
      <c r="AN48" s="121">
        <f t="shared" si="24"/>
        <v>39879.15003</v>
      </c>
      <c r="AO48" s="121">
        <f t="shared" si="24"/>
        <v>40161.02214</v>
      </c>
      <c r="AP48" s="121">
        <f t="shared" si="24"/>
        <v>40438.87546</v>
      </c>
      <c r="AQ48" s="121">
        <f t="shared" si="24"/>
        <v>40713.18564</v>
      </c>
      <c r="AR48" s="121">
        <f t="shared" si="24"/>
        <v>40984.35076</v>
      </c>
      <c r="AS48" s="121">
        <f t="shared" si="24"/>
        <v>47626.19711</v>
      </c>
      <c r="AT48" s="121">
        <f t="shared" si="24"/>
        <v>48143.906</v>
      </c>
      <c r="AU48" s="121">
        <f t="shared" si="24"/>
        <v>48650.69298</v>
      </c>
      <c r="AV48" s="121">
        <f t="shared" si="24"/>
        <v>49146.59245</v>
      </c>
      <c r="AW48" s="121">
        <f t="shared" si="24"/>
        <v>49633.26245</v>
      </c>
      <c r="AX48" s="121">
        <f t="shared" si="24"/>
        <v>50111.72409</v>
      </c>
      <c r="AY48" s="121">
        <f t="shared" si="24"/>
        <v>50582.72573</v>
      </c>
      <c r="AZ48" s="121">
        <f t="shared" si="24"/>
        <v>51046.87309</v>
      </c>
      <c r="BA48" s="121">
        <f t="shared" si="24"/>
        <v>51504.68361</v>
      </c>
      <c r="BB48" s="121">
        <f t="shared" si="24"/>
        <v>51956.61312</v>
      </c>
      <c r="BC48" s="121">
        <f t="shared" si="24"/>
        <v>52403.0712</v>
      </c>
      <c r="BD48" s="121">
        <f t="shared" si="24"/>
        <v>52844.43107</v>
      </c>
      <c r="BE48" s="121">
        <f t="shared" si="24"/>
        <v>87614.30923</v>
      </c>
      <c r="BF48" s="121">
        <f t="shared" si="24"/>
        <v>88566.32579</v>
      </c>
      <c r="BG48" s="121">
        <f t="shared" si="24"/>
        <v>89369.67352</v>
      </c>
      <c r="BH48" s="121">
        <f t="shared" si="24"/>
        <v>90139.07767</v>
      </c>
      <c r="BI48" s="121">
        <f t="shared" si="24"/>
        <v>90900.32595</v>
      </c>
      <c r="BJ48" s="121">
        <f t="shared" si="24"/>
        <v>91655.09341</v>
      </c>
      <c r="BK48" s="121">
        <f t="shared" si="24"/>
        <v>92404.70591</v>
      </c>
      <c r="BL48" s="121">
        <f t="shared" si="24"/>
        <v>93150.19548</v>
      </c>
      <c r="BM48" s="121">
        <f t="shared" si="24"/>
        <v>93892.39523</v>
      </c>
      <c r="BN48" s="121">
        <f t="shared" si="24"/>
        <v>94632.00084</v>
      </c>
      <c r="BO48" s="121">
        <f t="shared" si="24"/>
        <v>95369.60881</v>
      </c>
      <c r="BP48" s="121">
        <f t="shared" si="24"/>
        <v>96105.74192</v>
      </c>
      <c r="BQ48" s="121">
        <f t="shared" si="24"/>
        <v>121606.4908</v>
      </c>
      <c r="BR48" s="121">
        <f t="shared" si="24"/>
        <v>121462.6076</v>
      </c>
      <c r="BS48" s="121">
        <f t="shared" si="24"/>
        <v>121378.1292</v>
      </c>
      <c r="BT48" s="121">
        <f t="shared" si="24"/>
        <v>121489.2306</v>
      </c>
      <c r="BU48" s="121">
        <f t="shared" si="24"/>
        <v>121751.9251</v>
      </c>
      <c r="BV48" s="121">
        <f t="shared" si="24"/>
        <v>122121.8319</v>
      </c>
      <c r="BW48" s="121">
        <f t="shared" si="24"/>
        <v>122570.0428</v>
      </c>
      <c r="BX48" s="121">
        <f t="shared" si="24"/>
        <v>123076.3472</v>
      </c>
      <c r="BY48" s="121">
        <f t="shared" si="24"/>
        <v>123626.1481</v>
      </c>
      <c r="BZ48" s="121">
        <f t="shared" si="24"/>
        <v>124208.7485</v>
      </c>
      <c r="CA48" s="121">
        <f t="shared" si="24"/>
        <v>124816.2635</v>
      </c>
      <c r="CB48" s="121">
        <f t="shared" si="24"/>
        <v>125442.8728</v>
      </c>
      <c r="CC48" s="118"/>
      <c r="CD48" s="118"/>
    </row>
    <row r="49" ht="15.75" customHeight="1">
      <c r="B49" s="6"/>
      <c r="D49" s="130">
        <f t="shared" ref="D49:CB49" si="25">D48/C48-1</f>
        <v>-0.1244813278</v>
      </c>
      <c r="E49" s="130">
        <f t="shared" si="25"/>
        <v>0.3963808703</v>
      </c>
      <c r="F49" s="130">
        <f t="shared" si="25"/>
        <v>-0.1826596729</v>
      </c>
      <c r="G49" s="130">
        <f t="shared" si="25"/>
        <v>0.1859192148</v>
      </c>
      <c r="H49" s="130">
        <f t="shared" si="25"/>
        <v>0.5491007481</v>
      </c>
      <c r="I49" s="130">
        <f t="shared" si="25"/>
        <v>1.042638447</v>
      </c>
      <c r="J49" s="130">
        <f t="shared" si="25"/>
        <v>-0.2393239777</v>
      </c>
      <c r="K49" s="130">
        <f t="shared" si="25"/>
        <v>0.4561925544</v>
      </c>
      <c r="L49" s="130">
        <f t="shared" si="25"/>
        <v>-0.1675143039</v>
      </c>
      <c r="M49" s="130">
        <f t="shared" si="25"/>
        <v>-0.2464953908</v>
      </c>
      <c r="N49" s="130">
        <f t="shared" si="25"/>
        <v>0.6725061532</v>
      </c>
      <c r="O49" s="130">
        <f t="shared" si="25"/>
        <v>-0.2256319252</v>
      </c>
      <c r="P49" s="130">
        <f t="shared" si="25"/>
        <v>-0.7029791515</v>
      </c>
      <c r="Q49" s="130">
        <f t="shared" si="25"/>
        <v>-0.0929619872</v>
      </c>
      <c r="R49" s="130">
        <f t="shared" si="25"/>
        <v>0.1242738589</v>
      </c>
      <c r="S49" s="130">
        <f t="shared" si="25"/>
        <v>-0.1062926739</v>
      </c>
      <c r="T49" s="130">
        <f t="shared" si="25"/>
        <v>3.851351776</v>
      </c>
      <c r="U49" s="130">
        <f t="shared" si="25"/>
        <v>0.05010379803</v>
      </c>
      <c r="V49" s="130">
        <f t="shared" si="25"/>
        <v>0.02802276369</v>
      </c>
      <c r="W49" s="130">
        <f t="shared" si="25"/>
        <v>0.02544479786</v>
      </c>
      <c r="X49" s="130">
        <f t="shared" si="25"/>
        <v>0.0238274586</v>
      </c>
      <c r="Y49" s="130">
        <f t="shared" si="25"/>
        <v>0.02172545221</v>
      </c>
      <c r="Z49" s="130">
        <f t="shared" si="25"/>
        <v>0.02115681586</v>
      </c>
      <c r="AA49" s="130">
        <f t="shared" si="25"/>
        <v>0.01974616784</v>
      </c>
      <c r="AB49" s="130">
        <f t="shared" si="25"/>
        <v>0.01942426437</v>
      </c>
      <c r="AC49" s="130">
        <f t="shared" si="25"/>
        <v>0.01889400802</v>
      </c>
      <c r="AD49" s="130">
        <f t="shared" si="25"/>
        <v>0.01720760379</v>
      </c>
      <c r="AE49" s="130">
        <f t="shared" si="25"/>
        <v>0.01627423336</v>
      </c>
      <c r="AF49" s="130">
        <f t="shared" si="25"/>
        <v>0.01614320385</v>
      </c>
      <c r="AG49" s="130">
        <f t="shared" si="25"/>
        <v>0.2242315822</v>
      </c>
      <c r="AH49" s="130">
        <f t="shared" si="25"/>
        <v>0.007570584536</v>
      </c>
      <c r="AI49" s="130">
        <f t="shared" si="25"/>
        <v>0.006023945937</v>
      </c>
      <c r="AJ49" s="130">
        <f t="shared" si="25"/>
        <v>0.006963729825</v>
      </c>
      <c r="AK49" s="130">
        <f t="shared" si="25"/>
        <v>0.007318835401</v>
      </c>
      <c r="AL49" s="130">
        <f t="shared" si="25"/>
        <v>0.007510793642</v>
      </c>
      <c r="AM49" s="130">
        <f t="shared" si="25"/>
        <v>0.007399940841</v>
      </c>
      <c r="AN49" s="130">
        <f t="shared" si="25"/>
        <v>0.009803125619</v>
      </c>
      <c r="AO49" s="130">
        <f t="shared" si="25"/>
        <v>0.007068157222</v>
      </c>
      <c r="AP49" s="130">
        <f t="shared" si="25"/>
        <v>0.006918482472</v>
      </c>
      <c r="AQ49" s="130">
        <f t="shared" si="25"/>
        <v>0.006783328491</v>
      </c>
      <c r="AR49" s="130">
        <f t="shared" si="25"/>
        <v>0.006660375931</v>
      </c>
      <c r="AS49" s="130">
        <f t="shared" si="25"/>
        <v>0.1620581082</v>
      </c>
      <c r="AT49" s="130">
        <f t="shared" si="25"/>
        <v>0.01087025449</v>
      </c>
      <c r="AU49" s="130">
        <f t="shared" si="25"/>
        <v>0.0105265032</v>
      </c>
      <c r="AV49" s="130">
        <f t="shared" si="25"/>
        <v>0.01019306078</v>
      </c>
      <c r="AW49" s="130">
        <f t="shared" si="25"/>
        <v>0.009902416087</v>
      </c>
      <c r="AX49" s="130">
        <f t="shared" si="25"/>
        <v>0.009639939283</v>
      </c>
      <c r="AY49" s="130">
        <f t="shared" si="25"/>
        <v>0.009399030745</v>
      </c>
      <c r="AZ49" s="130">
        <f t="shared" si="25"/>
        <v>0.009176005346</v>
      </c>
      <c r="BA49" s="130">
        <f t="shared" si="25"/>
        <v>0.008968434119</v>
      </c>
      <c r="BB49" s="130">
        <f t="shared" si="25"/>
        <v>0.008774532406</v>
      </c>
      <c r="BC49" s="130">
        <f t="shared" si="25"/>
        <v>0.008592901944</v>
      </c>
      <c r="BD49" s="130">
        <f t="shared" si="25"/>
        <v>0.008422404542</v>
      </c>
      <c r="BE49" s="130">
        <f t="shared" si="25"/>
        <v>0.6579667423</v>
      </c>
      <c r="BF49" s="130">
        <f t="shared" si="25"/>
        <v>0.01086599409</v>
      </c>
      <c r="BG49" s="130">
        <f t="shared" si="25"/>
        <v>0.009070577545</v>
      </c>
      <c r="BH49" s="130">
        <f t="shared" si="25"/>
        <v>0.008609230813</v>
      </c>
      <c r="BI49" s="130">
        <f t="shared" si="25"/>
        <v>0.008445263743</v>
      </c>
      <c r="BJ49" s="130">
        <f t="shared" si="25"/>
        <v>0.00830324254</v>
      </c>
      <c r="BK49" s="130">
        <f t="shared" si="25"/>
        <v>0.008178623596</v>
      </c>
      <c r="BL49" s="130">
        <f t="shared" si="25"/>
        <v>0.00806765798</v>
      </c>
      <c r="BM49" s="130">
        <f t="shared" si="25"/>
        <v>0.007967774481</v>
      </c>
      <c r="BN49" s="130">
        <f t="shared" si="25"/>
        <v>0.007877161994</v>
      </c>
      <c r="BO49" s="130">
        <f t="shared" si="25"/>
        <v>0.007794487829</v>
      </c>
      <c r="BP49" s="130">
        <f t="shared" si="25"/>
        <v>0.007718738914</v>
      </c>
      <c r="BQ49" s="130">
        <f t="shared" si="25"/>
        <v>0.2653405342</v>
      </c>
      <c r="BR49" s="130">
        <f t="shared" si="25"/>
        <v>-0.001183186947</v>
      </c>
      <c r="BS49" s="130">
        <f t="shared" si="25"/>
        <v>-0.0006955092773</v>
      </c>
      <c r="BT49" s="130">
        <f t="shared" si="25"/>
        <v>0.0009153323398</v>
      </c>
      <c r="BU49" s="130">
        <f t="shared" si="25"/>
        <v>0.002162286192</v>
      </c>
      <c r="BV49" s="130">
        <f t="shared" si="25"/>
        <v>0.003038201558</v>
      </c>
      <c r="BW49" s="130">
        <f t="shared" si="25"/>
        <v>0.003670194532</v>
      </c>
      <c r="BX49" s="130">
        <f t="shared" si="25"/>
        <v>0.004130735428</v>
      </c>
      <c r="BY49" s="130">
        <f t="shared" si="25"/>
        <v>0.004467152918</v>
      </c>
      <c r="BZ49" s="130">
        <f t="shared" si="25"/>
        <v>0.004712598094</v>
      </c>
      <c r="CA49" s="130">
        <f t="shared" si="25"/>
        <v>0.004891080901</v>
      </c>
      <c r="CB49" s="130">
        <f t="shared" si="25"/>
        <v>0.00502025361</v>
      </c>
      <c r="CC49" s="130"/>
      <c r="CD49" s="130"/>
    </row>
    <row r="50" ht="15.75" customHeight="1">
      <c r="A50" s="115" t="s">
        <v>514</v>
      </c>
      <c r="B50" s="6"/>
      <c r="S50" s="117">
        <f t="shared" ref="S50:AE50" si="26">SUM(S33:S45)</f>
        <v>2232</v>
      </c>
      <c r="T50" s="117">
        <f t="shared" si="26"/>
        <v>2350.15</v>
      </c>
      <c r="U50" s="117">
        <f t="shared" si="26"/>
        <v>2367.8257</v>
      </c>
      <c r="V50" s="117">
        <f t="shared" si="26"/>
        <v>2385.589779</v>
      </c>
      <c r="W50" s="117">
        <f t="shared" si="26"/>
        <v>2403.442677</v>
      </c>
      <c r="X50" s="117">
        <f t="shared" si="26"/>
        <v>2421.384841</v>
      </c>
      <c r="Y50" s="117">
        <f t="shared" si="26"/>
        <v>2439.416715</v>
      </c>
      <c r="Z50" s="117">
        <f t="shared" si="26"/>
        <v>2457.538749</v>
      </c>
      <c r="AA50" s="117">
        <f t="shared" si="26"/>
        <v>2475.751392</v>
      </c>
      <c r="AB50" s="117">
        <f t="shared" si="26"/>
        <v>2494.055099</v>
      </c>
      <c r="AC50" s="117">
        <f t="shared" si="26"/>
        <v>2512.450325</v>
      </c>
      <c r="AD50" s="117">
        <f t="shared" si="26"/>
        <v>2530.937526</v>
      </c>
      <c r="AE50" s="117">
        <f t="shared" si="26"/>
        <v>2549.517164</v>
      </c>
    </row>
    <row r="51" ht="15.75" customHeight="1">
      <c r="B51" s="6"/>
    </row>
    <row r="52" ht="15.75" customHeight="1">
      <c r="A52" s="1" t="s">
        <v>515</v>
      </c>
      <c r="B52" s="6"/>
      <c r="C52" s="247">
        <f t="shared" ref="C52:S52" si="27">C72</f>
        <v>3199</v>
      </c>
      <c r="D52" s="247">
        <f t="shared" si="27"/>
        <v>3155</v>
      </c>
      <c r="E52" s="247">
        <f t="shared" si="27"/>
        <v>3227</v>
      </c>
      <c r="F52" s="247">
        <f t="shared" si="27"/>
        <v>4457</v>
      </c>
      <c r="G52" s="247">
        <f t="shared" si="27"/>
        <v>3830</v>
      </c>
      <c r="H52" s="247">
        <f t="shared" si="27"/>
        <v>3491</v>
      </c>
      <c r="I52" s="247">
        <f t="shared" si="27"/>
        <v>3799</v>
      </c>
      <c r="J52" s="247">
        <f t="shared" si="27"/>
        <v>3161</v>
      </c>
      <c r="K52" s="247">
        <f t="shared" si="27"/>
        <v>4227</v>
      </c>
      <c r="L52" s="247">
        <f t="shared" si="27"/>
        <v>4239</v>
      </c>
      <c r="M52" s="247">
        <f t="shared" si="27"/>
        <v>3656</v>
      </c>
      <c r="N52" s="247">
        <f t="shared" si="27"/>
        <v>2783</v>
      </c>
      <c r="O52" s="247">
        <f t="shared" si="27"/>
        <v>4256</v>
      </c>
      <c r="P52" s="247">
        <f t="shared" si="27"/>
        <v>2829</v>
      </c>
      <c r="Q52" s="247">
        <f t="shared" si="27"/>
        <v>4319</v>
      </c>
      <c r="R52" s="247">
        <f t="shared" si="27"/>
        <v>2185</v>
      </c>
      <c r="S52" s="247">
        <f t="shared" si="27"/>
        <v>4157</v>
      </c>
      <c r="T52" s="117">
        <f t="shared" ref="T52:CB52" si="28">S52+T53</f>
        <v>4157</v>
      </c>
      <c r="U52" s="117">
        <f t="shared" si="28"/>
        <v>9157</v>
      </c>
      <c r="V52" s="117">
        <f t="shared" si="28"/>
        <v>9157</v>
      </c>
      <c r="W52" s="117">
        <f t="shared" si="28"/>
        <v>9157</v>
      </c>
      <c r="X52" s="117">
        <f t="shared" si="28"/>
        <v>9157</v>
      </c>
      <c r="Y52" s="117">
        <f t="shared" si="28"/>
        <v>14157</v>
      </c>
      <c r="Z52" s="117">
        <f t="shared" si="28"/>
        <v>14157</v>
      </c>
      <c r="AA52" s="117">
        <f t="shared" si="28"/>
        <v>14157</v>
      </c>
      <c r="AB52" s="117">
        <f t="shared" si="28"/>
        <v>14157</v>
      </c>
      <c r="AC52" s="117">
        <f t="shared" si="28"/>
        <v>19157</v>
      </c>
      <c r="AD52" s="117">
        <f t="shared" si="28"/>
        <v>19157</v>
      </c>
      <c r="AE52" s="117">
        <f t="shared" si="28"/>
        <v>19157</v>
      </c>
      <c r="AF52" s="117">
        <f t="shared" si="28"/>
        <v>19157</v>
      </c>
      <c r="AG52" s="117">
        <f t="shared" si="28"/>
        <v>19157</v>
      </c>
      <c r="AH52" s="117">
        <f t="shared" si="28"/>
        <v>19157</v>
      </c>
      <c r="AI52" s="117">
        <f t="shared" si="28"/>
        <v>19157</v>
      </c>
      <c r="AJ52" s="117">
        <f t="shared" si="28"/>
        <v>19157</v>
      </c>
      <c r="AK52" s="117">
        <f t="shared" si="28"/>
        <v>19157</v>
      </c>
      <c r="AL52" s="117">
        <f t="shared" si="28"/>
        <v>19157</v>
      </c>
      <c r="AM52" s="117">
        <f t="shared" si="28"/>
        <v>19157</v>
      </c>
      <c r="AN52" s="117">
        <f t="shared" si="28"/>
        <v>19157</v>
      </c>
      <c r="AO52" s="117">
        <f t="shared" si="28"/>
        <v>23157</v>
      </c>
      <c r="AP52" s="117">
        <f t="shared" si="28"/>
        <v>23157</v>
      </c>
      <c r="AQ52" s="117">
        <f t="shared" si="28"/>
        <v>23157</v>
      </c>
      <c r="AR52" s="117">
        <f t="shared" si="28"/>
        <v>23157</v>
      </c>
      <c r="AS52" s="117">
        <f t="shared" si="28"/>
        <v>33157</v>
      </c>
      <c r="AT52" s="117">
        <f t="shared" si="28"/>
        <v>33157</v>
      </c>
      <c r="AU52" s="117">
        <f t="shared" si="28"/>
        <v>33157</v>
      </c>
      <c r="AV52" s="117">
        <f t="shared" si="28"/>
        <v>33157</v>
      </c>
      <c r="AW52" s="117">
        <f t="shared" si="28"/>
        <v>43157</v>
      </c>
      <c r="AX52" s="117">
        <f t="shared" si="28"/>
        <v>43157</v>
      </c>
      <c r="AY52" s="117">
        <f t="shared" si="28"/>
        <v>43157</v>
      </c>
      <c r="AZ52" s="117">
        <f t="shared" si="28"/>
        <v>43157</v>
      </c>
      <c r="BA52" s="117">
        <f t="shared" si="28"/>
        <v>53157</v>
      </c>
      <c r="BB52" s="117">
        <f t="shared" si="28"/>
        <v>53157</v>
      </c>
      <c r="BC52" s="117">
        <f t="shared" si="28"/>
        <v>53157</v>
      </c>
      <c r="BD52" s="117">
        <f t="shared" si="28"/>
        <v>53157</v>
      </c>
      <c r="BE52" s="117">
        <f t="shared" si="28"/>
        <v>53357</v>
      </c>
      <c r="BF52" s="117">
        <f t="shared" si="28"/>
        <v>53357</v>
      </c>
      <c r="BG52" s="117">
        <f t="shared" si="28"/>
        <v>53357</v>
      </c>
      <c r="BH52" s="117">
        <f t="shared" si="28"/>
        <v>53357</v>
      </c>
      <c r="BI52" s="117">
        <f t="shared" si="28"/>
        <v>53557</v>
      </c>
      <c r="BJ52" s="117">
        <f t="shared" si="28"/>
        <v>53557</v>
      </c>
      <c r="BK52" s="117">
        <f t="shared" si="28"/>
        <v>53557</v>
      </c>
      <c r="BL52" s="117">
        <f t="shared" si="28"/>
        <v>53557</v>
      </c>
      <c r="BM52" s="117">
        <f t="shared" si="28"/>
        <v>53757</v>
      </c>
      <c r="BN52" s="117">
        <f t="shared" si="28"/>
        <v>53757</v>
      </c>
      <c r="BO52" s="117">
        <f t="shared" si="28"/>
        <v>53757</v>
      </c>
      <c r="BP52" s="117">
        <f t="shared" si="28"/>
        <v>53757</v>
      </c>
      <c r="BQ52" s="117">
        <f t="shared" si="28"/>
        <v>53957</v>
      </c>
      <c r="BR52" s="117">
        <f t="shared" si="28"/>
        <v>53957</v>
      </c>
      <c r="BS52" s="117">
        <f t="shared" si="28"/>
        <v>53957</v>
      </c>
      <c r="BT52" s="117">
        <f t="shared" si="28"/>
        <v>53957</v>
      </c>
      <c r="BU52" s="117">
        <f t="shared" si="28"/>
        <v>54157</v>
      </c>
      <c r="BV52" s="117">
        <f t="shared" si="28"/>
        <v>54157</v>
      </c>
      <c r="BW52" s="117">
        <f t="shared" si="28"/>
        <v>54157</v>
      </c>
      <c r="BX52" s="117">
        <f t="shared" si="28"/>
        <v>54157</v>
      </c>
      <c r="BY52" s="117">
        <f t="shared" si="28"/>
        <v>56657</v>
      </c>
      <c r="BZ52" s="117">
        <f t="shared" si="28"/>
        <v>56657</v>
      </c>
      <c r="CA52" s="117">
        <f t="shared" si="28"/>
        <v>56657</v>
      </c>
      <c r="CB52" s="117">
        <f t="shared" si="28"/>
        <v>56657</v>
      </c>
      <c r="CC52" s="117"/>
      <c r="CD52" s="117"/>
    </row>
    <row r="53" ht="15.75" customHeight="1">
      <c r="A53" s="1" t="s">
        <v>516</v>
      </c>
      <c r="B53" s="6"/>
      <c r="C53" s="247"/>
      <c r="D53" s="247"/>
      <c r="E53" s="247"/>
      <c r="F53" s="247"/>
      <c r="G53" s="247"/>
      <c r="H53" s="249"/>
      <c r="I53" s="249"/>
      <c r="J53" s="249"/>
      <c r="K53" s="249"/>
      <c r="L53" s="249"/>
      <c r="M53" s="249"/>
      <c r="N53" s="295"/>
      <c r="O53" s="295"/>
      <c r="P53" s="249"/>
      <c r="Q53" s="249"/>
      <c r="R53" s="249"/>
      <c r="S53" s="249"/>
      <c r="T53" s="249"/>
      <c r="U53" s="249">
        <v>5000.0</v>
      </c>
      <c r="V53" s="249"/>
      <c r="W53" s="249"/>
      <c r="X53" s="249"/>
      <c r="Y53" s="249">
        <v>5000.0</v>
      </c>
      <c r="Z53" s="249"/>
      <c r="AA53" s="249"/>
      <c r="AB53" s="249"/>
      <c r="AC53" s="249">
        <v>5000.0</v>
      </c>
      <c r="AD53" s="249"/>
      <c r="AE53" s="249"/>
      <c r="AF53" s="249"/>
      <c r="AG53" s="249">
        <v>0.0</v>
      </c>
      <c r="AH53" s="249"/>
      <c r="AI53" s="249"/>
      <c r="AJ53" s="249"/>
      <c r="AK53" s="249">
        <v>0.0</v>
      </c>
      <c r="AL53" s="249"/>
      <c r="AM53" s="249"/>
      <c r="AN53" s="249"/>
      <c r="AO53" s="249">
        <v>4000.0</v>
      </c>
      <c r="AP53" s="249"/>
      <c r="AQ53" s="249"/>
      <c r="AR53" s="249"/>
      <c r="AS53" s="249">
        <v>10000.0</v>
      </c>
      <c r="AT53" s="249"/>
      <c r="AU53" s="249"/>
      <c r="AV53" s="249"/>
      <c r="AW53" s="249">
        <v>10000.0</v>
      </c>
      <c r="AX53" s="249"/>
      <c r="AY53" s="249"/>
      <c r="AZ53" s="249"/>
      <c r="BA53" s="249">
        <v>10000.0</v>
      </c>
      <c r="BB53" s="249"/>
      <c r="BC53" s="249"/>
      <c r="BD53" s="249"/>
      <c r="BE53" s="249">
        <v>200.0</v>
      </c>
      <c r="BF53" s="249"/>
      <c r="BG53" s="249"/>
      <c r="BH53" s="249"/>
      <c r="BI53" s="249">
        <v>200.0</v>
      </c>
      <c r="BJ53" s="249"/>
      <c r="BK53" s="249"/>
      <c r="BL53" s="249"/>
      <c r="BM53" s="249">
        <v>200.0</v>
      </c>
      <c r="BN53" s="249"/>
      <c r="BO53" s="249"/>
      <c r="BP53" s="249"/>
      <c r="BQ53" s="249">
        <v>200.0</v>
      </c>
      <c r="BR53" s="249"/>
      <c r="BS53" s="249"/>
      <c r="BT53" s="249"/>
      <c r="BU53" s="249">
        <v>200.0</v>
      </c>
      <c r="BV53" s="249"/>
      <c r="BW53" s="249"/>
      <c r="BX53" s="249"/>
      <c r="BY53" s="249">
        <v>2500.0</v>
      </c>
      <c r="BZ53" s="249"/>
      <c r="CA53" s="249"/>
      <c r="CB53" s="249"/>
      <c r="CC53" s="249"/>
      <c r="CD53" s="249"/>
    </row>
    <row r="54" ht="15.75" customHeight="1">
      <c r="B54" s="6"/>
      <c r="C54" s="5"/>
      <c r="D54" s="5"/>
      <c r="E54" s="5"/>
      <c r="F54" s="5"/>
      <c r="G54" s="5"/>
    </row>
    <row r="55" ht="15.75" customHeight="1">
      <c r="A55" s="257" t="s">
        <v>216</v>
      </c>
      <c r="B55" s="296">
        <v>0.4</v>
      </c>
      <c r="C55" s="258">
        <f t="array" ref="C55">INDEX('IS Proforma'!$1:$1048490,MATCH(Expenses!$A55,'IS Proforma'!$C:$C,0),MATCH(Expenses!C$4,'IS Proforma'!$4:$4))</f>
        <v>1653</v>
      </c>
      <c r="D55" s="258">
        <f t="array" ref="D55">INDEX('IS Proforma'!$1:$1048490,MATCH(Expenses!$A55,'IS Proforma'!$C:$C,0),MATCH(Expenses!D$4,'IS Proforma'!$4:$4))</f>
        <v>1854</v>
      </c>
      <c r="E55" s="258">
        <f t="array" ref="E55">INDEX('IS Proforma'!$1:$1048490,MATCH(Expenses!$A55,'IS Proforma'!$C:$C,0),MATCH(Expenses!E$4,'IS Proforma'!$4:$4))</f>
        <v>2013</v>
      </c>
      <c r="F55" s="258">
        <f t="array" ref="F55">INDEX('IS Proforma'!$1:$1048490,MATCH(Expenses!$A55,'IS Proforma'!$C:$C,0),MATCH(Expenses!F$4,'IS Proforma'!$4:$4))</f>
        <v>2167</v>
      </c>
      <c r="G55" s="258">
        <f t="array" ref="G55">INDEX('IS Proforma'!$1:$1048490,MATCH(Expenses!$A55,'IS Proforma'!$C:$C,0),MATCH(Expenses!G$4,'IS Proforma'!$4:$4))</f>
        <v>1758</v>
      </c>
      <c r="H55" s="258">
        <f t="array" ref="H55">INDEX('IS Proforma'!$1:$1048490,MATCH(Expenses!$A55,'IS Proforma'!$C:$C,0),MATCH(Expenses!H$4,'IS Proforma'!$4:$4))</f>
        <v>1172</v>
      </c>
      <c r="I55" s="258">
        <f t="array" ref="I55">INDEX('IS Proforma'!$1:$1048490,MATCH(Expenses!$A55,'IS Proforma'!$C:$C,0),MATCH(Expenses!I$4,'IS Proforma'!$4:$4))</f>
        <v>1635</v>
      </c>
      <c r="J55" s="258">
        <f t="array" ref="J55">INDEX('IS Proforma'!$1:$1048490,MATCH(Expenses!$A55,'IS Proforma'!$C:$C,0),MATCH(Expenses!J$4,'IS Proforma'!$4:$4))</f>
        <v>1473</v>
      </c>
      <c r="K55" s="258">
        <f t="array" ref="K55">INDEX('IS Proforma'!$1:$1048490,MATCH(Expenses!$A55,'IS Proforma'!$C:$C,0),MATCH(Expenses!K$4,'IS Proforma'!$4:$4))</f>
        <v>2190</v>
      </c>
      <c r="L55" s="258">
        <f t="array" ref="L55">INDEX('IS Proforma'!$1:$1048490,MATCH(Expenses!$A55,'IS Proforma'!$C:$C,0),MATCH(Expenses!L$4,'IS Proforma'!$4:$4))</f>
        <v>2108</v>
      </c>
      <c r="M55" s="258">
        <f t="array" ref="M55">INDEX('IS Proforma'!$1:$1048490,MATCH(Expenses!$A55,'IS Proforma'!$C:$C,0),MATCH(Expenses!M$4,'IS Proforma'!$4:$4))</f>
        <v>2264</v>
      </c>
      <c r="N55" s="258">
        <f t="array" ref="N55">INDEX('IS Proforma'!$1:$1048490,MATCH(Expenses!$A55,'IS Proforma'!$C:$C,0),MATCH(Expenses!N$4,'IS Proforma'!$4:$4))</f>
        <v>1583</v>
      </c>
      <c r="O55" s="258">
        <f t="array" ref="O55">INDEX('IS Proforma'!$1:$1048490,MATCH(Expenses!$A55,'IS Proforma'!$C:$C,0),MATCH(Expenses!O$4,'IS Proforma'!$4:$4))</f>
        <v>2242</v>
      </c>
      <c r="P55" s="258">
        <f t="array" ref="P55">INDEX('IS Proforma'!$1:$1048490,MATCH(Expenses!$A55,'IS Proforma'!$C:$C,0),MATCH(Expenses!P$4,'IS Proforma'!$4:$4))</f>
        <v>1515</v>
      </c>
      <c r="Q55" s="258">
        <f t="array" ref="Q55">INDEX('IS Proforma'!$1:$1048490,MATCH(Expenses!$A55,'IS Proforma'!$C:$C,0),MATCH(Expenses!Q$4,'IS Proforma'!$4:$4))</f>
        <v>2271</v>
      </c>
      <c r="R55" s="258">
        <f t="array" ref="R55">INDEX('IS Proforma'!$1:$1048490,MATCH(Expenses!$A55,'IS Proforma'!$C:$C,0),MATCH(Expenses!R$4,'IS Proforma'!$4:$4))</f>
        <v>1132</v>
      </c>
      <c r="S55" s="258">
        <f t="array" ref="S55">INDEX('IS Proforma'!$1:$1048490,MATCH(Expenses!$A55,'IS Proforma'!$C:$C,0),MATCH(Expenses!S$4,'IS Proforma'!$4:$4))</f>
        <v>2244</v>
      </c>
      <c r="T55" s="118">
        <f t="shared" ref="T55:CB55" si="29">T$52*$B55</f>
        <v>1662.8</v>
      </c>
      <c r="U55" s="118">
        <f t="shared" si="29"/>
        <v>3662.8</v>
      </c>
      <c r="V55" s="118">
        <f t="shared" si="29"/>
        <v>3662.8</v>
      </c>
      <c r="W55" s="118">
        <f t="shared" si="29"/>
        <v>3662.8</v>
      </c>
      <c r="X55" s="118">
        <f t="shared" si="29"/>
        <v>3662.8</v>
      </c>
      <c r="Y55" s="118">
        <f t="shared" si="29"/>
        <v>5662.8</v>
      </c>
      <c r="Z55" s="118">
        <f t="shared" si="29"/>
        <v>5662.8</v>
      </c>
      <c r="AA55" s="118">
        <f t="shared" si="29"/>
        <v>5662.8</v>
      </c>
      <c r="AB55" s="118">
        <f t="shared" si="29"/>
        <v>5662.8</v>
      </c>
      <c r="AC55" s="118">
        <f t="shared" si="29"/>
        <v>7662.8</v>
      </c>
      <c r="AD55" s="118">
        <f t="shared" si="29"/>
        <v>7662.8</v>
      </c>
      <c r="AE55" s="118">
        <f t="shared" si="29"/>
        <v>7662.8</v>
      </c>
      <c r="AF55" s="118">
        <f t="shared" si="29"/>
        <v>7662.8</v>
      </c>
      <c r="AG55" s="118">
        <f t="shared" si="29"/>
        <v>7662.8</v>
      </c>
      <c r="AH55" s="118">
        <f t="shared" si="29"/>
        <v>7662.8</v>
      </c>
      <c r="AI55" s="118">
        <f t="shared" si="29"/>
        <v>7662.8</v>
      </c>
      <c r="AJ55" s="118">
        <f t="shared" si="29"/>
        <v>7662.8</v>
      </c>
      <c r="AK55" s="118">
        <f t="shared" si="29"/>
        <v>7662.8</v>
      </c>
      <c r="AL55" s="118">
        <f t="shared" si="29"/>
        <v>7662.8</v>
      </c>
      <c r="AM55" s="118">
        <f t="shared" si="29"/>
        <v>7662.8</v>
      </c>
      <c r="AN55" s="118">
        <f t="shared" si="29"/>
        <v>7662.8</v>
      </c>
      <c r="AO55" s="118">
        <f t="shared" si="29"/>
        <v>9262.8</v>
      </c>
      <c r="AP55" s="118">
        <f t="shared" si="29"/>
        <v>9262.8</v>
      </c>
      <c r="AQ55" s="118">
        <f t="shared" si="29"/>
        <v>9262.8</v>
      </c>
      <c r="AR55" s="118">
        <f t="shared" si="29"/>
        <v>9262.8</v>
      </c>
      <c r="AS55" s="118">
        <f t="shared" si="29"/>
        <v>13262.8</v>
      </c>
      <c r="AT55" s="118">
        <f t="shared" si="29"/>
        <v>13262.8</v>
      </c>
      <c r="AU55" s="118">
        <f t="shared" si="29"/>
        <v>13262.8</v>
      </c>
      <c r="AV55" s="118">
        <f t="shared" si="29"/>
        <v>13262.8</v>
      </c>
      <c r="AW55" s="118">
        <f t="shared" si="29"/>
        <v>17262.8</v>
      </c>
      <c r="AX55" s="118">
        <f t="shared" si="29"/>
        <v>17262.8</v>
      </c>
      <c r="AY55" s="118">
        <f t="shared" si="29"/>
        <v>17262.8</v>
      </c>
      <c r="AZ55" s="118">
        <f t="shared" si="29"/>
        <v>17262.8</v>
      </c>
      <c r="BA55" s="118">
        <f t="shared" si="29"/>
        <v>21262.8</v>
      </c>
      <c r="BB55" s="118">
        <f t="shared" si="29"/>
        <v>21262.8</v>
      </c>
      <c r="BC55" s="118">
        <f t="shared" si="29"/>
        <v>21262.8</v>
      </c>
      <c r="BD55" s="118">
        <f t="shared" si="29"/>
        <v>21262.8</v>
      </c>
      <c r="BE55" s="118">
        <f t="shared" si="29"/>
        <v>21342.8</v>
      </c>
      <c r="BF55" s="118">
        <f t="shared" si="29"/>
        <v>21342.8</v>
      </c>
      <c r="BG55" s="118">
        <f t="shared" si="29"/>
        <v>21342.8</v>
      </c>
      <c r="BH55" s="118">
        <f t="shared" si="29"/>
        <v>21342.8</v>
      </c>
      <c r="BI55" s="118">
        <f t="shared" si="29"/>
        <v>21422.8</v>
      </c>
      <c r="BJ55" s="118">
        <f t="shared" si="29"/>
        <v>21422.8</v>
      </c>
      <c r="BK55" s="118">
        <f t="shared" si="29"/>
        <v>21422.8</v>
      </c>
      <c r="BL55" s="118">
        <f t="shared" si="29"/>
        <v>21422.8</v>
      </c>
      <c r="BM55" s="118">
        <f t="shared" si="29"/>
        <v>21502.8</v>
      </c>
      <c r="BN55" s="118">
        <f t="shared" si="29"/>
        <v>21502.8</v>
      </c>
      <c r="BO55" s="118">
        <f t="shared" si="29"/>
        <v>21502.8</v>
      </c>
      <c r="BP55" s="118">
        <f t="shared" si="29"/>
        <v>21502.8</v>
      </c>
      <c r="BQ55" s="118">
        <f t="shared" si="29"/>
        <v>21582.8</v>
      </c>
      <c r="BR55" s="118">
        <f t="shared" si="29"/>
        <v>21582.8</v>
      </c>
      <c r="BS55" s="118">
        <f t="shared" si="29"/>
        <v>21582.8</v>
      </c>
      <c r="BT55" s="118">
        <f t="shared" si="29"/>
        <v>21582.8</v>
      </c>
      <c r="BU55" s="118">
        <f t="shared" si="29"/>
        <v>21662.8</v>
      </c>
      <c r="BV55" s="118">
        <f t="shared" si="29"/>
        <v>21662.8</v>
      </c>
      <c r="BW55" s="118">
        <f t="shared" si="29"/>
        <v>21662.8</v>
      </c>
      <c r="BX55" s="118">
        <f t="shared" si="29"/>
        <v>21662.8</v>
      </c>
      <c r="BY55" s="118">
        <f t="shared" si="29"/>
        <v>22662.8</v>
      </c>
      <c r="BZ55" s="118">
        <f t="shared" si="29"/>
        <v>22662.8</v>
      </c>
      <c r="CA55" s="118">
        <f t="shared" si="29"/>
        <v>22662.8</v>
      </c>
      <c r="CB55" s="118">
        <f t="shared" si="29"/>
        <v>22662.8</v>
      </c>
      <c r="CC55" s="4"/>
      <c r="CD55" s="4"/>
    </row>
    <row r="56" ht="15.75" customHeight="1">
      <c r="A56" s="297" t="s">
        <v>517</v>
      </c>
      <c r="B56" s="283">
        <v>0.38</v>
      </c>
      <c r="C56" s="247">
        <f>'Ops Departments'!J21</f>
        <v>912</v>
      </c>
      <c r="D56" s="247">
        <f>'Ops Departments'!K21</f>
        <v>2861</v>
      </c>
      <c r="E56" s="247">
        <f>'Ops Departments'!L21</f>
        <v>4388</v>
      </c>
      <c r="F56" s="247">
        <f>'Ops Departments'!M21</f>
        <v>4126</v>
      </c>
      <c r="G56" s="247">
        <f>'Ops Departments'!N21</f>
        <v>3787</v>
      </c>
      <c r="H56" s="247">
        <f>'Ops Departments'!O21</f>
        <v>4955</v>
      </c>
      <c r="I56" s="247">
        <f>'Ops Departments'!P21</f>
        <v>2355</v>
      </c>
      <c r="J56" s="247">
        <f>'Ops Departments'!Q21</f>
        <v>1746</v>
      </c>
      <c r="K56" s="247">
        <f>'Ops Departments'!R21</f>
        <v>1810</v>
      </c>
      <c r="L56" s="247">
        <f>'Ops Departments'!S21</f>
        <v>715</v>
      </c>
      <c r="M56" s="247">
        <f>'Ops Departments'!T21</f>
        <v>4215</v>
      </c>
      <c r="N56" s="247">
        <f>'Ops Departments'!U21</f>
        <v>3449</v>
      </c>
      <c r="O56" s="247">
        <f>'Ops Departments'!V21</f>
        <v>1835</v>
      </c>
      <c r="P56" s="247">
        <f>'Ops Departments'!W21</f>
        <v>1693</v>
      </c>
      <c r="Q56" s="247">
        <f>'Ops Departments'!X21</f>
        <v>2494</v>
      </c>
      <c r="R56" s="247">
        <f>'Ops Departments'!Y21</f>
        <v>3890</v>
      </c>
      <c r="S56" s="247">
        <f>'Ops Departments'!Z21</f>
        <v>2906</v>
      </c>
      <c r="T56" s="117">
        <f t="shared" ref="T56:CB56" si="30">T$55*$B56</f>
        <v>631.864</v>
      </c>
      <c r="U56" s="117">
        <f t="shared" si="30"/>
        <v>1391.864</v>
      </c>
      <c r="V56" s="117">
        <f t="shared" si="30"/>
        <v>1391.864</v>
      </c>
      <c r="W56" s="117">
        <f t="shared" si="30"/>
        <v>1391.864</v>
      </c>
      <c r="X56" s="117">
        <f t="shared" si="30"/>
        <v>1391.864</v>
      </c>
      <c r="Y56" s="117">
        <f t="shared" si="30"/>
        <v>2151.864</v>
      </c>
      <c r="Z56" s="117">
        <f t="shared" si="30"/>
        <v>2151.864</v>
      </c>
      <c r="AA56" s="117">
        <f t="shared" si="30"/>
        <v>2151.864</v>
      </c>
      <c r="AB56" s="117">
        <f t="shared" si="30"/>
        <v>2151.864</v>
      </c>
      <c r="AC56" s="117">
        <f t="shared" si="30"/>
        <v>2911.864</v>
      </c>
      <c r="AD56" s="117">
        <f t="shared" si="30"/>
        <v>2911.864</v>
      </c>
      <c r="AE56" s="117">
        <f t="shared" si="30"/>
        <v>2911.864</v>
      </c>
      <c r="AF56" s="117">
        <f t="shared" si="30"/>
        <v>2911.864</v>
      </c>
      <c r="AG56" s="117">
        <f t="shared" si="30"/>
        <v>2911.864</v>
      </c>
      <c r="AH56" s="117">
        <f t="shared" si="30"/>
        <v>2911.864</v>
      </c>
      <c r="AI56" s="117">
        <f t="shared" si="30"/>
        <v>2911.864</v>
      </c>
      <c r="AJ56" s="117">
        <f t="shared" si="30"/>
        <v>2911.864</v>
      </c>
      <c r="AK56" s="117">
        <f t="shared" si="30"/>
        <v>2911.864</v>
      </c>
      <c r="AL56" s="117">
        <f t="shared" si="30"/>
        <v>2911.864</v>
      </c>
      <c r="AM56" s="117">
        <f t="shared" si="30"/>
        <v>2911.864</v>
      </c>
      <c r="AN56" s="117">
        <f t="shared" si="30"/>
        <v>2911.864</v>
      </c>
      <c r="AO56" s="117">
        <f t="shared" si="30"/>
        <v>3519.864</v>
      </c>
      <c r="AP56" s="117">
        <f t="shared" si="30"/>
        <v>3519.864</v>
      </c>
      <c r="AQ56" s="117">
        <f t="shared" si="30"/>
        <v>3519.864</v>
      </c>
      <c r="AR56" s="117">
        <f t="shared" si="30"/>
        <v>3519.864</v>
      </c>
      <c r="AS56" s="117">
        <f t="shared" si="30"/>
        <v>5039.864</v>
      </c>
      <c r="AT56" s="117">
        <f t="shared" si="30"/>
        <v>5039.864</v>
      </c>
      <c r="AU56" s="117">
        <f t="shared" si="30"/>
        <v>5039.864</v>
      </c>
      <c r="AV56" s="117">
        <f t="shared" si="30"/>
        <v>5039.864</v>
      </c>
      <c r="AW56" s="117">
        <f t="shared" si="30"/>
        <v>6559.864</v>
      </c>
      <c r="AX56" s="117">
        <f t="shared" si="30"/>
        <v>6559.864</v>
      </c>
      <c r="AY56" s="117">
        <f t="shared" si="30"/>
        <v>6559.864</v>
      </c>
      <c r="AZ56" s="117">
        <f t="shared" si="30"/>
        <v>6559.864</v>
      </c>
      <c r="BA56" s="117">
        <f t="shared" si="30"/>
        <v>8079.864</v>
      </c>
      <c r="BB56" s="117">
        <f t="shared" si="30"/>
        <v>8079.864</v>
      </c>
      <c r="BC56" s="117">
        <f t="shared" si="30"/>
        <v>8079.864</v>
      </c>
      <c r="BD56" s="117">
        <f t="shared" si="30"/>
        <v>8079.864</v>
      </c>
      <c r="BE56" s="117">
        <f t="shared" si="30"/>
        <v>8110.264</v>
      </c>
      <c r="BF56" s="117">
        <f t="shared" si="30"/>
        <v>8110.264</v>
      </c>
      <c r="BG56" s="117">
        <f t="shared" si="30"/>
        <v>8110.264</v>
      </c>
      <c r="BH56" s="117">
        <f t="shared" si="30"/>
        <v>8110.264</v>
      </c>
      <c r="BI56" s="117">
        <f t="shared" si="30"/>
        <v>8140.664</v>
      </c>
      <c r="BJ56" s="117">
        <f t="shared" si="30"/>
        <v>8140.664</v>
      </c>
      <c r="BK56" s="117">
        <f t="shared" si="30"/>
        <v>8140.664</v>
      </c>
      <c r="BL56" s="117">
        <f t="shared" si="30"/>
        <v>8140.664</v>
      </c>
      <c r="BM56" s="117">
        <f t="shared" si="30"/>
        <v>8171.064</v>
      </c>
      <c r="BN56" s="117">
        <f t="shared" si="30"/>
        <v>8171.064</v>
      </c>
      <c r="BO56" s="117">
        <f t="shared" si="30"/>
        <v>8171.064</v>
      </c>
      <c r="BP56" s="117">
        <f t="shared" si="30"/>
        <v>8171.064</v>
      </c>
      <c r="BQ56" s="117">
        <f t="shared" si="30"/>
        <v>8201.464</v>
      </c>
      <c r="BR56" s="117">
        <f t="shared" si="30"/>
        <v>8201.464</v>
      </c>
      <c r="BS56" s="117">
        <f t="shared" si="30"/>
        <v>8201.464</v>
      </c>
      <c r="BT56" s="117">
        <f t="shared" si="30"/>
        <v>8201.464</v>
      </c>
      <c r="BU56" s="117">
        <f t="shared" si="30"/>
        <v>8231.864</v>
      </c>
      <c r="BV56" s="117">
        <f t="shared" si="30"/>
        <v>8231.864</v>
      </c>
      <c r="BW56" s="117">
        <f t="shared" si="30"/>
        <v>8231.864</v>
      </c>
      <c r="BX56" s="117">
        <f t="shared" si="30"/>
        <v>8231.864</v>
      </c>
      <c r="BY56" s="117">
        <f t="shared" si="30"/>
        <v>8611.864</v>
      </c>
      <c r="BZ56" s="117">
        <f t="shared" si="30"/>
        <v>8611.864</v>
      </c>
      <c r="CA56" s="117">
        <f t="shared" si="30"/>
        <v>8611.864</v>
      </c>
      <c r="CB56" s="117">
        <f t="shared" si="30"/>
        <v>8611.864</v>
      </c>
      <c r="CC56" s="117"/>
      <c r="CD56" s="117"/>
    </row>
    <row r="57" ht="15.75" customHeight="1">
      <c r="A57" s="297" t="s">
        <v>518</v>
      </c>
      <c r="B57" s="283">
        <v>0.16</v>
      </c>
      <c r="C57" s="247">
        <f>'Ops Departments'!J53</f>
        <v>4970</v>
      </c>
      <c r="D57" s="247">
        <f>'Ops Departments'!K53</f>
        <v>416</v>
      </c>
      <c r="E57" s="247">
        <f>'Ops Departments'!L53</f>
        <v>555</v>
      </c>
      <c r="F57" s="247">
        <f>'Ops Departments'!M53</f>
        <v>46</v>
      </c>
      <c r="G57" s="247">
        <f>'Ops Departments'!N53</f>
        <v>849</v>
      </c>
      <c r="H57" s="247">
        <f>'Ops Departments'!O53</f>
        <v>1013</v>
      </c>
      <c r="I57" s="247">
        <f>'Ops Departments'!P53</f>
        <v>4354</v>
      </c>
      <c r="J57" s="247">
        <f>'Ops Departments'!Q53</f>
        <v>252</v>
      </c>
      <c r="K57" s="247">
        <f>'Ops Departments'!R53</f>
        <v>4069</v>
      </c>
      <c r="L57" s="247">
        <f>'Ops Departments'!S53</f>
        <v>4894</v>
      </c>
      <c r="M57" s="247">
        <f>'Ops Departments'!T53</f>
        <v>3654</v>
      </c>
      <c r="N57" s="247">
        <f>'Ops Departments'!U53</f>
        <v>772</v>
      </c>
      <c r="O57" s="247">
        <f>'Ops Departments'!V53</f>
        <v>3916</v>
      </c>
      <c r="P57" s="247">
        <f>'Ops Departments'!W53</f>
        <v>2522</v>
      </c>
      <c r="Q57" s="247">
        <f>'Ops Departments'!X53</f>
        <v>2135</v>
      </c>
      <c r="R57" s="247">
        <f>'Ops Departments'!Y53</f>
        <v>2754</v>
      </c>
      <c r="S57" s="247">
        <f>'Ops Departments'!Z53</f>
        <v>1715</v>
      </c>
      <c r="T57" s="117">
        <f t="shared" ref="T57:CB57" si="31">T$55*$B57</f>
        <v>266.048</v>
      </c>
      <c r="U57" s="117">
        <f t="shared" si="31"/>
        <v>586.048</v>
      </c>
      <c r="V57" s="117">
        <f t="shared" si="31"/>
        <v>586.048</v>
      </c>
      <c r="W57" s="117">
        <f t="shared" si="31"/>
        <v>586.048</v>
      </c>
      <c r="X57" s="117">
        <f t="shared" si="31"/>
        <v>586.048</v>
      </c>
      <c r="Y57" s="117">
        <f t="shared" si="31"/>
        <v>906.048</v>
      </c>
      <c r="Z57" s="117">
        <f t="shared" si="31"/>
        <v>906.048</v>
      </c>
      <c r="AA57" s="117">
        <f t="shared" si="31"/>
        <v>906.048</v>
      </c>
      <c r="AB57" s="117">
        <f t="shared" si="31"/>
        <v>906.048</v>
      </c>
      <c r="AC57" s="117">
        <f t="shared" si="31"/>
        <v>1226.048</v>
      </c>
      <c r="AD57" s="117">
        <f t="shared" si="31"/>
        <v>1226.048</v>
      </c>
      <c r="AE57" s="117">
        <f t="shared" si="31"/>
        <v>1226.048</v>
      </c>
      <c r="AF57" s="117">
        <f t="shared" si="31"/>
        <v>1226.048</v>
      </c>
      <c r="AG57" s="117">
        <f t="shared" si="31"/>
        <v>1226.048</v>
      </c>
      <c r="AH57" s="117">
        <f t="shared" si="31"/>
        <v>1226.048</v>
      </c>
      <c r="AI57" s="117">
        <f t="shared" si="31"/>
        <v>1226.048</v>
      </c>
      <c r="AJ57" s="117">
        <f t="shared" si="31"/>
        <v>1226.048</v>
      </c>
      <c r="AK57" s="117">
        <f t="shared" si="31"/>
        <v>1226.048</v>
      </c>
      <c r="AL57" s="117">
        <f t="shared" si="31"/>
        <v>1226.048</v>
      </c>
      <c r="AM57" s="117">
        <f t="shared" si="31"/>
        <v>1226.048</v>
      </c>
      <c r="AN57" s="117">
        <f t="shared" si="31"/>
        <v>1226.048</v>
      </c>
      <c r="AO57" s="117">
        <f t="shared" si="31"/>
        <v>1482.048</v>
      </c>
      <c r="AP57" s="117">
        <f t="shared" si="31"/>
        <v>1482.048</v>
      </c>
      <c r="AQ57" s="117">
        <f t="shared" si="31"/>
        <v>1482.048</v>
      </c>
      <c r="AR57" s="117">
        <f t="shared" si="31"/>
        <v>1482.048</v>
      </c>
      <c r="AS57" s="117">
        <f t="shared" si="31"/>
        <v>2122.048</v>
      </c>
      <c r="AT57" s="117">
        <f t="shared" si="31"/>
        <v>2122.048</v>
      </c>
      <c r="AU57" s="117">
        <f t="shared" si="31"/>
        <v>2122.048</v>
      </c>
      <c r="AV57" s="117">
        <f t="shared" si="31"/>
        <v>2122.048</v>
      </c>
      <c r="AW57" s="117">
        <f t="shared" si="31"/>
        <v>2762.048</v>
      </c>
      <c r="AX57" s="117">
        <f t="shared" si="31"/>
        <v>2762.048</v>
      </c>
      <c r="AY57" s="117">
        <f t="shared" si="31"/>
        <v>2762.048</v>
      </c>
      <c r="AZ57" s="117">
        <f t="shared" si="31"/>
        <v>2762.048</v>
      </c>
      <c r="BA57" s="117">
        <f t="shared" si="31"/>
        <v>3402.048</v>
      </c>
      <c r="BB57" s="117">
        <f t="shared" si="31"/>
        <v>3402.048</v>
      </c>
      <c r="BC57" s="117">
        <f t="shared" si="31"/>
        <v>3402.048</v>
      </c>
      <c r="BD57" s="117">
        <f t="shared" si="31"/>
        <v>3402.048</v>
      </c>
      <c r="BE57" s="117">
        <f t="shared" si="31"/>
        <v>3414.848</v>
      </c>
      <c r="BF57" s="117">
        <f t="shared" si="31"/>
        <v>3414.848</v>
      </c>
      <c r="BG57" s="117">
        <f t="shared" si="31"/>
        <v>3414.848</v>
      </c>
      <c r="BH57" s="117">
        <f t="shared" si="31"/>
        <v>3414.848</v>
      </c>
      <c r="BI57" s="117">
        <f t="shared" si="31"/>
        <v>3427.648</v>
      </c>
      <c r="BJ57" s="117">
        <f t="shared" si="31"/>
        <v>3427.648</v>
      </c>
      <c r="BK57" s="117">
        <f t="shared" si="31"/>
        <v>3427.648</v>
      </c>
      <c r="BL57" s="117">
        <f t="shared" si="31"/>
        <v>3427.648</v>
      </c>
      <c r="BM57" s="117">
        <f t="shared" si="31"/>
        <v>3440.448</v>
      </c>
      <c r="BN57" s="117">
        <f t="shared" si="31"/>
        <v>3440.448</v>
      </c>
      <c r="BO57" s="117">
        <f t="shared" si="31"/>
        <v>3440.448</v>
      </c>
      <c r="BP57" s="117">
        <f t="shared" si="31"/>
        <v>3440.448</v>
      </c>
      <c r="BQ57" s="117">
        <f t="shared" si="31"/>
        <v>3453.248</v>
      </c>
      <c r="BR57" s="117">
        <f t="shared" si="31"/>
        <v>3453.248</v>
      </c>
      <c r="BS57" s="117">
        <f t="shared" si="31"/>
        <v>3453.248</v>
      </c>
      <c r="BT57" s="117">
        <f t="shared" si="31"/>
        <v>3453.248</v>
      </c>
      <c r="BU57" s="117">
        <f t="shared" si="31"/>
        <v>3466.048</v>
      </c>
      <c r="BV57" s="117">
        <f t="shared" si="31"/>
        <v>3466.048</v>
      </c>
      <c r="BW57" s="117">
        <f t="shared" si="31"/>
        <v>3466.048</v>
      </c>
      <c r="BX57" s="117">
        <f t="shared" si="31"/>
        <v>3466.048</v>
      </c>
      <c r="BY57" s="117">
        <f t="shared" si="31"/>
        <v>3626.048</v>
      </c>
      <c r="BZ57" s="117">
        <f t="shared" si="31"/>
        <v>3626.048</v>
      </c>
      <c r="CA57" s="117">
        <f t="shared" si="31"/>
        <v>3626.048</v>
      </c>
      <c r="CB57" s="117">
        <f t="shared" si="31"/>
        <v>3626.048</v>
      </c>
      <c r="CC57" s="117"/>
      <c r="CD57" s="117"/>
    </row>
    <row r="58" ht="15.75" customHeight="1">
      <c r="A58" s="297" t="s">
        <v>519</v>
      </c>
      <c r="B58" s="283">
        <v>0.12</v>
      </c>
      <c r="C58" s="247">
        <f>'Ops Departments'!J85</f>
        <v>4769</v>
      </c>
      <c r="D58" s="247">
        <f>'Ops Departments'!K85</f>
        <v>2836</v>
      </c>
      <c r="E58" s="247">
        <f>'Ops Departments'!L85</f>
        <v>4315</v>
      </c>
      <c r="F58" s="247">
        <f>'Ops Departments'!M85</f>
        <v>1690</v>
      </c>
      <c r="G58" s="247">
        <f>'Ops Departments'!N85</f>
        <v>889</v>
      </c>
      <c r="H58" s="247">
        <f>'Ops Departments'!O85</f>
        <v>4662</v>
      </c>
      <c r="I58" s="247">
        <f>'Ops Departments'!P85</f>
        <v>2693</v>
      </c>
      <c r="J58" s="247">
        <f>'Ops Departments'!Q85</f>
        <v>11</v>
      </c>
      <c r="K58" s="247">
        <f>'Ops Departments'!R85</f>
        <v>1539</v>
      </c>
      <c r="L58" s="247">
        <f>'Ops Departments'!S85</f>
        <v>1852</v>
      </c>
      <c r="M58" s="247">
        <f>'Ops Departments'!T85</f>
        <v>496</v>
      </c>
      <c r="N58" s="247">
        <f>'Ops Departments'!U85</f>
        <v>4435</v>
      </c>
      <c r="O58" s="247">
        <f>'Ops Departments'!V85</f>
        <v>453</v>
      </c>
      <c r="P58" s="247">
        <f>'Ops Departments'!W85</f>
        <v>1619</v>
      </c>
      <c r="Q58" s="247">
        <f>'Ops Departments'!X85</f>
        <v>3113</v>
      </c>
      <c r="R58" s="247">
        <f>'Ops Departments'!Y85</f>
        <v>4020</v>
      </c>
      <c r="S58" s="247">
        <f>'Ops Departments'!Z85</f>
        <v>2914</v>
      </c>
      <c r="T58" s="117">
        <f t="shared" ref="T58:CB58" si="32">T$55*$B58</f>
        <v>199.536</v>
      </c>
      <c r="U58" s="117">
        <f t="shared" si="32"/>
        <v>439.536</v>
      </c>
      <c r="V58" s="117">
        <f t="shared" si="32"/>
        <v>439.536</v>
      </c>
      <c r="W58" s="117">
        <f t="shared" si="32"/>
        <v>439.536</v>
      </c>
      <c r="X58" s="117">
        <f t="shared" si="32"/>
        <v>439.536</v>
      </c>
      <c r="Y58" s="117">
        <f t="shared" si="32"/>
        <v>679.536</v>
      </c>
      <c r="Z58" s="117">
        <f t="shared" si="32"/>
        <v>679.536</v>
      </c>
      <c r="AA58" s="117">
        <f t="shared" si="32"/>
        <v>679.536</v>
      </c>
      <c r="AB58" s="117">
        <f t="shared" si="32"/>
        <v>679.536</v>
      </c>
      <c r="AC58" s="117">
        <f t="shared" si="32"/>
        <v>919.536</v>
      </c>
      <c r="AD58" s="117">
        <f t="shared" si="32"/>
        <v>919.536</v>
      </c>
      <c r="AE58" s="117">
        <f t="shared" si="32"/>
        <v>919.536</v>
      </c>
      <c r="AF58" s="117">
        <f t="shared" si="32"/>
        <v>919.536</v>
      </c>
      <c r="AG58" s="117">
        <f t="shared" si="32"/>
        <v>919.536</v>
      </c>
      <c r="AH58" s="117">
        <f t="shared" si="32"/>
        <v>919.536</v>
      </c>
      <c r="AI58" s="117">
        <f t="shared" si="32"/>
        <v>919.536</v>
      </c>
      <c r="AJ58" s="117">
        <f t="shared" si="32"/>
        <v>919.536</v>
      </c>
      <c r="AK58" s="117">
        <f t="shared" si="32"/>
        <v>919.536</v>
      </c>
      <c r="AL58" s="117">
        <f t="shared" si="32"/>
        <v>919.536</v>
      </c>
      <c r="AM58" s="117">
        <f t="shared" si="32"/>
        <v>919.536</v>
      </c>
      <c r="AN58" s="117">
        <f t="shared" si="32"/>
        <v>919.536</v>
      </c>
      <c r="AO58" s="117">
        <f t="shared" si="32"/>
        <v>1111.536</v>
      </c>
      <c r="AP58" s="117">
        <f t="shared" si="32"/>
        <v>1111.536</v>
      </c>
      <c r="AQ58" s="117">
        <f t="shared" si="32"/>
        <v>1111.536</v>
      </c>
      <c r="AR58" s="117">
        <f t="shared" si="32"/>
        <v>1111.536</v>
      </c>
      <c r="AS58" s="117">
        <f t="shared" si="32"/>
        <v>1591.536</v>
      </c>
      <c r="AT58" s="117">
        <f t="shared" si="32"/>
        <v>1591.536</v>
      </c>
      <c r="AU58" s="117">
        <f t="shared" si="32"/>
        <v>1591.536</v>
      </c>
      <c r="AV58" s="117">
        <f t="shared" si="32"/>
        <v>1591.536</v>
      </c>
      <c r="AW58" s="117">
        <f t="shared" si="32"/>
        <v>2071.536</v>
      </c>
      <c r="AX58" s="117">
        <f t="shared" si="32"/>
        <v>2071.536</v>
      </c>
      <c r="AY58" s="117">
        <f t="shared" si="32"/>
        <v>2071.536</v>
      </c>
      <c r="AZ58" s="117">
        <f t="shared" si="32"/>
        <v>2071.536</v>
      </c>
      <c r="BA58" s="117">
        <f t="shared" si="32"/>
        <v>2551.536</v>
      </c>
      <c r="BB58" s="117">
        <f t="shared" si="32"/>
        <v>2551.536</v>
      </c>
      <c r="BC58" s="117">
        <f t="shared" si="32"/>
        <v>2551.536</v>
      </c>
      <c r="BD58" s="117">
        <f t="shared" si="32"/>
        <v>2551.536</v>
      </c>
      <c r="BE58" s="117">
        <f t="shared" si="32"/>
        <v>2561.136</v>
      </c>
      <c r="BF58" s="117">
        <f t="shared" si="32"/>
        <v>2561.136</v>
      </c>
      <c r="BG58" s="117">
        <f t="shared" si="32"/>
        <v>2561.136</v>
      </c>
      <c r="BH58" s="117">
        <f t="shared" si="32"/>
        <v>2561.136</v>
      </c>
      <c r="BI58" s="117">
        <f t="shared" si="32"/>
        <v>2570.736</v>
      </c>
      <c r="BJ58" s="117">
        <f t="shared" si="32"/>
        <v>2570.736</v>
      </c>
      <c r="BK58" s="117">
        <f t="shared" si="32"/>
        <v>2570.736</v>
      </c>
      <c r="BL58" s="117">
        <f t="shared" si="32"/>
        <v>2570.736</v>
      </c>
      <c r="BM58" s="117">
        <f t="shared" si="32"/>
        <v>2580.336</v>
      </c>
      <c r="BN58" s="117">
        <f t="shared" si="32"/>
        <v>2580.336</v>
      </c>
      <c r="BO58" s="117">
        <f t="shared" si="32"/>
        <v>2580.336</v>
      </c>
      <c r="BP58" s="117">
        <f t="shared" si="32"/>
        <v>2580.336</v>
      </c>
      <c r="BQ58" s="117">
        <f t="shared" si="32"/>
        <v>2589.936</v>
      </c>
      <c r="BR58" s="117">
        <f t="shared" si="32"/>
        <v>2589.936</v>
      </c>
      <c r="BS58" s="117">
        <f t="shared" si="32"/>
        <v>2589.936</v>
      </c>
      <c r="BT58" s="117">
        <f t="shared" si="32"/>
        <v>2589.936</v>
      </c>
      <c r="BU58" s="117">
        <f t="shared" si="32"/>
        <v>2599.536</v>
      </c>
      <c r="BV58" s="117">
        <f t="shared" si="32"/>
        <v>2599.536</v>
      </c>
      <c r="BW58" s="117">
        <f t="shared" si="32"/>
        <v>2599.536</v>
      </c>
      <c r="BX58" s="117">
        <f t="shared" si="32"/>
        <v>2599.536</v>
      </c>
      <c r="BY58" s="117">
        <f t="shared" si="32"/>
        <v>2719.536</v>
      </c>
      <c r="BZ58" s="117">
        <f t="shared" si="32"/>
        <v>2719.536</v>
      </c>
      <c r="CA58" s="117">
        <f t="shared" si="32"/>
        <v>2719.536</v>
      </c>
      <c r="CB58" s="117">
        <f t="shared" si="32"/>
        <v>2719.536</v>
      </c>
      <c r="CC58" s="117"/>
      <c r="CD58" s="117"/>
    </row>
    <row r="59" ht="15.75" customHeight="1">
      <c r="A59" s="297" t="s">
        <v>520</v>
      </c>
      <c r="B59" s="283">
        <v>0.1</v>
      </c>
      <c r="C59" s="247">
        <f>'Ops Departments'!J117</f>
        <v>2908</v>
      </c>
      <c r="D59" s="247">
        <f>'Ops Departments'!K117</f>
        <v>964</v>
      </c>
      <c r="E59" s="247">
        <f>'Ops Departments'!L117</f>
        <v>2124</v>
      </c>
      <c r="F59" s="247">
        <f>'Ops Departments'!M117</f>
        <v>3430</v>
      </c>
      <c r="G59" s="247">
        <f>'Ops Departments'!N117</f>
        <v>3946</v>
      </c>
      <c r="H59" s="247">
        <f>'Ops Departments'!O117</f>
        <v>902</v>
      </c>
      <c r="I59" s="247">
        <f>'Ops Departments'!P117</f>
        <v>4667</v>
      </c>
      <c r="J59" s="247">
        <f>'Ops Departments'!Q117</f>
        <v>2716</v>
      </c>
      <c r="K59" s="247">
        <f>'Ops Departments'!R117</f>
        <v>4042</v>
      </c>
      <c r="L59" s="247">
        <f>'Ops Departments'!S117</f>
        <v>1657</v>
      </c>
      <c r="M59" s="247">
        <f>'Ops Departments'!T117</f>
        <v>2146</v>
      </c>
      <c r="N59" s="247">
        <f>'Ops Departments'!U117</f>
        <v>2403</v>
      </c>
      <c r="O59" s="247">
        <f>'Ops Departments'!V117</f>
        <v>22</v>
      </c>
      <c r="P59" s="247">
        <f>'Ops Departments'!W117</f>
        <v>4985</v>
      </c>
      <c r="Q59" s="247">
        <f>'Ops Departments'!X117</f>
        <v>1585</v>
      </c>
      <c r="R59" s="247">
        <f>'Ops Departments'!Y117</f>
        <v>767</v>
      </c>
      <c r="S59" s="247">
        <f>'Ops Departments'!Z117</f>
        <v>4298</v>
      </c>
      <c r="T59" s="117">
        <f t="shared" ref="T59:CB59" si="33">T$55*$B59</f>
        <v>166.28</v>
      </c>
      <c r="U59" s="117">
        <f t="shared" si="33"/>
        <v>366.28</v>
      </c>
      <c r="V59" s="117">
        <f t="shared" si="33"/>
        <v>366.28</v>
      </c>
      <c r="W59" s="117">
        <f t="shared" si="33"/>
        <v>366.28</v>
      </c>
      <c r="X59" s="117">
        <f t="shared" si="33"/>
        <v>366.28</v>
      </c>
      <c r="Y59" s="117">
        <f t="shared" si="33"/>
        <v>566.28</v>
      </c>
      <c r="Z59" s="117">
        <f t="shared" si="33"/>
        <v>566.28</v>
      </c>
      <c r="AA59" s="117">
        <f t="shared" si="33"/>
        <v>566.28</v>
      </c>
      <c r="AB59" s="117">
        <f t="shared" si="33"/>
        <v>566.28</v>
      </c>
      <c r="AC59" s="117">
        <f t="shared" si="33"/>
        <v>766.28</v>
      </c>
      <c r="AD59" s="117">
        <f t="shared" si="33"/>
        <v>766.28</v>
      </c>
      <c r="AE59" s="117">
        <f t="shared" si="33"/>
        <v>766.28</v>
      </c>
      <c r="AF59" s="117">
        <f t="shared" si="33"/>
        <v>766.28</v>
      </c>
      <c r="AG59" s="117">
        <f t="shared" si="33"/>
        <v>766.28</v>
      </c>
      <c r="AH59" s="117">
        <f t="shared" si="33"/>
        <v>766.28</v>
      </c>
      <c r="AI59" s="117">
        <f t="shared" si="33"/>
        <v>766.28</v>
      </c>
      <c r="AJ59" s="117">
        <f t="shared" si="33"/>
        <v>766.28</v>
      </c>
      <c r="AK59" s="117">
        <f t="shared" si="33"/>
        <v>766.28</v>
      </c>
      <c r="AL59" s="117">
        <f t="shared" si="33"/>
        <v>766.28</v>
      </c>
      <c r="AM59" s="117">
        <f t="shared" si="33"/>
        <v>766.28</v>
      </c>
      <c r="AN59" s="117">
        <f t="shared" si="33"/>
        <v>766.28</v>
      </c>
      <c r="AO59" s="117">
        <f t="shared" si="33"/>
        <v>926.28</v>
      </c>
      <c r="AP59" s="117">
        <f t="shared" si="33"/>
        <v>926.28</v>
      </c>
      <c r="AQ59" s="117">
        <f t="shared" si="33"/>
        <v>926.28</v>
      </c>
      <c r="AR59" s="117">
        <f t="shared" si="33"/>
        <v>926.28</v>
      </c>
      <c r="AS59" s="117">
        <f t="shared" si="33"/>
        <v>1326.28</v>
      </c>
      <c r="AT59" s="117">
        <f t="shared" si="33"/>
        <v>1326.28</v>
      </c>
      <c r="AU59" s="117">
        <f t="shared" si="33"/>
        <v>1326.28</v>
      </c>
      <c r="AV59" s="117">
        <f t="shared" si="33"/>
        <v>1326.28</v>
      </c>
      <c r="AW59" s="117">
        <f t="shared" si="33"/>
        <v>1726.28</v>
      </c>
      <c r="AX59" s="117">
        <f t="shared" si="33"/>
        <v>1726.28</v>
      </c>
      <c r="AY59" s="117">
        <f t="shared" si="33"/>
        <v>1726.28</v>
      </c>
      <c r="AZ59" s="117">
        <f t="shared" si="33"/>
        <v>1726.28</v>
      </c>
      <c r="BA59" s="117">
        <f t="shared" si="33"/>
        <v>2126.28</v>
      </c>
      <c r="BB59" s="117">
        <f t="shared" si="33"/>
        <v>2126.28</v>
      </c>
      <c r="BC59" s="117">
        <f t="shared" si="33"/>
        <v>2126.28</v>
      </c>
      <c r="BD59" s="117">
        <f t="shared" si="33"/>
        <v>2126.28</v>
      </c>
      <c r="BE59" s="117">
        <f t="shared" si="33"/>
        <v>2134.28</v>
      </c>
      <c r="BF59" s="117">
        <f t="shared" si="33"/>
        <v>2134.28</v>
      </c>
      <c r="BG59" s="117">
        <f t="shared" si="33"/>
        <v>2134.28</v>
      </c>
      <c r="BH59" s="117">
        <f t="shared" si="33"/>
        <v>2134.28</v>
      </c>
      <c r="BI59" s="117">
        <f t="shared" si="33"/>
        <v>2142.28</v>
      </c>
      <c r="BJ59" s="117">
        <f t="shared" si="33"/>
        <v>2142.28</v>
      </c>
      <c r="BK59" s="117">
        <f t="shared" si="33"/>
        <v>2142.28</v>
      </c>
      <c r="BL59" s="117">
        <f t="shared" si="33"/>
        <v>2142.28</v>
      </c>
      <c r="BM59" s="117">
        <f t="shared" si="33"/>
        <v>2150.28</v>
      </c>
      <c r="BN59" s="117">
        <f t="shared" si="33"/>
        <v>2150.28</v>
      </c>
      <c r="BO59" s="117">
        <f t="shared" si="33"/>
        <v>2150.28</v>
      </c>
      <c r="BP59" s="117">
        <f t="shared" si="33"/>
        <v>2150.28</v>
      </c>
      <c r="BQ59" s="117">
        <f t="shared" si="33"/>
        <v>2158.28</v>
      </c>
      <c r="BR59" s="117">
        <f t="shared" si="33"/>
        <v>2158.28</v>
      </c>
      <c r="BS59" s="117">
        <f t="shared" si="33"/>
        <v>2158.28</v>
      </c>
      <c r="BT59" s="117">
        <f t="shared" si="33"/>
        <v>2158.28</v>
      </c>
      <c r="BU59" s="117">
        <f t="shared" si="33"/>
        <v>2166.28</v>
      </c>
      <c r="BV59" s="117">
        <f t="shared" si="33"/>
        <v>2166.28</v>
      </c>
      <c r="BW59" s="117">
        <f t="shared" si="33"/>
        <v>2166.28</v>
      </c>
      <c r="BX59" s="117">
        <f t="shared" si="33"/>
        <v>2166.28</v>
      </c>
      <c r="BY59" s="117">
        <f t="shared" si="33"/>
        <v>2266.28</v>
      </c>
      <c r="BZ59" s="117">
        <f t="shared" si="33"/>
        <v>2266.28</v>
      </c>
      <c r="CA59" s="117">
        <f t="shared" si="33"/>
        <v>2266.28</v>
      </c>
      <c r="CB59" s="117">
        <f t="shared" si="33"/>
        <v>2266.28</v>
      </c>
      <c r="CC59" s="117"/>
      <c r="CD59" s="117"/>
    </row>
    <row r="60" ht="15.75" customHeight="1">
      <c r="A60" s="297" t="s">
        <v>521</v>
      </c>
      <c r="B60" s="283">
        <v>0.0</v>
      </c>
      <c r="C60" s="247">
        <f>'Ops Departments'!J183</f>
        <v>1734</v>
      </c>
      <c r="D60" s="247">
        <f>'Ops Departments'!K183</f>
        <v>4231</v>
      </c>
      <c r="E60" s="247">
        <f>'Ops Departments'!L183</f>
        <v>1854</v>
      </c>
      <c r="F60" s="247">
        <f>'Ops Departments'!M183</f>
        <v>496</v>
      </c>
      <c r="G60" s="247">
        <f>'Ops Departments'!N183</f>
        <v>2430</v>
      </c>
      <c r="H60" s="247">
        <f>'Ops Departments'!O183</f>
        <v>4883</v>
      </c>
      <c r="I60" s="247">
        <f>'Ops Departments'!P183</f>
        <v>1921</v>
      </c>
      <c r="J60" s="247">
        <f>'Ops Departments'!Q183</f>
        <v>4646</v>
      </c>
      <c r="K60" s="247">
        <f>'Ops Departments'!R183</f>
        <v>975</v>
      </c>
      <c r="L60" s="117">
        <f t="shared" ref="L60:L61" si="35">L$55*$B60</f>
        <v>0</v>
      </c>
      <c r="M60" s="117">
        <v>0.0</v>
      </c>
      <c r="N60" s="117">
        <f t="shared" ref="N60:CB60" si="34">N$55*$B60</f>
        <v>0</v>
      </c>
      <c r="O60" s="117">
        <f t="shared" si="34"/>
        <v>0</v>
      </c>
      <c r="P60" s="117">
        <f t="shared" si="34"/>
        <v>0</v>
      </c>
      <c r="Q60" s="117">
        <f t="shared" si="34"/>
        <v>0</v>
      </c>
      <c r="R60" s="117">
        <f t="shared" si="34"/>
        <v>0</v>
      </c>
      <c r="S60" s="117">
        <f t="shared" si="34"/>
        <v>0</v>
      </c>
      <c r="T60" s="117">
        <f t="shared" si="34"/>
        <v>0</v>
      </c>
      <c r="U60" s="117">
        <f t="shared" si="34"/>
        <v>0</v>
      </c>
      <c r="V60" s="117">
        <f t="shared" si="34"/>
        <v>0</v>
      </c>
      <c r="W60" s="117">
        <f t="shared" si="34"/>
        <v>0</v>
      </c>
      <c r="X60" s="117">
        <f t="shared" si="34"/>
        <v>0</v>
      </c>
      <c r="Y60" s="117">
        <f t="shared" si="34"/>
        <v>0</v>
      </c>
      <c r="Z60" s="117">
        <f t="shared" si="34"/>
        <v>0</v>
      </c>
      <c r="AA60" s="117">
        <f t="shared" si="34"/>
        <v>0</v>
      </c>
      <c r="AB60" s="117">
        <f t="shared" si="34"/>
        <v>0</v>
      </c>
      <c r="AC60" s="117">
        <f t="shared" si="34"/>
        <v>0</v>
      </c>
      <c r="AD60" s="117">
        <f t="shared" si="34"/>
        <v>0</v>
      </c>
      <c r="AE60" s="117">
        <f t="shared" si="34"/>
        <v>0</v>
      </c>
      <c r="AF60" s="117">
        <f t="shared" si="34"/>
        <v>0</v>
      </c>
      <c r="AG60" s="117">
        <f t="shared" si="34"/>
        <v>0</v>
      </c>
      <c r="AH60" s="117">
        <f t="shared" si="34"/>
        <v>0</v>
      </c>
      <c r="AI60" s="117">
        <f t="shared" si="34"/>
        <v>0</v>
      </c>
      <c r="AJ60" s="117">
        <f t="shared" si="34"/>
        <v>0</v>
      </c>
      <c r="AK60" s="117">
        <f t="shared" si="34"/>
        <v>0</v>
      </c>
      <c r="AL60" s="117">
        <f t="shared" si="34"/>
        <v>0</v>
      </c>
      <c r="AM60" s="117">
        <f t="shared" si="34"/>
        <v>0</v>
      </c>
      <c r="AN60" s="117">
        <f t="shared" si="34"/>
        <v>0</v>
      </c>
      <c r="AO60" s="117">
        <f t="shared" si="34"/>
        <v>0</v>
      </c>
      <c r="AP60" s="117">
        <f t="shared" si="34"/>
        <v>0</v>
      </c>
      <c r="AQ60" s="117">
        <f t="shared" si="34"/>
        <v>0</v>
      </c>
      <c r="AR60" s="117">
        <f t="shared" si="34"/>
        <v>0</v>
      </c>
      <c r="AS60" s="117">
        <f t="shared" si="34"/>
        <v>0</v>
      </c>
      <c r="AT60" s="117">
        <f t="shared" si="34"/>
        <v>0</v>
      </c>
      <c r="AU60" s="117">
        <f t="shared" si="34"/>
        <v>0</v>
      </c>
      <c r="AV60" s="117">
        <f t="shared" si="34"/>
        <v>0</v>
      </c>
      <c r="AW60" s="117">
        <f t="shared" si="34"/>
        <v>0</v>
      </c>
      <c r="AX60" s="117">
        <f t="shared" si="34"/>
        <v>0</v>
      </c>
      <c r="AY60" s="117">
        <f t="shared" si="34"/>
        <v>0</v>
      </c>
      <c r="AZ60" s="117">
        <f t="shared" si="34"/>
        <v>0</v>
      </c>
      <c r="BA60" s="117">
        <f t="shared" si="34"/>
        <v>0</v>
      </c>
      <c r="BB60" s="117">
        <f t="shared" si="34"/>
        <v>0</v>
      </c>
      <c r="BC60" s="117">
        <f t="shared" si="34"/>
        <v>0</v>
      </c>
      <c r="BD60" s="117">
        <f t="shared" si="34"/>
        <v>0</v>
      </c>
      <c r="BE60" s="117">
        <f t="shared" si="34"/>
        <v>0</v>
      </c>
      <c r="BF60" s="117">
        <f t="shared" si="34"/>
        <v>0</v>
      </c>
      <c r="BG60" s="117">
        <f t="shared" si="34"/>
        <v>0</v>
      </c>
      <c r="BH60" s="117">
        <f t="shared" si="34"/>
        <v>0</v>
      </c>
      <c r="BI60" s="117">
        <f t="shared" si="34"/>
        <v>0</v>
      </c>
      <c r="BJ60" s="117">
        <f t="shared" si="34"/>
        <v>0</v>
      </c>
      <c r="BK60" s="117">
        <f t="shared" si="34"/>
        <v>0</v>
      </c>
      <c r="BL60" s="117">
        <f t="shared" si="34"/>
        <v>0</v>
      </c>
      <c r="BM60" s="117">
        <f t="shared" si="34"/>
        <v>0</v>
      </c>
      <c r="BN60" s="117">
        <f t="shared" si="34"/>
        <v>0</v>
      </c>
      <c r="BO60" s="117">
        <f t="shared" si="34"/>
        <v>0</v>
      </c>
      <c r="BP60" s="117">
        <f t="shared" si="34"/>
        <v>0</v>
      </c>
      <c r="BQ60" s="117">
        <f t="shared" si="34"/>
        <v>0</v>
      </c>
      <c r="BR60" s="117">
        <f t="shared" si="34"/>
        <v>0</v>
      </c>
      <c r="BS60" s="117">
        <f t="shared" si="34"/>
        <v>0</v>
      </c>
      <c r="BT60" s="117">
        <f t="shared" si="34"/>
        <v>0</v>
      </c>
      <c r="BU60" s="117">
        <f t="shared" si="34"/>
        <v>0</v>
      </c>
      <c r="BV60" s="117">
        <f t="shared" si="34"/>
        <v>0</v>
      </c>
      <c r="BW60" s="117">
        <f t="shared" si="34"/>
        <v>0</v>
      </c>
      <c r="BX60" s="117">
        <f t="shared" si="34"/>
        <v>0</v>
      </c>
      <c r="BY60" s="117">
        <f t="shared" si="34"/>
        <v>0</v>
      </c>
      <c r="BZ60" s="117">
        <f t="shared" si="34"/>
        <v>0</v>
      </c>
      <c r="CA60" s="117">
        <f t="shared" si="34"/>
        <v>0</v>
      </c>
      <c r="CB60" s="117">
        <f t="shared" si="34"/>
        <v>0</v>
      </c>
      <c r="CC60" s="117"/>
      <c r="CD60" s="117"/>
    </row>
    <row r="61" ht="15.75" customHeight="1">
      <c r="A61" s="297" t="s">
        <v>522</v>
      </c>
      <c r="B61" s="283">
        <v>0.0</v>
      </c>
      <c r="C61" s="247">
        <f>'Ops Departments'!J215</f>
        <v>3498</v>
      </c>
      <c r="D61" s="247">
        <f>'Ops Departments'!K215</f>
        <v>3037</v>
      </c>
      <c r="E61" s="247">
        <f>'Ops Departments'!L215</f>
        <v>2274</v>
      </c>
      <c r="F61" s="247">
        <f>'Ops Departments'!M215</f>
        <v>3164</v>
      </c>
      <c r="G61" s="247">
        <f>'Ops Departments'!N215</f>
        <v>609</v>
      </c>
      <c r="H61" s="247">
        <f>'Ops Departments'!O215</f>
        <v>4229</v>
      </c>
      <c r="I61" s="247">
        <f>'Ops Departments'!P215</f>
        <v>2611</v>
      </c>
      <c r="J61" s="247">
        <f>'Ops Departments'!Q215</f>
        <v>1149</v>
      </c>
      <c r="K61" s="247">
        <f>'Ops Departments'!R215</f>
        <v>832</v>
      </c>
      <c r="L61" s="117">
        <f t="shared" si="35"/>
        <v>0</v>
      </c>
      <c r="M61" s="117">
        <v>0.0</v>
      </c>
      <c r="N61" s="117">
        <f t="shared" ref="N61:CB61" si="36">N$55*$B61</f>
        <v>0</v>
      </c>
      <c r="O61" s="117">
        <f t="shared" si="36"/>
        <v>0</v>
      </c>
      <c r="P61" s="117">
        <f t="shared" si="36"/>
        <v>0</v>
      </c>
      <c r="Q61" s="117">
        <f t="shared" si="36"/>
        <v>0</v>
      </c>
      <c r="R61" s="117">
        <f t="shared" si="36"/>
        <v>0</v>
      </c>
      <c r="S61" s="117">
        <f t="shared" si="36"/>
        <v>0</v>
      </c>
      <c r="T61" s="117">
        <f t="shared" si="36"/>
        <v>0</v>
      </c>
      <c r="U61" s="117">
        <f t="shared" si="36"/>
        <v>0</v>
      </c>
      <c r="V61" s="117">
        <f t="shared" si="36"/>
        <v>0</v>
      </c>
      <c r="W61" s="117">
        <f t="shared" si="36"/>
        <v>0</v>
      </c>
      <c r="X61" s="117">
        <f t="shared" si="36"/>
        <v>0</v>
      </c>
      <c r="Y61" s="117">
        <f t="shared" si="36"/>
        <v>0</v>
      </c>
      <c r="Z61" s="117">
        <f t="shared" si="36"/>
        <v>0</v>
      </c>
      <c r="AA61" s="117">
        <f t="shared" si="36"/>
        <v>0</v>
      </c>
      <c r="AB61" s="117">
        <f t="shared" si="36"/>
        <v>0</v>
      </c>
      <c r="AC61" s="117">
        <f t="shared" si="36"/>
        <v>0</v>
      </c>
      <c r="AD61" s="117">
        <f t="shared" si="36"/>
        <v>0</v>
      </c>
      <c r="AE61" s="117">
        <f t="shared" si="36"/>
        <v>0</v>
      </c>
      <c r="AF61" s="117">
        <f t="shared" si="36"/>
        <v>0</v>
      </c>
      <c r="AG61" s="117">
        <f t="shared" si="36"/>
        <v>0</v>
      </c>
      <c r="AH61" s="117">
        <f t="shared" si="36"/>
        <v>0</v>
      </c>
      <c r="AI61" s="117">
        <f t="shared" si="36"/>
        <v>0</v>
      </c>
      <c r="AJ61" s="117">
        <f t="shared" si="36"/>
        <v>0</v>
      </c>
      <c r="AK61" s="117">
        <f t="shared" si="36"/>
        <v>0</v>
      </c>
      <c r="AL61" s="117">
        <f t="shared" si="36"/>
        <v>0</v>
      </c>
      <c r="AM61" s="117">
        <f t="shared" si="36"/>
        <v>0</v>
      </c>
      <c r="AN61" s="117">
        <f t="shared" si="36"/>
        <v>0</v>
      </c>
      <c r="AO61" s="117">
        <f t="shared" si="36"/>
        <v>0</v>
      </c>
      <c r="AP61" s="117">
        <f t="shared" si="36"/>
        <v>0</v>
      </c>
      <c r="AQ61" s="117">
        <f t="shared" si="36"/>
        <v>0</v>
      </c>
      <c r="AR61" s="117">
        <f t="shared" si="36"/>
        <v>0</v>
      </c>
      <c r="AS61" s="117">
        <f t="shared" si="36"/>
        <v>0</v>
      </c>
      <c r="AT61" s="117">
        <f t="shared" si="36"/>
        <v>0</v>
      </c>
      <c r="AU61" s="117">
        <f t="shared" si="36"/>
        <v>0</v>
      </c>
      <c r="AV61" s="117">
        <f t="shared" si="36"/>
        <v>0</v>
      </c>
      <c r="AW61" s="117">
        <f t="shared" si="36"/>
        <v>0</v>
      </c>
      <c r="AX61" s="117">
        <f t="shared" si="36"/>
        <v>0</v>
      </c>
      <c r="AY61" s="117">
        <f t="shared" si="36"/>
        <v>0</v>
      </c>
      <c r="AZ61" s="117">
        <f t="shared" si="36"/>
        <v>0</v>
      </c>
      <c r="BA61" s="117">
        <f t="shared" si="36"/>
        <v>0</v>
      </c>
      <c r="BB61" s="117">
        <f t="shared" si="36"/>
        <v>0</v>
      </c>
      <c r="BC61" s="117">
        <f t="shared" si="36"/>
        <v>0</v>
      </c>
      <c r="BD61" s="117">
        <f t="shared" si="36"/>
        <v>0</v>
      </c>
      <c r="BE61" s="117">
        <f t="shared" si="36"/>
        <v>0</v>
      </c>
      <c r="BF61" s="117">
        <f t="shared" si="36"/>
        <v>0</v>
      </c>
      <c r="BG61" s="117">
        <f t="shared" si="36"/>
        <v>0</v>
      </c>
      <c r="BH61" s="117">
        <f t="shared" si="36"/>
        <v>0</v>
      </c>
      <c r="BI61" s="117">
        <f t="shared" si="36"/>
        <v>0</v>
      </c>
      <c r="BJ61" s="117">
        <f t="shared" si="36"/>
        <v>0</v>
      </c>
      <c r="BK61" s="117">
        <f t="shared" si="36"/>
        <v>0</v>
      </c>
      <c r="BL61" s="117">
        <f t="shared" si="36"/>
        <v>0</v>
      </c>
      <c r="BM61" s="117">
        <f t="shared" si="36"/>
        <v>0</v>
      </c>
      <c r="BN61" s="117">
        <f t="shared" si="36"/>
        <v>0</v>
      </c>
      <c r="BO61" s="117">
        <f t="shared" si="36"/>
        <v>0</v>
      </c>
      <c r="BP61" s="117">
        <f t="shared" si="36"/>
        <v>0</v>
      </c>
      <c r="BQ61" s="117">
        <f t="shared" si="36"/>
        <v>0</v>
      </c>
      <c r="BR61" s="117">
        <f t="shared" si="36"/>
        <v>0</v>
      </c>
      <c r="BS61" s="117">
        <f t="shared" si="36"/>
        <v>0</v>
      </c>
      <c r="BT61" s="117">
        <f t="shared" si="36"/>
        <v>0</v>
      </c>
      <c r="BU61" s="117">
        <f t="shared" si="36"/>
        <v>0</v>
      </c>
      <c r="BV61" s="117">
        <f t="shared" si="36"/>
        <v>0</v>
      </c>
      <c r="BW61" s="117">
        <f t="shared" si="36"/>
        <v>0</v>
      </c>
      <c r="BX61" s="117">
        <f t="shared" si="36"/>
        <v>0</v>
      </c>
      <c r="BY61" s="117">
        <f t="shared" si="36"/>
        <v>0</v>
      </c>
      <c r="BZ61" s="117">
        <f t="shared" si="36"/>
        <v>0</v>
      </c>
      <c r="CA61" s="117">
        <f t="shared" si="36"/>
        <v>0</v>
      </c>
      <c r="CB61" s="117">
        <f t="shared" si="36"/>
        <v>0</v>
      </c>
      <c r="CC61" s="117"/>
      <c r="CD61" s="117"/>
    </row>
    <row r="62" ht="15.75" customHeight="1">
      <c r="A62" s="297" t="s">
        <v>523</v>
      </c>
      <c r="B62" s="293">
        <f>1-SUM(B56:B61)</f>
        <v>0.24</v>
      </c>
      <c r="C62" s="117">
        <f t="shared" ref="C62:CB62" si="37">C55-SUM(C56:C61)</f>
        <v>-17138</v>
      </c>
      <c r="D62" s="117">
        <f t="shared" si="37"/>
        <v>-12491</v>
      </c>
      <c r="E62" s="117">
        <f t="shared" si="37"/>
        <v>-13497</v>
      </c>
      <c r="F62" s="117">
        <f t="shared" si="37"/>
        <v>-10785</v>
      </c>
      <c r="G62" s="117">
        <f t="shared" si="37"/>
        <v>-10752</v>
      </c>
      <c r="H62" s="117">
        <f t="shared" si="37"/>
        <v>-19472</v>
      </c>
      <c r="I62" s="117">
        <f t="shared" si="37"/>
        <v>-16966</v>
      </c>
      <c r="J62" s="117">
        <f t="shared" si="37"/>
        <v>-9047</v>
      </c>
      <c r="K62" s="117">
        <f t="shared" si="37"/>
        <v>-11077</v>
      </c>
      <c r="L62" s="117">
        <f t="shared" si="37"/>
        <v>-7010</v>
      </c>
      <c r="M62" s="117">
        <f t="shared" si="37"/>
        <v>-8247</v>
      </c>
      <c r="N62" s="117">
        <f t="shared" si="37"/>
        <v>-9476</v>
      </c>
      <c r="O62" s="117">
        <f t="shared" si="37"/>
        <v>-3984</v>
      </c>
      <c r="P62" s="117">
        <f t="shared" si="37"/>
        <v>-9304</v>
      </c>
      <c r="Q62" s="117">
        <f t="shared" si="37"/>
        <v>-7056</v>
      </c>
      <c r="R62" s="117">
        <f t="shared" si="37"/>
        <v>-10299</v>
      </c>
      <c r="S62" s="117">
        <f t="shared" si="37"/>
        <v>-9589</v>
      </c>
      <c r="T62" s="117">
        <f t="shared" si="37"/>
        <v>399.072</v>
      </c>
      <c r="U62" s="117">
        <f t="shared" si="37"/>
        <v>879.072</v>
      </c>
      <c r="V62" s="117">
        <f t="shared" si="37"/>
        <v>879.072</v>
      </c>
      <c r="W62" s="117">
        <f t="shared" si="37"/>
        <v>879.072</v>
      </c>
      <c r="X62" s="117">
        <f t="shared" si="37"/>
        <v>879.072</v>
      </c>
      <c r="Y62" s="117">
        <f t="shared" si="37"/>
        <v>1359.072</v>
      </c>
      <c r="Z62" s="117">
        <f t="shared" si="37"/>
        <v>1359.072</v>
      </c>
      <c r="AA62" s="117">
        <f t="shared" si="37"/>
        <v>1359.072</v>
      </c>
      <c r="AB62" s="117">
        <f t="shared" si="37"/>
        <v>1359.072</v>
      </c>
      <c r="AC62" s="117">
        <f t="shared" si="37"/>
        <v>1839.072</v>
      </c>
      <c r="AD62" s="117">
        <f t="shared" si="37"/>
        <v>1839.072</v>
      </c>
      <c r="AE62" s="117">
        <f t="shared" si="37"/>
        <v>1839.072</v>
      </c>
      <c r="AF62" s="117">
        <f t="shared" si="37"/>
        <v>1839.072</v>
      </c>
      <c r="AG62" s="117">
        <f t="shared" si="37"/>
        <v>1839.072</v>
      </c>
      <c r="AH62" s="117">
        <f t="shared" si="37"/>
        <v>1839.072</v>
      </c>
      <c r="AI62" s="117">
        <f t="shared" si="37"/>
        <v>1839.072</v>
      </c>
      <c r="AJ62" s="117">
        <f t="shared" si="37"/>
        <v>1839.072</v>
      </c>
      <c r="AK62" s="117">
        <f t="shared" si="37"/>
        <v>1839.072</v>
      </c>
      <c r="AL62" s="117">
        <f t="shared" si="37"/>
        <v>1839.072</v>
      </c>
      <c r="AM62" s="117">
        <f t="shared" si="37"/>
        <v>1839.072</v>
      </c>
      <c r="AN62" s="117">
        <f t="shared" si="37"/>
        <v>1839.072</v>
      </c>
      <c r="AO62" s="117">
        <f t="shared" si="37"/>
        <v>2223.072</v>
      </c>
      <c r="AP62" s="117">
        <f t="shared" si="37"/>
        <v>2223.072</v>
      </c>
      <c r="AQ62" s="117">
        <f t="shared" si="37"/>
        <v>2223.072</v>
      </c>
      <c r="AR62" s="117">
        <f t="shared" si="37"/>
        <v>2223.072</v>
      </c>
      <c r="AS62" s="117">
        <f t="shared" si="37"/>
        <v>3183.072</v>
      </c>
      <c r="AT62" s="117">
        <f t="shared" si="37"/>
        <v>3183.072</v>
      </c>
      <c r="AU62" s="117">
        <f t="shared" si="37"/>
        <v>3183.072</v>
      </c>
      <c r="AV62" s="117">
        <f t="shared" si="37"/>
        <v>3183.072</v>
      </c>
      <c r="AW62" s="117">
        <f t="shared" si="37"/>
        <v>4143.072</v>
      </c>
      <c r="AX62" s="117">
        <f t="shared" si="37"/>
        <v>4143.072</v>
      </c>
      <c r="AY62" s="117">
        <f t="shared" si="37"/>
        <v>4143.072</v>
      </c>
      <c r="AZ62" s="117">
        <f t="shared" si="37"/>
        <v>4143.072</v>
      </c>
      <c r="BA62" s="117">
        <f t="shared" si="37"/>
        <v>5103.072</v>
      </c>
      <c r="BB62" s="117">
        <f t="shared" si="37"/>
        <v>5103.072</v>
      </c>
      <c r="BC62" s="117">
        <f t="shared" si="37"/>
        <v>5103.072</v>
      </c>
      <c r="BD62" s="117">
        <f t="shared" si="37"/>
        <v>5103.072</v>
      </c>
      <c r="BE62" s="117">
        <f t="shared" si="37"/>
        <v>5122.272</v>
      </c>
      <c r="BF62" s="117">
        <f t="shared" si="37"/>
        <v>5122.272</v>
      </c>
      <c r="BG62" s="117">
        <f t="shared" si="37"/>
        <v>5122.272</v>
      </c>
      <c r="BH62" s="117">
        <f t="shared" si="37"/>
        <v>5122.272</v>
      </c>
      <c r="BI62" s="117">
        <f t="shared" si="37"/>
        <v>5141.472</v>
      </c>
      <c r="BJ62" s="117">
        <f t="shared" si="37"/>
        <v>5141.472</v>
      </c>
      <c r="BK62" s="117">
        <f t="shared" si="37"/>
        <v>5141.472</v>
      </c>
      <c r="BL62" s="117">
        <f t="shared" si="37"/>
        <v>5141.472</v>
      </c>
      <c r="BM62" s="117">
        <f t="shared" si="37"/>
        <v>5160.672</v>
      </c>
      <c r="BN62" s="117">
        <f t="shared" si="37"/>
        <v>5160.672</v>
      </c>
      <c r="BO62" s="117">
        <f t="shared" si="37"/>
        <v>5160.672</v>
      </c>
      <c r="BP62" s="117">
        <f t="shared" si="37"/>
        <v>5160.672</v>
      </c>
      <c r="BQ62" s="117">
        <f t="shared" si="37"/>
        <v>5179.872</v>
      </c>
      <c r="BR62" s="117">
        <f t="shared" si="37"/>
        <v>5179.872</v>
      </c>
      <c r="BS62" s="117">
        <f t="shared" si="37"/>
        <v>5179.872</v>
      </c>
      <c r="BT62" s="117">
        <f t="shared" si="37"/>
        <v>5179.872</v>
      </c>
      <c r="BU62" s="117">
        <f t="shared" si="37"/>
        <v>5199.072</v>
      </c>
      <c r="BV62" s="117">
        <f t="shared" si="37"/>
        <v>5199.072</v>
      </c>
      <c r="BW62" s="117">
        <f t="shared" si="37"/>
        <v>5199.072</v>
      </c>
      <c r="BX62" s="117">
        <f t="shared" si="37"/>
        <v>5199.072</v>
      </c>
      <c r="BY62" s="117">
        <f t="shared" si="37"/>
        <v>5439.072</v>
      </c>
      <c r="BZ62" s="117">
        <f t="shared" si="37"/>
        <v>5439.072</v>
      </c>
      <c r="CA62" s="117">
        <f t="shared" si="37"/>
        <v>5439.072</v>
      </c>
      <c r="CB62" s="117">
        <f t="shared" si="37"/>
        <v>5439.072</v>
      </c>
      <c r="CC62" s="117"/>
      <c r="CD62" s="117"/>
    </row>
    <row r="63" ht="15.75" customHeight="1">
      <c r="B63" s="6"/>
    </row>
    <row r="64" ht="15.75" customHeight="1">
      <c r="A64" s="257" t="s">
        <v>243</v>
      </c>
      <c r="B64" s="293">
        <f>1-SUM(B55)</f>
        <v>0.6</v>
      </c>
      <c r="C64" s="258">
        <f t="array" ref="C64">INDEX('IS Proforma'!$1:$1048490,MATCH(Expenses!$A64,'IS Proforma'!$C:$C,0),MATCH(Expenses!C$4,'IS Proforma'!$4:$4))</f>
        <v>1546</v>
      </c>
      <c r="D64" s="258">
        <f t="array" ref="D64">INDEX('IS Proforma'!$1:$1048490,MATCH(Expenses!$A64,'IS Proforma'!$C:$C,0),MATCH(Expenses!D$4,'IS Proforma'!$4:$4))</f>
        <v>1301</v>
      </c>
      <c r="E64" s="258">
        <f t="array" ref="E64">INDEX('IS Proforma'!$1:$1048490,MATCH(Expenses!$A64,'IS Proforma'!$C:$C,0),MATCH(Expenses!E$4,'IS Proforma'!$4:$4))</f>
        <v>1214</v>
      </c>
      <c r="F64" s="258">
        <f t="array" ref="F64">INDEX('IS Proforma'!$1:$1048490,MATCH(Expenses!$A64,'IS Proforma'!$C:$C,0),MATCH(Expenses!F$4,'IS Proforma'!$4:$4))</f>
        <v>2290</v>
      </c>
      <c r="G64" s="258">
        <f t="array" ref="G64">INDEX('IS Proforma'!$1:$1048490,MATCH(Expenses!$A64,'IS Proforma'!$C:$C,0),MATCH(Expenses!G$4,'IS Proforma'!$4:$4))</f>
        <v>2072</v>
      </c>
      <c r="H64" s="258">
        <f t="array" ref="H64">INDEX('IS Proforma'!$1:$1048490,MATCH(Expenses!$A64,'IS Proforma'!$C:$C,0),MATCH(Expenses!H$4,'IS Proforma'!$4:$4))</f>
        <v>2319</v>
      </c>
      <c r="I64" s="258">
        <f t="array" ref="I64">INDEX('IS Proforma'!$1:$1048490,MATCH(Expenses!$A64,'IS Proforma'!$C:$C,0),MATCH(Expenses!I$4,'IS Proforma'!$4:$4))</f>
        <v>2164</v>
      </c>
      <c r="J64" s="258">
        <f t="array" ref="J64">INDEX('IS Proforma'!$1:$1048490,MATCH(Expenses!$A64,'IS Proforma'!$C:$C,0),MATCH(Expenses!J$4,'IS Proforma'!$4:$4))</f>
        <v>1688</v>
      </c>
      <c r="K64" s="258">
        <f t="array" ref="K64">INDEX('IS Proforma'!$1:$1048490,MATCH(Expenses!$A64,'IS Proforma'!$C:$C,0),MATCH(Expenses!K$4,'IS Proforma'!$4:$4))</f>
        <v>2037</v>
      </c>
      <c r="L64" s="258">
        <f t="array" ref="L64">INDEX('IS Proforma'!$1:$1048490,MATCH(Expenses!$A64,'IS Proforma'!$C:$C,0),MATCH(Expenses!L$4,'IS Proforma'!$4:$4))</f>
        <v>2131</v>
      </c>
      <c r="M64" s="258">
        <f t="array" ref="M64">INDEX('IS Proforma'!$1:$1048490,MATCH(Expenses!$A64,'IS Proforma'!$C:$C,0),MATCH(Expenses!M$4,'IS Proforma'!$4:$4))</f>
        <v>1392</v>
      </c>
      <c r="N64" s="258">
        <f t="array" ref="N64">INDEX('IS Proforma'!$1:$1048490,MATCH(Expenses!$A64,'IS Proforma'!$C:$C,0),MATCH(Expenses!N$4,'IS Proforma'!$4:$4))</f>
        <v>1200</v>
      </c>
      <c r="O64" s="258">
        <f t="array" ref="O64">INDEX('IS Proforma'!$1:$1048490,MATCH(Expenses!$A64,'IS Proforma'!$C:$C,0),MATCH(Expenses!O$4,'IS Proforma'!$4:$4))</f>
        <v>2014</v>
      </c>
      <c r="P64" s="258">
        <f t="array" ref="P64">INDEX('IS Proforma'!$1:$1048490,MATCH(Expenses!$A64,'IS Proforma'!$C:$C,0),MATCH(Expenses!P$4,'IS Proforma'!$4:$4))</f>
        <v>1314</v>
      </c>
      <c r="Q64" s="258">
        <f t="array" ref="Q64">INDEX('IS Proforma'!$1:$1048490,MATCH(Expenses!$A64,'IS Proforma'!$C:$C,0),MATCH(Expenses!Q$4,'IS Proforma'!$4:$4))</f>
        <v>2048</v>
      </c>
      <c r="R64" s="258">
        <f t="array" ref="R64">INDEX('IS Proforma'!$1:$1048490,MATCH(Expenses!$A64,'IS Proforma'!$C:$C,0),MATCH(Expenses!R$4,'IS Proforma'!$4:$4))</f>
        <v>1053</v>
      </c>
      <c r="S64" s="258">
        <f t="array" ref="S64">INDEX('IS Proforma'!$1:$1048490,MATCH(Expenses!$A64,'IS Proforma'!$C:$C,0),MATCH(Expenses!S$4,'IS Proforma'!$4:$4))</f>
        <v>1913</v>
      </c>
      <c r="T64" s="118">
        <f t="shared" ref="T64:CB64" si="38">T$52*$B64</f>
        <v>2494.2</v>
      </c>
      <c r="U64" s="118">
        <f t="shared" si="38"/>
        <v>5494.2</v>
      </c>
      <c r="V64" s="118">
        <f t="shared" si="38"/>
        <v>5494.2</v>
      </c>
      <c r="W64" s="118">
        <f t="shared" si="38"/>
        <v>5494.2</v>
      </c>
      <c r="X64" s="118">
        <f t="shared" si="38"/>
        <v>5494.2</v>
      </c>
      <c r="Y64" s="118">
        <f t="shared" si="38"/>
        <v>8494.2</v>
      </c>
      <c r="Z64" s="118">
        <f t="shared" si="38"/>
        <v>8494.2</v>
      </c>
      <c r="AA64" s="118">
        <f t="shared" si="38"/>
        <v>8494.2</v>
      </c>
      <c r="AB64" s="118">
        <f t="shared" si="38"/>
        <v>8494.2</v>
      </c>
      <c r="AC64" s="118">
        <f t="shared" si="38"/>
        <v>11494.2</v>
      </c>
      <c r="AD64" s="118">
        <f t="shared" si="38"/>
        <v>11494.2</v>
      </c>
      <c r="AE64" s="118">
        <f t="shared" si="38"/>
        <v>11494.2</v>
      </c>
      <c r="AF64" s="118">
        <f t="shared" si="38"/>
        <v>11494.2</v>
      </c>
      <c r="AG64" s="118">
        <f t="shared" si="38"/>
        <v>11494.2</v>
      </c>
      <c r="AH64" s="118">
        <f t="shared" si="38"/>
        <v>11494.2</v>
      </c>
      <c r="AI64" s="118">
        <f t="shared" si="38"/>
        <v>11494.2</v>
      </c>
      <c r="AJ64" s="118">
        <f t="shared" si="38"/>
        <v>11494.2</v>
      </c>
      <c r="AK64" s="118">
        <f t="shared" si="38"/>
        <v>11494.2</v>
      </c>
      <c r="AL64" s="118">
        <f t="shared" si="38"/>
        <v>11494.2</v>
      </c>
      <c r="AM64" s="118">
        <f t="shared" si="38"/>
        <v>11494.2</v>
      </c>
      <c r="AN64" s="118">
        <f t="shared" si="38"/>
        <v>11494.2</v>
      </c>
      <c r="AO64" s="118">
        <f t="shared" si="38"/>
        <v>13894.2</v>
      </c>
      <c r="AP64" s="118">
        <f t="shared" si="38"/>
        <v>13894.2</v>
      </c>
      <c r="AQ64" s="118">
        <f t="shared" si="38"/>
        <v>13894.2</v>
      </c>
      <c r="AR64" s="118">
        <f t="shared" si="38"/>
        <v>13894.2</v>
      </c>
      <c r="AS64" s="118">
        <f t="shared" si="38"/>
        <v>19894.2</v>
      </c>
      <c r="AT64" s="118">
        <f t="shared" si="38"/>
        <v>19894.2</v>
      </c>
      <c r="AU64" s="118">
        <f t="shared" si="38"/>
        <v>19894.2</v>
      </c>
      <c r="AV64" s="118">
        <f t="shared" si="38"/>
        <v>19894.2</v>
      </c>
      <c r="AW64" s="118">
        <f t="shared" si="38"/>
        <v>25894.2</v>
      </c>
      <c r="AX64" s="118">
        <f t="shared" si="38"/>
        <v>25894.2</v>
      </c>
      <c r="AY64" s="118">
        <f t="shared" si="38"/>
        <v>25894.2</v>
      </c>
      <c r="AZ64" s="118">
        <f t="shared" si="38"/>
        <v>25894.2</v>
      </c>
      <c r="BA64" s="118">
        <f t="shared" si="38"/>
        <v>31894.2</v>
      </c>
      <c r="BB64" s="118">
        <f t="shared" si="38"/>
        <v>31894.2</v>
      </c>
      <c r="BC64" s="118">
        <f t="shared" si="38"/>
        <v>31894.2</v>
      </c>
      <c r="BD64" s="118">
        <f t="shared" si="38"/>
        <v>31894.2</v>
      </c>
      <c r="BE64" s="118">
        <f t="shared" si="38"/>
        <v>32014.2</v>
      </c>
      <c r="BF64" s="118">
        <f t="shared" si="38"/>
        <v>32014.2</v>
      </c>
      <c r="BG64" s="118">
        <f t="shared" si="38"/>
        <v>32014.2</v>
      </c>
      <c r="BH64" s="118">
        <f t="shared" si="38"/>
        <v>32014.2</v>
      </c>
      <c r="BI64" s="118">
        <f t="shared" si="38"/>
        <v>32134.2</v>
      </c>
      <c r="BJ64" s="118">
        <f t="shared" si="38"/>
        <v>32134.2</v>
      </c>
      <c r="BK64" s="118">
        <f t="shared" si="38"/>
        <v>32134.2</v>
      </c>
      <c r="BL64" s="118">
        <f t="shared" si="38"/>
        <v>32134.2</v>
      </c>
      <c r="BM64" s="118">
        <f t="shared" si="38"/>
        <v>32254.2</v>
      </c>
      <c r="BN64" s="118">
        <f t="shared" si="38"/>
        <v>32254.2</v>
      </c>
      <c r="BO64" s="118">
        <f t="shared" si="38"/>
        <v>32254.2</v>
      </c>
      <c r="BP64" s="118">
        <f t="shared" si="38"/>
        <v>32254.2</v>
      </c>
      <c r="BQ64" s="118">
        <f t="shared" si="38"/>
        <v>32374.2</v>
      </c>
      <c r="BR64" s="118">
        <f t="shared" si="38"/>
        <v>32374.2</v>
      </c>
      <c r="BS64" s="118">
        <f t="shared" si="38"/>
        <v>32374.2</v>
      </c>
      <c r="BT64" s="118">
        <f t="shared" si="38"/>
        <v>32374.2</v>
      </c>
      <c r="BU64" s="118">
        <f t="shared" si="38"/>
        <v>32494.2</v>
      </c>
      <c r="BV64" s="118">
        <f t="shared" si="38"/>
        <v>32494.2</v>
      </c>
      <c r="BW64" s="118">
        <f t="shared" si="38"/>
        <v>32494.2</v>
      </c>
      <c r="BX64" s="118">
        <f t="shared" si="38"/>
        <v>32494.2</v>
      </c>
      <c r="BY64" s="118">
        <f t="shared" si="38"/>
        <v>33994.2</v>
      </c>
      <c r="BZ64" s="118">
        <f t="shared" si="38"/>
        <v>33994.2</v>
      </c>
      <c r="CA64" s="118">
        <f t="shared" si="38"/>
        <v>33994.2</v>
      </c>
      <c r="CB64" s="118">
        <f t="shared" si="38"/>
        <v>33994.2</v>
      </c>
      <c r="CC64" s="118"/>
      <c r="CD64" s="118"/>
    </row>
    <row r="65" ht="15.75" customHeight="1">
      <c r="A65" s="292" t="s">
        <v>524</v>
      </c>
      <c r="B65" s="283">
        <v>0.25</v>
      </c>
      <c r="C65" s="247"/>
      <c r="D65" s="247"/>
      <c r="E65" s="247"/>
      <c r="F65" s="247"/>
      <c r="G65" s="247"/>
      <c r="H65" s="247"/>
      <c r="I65" s="247"/>
      <c r="J65" s="247"/>
      <c r="K65" s="247"/>
      <c r="L65" s="247"/>
      <c r="M65" s="247"/>
      <c r="N65" s="247"/>
      <c r="O65" s="247">
        <f>'Opex Departments'!V18</f>
        <v>4373</v>
      </c>
      <c r="P65" s="247">
        <f>'Opex Departments'!W18</f>
        <v>71</v>
      </c>
      <c r="Q65" s="247">
        <f>'Opex Departments'!X18</f>
        <v>1443</v>
      </c>
      <c r="R65" s="247">
        <f>'Opex Departments'!Y18</f>
        <v>4670</v>
      </c>
      <c r="S65" s="247">
        <f>'Opex Departments'!Z18</f>
        <v>2366</v>
      </c>
      <c r="T65" s="117">
        <f t="shared" ref="T65:CB65" si="39">T$64*$B65</f>
        <v>623.55</v>
      </c>
      <c r="U65" s="117">
        <f t="shared" si="39"/>
        <v>1373.55</v>
      </c>
      <c r="V65" s="117">
        <f t="shared" si="39"/>
        <v>1373.55</v>
      </c>
      <c r="W65" s="117">
        <f t="shared" si="39"/>
        <v>1373.55</v>
      </c>
      <c r="X65" s="117">
        <f t="shared" si="39"/>
        <v>1373.55</v>
      </c>
      <c r="Y65" s="117">
        <f t="shared" si="39"/>
        <v>2123.55</v>
      </c>
      <c r="Z65" s="117">
        <f t="shared" si="39"/>
        <v>2123.55</v>
      </c>
      <c r="AA65" s="117">
        <f t="shared" si="39"/>
        <v>2123.55</v>
      </c>
      <c r="AB65" s="117">
        <f t="shared" si="39"/>
        <v>2123.55</v>
      </c>
      <c r="AC65" s="117">
        <f t="shared" si="39"/>
        <v>2873.55</v>
      </c>
      <c r="AD65" s="117">
        <f t="shared" si="39"/>
        <v>2873.55</v>
      </c>
      <c r="AE65" s="117">
        <f t="shared" si="39"/>
        <v>2873.55</v>
      </c>
      <c r="AF65" s="117">
        <f t="shared" si="39"/>
        <v>2873.55</v>
      </c>
      <c r="AG65" s="117">
        <f t="shared" si="39"/>
        <v>2873.55</v>
      </c>
      <c r="AH65" s="117">
        <f t="shared" si="39"/>
        <v>2873.55</v>
      </c>
      <c r="AI65" s="117">
        <f t="shared" si="39"/>
        <v>2873.55</v>
      </c>
      <c r="AJ65" s="117">
        <f t="shared" si="39"/>
        <v>2873.55</v>
      </c>
      <c r="AK65" s="117">
        <f t="shared" si="39"/>
        <v>2873.55</v>
      </c>
      <c r="AL65" s="117">
        <f t="shared" si="39"/>
        <v>2873.55</v>
      </c>
      <c r="AM65" s="117">
        <f t="shared" si="39"/>
        <v>2873.55</v>
      </c>
      <c r="AN65" s="117">
        <f t="shared" si="39"/>
        <v>2873.55</v>
      </c>
      <c r="AO65" s="117">
        <f t="shared" si="39"/>
        <v>3473.55</v>
      </c>
      <c r="AP65" s="117">
        <f t="shared" si="39"/>
        <v>3473.55</v>
      </c>
      <c r="AQ65" s="117">
        <f t="shared" si="39"/>
        <v>3473.55</v>
      </c>
      <c r="AR65" s="117">
        <f t="shared" si="39"/>
        <v>3473.55</v>
      </c>
      <c r="AS65" s="117">
        <f t="shared" si="39"/>
        <v>4973.55</v>
      </c>
      <c r="AT65" s="117">
        <f t="shared" si="39"/>
        <v>4973.55</v>
      </c>
      <c r="AU65" s="117">
        <f t="shared" si="39"/>
        <v>4973.55</v>
      </c>
      <c r="AV65" s="117">
        <f t="shared" si="39"/>
        <v>4973.55</v>
      </c>
      <c r="AW65" s="117">
        <f t="shared" si="39"/>
        <v>6473.55</v>
      </c>
      <c r="AX65" s="117">
        <f t="shared" si="39"/>
        <v>6473.55</v>
      </c>
      <c r="AY65" s="117">
        <f t="shared" si="39"/>
        <v>6473.55</v>
      </c>
      <c r="AZ65" s="117">
        <f t="shared" si="39"/>
        <v>6473.55</v>
      </c>
      <c r="BA65" s="117">
        <f t="shared" si="39"/>
        <v>7973.55</v>
      </c>
      <c r="BB65" s="117">
        <f t="shared" si="39"/>
        <v>7973.55</v>
      </c>
      <c r="BC65" s="117">
        <f t="shared" si="39"/>
        <v>7973.55</v>
      </c>
      <c r="BD65" s="117">
        <f t="shared" si="39"/>
        <v>7973.55</v>
      </c>
      <c r="BE65" s="117">
        <f t="shared" si="39"/>
        <v>8003.55</v>
      </c>
      <c r="BF65" s="117">
        <f t="shared" si="39"/>
        <v>8003.55</v>
      </c>
      <c r="BG65" s="117">
        <f t="shared" si="39"/>
        <v>8003.55</v>
      </c>
      <c r="BH65" s="117">
        <f t="shared" si="39"/>
        <v>8003.55</v>
      </c>
      <c r="BI65" s="117">
        <f t="shared" si="39"/>
        <v>8033.55</v>
      </c>
      <c r="BJ65" s="117">
        <f t="shared" si="39"/>
        <v>8033.55</v>
      </c>
      <c r="BK65" s="117">
        <f t="shared" si="39"/>
        <v>8033.55</v>
      </c>
      <c r="BL65" s="117">
        <f t="shared" si="39"/>
        <v>8033.55</v>
      </c>
      <c r="BM65" s="117">
        <f t="shared" si="39"/>
        <v>8063.55</v>
      </c>
      <c r="BN65" s="117">
        <f t="shared" si="39"/>
        <v>8063.55</v>
      </c>
      <c r="BO65" s="117">
        <f t="shared" si="39"/>
        <v>8063.55</v>
      </c>
      <c r="BP65" s="117">
        <f t="shared" si="39"/>
        <v>8063.55</v>
      </c>
      <c r="BQ65" s="117">
        <f t="shared" si="39"/>
        <v>8093.55</v>
      </c>
      <c r="BR65" s="117">
        <f t="shared" si="39"/>
        <v>8093.55</v>
      </c>
      <c r="BS65" s="117">
        <f t="shared" si="39"/>
        <v>8093.55</v>
      </c>
      <c r="BT65" s="117">
        <f t="shared" si="39"/>
        <v>8093.55</v>
      </c>
      <c r="BU65" s="117">
        <f t="shared" si="39"/>
        <v>8123.55</v>
      </c>
      <c r="BV65" s="117">
        <f t="shared" si="39"/>
        <v>8123.55</v>
      </c>
      <c r="BW65" s="117">
        <f t="shared" si="39"/>
        <v>8123.55</v>
      </c>
      <c r="BX65" s="117">
        <f t="shared" si="39"/>
        <v>8123.55</v>
      </c>
      <c r="BY65" s="117">
        <f t="shared" si="39"/>
        <v>8498.55</v>
      </c>
      <c r="BZ65" s="117">
        <f t="shared" si="39"/>
        <v>8498.55</v>
      </c>
      <c r="CA65" s="117">
        <f t="shared" si="39"/>
        <v>8498.55</v>
      </c>
      <c r="CB65" s="117">
        <f t="shared" si="39"/>
        <v>8498.55</v>
      </c>
      <c r="CC65" s="117"/>
      <c r="CD65" s="117"/>
    </row>
    <row r="66" ht="15.75" customHeight="1">
      <c r="A66" s="292" t="s">
        <v>525</v>
      </c>
      <c r="B66" s="283">
        <v>0.23</v>
      </c>
      <c r="C66" s="247"/>
      <c r="D66" s="247"/>
      <c r="E66" s="247"/>
      <c r="F66" s="247"/>
      <c r="G66" s="247"/>
      <c r="H66" s="247"/>
      <c r="I66" s="247"/>
      <c r="J66" s="247"/>
      <c r="K66" s="247"/>
      <c r="L66" s="247"/>
      <c r="M66" s="247"/>
      <c r="N66" s="247"/>
      <c r="O66" s="247">
        <f>'Opex Departments'!V46</f>
        <v>4850</v>
      </c>
      <c r="P66" s="247">
        <f>'Opex Departments'!W46</f>
        <v>2162</v>
      </c>
      <c r="Q66" s="247">
        <f>'Opex Departments'!X46</f>
        <v>4205</v>
      </c>
      <c r="R66" s="247">
        <f>'Opex Departments'!Y46</f>
        <v>1275</v>
      </c>
      <c r="S66" s="247">
        <f>'Opex Departments'!Z46</f>
        <v>275</v>
      </c>
      <c r="T66" s="117">
        <f t="shared" ref="T66:CB66" si="40">T$64*$B66</f>
        <v>573.666</v>
      </c>
      <c r="U66" s="117">
        <f t="shared" si="40"/>
        <v>1263.666</v>
      </c>
      <c r="V66" s="117">
        <f t="shared" si="40"/>
        <v>1263.666</v>
      </c>
      <c r="W66" s="117">
        <f t="shared" si="40"/>
        <v>1263.666</v>
      </c>
      <c r="X66" s="117">
        <f t="shared" si="40"/>
        <v>1263.666</v>
      </c>
      <c r="Y66" s="117">
        <f t="shared" si="40"/>
        <v>1953.666</v>
      </c>
      <c r="Z66" s="117">
        <f t="shared" si="40"/>
        <v>1953.666</v>
      </c>
      <c r="AA66" s="117">
        <f t="shared" si="40"/>
        <v>1953.666</v>
      </c>
      <c r="AB66" s="117">
        <f t="shared" si="40"/>
        <v>1953.666</v>
      </c>
      <c r="AC66" s="117">
        <f t="shared" si="40"/>
        <v>2643.666</v>
      </c>
      <c r="AD66" s="117">
        <f t="shared" si="40"/>
        <v>2643.666</v>
      </c>
      <c r="AE66" s="117">
        <f t="shared" si="40"/>
        <v>2643.666</v>
      </c>
      <c r="AF66" s="117">
        <f t="shared" si="40"/>
        <v>2643.666</v>
      </c>
      <c r="AG66" s="117">
        <f t="shared" si="40"/>
        <v>2643.666</v>
      </c>
      <c r="AH66" s="117">
        <f t="shared" si="40"/>
        <v>2643.666</v>
      </c>
      <c r="AI66" s="117">
        <f t="shared" si="40"/>
        <v>2643.666</v>
      </c>
      <c r="AJ66" s="117">
        <f t="shared" si="40"/>
        <v>2643.666</v>
      </c>
      <c r="AK66" s="117">
        <f t="shared" si="40"/>
        <v>2643.666</v>
      </c>
      <c r="AL66" s="117">
        <f t="shared" si="40"/>
        <v>2643.666</v>
      </c>
      <c r="AM66" s="117">
        <f t="shared" si="40"/>
        <v>2643.666</v>
      </c>
      <c r="AN66" s="117">
        <f t="shared" si="40"/>
        <v>2643.666</v>
      </c>
      <c r="AO66" s="117">
        <f t="shared" si="40"/>
        <v>3195.666</v>
      </c>
      <c r="AP66" s="117">
        <f t="shared" si="40"/>
        <v>3195.666</v>
      </c>
      <c r="AQ66" s="117">
        <f t="shared" si="40"/>
        <v>3195.666</v>
      </c>
      <c r="AR66" s="117">
        <f t="shared" si="40"/>
        <v>3195.666</v>
      </c>
      <c r="AS66" s="117">
        <f t="shared" si="40"/>
        <v>4575.666</v>
      </c>
      <c r="AT66" s="117">
        <f t="shared" si="40"/>
        <v>4575.666</v>
      </c>
      <c r="AU66" s="117">
        <f t="shared" si="40"/>
        <v>4575.666</v>
      </c>
      <c r="AV66" s="117">
        <f t="shared" si="40"/>
        <v>4575.666</v>
      </c>
      <c r="AW66" s="117">
        <f t="shared" si="40"/>
        <v>5955.666</v>
      </c>
      <c r="AX66" s="117">
        <f t="shared" si="40"/>
        <v>5955.666</v>
      </c>
      <c r="AY66" s="117">
        <f t="shared" si="40"/>
        <v>5955.666</v>
      </c>
      <c r="AZ66" s="117">
        <f t="shared" si="40"/>
        <v>5955.666</v>
      </c>
      <c r="BA66" s="117">
        <f t="shared" si="40"/>
        <v>7335.666</v>
      </c>
      <c r="BB66" s="117">
        <f t="shared" si="40"/>
        <v>7335.666</v>
      </c>
      <c r="BC66" s="117">
        <f t="shared" si="40"/>
        <v>7335.666</v>
      </c>
      <c r="BD66" s="117">
        <f t="shared" si="40"/>
        <v>7335.666</v>
      </c>
      <c r="BE66" s="117">
        <f t="shared" si="40"/>
        <v>7363.266</v>
      </c>
      <c r="BF66" s="117">
        <f t="shared" si="40"/>
        <v>7363.266</v>
      </c>
      <c r="BG66" s="117">
        <f t="shared" si="40"/>
        <v>7363.266</v>
      </c>
      <c r="BH66" s="117">
        <f t="shared" si="40"/>
        <v>7363.266</v>
      </c>
      <c r="BI66" s="117">
        <f t="shared" si="40"/>
        <v>7390.866</v>
      </c>
      <c r="BJ66" s="117">
        <f t="shared" si="40"/>
        <v>7390.866</v>
      </c>
      <c r="BK66" s="117">
        <f t="shared" si="40"/>
        <v>7390.866</v>
      </c>
      <c r="BL66" s="117">
        <f t="shared" si="40"/>
        <v>7390.866</v>
      </c>
      <c r="BM66" s="117">
        <f t="shared" si="40"/>
        <v>7418.466</v>
      </c>
      <c r="BN66" s="117">
        <f t="shared" si="40"/>
        <v>7418.466</v>
      </c>
      <c r="BO66" s="117">
        <f t="shared" si="40"/>
        <v>7418.466</v>
      </c>
      <c r="BP66" s="117">
        <f t="shared" si="40"/>
        <v>7418.466</v>
      </c>
      <c r="BQ66" s="117">
        <f t="shared" si="40"/>
        <v>7446.066</v>
      </c>
      <c r="BR66" s="117">
        <f t="shared" si="40"/>
        <v>7446.066</v>
      </c>
      <c r="BS66" s="117">
        <f t="shared" si="40"/>
        <v>7446.066</v>
      </c>
      <c r="BT66" s="117">
        <f t="shared" si="40"/>
        <v>7446.066</v>
      </c>
      <c r="BU66" s="117">
        <f t="shared" si="40"/>
        <v>7473.666</v>
      </c>
      <c r="BV66" s="117">
        <f t="shared" si="40"/>
        <v>7473.666</v>
      </c>
      <c r="BW66" s="117">
        <f t="shared" si="40"/>
        <v>7473.666</v>
      </c>
      <c r="BX66" s="117">
        <f t="shared" si="40"/>
        <v>7473.666</v>
      </c>
      <c r="BY66" s="117">
        <f t="shared" si="40"/>
        <v>7818.666</v>
      </c>
      <c r="BZ66" s="117">
        <f t="shared" si="40"/>
        <v>7818.666</v>
      </c>
      <c r="CA66" s="117">
        <f t="shared" si="40"/>
        <v>7818.666</v>
      </c>
      <c r="CB66" s="117">
        <f t="shared" si="40"/>
        <v>7818.666</v>
      </c>
      <c r="CC66" s="117"/>
      <c r="CD66" s="117"/>
    </row>
    <row r="67" ht="15.75" customHeight="1">
      <c r="A67" s="292" t="s">
        <v>526</v>
      </c>
      <c r="B67" s="283">
        <v>0.01</v>
      </c>
      <c r="C67" s="247"/>
      <c r="D67" s="247"/>
      <c r="E67" s="247"/>
      <c r="F67" s="247"/>
      <c r="G67" s="247"/>
      <c r="H67" s="247"/>
      <c r="I67" s="247"/>
      <c r="J67" s="247"/>
      <c r="K67" s="247"/>
      <c r="L67" s="247"/>
      <c r="M67" s="247"/>
      <c r="N67" s="247"/>
      <c r="O67" s="247">
        <f>'Opex Departments'!V67</f>
        <v>2956</v>
      </c>
      <c r="P67" s="247">
        <f>'Opex Departments'!W67</f>
        <v>2420</v>
      </c>
      <c r="Q67" s="247">
        <f>'Opex Departments'!X67</f>
        <v>4125</v>
      </c>
      <c r="R67" s="247">
        <f>'Opex Departments'!Y67</f>
        <v>2044</v>
      </c>
      <c r="S67" s="247">
        <f>'Opex Departments'!Z67</f>
        <v>4939</v>
      </c>
      <c r="T67" s="117">
        <f t="shared" ref="T67:CB67" si="41">T$64*$B67</f>
        <v>24.942</v>
      </c>
      <c r="U67" s="117">
        <f t="shared" si="41"/>
        <v>54.942</v>
      </c>
      <c r="V67" s="117">
        <f t="shared" si="41"/>
        <v>54.942</v>
      </c>
      <c r="W67" s="117">
        <f t="shared" si="41"/>
        <v>54.942</v>
      </c>
      <c r="X67" s="117">
        <f t="shared" si="41"/>
        <v>54.942</v>
      </c>
      <c r="Y67" s="117">
        <f t="shared" si="41"/>
        <v>84.942</v>
      </c>
      <c r="Z67" s="117">
        <f t="shared" si="41"/>
        <v>84.942</v>
      </c>
      <c r="AA67" s="117">
        <f t="shared" si="41"/>
        <v>84.942</v>
      </c>
      <c r="AB67" s="117">
        <f t="shared" si="41"/>
        <v>84.942</v>
      </c>
      <c r="AC67" s="117">
        <f t="shared" si="41"/>
        <v>114.942</v>
      </c>
      <c r="AD67" s="117">
        <f t="shared" si="41"/>
        <v>114.942</v>
      </c>
      <c r="AE67" s="117">
        <f t="shared" si="41"/>
        <v>114.942</v>
      </c>
      <c r="AF67" s="117">
        <f t="shared" si="41"/>
        <v>114.942</v>
      </c>
      <c r="AG67" s="117">
        <f t="shared" si="41"/>
        <v>114.942</v>
      </c>
      <c r="AH67" s="117">
        <f t="shared" si="41"/>
        <v>114.942</v>
      </c>
      <c r="AI67" s="117">
        <f t="shared" si="41"/>
        <v>114.942</v>
      </c>
      <c r="AJ67" s="117">
        <f t="shared" si="41"/>
        <v>114.942</v>
      </c>
      <c r="AK67" s="117">
        <f t="shared" si="41"/>
        <v>114.942</v>
      </c>
      <c r="AL67" s="117">
        <f t="shared" si="41"/>
        <v>114.942</v>
      </c>
      <c r="AM67" s="117">
        <f t="shared" si="41"/>
        <v>114.942</v>
      </c>
      <c r="AN67" s="117">
        <f t="shared" si="41"/>
        <v>114.942</v>
      </c>
      <c r="AO67" s="117">
        <f t="shared" si="41"/>
        <v>138.942</v>
      </c>
      <c r="AP67" s="117">
        <f t="shared" si="41"/>
        <v>138.942</v>
      </c>
      <c r="AQ67" s="117">
        <f t="shared" si="41"/>
        <v>138.942</v>
      </c>
      <c r="AR67" s="117">
        <f t="shared" si="41"/>
        <v>138.942</v>
      </c>
      <c r="AS67" s="117">
        <f t="shared" si="41"/>
        <v>198.942</v>
      </c>
      <c r="AT67" s="117">
        <f t="shared" si="41"/>
        <v>198.942</v>
      </c>
      <c r="AU67" s="117">
        <f t="shared" si="41"/>
        <v>198.942</v>
      </c>
      <c r="AV67" s="117">
        <f t="shared" si="41"/>
        <v>198.942</v>
      </c>
      <c r="AW67" s="117">
        <f t="shared" si="41"/>
        <v>258.942</v>
      </c>
      <c r="AX67" s="117">
        <f t="shared" si="41"/>
        <v>258.942</v>
      </c>
      <c r="AY67" s="117">
        <f t="shared" si="41"/>
        <v>258.942</v>
      </c>
      <c r="AZ67" s="117">
        <f t="shared" si="41"/>
        <v>258.942</v>
      </c>
      <c r="BA67" s="117">
        <f t="shared" si="41"/>
        <v>318.942</v>
      </c>
      <c r="BB67" s="117">
        <f t="shared" si="41"/>
        <v>318.942</v>
      </c>
      <c r="BC67" s="117">
        <f t="shared" si="41"/>
        <v>318.942</v>
      </c>
      <c r="BD67" s="117">
        <f t="shared" si="41"/>
        <v>318.942</v>
      </c>
      <c r="BE67" s="117">
        <f t="shared" si="41"/>
        <v>320.142</v>
      </c>
      <c r="BF67" s="117">
        <f t="shared" si="41"/>
        <v>320.142</v>
      </c>
      <c r="BG67" s="117">
        <f t="shared" si="41"/>
        <v>320.142</v>
      </c>
      <c r="BH67" s="117">
        <f t="shared" si="41"/>
        <v>320.142</v>
      </c>
      <c r="BI67" s="117">
        <f t="shared" si="41"/>
        <v>321.342</v>
      </c>
      <c r="BJ67" s="117">
        <f t="shared" si="41"/>
        <v>321.342</v>
      </c>
      <c r="BK67" s="117">
        <f t="shared" si="41"/>
        <v>321.342</v>
      </c>
      <c r="BL67" s="117">
        <f t="shared" si="41"/>
        <v>321.342</v>
      </c>
      <c r="BM67" s="117">
        <f t="shared" si="41"/>
        <v>322.542</v>
      </c>
      <c r="BN67" s="117">
        <f t="shared" si="41"/>
        <v>322.542</v>
      </c>
      <c r="BO67" s="117">
        <f t="shared" si="41"/>
        <v>322.542</v>
      </c>
      <c r="BP67" s="117">
        <f t="shared" si="41"/>
        <v>322.542</v>
      </c>
      <c r="BQ67" s="117">
        <f t="shared" si="41"/>
        <v>323.742</v>
      </c>
      <c r="BR67" s="117">
        <f t="shared" si="41"/>
        <v>323.742</v>
      </c>
      <c r="BS67" s="117">
        <f t="shared" si="41"/>
        <v>323.742</v>
      </c>
      <c r="BT67" s="117">
        <f t="shared" si="41"/>
        <v>323.742</v>
      </c>
      <c r="BU67" s="117">
        <f t="shared" si="41"/>
        <v>324.942</v>
      </c>
      <c r="BV67" s="117">
        <f t="shared" si="41"/>
        <v>324.942</v>
      </c>
      <c r="BW67" s="117">
        <f t="shared" si="41"/>
        <v>324.942</v>
      </c>
      <c r="BX67" s="117">
        <f t="shared" si="41"/>
        <v>324.942</v>
      </c>
      <c r="BY67" s="117">
        <f t="shared" si="41"/>
        <v>339.942</v>
      </c>
      <c r="BZ67" s="117">
        <f t="shared" si="41"/>
        <v>339.942</v>
      </c>
      <c r="CA67" s="117">
        <f t="shared" si="41"/>
        <v>339.942</v>
      </c>
      <c r="CB67" s="117">
        <f t="shared" si="41"/>
        <v>339.942</v>
      </c>
      <c r="CC67" s="117"/>
      <c r="CD67" s="117"/>
    </row>
    <row r="68" ht="15.75" customHeight="1">
      <c r="A68" s="292" t="s">
        <v>527</v>
      </c>
      <c r="B68" s="283">
        <v>0.03</v>
      </c>
      <c r="C68" s="247"/>
      <c r="D68" s="247"/>
      <c r="E68" s="247"/>
      <c r="F68" s="247"/>
      <c r="G68" s="247"/>
      <c r="H68" s="247"/>
      <c r="I68" s="247"/>
      <c r="J68" s="247"/>
      <c r="K68" s="247"/>
      <c r="L68" s="247"/>
      <c r="M68" s="247"/>
      <c r="N68" s="247"/>
      <c r="O68" s="247">
        <f>'Opex Departments'!V23</f>
        <v>492</v>
      </c>
      <c r="P68" s="247">
        <f>'Opex Departments'!W23</f>
        <v>1018</v>
      </c>
      <c r="Q68" s="247">
        <f>'Opex Departments'!X23</f>
        <v>62</v>
      </c>
      <c r="R68" s="247">
        <f>'Opex Departments'!Y23</f>
        <v>3617</v>
      </c>
      <c r="S68" s="247">
        <f>'Opex Departments'!Z23</f>
        <v>108</v>
      </c>
      <c r="T68" s="117">
        <f t="shared" ref="T68:CB68" si="42">T$64*$B68</f>
        <v>74.826</v>
      </c>
      <c r="U68" s="117">
        <f t="shared" si="42"/>
        <v>164.826</v>
      </c>
      <c r="V68" s="117">
        <f t="shared" si="42"/>
        <v>164.826</v>
      </c>
      <c r="W68" s="117">
        <f t="shared" si="42"/>
        <v>164.826</v>
      </c>
      <c r="X68" s="117">
        <f t="shared" si="42"/>
        <v>164.826</v>
      </c>
      <c r="Y68" s="117">
        <f t="shared" si="42"/>
        <v>254.826</v>
      </c>
      <c r="Z68" s="117">
        <f t="shared" si="42"/>
        <v>254.826</v>
      </c>
      <c r="AA68" s="117">
        <f t="shared" si="42"/>
        <v>254.826</v>
      </c>
      <c r="AB68" s="117">
        <f t="shared" si="42"/>
        <v>254.826</v>
      </c>
      <c r="AC68" s="117">
        <f t="shared" si="42"/>
        <v>344.826</v>
      </c>
      <c r="AD68" s="117">
        <f t="shared" si="42"/>
        <v>344.826</v>
      </c>
      <c r="AE68" s="117">
        <f t="shared" si="42"/>
        <v>344.826</v>
      </c>
      <c r="AF68" s="117">
        <f t="shared" si="42"/>
        <v>344.826</v>
      </c>
      <c r="AG68" s="117">
        <f t="shared" si="42"/>
        <v>344.826</v>
      </c>
      <c r="AH68" s="117">
        <f t="shared" si="42"/>
        <v>344.826</v>
      </c>
      <c r="AI68" s="117">
        <f t="shared" si="42"/>
        <v>344.826</v>
      </c>
      <c r="AJ68" s="117">
        <f t="shared" si="42"/>
        <v>344.826</v>
      </c>
      <c r="AK68" s="117">
        <f t="shared" si="42"/>
        <v>344.826</v>
      </c>
      <c r="AL68" s="117">
        <f t="shared" si="42"/>
        <v>344.826</v>
      </c>
      <c r="AM68" s="117">
        <f t="shared" si="42"/>
        <v>344.826</v>
      </c>
      <c r="AN68" s="117">
        <f t="shared" si="42"/>
        <v>344.826</v>
      </c>
      <c r="AO68" s="117">
        <f t="shared" si="42"/>
        <v>416.826</v>
      </c>
      <c r="AP68" s="117">
        <f t="shared" si="42"/>
        <v>416.826</v>
      </c>
      <c r="AQ68" s="117">
        <f t="shared" si="42"/>
        <v>416.826</v>
      </c>
      <c r="AR68" s="117">
        <f t="shared" si="42"/>
        <v>416.826</v>
      </c>
      <c r="AS68" s="117">
        <f t="shared" si="42"/>
        <v>596.826</v>
      </c>
      <c r="AT68" s="117">
        <f t="shared" si="42"/>
        <v>596.826</v>
      </c>
      <c r="AU68" s="117">
        <f t="shared" si="42"/>
        <v>596.826</v>
      </c>
      <c r="AV68" s="117">
        <f t="shared" si="42"/>
        <v>596.826</v>
      </c>
      <c r="AW68" s="117">
        <f t="shared" si="42"/>
        <v>776.826</v>
      </c>
      <c r="AX68" s="117">
        <f t="shared" si="42"/>
        <v>776.826</v>
      </c>
      <c r="AY68" s="117">
        <f t="shared" si="42"/>
        <v>776.826</v>
      </c>
      <c r="AZ68" s="117">
        <f t="shared" si="42"/>
        <v>776.826</v>
      </c>
      <c r="BA68" s="117">
        <f t="shared" si="42"/>
        <v>956.826</v>
      </c>
      <c r="BB68" s="117">
        <f t="shared" si="42"/>
        <v>956.826</v>
      </c>
      <c r="BC68" s="117">
        <f t="shared" si="42"/>
        <v>956.826</v>
      </c>
      <c r="BD68" s="117">
        <f t="shared" si="42"/>
        <v>956.826</v>
      </c>
      <c r="BE68" s="117">
        <f t="shared" si="42"/>
        <v>960.426</v>
      </c>
      <c r="BF68" s="117">
        <f t="shared" si="42"/>
        <v>960.426</v>
      </c>
      <c r="BG68" s="117">
        <f t="shared" si="42"/>
        <v>960.426</v>
      </c>
      <c r="BH68" s="117">
        <f t="shared" si="42"/>
        <v>960.426</v>
      </c>
      <c r="BI68" s="117">
        <f t="shared" si="42"/>
        <v>964.026</v>
      </c>
      <c r="BJ68" s="117">
        <f t="shared" si="42"/>
        <v>964.026</v>
      </c>
      <c r="BK68" s="117">
        <f t="shared" si="42"/>
        <v>964.026</v>
      </c>
      <c r="BL68" s="117">
        <f t="shared" si="42"/>
        <v>964.026</v>
      </c>
      <c r="BM68" s="117">
        <f t="shared" si="42"/>
        <v>967.626</v>
      </c>
      <c r="BN68" s="117">
        <f t="shared" si="42"/>
        <v>967.626</v>
      </c>
      <c r="BO68" s="117">
        <f t="shared" si="42"/>
        <v>967.626</v>
      </c>
      <c r="BP68" s="117">
        <f t="shared" si="42"/>
        <v>967.626</v>
      </c>
      <c r="BQ68" s="117">
        <f t="shared" si="42"/>
        <v>971.226</v>
      </c>
      <c r="BR68" s="117">
        <f t="shared" si="42"/>
        <v>971.226</v>
      </c>
      <c r="BS68" s="117">
        <f t="shared" si="42"/>
        <v>971.226</v>
      </c>
      <c r="BT68" s="117">
        <f t="shared" si="42"/>
        <v>971.226</v>
      </c>
      <c r="BU68" s="117">
        <f t="shared" si="42"/>
        <v>974.826</v>
      </c>
      <c r="BV68" s="117">
        <f t="shared" si="42"/>
        <v>974.826</v>
      </c>
      <c r="BW68" s="117">
        <f t="shared" si="42"/>
        <v>974.826</v>
      </c>
      <c r="BX68" s="117">
        <f t="shared" si="42"/>
        <v>974.826</v>
      </c>
      <c r="BY68" s="117">
        <f t="shared" si="42"/>
        <v>1019.826</v>
      </c>
      <c r="BZ68" s="117">
        <f t="shared" si="42"/>
        <v>1019.826</v>
      </c>
      <c r="CA68" s="117">
        <f t="shared" si="42"/>
        <v>1019.826</v>
      </c>
      <c r="CB68" s="117">
        <f t="shared" si="42"/>
        <v>1019.826</v>
      </c>
      <c r="CC68" s="117"/>
      <c r="CD68" s="117"/>
    </row>
    <row r="69" ht="15.75" customHeight="1">
      <c r="A69" s="292" t="s">
        <v>528</v>
      </c>
      <c r="B69" s="293">
        <f>1-SUM(B65:B68)</f>
        <v>0.48</v>
      </c>
      <c r="C69" s="247"/>
      <c r="D69" s="247"/>
      <c r="E69" s="247"/>
      <c r="F69" s="247"/>
      <c r="G69" s="247"/>
      <c r="H69" s="247"/>
      <c r="I69" s="247"/>
      <c r="J69" s="247"/>
      <c r="K69" s="247"/>
      <c r="L69" s="247"/>
      <c r="M69" s="247"/>
      <c r="N69" s="247"/>
      <c r="O69" s="117">
        <f t="shared" ref="O69:CB69" si="43">O64- SUM(O65:O68)</f>
        <v>-10657</v>
      </c>
      <c r="P69" s="117">
        <f t="shared" si="43"/>
        <v>-4357</v>
      </c>
      <c r="Q69" s="117">
        <f t="shared" si="43"/>
        <v>-7787</v>
      </c>
      <c r="R69" s="117">
        <f t="shared" si="43"/>
        <v>-10553</v>
      </c>
      <c r="S69" s="117">
        <f t="shared" si="43"/>
        <v>-5775</v>
      </c>
      <c r="T69" s="117">
        <f t="shared" si="43"/>
        <v>1197.216</v>
      </c>
      <c r="U69" s="117">
        <f t="shared" si="43"/>
        <v>2637.216</v>
      </c>
      <c r="V69" s="117">
        <f t="shared" si="43"/>
        <v>2637.216</v>
      </c>
      <c r="W69" s="117">
        <f t="shared" si="43"/>
        <v>2637.216</v>
      </c>
      <c r="X69" s="117">
        <f t="shared" si="43"/>
        <v>2637.216</v>
      </c>
      <c r="Y69" s="117">
        <f t="shared" si="43"/>
        <v>4077.216</v>
      </c>
      <c r="Z69" s="117">
        <f t="shared" si="43"/>
        <v>4077.216</v>
      </c>
      <c r="AA69" s="117">
        <f t="shared" si="43"/>
        <v>4077.216</v>
      </c>
      <c r="AB69" s="117">
        <f t="shared" si="43"/>
        <v>4077.216</v>
      </c>
      <c r="AC69" s="117">
        <f t="shared" si="43"/>
        <v>5517.216</v>
      </c>
      <c r="AD69" s="117">
        <f t="shared" si="43"/>
        <v>5517.216</v>
      </c>
      <c r="AE69" s="117">
        <f t="shared" si="43"/>
        <v>5517.216</v>
      </c>
      <c r="AF69" s="117">
        <f t="shared" si="43"/>
        <v>5517.216</v>
      </c>
      <c r="AG69" s="117">
        <f t="shared" si="43"/>
        <v>5517.216</v>
      </c>
      <c r="AH69" s="117">
        <f t="shared" si="43"/>
        <v>5517.216</v>
      </c>
      <c r="AI69" s="117">
        <f t="shared" si="43"/>
        <v>5517.216</v>
      </c>
      <c r="AJ69" s="117">
        <f t="shared" si="43"/>
        <v>5517.216</v>
      </c>
      <c r="AK69" s="117">
        <f t="shared" si="43"/>
        <v>5517.216</v>
      </c>
      <c r="AL69" s="117">
        <f t="shared" si="43"/>
        <v>5517.216</v>
      </c>
      <c r="AM69" s="117">
        <f t="shared" si="43"/>
        <v>5517.216</v>
      </c>
      <c r="AN69" s="117">
        <f t="shared" si="43"/>
        <v>5517.216</v>
      </c>
      <c r="AO69" s="117">
        <f t="shared" si="43"/>
        <v>6669.216</v>
      </c>
      <c r="AP69" s="117">
        <f t="shared" si="43"/>
        <v>6669.216</v>
      </c>
      <c r="AQ69" s="117">
        <f t="shared" si="43"/>
        <v>6669.216</v>
      </c>
      <c r="AR69" s="117">
        <f t="shared" si="43"/>
        <v>6669.216</v>
      </c>
      <c r="AS69" s="117">
        <f t="shared" si="43"/>
        <v>9549.216</v>
      </c>
      <c r="AT69" s="117">
        <f t="shared" si="43"/>
        <v>9549.216</v>
      </c>
      <c r="AU69" s="117">
        <f t="shared" si="43"/>
        <v>9549.216</v>
      </c>
      <c r="AV69" s="117">
        <f t="shared" si="43"/>
        <v>9549.216</v>
      </c>
      <c r="AW69" s="117">
        <f t="shared" si="43"/>
        <v>12429.216</v>
      </c>
      <c r="AX69" s="117">
        <f t="shared" si="43"/>
        <v>12429.216</v>
      </c>
      <c r="AY69" s="117">
        <f t="shared" si="43"/>
        <v>12429.216</v>
      </c>
      <c r="AZ69" s="117">
        <f t="shared" si="43"/>
        <v>12429.216</v>
      </c>
      <c r="BA69" s="117">
        <f t="shared" si="43"/>
        <v>15309.216</v>
      </c>
      <c r="BB69" s="117">
        <f t="shared" si="43"/>
        <v>15309.216</v>
      </c>
      <c r="BC69" s="117">
        <f t="shared" si="43"/>
        <v>15309.216</v>
      </c>
      <c r="BD69" s="117">
        <f t="shared" si="43"/>
        <v>15309.216</v>
      </c>
      <c r="BE69" s="117">
        <f t="shared" si="43"/>
        <v>15366.816</v>
      </c>
      <c r="BF69" s="117">
        <f t="shared" si="43"/>
        <v>15366.816</v>
      </c>
      <c r="BG69" s="117">
        <f t="shared" si="43"/>
        <v>15366.816</v>
      </c>
      <c r="BH69" s="117">
        <f t="shared" si="43"/>
        <v>15366.816</v>
      </c>
      <c r="BI69" s="117">
        <f t="shared" si="43"/>
        <v>15424.416</v>
      </c>
      <c r="BJ69" s="117">
        <f t="shared" si="43"/>
        <v>15424.416</v>
      </c>
      <c r="BK69" s="117">
        <f t="shared" si="43"/>
        <v>15424.416</v>
      </c>
      <c r="BL69" s="117">
        <f t="shared" si="43"/>
        <v>15424.416</v>
      </c>
      <c r="BM69" s="117">
        <f t="shared" si="43"/>
        <v>15482.016</v>
      </c>
      <c r="BN69" s="117">
        <f t="shared" si="43"/>
        <v>15482.016</v>
      </c>
      <c r="BO69" s="117">
        <f t="shared" si="43"/>
        <v>15482.016</v>
      </c>
      <c r="BP69" s="117">
        <f t="shared" si="43"/>
        <v>15482.016</v>
      </c>
      <c r="BQ69" s="117">
        <f t="shared" si="43"/>
        <v>15539.616</v>
      </c>
      <c r="BR69" s="117">
        <f t="shared" si="43"/>
        <v>15539.616</v>
      </c>
      <c r="BS69" s="117">
        <f t="shared" si="43"/>
        <v>15539.616</v>
      </c>
      <c r="BT69" s="117">
        <f t="shared" si="43"/>
        <v>15539.616</v>
      </c>
      <c r="BU69" s="117">
        <f t="shared" si="43"/>
        <v>15597.216</v>
      </c>
      <c r="BV69" s="117">
        <f t="shared" si="43"/>
        <v>15597.216</v>
      </c>
      <c r="BW69" s="117">
        <f t="shared" si="43"/>
        <v>15597.216</v>
      </c>
      <c r="BX69" s="117">
        <f t="shared" si="43"/>
        <v>15597.216</v>
      </c>
      <c r="BY69" s="117">
        <f t="shared" si="43"/>
        <v>16317.216</v>
      </c>
      <c r="BZ69" s="117">
        <f t="shared" si="43"/>
        <v>16317.216</v>
      </c>
      <c r="CA69" s="117">
        <f t="shared" si="43"/>
        <v>16317.216</v>
      </c>
      <c r="CB69" s="117">
        <f t="shared" si="43"/>
        <v>16317.216</v>
      </c>
      <c r="CC69" s="117"/>
      <c r="CD69" s="117"/>
    </row>
    <row r="70" ht="15.75" customHeight="1">
      <c r="A70" s="132"/>
      <c r="B70" s="282"/>
      <c r="C70" s="247"/>
      <c r="D70" s="247"/>
      <c r="E70" s="247"/>
      <c r="F70" s="247"/>
      <c r="G70" s="247"/>
      <c r="H70" s="247"/>
      <c r="I70" s="247"/>
      <c r="J70" s="247"/>
      <c r="K70" s="247"/>
      <c r="L70" s="247"/>
      <c r="M70" s="247"/>
      <c r="N70" s="24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7"/>
      <c r="BQ70" s="117"/>
      <c r="BR70" s="117"/>
      <c r="BS70" s="117"/>
      <c r="BT70" s="117"/>
      <c r="BU70" s="117"/>
      <c r="BV70" s="117"/>
      <c r="BW70" s="117"/>
      <c r="BX70" s="117"/>
      <c r="BY70" s="117"/>
      <c r="BZ70" s="117"/>
      <c r="CA70" s="117"/>
      <c r="CB70" s="117"/>
      <c r="CC70" s="117"/>
      <c r="CD70" s="117"/>
    </row>
    <row r="71" ht="15.75" customHeight="1">
      <c r="CC71" s="117"/>
      <c r="CD71" s="117"/>
    </row>
    <row r="72" ht="15.75" customHeight="1">
      <c r="A72" s="272" t="s">
        <v>529</v>
      </c>
      <c r="B72" s="298">
        <f t="shared" ref="B72:CB72" si="44">SUM(B55,B64)</f>
        <v>1</v>
      </c>
      <c r="C72" s="121">
        <f t="shared" si="44"/>
        <v>3199</v>
      </c>
      <c r="D72" s="121">
        <f t="shared" si="44"/>
        <v>3155</v>
      </c>
      <c r="E72" s="121">
        <f t="shared" si="44"/>
        <v>3227</v>
      </c>
      <c r="F72" s="121">
        <f t="shared" si="44"/>
        <v>4457</v>
      </c>
      <c r="G72" s="121">
        <f t="shared" si="44"/>
        <v>3830</v>
      </c>
      <c r="H72" s="121">
        <f t="shared" si="44"/>
        <v>3491</v>
      </c>
      <c r="I72" s="121">
        <f t="shared" si="44"/>
        <v>3799</v>
      </c>
      <c r="J72" s="121">
        <f t="shared" si="44"/>
        <v>3161</v>
      </c>
      <c r="K72" s="121">
        <f t="shared" si="44"/>
        <v>4227</v>
      </c>
      <c r="L72" s="121">
        <f t="shared" si="44"/>
        <v>4239</v>
      </c>
      <c r="M72" s="121">
        <f t="shared" si="44"/>
        <v>3656</v>
      </c>
      <c r="N72" s="121">
        <f t="shared" si="44"/>
        <v>2783</v>
      </c>
      <c r="O72" s="121">
        <f t="shared" si="44"/>
        <v>4256</v>
      </c>
      <c r="P72" s="121">
        <f t="shared" si="44"/>
        <v>2829</v>
      </c>
      <c r="Q72" s="121">
        <f t="shared" si="44"/>
        <v>4319</v>
      </c>
      <c r="R72" s="121">
        <f t="shared" si="44"/>
        <v>2185</v>
      </c>
      <c r="S72" s="121">
        <f t="shared" si="44"/>
        <v>4157</v>
      </c>
      <c r="T72" s="121">
        <f t="shared" si="44"/>
        <v>4157</v>
      </c>
      <c r="U72" s="121">
        <f t="shared" si="44"/>
        <v>9157</v>
      </c>
      <c r="V72" s="121">
        <f t="shared" si="44"/>
        <v>9157</v>
      </c>
      <c r="W72" s="121">
        <f t="shared" si="44"/>
        <v>9157</v>
      </c>
      <c r="X72" s="121">
        <f t="shared" si="44"/>
        <v>9157</v>
      </c>
      <c r="Y72" s="121">
        <f t="shared" si="44"/>
        <v>14157</v>
      </c>
      <c r="Z72" s="121">
        <f t="shared" si="44"/>
        <v>14157</v>
      </c>
      <c r="AA72" s="121">
        <f t="shared" si="44"/>
        <v>14157</v>
      </c>
      <c r="AB72" s="121">
        <f t="shared" si="44"/>
        <v>14157</v>
      </c>
      <c r="AC72" s="121">
        <f t="shared" si="44"/>
        <v>19157</v>
      </c>
      <c r="AD72" s="121">
        <f t="shared" si="44"/>
        <v>19157</v>
      </c>
      <c r="AE72" s="121">
        <f t="shared" si="44"/>
        <v>19157</v>
      </c>
      <c r="AF72" s="121">
        <f t="shared" si="44"/>
        <v>19157</v>
      </c>
      <c r="AG72" s="121">
        <f t="shared" si="44"/>
        <v>19157</v>
      </c>
      <c r="AH72" s="121">
        <f t="shared" si="44"/>
        <v>19157</v>
      </c>
      <c r="AI72" s="121">
        <f t="shared" si="44"/>
        <v>19157</v>
      </c>
      <c r="AJ72" s="121">
        <f t="shared" si="44"/>
        <v>19157</v>
      </c>
      <c r="AK72" s="121">
        <f t="shared" si="44"/>
        <v>19157</v>
      </c>
      <c r="AL72" s="121">
        <f t="shared" si="44"/>
        <v>19157</v>
      </c>
      <c r="AM72" s="121">
        <f t="shared" si="44"/>
        <v>19157</v>
      </c>
      <c r="AN72" s="121">
        <f t="shared" si="44"/>
        <v>19157</v>
      </c>
      <c r="AO72" s="121">
        <f t="shared" si="44"/>
        <v>23157</v>
      </c>
      <c r="AP72" s="121">
        <f t="shared" si="44"/>
        <v>23157</v>
      </c>
      <c r="AQ72" s="121">
        <f t="shared" si="44"/>
        <v>23157</v>
      </c>
      <c r="AR72" s="121">
        <f t="shared" si="44"/>
        <v>23157</v>
      </c>
      <c r="AS72" s="121">
        <f t="shared" si="44"/>
        <v>33157</v>
      </c>
      <c r="AT72" s="121">
        <f t="shared" si="44"/>
        <v>33157</v>
      </c>
      <c r="AU72" s="121">
        <f t="shared" si="44"/>
        <v>33157</v>
      </c>
      <c r="AV72" s="121">
        <f t="shared" si="44"/>
        <v>33157</v>
      </c>
      <c r="AW72" s="121">
        <f t="shared" si="44"/>
        <v>43157</v>
      </c>
      <c r="AX72" s="121">
        <f t="shared" si="44"/>
        <v>43157</v>
      </c>
      <c r="AY72" s="121">
        <f t="shared" si="44"/>
        <v>43157</v>
      </c>
      <c r="AZ72" s="121">
        <f t="shared" si="44"/>
        <v>43157</v>
      </c>
      <c r="BA72" s="121">
        <f t="shared" si="44"/>
        <v>53157</v>
      </c>
      <c r="BB72" s="121">
        <f t="shared" si="44"/>
        <v>53157</v>
      </c>
      <c r="BC72" s="121">
        <f t="shared" si="44"/>
        <v>53157</v>
      </c>
      <c r="BD72" s="121">
        <f t="shared" si="44"/>
        <v>53157</v>
      </c>
      <c r="BE72" s="121">
        <f t="shared" si="44"/>
        <v>53357</v>
      </c>
      <c r="BF72" s="121">
        <f t="shared" si="44"/>
        <v>53357</v>
      </c>
      <c r="BG72" s="121">
        <f t="shared" si="44"/>
        <v>53357</v>
      </c>
      <c r="BH72" s="121">
        <f t="shared" si="44"/>
        <v>53357</v>
      </c>
      <c r="BI72" s="121">
        <f t="shared" si="44"/>
        <v>53557</v>
      </c>
      <c r="BJ72" s="121">
        <f t="shared" si="44"/>
        <v>53557</v>
      </c>
      <c r="BK72" s="121">
        <f t="shared" si="44"/>
        <v>53557</v>
      </c>
      <c r="BL72" s="121">
        <f t="shared" si="44"/>
        <v>53557</v>
      </c>
      <c r="BM72" s="121">
        <f t="shared" si="44"/>
        <v>53757</v>
      </c>
      <c r="BN72" s="121">
        <f t="shared" si="44"/>
        <v>53757</v>
      </c>
      <c r="BO72" s="121">
        <f t="shared" si="44"/>
        <v>53757</v>
      </c>
      <c r="BP72" s="121">
        <f t="shared" si="44"/>
        <v>53757</v>
      </c>
      <c r="BQ72" s="121">
        <f t="shared" si="44"/>
        <v>53957</v>
      </c>
      <c r="BR72" s="121">
        <f t="shared" si="44"/>
        <v>53957</v>
      </c>
      <c r="BS72" s="121">
        <f t="shared" si="44"/>
        <v>53957</v>
      </c>
      <c r="BT72" s="121">
        <f t="shared" si="44"/>
        <v>53957</v>
      </c>
      <c r="BU72" s="121">
        <f t="shared" si="44"/>
        <v>54157</v>
      </c>
      <c r="BV72" s="121">
        <f t="shared" si="44"/>
        <v>54157</v>
      </c>
      <c r="BW72" s="121">
        <f t="shared" si="44"/>
        <v>54157</v>
      </c>
      <c r="BX72" s="121">
        <f t="shared" si="44"/>
        <v>54157</v>
      </c>
      <c r="BY72" s="121">
        <f t="shared" si="44"/>
        <v>56657</v>
      </c>
      <c r="BZ72" s="121">
        <f t="shared" si="44"/>
        <v>56657</v>
      </c>
      <c r="CA72" s="121">
        <f t="shared" si="44"/>
        <v>56657</v>
      </c>
      <c r="CB72" s="121">
        <f t="shared" si="44"/>
        <v>56657</v>
      </c>
      <c r="CC72" s="118"/>
      <c r="CD72" s="118"/>
    </row>
    <row r="73" ht="15.75" customHeight="1">
      <c r="B73" s="6"/>
      <c r="C73" s="5"/>
      <c r="D73" s="130">
        <f t="shared" ref="D73:CB73" si="45">D72/C72-1</f>
        <v>-0.01375429822</v>
      </c>
      <c r="E73" s="130">
        <f t="shared" si="45"/>
        <v>0.02282091918</v>
      </c>
      <c r="F73" s="130">
        <f t="shared" si="45"/>
        <v>0.3811589712</v>
      </c>
      <c r="G73" s="130">
        <f t="shared" si="45"/>
        <v>-0.1406775858</v>
      </c>
      <c r="H73" s="130">
        <f t="shared" si="45"/>
        <v>-0.08851174935</v>
      </c>
      <c r="I73" s="130">
        <f t="shared" si="45"/>
        <v>0.08822686909</v>
      </c>
      <c r="J73" s="130">
        <f t="shared" si="45"/>
        <v>-0.1679389313</v>
      </c>
      <c r="K73" s="130">
        <f t="shared" si="45"/>
        <v>0.3372350522</v>
      </c>
      <c r="L73" s="130">
        <f t="shared" si="45"/>
        <v>0.002838892832</v>
      </c>
      <c r="M73" s="130">
        <f t="shared" si="45"/>
        <v>-0.1375324369</v>
      </c>
      <c r="N73" s="130">
        <f t="shared" si="45"/>
        <v>-0.238785558</v>
      </c>
      <c r="O73" s="130">
        <f t="shared" si="45"/>
        <v>0.5292849443</v>
      </c>
      <c r="P73" s="130">
        <f t="shared" si="45"/>
        <v>-0.3352913534</v>
      </c>
      <c r="Q73" s="130">
        <f t="shared" si="45"/>
        <v>0.5266878756</v>
      </c>
      <c r="R73" s="130">
        <f t="shared" si="45"/>
        <v>-0.4940958555</v>
      </c>
      <c r="S73" s="130">
        <f t="shared" si="45"/>
        <v>0.9025171625</v>
      </c>
      <c r="T73" s="130">
        <f t="shared" si="45"/>
        <v>0</v>
      </c>
      <c r="U73" s="130">
        <f t="shared" si="45"/>
        <v>1.202790474</v>
      </c>
      <c r="V73" s="130">
        <f t="shared" si="45"/>
        <v>0</v>
      </c>
      <c r="W73" s="130">
        <f t="shared" si="45"/>
        <v>0</v>
      </c>
      <c r="X73" s="130">
        <f t="shared" si="45"/>
        <v>0</v>
      </c>
      <c r="Y73" s="130">
        <f t="shared" si="45"/>
        <v>0.5460303593</v>
      </c>
      <c r="Z73" s="130">
        <f t="shared" si="45"/>
        <v>0</v>
      </c>
      <c r="AA73" s="130">
        <f t="shared" si="45"/>
        <v>0</v>
      </c>
      <c r="AB73" s="130">
        <f t="shared" si="45"/>
        <v>0</v>
      </c>
      <c r="AC73" s="130">
        <f t="shared" si="45"/>
        <v>0.3531821714</v>
      </c>
      <c r="AD73" s="130">
        <f t="shared" si="45"/>
        <v>0</v>
      </c>
      <c r="AE73" s="130">
        <f t="shared" si="45"/>
        <v>0</v>
      </c>
      <c r="AF73" s="130">
        <f t="shared" si="45"/>
        <v>0</v>
      </c>
      <c r="AG73" s="130">
        <f t="shared" si="45"/>
        <v>0</v>
      </c>
      <c r="AH73" s="130">
        <f t="shared" si="45"/>
        <v>0</v>
      </c>
      <c r="AI73" s="130">
        <f t="shared" si="45"/>
        <v>0</v>
      </c>
      <c r="AJ73" s="130">
        <f t="shared" si="45"/>
        <v>0</v>
      </c>
      <c r="AK73" s="130">
        <f t="shared" si="45"/>
        <v>0</v>
      </c>
      <c r="AL73" s="130">
        <f t="shared" si="45"/>
        <v>0</v>
      </c>
      <c r="AM73" s="130">
        <f t="shared" si="45"/>
        <v>0</v>
      </c>
      <c r="AN73" s="130">
        <f t="shared" si="45"/>
        <v>0</v>
      </c>
      <c r="AO73" s="130">
        <f t="shared" si="45"/>
        <v>0.2088009605</v>
      </c>
      <c r="AP73" s="130">
        <f t="shared" si="45"/>
        <v>0</v>
      </c>
      <c r="AQ73" s="130">
        <f t="shared" si="45"/>
        <v>0</v>
      </c>
      <c r="AR73" s="130">
        <f t="shared" si="45"/>
        <v>0</v>
      </c>
      <c r="AS73" s="130">
        <f t="shared" si="45"/>
        <v>0.4318348663</v>
      </c>
      <c r="AT73" s="130">
        <f t="shared" si="45"/>
        <v>0</v>
      </c>
      <c r="AU73" s="130">
        <f t="shared" si="45"/>
        <v>0</v>
      </c>
      <c r="AV73" s="130">
        <f t="shared" si="45"/>
        <v>0</v>
      </c>
      <c r="AW73" s="130">
        <f t="shared" si="45"/>
        <v>0.3015954399</v>
      </c>
      <c r="AX73" s="130">
        <f t="shared" si="45"/>
        <v>0</v>
      </c>
      <c r="AY73" s="130">
        <f t="shared" si="45"/>
        <v>0</v>
      </c>
      <c r="AZ73" s="130">
        <f t="shared" si="45"/>
        <v>0</v>
      </c>
      <c r="BA73" s="130">
        <f t="shared" si="45"/>
        <v>0.2317121209</v>
      </c>
      <c r="BB73" s="130">
        <f t="shared" si="45"/>
        <v>0</v>
      </c>
      <c r="BC73" s="130">
        <f t="shared" si="45"/>
        <v>0</v>
      </c>
      <c r="BD73" s="130">
        <f t="shared" si="45"/>
        <v>0</v>
      </c>
      <c r="BE73" s="130">
        <f t="shared" si="45"/>
        <v>0.003762439566</v>
      </c>
      <c r="BF73" s="130">
        <f t="shared" si="45"/>
        <v>0</v>
      </c>
      <c r="BG73" s="130">
        <f t="shared" si="45"/>
        <v>0</v>
      </c>
      <c r="BH73" s="130">
        <f t="shared" si="45"/>
        <v>0</v>
      </c>
      <c r="BI73" s="130">
        <f t="shared" si="45"/>
        <v>0.003748336676</v>
      </c>
      <c r="BJ73" s="130">
        <f t="shared" si="45"/>
        <v>0</v>
      </c>
      <c r="BK73" s="130">
        <f t="shared" si="45"/>
        <v>0</v>
      </c>
      <c r="BL73" s="130">
        <f t="shared" si="45"/>
        <v>0</v>
      </c>
      <c r="BM73" s="130">
        <f t="shared" si="45"/>
        <v>0.003734339115</v>
      </c>
      <c r="BN73" s="130">
        <f t="shared" si="45"/>
        <v>0</v>
      </c>
      <c r="BO73" s="130">
        <f t="shared" si="45"/>
        <v>0</v>
      </c>
      <c r="BP73" s="130">
        <f t="shared" si="45"/>
        <v>0</v>
      </c>
      <c r="BQ73" s="130">
        <f t="shared" si="45"/>
        <v>0.003720445709</v>
      </c>
      <c r="BR73" s="130">
        <f t="shared" si="45"/>
        <v>0</v>
      </c>
      <c r="BS73" s="130">
        <f t="shared" si="45"/>
        <v>0</v>
      </c>
      <c r="BT73" s="130">
        <f t="shared" si="45"/>
        <v>0</v>
      </c>
      <c r="BU73" s="130">
        <f t="shared" si="45"/>
        <v>0.0037066553</v>
      </c>
      <c r="BV73" s="130">
        <f t="shared" si="45"/>
        <v>0</v>
      </c>
      <c r="BW73" s="130">
        <f t="shared" si="45"/>
        <v>0</v>
      </c>
      <c r="BX73" s="130">
        <f t="shared" si="45"/>
        <v>0</v>
      </c>
      <c r="BY73" s="130">
        <f t="shared" si="45"/>
        <v>0.04616208431</v>
      </c>
      <c r="BZ73" s="130">
        <f t="shared" si="45"/>
        <v>0</v>
      </c>
      <c r="CA73" s="130">
        <f t="shared" si="45"/>
        <v>0</v>
      </c>
      <c r="CB73" s="130">
        <f t="shared" si="45"/>
        <v>0</v>
      </c>
      <c r="CC73" s="130"/>
      <c r="CD73" s="130"/>
    </row>
    <row r="74" ht="15.75" customHeight="1">
      <c r="A74" s="115" t="s">
        <v>530</v>
      </c>
      <c r="B74" s="6"/>
      <c r="C74" s="5"/>
      <c r="D74" s="5"/>
      <c r="E74" s="5"/>
      <c r="F74" s="5"/>
      <c r="G74" s="5"/>
    </row>
    <row r="75" ht="15.75" customHeight="1">
      <c r="B75" s="6"/>
      <c r="C75" s="5"/>
      <c r="D75" s="5"/>
      <c r="E75" s="5"/>
      <c r="F75" s="5"/>
      <c r="G75" s="5"/>
    </row>
    <row r="76" ht="15.75" customHeight="1">
      <c r="A76" s="1" t="s">
        <v>531</v>
      </c>
      <c r="B76" s="6"/>
      <c r="C76" s="5"/>
      <c r="D76" s="5"/>
      <c r="E76" s="5"/>
      <c r="F76" s="5"/>
      <c r="G76" s="5"/>
      <c r="U76" s="267"/>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row>
    <row r="77" ht="15.75" customHeight="1">
      <c r="A77" s="289" t="s">
        <v>244</v>
      </c>
      <c r="B77" s="282"/>
      <c r="C77" s="247">
        <f t="array" ref="C77">INDEX('IS Proforma'!$1:$1048490,MATCH(Expenses!$A77,'IS Proforma'!$C:$C,0),MATCH(Expenses!C$4,'IS Proforma'!$4:$4))</f>
        <v>1848</v>
      </c>
      <c r="D77" s="247">
        <f t="array" ref="D77">INDEX('IS Proforma'!$1:$1048490,MATCH(Expenses!$A77,'IS Proforma'!$C:$C,0),MATCH(Expenses!D$4,'IS Proforma'!$4:$4))</f>
        <v>1083</v>
      </c>
      <c r="E77" s="247">
        <f t="array" ref="E77">INDEX('IS Proforma'!$1:$1048490,MATCH(Expenses!$A77,'IS Proforma'!$C:$C,0),MATCH(Expenses!E$4,'IS Proforma'!$4:$4))</f>
        <v>1774</v>
      </c>
      <c r="F77" s="247">
        <f t="array" ref="F77">INDEX('IS Proforma'!$1:$1048490,MATCH(Expenses!$A77,'IS Proforma'!$C:$C,0),MATCH(Expenses!F$4,'IS Proforma'!$4:$4))</f>
        <v>1376</v>
      </c>
      <c r="G77" s="247">
        <f t="array" ref="G77">INDEX('IS Proforma'!$1:$1048490,MATCH(Expenses!$A77,'IS Proforma'!$C:$C,0),MATCH(Expenses!G$4,'IS Proforma'!$4:$4))</f>
        <v>2124</v>
      </c>
      <c r="H77" s="247">
        <f t="array" ref="H77">INDEX('IS Proforma'!$1:$1048490,MATCH(Expenses!$A77,'IS Proforma'!$C:$C,0),MATCH(Expenses!H$4,'IS Proforma'!$4:$4))</f>
        <v>1514</v>
      </c>
      <c r="I77" s="247">
        <f t="array" ref="I77">INDEX('IS Proforma'!$1:$1048490,MATCH(Expenses!$A77,'IS Proforma'!$C:$C,0),MATCH(Expenses!I$4,'IS Proforma'!$4:$4))</f>
        <v>1162</v>
      </c>
      <c r="J77" s="247">
        <f t="array" ref="J77">INDEX('IS Proforma'!$1:$1048490,MATCH(Expenses!$A77,'IS Proforma'!$C:$C,0),MATCH(Expenses!J$4,'IS Proforma'!$4:$4))</f>
        <v>1899</v>
      </c>
      <c r="K77" s="247">
        <f t="array" ref="K77">INDEX('IS Proforma'!$1:$1048490,MATCH(Expenses!$A77,'IS Proforma'!$C:$C,0),MATCH(Expenses!K$4,'IS Proforma'!$4:$4))</f>
        <v>1793</v>
      </c>
      <c r="L77" s="247">
        <f t="array" ref="L77">INDEX('IS Proforma'!$1:$1048490,MATCH(Expenses!$A77,'IS Proforma'!$C:$C,0),MATCH(Expenses!L$4,'IS Proforma'!$4:$4))</f>
        <v>1862</v>
      </c>
      <c r="M77" s="247">
        <f t="array" ref="M77">INDEX('IS Proforma'!$1:$1048490,MATCH(Expenses!$A77,'IS Proforma'!$C:$C,0),MATCH(Expenses!M$4,'IS Proforma'!$4:$4))</f>
        <v>1934</v>
      </c>
      <c r="N77" s="247">
        <f t="array" ref="N77">INDEX('IS Proforma'!$1:$1048490,MATCH(Expenses!$A77,'IS Proforma'!$C:$C,0),MATCH(Expenses!N$4,'IS Proforma'!$4:$4))</f>
        <v>2224</v>
      </c>
      <c r="O77" s="247">
        <f t="array" ref="O77">INDEX('IS Proforma'!$1:$1048490,MATCH(Expenses!$A77,'IS Proforma'!$C:$C,0),MATCH(Expenses!O$4,'IS Proforma'!$4:$4))</f>
        <v>1277</v>
      </c>
      <c r="P77" s="247">
        <f t="array" ref="P77">INDEX('IS Proforma'!$1:$1048490,MATCH(Expenses!$A77,'IS Proforma'!$C:$C,0),MATCH(Expenses!P$4,'IS Proforma'!$4:$4))</f>
        <v>1605</v>
      </c>
      <c r="Q77" s="247">
        <f t="array" ref="Q77">INDEX('IS Proforma'!$1:$1048490,MATCH(Expenses!$A77,'IS Proforma'!$C:$C,0),MATCH(Expenses!Q$4,'IS Proforma'!$4:$4))</f>
        <v>1875</v>
      </c>
      <c r="R77" s="247">
        <f t="array" ref="R77">INDEX('IS Proforma'!$1:$1048490,MATCH(Expenses!$A77,'IS Proforma'!$C:$C,0),MATCH(Expenses!R$4,'IS Proforma'!$4:$4))</f>
        <v>1530</v>
      </c>
      <c r="S77" s="247">
        <f t="array" ref="S77">INDEX('IS Proforma'!$1:$1048490,MATCH(Expenses!$A77,'IS Proforma'!$C:$C,0),MATCH(Expenses!S$4,'IS Proforma'!$4:$4))</f>
        <v>2039</v>
      </c>
      <c r="T77" s="117">
        <f t="shared" ref="T77:CB77" si="46">S77*(1+T78)</f>
        <v>1937.05</v>
      </c>
      <c r="U77" s="117">
        <f t="shared" si="46"/>
        <v>2033.9025</v>
      </c>
      <c r="V77" s="117">
        <f t="shared" si="46"/>
        <v>2033.9025</v>
      </c>
      <c r="W77" s="117">
        <f t="shared" si="46"/>
        <v>2033.9025</v>
      </c>
      <c r="X77" s="117">
        <f t="shared" si="46"/>
        <v>2033.9025</v>
      </c>
      <c r="Y77" s="117">
        <f t="shared" si="46"/>
        <v>2033.9025</v>
      </c>
      <c r="Z77" s="117">
        <f t="shared" si="46"/>
        <v>2033.9025</v>
      </c>
      <c r="AA77" s="117">
        <f t="shared" si="46"/>
        <v>2033.9025</v>
      </c>
      <c r="AB77" s="117">
        <f t="shared" si="46"/>
        <v>2033.9025</v>
      </c>
      <c r="AC77" s="117">
        <f t="shared" si="46"/>
        <v>2033.9025</v>
      </c>
      <c r="AD77" s="117">
        <f t="shared" si="46"/>
        <v>2033.9025</v>
      </c>
      <c r="AE77" s="117">
        <f t="shared" si="46"/>
        <v>2033.9025</v>
      </c>
      <c r="AF77" s="117">
        <f t="shared" si="46"/>
        <v>2033.9025</v>
      </c>
      <c r="AG77" s="117">
        <f t="shared" si="46"/>
        <v>2054.241525</v>
      </c>
      <c r="AH77" s="117">
        <f t="shared" si="46"/>
        <v>2074.78394</v>
      </c>
      <c r="AI77" s="117">
        <f t="shared" si="46"/>
        <v>2095.53178</v>
      </c>
      <c r="AJ77" s="117">
        <f t="shared" si="46"/>
        <v>2116.487097</v>
      </c>
      <c r="AK77" s="117">
        <f t="shared" si="46"/>
        <v>2137.651968</v>
      </c>
      <c r="AL77" s="117">
        <f t="shared" si="46"/>
        <v>2159.028488</v>
      </c>
      <c r="AM77" s="117">
        <f t="shared" si="46"/>
        <v>2180.618773</v>
      </c>
      <c r="AN77" s="117">
        <f t="shared" si="46"/>
        <v>2202.424961</v>
      </c>
      <c r="AO77" s="117">
        <f t="shared" si="46"/>
        <v>2224.44921</v>
      </c>
      <c r="AP77" s="117">
        <f t="shared" si="46"/>
        <v>2246.693702</v>
      </c>
      <c r="AQ77" s="117">
        <f t="shared" si="46"/>
        <v>2269.160639</v>
      </c>
      <c r="AR77" s="117">
        <f t="shared" si="46"/>
        <v>2291.852246</v>
      </c>
      <c r="AS77" s="117">
        <f t="shared" si="46"/>
        <v>2314.770768</v>
      </c>
      <c r="AT77" s="117">
        <f t="shared" si="46"/>
        <v>2337.918476</v>
      </c>
      <c r="AU77" s="117">
        <f t="shared" si="46"/>
        <v>2361.297661</v>
      </c>
      <c r="AV77" s="117">
        <f t="shared" si="46"/>
        <v>2384.910637</v>
      </c>
      <c r="AW77" s="117">
        <f t="shared" si="46"/>
        <v>2408.759744</v>
      </c>
      <c r="AX77" s="117">
        <f t="shared" si="46"/>
        <v>2432.847341</v>
      </c>
      <c r="AY77" s="117">
        <f t="shared" si="46"/>
        <v>2457.175815</v>
      </c>
      <c r="AZ77" s="117">
        <f t="shared" si="46"/>
        <v>2481.747573</v>
      </c>
      <c r="BA77" s="117">
        <f t="shared" si="46"/>
        <v>2506.565048</v>
      </c>
      <c r="BB77" s="117">
        <f t="shared" si="46"/>
        <v>2531.630699</v>
      </c>
      <c r="BC77" s="117">
        <f t="shared" si="46"/>
        <v>2556.947006</v>
      </c>
      <c r="BD77" s="117">
        <f t="shared" si="46"/>
        <v>2582.516476</v>
      </c>
      <c r="BE77" s="117">
        <f t="shared" si="46"/>
        <v>2608.341641</v>
      </c>
      <c r="BF77" s="117">
        <f t="shared" si="46"/>
        <v>2634.425057</v>
      </c>
      <c r="BG77" s="117">
        <f t="shared" si="46"/>
        <v>2660.769308</v>
      </c>
      <c r="BH77" s="117">
        <f t="shared" si="46"/>
        <v>2687.377001</v>
      </c>
      <c r="BI77" s="117">
        <f t="shared" si="46"/>
        <v>2714.250771</v>
      </c>
      <c r="BJ77" s="117">
        <f t="shared" si="46"/>
        <v>2741.393279</v>
      </c>
      <c r="BK77" s="117">
        <f t="shared" si="46"/>
        <v>2768.807211</v>
      </c>
      <c r="BL77" s="117">
        <f t="shared" si="46"/>
        <v>2796.495283</v>
      </c>
      <c r="BM77" s="117">
        <f t="shared" si="46"/>
        <v>2824.460236</v>
      </c>
      <c r="BN77" s="117">
        <f t="shared" si="46"/>
        <v>2852.704839</v>
      </c>
      <c r="BO77" s="117">
        <f t="shared" si="46"/>
        <v>2881.231887</v>
      </c>
      <c r="BP77" s="117">
        <f t="shared" si="46"/>
        <v>2910.044206</v>
      </c>
      <c r="BQ77" s="117">
        <f t="shared" si="46"/>
        <v>2939.144648</v>
      </c>
      <c r="BR77" s="117">
        <f t="shared" si="46"/>
        <v>2968.536094</v>
      </c>
      <c r="BS77" s="117">
        <f t="shared" si="46"/>
        <v>2998.221455</v>
      </c>
      <c r="BT77" s="117">
        <f t="shared" si="46"/>
        <v>3028.20367</v>
      </c>
      <c r="BU77" s="117">
        <f t="shared" si="46"/>
        <v>3058.485707</v>
      </c>
      <c r="BV77" s="117">
        <f t="shared" si="46"/>
        <v>3089.070564</v>
      </c>
      <c r="BW77" s="117">
        <f t="shared" si="46"/>
        <v>3119.961269</v>
      </c>
      <c r="BX77" s="117">
        <f t="shared" si="46"/>
        <v>3151.160882</v>
      </c>
      <c r="BY77" s="117">
        <f t="shared" si="46"/>
        <v>3182.672491</v>
      </c>
      <c r="BZ77" s="117">
        <f t="shared" si="46"/>
        <v>3214.499216</v>
      </c>
      <c r="CA77" s="117">
        <f t="shared" si="46"/>
        <v>3246.644208</v>
      </c>
      <c r="CB77" s="117">
        <f t="shared" si="46"/>
        <v>3279.11065</v>
      </c>
      <c r="CC77" s="117"/>
      <c r="CD77" s="117"/>
    </row>
    <row r="78" ht="15.75" customHeight="1">
      <c r="A78" s="289" t="s">
        <v>532</v>
      </c>
      <c r="B78" s="283"/>
      <c r="C78" s="247"/>
      <c r="D78" s="247"/>
      <c r="E78" s="247"/>
      <c r="F78" s="247"/>
      <c r="G78" s="247"/>
      <c r="H78" s="247"/>
      <c r="I78" s="247"/>
      <c r="J78" s="247"/>
      <c r="K78" s="247"/>
      <c r="L78" s="247"/>
      <c r="M78" s="247"/>
      <c r="N78" s="247"/>
      <c r="O78" s="247"/>
      <c r="P78" s="247"/>
      <c r="Q78" s="247"/>
      <c r="R78" s="247"/>
      <c r="S78" s="247"/>
      <c r="T78" s="208">
        <v>-0.05</v>
      </c>
      <c r="U78" s="208">
        <v>0.05</v>
      </c>
      <c r="V78" s="208">
        <v>0.0</v>
      </c>
      <c r="W78" s="208">
        <v>0.0</v>
      </c>
      <c r="X78" s="208">
        <v>0.0</v>
      </c>
      <c r="Y78" s="208">
        <v>0.0</v>
      </c>
      <c r="Z78" s="208">
        <v>0.0</v>
      </c>
      <c r="AA78" s="208">
        <v>0.0</v>
      </c>
      <c r="AB78" s="208">
        <v>0.0</v>
      </c>
      <c r="AC78" s="208">
        <v>0.0</v>
      </c>
      <c r="AD78" s="208">
        <v>0.0</v>
      </c>
      <c r="AE78" s="208">
        <v>0.0</v>
      </c>
      <c r="AF78" s="208">
        <v>0.0</v>
      </c>
      <c r="AG78" s="208">
        <v>0.01</v>
      </c>
      <c r="AH78" s="208">
        <v>0.01</v>
      </c>
      <c r="AI78" s="208">
        <v>0.01</v>
      </c>
      <c r="AJ78" s="208">
        <v>0.01</v>
      </c>
      <c r="AK78" s="208">
        <v>0.01</v>
      </c>
      <c r="AL78" s="208">
        <v>0.01</v>
      </c>
      <c r="AM78" s="208">
        <v>0.01</v>
      </c>
      <c r="AN78" s="208">
        <v>0.01</v>
      </c>
      <c r="AO78" s="208">
        <v>0.01</v>
      </c>
      <c r="AP78" s="208">
        <v>0.01</v>
      </c>
      <c r="AQ78" s="208">
        <v>0.01</v>
      </c>
      <c r="AR78" s="208">
        <v>0.01</v>
      </c>
      <c r="AS78" s="208">
        <v>0.01</v>
      </c>
      <c r="AT78" s="208">
        <v>0.01</v>
      </c>
      <c r="AU78" s="208">
        <v>0.01</v>
      </c>
      <c r="AV78" s="208">
        <v>0.01</v>
      </c>
      <c r="AW78" s="208">
        <v>0.01</v>
      </c>
      <c r="AX78" s="208">
        <v>0.01</v>
      </c>
      <c r="AY78" s="208">
        <v>0.01</v>
      </c>
      <c r="AZ78" s="208">
        <v>0.01</v>
      </c>
      <c r="BA78" s="208">
        <v>0.01</v>
      </c>
      <c r="BB78" s="208">
        <v>0.01</v>
      </c>
      <c r="BC78" s="208">
        <v>0.01</v>
      </c>
      <c r="BD78" s="208">
        <v>0.01</v>
      </c>
      <c r="BE78" s="208">
        <v>0.01</v>
      </c>
      <c r="BF78" s="208">
        <v>0.01</v>
      </c>
      <c r="BG78" s="208">
        <v>0.01</v>
      </c>
      <c r="BH78" s="208">
        <v>0.01</v>
      </c>
      <c r="BI78" s="208">
        <v>0.01</v>
      </c>
      <c r="BJ78" s="208">
        <v>0.01</v>
      </c>
      <c r="BK78" s="208">
        <v>0.01</v>
      </c>
      <c r="BL78" s="208">
        <v>0.01</v>
      </c>
      <c r="BM78" s="208">
        <v>0.01</v>
      </c>
      <c r="BN78" s="208">
        <v>0.01</v>
      </c>
      <c r="BO78" s="208">
        <v>0.01</v>
      </c>
      <c r="BP78" s="208">
        <v>0.01</v>
      </c>
      <c r="BQ78" s="208">
        <v>0.01</v>
      </c>
      <c r="BR78" s="208">
        <v>0.01</v>
      </c>
      <c r="BS78" s="208">
        <v>0.01</v>
      </c>
      <c r="BT78" s="208">
        <v>0.01</v>
      </c>
      <c r="BU78" s="208">
        <v>0.01</v>
      </c>
      <c r="BV78" s="208">
        <v>0.01</v>
      </c>
      <c r="BW78" s="208">
        <v>0.01</v>
      </c>
      <c r="BX78" s="208">
        <v>0.01</v>
      </c>
      <c r="BY78" s="208">
        <v>0.01</v>
      </c>
      <c r="BZ78" s="208">
        <v>0.01</v>
      </c>
      <c r="CA78" s="208">
        <v>0.01</v>
      </c>
      <c r="CB78" s="208">
        <v>0.01</v>
      </c>
      <c r="CC78" s="117"/>
      <c r="CD78" s="117"/>
    </row>
    <row r="79" ht="15.75" customHeight="1">
      <c r="A79" s="289"/>
      <c r="B79" s="283"/>
      <c r="C79" s="247"/>
      <c r="D79" s="247"/>
      <c r="E79" s="247"/>
      <c r="F79" s="247"/>
      <c r="G79" s="247"/>
      <c r="H79" s="247"/>
      <c r="I79" s="247"/>
      <c r="J79" s="247"/>
      <c r="K79" s="247"/>
      <c r="L79" s="247"/>
      <c r="M79" s="247"/>
      <c r="N79" s="247"/>
      <c r="O79" s="247"/>
      <c r="P79" s="247"/>
      <c r="Q79" s="247"/>
      <c r="R79" s="247"/>
      <c r="S79" s="24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c r="BS79" s="117"/>
      <c r="BT79" s="117"/>
      <c r="BU79" s="117"/>
      <c r="BV79" s="117"/>
      <c r="BW79" s="117"/>
      <c r="BX79" s="117"/>
      <c r="BY79" s="117"/>
      <c r="BZ79" s="117"/>
      <c r="CA79" s="117"/>
      <c r="CB79" s="117"/>
      <c r="CC79" s="117"/>
      <c r="CD79" s="117"/>
    </row>
    <row r="80" ht="15.75" customHeight="1">
      <c r="A80" s="289" t="s">
        <v>245</v>
      </c>
      <c r="B80" s="283"/>
      <c r="C80" s="247"/>
      <c r="D80" s="247"/>
      <c r="E80" s="247"/>
      <c r="F80" s="247"/>
      <c r="G80" s="247"/>
      <c r="H80" s="247"/>
      <c r="I80" s="247"/>
      <c r="J80" s="247"/>
      <c r="K80" s="247"/>
      <c r="L80" s="247"/>
      <c r="M80" s="247"/>
      <c r="N80" s="247"/>
      <c r="O80" s="247"/>
      <c r="P80" s="247"/>
      <c r="Q80" s="247"/>
      <c r="R80" s="247"/>
      <c r="S80" s="247">
        <f t="array" ref="S80">INDEX('IS Proforma'!$1:$1048490,MATCH(Expenses!$A80,'IS Proforma'!$C:$C,0),MATCH(Expenses!S$4,'IS Proforma'!$4:$4))</f>
        <v>2258</v>
      </c>
      <c r="T80" s="117">
        <f t="shared" ref="T80:CB80" si="47">S80*(1+T81)</f>
        <v>2258</v>
      </c>
      <c r="U80" s="117">
        <f t="shared" si="47"/>
        <v>2370.9</v>
      </c>
      <c r="V80" s="117">
        <f t="shared" si="47"/>
        <v>2370.9</v>
      </c>
      <c r="W80" s="117">
        <f t="shared" si="47"/>
        <v>2370.9</v>
      </c>
      <c r="X80" s="117">
        <f t="shared" si="47"/>
        <v>2370.9</v>
      </c>
      <c r="Y80" s="117">
        <f t="shared" si="47"/>
        <v>2370.9</v>
      </c>
      <c r="Z80" s="117">
        <f t="shared" si="47"/>
        <v>2370.9</v>
      </c>
      <c r="AA80" s="117">
        <f t="shared" si="47"/>
        <v>2382.7545</v>
      </c>
      <c r="AB80" s="117">
        <f t="shared" si="47"/>
        <v>2394.668273</v>
      </c>
      <c r="AC80" s="117">
        <f t="shared" si="47"/>
        <v>2406.641614</v>
      </c>
      <c r="AD80" s="117">
        <f t="shared" si="47"/>
        <v>2418.674822</v>
      </c>
      <c r="AE80" s="117">
        <f t="shared" si="47"/>
        <v>2430.768196</v>
      </c>
      <c r="AF80" s="117">
        <f t="shared" si="47"/>
        <v>2442.922037</v>
      </c>
      <c r="AG80" s="117">
        <f t="shared" si="47"/>
        <v>2455.136647</v>
      </c>
      <c r="AH80" s="117">
        <f t="shared" si="47"/>
        <v>2467.41233</v>
      </c>
      <c r="AI80" s="117">
        <f t="shared" si="47"/>
        <v>2479.749392</v>
      </c>
      <c r="AJ80" s="117">
        <f t="shared" si="47"/>
        <v>2492.148139</v>
      </c>
      <c r="AK80" s="117">
        <f t="shared" si="47"/>
        <v>2504.60888</v>
      </c>
      <c r="AL80" s="117">
        <f t="shared" si="47"/>
        <v>2517.131924</v>
      </c>
      <c r="AM80" s="117">
        <f t="shared" si="47"/>
        <v>2529.717584</v>
      </c>
      <c r="AN80" s="117">
        <f t="shared" si="47"/>
        <v>2542.366172</v>
      </c>
      <c r="AO80" s="117">
        <f t="shared" si="47"/>
        <v>2555.078003</v>
      </c>
      <c r="AP80" s="117">
        <f t="shared" si="47"/>
        <v>2567.853393</v>
      </c>
      <c r="AQ80" s="117">
        <f t="shared" si="47"/>
        <v>2580.69266</v>
      </c>
      <c r="AR80" s="117">
        <f t="shared" si="47"/>
        <v>2593.596123</v>
      </c>
      <c r="AS80" s="117">
        <f t="shared" si="47"/>
        <v>2606.564103</v>
      </c>
      <c r="AT80" s="117">
        <f t="shared" si="47"/>
        <v>2619.596924</v>
      </c>
      <c r="AU80" s="117">
        <f t="shared" si="47"/>
        <v>2632.694909</v>
      </c>
      <c r="AV80" s="117">
        <f t="shared" si="47"/>
        <v>2645.858383</v>
      </c>
      <c r="AW80" s="117">
        <f t="shared" si="47"/>
        <v>2659.087675</v>
      </c>
      <c r="AX80" s="117">
        <f t="shared" si="47"/>
        <v>2672.383113</v>
      </c>
      <c r="AY80" s="117">
        <f t="shared" si="47"/>
        <v>2685.745029</v>
      </c>
      <c r="AZ80" s="117">
        <f t="shared" si="47"/>
        <v>2699.173754</v>
      </c>
      <c r="BA80" s="117">
        <f t="shared" si="47"/>
        <v>2712.669623</v>
      </c>
      <c r="BB80" s="117">
        <f t="shared" si="47"/>
        <v>2726.232971</v>
      </c>
      <c r="BC80" s="117">
        <f t="shared" si="47"/>
        <v>2739.864136</v>
      </c>
      <c r="BD80" s="117">
        <f t="shared" si="47"/>
        <v>2753.563457</v>
      </c>
      <c r="BE80" s="117">
        <f t="shared" si="47"/>
        <v>2767.331274</v>
      </c>
      <c r="BF80" s="117">
        <f t="shared" si="47"/>
        <v>2781.16793</v>
      </c>
      <c r="BG80" s="117">
        <f t="shared" si="47"/>
        <v>2795.07377</v>
      </c>
      <c r="BH80" s="117">
        <f t="shared" si="47"/>
        <v>2809.049139</v>
      </c>
      <c r="BI80" s="117">
        <f t="shared" si="47"/>
        <v>2823.094384</v>
      </c>
      <c r="BJ80" s="117">
        <f t="shared" si="47"/>
        <v>2837.209856</v>
      </c>
      <c r="BK80" s="117">
        <f t="shared" si="47"/>
        <v>2851.395906</v>
      </c>
      <c r="BL80" s="117">
        <f t="shared" si="47"/>
        <v>2865.652885</v>
      </c>
      <c r="BM80" s="117">
        <f t="shared" si="47"/>
        <v>2879.98115</v>
      </c>
      <c r="BN80" s="117">
        <f t="shared" si="47"/>
        <v>2894.381055</v>
      </c>
      <c r="BO80" s="117">
        <f t="shared" si="47"/>
        <v>2908.852961</v>
      </c>
      <c r="BP80" s="117">
        <f t="shared" si="47"/>
        <v>2923.397225</v>
      </c>
      <c r="BQ80" s="117">
        <f t="shared" si="47"/>
        <v>2938.014211</v>
      </c>
      <c r="BR80" s="117">
        <f t="shared" si="47"/>
        <v>2952.704283</v>
      </c>
      <c r="BS80" s="117">
        <f t="shared" si="47"/>
        <v>2967.467804</v>
      </c>
      <c r="BT80" s="117">
        <f t="shared" si="47"/>
        <v>2982.305143</v>
      </c>
      <c r="BU80" s="117">
        <f t="shared" si="47"/>
        <v>2997.216669</v>
      </c>
      <c r="BV80" s="117">
        <f t="shared" si="47"/>
        <v>3012.202752</v>
      </c>
      <c r="BW80" s="117">
        <f t="shared" si="47"/>
        <v>3027.263766</v>
      </c>
      <c r="BX80" s="117">
        <f t="shared" si="47"/>
        <v>3042.400085</v>
      </c>
      <c r="BY80" s="117">
        <f t="shared" si="47"/>
        <v>3057.612085</v>
      </c>
      <c r="BZ80" s="117">
        <f t="shared" si="47"/>
        <v>3072.900145</v>
      </c>
      <c r="CA80" s="117">
        <f t="shared" si="47"/>
        <v>3088.264646</v>
      </c>
      <c r="CB80" s="117">
        <f t="shared" si="47"/>
        <v>3103.705969</v>
      </c>
      <c r="CC80" s="117"/>
      <c r="CD80" s="117"/>
    </row>
    <row r="81" ht="15.75" customHeight="1">
      <c r="A81" s="289" t="s">
        <v>533</v>
      </c>
      <c r="B81" s="283"/>
      <c r="C81" s="247"/>
      <c r="D81" s="247"/>
      <c r="E81" s="247"/>
      <c r="F81" s="247"/>
      <c r="G81" s="247"/>
      <c r="H81" s="247"/>
      <c r="I81" s="247"/>
      <c r="J81" s="247"/>
      <c r="K81" s="247"/>
      <c r="L81" s="247"/>
      <c r="M81" s="247"/>
      <c r="N81" s="247"/>
      <c r="O81" s="247"/>
      <c r="P81" s="247"/>
      <c r="Q81" s="247"/>
      <c r="R81" s="247"/>
      <c r="S81" s="247"/>
      <c r="T81" s="208">
        <v>0.0</v>
      </c>
      <c r="U81" s="208">
        <v>0.05</v>
      </c>
      <c r="V81" s="208">
        <v>0.0</v>
      </c>
      <c r="W81" s="208">
        <v>0.0</v>
      </c>
      <c r="X81" s="208">
        <v>0.0</v>
      </c>
      <c r="Y81" s="208">
        <v>0.0</v>
      </c>
      <c r="Z81" s="208">
        <v>0.0</v>
      </c>
      <c r="AA81" s="208">
        <v>0.005</v>
      </c>
      <c r="AB81" s="208">
        <v>0.005</v>
      </c>
      <c r="AC81" s="208">
        <v>0.005</v>
      </c>
      <c r="AD81" s="208">
        <v>0.005</v>
      </c>
      <c r="AE81" s="208">
        <v>0.005</v>
      </c>
      <c r="AF81" s="208">
        <v>0.005</v>
      </c>
      <c r="AG81" s="208">
        <v>0.005</v>
      </c>
      <c r="AH81" s="208">
        <v>0.005</v>
      </c>
      <c r="AI81" s="208">
        <v>0.005</v>
      </c>
      <c r="AJ81" s="208">
        <v>0.005</v>
      </c>
      <c r="AK81" s="208">
        <v>0.005</v>
      </c>
      <c r="AL81" s="208">
        <v>0.005</v>
      </c>
      <c r="AM81" s="208">
        <v>0.005</v>
      </c>
      <c r="AN81" s="208">
        <v>0.005</v>
      </c>
      <c r="AO81" s="208">
        <v>0.005</v>
      </c>
      <c r="AP81" s="208">
        <v>0.005</v>
      </c>
      <c r="AQ81" s="208">
        <v>0.005</v>
      </c>
      <c r="AR81" s="208">
        <v>0.005</v>
      </c>
      <c r="AS81" s="208">
        <v>0.005</v>
      </c>
      <c r="AT81" s="208">
        <v>0.005</v>
      </c>
      <c r="AU81" s="208">
        <v>0.005</v>
      </c>
      <c r="AV81" s="208">
        <v>0.005</v>
      </c>
      <c r="AW81" s="208">
        <v>0.005</v>
      </c>
      <c r="AX81" s="208">
        <v>0.005</v>
      </c>
      <c r="AY81" s="208">
        <v>0.005</v>
      </c>
      <c r="AZ81" s="208">
        <v>0.005</v>
      </c>
      <c r="BA81" s="208">
        <v>0.005</v>
      </c>
      <c r="BB81" s="208">
        <v>0.005</v>
      </c>
      <c r="BC81" s="208">
        <v>0.005</v>
      </c>
      <c r="BD81" s="208">
        <v>0.005</v>
      </c>
      <c r="BE81" s="208">
        <v>0.005</v>
      </c>
      <c r="BF81" s="208">
        <v>0.005</v>
      </c>
      <c r="BG81" s="208">
        <v>0.005</v>
      </c>
      <c r="BH81" s="208">
        <v>0.005</v>
      </c>
      <c r="BI81" s="208">
        <v>0.005</v>
      </c>
      <c r="BJ81" s="208">
        <v>0.005</v>
      </c>
      <c r="BK81" s="208">
        <v>0.005</v>
      </c>
      <c r="BL81" s="208">
        <v>0.005</v>
      </c>
      <c r="BM81" s="208">
        <v>0.005</v>
      </c>
      <c r="BN81" s="208">
        <v>0.005</v>
      </c>
      <c r="BO81" s="208">
        <v>0.005</v>
      </c>
      <c r="BP81" s="208">
        <v>0.005</v>
      </c>
      <c r="BQ81" s="208">
        <v>0.005</v>
      </c>
      <c r="BR81" s="208">
        <v>0.005</v>
      </c>
      <c r="BS81" s="208">
        <v>0.005</v>
      </c>
      <c r="BT81" s="208">
        <v>0.005</v>
      </c>
      <c r="BU81" s="208">
        <v>0.005</v>
      </c>
      <c r="BV81" s="208">
        <v>0.005</v>
      </c>
      <c r="BW81" s="208">
        <v>0.005</v>
      </c>
      <c r="BX81" s="208">
        <v>0.005</v>
      </c>
      <c r="BY81" s="208">
        <v>0.005</v>
      </c>
      <c r="BZ81" s="208">
        <v>0.005</v>
      </c>
      <c r="CA81" s="208">
        <v>0.005</v>
      </c>
      <c r="CB81" s="208">
        <v>0.005</v>
      </c>
      <c r="CC81" s="117"/>
      <c r="CD81" s="117"/>
    </row>
    <row r="82" ht="15.75" customHeight="1">
      <c r="A82" s="289"/>
      <c r="B82" s="283"/>
      <c r="C82" s="247"/>
      <c r="D82" s="247"/>
      <c r="E82" s="247"/>
      <c r="F82" s="247"/>
      <c r="G82" s="247"/>
      <c r="H82" s="247"/>
      <c r="I82" s="247"/>
      <c r="J82" s="247"/>
      <c r="K82" s="247"/>
      <c r="L82" s="247"/>
      <c r="M82" s="247"/>
      <c r="N82" s="247"/>
      <c r="O82" s="247"/>
      <c r="P82" s="247"/>
      <c r="Q82" s="247"/>
      <c r="R82" s="247"/>
      <c r="S82" s="24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c r="BS82" s="117"/>
      <c r="BT82" s="117"/>
      <c r="BU82" s="117"/>
      <c r="BV82" s="117"/>
      <c r="BW82" s="117"/>
      <c r="BX82" s="117"/>
      <c r="BY82" s="117"/>
      <c r="BZ82" s="117"/>
      <c r="CA82" s="117"/>
      <c r="CB82" s="117"/>
      <c r="CC82" s="117"/>
      <c r="CD82" s="117"/>
    </row>
    <row r="83" ht="15.75" customHeight="1">
      <c r="A83" s="289" t="s">
        <v>246</v>
      </c>
      <c r="B83" s="283"/>
      <c r="C83" s="247">
        <f t="array" ref="C83">INDEX('IS Proforma'!$1:$1048490,MATCH(Expenses!$A83,'IS Proforma'!$C:$C,0),MATCH(Expenses!C$4,'IS Proforma'!$4:$4))</f>
        <v>2158</v>
      </c>
      <c r="D83" s="247">
        <f t="array" ref="D83">INDEX('IS Proforma'!$1:$1048490,MATCH(Expenses!$A83,'IS Proforma'!$C:$C,0),MATCH(Expenses!D$4,'IS Proforma'!$4:$4))</f>
        <v>2212</v>
      </c>
      <c r="E83" s="247">
        <f t="array" ref="E83">INDEX('IS Proforma'!$1:$1048490,MATCH(Expenses!$A83,'IS Proforma'!$C:$C,0),MATCH(Expenses!E$4,'IS Proforma'!$4:$4))</f>
        <v>1381</v>
      </c>
      <c r="F83" s="247">
        <f t="array" ref="F83">INDEX('IS Proforma'!$1:$1048490,MATCH(Expenses!$A83,'IS Proforma'!$C:$C,0),MATCH(Expenses!F$4,'IS Proforma'!$4:$4))</f>
        <v>1772</v>
      </c>
      <c r="G83" s="247">
        <f t="array" ref="G83">INDEX('IS Proforma'!$1:$1048490,MATCH(Expenses!$A83,'IS Proforma'!$C:$C,0),MATCH(Expenses!G$4,'IS Proforma'!$4:$4))</f>
        <v>1266</v>
      </c>
      <c r="H83" s="247">
        <f t="array" ref="H83">INDEX('IS Proforma'!$1:$1048490,MATCH(Expenses!$A83,'IS Proforma'!$C:$C,0),MATCH(Expenses!H$4,'IS Proforma'!$4:$4))</f>
        <v>1705</v>
      </c>
      <c r="I83" s="247">
        <f t="array" ref="I83">INDEX('IS Proforma'!$1:$1048490,MATCH(Expenses!$A83,'IS Proforma'!$C:$C,0),MATCH(Expenses!I$4,'IS Proforma'!$4:$4))</f>
        <v>2485</v>
      </c>
      <c r="J83" s="247">
        <f t="array" ref="J83">INDEX('IS Proforma'!$1:$1048490,MATCH(Expenses!$A83,'IS Proforma'!$C:$C,0),MATCH(Expenses!J$4,'IS Proforma'!$4:$4))</f>
        <v>1772</v>
      </c>
      <c r="K83" s="247">
        <f t="array" ref="K83">INDEX('IS Proforma'!$1:$1048490,MATCH(Expenses!$A83,'IS Proforma'!$C:$C,0),MATCH(Expenses!K$4,'IS Proforma'!$4:$4))</f>
        <v>1869</v>
      </c>
      <c r="L83" s="247">
        <f t="array" ref="L83">INDEX('IS Proforma'!$1:$1048490,MATCH(Expenses!$A83,'IS Proforma'!$C:$C,0),MATCH(Expenses!L$4,'IS Proforma'!$4:$4))</f>
        <v>1421</v>
      </c>
      <c r="M83" s="247">
        <f t="array" ref="M83">INDEX('IS Proforma'!$1:$1048490,MATCH(Expenses!$A83,'IS Proforma'!$C:$C,0),MATCH(Expenses!M$4,'IS Proforma'!$4:$4))</f>
        <v>1211</v>
      </c>
      <c r="N83" s="247">
        <f t="array" ref="N83">INDEX('IS Proforma'!$1:$1048490,MATCH(Expenses!$A83,'IS Proforma'!$C:$C,0),MATCH(Expenses!N$4,'IS Proforma'!$4:$4))</f>
        <v>2282</v>
      </c>
      <c r="O83" s="247">
        <f t="array" ref="O83">INDEX('IS Proforma'!$1:$1048490,MATCH(Expenses!$A83,'IS Proforma'!$C:$C,0),MATCH(Expenses!O$4,'IS Proforma'!$4:$4))</f>
        <v>1427</v>
      </c>
      <c r="P83" s="247">
        <f t="array" ref="P83">INDEX('IS Proforma'!$1:$1048490,MATCH(Expenses!$A83,'IS Proforma'!$C:$C,0),MATCH(Expenses!P$4,'IS Proforma'!$4:$4))</f>
        <v>1047</v>
      </c>
      <c r="Q83" s="247">
        <f t="array" ref="Q83">INDEX('IS Proforma'!$1:$1048490,MATCH(Expenses!$A83,'IS Proforma'!$C:$C,0),MATCH(Expenses!Q$4,'IS Proforma'!$4:$4))</f>
        <v>1651</v>
      </c>
      <c r="R83" s="247">
        <f t="array" ref="R83">INDEX('IS Proforma'!$1:$1048490,MATCH(Expenses!$A83,'IS Proforma'!$C:$C,0),MATCH(Expenses!R$4,'IS Proforma'!$4:$4))</f>
        <v>2020</v>
      </c>
      <c r="S83" s="247">
        <f t="array" ref="S83">INDEX('IS Proforma'!$1:$1048490,MATCH(Expenses!$A83,'IS Proforma'!$C:$C,0),MATCH(Expenses!S$4,'IS Proforma'!$4:$4))</f>
        <v>1241</v>
      </c>
      <c r="T83" s="246">
        <f t="shared" ref="T83:CB83" si="48">S83*(1+T84)</f>
        <v>3723</v>
      </c>
      <c r="U83" s="246">
        <f t="shared" si="48"/>
        <v>3760.23</v>
      </c>
      <c r="V83" s="246">
        <f t="shared" si="48"/>
        <v>107166.555</v>
      </c>
      <c r="W83" s="246">
        <f t="shared" si="48"/>
        <v>4286.6622</v>
      </c>
      <c r="X83" s="246">
        <f t="shared" si="48"/>
        <v>4308.095511</v>
      </c>
      <c r="Y83" s="246">
        <f t="shared" si="48"/>
        <v>4329.635989</v>
      </c>
      <c r="Z83" s="246">
        <f t="shared" si="48"/>
        <v>4351.284168</v>
      </c>
      <c r="AA83" s="246">
        <f t="shared" si="48"/>
        <v>113133.3884</v>
      </c>
      <c r="AB83" s="246">
        <f t="shared" si="48"/>
        <v>4525.335535</v>
      </c>
      <c r="AC83" s="246">
        <f t="shared" si="48"/>
        <v>4547.962213</v>
      </c>
      <c r="AD83" s="246">
        <f t="shared" si="48"/>
        <v>4570.702024</v>
      </c>
      <c r="AE83" s="246">
        <f t="shared" si="48"/>
        <v>4593.555534</v>
      </c>
      <c r="AF83" s="246">
        <f t="shared" si="48"/>
        <v>4616.523312</v>
      </c>
      <c r="AG83" s="246">
        <f t="shared" si="48"/>
        <v>115413.0828</v>
      </c>
      <c r="AH83" s="246">
        <f t="shared" si="48"/>
        <v>4616.523312</v>
      </c>
      <c r="AI83" s="117">
        <f t="shared" si="48"/>
        <v>4639.605928</v>
      </c>
      <c r="AJ83" s="117">
        <f t="shared" si="48"/>
        <v>4662.803958</v>
      </c>
      <c r="AK83" s="117">
        <f t="shared" si="48"/>
        <v>4686.117978</v>
      </c>
      <c r="AL83" s="117">
        <f t="shared" si="48"/>
        <v>4709.548568</v>
      </c>
      <c r="AM83" s="117">
        <f t="shared" si="48"/>
        <v>108319.6171</v>
      </c>
      <c r="AN83" s="117">
        <f t="shared" si="48"/>
        <v>5415.980853</v>
      </c>
      <c r="AO83" s="117">
        <f t="shared" si="48"/>
        <v>5443.060757</v>
      </c>
      <c r="AP83" s="117">
        <f t="shared" si="48"/>
        <v>5470.276061</v>
      </c>
      <c r="AQ83" s="117">
        <f t="shared" si="48"/>
        <v>5497.627441</v>
      </c>
      <c r="AR83" s="117">
        <f t="shared" si="48"/>
        <v>5525.115578</v>
      </c>
      <c r="AS83" s="117">
        <f t="shared" si="48"/>
        <v>127077.6583</v>
      </c>
      <c r="AT83" s="117">
        <f t="shared" si="48"/>
        <v>6353.882915</v>
      </c>
      <c r="AU83" s="117">
        <f t="shared" si="48"/>
        <v>6385.65233</v>
      </c>
      <c r="AV83" s="117">
        <f t="shared" si="48"/>
        <v>6417.580591</v>
      </c>
      <c r="AW83" s="117">
        <f t="shared" si="48"/>
        <v>6449.668494</v>
      </c>
      <c r="AX83" s="117">
        <f t="shared" si="48"/>
        <v>6481.916837</v>
      </c>
      <c r="AY83" s="117">
        <f t="shared" si="48"/>
        <v>136120.2536</v>
      </c>
      <c r="AZ83" s="117">
        <f t="shared" si="48"/>
        <v>6806.012679</v>
      </c>
      <c r="BA83" s="117">
        <f t="shared" si="48"/>
        <v>6840.042742</v>
      </c>
      <c r="BB83" s="117">
        <f t="shared" si="48"/>
        <v>6874.242956</v>
      </c>
      <c r="BC83" s="117">
        <f t="shared" si="48"/>
        <v>6908.61417</v>
      </c>
      <c r="BD83" s="117">
        <f t="shared" si="48"/>
        <v>6943.157241</v>
      </c>
      <c r="BE83" s="117">
        <f t="shared" si="48"/>
        <v>131919.9876</v>
      </c>
      <c r="BF83" s="117">
        <f t="shared" si="48"/>
        <v>6595.999379</v>
      </c>
      <c r="BG83" s="117">
        <f t="shared" si="48"/>
        <v>6628.979376</v>
      </c>
      <c r="BH83" s="117">
        <f t="shared" si="48"/>
        <v>6662.124273</v>
      </c>
      <c r="BI83" s="117">
        <f t="shared" si="48"/>
        <v>6695.434894</v>
      </c>
      <c r="BJ83" s="117">
        <f t="shared" si="48"/>
        <v>6728.912069</v>
      </c>
      <c r="BK83" s="117">
        <f t="shared" si="48"/>
        <v>127849.3293</v>
      </c>
      <c r="BL83" s="117">
        <f t="shared" si="48"/>
        <v>6392.466465</v>
      </c>
      <c r="BM83" s="117">
        <f t="shared" si="48"/>
        <v>6424.428798</v>
      </c>
      <c r="BN83" s="117">
        <f t="shared" si="48"/>
        <v>6456.550942</v>
      </c>
      <c r="BO83" s="117">
        <f t="shared" si="48"/>
        <v>6488.833696</v>
      </c>
      <c r="BP83" s="117">
        <f t="shared" si="48"/>
        <v>6521.277865</v>
      </c>
      <c r="BQ83" s="117">
        <f t="shared" si="48"/>
        <v>123904.2794</v>
      </c>
      <c r="BR83" s="117">
        <f t="shared" si="48"/>
        <v>6195.213972</v>
      </c>
      <c r="BS83" s="117">
        <f t="shared" si="48"/>
        <v>6226.190042</v>
      </c>
      <c r="BT83" s="117">
        <f t="shared" si="48"/>
        <v>6257.320992</v>
      </c>
      <c r="BU83" s="117">
        <f t="shared" si="48"/>
        <v>6288.607597</v>
      </c>
      <c r="BV83" s="117">
        <f t="shared" si="48"/>
        <v>6320.050635</v>
      </c>
      <c r="BW83" s="117">
        <f t="shared" si="48"/>
        <v>107440.8608</v>
      </c>
      <c r="BX83" s="117">
        <f t="shared" si="48"/>
        <v>5372.043039</v>
      </c>
      <c r="BY83" s="117">
        <f t="shared" si="48"/>
        <v>5398.903255</v>
      </c>
      <c r="BZ83" s="117">
        <f t="shared" si="48"/>
        <v>5425.897771</v>
      </c>
      <c r="CA83" s="117">
        <f t="shared" si="48"/>
        <v>5453.02726</v>
      </c>
      <c r="CB83" s="117">
        <f t="shared" si="48"/>
        <v>5480.292396</v>
      </c>
      <c r="CC83" s="117"/>
      <c r="CD83" s="117"/>
    </row>
    <row r="84" ht="15.75" customHeight="1">
      <c r="A84" s="289" t="s">
        <v>534</v>
      </c>
      <c r="B84" s="283"/>
      <c r="C84" s="247"/>
      <c r="D84" s="247"/>
      <c r="E84" s="247"/>
      <c r="F84" s="247"/>
      <c r="G84" s="247"/>
      <c r="H84" s="247"/>
      <c r="I84" s="247"/>
      <c r="J84" s="247"/>
      <c r="K84" s="247"/>
      <c r="L84" s="247"/>
      <c r="M84" s="247"/>
      <c r="N84" s="247"/>
      <c r="O84" s="247"/>
      <c r="P84" s="247"/>
      <c r="Q84" s="247"/>
      <c r="R84" s="247"/>
      <c r="S84" s="247"/>
      <c r="T84" s="281">
        <v>2.0</v>
      </c>
      <c r="U84" s="281">
        <v>0.01</v>
      </c>
      <c r="V84" s="281">
        <v>27.5</v>
      </c>
      <c r="W84" s="281">
        <v>-0.96</v>
      </c>
      <c r="X84" s="281">
        <v>0.005</v>
      </c>
      <c r="Y84" s="281">
        <v>0.005</v>
      </c>
      <c r="Z84" s="281">
        <v>0.005</v>
      </c>
      <c r="AA84" s="281">
        <v>25.0</v>
      </c>
      <c r="AB84" s="281">
        <v>-0.96</v>
      </c>
      <c r="AC84" s="281">
        <v>0.005</v>
      </c>
      <c r="AD84" s="281">
        <v>0.005</v>
      </c>
      <c r="AE84" s="281">
        <v>0.005</v>
      </c>
      <c r="AF84" s="281">
        <v>0.005</v>
      </c>
      <c r="AG84" s="281">
        <v>24.0</v>
      </c>
      <c r="AH84" s="281">
        <v>-0.96</v>
      </c>
      <c r="AI84" s="281">
        <v>0.005</v>
      </c>
      <c r="AJ84" s="281">
        <v>0.005</v>
      </c>
      <c r="AK84" s="281">
        <v>0.005</v>
      </c>
      <c r="AL84" s="281">
        <v>0.005</v>
      </c>
      <c r="AM84" s="281">
        <v>22.0</v>
      </c>
      <c r="AN84" s="281">
        <v>-0.95</v>
      </c>
      <c r="AO84" s="281">
        <v>0.005</v>
      </c>
      <c r="AP84" s="281">
        <v>0.005</v>
      </c>
      <c r="AQ84" s="281">
        <v>0.005</v>
      </c>
      <c r="AR84" s="281">
        <v>0.005</v>
      </c>
      <c r="AS84" s="281">
        <v>22.0</v>
      </c>
      <c r="AT84" s="281">
        <v>-0.95</v>
      </c>
      <c r="AU84" s="281">
        <v>0.005</v>
      </c>
      <c r="AV84" s="281">
        <v>0.005</v>
      </c>
      <c r="AW84" s="281">
        <v>0.005</v>
      </c>
      <c r="AX84" s="281">
        <v>0.005</v>
      </c>
      <c r="AY84" s="281">
        <v>20.0</v>
      </c>
      <c r="AZ84" s="281">
        <v>-0.95</v>
      </c>
      <c r="BA84" s="281">
        <v>0.005</v>
      </c>
      <c r="BB84" s="281">
        <v>0.005</v>
      </c>
      <c r="BC84" s="281">
        <v>0.005</v>
      </c>
      <c r="BD84" s="281">
        <v>0.005</v>
      </c>
      <c r="BE84" s="281">
        <v>18.0</v>
      </c>
      <c r="BF84" s="281">
        <v>-0.95</v>
      </c>
      <c r="BG84" s="281">
        <v>0.005</v>
      </c>
      <c r="BH84" s="281">
        <v>0.005</v>
      </c>
      <c r="BI84" s="281">
        <v>0.005</v>
      </c>
      <c r="BJ84" s="281">
        <v>0.005</v>
      </c>
      <c r="BK84" s="281">
        <v>18.0</v>
      </c>
      <c r="BL84" s="281">
        <v>-0.95</v>
      </c>
      <c r="BM84" s="281">
        <v>0.005</v>
      </c>
      <c r="BN84" s="281">
        <v>0.005</v>
      </c>
      <c r="BO84" s="281">
        <v>0.005</v>
      </c>
      <c r="BP84" s="281">
        <v>0.005</v>
      </c>
      <c r="BQ84" s="281">
        <v>18.0</v>
      </c>
      <c r="BR84" s="281">
        <v>-0.95</v>
      </c>
      <c r="BS84" s="281">
        <v>0.005</v>
      </c>
      <c r="BT84" s="281">
        <v>0.005</v>
      </c>
      <c r="BU84" s="281">
        <v>0.005</v>
      </c>
      <c r="BV84" s="281">
        <v>0.005</v>
      </c>
      <c r="BW84" s="281">
        <v>16.0</v>
      </c>
      <c r="BX84" s="281">
        <v>-0.95</v>
      </c>
      <c r="BY84" s="281">
        <v>0.005</v>
      </c>
      <c r="BZ84" s="281">
        <v>0.005</v>
      </c>
      <c r="CA84" s="281">
        <v>0.005</v>
      </c>
      <c r="CB84" s="281">
        <v>0.005</v>
      </c>
      <c r="CC84" s="117"/>
      <c r="CD84" s="117"/>
    </row>
    <row r="85" ht="15.75" customHeight="1">
      <c r="A85" s="289" t="s">
        <v>535</v>
      </c>
      <c r="B85" s="283">
        <v>0.5</v>
      </c>
      <c r="C85" s="247"/>
      <c r="D85" s="247"/>
      <c r="E85" s="247"/>
      <c r="F85" s="247"/>
      <c r="G85" s="247"/>
      <c r="H85" s="247"/>
      <c r="I85" s="247"/>
      <c r="J85" s="247"/>
      <c r="K85" s="247"/>
      <c r="L85" s="247"/>
      <c r="M85" s="247"/>
      <c r="N85" s="247"/>
      <c r="O85" s="247"/>
      <c r="P85" s="247"/>
      <c r="Q85" s="247"/>
      <c r="R85" s="247"/>
      <c r="S85" s="247"/>
      <c r="T85" s="117">
        <f t="shared" ref="T85:CB85" si="49">T83*$B$85</f>
        <v>1861.5</v>
      </c>
      <c r="U85" s="117">
        <f t="shared" si="49"/>
        <v>1880.115</v>
      </c>
      <c r="V85" s="117">
        <f t="shared" si="49"/>
        <v>53583.2775</v>
      </c>
      <c r="W85" s="117">
        <f t="shared" si="49"/>
        <v>2143.3311</v>
      </c>
      <c r="X85" s="117">
        <f t="shared" si="49"/>
        <v>2154.047756</v>
      </c>
      <c r="Y85" s="117">
        <f t="shared" si="49"/>
        <v>2164.817994</v>
      </c>
      <c r="Z85" s="117">
        <f t="shared" si="49"/>
        <v>2175.642084</v>
      </c>
      <c r="AA85" s="117">
        <f t="shared" si="49"/>
        <v>56566.69419</v>
      </c>
      <c r="AB85" s="117">
        <f t="shared" si="49"/>
        <v>2262.667768</v>
      </c>
      <c r="AC85" s="117">
        <f t="shared" si="49"/>
        <v>2273.981106</v>
      </c>
      <c r="AD85" s="117">
        <f t="shared" si="49"/>
        <v>2285.351012</v>
      </c>
      <c r="AE85" s="117">
        <f t="shared" si="49"/>
        <v>2296.777767</v>
      </c>
      <c r="AF85" s="117">
        <f t="shared" si="49"/>
        <v>2308.261656</v>
      </c>
      <c r="AG85" s="117">
        <f t="shared" si="49"/>
        <v>57706.5414</v>
      </c>
      <c r="AH85" s="117">
        <f t="shared" si="49"/>
        <v>2308.261656</v>
      </c>
      <c r="AI85" s="117">
        <f t="shared" si="49"/>
        <v>2319.802964</v>
      </c>
      <c r="AJ85" s="117">
        <f t="shared" si="49"/>
        <v>2331.401979</v>
      </c>
      <c r="AK85" s="117">
        <f t="shared" si="49"/>
        <v>2343.058989</v>
      </c>
      <c r="AL85" s="117">
        <f t="shared" si="49"/>
        <v>2354.774284</v>
      </c>
      <c r="AM85" s="117">
        <f t="shared" si="49"/>
        <v>54159.80853</v>
      </c>
      <c r="AN85" s="117">
        <f t="shared" si="49"/>
        <v>2707.990426</v>
      </c>
      <c r="AO85" s="117">
        <f t="shared" si="49"/>
        <v>2721.530379</v>
      </c>
      <c r="AP85" s="117">
        <f t="shared" si="49"/>
        <v>2735.13803</v>
      </c>
      <c r="AQ85" s="117">
        <f t="shared" si="49"/>
        <v>2748.813721</v>
      </c>
      <c r="AR85" s="117">
        <f t="shared" si="49"/>
        <v>2762.557789</v>
      </c>
      <c r="AS85" s="117">
        <f t="shared" si="49"/>
        <v>63538.82915</v>
      </c>
      <c r="AT85" s="117">
        <f t="shared" si="49"/>
        <v>3176.941458</v>
      </c>
      <c r="AU85" s="117">
        <f t="shared" si="49"/>
        <v>3192.826165</v>
      </c>
      <c r="AV85" s="117">
        <f t="shared" si="49"/>
        <v>3208.790296</v>
      </c>
      <c r="AW85" s="117">
        <f t="shared" si="49"/>
        <v>3224.834247</v>
      </c>
      <c r="AX85" s="117">
        <f t="shared" si="49"/>
        <v>3240.958418</v>
      </c>
      <c r="AY85" s="117">
        <f t="shared" si="49"/>
        <v>68060.12679</v>
      </c>
      <c r="AZ85" s="117">
        <f t="shared" si="49"/>
        <v>3403.006339</v>
      </c>
      <c r="BA85" s="117">
        <f t="shared" si="49"/>
        <v>3420.021371</v>
      </c>
      <c r="BB85" s="117">
        <f t="shared" si="49"/>
        <v>3437.121478</v>
      </c>
      <c r="BC85" s="117">
        <f t="shared" si="49"/>
        <v>3454.307085</v>
      </c>
      <c r="BD85" s="117">
        <f t="shared" si="49"/>
        <v>3471.578621</v>
      </c>
      <c r="BE85" s="117">
        <f t="shared" si="49"/>
        <v>65959.99379</v>
      </c>
      <c r="BF85" s="117">
        <f t="shared" si="49"/>
        <v>3297.99969</v>
      </c>
      <c r="BG85" s="117">
        <f t="shared" si="49"/>
        <v>3314.489688</v>
      </c>
      <c r="BH85" s="117">
        <f t="shared" si="49"/>
        <v>3331.062137</v>
      </c>
      <c r="BI85" s="117">
        <f t="shared" si="49"/>
        <v>3347.717447</v>
      </c>
      <c r="BJ85" s="117">
        <f t="shared" si="49"/>
        <v>3364.456034</v>
      </c>
      <c r="BK85" s="117">
        <f t="shared" si="49"/>
        <v>63924.66465</v>
      </c>
      <c r="BL85" s="117">
        <f t="shared" si="49"/>
        <v>3196.233233</v>
      </c>
      <c r="BM85" s="117">
        <f t="shared" si="49"/>
        <v>3212.214399</v>
      </c>
      <c r="BN85" s="117">
        <f t="shared" si="49"/>
        <v>3228.275471</v>
      </c>
      <c r="BO85" s="117">
        <f t="shared" si="49"/>
        <v>3244.416848</v>
      </c>
      <c r="BP85" s="117">
        <f t="shared" si="49"/>
        <v>3260.638932</v>
      </c>
      <c r="BQ85" s="117">
        <f t="shared" si="49"/>
        <v>61952.13972</v>
      </c>
      <c r="BR85" s="117">
        <f t="shared" si="49"/>
        <v>3097.606986</v>
      </c>
      <c r="BS85" s="117">
        <f t="shared" si="49"/>
        <v>3113.095021</v>
      </c>
      <c r="BT85" s="117">
        <f t="shared" si="49"/>
        <v>3128.660496</v>
      </c>
      <c r="BU85" s="117">
        <f t="shared" si="49"/>
        <v>3144.303798</v>
      </c>
      <c r="BV85" s="117">
        <f t="shared" si="49"/>
        <v>3160.025317</v>
      </c>
      <c r="BW85" s="117">
        <f t="shared" si="49"/>
        <v>53720.43039</v>
      </c>
      <c r="BX85" s="117">
        <f t="shared" si="49"/>
        <v>2686.02152</v>
      </c>
      <c r="BY85" s="117">
        <f t="shared" si="49"/>
        <v>2699.451627</v>
      </c>
      <c r="BZ85" s="117">
        <f t="shared" si="49"/>
        <v>2712.948885</v>
      </c>
      <c r="CA85" s="117">
        <f t="shared" si="49"/>
        <v>2726.51363</v>
      </c>
      <c r="CB85" s="117">
        <f t="shared" si="49"/>
        <v>2740.146198</v>
      </c>
      <c r="CC85" s="117"/>
      <c r="CD85" s="117"/>
    </row>
    <row r="86" ht="15.75" customHeight="1">
      <c r="A86" s="289" t="s">
        <v>536</v>
      </c>
      <c r="B86" s="283">
        <v>0.5</v>
      </c>
      <c r="C86" s="247"/>
      <c r="D86" s="247"/>
      <c r="E86" s="247"/>
      <c r="F86" s="247"/>
      <c r="G86" s="247"/>
      <c r="H86" s="247"/>
      <c r="I86" s="247"/>
      <c r="J86" s="247"/>
      <c r="K86" s="247"/>
      <c r="L86" s="247"/>
      <c r="M86" s="247"/>
      <c r="N86" s="247"/>
      <c r="O86" s="247"/>
      <c r="P86" s="247"/>
      <c r="Q86" s="247"/>
      <c r="R86" s="247"/>
      <c r="S86" s="247"/>
      <c r="T86" s="117">
        <f t="shared" ref="T86:CB86" si="50">T83*$B$86</f>
        <v>1861.5</v>
      </c>
      <c r="U86" s="117">
        <f t="shared" si="50"/>
        <v>1880.115</v>
      </c>
      <c r="V86" s="117">
        <f t="shared" si="50"/>
        <v>53583.2775</v>
      </c>
      <c r="W86" s="117">
        <f t="shared" si="50"/>
        <v>2143.3311</v>
      </c>
      <c r="X86" s="117">
        <f t="shared" si="50"/>
        <v>2154.047756</v>
      </c>
      <c r="Y86" s="117">
        <f t="shared" si="50"/>
        <v>2164.817994</v>
      </c>
      <c r="Z86" s="117">
        <f t="shared" si="50"/>
        <v>2175.642084</v>
      </c>
      <c r="AA86" s="117">
        <f t="shared" si="50"/>
        <v>56566.69419</v>
      </c>
      <c r="AB86" s="117">
        <f t="shared" si="50"/>
        <v>2262.667768</v>
      </c>
      <c r="AC86" s="117">
        <f t="shared" si="50"/>
        <v>2273.981106</v>
      </c>
      <c r="AD86" s="117">
        <f t="shared" si="50"/>
        <v>2285.351012</v>
      </c>
      <c r="AE86" s="117">
        <f t="shared" si="50"/>
        <v>2296.777767</v>
      </c>
      <c r="AF86" s="117">
        <f t="shared" si="50"/>
        <v>2308.261656</v>
      </c>
      <c r="AG86" s="117">
        <f t="shared" si="50"/>
        <v>57706.5414</v>
      </c>
      <c r="AH86" s="117">
        <f t="shared" si="50"/>
        <v>2308.261656</v>
      </c>
      <c r="AI86" s="117">
        <f t="shared" si="50"/>
        <v>2319.802964</v>
      </c>
      <c r="AJ86" s="117">
        <f t="shared" si="50"/>
        <v>2331.401979</v>
      </c>
      <c r="AK86" s="117">
        <f t="shared" si="50"/>
        <v>2343.058989</v>
      </c>
      <c r="AL86" s="117">
        <f t="shared" si="50"/>
        <v>2354.774284</v>
      </c>
      <c r="AM86" s="117">
        <f t="shared" si="50"/>
        <v>54159.80853</v>
      </c>
      <c r="AN86" s="117">
        <f t="shared" si="50"/>
        <v>2707.990426</v>
      </c>
      <c r="AO86" s="117">
        <f t="shared" si="50"/>
        <v>2721.530379</v>
      </c>
      <c r="AP86" s="117">
        <f t="shared" si="50"/>
        <v>2735.13803</v>
      </c>
      <c r="AQ86" s="117">
        <f t="shared" si="50"/>
        <v>2748.813721</v>
      </c>
      <c r="AR86" s="117">
        <f t="shared" si="50"/>
        <v>2762.557789</v>
      </c>
      <c r="AS86" s="117">
        <f t="shared" si="50"/>
        <v>63538.82915</v>
      </c>
      <c r="AT86" s="117">
        <f t="shared" si="50"/>
        <v>3176.941458</v>
      </c>
      <c r="AU86" s="117">
        <f t="shared" si="50"/>
        <v>3192.826165</v>
      </c>
      <c r="AV86" s="117">
        <f t="shared" si="50"/>
        <v>3208.790296</v>
      </c>
      <c r="AW86" s="117">
        <f t="shared" si="50"/>
        <v>3224.834247</v>
      </c>
      <c r="AX86" s="117">
        <f t="shared" si="50"/>
        <v>3240.958418</v>
      </c>
      <c r="AY86" s="117">
        <f t="shared" si="50"/>
        <v>68060.12679</v>
      </c>
      <c r="AZ86" s="117">
        <f t="shared" si="50"/>
        <v>3403.006339</v>
      </c>
      <c r="BA86" s="117">
        <f t="shared" si="50"/>
        <v>3420.021371</v>
      </c>
      <c r="BB86" s="117">
        <f t="shared" si="50"/>
        <v>3437.121478</v>
      </c>
      <c r="BC86" s="117">
        <f t="shared" si="50"/>
        <v>3454.307085</v>
      </c>
      <c r="BD86" s="117">
        <f t="shared" si="50"/>
        <v>3471.578621</v>
      </c>
      <c r="BE86" s="117">
        <f t="shared" si="50"/>
        <v>65959.99379</v>
      </c>
      <c r="BF86" s="117">
        <f t="shared" si="50"/>
        <v>3297.99969</v>
      </c>
      <c r="BG86" s="117">
        <f t="shared" si="50"/>
        <v>3314.489688</v>
      </c>
      <c r="BH86" s="117">
        <f t="shared" si="50"/>
        <v>3331.062137</v>
      </c>
      <c r="BI86" s="117">
        <f t="shared" si="50"/>
        <v>3347.717447</v>
      </c>
      <c r="BJ86" s="117">
        <f t="shared" si="50"/>
        <v>3364.456034</v>
      </c>
      <c r="BK86" s="117">
        <f t="shared" si="50"/>
        <v>63924.66465</v>
      </c>
      <c r="BL86" s="117">
        <f t="shared" si="50"/>
        <v>3196.233233</v>
      </c>
      <c r="BM86" s="117">
        <f t="shared" si="50"/>
        <v>3212.214399</v>
      </c>
      <c r="BN86" s="117">
        <f t="shared" si="50"/>
        <v>3228.275471</v>
      </c>
      <c r="BO86" s="117">
        <f t="shared" si="50"/>
        <v>3244.416848</v>
      </c>
      <c r="BP86" s="117">
        <f t="shared" si="50"/>
        <v>3260.638932</v>
      </c>
      <c r="BQ86" s="117">
        <f t="shared" si="50"/>
        <v>61952.13972</v>
      </c>
      <c r="BR86" s="117">
        <f t="shared" si="50"/>
        <v>3097.606986</v>
      </c>
      <c r="BS86" s="117">
        <f t="shared" si="50"/>
        <v>3113.095021</v>
      </c>
      <c r="BT86" s="117">
        <f t="shared" si="50"/>
        <v>3128.660496</v>
      </c>
      <c r="BU86" s="117">
        <f t="shared" si="50"/>
        <v>3144.303798</v>
      </c>
      <c r="BV86" s="117">
        <f t="shared" si="50"/>
        <v>3160.025317</v>
      </c>
      <c r="BW86" s="117">
        <f t="shared" si="50"/>
        <v>53720.43039</v>
      </c>
      <c r="BX86" s="117">
        <f t="shared" si="50"/>
        <v>2686.02152</v>
      </c>
      <c r="BY86" s="117">
        <f t="shared" si="50"/>
        <v>2699.451627</v>
      </c>
      <c r="BZ86" s="117">
        <f t="shared" si="50"/>
        <v>2712.948885</v>
      </c>
      <c r="CA86" s="117">
        <f t="shared" si="50"/>
        <v>2726.51363</v>
      </c>
      <c r="CB86" s="117">
        <f t="shared" si="50"/>
        <v>2740.146198</v>
      </c>
      <c r="CC86" s="117"/>
      <c r="CD86" s="117"/>
    </row>
    <row r="87" ht="15.75" customHeight="1">
      <c r="A87" s="289"/>
      <c r="B87" s="283"/>
      <c r="C87" s="247"/>
      <c r="D87" s="247"/>
      <c r="E87" s="247"/>
      <c r="F87" s="247"/>
      <c r="G87" s="247"/>
      <c r="H87" s="247"/>
      <c r="I87" s="247"/>
      <c r="J87" s="247"/>
      <c r="K87" s="247"/>
      <c r="L87" s="247"/>
      <c r="M87" s="247"/>
      <c r="N87" s="247"/>
      <c r="O87" s="247"/>
      <c r="P87" s="247"/>
      <c r="Q87" s="247"/>
      <c r="R87" s="247"/>
      <c r="S87" s="24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row>
    <row r="88" ht="15.75" customHeight="1">
      <c r="A88" s="289" t="s">
        <v>248</v>
      </c>
      <c r="B88" s="283">
        <v>0.01</v>
      </c>
      <c r="C88" s="247">
        <f t="array" ref="C88">INDEX('IS Proforma'!$1:$1048490,MATCH(Expenses!$A88,'IS Proforma'!$C:$C,0),MATCH(Expenses!C$4,'IS Proforma'!$4:$4))</f>
        <v>1819</v>
      </c>
      <c r="D88" s="247">
        <f t="array" ref="D88">INDEX('IS Proforma'!$1:$1048490,MATCH(Expenses!$A88,'IS Proforma'!$C:$C,0),MATCH(Expenses!D$4,'IS Proforma'!$4:$4))</f>
        <v>1423</v>
      </c>
      <c r="E88" s="247">
        <f t="array" ref="E88">INDEX('IS Proforma'!$1:$1048490,MATCH(Expenses!$A88,'IS Proforma'!$C:$C,0),MATCH(Expenses!E$4,'IS Proforma'!$4:$4))</f>
        <v>1550</v>
      </c>
      <c r="F88" s="247">
        <f t="array" ref="F88">INDEX('IS Proforma'!$1:$1048490,MATCH(Expenses!$A88,'IS Proforma'!$C:$C,0),MATCH(Expenses!F$4,'IS Proforma'!$4:$4))</f>
        <v>1249</v>
      </c>
      <c r="G88" s="247">
        <f t="array" ref="G88">INDEX('IS Proforma'!$1:$1048490,MATCH(Expenses!$A88,'IS Proforma'!$C:$C,0),MATCH(Expenses!G$4,'IS Proforma'!$4:$4))</f>
        <v>2118</v>
      </c>
      <c r="H88" s="247">
        <f t="array" ref="H88">INDEX('IS Proforma'!$1:$1048490,MATCH(Expenses!$A88,'IS Proforma'!$C:$C,0),MATCH(Expenses!H$4,'IS Proforma'!$4:$4))</f>
        <v>1372</v>
      </c>
      <c r="I88" s="247">
        <f t="array" ref="I88">INDEX('IS Proforma'!$1:$1048490,MATCH(Expenses!$A88,'IS Proforma'!$C:$C,0),MATCH(Expenses!I$4,'IS Proforma'!$4:$4))</f>
        <v>1559</v>
      </c>
      <c r="J88" s="247">
        <f t="array" ref="J88">INDEX('IS Proforma'!$1:$1048490,MATCH(Expenses!$A88,'IS Proforma'!$C:$C,0),MATCH(Expenses!J$4,'IS Proforma'!$4:$4))</f>
        <v>1199</v>
      </c>
      <c r="K88" s="247">
        <f t="array" ref="K88">INDEX('IS Proforma'!$1:$1048490,MATCH(Expenses!$A88,'IS Proforma'!$C:$C,0),MATCH(Expenses!K$4,'IS Proforma'!$4:$4))</f>
        <v>2225</v>
      </c>
      <c r="L88" s="247">
        <f t="array" ref="L88">INDEX('IS Proforma'!$1:$1048490,MATCH(Expenses!$A88,'IS Proforma'!$C:$C,0),MATCH(Expenses!L$4,'IS Proforma'!$4:$4))</f>
        <v>2370</v>
      </c>
      <c r="M88" s="247">
        <f t="array" ref="M88">INDEX('IS Proforma'!$1:$1048490,MATCH(Expenses!$A88,'IS Proforma'!$C:$C,0),MATCH(Expenses!M$4,'IS Proforma'!$4:$4))</f>
        <v>2004</v>
      </c>
      <c r="N88" s="247">
        <f t="array" ref="N88">INDEX('IS Proforma'!$1:$1048490,MATCH(Expenses!$A88,'IS Proforma'!$C:$C,0),MATCH(Expenses!N$4,'IS Proforma'!$4:$4))</f>
        <v>1711</v>
      </c>
      <c r="O88" s="247">
        <f t="array" ref="O88">INDEX('IS Proforma'!$1:$1048490,MATCH(Expenses!$A88,'IS Proforma'!$C:$C,0),MATCH(Expenses!O$4,'IS Proforma'!$4:$4))</f>
        <v>1095</v>
      </c>
      <c r="P88" s="247">
        <f t="array" ref="P88">INDEX('IS Proforma'!$1:$1048490,MATCH(Expenses!$A88,'IS Proforma'!$C:$C,0),MATCH(Expenses!P$4,'IS Proforma'!$4:$4))</f>
        <v>1830</v>
      </c>
      <c r="Q88" s="247">
        <f t="array" ref="Q88">INDEX('IS Proforma'!$1:$1048490,MATCH(Expenses!$A88,'IS Proforma'!$C:$C,0),MATCH(Expenses!Q$4,'IS Proforma'!$4:$4))</f>
        <v>2380</v>
      </c>
      <c r="R88" s="247">
        <f t="array" ref="R88">INDEX('IS Proforma'!$1:$1048490,MATCH(Expenses!$A88,'IS Proforma'!$C:$C,0),MATCH(Expenses!R$4,'IS Proforma'!$4:$4))</f>
        <v>2444</v>
      </c>
      <c r="S88" s="247">
        <f t="array" ref="S88">INDEX('IS Proforma'!$1:$1048490,MATCH(Expenses!$A88,'IS Proforma'!$C:$C,0),MATCH(Expenses!S$4,'IS Proforma'!$4:$4))</f>
        <v>1307</v>
      </c>
      <c r="T88" s="117">
        <f t="shared" ref="T88:CB88" si="51">S88*(1+T89)</f>
        <v>392.1</v>
      </c>
      <c r="U88" s="117">
        <f t="shared" si="51"/>
        <v>394.0605</v>
      </c>
      <c r="V88" s="117">
        <f t="shared" si="51"/>
        <v>396.0308025</v>
      </c>
      <c r="W88" s="117">
        <f t="shared" si="51"/>
        <v>398.0109565</v>
      </c>
      <c r="X88" s="117">
        <f t="shared" si="51"/>
        <v>400.0010113</v>
      </c>
      <c r="Y88" s="117">
        <f t="shared" si="51"/>
        <v>402.0010164</v>
      </c>
      <c r="Z88" s="117">
        <f t="shared" si="51"/>
        <v>404.0110214</v>
      </c>
      <c r="AA88" s="117">
        <f t="shared" si="51"/>
        <v>406.0310765</v>
      </c>
      <c r="AB88" s="117">
        <f t="shared" si="51"/>
        <v>408.0612319</v>
      </c>
      <c r="AC88" s="117">
        <f t="shared" si="51"/>
        <v>410.1015381</v>
      </c>
      <c r="AD88" s="117">
        <f t="shared" si="51"/>
        <v>412.1520458</v>
      </c>
      <c r="AE88" s="117">
        <f t="shared" si="51"/>
        <v>414.212806</v>
      </c>
      <c r="AF88" s="117">
        <f t="shared" si="51"/>
        <v>416.28387</v>
      </c>
      <c r="AG88" s="117">
        <f t="shared" si="51"/>
        <v>418.3652894</v>
      </c>
      <c r="AH88" s="117">
        <f t="shared" si="51"/>
        <v>420.4571158</v>
      </c>
      <c r="AI88" s="117">
        <f t="shared" si="51"/>
        <v>422.5594014</v>
      </c>
      <c r="AJ88" s="117">
        <f t="shared" si="51"/>
        <v>424.6721984</v>
      </c>
      <c r="AK88" s="117">
        <f t="shared" si="51"/>
        <v>426.7955594</v>
      </c>
      <c r="AL88" s="117">
        <f t="shared" si="51"/>
        <v>428.9295372</v>
      </c>
      <c r="AM88" s="117">
        <f t="shared" si="51"/>
        <v>431.0741849</v>
      </c>
      <c r="AN88" s="117">
        <f t="shared" si="51"/>
        <v>433.2295558</v>
      </c>
      <c r="AO88" s="117">
        <f t="shared" si="51"/>
        <v>435.3957036</v>
      </c>
      <c r="AP88" s="117">
        <f t="shared" si="51"/>
        <v>437.5726821</v>
      </c>
      <c r="AQ88" s="117">
        <f t="shared" si="51"/>
        <v>439.7605455</v>
      </c>
      <c r="AR88" s="117">
        <f t="shared" si="51"/>
        <v>441.9593483</v>
      </c>
      <c r="AS88" s="117">
        <f t="shared" si="51"/>
        <v>444.169145</v>
      </c>
      <c r="AT88" s="117">
        <f t="shared" si="51"/>
        <v>446.3899907</v>
      </c>
      <c r="AU88" s="117">
        <f t="shared" si="51"/>
        <v>448.6219407</v>
      </c>
      <c r="AV88" s="117">
        <f t="shared" si="51"/>
        <v>450.8650504</v>
      </c>
      <c r="AW88" s="117">
        <f t="shared" si="51"/>
        <v>453.1193756</v>
      </c>
      <c r="AX88" s="117">
        <f t="shared" si="51"/>
        <v>455.3849725</v>
      </c>
      <c r="AY88" s="117">
        <f t="shared" si="51"/>
        <v>457.6618974</v>
      </c>
      <c r="AZ88" s="117">
        <f t="shared" si="51"/>
        <v>459.9502069</v>
      </c>
      <c r="BA88" s="117">
        <f t="shared" si="51"/>
        <v>462.2499579</v>
      </c>
      <c r="BB88" s="117">
        <f t="shared" si="51"/>
        <v>464.5612077</v>
      </c>
      <c r="BC88" s="117">
        <f t="shared" si="51"/>
        <v>466.8840137</v>
      </c>
      <c r="BD88" s="117">
        <f t="shared" si="51"/>
        <v>469.2184338</v>
      </c>
      <c r="BE88" s="117">
        <f t="shared" si="51"/>
        <v>471.564526</v>
      </c>
      <c r="BF88" s="117">
        <f t="shared" si="51"/>
        <v>473.9223486</v>
      </c>
      <c r="BG88" s="117">
        <f t="shared" si="51"/>
        <v>476.2919603</v>
      </c>
      <c r="BH88" s="117">
        <f t="shared" si="51"/>
        <v>478.6734201</v>
      </c>
      <c r="BI88" s="117">
        <f t="shared" si="51"/>
        <v>481.0667872</v>
      </c>
      <c r="BJ88" s="117">
        <f t="shared" si="51"/>
        <v>483.4721212</v>
      </c>
      <c r="BK88" s="117">
        <f t="shared" si="51"/>
        <v>485.8894818</v>
      </c>
      <c r="BL88" s="117">
        <f t="shared" si="51"/>
        <v>488.3189292</v>
      </c>
      <c r="BM88" s="117">
        <f t="shared" si="51"/>
        <v>490.7605238</v>
      </c>
      <c r="BN88" s="117">
        <f t="shared" si="51"/>
        <v>493.2143264</v>
      </c>
      <c r="BO88" s="117">
        <f t="shared" si="51"/>
        <v>495.6803981</v>
      </c>
      <c r="BP88" s="117">
        <f t="shared" si="51"/>
        <v>498.1588001</v>
      </c>
      <c r="BQ88" s="117">
        <f t="shared" si="51"/>
        <v>500.6495941</v>
      </c>
      <c r="BR88" s="117">
        <f t="shared" si="51"/>
        <v>503.152842</v>
      </c>
      <c r="BS88" s="117">
        <f t="shared" si="51"/>
        <v>505.6686062</v>
      </c>
      <c r="BT88" s="117">
        <f t="shared" si="51"/>
        <v>508.1969493</v>
      </c>
      <c r="BU88" s="117">
        <f t="shared" si="51"/>
        <v>510.737934</v>
      </c>
      <c r="BV88" s="117">
        <f t="shared" si="51"/>
        <v>513.2916237</v>
      </c>
      <c r="BW88" s="117">
        <f t="shared" si="51"/>
        <v>515.8580818</v>
      </c>
      <c r="BX88" s="117">
        <f t="shared" si="51"/>
        <v>518.4373722</v>
      </c>
      <c r="BY88" s="117">
        <f t="shared" si="51"/>
        <v>521.0295591</v>
      </c>
      <c r="BZ88" s="117">
        <f t="shared" si="51"/>
        <v>523.6347069</v>
      </c>
      <c r="CA88" s="117">
        <f t="shared" si="51"/>
        <v>526.2528804</v>
      </c>
      <c r="CB88" s="117">
        <f t="shared" si="51"/>
        <v>528.8841448</v>
      </c>
      <c r="CC88" s="117"/>
      <c r="CD88" s="117"/>
    </row>
    <row r="89" ht="15.75" customHeight="1">
      <c r="A89" s="289" t="s">
        <v>537</v>
      </c>
      <c r="B89" s="283"/>
      <c r="C89" s="247"/>
      <c r="D89" s="247"/>
      <c r="E89" s="247"/>
      <c r="F89" s="247"/>
      <c r="G89" s="247"/>
      <c r="H89" s="247"/>
      <c r="I89" s="247"/>
      <c r="J89" s="247"/>
      <c r="K89" s="247"/>
      <c r="L89" s="247"/>
      <c r="M89" s="247"/>
      <c r="N89" s="247"/>
      <c r="O89" s="247"/>
      <c r="P89" s="247"/>
      <c r="Q89" s="247"/>
      <c r="R89" s="247"/>
      <c r="S89" s="247"/>
      <c r="T89" s="299">
        <v>-0.7</v>
      </c>
      <c r="U89" s="299">
        <v>0.005</v>
      </c>
      <c r="V89" s="299">
        <v>0.005</v>
      </c>
      <c r="W89" s="299">
        <v>0.005</v>
      </c>
      <c r="X89" s="299">
        <v>0.005</v>
      </c>
      <c r="Y89" s="299">
        <v>0.005</v>
      </c>
      <c r="Z89" s="299">
        <v>0.005</v>
      </c>
      <c r="AA89" s="299">
        <v>0.005</v>
      </c>
      <c r="AB89" s="299">
        <v>0.005</v>
      </c>
      <c r="AC89" s="299">
        <v>0.005</v>
      </c>
      <c r="AD89" s="299">
        <v>0.005</v>
      </c>
      <c r="AE89" s="299">
        <v>0.005</v>
      </c>
      <c r="AF89" s="299">
        <v>0.005</v>
      </c>
      <c r="AG89" s="299">
        <v>0.005</v>
      </c>
      <c r="AH89" s="299">
        <v>0.005</v>
      </c>
      <c r="AI89" s="299">
        <v>0.005</v>
      </c>
      <c r="AJ89" s="299">
        <v>0.005</v>
      </c>
      <c r="AK89" s="299">
        <v>0.005</v>
      </c>
      <c r="AL89" s="299">
        <v>0.005</v>
      </c>
      <c r="AM89" s="299">
        <v>0.005</v>
      </c>
      <c r="AN89" s="299">
        <v>0.005</v>
      </c>
      <c r="AO89" s="299">
        <v>0.005</v>
      </c>
      <c r="AP89" s="299">
        <v>0.005</v>
      </c>
      <c r="AQ89" s="299">
        <v>0.005</v>
      </c>
      <c r="AR89" s="299">
        <v>0.005</v>
      </c>
      <c r="AS89" s="299">
        <v>0.005</v>
      </c>
      <c r="AT89" s="299">
        <v>0.005</v>
      </c>
      <c r="AU89" s="299">
        <v>0.005</v>
      </c>
      <c r="AV89" s="299">
        <v>0.005</v>
      </c>
      <c r="AW89" s="299">
        <v>0.005</v>
      </c>
      <c r="AX89" s="299">
        <v>0.005</v>
      </c>
      <c r="AY89" s="299">
        <v>0.005</v>
      </c>
      <c r="AZ89" s="299">
        <v>0.005</v>
      </c>
      <c r="BA89" s="299">
        <v>0.005</v>
      </c>
      <c r="BB89" s="299">
        <v>0.005</v>
      </c>
      <c r="BC89" s="299">
        <v>0.005</v>
      </c>
      <c r="BD89" s="299">
        <v>0.005</v>
      </c>
      <c r="BE89" s="299">
        <v>0.005</v>
      </c>
      <c r="BF89" s="299">
        <v>0.005</v>
      </c>
      <c r="BG89" s="299">
        <v>0.005</v>
      </c>
      <c r="BH89" s="299">
        <v>0.005</v>
      </c>
      <c r="BI89" s="299">
        <v>0.005</v>
      </c>
      <c r="BJ89" s="299">
        <v>0.005</v>
      </c>
      <c r="BK89" s="299">
        <v>0.005</v>
      </c>
      <c r="BL89" s="299">
        <v>0.005</v>
      </c>
      <c r="BM89" s="299">
        <v>0.005</v>
      </c>
      <c r="BN89" s="299">
        <v>0.005</v>
      </c>
      <c r="BO89" s="299">
        <v>0.005</v>
      </c>
      <c r="BP89" s="299">
        <v>0.005</v>
      </c>
      <c r="BQ89" s="299">
        <v>0.005</v>
      </c>
      <c r="BR89" s="299">
        <v>0.005</v>
      </c>
      <c r="BS89" s="299">
        <v>0.005</v>
      </c>
      <c r="BT89" s="299">
        <v>0.005</v>
      </c>
      <c r="BU89" s="299">
        <v>0.005</v>
      </c>
      <c r="BV89" s="299">
        <v>0.005</v>
      </c>
      <c r="BW89" s="299">
        <v>0.005</v>
      </c>
      <c r="BX89" s="299">
        <v>0.005</v>
      </c>
      <c r="BY89" s="299">
        <v>0.005</v>
      </c>
      <c r="BZ89" s="299">
        <v>0.005</v>
      </c>
      <c r="CA89" s="299">
        <v>0.005</v>
      </c>
      <c r="CB89" s="299">
        <v>0.005</v>
      </c>
      <c r="CC89" s="117"/>
      <c r="CD89" s="117"/>
    </row>
    <row r="90" ht="15.75" customHeight="1">
      <c r="A90" s="272" t="s">
        <v>538</v>
      </c>
      <c r="B90" s="294">
        <f>SUM(B83:B89)</f>
        <v>1.01</v>
      </c>
      <c r="C90" s="121">
        <f t="shared" ref="C90:Q90" si="52">SUM(C77:C89)</f>
        <v>5825</v>
      </c>
      <c r="D90" s="121">
        <f t="shared" si="52"/>
        <v>4718</v>
      </c>
      <c r="E90" s="121">
        <f t="shared" si="52"/>
        <v>4705</v>
      </c>
      <c r="F90" s="121">
        <f t="shared" si="52"/>
        <v>4397</v>
      </c>
      <c r="G90" s="121">
        <f t="shared" si="52"/>
        <v>5508</v>
      </c>
      <c r="H90" s="121">
        <f t="shared" si="52"/>
        <v>4591</v>
      </c>
      <c r="I90" s="121">
        <f t="shared" si="52"/>
        <v>5206</v>
      </c>
      <c r="J90" s="121">
        <f t="shared" si="52"/>
        <v>4870</v>
      </c>
      <c r="K90" s="121">
        <f t="shared" si="52"/>
        <v>5887</v>
      </c>
      <c r="L90" s="121">
        <f t="shared" si="52"/>
        <v>5653</v>
      </c>
      <c r="M90" s="121">
        <f t="shared" si="52"/>
        <v>5149</v>
      </c>
      <c r="N90" s="121">
        <f t="shared" si="52"/>
        <v>6217</v>
      </c>
      <c r="O90" s="121">
        <f t="shared" si="52"/>
        <v>3799</v>
      </c>
      <c r="P90" s="121">
        <f t="shared" si="52"/>
        <v>4482</v>
      </c>
      <c r="Q90" s="121">
        <f t="shared" si="52"/>
        <v>5906</v>
      </c>
      <c r="R90" s="121">
        <f t="shared" ref="R90:CB90" si="53">SUM(R77:R83,R88:R89)</f>
        <v>5994</v>
      </c>
      <c r="S90" s="121">
        <f t="shared" si="53"/>
        <v>6845</v>
      </c>
      <c r="T90" s="121">
        <f t="shared" si="53"/>
        <v>8309.4</v>
      </c>
      <c r="U90" s="121">
        <f t="shared" si="53"/>
        <v>8559.198</v>
      </c>
      <c r="V90" s="121">
        <f t="shared" si="53"/>
        <v>111967.3933</v>
      </c>
      <c r="W90" s="121">
        <f t="shared" si="53"/>
        <v>9089.480657</v>
      </c>
      <c r="X90" s="121">
        <f t="shared" si="53"/>
        <v>9112.904022</v>
      </c>
      <c r="Y90" s="121">
        <f t="shared" si="53"/>
        <v>9136.444505</v>
      </c>
      <c r="Z90" s="121">
        <f t="shared" si="53"/>
        <v>9160.10269</v>
      </c>
      <c r="AA90" s="121">
        <f t="shared" si="53"/>
        <v>117956.0865</v>
      </c>
      <c r="AB90" s="121">
        <f t="shared" si="53"/>
        <v>9361.97754</v>
      </c>
      <c r="AC90" s="121">
        <f t="shared" si="53"/>
        <v>9398.617865</v>
      </c>
      <c r="AD90" s="121">
        <f t="shared" si="53"/>
        <v>9435.441392</v>
      </c>
      <c r="AE90" s="121">
        <f t="shared" si="53"/>
        <v>9472.449036</v>
      </c>
      <c r="AF90" s="121">
        <f t="shared" si="53"/>
        <v>9509.641719</v>
      </c>
      <c r="AG90" s="121">
        <f t="shared" si="53"/>
        <v>120340.8463</v>
      </c>
      <c r="AH90" s="121">
        <f t="shared" si="53"/>
        <v>9579.196698</v>
      </c>
      <c r="AI90" s="121">
        <f t="shared" si="53"/>
        <v>9637.466501</v>
      </c>
      <c r="AJ90" s="121">
        <f t="shared" si="53"/>
        <v>9696.131393</v>
      </c>
      <c r="AK90" s="121">
        <f t="shared" si="53"/>
        <v>9755.194385</v>
      </c>
      <c r="AL90" s="121">
        <f t="shared" si="53"/>
        <v>9814.658517</v>
      </c>
      <c r="AM90" s="121">
        <f t="shared" si="53"/>
        <v>113461.0476</v>
      </c>
      <c r="AN90" s="121">
        <f t="shared" si="53"/>
        <v>10594.02154</v>
      </c>
      <c r="AO90" s="121">
        <f t="shared" si="53"/>
        <v>10658.00367</v>
      </c>
      <c r="AP90" s="121">
        <f t="shared" si="53"/>
        <v>10722.41584</v>
      </c>
      <c r="AQ90" s="121">
        <f t="shared" si="53"/>
        <v>10787.26129</v>
      </c>
      <c r="AR90" s="121">
        <f t="shared" si="53"/>
        <v>10852.5433</v>
      </c>
      <c r="AS90" s="121">
        <f t="shared" si="53"/>
        <v>132443.1823</v>
      </c>
      <c r="AT90" s="121">
        <f t="shared" si="53"/>
        <v>11757.80831</v>
      </c>
      <c r="AU90" s="121">
        <f t="shared" si="53"/>
        <v>11828.28684</v>
      </c>
      <c r="AV90" s="121">
        <f t="shared" si="53"/>
        <v>11899.23466</v>
      </c>
      <c r="AW90" s="121">
        <f t="shared" si="53"/>
        <v>11970.65529</v>
      </c>
      <c r="AX90" s="121">
        <f t="shared" si="53"/>
        <v>12042.55226</v>
      </c>
      <c r="AY90" s="121">
        <f t="shared" si="53"/>
        <v>141720.8563</v>
      </c>
      <c r="AZ90" s="121">
        <f t="shared" si="53"/>
        <v>12446.90421</v>
      </c>
      <c r="BA90" s="121">
        <f t="shared" si="53"/>
        <v>12521.54737</v>
      </c>
      <c r="BB90" s="121">
        <f t="shared" si="53"/>
        <v>12596.68783</v>
      </c>
      <c r="BC90" s="121">
        <f t="shared" si="53"/>
        <v>12672.32933</v>
      </c>
      <c r="BD90" s="121">
        <f t="shared" si="53"/>
        <v>12748.47561</v>
      </c>
      <c r="BE90" s="121">
        <f t="shared" si="53"/>
        <v>137767.245</v>
      </c>
      <c r="BF90" s="121">
        <f t="shared" si="53"/>
        <v>12485.53472</v>
      </c>
      <c r="BG90" s="121">
        <f t="shared" si="53"/>
        <v>12561.13441</v>
      </c>
      <c r="BH90" s="121">
        <f t="shared" si="53"/>
        <v>12637.24383</v>
      </c>
      <c r="BI90" s="121">
        <f t="shared" si="53"/>
        <v>12713.86684</v>
      </c>
      <c r="BJ90" s="121">
        <f t="shared" si="53"/>
        <v>12791.00732</v>
      </c>
      <c r="BK90" s="121">
        <f t="shared" si="53"/>
        <v>133955.4419</v>
      </c>
      <c r="BL90" s="121">
        <f t="shared" si="53"/>
        <v>12542.95356</v>
      </c>
      <c r="BM90" s="121">
        <f t="shared" si="53"/>
        <v>12619.65071</v>
      </c>
      <c r="BN90" s="121">
        <f t="shared" si="53"/>
        <v>12696.87116</v>
      </c>
      <c r="BO90" s="121">
        <f t="shared" si="53"/>
        <v>12774.61894</v>
      </c>
      <c r="BP90" s="121">
        <f t="shared" si="53"/>
        <v>12852.8981</v>
      </c>
      <c r="BQ90" s="121">
        <f t="shared" si="53"/>
        <v>130282.1079</v>
      </c>
      <c r="BR90" s="121">
        <f t="shared" si="53"/>
        <v>12619.62719</v>
      </c>
      <c r="BS90" s="121">
        <f t="shared" si="53"/>
        <v>12697.56791</v>
      </c>
      <c r="BT90" s="121">
        <f t="shared" si="53"/>
        <v>12776.04675</v>
      </c>
      <c r="BU90" s="121">
        <f t="shared" si="53"/>
        <v>12855.06791</v>
      </c>
      <c r="BV90" s="121">
        <f t="shared" si="53"/>
        <v>12934.63557</v>
      </c>
      <c r="BW90" s="121">
        <f t="shared" si="53"/>
        <v>114103.9639</v>
      </c>
      <c r="BX90" s="121">
        <f t="shared" si="53"/>
        <v>12084.06138</v>
      </c>
      <c r="BY90" s="121">
        <f t="shared" si="53"/>
        <v>12160.23739</v>
      </c>
      <c r="BZ90" s="121">
        <f t="shared" si="53"/>
        <v>12236.95184</v>
      </c>
      <c r="CA90" s="121">
        <f t="shared" si="53"/>
        <v>12314.20899</v>
      </c>
      <c r="CB90" s="121">
        <f t="shared" si="53"/>
        <v>12392.01316</v>
      </c>
      <c r="CC90" s="118"/>
      <c r="CD90" s="118"/>
    </row>
    <row r="91" ht="15.75" customHeight="1">
      <c r="B91" s="6"/>
      <c r="C91" s="117"/>
      <c r="D91" s="130">
        <f t="shared" ref="D91:CB91" si="54">D90/C90-1</f>
        <v>-0.1900429185</v>
      </c>
      <c r="E91" s="130">
        <f t="shared" si="54"/>
        <v>-0.002755404833</v>
      </c>
      <c r="F91" s="130">
        <f t="shared" si="54"/>
        <v>-0.06546227418</v>
      </c>
      <c r="G91" s="130">
        <f t="shared" si="54"/>
        <v>0.2526722766</v>
      </c>
      <c r="H91" s="130">
        <f t="shared" si="54"/>
        <v>-0.1664851126</v>
      </c>
      <c r="I91" s="130">
        <f t="shared" si="54"/>
        <v>0.1339577434</v>
      </c>
      <c r="J91" s="130">
        <f t="shared" si="54"/>
        <v>-0.06454091433</v>
      </c>
      <c r="K91" s="130">
        <f t="shared" si="54"/>
        <v>0.2088295688</v>
      </c>
      <c r="L91" s="130">
        <f t="shared" si="54"/>
        <v>-0.03974859861</v>
      </c>
      <c r="M91" s="130">
        <f t="shared" si="54"/>
        <v>-0.08915620025</v>
      </c>
      <c r="N91" s="130">
        <f t="shared" si="54"/>
        <v>0.2074189163</v>
      </c>
      <c r="O91" s="130">
        <f t="shared" si="54"/>
        <v>-0.3889335692</v>
      </c>
      <c r="P91" s="130">
        <f t="shared" si="54"/>
        <v>0.1797841537</v>
      </c>
      <c r="Q91" s="130">
        <f t="shared" si="54"/>
        <v>0.3177153057</v>
      </c>
      <c r="R91" s="130">
        <f t="shared" si="54"/>
        <v>0.01490010159</v>
      </c>
      <c r="S91" s="130">
        <f t="shared" si="54"/>
        <v>0.1419753086</v>
      </c>
      <c r="T91" s="130">
        <f t="shared" si="54"/>
        <v>0.2139371804</v>
      </c>
      <c r="U91" s="130">
        <f t="shared" si="54"/>
        <v>0.03006209835</v>
      </c>
      <c r="V91" s="130">
        <f t="shared" si="54"/>
        <v>12.08152859</v>
      </c>
      <c r="W91" s="130">
        <f t="shared" si="54"/>
        <v>-0.9188202888</v>
      </c>
      <c r="X91" s="130">
        <f t="shared" si="54"/>
        <v>0.00257697515</v>
      </c>
      <c r="Y91" s="130">
        <f t="shared" si="54"/>
        <v>0.002583203176</v>
      </c>
      <c r="Z91" s="130">
        <f t="shared" si="54"/>
        <v>0.002589430167</v>
      </c>
      <c r="AA91" s="130">
        <f t="shared" si="54"/>
        <v>11.87715765</v>
      </c>
      <c r="AB91" s="130">
        <f t="shared" si="54"/>
        <v>-0.9206316705</v>
      </c>
      <c r="AC91" s="130">
        <f t="shared" si="54"/>
        <v>0.003913737781</v>
      </c>
      <c r="AD91" s="130">
        <f t="shared" si="54"/>
        <v>0.003917972552</v>
      </c>
      <c r="AE91" s="130">
        <f t="shared" si="54"/>
        <v>0.003922195361</v>
      </c>
      <c r="AF91" s="130">
        <f t="shared" si="54"/>
        <v>0.003926406206</v>
      </c>
      <c r="AG91" s="130">
        <f t="shared" si="54"/>
        <v>11.65461411</v>
      </c>
      <c r="AH91" s="130">
        <f t="shared" si="54"/>
        <v>-0.9203994571</v>
      </c>
      <c r="AI91" s="130">
        <f t="shared" si="54"/>
        <v>0.006082952989</v>
      </c>
      <c r="AJ91" s="130">
        <f t="shared" si="54"/>
        <v>0.006087169423</v>
      </c>
      <c r="AK91" s="130">
        <f t="shared" si="54"/>
        <v>0.006091397699</v>
      </c>
      <c r="AL91" s="130">
        <f t="shared" si="54"/>
        <v>0.006095637813</v>
      </c>
      <c r="AM91" s="130">
        <f t="shared" si="54"/>
        <v>10.5603663</v>
      </c>
      <c r="AN91" s="130">
        <f t="shared" si="54"/>
        <v>-0.9066285587</v>
      </c>
      <c r="AO91" s="130">
        <f t="shared" si="54"/>
        <v>0.006039456524</v>
      </c>
      <c r="AP91" s="130">
        <f t="shared" si="54"/>
        <v>0.006043548716</v>
      </c>
      <c r="AQ91" s="130">
        <f t="shared" si="54"/>
        <v>0.006047652757</v>
      </c>
      <c r="AR91" s="130">
        <f t="shared" si="54"/>
        <v>0.006051768646</v>
      </c>
      <c r="AS91" s="130">
        <f t="shared" si="54"/>
        <v>11.20388426</v>
      </c>
      <c r="AT91" s="130">
        <f t="shared" si="54"/>
        <v>-0.9112237557</v>
      </c>
      <c r="AU91" s="130">
        <f t="shared" si="54"/>
        <v>0.00599418974</v>
      </c>
      <c r="AV91" s="130">
        <f t="shared" si="54"/>
        <v>0.00599814863</v>
      </c>
      <c r="AW91" s="130">
        <f t="shared" si="54"/>
        <v>0.00600211934</v>
      </c>
      <c r="AX91" s="130">
        <f t="shared" si="54"/>
        <v>0.006006101874</v>
      </c>
      <c r="AY91" s="130">
        <f t="shared" si="54"/>
        <v>10.76834057</v>
      </c>
      <c r="AZ91" s="130">
        <f t="shared" si="54"/>
        <v>-0.9121730948</v>
      </c>
      <c r="BA91" s="130">
        <f t="shared" si="54"/>
        <v>0.005996925633</v>
      </c>
      <c r="BB91" s="130">
        <f t="shared" si="54"/>
        <v>0.006000892691</v>
      </c>
      <c r="BC91" s="130">
        <f t="shared" si="54"/>
        <v>0.006004871571</v>
      </c>
      <c r="BD91" s="130">
        <f t="shared" si="54"/>
        <v>0.006008862278</v>
      </c>
      <c r="BE91" s="130">
        <f t="shared" si="54"/>
        <v>9.806566155</v>
      </c>
      <c r="BF91" s="130">
        <f t="shared" si="54"/>
        <v>-0.9093722553</v>
      </c>
      <c r="BG91" s="130">
        <f t="shared" si="54"/>
        <v>0.006054982873</v>
      </c>
      <c r="BH91" s="130">
        <f t="shared" si="54"/>
        <v>0.006059119829</v>
      </c>
      <c r="BI91" s="130">
        <f t="shared" si="54"/>
        <v>0.006063268635</v>
      </c>
      <c r="BJ91" s="130">
        <f t="shared" si="54"/>
        <v>0.00606742929</v>
      </c>
      <c r="BK91" s="130">
        <f t="shared" si="54"/>
        <v>9.472626471</v>
      </c>
      <c r="BL91" s="130">
        <f t="shared" si="54"/>
        <v>-0.906364733</v>
      </c>
      <c r="BM91" s="130">
        <f t="shared" si="54"/>
        <v>0.006114759482</v>
      </c>
      <c r="BN91" s="130">
        <f t="shared" si="54"/>
        <v>0.006119064347</v>
      </c>
      <c r="BO91" s="130">
        <f t="shared" si="54"/>
        <v>0.006123381029</v>
      </c>
      <c r="BP91" s="130">
        <f t="shared" si="54"/>
        <v>0.006127709523</v>
      </c>
      <c r="BQ91" s="130">
        <f t="shared" si="54"/>
        <v>9.136399348</v>
      </c>
      <c r="BR91" s="130">
        <f t="shared" si="54"/>
        <v>-0.9031361451</v>
      </c>
      <c r="BS91" s="130">
        <f t="shared" si="54"/>
        <v>0.006176150472</v>
      </c>
      <c r="BT91" s="130">
        <f t="shared" si="54"/>
        <v>0.006180620367</v>
      </c>
      <c r="BU91" s="130">
        <f t="shared" si="54"/>
        <v>0.006185101984</v>
      </c>
      <c r="BV91" s="130">
        <f t="shared" si="54"/>
        <v>0.006189595313</v>
      </c>
      <c r="BW91" s="130">
        <f t="shared" si="54"/>
        <v>7.821583202</v>
      </c>
      <c r="BX91" s="130">
        <f t="shared" si="54"/>
        <v>-0.8940960422</v>
      </c>
      <c r="BY91" s="130">
        <f t="shared" si="54"/>
        <v>0.006303841806</v>
      </c>
      <c r="BZ91" s="130">
        <f t="shared" si="54"/>
        <v>0.006308630904</v>
      </c>
      <c r="CA91" s="130">
        <f t="shared" si="54"/>
        <v>0.006313431342</v>
      </c>
      <c r="CB91" s="130">
        <f t="shared" si="54"/>
        <v>0.0063182431</v>
      </c>
      <c r="CC91" s="130"/>
      <c r="CD91" s="130"/>
    </row>
    <row r="92" ht="15.75" customHeight="1">
      <c r="B92" s="6"/>
      <c r="C92" s="117"/>
      <c r="D92" s="117"/>
      <c r="E92" s="117"/>
      <c r="F92" s="117"/>
      <c r="G92" s="117"/>
      <c r="H92" s="117"/>
      <c r="I92" s="117"/>
      <c r="J92" s="117"/>
      <c r="K92" s="117"/>
      <c r="L92" s="117"/>
      <c r="M92" s="117"/>
      <c r="N92" s="117"/>
      <c r="O92" s="117"/>
      <c r="P92" s="117"/>
      <c r="Q92" s="117"/>
      <c r="R92" s="117"/>
      <c r="S92" s="117"/>
      <c r="T92" s="125"/>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7"/>
      <c r="BO92" s="117"/>
      <c r="BP92" s="117"/>
      <c r="BQ92" s="117"/>
      <c r="BR92" s="117"/>
      <c r="BS92" s="117"/>
      <c r="BT92" s="117"/>
      <c r="BU92" s="117"/>
      <c r="BV92" s="117"/>
      <c r="BW92" s="117"/>
      <c r="BX92" s="117"/>
      <c r="BY92" s="117"/>
      <c r="BZ92" s="117"/>
      <c r="CA92" s="117"/>
      <c r="CB92" s="117"/>
      <c r="CC92" s="117"/>
      <c r="CD92" s="117"/>
    </row>
    <row r="93" ht="15.75" customHeight="1">
      <c r="A93" s="115" t="s">
        <v>180</v>
      </c>
      <c r="B93" s="6"/>
    </row>
    <row r="94" ht="15.75" customHeight="1">
      <c r="B94" s="6"/>
    </row>
    <row r="95" ht="15.75" customHeight="1">
      <c r="A95" s="1" t="s">
        <v>539</v>
      </c>
      <c r="B95" s="6"/>
      <c r="C95" s="247">
        <f t="shared" ref="C95:S95" si="55">C148</f>
        <v>5230</v>
      </c>
      <c r="D95" s="247">
        <f t="shared" si="55"/>
        <v>5386</v>
      </c>
      <c r="E95" s="247">
        <f t="shared" si="55"/>
        <v>5139</v>
      </c>
      <c r="F95" s="247">
        <f t="shared" si="55"/>
        <v>4284</v>
      </c>
      <c r="G95" s="247">
        <f t="shared" si="55"/>
        <v>5026</v>
      </c>
      <c r="H95" s="247">
        <f t="shared" si="55"/>
        <v>5361</v>
      </c>
      <c r="I95" s="247">
        <f t="shared" si="55"/>
        <v>4287</v>
      </c>
      <c r="J95" s="247">
        <f t="shared" si="55"/>
        <v>6096</v>
      </c>
      <c r="K95" s="247">
        <f t="shared" si="55"/>
        <v>4577</v>
      </c>
      <c r="L95" s="247">
        <f t="shared" si="55"/>
        <v>6220</v>
      </c>
      <c r="M95" s="247">
        <f t="shared" si="55"/>
        <v>5906</v>
      </c>
      <c r="N95" s="247">
        <f t="shared" si="55"/>
        <v>5480</v>
      </c>
      <c r="O95" s="247">
        <f t="shared" si="55"/>
        <v>9373</v>
      </c>
      <c r="P95" s="247">
        <f t="shared" si="55"/>
        <v>7857</v>
      </c>
      <c r="Q95" s="247">
        <f t="shared" si="55"/>
        <v>12796</v>
      </c>
      <c r="R95" s="247">
        <f t="shared" si="55"/>
        <v>10585</v>
      </c>
      <c r="S95" s="247">
        <f t="shared" si="55"/>
        <v>9622</v>
      </c>
      <c r="T95" s="117">
        <f t="shared" ref="T95:CB95" si="56">T97+T99</f>
        <v>75258.035</v>
      </c>
      <c r="U95" s="117">
        <f t="shared" si="56"/>
        <v>49323.5385</v>
      </c>
      <c r="V95" s="117">
        <f t="shared" si="56"/>
        <v>32238.23669</v>
      </c>
      <c r="W95" s="117">
        <f t="shared" si="56"/>
        <v>32560.61905</v>
      </c>
      <c r="X95" s="117">
        <f t="shared" si="56"/>
        <v>32886.22524</v>
      </c>
      <c r="Y95" s="117">
        <f t="shared" si="56"/>
        <v>138204.1013</v>
      </c>
      <c r="Z95" s="117">
        <f t="shared" si="56"/>
        <v>33547.23837</v>
      </c>
      <c r="AA95" s="117">
        <f t="shared" si="56"/>
        <v>33882.71076</v>
      </c>
      <c r="AB95" s="117">
        <f t="shared" si="56"/>
        <v>34221.53786</v>
      </c>
      <c r="AC95" s="117">
        <f t="shared" si="56"/>
        <v>142183.1099</v>
      </c>
      <c r="AD95" s="117">
        <f t="shared" si="56"/>
        <v>34909.39077</v>
      </c>
      <c r="AE95" s="117">
        <f t="shared" si="56"/>
        <v>35258.48468</v>
      </c>
      <c r="AF95" s="117">
        <f t="shared" si="56"/>
        <v>35611.06953</v>
      </c>
      <c r="AG95" s="117">
        <f t="shared" si="56"/>
        <v>150091.719</v>
      </c>
      <c r="AH95" s="117">
        <f t="shared" si="56"/>
        <v>24545.17029</v>
      </c>
      <c r="AI95" s="117">
        <f t="shared" si="56"/>
        <v>24790.62199</v>
      </c>
      <c r="AJ95" s="117">
        <f t="shared" si="56"/>
        <v>25038.52821</v>
      </c>
      <c r="AK95" s="117">
        <f t="shared" si="56"/>
        <v>154131.1308</v>
      </c>
      <c r="AL95" s="117">
        <f t="shared" si="56"/>
        <v>25541.80263</v>
      </c>
      <c r="AM95" s="117">
        <f t="shared" si="56"/>
        <v>25797.22065</v>
      </c>
      <c r="AN95" s="117">
        <f t="shared" si="56"/>
        <v>26055.19286</v>
      </c>
      <c r="AO95" s="117">
        <f t="shared" si="56"/>
        <v>158202.5958</v>
      </c>
      <c r="AP95" s="117">
        <f t="shared" si="56"/>
        <v>26578.90224</v>
      </c>
      <c r="AQ95" s="117">
        <f t="shared" si="56"/>
        <v>26844.69126</v>
      </c>
      <c r="AR95" s="117">
        <f t="shared" si="56"/>
        <v>27113.13817</v>
      </c>
      <c r="AS95" s="117">
        <f t="shared" si="56"/>
        <v>161657.4156</v>
      </c>
      <c r="AT95" s="117">
        <f t="shared" si="56"/>
        <v>27658.11225</v>
      </c>
      <c r="AU95" s="117">
        <f t="shared" si="56"/>
        <v>27934.69337</v>
      </c>
      <c r="AV95" s="117">
        <f t="shared" si="56"/>
        <v>28214.04031</v>
      </c>
      <c r="AW95" s="117">
        <f t="shared" si="56"/>
        <v>169046.9446</v>
      </c>
      <c r="AX95" s="117">
        <f t="shared" si="56"/>
        <v>28781.14252</v>
      </c>
      <c r="AY95" s="117">
        <f t="shared" si="56"/>
        <v>29068.95394</v>
      </c>
      <c r="AZ95" s="117">
        <f t="shared" si="56"/>
        <v>29359.64348</v>
      </c>
      <c r="BA95" s="117">
        <f t="shared" si="56"/>
        <v>174522.5919</v>
      </c>
      <c r="BB95" s="117">
        <f t="shared" si="56"/>
        <v>29949.77231</v>
      </c>
      <c r="BC95" s="117">
        <f t="shared" si="56"/>
        <v>30249.27004</v>
      </c>
      <c r="BD95" s="117">
        <f t="shared" si="56"/>
        <v>30551.76274</v>
      </c>
      <c r="BE95" s="117">
        <f t="shared" si="56"/>
        <v>180035.8243</v>
      </c>
      <c r="BF95" s="117">
        <f t="shared" si="56"/>
        <v>31165.85317</v>
      </c>
      <c r="BG95" s="117">
        <f t="shared" si="56"/>
        <v>31477.5117</v>
      </c>
      <c r="BH95" s="117">
        <f t="shared" si="56"/>
        <v>31792.28682</v>
      </c>
      <c r="BI95" s="117">
        <f t="shared" si="56"/>
        <v>199888.1677</v>
      </c>
      <c r="BJ95" s="117">
        <f t="shared" si="56"/>
        <v>32431.31178</v>
      </c>
      <c r="BK95" s="117">
        <f t="shared" si="56"/>
        <v>32755.6249</v>
      </c>
      <c r="BL95" s="117">
        <f t="shared" si="56"/>
        <v>33083.18115</v>
      </c>
      <c r="BM95" s="117">
        <f t="shared" si="56"/>
        <v>206131.2104</v>
      </c>
      <c r="BN95" s="117">
        <f t="shared" si="56"/>
        <v>33748.15309</v>
      </c>
      <c r="BO95" s="117">
        <f t="shared" si="56"/>
        <v>34085.63462</v>
      </c>
      <c r="BP95" s="117">
        <f t="shared" si="56"/>
        <v>34426.49097</v>
      </c>
      <c r="BQ95" s="117">
        <f t="shared" si="56"/>
        <v>211116.6047</v>
      </c>
      <c r="BR95" s="117">
        <f t="shared" si="56"/>
        <v>35118.46344</v>
      </c>
      <c r="BS95" s="117">
        <f t="shared" si="56"/>
        <v>35469.64807</v>
      </c>
      <c r="BT95" s="117">
        <f t="shared" si="56"/>
        <v>35824.34455</v>
      </c>
      <c r="BU95" s="117">
        <f t="shared" si="56"/>
        <v>217446.0704</v>
      </c>
      <c r="BV95" s="117">
        <f t="shared" si="56"/>
        <v>36544.41388</v>
      </c>
      <c r="BW95" s="117">
        <f t="shared" si="56"/>
        <v>36909.85802</v>
      </c>
      <c r="BX95" s="117">
        <f t="shared" si="56"/>
        <v>37278.9566</v>
      </c>
      <c r="BY95" s="117">
        <f t="shared" si="56"/>
        <v>221221.3969</v>
      </c>
      <c r="BZ95" s="117">
        <f t="shared" si="56"/>
        <v>38028.26362</v>
      </c>
      <c r="CA95" s="117">
        <f t="shared" si="56"/>
        <v>38408.54626</v>
      </c>
      <c r="CB95" s="117">
        <f t="shared" si="56"/>
        <v>38792.63172</v>
      </c>
      <c r="CC95" s="117"/>
      <c r="CD95" s="117"/>
    </row>
    <row r="96" ht="15.75" customHeight="1">
      <c r="A96" s="1" t="s">
        <v>540</v>
      </c>
      <c r="B96" s="6"/>
      <c r="C96" s="247"/>
      <c r="D96" s="247"/>
      <c r="E96" s="247"/>
      <c r="F96" s="247"/>
      <c r="G96" s="247"/>
      <c r="H96" s="249"/>
      <c r="I96" s="249"/>
      <c r="J96" s="249"/>
      <c r="K96" s="249"/>
      <c r="L96" s="249"/>
      <c r="M96" s="249"/>
      <c r="N96" s="249"/>
      <c r="O96" s="249"/>
      <c r="P96" s="117"/>
      <c r="Q96" s="117"/>
      <c r="R96" s="117"/>
      <c r="S96" s="117"/>
      <c r="T96" s="117">
        <f t="shared" ref="T96:CB96" si="57">T95-S95</f>
        <v>65636.035</v>
      </c>
      <c r="U96" s="117">
        <f t="shared" si="57"/>
        <v>-25934.4965</v>
      </c>
      <c r="V96" s="117">
        <f t="shared" si="57"/>
        <v>-17085.30181</v>
      </c>
      <c r="W96" s="117">
        <f t="shared" si="57"/>
        <v>322.3823669</v>
      </c>
      <c r="X96" s="117">
        <f t="shared" si="57"/>
        <v>325.6061905</v>
      </c>
      <c r="Y96" s="117">
        <f t="shared" si="57"/>
        <v>105317.8761</v>
      </c>
      <c r="Z96" s="117">
        <f t="shared" si="57"/>
        <v>-104656.863</v>
      </c>
      <c r="AA96" s="117">
        <f t="shared" si="57"/>
        <v>335.4723837</v>
      </c>
      <c r="AB96" s="117">
        <f t="shared" si="57"/>
        <v>338.8271076</v>
      </c>
      <c r="AC96" s="117">
        <f t="shared" si="57"/>
        <v>107961.572</v>
      </c>
      <c r="AD96" s="117">
        <f t="shared" si="57"/>
        <v>-107273.7191</v>
      </c>
      <c r="AE96" s="117">
        <f t="shared" si="57"/>
        <v>349.0939077</v>
      </c>
      <c r="AF96" s="117">
        <f t="shared" si="57"/>
        <v>352.5848468</v>
      </c>
      <c r="AG96" s="117">
        <f t="shared" si="57"/>
        <v>114480.6495</v>
      </c>
      <c r="AH96" s="117">
        <f t="shared" si="57"/>
        <v>-125546.5488</v>
      </c>
      <c r="AI96" s="117">
        <f t="shared" si="57"/>
        <v>245.4517029</v>
      </c>
      <c r="AJ96" s="117">
        <f t="shared" si="57"/>
        <v>247.9062199</v>
      </c>
      <c r="AK96" s="117">
        <f t="shared" si="57"/>
        <v>129092.6026</v>
      </c>
      <c r="AL96" s="117">
        <f t="shared" si="57"/>
        <v>-128589.3282</v>
      </c>
      <c r="AM96" s="117">
        <f t="shared" si="57"/>
        <v>255.4180263</v>
      </c>
      <c r="AN96" s="117">
        <f t="shared" si="57"/>
        <v>257.9722065</v>
      </c>
      <c r="AO96" s="117">
        <f t="shared" si="57"/>
        <v>132147.403</v>
      </c>
      <c r="AP96" s="117">
        <f t="shared" si="57"/>
        <v>-131623.6936</v>
      </c>
      <c r="AQ96" s="117">
        <f t="shared" si="57"/>
        <v>265.7890224</v>
      </c>
      <c r="AR96" s="117">
        <f t="shared" si="57"/>
        <v>268.4469126</v>
      </c>
      <c r="AS96" s="117">
        <f t="shared" si="57"/>
        <v>134544.2775</v>
      </c>
      <c r="AT96" s="117">
        <f t="shared" si="57"/>
        <v>-133999.3034</v>
      </c>
      <c r="AU96" s="117">
        <f t="shared" si="57"/>
        <v>276.5811225</v>
      </c>
      <c r="AV96" s="117">
        <f t="shared" si="57"/>
        <v>279.3469337</v>
      </c>
      <c r="AW96" s="117">
        <f t="shared" si="57"/>
        <v>140832.9043</v>
      </c>
      <c r="AX96" s="117">
        <f t="shared" si="57"/>
        <v>-140265.8021</v>
      </c>
      <c r="AY96" s="117">
        <f t="shared" si="57"/>
        <v>287.8114252</v>
      </c>
      <c r="AZ96" s="117">
        <f t="shared" si="57"/>
        <v>290.6895394</v>
      </c>
      <c r="BA96" s="117">
        <f t="shared" si="57"/>
        <v>145162.9485</v>
      </c>
      <c r="BB96" s="117">
        <f t="shared" si="57"/>
        <v>-144572.8196</v>
      </c>
      <c r="BC96" s="117">
        <f t="shared" si="57"/>
        <v>299.4977231</v>
      </c>
      <c r="BD96" s="117">
        <f t="shared" si="57"/>
        <v>302.4927004</v>
      </c>
      <c r="BE96" s="117">
        <f t="shared" si="57"/>
        <v>149484.0616</v>
      </c>
      <c r="BF96" s="117">
        <f t="shared" si="57"/>
        <v>-148869.9711</v>
      </c>
      <c r="BG96" s="117">
        <f t="shared" si="57"/>
        <v>311.6585317</v>
      </c>
      <c r="BH96" s="117">
        <f t="shared" si="57"/>
        <v>314.775117</v>
      </c>
      <c r="BI96" s="117">
        <f t="shared" si="57"/>
        <v>168095.8809</v>
      </c>
      <c r="BJ96" s="117">
        <f t="shared" si="57"/>
        <v>-167456.856</v>
      </c>
      <c r="BK96" s="117">
        <f t="shared" si="57"/>
        <v>324.3131178</v>
      </c>
      <c r="BL96" s="117">
        <f t="shared" si="57"/>
        <v>327.556249</v>
      </c>
      <c r="BM96" s="117">
        <f t="shared" si="57"/>
        <v>173048.0292</v>
      </c>
      <c r="BN96" s="117">
        <f t="shared" si="57"/>
        <v>-172383.0573</v>
      </c>
      <c r="BO96" s="117">
        <f t="shared" si="57"/>
        <v>337.4815309</v>
      </c>
      <c r="BP96" s="117">
        <f t="shared" si="57"/>
        <v>340.8563462</v>
      </c>
      <c r="BQ96" s="117">
        <f t="shared" si="57"/>
        <v>176690.1137</v>
      </c>
      <c r="BR96" s="117">
        <f t="shared" si="57"/>
        <v>-175998.1413</v>
      </c>
      <c r="BS96" s="117">
        <f t="shared" si="57"/>
        <v>351.1846344</v>
      </c>
      <c r="BT96" s="117">
        <f t="shared" si="57"/>
        <v>354.6964807</v>
      </c>
      <c r="BU96" s="117">
        <f t="shared" si="57"/>
        <v>181621.7258</v>
      </c>
      <c r="BV96" s="117">
        <f t="shared" si="57"/>
        <v>-180901.6565</v>
      </c>
      <c r="BW96" s="117">
        <f t="shared" si="57"/>
        <v>365.4441388</v>
      </c>
      <c r="BX96" s="117">
        <f t="shared" si="57"/>
        <v>369.0985802</v>
      </c>
      <c r="BY96" s="117">
        <f t="shared" si="57"/>
        <v>183942.4403</v>
      </c>
      <c r="BZ96" s="117">
        <f t="shared" si="57"/>
        <v>-183193.1333</v>
      </c>
      <c r="CA96" s="117">
        <f t="shared" si="57"/>
        <v>380.2826362</v>
      </c>
      <c r="CB96" s="117">
        <f t="shared" si="57"/>
        <v>384.0854626</v>
      </c>
      <c r="CC96" s="249"/>
      <c r="CD96" s="249"/>
    </row>
    <row r="97" ht="18.0" customHeight="1">
      <c r="A97" s="1" t="s">
        <v>541</v>
      </c>
      <c r="B97" s="296"/>
      <c r="C97" s="118"/>
      <c r="D97" s="118"/>
      <c r="E97" s="118"/>
      <c r="F97" s="118"/>
      <c r="G97" s="118"/>
      <c r="H97" s="118"/>
      <c r="I97" s="118"/>
      <c r="J97" s="118"/>
      <c r="K97" s="118"/>
      <c r="L97" s="118"/>
      <c r="M97" s="118"/>
      <c r="N97" s="247"/>
      <c r="O97" s="247"/>
      <c r="P97" s="247"/>
      <c r="Q97" s="247"/>
      <c r="R97" s="247">
        <v>15607.0</v>
      </c>
      <c r="S97" s="247">
        <v>15607.0</v>
      </c>
      <c r="T97" s="271">
        <f t="shared" ref="T97:CB97" si="58">S97*(1+T98)</f>
        <v>15685.035</v>
      </c>
      <c r="U97" s="271">
        <f t="shared" si="58"/>
        <v>17253.5385</v>
      </c>
      <c r="V97" s="271">
        <f t="shared" si="58"/>
        <v>17426.07389</v>
      </c>
      <c r="W97" s="271">
        <f t="shared" si="58"/>
        <v>17600.33462</v>
      </c>
      <c r="X97" s="271">
        <f t="shared" si="58"/>
        <v>17776.33797</v>
      </c>
      <c r="Y97" s="271">
        <f t="shared" si="58"/>
        <v>17954.10135</v>
      </c>
      <c r="Z97" s="271">
        <f t="shared" si="58"/>
        <v>18133.64236</v>
      </c>
      <c r="AA97" s="271">
        <f t="shared" si="58"/>
        <v>18314.97879</v>
      </c>
      <c r="AB97" s="271">
        <f t="shared" si="58"/>
        <v>18498.12857</v>
      </c>
      <c r="AC97" s="271">
        <f t="shared" si="58"/>
        <v>18683.10986</v>
      </c>
      <c r="AD97" s="271">
        <f t="shared" si="58"/>
        <v>18869.94096</v>
      </c>
      <c r="AE97" s="271">
        <f t="shared" si="58"/>
        <v>19058.64037</v>
      </c>
      <c r="AF97" s="271">
        <f t="shared" si="58"/>
        <v>19249.22677</v>
      </c>
      <c r="AG97" s="271">
        <f t="shared" si="58"/>
        <v>19441.71904</v>
      </c>
      <c r="AH97" s="271">
        <f t="shared" si="58"/>
        <v>19636.13623</v>
      </c>
      <c r="AI97" s="271">
        <f t="shared" si="58"/>
        <v>19832.49759</v>
      </c>
      <c r="AJ97" s="271">
        <f t="shared" si="58"/>
        <v>20030.82257</v>
      </c>
      <c r="AK97" s="271">
        <f t="shared" si="58"/>
        <v>20231.13079</v>
      </c>
      <c r="AL97" s="271">
        <f t="shared" si="58"/>
        <v>20433.4421</v>
      </c>
      <c r="AM97" s="271">
        <f t="shared" si="58"/>
        <v>20637.77652</v>
      </c>
      <c r="AN97" s="271">
        <f t="shared" si="58"/>
        <v>20844.15429</v>
      </c>
      <c r="AO97" s="271">
        <f t="shared" si="58"/>
        <v>21052.59583</v>
      </c>
      <c r="AP97" s="271">
        <f t="shared" si="58"/>
        <v>21263.12179</v>
      </c>
      <c r="AQ97" s="271">
        <f t="shared" si="58"/>
        <v>21475.75301</v>
      </c>
      <c r="AR97" s="271">
        <f t="shared" si="58"/>
        <v>21690.51054</v>
      </c>
      <c r="AS97" s="271">
        <f t="shared" si="58"/>
        <v>21907.41564</v>
      </c>
      <c r="AT97" s="271">
        <f t="shared" si="58"/>
        <v>22126.4898</v>
      </c>
      <c r="AU97" s="271">
        <f t="shared" si="58"/>
        <v>22347.7547</v>
      </c>
      <c r="AV97" s="271">
        <f t="shared" si="58"/>
        <v>22571.23224</v>
      </c>
      <c r="AW97" s="271">
        <f t="shared" si="58"/>
        <v>22796.94457</v>
      </c>
      <c r="AX97" s="271">
        <f t="shared" si="58"/>
        <v>23024.91401</v>
      </c>
      <c r="AY97" s="271">
        <f t="shared" si="58"/>
        <v>23255.16315</v>
      </c>
      <c r="AZ97" s="271">
        <f t="shared" si="58"/>
        <v>23487.71478</v>
      </c>
      <c r="BA97" s="271">
        <f t="shared" si="58"/>
        <v>23722.59193</v>
      </c>
      <c r="BB97" s="271">
        <f t="shared" si="58"/>
        <v>23959.81785</v>
      </c>
      <c r="BC97" s="271">
        <f t="shared" si="58"/>
        <v>24199.41603</v>
      </c>
      <c r="BD97" s="271">
        <f t="shared" si="58"/>
        <v>24441.41019</v>
      </c>
      <c r="BE97" s="271">
        <f t="shared" si="58"/>
        <v>24685.82429</v>
      </c>
      <c r="BF97" s="271">
        <f t="shared" si="58"/>
        <v>24932.68254</v>
      </c>
      <c r="BG97" s="271">
        <f t="shared" si="58"/>
        <v>25182.00936</v>
      </c>
      <c r="BH97" s="271">
        <f t="shared" si="58"/>
        <v>25433.82945</v>
      </c>
      <c r="BI97" s="271">
        <f t="shared" si="58"/>
        <v>25688.16775</v>
      </c>
      <c r="BJ97" s="271">
        <f t="shared" si="58"/>
        <v>25945.04943</v>
      </c>
      <c r="BK97" s="271">
        <f t="shared" si="58"/>
        <v>26204.49992</v>
      </c>
      <c r="BL97" s="271">
        <f t="shared" si="58"/>
        <v>26466.54492</v>
      </c>
      <c r="BM97" s="271">
        <f t="shared" si="58"/>
        <v>26731.21037</v>
      </c>
      <c r="BN97" s="271">
        <f t="shared" si="58"/>
        <v>26998.52247</v>
      </c>
      <c r="BO97" s="271">
        <f t="shared" si="58"/>
        <v>27268.5077</v>
      </c>
      <c r="BP97" s="271">
        <f t="shared" si="58"/>
        <v>27541.19277</v>
      </c>
      <c r="BQ97" s="271">
        <f t="shared" si="58"/>
        <v>27816.6047</v>
      </c>
      <c r="BR97" s="271">
        <f t="shared" si="58"/>
        <v>28094.77075</v>
      </c>
      <c r="BS97" s="271">
        <f t="shared" si="58"/>
        <v>28375.71846</v>
      </c>
      <c r="BT97" s="271">
        <f t="shared" si="58"/>
        <v>28659.47564</v>
      </c>
      <c r="BU97" s="271">
        <f t="shared" si="58"/>
        <v>28946.0704</v>
      </c>
      <c r="BV97" s="271">
        <f t="shared" si="58"/>
        <v>29235.5311</v>
      </c>
      <c r="BW97" s="271">
        <f t="shared" si="58"/>
        <v>29527.88641</v>
      </c>
      <c r="BX97" s="271">
        <f t="shared" si="58"/>
        <v>29823.16528</v>
      </c>
      <c r="BY97" s="271">
        <f t="shared" si="58"/>
        <v>30121.39693</v>
      </c>
      <c r="BZ97" s="271">
        <f t="shared" si="58"/>
        <v>30422.6109</v>
      </c>
      <c r="CA97" s="271">
        <f t="shared" si="58"/>
        <v>30726.83701</v>
      </c>
      <c r="CB97" s="271">
        <f t="shared" si="58"/>
        <v>31034.10538</v>
      </c>
      <c r="CC97" s="118"/>
      <c r="CD97" s="118"/>
    </row>
    <row r="98" ht="18.0" customHeight="1">
      <c r="A98" s="1" t="s">
        <v>542</v>
      </c>
      <c r="B98" s="300" t="s">
        <v>543</v>
      </c>
      <c r="C98" s="118"/>
      <c r="D98" s="118"/>
      <c r="E98" s="118"/>
      <c r="F98" s="118"/>
      <c r="G98" s="118"/>
      <c r="H98" s="118"/>
      <c r="I98" s="118"/>
      <c r="J98" s="118"/>
      <c r="K98" s="118"/>
      <c r="L98" s="118"/>
      <c r="M98" s="118"/>
      <c r="N98" s="247"/>
      <c r="O98" s="247"/>
      <c r="P98" s="247"/>
      <c r="Q98" s="247"/>
      <c r="R98" s="247"/>
      <c r="S98" s="247"/>
      <c r="T98" s="301">
        <v>0.005</v>
      </c>
      <c r="U98" s="301">
        <v>0.1</v>
      </c>
      <c r="V98" s="301">
        <v>0.01</v>
      </c>
      <c r="W98" s="301">
        <v>0.01</v>
      </c>
      <c r="X98" s="301">
        <v>0.01</v>
      </c>
      <c r="Y98" s="301">
        <v>0.01</v>
      </c>
      <c r="Z98" s="301">
        <v>0.01</v>
      </c>
      <c r="AA98" s="301">
        <v>0.01</v>
      </c>
      <c r="AB98" s="301">
        <v>0.01</v>
      </c>
      <c r="AC98" s="301">
        <v>0.01</v>
      </c>
      <c r="AD98" s="301">
        <v>0.01</v>
      </c>
      <c r="AE98" s="301">
        <v>0.01</v>
      </c>
      <c r="AF98" s="301">
        <v>0.01</v>
      </c>
      <c r="AG98" s="301">
        <v>0.01</v>
      </c>
      <c r="AH98" s="301">
        <v>0.01</v>
      </c>
      <c r="AI98" s="301">
        <v>0.01</v>
      </c>
      <c r="AJ98" s="301">
        <v>0.01</v>
      </c>
      <c r="AK98" s="301">
        <v>0.01</v>
      </c>
      <c r="AL98" s="301">
        <v>0.01</v>
      </c>
      <c r="AM98" s="301">
        <v>0.01</v>
      </c>
      <c r="AN98" s="301">
        <v>0.01</v>
      </c>
      <c r="AO98" s="301">
        <v>0.01</v>
      </c>
      <c r="AP98" s="301">
        <v>0.01</v>
      </c>
      <c r="AQ98" s="301">
        <v>0.01</v>
      </c>
      <c r="AR98" s="301">
        <v>0.01</v>
      </c>
      <c r="AS98" s="301">
        <v>0.01</v>
      </c>
      <c r="AT98" s="301">
        <v>0.01</v>
      </c>
      <c r="AU98" s="301">
        <v>0.01</v>
      </c>
      <c r="AV98" s="301">
        <v>0.01</v>
      </c>
      <c r="AW98" s="301">
        <v>0.01</v>
      </c>
      <c r="AX98" s="301">
        <v>0.01</v>
      </c>
      <c r="AY98" s="301">
        <v>0.01</v>
      </c>
      <c r="AZ98" s="301">
        <v>0.01</v>
      </c>
      <c r="BA98" s="301">
        <v>0.01</v>
      </c>
      <c r="BB98" s="301">
        <v>0.01</v>
      </c>
      <c r="BC98" s="301">
        <v>0.01</v>
      </c>
      <c r="BD98" s="301">
        <v>0.01</v>
      </c>
      <c r="BE98" s="301">
        <v>0.01</v>
      </c>
      <c r="BF98" s="301">
        <v>0.01</v>
      </c>
      <c r="BG98" s="301">
        <v>0.01</v>
      </c>
      <c r="BH98" s="301">
        <v>0.01</v>
      </c>
      <c r="BI98" s="301">
        <v>0.01</v>
      </c>
      <c r="BJ98" s="301">
        <v>0.01</v>
      </c>
      <c r="BK98" s="301">
        <v>0.01</v>
      </c>
      <c r="BL98" s="301">
        <v>0.01</v>
      </c>
      <c r="BM98" s="301">
        <v>0.01</v>
      </c>
      <c r="BN98" s="301">
        <v>0.01</v>
      </c>
      <c r="BO98" s="301">
        <v>0.01</v>
      </c>
      <c r="BP98" s="301">
        <v>0.01</v>
      </c>
      <c r="BQ98" s="301">
        <v>0.01</v>
      </c>
      <c r="BR98" s="301">
        <v>0.01</v>
      </c>
      <c r="BS98" s="301">
        <v>0.01</v>
      </c>
      <c r="BT98" s="301">
        <v>0.01</v>
      </c>
      <c r="BU98" s="301">
        <v>0.01</v>
      </c>
      <c r="BV98" s="301">
        <v>0.01</v>
      </c>
      <c r="BW98" s="301">
        <v>0.01</v>
      </c>
      <c r="BX98" s="301">
        <v>0.01</v>
      </c>
      <c r="BY98" s="301">
        <v>0.01</v>
      </c>
      <c r="BZ98" s="301">
        <v>0.01</v>
      </c>
      <c r="CA98" s="301">
        <v>0.01</v>
      </c>
      <c r="CB98" s="301">
        <v>0.01</v>
      </c>
      <c r="CC98" s="118"/>
      <c r="CD98" s="118"/>
    </row>
    <row r="99" ht="18.0" customHeight="1">
      <c r="A99" s="1" t="s">
        <v>544</v>
      </c>
      <c r="B99" s="302">
        <f>650*3</f>
        <v>1950</v>
      </c>
      <c r="C99" s="118"/>
      <c r="D99" s="118"/>
      <c r="E99" s="118"/>
      <c r="F99" s="118"/>
      <c r="G99" s="118"/>
      <c r="H99" s="118"/>
      <c r="I99" s="118"/>
      <c r="J99" s="118"/>
      <c r="K99" s="118"/>
      <c r="L99" s="118"/>
      <c r="M99" s="118"/>
      <c r="N99" s="247"/>
      <c r="O99" s="247"/>
      <c r="P99" s="247"/>
      <c r="Q99" s="247"/>
      <c r="R99" s="247"/>
      <c r="S99" s="247"/>
      <c r="T99" s="117">
        <v>59573.0</v>
      </c>
      <c r="U99" s="117">
        <v>32070.0</v>
      </c>
      <c r="V99" s="117">
        <f>IF(OR(MONTH(V4)=MONTH($Q$4),MONTH(V4)=MONTH($U$4),MONTH(V4)=MONTH($M$4)),Headcount!T20*($B$99/3),V97*(0.85))</f>
        <v>14812.1628</v>
      </c>
      <c r="W99" s="117">
        <f>IF(OR(MONTH(W4)=MONTH($Q$4),MONTH(W4)=MONTH($U$4),MONTH(W4)=MONTH($M$4)),Headcount!U20*($B$99/3),W97*(0.85))</f>
        <v>14960.28443</v>
      </c>
      <c r="X99" s="117">
        <f>IF(OR(MONTH(X4)=MONTH($Q$4),MONTH(X4)=MONTH($U$4),MONTH(X4)=MONTH($M$4)),Headcount!V20*($B$99/3),X97*(0.85))</f>
        <v>15109.88727</v>
      </c>
      <c r="Y99" s="117">
        <f>IF(OR(MONTH(Y4)=MONTH($Q$4),MONTH(Y4)=MONTH($U$4),MONTH(Y4)=MONTH($M$4)),Headcount!W20*($B$99/3),Y97*(0.85))</f>
        <v>120250</v>
      </c>
      <c r="Z99" s="117">
        <f>IF(OR(MONTH(Z4)=MONTH($Q$4),MONTH(Z4)=MONTH($U$4),MONTH(Z4)=MONTH($M$4)),Headcount!X20*($B$99/3),Z97*(0.85))</f>
        <v>15413.59601</v>
      </c>
      <c r="AA99" s="117">
        <f>IF(OR(MONTH(AA4)=MONTH($Q$4),MONTH(AA4)=MONTH($U$4),MONTH(AA4)=MONTH($M$4)),Headcount!Y20*($B$99/3),AA97*(0.85))</f>
        <v>15567.73197</v>
      </c>
      <c r="AB99" s="117">
        <f>IF(OR(MONTH(AB4)=MONTH($Q$4),MONTH(AB4)=MONTH($U$4),MONTH(AB4)=MONTH($M$4)),Headcount!Z20*($B$99/3),AB97*(0.85))</f>
        <v>15723.40929</v>
      </c>
      <c r="AC99" s="117">
        <f>IF(OR(MONTH(AC4)=MONTH($Q$4),MONTH(AC4)=MONTH($U$4),MONTH(AC4)=MONTH($M$4)),Headcount!AA20*($B$99/3),AC97*(0.85))</f>
        <v>123500</v>
      </c>
      <c r="AD99" s="117">
        <f>IF(OR(MONTH(AD4)=MONTH($Q$4),MONTH(AD4)=MONTH($U$4),MONTH(AD4)=MONTH($M$4)),Headcount!AB20*($B$99/3),AD97*(0.85))</f>
        <v>16039.44982</v>
      </c>
      <c r="AE99" s="117">
        <f>IF(OR(MONTH(AE4)=MONTH($Q$4),MONTH(AE4)=MONTH($U$4),MONTH(AE4)=MONTH($M$4)),Headcount!AC20*($B$99/3),AE97*(0.85))</f>
        <v>16199.84431</v>
      </c>
      <c r="AF99" s="117">
        <f>IF(OR(MONTH(AF4)=MONTH($Q$4),MONTH(AF4)=MONTH($U$4),MONTH(AF4)=MONTH($M$4)),Headcount!AD20*($B$99/3),AF97*(0.85))</f>
        <v>16361.84276</v>
      </c>
      <c r="AG99" s="117">
        <f>IF(OR(MONTH(AG4)=MONTH($Q$4),MONTH(AG4)=MONTH($U$4),MONTH(AG4)=MONTH($M$4)),Headcount!AE20*($B$99/3),AG97*(0.25))</f>
        <v>130650</v>
      </c>
      <c r="AH99" s="117">
        <f>IF(OR(MONTH(AH4)=MONTH($Q$4),MONTH(AH4)=MONTH($U$4),MONTH(AH4)=MONTH($M$4)),Headcount!AF20*($B$99/3),AH97*(0.25))</f>
        <v>4909.034058</v>
      </c>
      <c r="AI99" s="117">
        <f>IF(OR(MONTH(AI4)=MONTH($Q$4),MONTH(AI4)=MONTH($U$4),MONTH(AI4)=MONTH($M$4)),Headcount!AG20*($B$99/3),AI97*(0.25))</f>
        <v>4958.124398</v>
      </c>
      <c r="AJ99" s="117">
        <f>IF(OR(MONTH(AJ4)=MONTH($Q$4),MONTH(AJ4)=MONTH($U$4),MONTH(AJ4)=MONTH($M$4)),Headcount!AH20*($B$99/3),AJ97*(0.25))</f>
        <v>5007.705642</v>
      </c>
      <c r="AK99" s="117">
        <f>IF(OR(MONTH(AK4)=MONTH($Q$4),MONTH(AK4)=MONTH($U$4),MONTH(AK4)=MONTH($M$4)),Headcount!AI20*($B$99/3),AK97*(0.25))</f>
        <v>133900</v>
      </c>
      <c r="AL99" s="117">
        <f>IF(OR(MONTH(AL4)=MONTH($Q$4),MONTH(AL4)=MONTH($U$4),MONTH(AL4)=MONTH($M$4)),Headcount!AJ20*($B$99/3),AL97*(0.25))</f>
        <v>5108.360526</v>
      </c>
      <c r="AM99" s="117">
        <f>IF(OR(MONTH(AM4)=MONTH($Q$4),MONTH(AM4)=MONTH($U$4),MONTH(AM4)=MONTH($M$4)),Headcount!AK20*($B$99/3),AM97*(0.25))</f>
        <v>5159.444131</v>
      </c>
      <c r="AN99" s="117">
        <f>IF(OR(MONTH(AN4)=MONTH($Q$4),MONTH(AN4)=MONTH($U$4),MONTH(AN4)=MONTH($M$4)),Headcount!AL20*($B$99/3),AN97*(0.25))</f>
        <v>5211.038572</v>
      </c>
      <c r="AO99" s="117">
        <f>IF(OR(MONTH(AO4)=MONTH($Q$4),MONTH(AO4)=MONTH($U$4),MONTH(AO4)=MONTH($M$4)),Headcount!AM20*($B$99/3),AO97*(0.25))</f>
        <v>137150</v>
      </c>
      <c r="AP99" s="117">
        <f>IF(OR(MONTH(AP4)=MONTH($Q$4),MONTH(AP4)=MONTH($U$4),MONTH(AP4)=MONTH($M$4)),Headcount!AN20*($B$99/3),AP97*(0.25))</f>
        <v>5315.780447</v>
      </c>
      <c r="AQ99" s="117">
        <f>IF(OR(MONTH(AQ4)=MONTH($Q$4),MONTH(AQ4)=MONTH($U$4),MONTH(AQ4)=MONTH($M$4)),Headcount!AO20*($B$99/3),AQ97*(0.25))</f>
        <v>5368.938252</v>
      </c>
      <c r="AR99" s="117">
        <f>IF(OR(MONTH(AR4)=MONTH($Q$4),MONTH(AR4)=MONTH($U$4),MONTH(AR4)=MONTH($M$4)),Headcount!AP20*($B$99/3),AR97*(0.25))</f>
        <v>5422.627634</v>
      </c>
      <c r="AS99" s="117">
        <f>IF(OR(MONTH(AS4)=MONTH($Q$4),MONTH(AS4)=MONTH($U$4),MONTH(AS4)=MONTH($M$4)),Headcount!AQ20*($B$99/3),AS97*(0.25))</f>
        <v>139750</v>
      </c>
      <c r="AT99" s="117">
        <f>IF(OR(MONTH(AT4)=MONTH($Q$4),MONTH(AT4)=MONTH($U$4),MONTH(AT4)=MONTH($M$4)),Headcount!AR20*($B$99/3),AT97*(0.25))</f>
        <v>5531.62245</v>
      </c>
      <c r="AU99" s="117">
        <f>IF(OR(MONTH(AU4)=MONTH($Q$4),MONTH(AU4)=MONTH($U$4),MONTH(AU4)=MONTH($M$4)),Headcount!AS20*($B$99/3),AU97*(0.25))</f>
        <v>5586.938674</v>
      </c>
      <c r="AV99" s="117">
        <f>IF(OR(MONTH(AV4)=MONTH($Q$4),MONTH(AV4)=MONTH($U$4),MONTH(AV4)=MONTH($M$4)),Headcount!AT20*($B$99/3),AV97*(0.25))</f>
        <v>5642.808061</v>
      </c>
      <c r="AW99" s="117">
        <f>IF(OR(MONTH(AW4)=MONTH($Q$4),MONTH(AW4)=MONTH($U$4),MONTH(AW4)=MONTH($M$4)),Headcount!AU20*($B$99/3),AW97*(0.25))</f>
        <v>146250</v>
      </c>
      <c r="AX99" s="117">
        <f>IF(OR(MONTH(AX4)=MONTH($Q$4),MONTH(AX4)=MONTH($U$4),MONTH(AX4)=MONTH($M$4)),Headcount!AV20*($B$99/3),AX97*(0.25))</f>
        <v>5756.228503</v>
      </c>
      <c r="AY99" s="117">
        <f>IF(OR(MONTH(AY4)=MONTH($Q$4),MONTH(AY4)=MONTH($U$4),MONTH(AY4)=MONTH($M$4)),Headcount!AW20*($B$99/3),AY97*(0.25))</f>
        <v>5813.790788</v>
      </c>
      <c r="AZ99" s="117">
        <f>IF(OR(MONTH(AZ4)=MONTH($Q$4),MONTH(AZ4)=MONTH($U$4),MONTH(AZ4)=MONTH($M$4)),Headcount!AX20*($B$99/3),AZ97*(0.25))</f>
        <v>5871.928696</v>
      </c>
      <c r="BA99" s="117">
        <f>IF(OR(MONTH(BA4)=MONTH($Q$4),MONTH(BA4)=MONTH($U$4),MONTH(BA4)=MONTH($M$4)),Headcount!AY20*($B$99/3),BA97*(0.25))</f>
        <v>150800</v>
      </c>
      <c r="BB99" s="117">
        <f>IF(OR(MONTH(BB4)=MONTH($Q$4),MONTH(BB4)=MONTH($U$4),MONTH(BB4)=MONTH($M$4)),Headcount!AZ20*($B$99/3),BB97*(0.25))</f>
        <v>5989.954463</v>
      </c>
      <c r="BC99" s="117">
        <f>IF(OR(MONTH(BC4)=MONTH($Q$4),MONTH(BC4)=MONTH($U$4),MONTH(BC4)=MONTH($M$4)),Headcount!BA20*($B$99/3),BC97*(0.25))</f>
        <v>6049.854008</v>
      </c>
      <c r="BD99" s="117">
        <f>IF(OR(MONTH(BD4)=MONTH($Q$4),MONTH(BD4)=MONTH($U$4),MONTH(BD4)=MONTH($M$4)),Headcount!BB20*($B$99/3),BD97*(0.25))</f>
        <v>6110.352548</v>
      </c>
      <c r="BE99" s="117">
        <f>IF(OR(MONTH(BE4)=MONTH($Q$4),MONTH(BE4)=MONTH($U$4),MONTH(BE4)=MONTH($M$4)),Headcount!BC20*($B$99/3),BE97*(0.25))</f>
        <v>155350</v>
      </c>
      <c r="BF99" s="117">
        <f>IF(OR(MONTH(BF4)=MONTH($Q$4),MONTH(BF4)=MONTH($U$4),MONTH(BF4)=MONTH($M$4)),Headcount!BD20*($B$99/3),BF97*(0.25))</f>
        <v>6233.170634</v>
      </c>
      <c r="BG99" s="117">
        <f>IF(OR(MONTH(BG4)=MONTH($Q$4),MONTH(BG4)=MONTH($U$4),MONTH(BG4)=MONTH($M$4)),Headcount!BE20*($B$99/3),BG97*(0.25))</f>
        <v>6295.50234</v>
      </c>
      <c r="BH99" s="117">
        <f>IF(OR(MONTH(BH4)=MONTH($Q$4),MONTH(BH4)=MONTH($U$4),MONTH(BH4)=MONTH($M$4)),Headcount!BF20*($B$99/3),BH97*(0.25))</f>
        <v>6358.457364</v>
      </c>
      <c r="BI99" s="117">
        <f>IF(OR(MONTH(BI4)=MONTH($Q$4),MONTH(BI4)=MONTH($U$4),MONTH(BI4)=MONTH($M$4)),Headcount!BG20*($B$99/3),BI97*(0.25))</f>
        <v>174200</v>
      </c>
      <c r="BJ99" s="117">
        <f>IF(OR(MONTH(BJ4)=MONTH($Q$4),MONTH(BJ4)=MONTH($U$4),MONTH(BJ4)=MONTH($M$4)),Headcount!BH20*($B$99/3),BJ97*(0.25))</f>
        <v>6486.262357</v>
      </c>
      <c r="BK99" s="117">
        <f>IF(OR(MONTH(BK4)=MONTH($Q$4),MONTH(BK4)=MONTH($U$4),MONTH(BK4)=MONTH($M$4)),Headcount!BI20*($B$99/3),BK97*(0.25))</f>
        <v>6551.12498</v>
      </c>
      <c r="BL99" s="117">
        <f>IF(OR(MONTH(BL4)=MONTH($Q$4),MONTH(BL4)=MONTH($U$4),MONTH(BL4)=MONTH($M$4)),Headcount!BJ20*($B$99/3),BL97*(0.25))</f>
        <v>6616.63623</v>
      </c>
      <c r="BM99" s="117">
        <f>IF(OR(MONTH(BM4)=MONTH($Q$4),MONTH(BM4)=MONTH($U$4),MONTH(BM4)=MONTH($M$4)),Headcount!BK20*($B$99/3),BM97*(0.25))</f>
        <v>179400</v>
      </c>
      <c r="BN99" s="117">
        <f>IF(OR(MONTH(BN4)=MONTH($Q$4),MONTH(BN4)=MONTH($U$4),MONTH(BN4)=MONTH($M$4)),Headcount!BL20*($B$99/3),BN97*(0.25))</f>
        <v>6749.630618</v>
      </c>
      <c r="BO99" s="117">
        <f>IF(OR(MONTH(BO4)=MONTH($Q$4),MONTH(BO4)=MONTH($U$4),MONTH(BO4)=MONTH($M$4)),Headcount!BM20*($B$99/3),BO97*(0.25))</f>
        <v>6817.126924</v>
      </c>
      <c r="BP99" s="117">
        <f>IF(OR(MONTH(BP4)=MONTH($Q$4),MONTH(BP4)=MONTH($U$4),MONTH(BP4)=MONTH($M$4)),Headcount!BN20*($B$99/3),BP97*(0.25))</f>
        <v>6885.298194</v>
      </c>
      <c r="BQ99" s="117">
        <f>IF(OR(MONTH(BQ4)=MONTH($Q$4),MONTH(BQ4)=MONTH($U$4),MONTH(BQ4)=MONTH($M$4)),Headcount!BO20*($B$99/3),BQ97*(0.25))</f>
        <v>183300</v>
      </c>
      <c r="BR99" s="117">
        <f>IF(OR(MONTH(BR4)=MONTH($Q$4),MONTH(BR4)=MONTH($U$4),MONTH(BR4)=MONTH($M$4)),Headcount!BP20*($B$99/3),BR97*(0.25))</f>
        <v>7023.692687</v>
      </c>
      <c r="BS99" s="117">
        <f>IF(OR(MONTH(BS4)=MONTH($Q$4),MONTH(BS4)=MONTH($U$4),MONTH(BS4)=MONTH($M$4)),Headcount!BQ20*($B$99/3),BS97*(0.25))</f>
        <v>7093.929614</v>
      </c>
      <c r="BT99" s="117">
        <f>IF(OR(MONTH(BT4)=MONTH($Q$4),MONTH(BT4)=MONTH($U$4),MONTH(BT4)=MONTH($M$4)),Headcount!BR20*($B$99/3),BT97*(0.25))</f>
        <v>7164.86891</v>
      </c>
      <c r="BU99" s="117">
        <f>IF(OR(MONTH(BU4)=MONTH($Q$4),MONTH(BU4)=MONTH($U$4),MONTH(BU4)=MONTH($M$4)),Headcount!BS20*($B$99/3),BU97*(0.25))</f>
        <v>188500</v>
      </c>
      <c r="BV99" s="117">
        <f>IF(OR(MONTH(BV4)=MONTH($Q$4),MONTH(BV4)=MONTH($U$4),MONTH(BV4)=MONTH($M$4)),Headcount!BT20*($B$99/3),BV97*(0.25))</f>
        <v>7308.882775</v>
      </c>
      <c r="BW99" s="117">
        <f>IF(OR(MONTH(BW4)=MONTH($Q$4),MONTH(BW4)=MONTH($U$4),MONTH(BW4)=MONTH($M$4)),Headcount!BU20*($B$99/3),BW97*(0.25))</f>
        <v>7381.971603</v>
      </c>
      <c r="BX99" s="117">
        <f>IF(OR(MONTH(BX4)=MONTH($Q$4),MONTH(BX4)=MONTH($U$4),MONTH(BX4)=MONTH($M$4)),Headcount!BV20*($B$99/3),BX97*(0.25))</f>
        <v>7455.791319</v>
      </c>
      <c r="BY99" s="117">
        <f>IF(OR(MONTH(BY4)=MONTH($Q$4),MONTH(BY4)=MONTH($U$4),MONTH(BY4)=MONTH($M$4)),Headcount!BW20*($B$99/3),BY97*(0.25))</f>
        <v>191100</v>
      </c>
      <c r="BZ99" s="117">
        <f>IF(OR(MONTH(BZ4)=MONTH($Q$4),MONTH(BZ4)=MONTH($U$4),MONTH(BZ4)=MONTH($M$4)),Headcount!BX20*($B$99/3),BZ97*(0.25))</f>
        <v>7605.652725</v>
      </c>
      <c r="CA99" s="117">
        <f>IF(OR(MONTH(CA4)=MONTH($Q$4),MONTH(CA4)=MONTH($U$4),MONTH(CA4)=MONTH($M$4)),Headcount!BY20*($B$99/3),CA97*(0.25))</f>
        <v>7681.709252</v>
      </c>
      <c r="CB99" s="117">
        <f>IF(OR(MONTH(CB4)=MONTH($Q$4),MONTH(CB4)=MONTH($U$4),MONTH(CB4)=MONTH($M$4)),Headcount!BZ20*($B$99/3),CB97*(0.25))</f>
        <v>7758.526344</v>
      </c>
      <c r="CC99" s="118"/>
      <c r="CD99" s="118"/>
    </row>
    <row r="100" ht="18.0" customHeight="1">
      <c r="A100" s="4"/>
      <c r="B100" s="296"/>
      <c r="C100" s="118"/>
      <c r="D100" s="118"/>
      <c r="E100" s="118"/>
      <c r="F100" s="118"/>
      <c r="G100" s="118"/>
      <c r="H100" s="118"/>
      <c r="I100" s="118"/>
      <c r="J100" s="118"/>
      <c r="K100" s="118"/>
      <c r="L100" s="118"/>
      <c r="M100" s="118"/>
      <c r="N100" s="247"/>
      <c r="O100" s="247"/>
      <c r="P100" s="247"/>
      <c r="Q100" s="247"/>
      <c r="R100" s="247"/>
      <c r="S100" s="247"/>
      <c r="T100" s="303"/>
      <c r="U100" s="303"/>
      <c r="V100" s="303"/>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c r="AS100" s="303"/>
      <c r="AT100" s="303"/>
      <c r="AU100" s="303"/>
      <c r="AV100" s="303"/>
      <c r="AW100" s="303"/>
      <c r="AX100" s="303"/>
      <c r="AY100" s="303"/>
      <c r="AZ100" s="303"/>
      <c r="BA100" s="303"/>
      <c r="BB100" s="303"/>
      <c r="BC100" s="303"/>
      <c r="BD100" s="303"/>
      <c r="BE100" s="303"/>
      <c r="BF100" s="303"/>
      <c r="BG100" s="303"/>
      <c r="BH100" s="303"/>
      <c r="BI100" s="303"/>
      <c r="BJ100" s="303"/>
      <c r="BK100" s="303"/>
      <c r="BL100" s="303"/>
      <c r="BM100" s="303"/>
      <c r="BN100" s="303"/>
      <c r="BO100" s="303"/>
      <c r="BP100" s="303"/>
      <c r="BQ100" s="303"/>
      <c r="BR100" s="303"/>
      <c r="BS100" s="303"/>
      <c r="BT100" s="303"/>
      <c r="BU100" s="303"/>
      <c r="BV100" s="303"/>
      <c r="BW100" s="303"/>
      <c r="BX100" s="303"/>
      <c r="BY100" s="303"/>
      <c r="BZ100" s="303"/>
      <c r="CA100" s="303"/>
      <c r="CB100" s="303"/>
      <c r="CC100" s="118"/>
      <c r="CD100" s="118"/>
    </row>
    <row r="101" ht="18.0" customHeight="1">
      <c r="A101" s="4" t="s">
        <v>218</v>
      </c>
      <c r="B101" s="296">
        <v>0.3</v>
      </c>
      <c r="C101" s="118"/>
      <c r="D101" s="118"/>
      <c r="E101" s="118"/>
      <c r="F101" s="118"/>
      <c r="G101" s="118"/>
      <c r="H101" s="118"/>
      <c r="I101" s="118"/>
      <c r="J101" s="118"/>
      <c r="K101" s="118"/>
      <c r="L101" s="118"/>
      <c r="M101" s="118"/>
      <c r="N101" s="247">
        <f t="array" ref="N101">INDEX('IS Proforma'!$1:$1048490,MATCH(Expenses!$A101,'IS Proforma'!$C:$C,0),MATCH(Expenses!N$4,'IS Proforma'!$4:$4))</f>
        <v>2044</v>
      </c>
      <c r="O101" s="247">
        <f t="array" ref="O101">INDEX('IS Proforma'!$1:$1048490,MATCH(Expenses!$A101,'IS Proforma'!$C:$C,0),MATCH(Expenses!O$4,'IS Proforma'!$4:$4))</f>
        <v>1706</v>
      </c>
      <c r="P101" s="247">
        <f t="array" ref="P101">INDEX('IS Proforma'!$1:$1048490,MATCH(Expenses!$A101,'IS Proforma'!$C:$C,0),MATCH(Expenses!P$4,'IS Proforma'!$4:$4))</f>
        <v>1556</v>
      </c>
      <c r="Q101" s="247">
        <f t="array" ref="Q101">INDEX('IS Proforma'!$1:$1048490,MATCH(Expenses!$A101,'IS Proforma'!$C:$C,0),MATCH(Expenses!Q$4,'IS Proforma'!$4:$4))</f>
        <v>2429</v>
      </c>
      <c r="R101" s="247">
        <f t="array" ref="R101">INDEX('IS Proforma'!$1:$1048490,MATCH(Expenses!$A101,'IS Proforma'!$C:$C,0),MATCH(Expenses!R$4,'IS Proforma'!$4:$4))</f>
        <v>2326</v>
      </c>
      <c r="S101" s="247">
        <f t="array" ref="S101">INDEX('IS Proforma'!$1:$1048490,MATCH(Expenses!$A101,'IS Proforma'!$C:$C,0),MATCH(Expenses!S$4,'IS Proforma'!$4:$4))</f>
        <v>1699</v>
      </c>
      <c r="T101" s="303">
        <f t="shared" ref="T101:CB101" si="59">T$97*$B101</f>
        <v>4705.5105</v>
      </c>
      <c r="U101" s="303">
        <f t="shared" si="59"/>
        <v>5176.06155</v>
      </c>
      <c r="V101" s="303">
        <f t="shared" si="59"/>
        <v>5227.822166</v>
      </c>
      <c r="W101" s="303">
        <f t="shared" si="59"/>
        <v>5280.100387</v>
      </c>
      <c r="X101" s="303">
        <f t="shared" si="59"/>
        <v>5332.901391</v>
      </c>
      <c r="Y101" s="303">
        <f t="shared" si="59"/>
        <v>5386.230405</v>
      </c>
      <c r="Z101" s="303">
        <f t="shared" si="59"/>
        <v>5440.092709</v>
      </c>
      <c r="AA101" s="303">
        <f t="shared" si="59"/>
        <v>5494.493636</v>
      </c>
      <c r="AB101" s="303">
        <f t="shared" si="59"/>
        <v>5549.438572</v>
      </c>
      <c r="AC101" s="303">
        <f t="shared" si="59"/>
        <v>5604.932958</v>
      </c>
      <c r="AD101" s="303">
        <f t="shared" si="59"/>
        <v>5660.982288</v>
      </c>
      <c r="AE101" s="303">
        <f t="shared" si="59"/>
        <v>5717.592111</v>
      </c>
      <c r="AF101" s="303">
        <f t="shared" si="59"/>
        <v>5774.768032</v>
      </c>
      <c r="AG101" s="303">
        <f t="shared" si="59"/>
        <v>5832.515712</v>
      </c>
      <c r="AH101" s="303">
        <f t="shared" si="59"/>
        <v>5890.840869</v>
      </c>
      <c r="AI101" s="303">
        <f t="shared" si="59"/>
        <v>5949.749278</v>
      </c>
      <c r="AJ101" s="303">
        <f t="shared" si="59"/>
        <v>6009.246771</v>
      </c>
      <c r="AK101" s="303">
        <f t="shared" si="59"/>
        <v>6069.339238</v>
      </c>
      <c r="AL101" s="303">
        <f t="shared" si="59"/>
        <v>6130.032631</v>
      </c>
      <c r="AM101" s="303">
        <f t="shared" si="59"/>
        <v>6191.332957</v>
      </c>
      <c r="AN101" s="303">
        <f t="shared" si="59"/>
        <v>6253.246287</v>
      </c>
      <c r="AO101" s="303">
        <f t="shared" si="59"/>
        <v>6315.778749</v>
      </c>
      <c r="AP101" s="303">
        <f t="shared" si="59"/>
        <v>6378.936537</v>
      </c>
      <c r="AQ101" s="303">
        <f t="shared" si="59"/>
        <v>6442.725902</v>
      </c>
      <c r="AR101" s="303">
        <f t="shared" si="59"/>
        <v>6507.153161</v>
      </c>
      <c r="AS101" s="303">
        <f t="shared" si="59"/>
        <v>6572.224693</v>
      </c>
      <c r="AT101" s="303">
        <f t="shared" si="59"/>
        <v>6637.94694</v>
      </c>
      <c r="AU101" s="303">
        <f t="shared" si="59"/>
        <v>6704.326409</v>
      </c>
      <c r="AV101" s="303">
        <f t="shared" si="59"/>
        <v>6771.369673</v>
      </c>
      <c r="AW101" s="303">
        <f t="shared" si="59"/>
        <v>6839.08337</v>
      </c>
      <c r="AX101" s="303">
        <f t="shared" si="59"/>
        <v>6907.474204</v>
      </c>
      <c r="AY101" s="303">
        <f t="shared" si="59"/>
        <v>6976.548946</v>
      </c>
      <c r="AZ101" s="303">
        <f t="shared" si="59"/>
        <v>7046.314435</v>
      </c>
      <c r="BA101" s="303">
        <f t="shared" si="59"/>
        <v>7116.77758</v>
      </c>
      <c r="BB101" s="303">
        <f t="shared" si="59"/>
        <v>7187.945355</v>
      </c>
      <c r="BC101" s="303">
        <f t="shared" si="59"/>
        <v>7259.824809</v>
      </c>
      <c r="BD101" s="303">
        <f t="shared" si="59"/>
        <v>7332.423057</v>
      </c>
      <c r="BE101" s="303">
        <f t="shared" si="59"/>
        <v>7405.747288</v>
      </c>
      <c r="BF101" s="303">
        <f t="shared" si="59"/>
        <v>7479.804761</v>
      </c>
      <c r="BG101" s="303">
        <f t="shared" si="59"/>
        <v>7554.602808</v>
      </c>
      <c r="BH101" s="303">
        <f t="shared" si="59"/>
        <v>7630.148836</v>
      </c>
      <c r="BI101" s="303">
        <f t="shared" si="59"/>
        <v>7706.450325</v>
      </c>
      <c r="BJ101" s="303">
        <f t="shared" si="59"/>
        <v>7783.514828</v>
      </c>
      <c r="BK101" s="303">
        <f t="shared" si="59"/>
        <v>7861.349976</v>
      </c>
      <c r="BL101" s="303">
        <f t="shared" si="59"/>
        <v>7939.963476</v>
      </c>
      <c r="BM101" s="303">
        <f t="shared" si="59"/>
        <v>8019.363111</v>
      </c>
      <c r="BN101" s="303">
        <f t="shared" si="59"/>
        <v>8099.556742</v>
      </c>
      <c r="BO101" s="303">
        <f t="shared" si="59"/>
        <v>8180.552309</v>
      </c>
      <c r="BP101" s="303">
        <f t="shared" si="59"/>
        <v>8262.357832</v>
      </c>
      <c r="BQ101" s="303">
        <f t="shared" si="59"/>
        <v>8344.981411</v>
      </c>
      <c r="BR101" s="303">
        <f t="shared" si="59"/>
        <v>8428.431225</v>
      </c>
      <c r="BS101" s="303">
        <f t="shared" si="59"/>
        <v>8512.715537</v>
      </c>
      <c r="BT101" s="303">
        <f t="shared" si="59"/>
        <v>8597.842692</v>
      </c>
      <c r="BU101" s="303">
        <f t="shared" si="59"/>
        <v>8683.821119</v>
      </c>
      <c r="BV101" s="303">
        <f t="shared" si="59"/>
        <v>8770.65933</v>
      </c>
      <c r="BW101" s="303">
        <f t="shared" si="59"/>
        <v>8858.365924</v>
      </c>
      <c r="BX101" s="303">
        <f t="shared" si="59"/>
        <v>8946.949583</v>
      </c>
      <c r="BY101" s="303">
        <f t="shared" si="59"/>
        <v>9036.419079</v>
      </c>
      <c r="BZ101" s="303">
        <f t="shared" si="59"/>
        <v>9126.78327</v>
      </c>
      <c r="CA101" s="303">
        <f t="shared" si="59"/>
        <v>9218.051102</v>
      </c>
      <c r="CB101" s="303">
        <f t="shared" si="59"/>
        <v>9310.231613</v>
      </c>
      <c r="CC101" s="118"/>
      <c r="CD101" s="118"/>
    </row>
    <row r="102" ht="15.75" customHeight="1">
      <c r="A102" s="297" t="s">
        <v>545</v>
      </c>
      <c r="B102" s="283">
        <v>0.4</v>
      </c>
      <c r="C102" s="117"/>
      <c r="D102" s="117"/>
      <c r="E102" s="117"/>
      <c r="F102" s="117"/>
      <c r="G102" s="117"/>
      <c r="H102" s="117"/>
      <c r="I102" s="117"/>
      <c r="J102" s="117"/>
      <c r="K102" s="117"/>
      <c r="L102" s="117"/>
      <c r="M102" s="117"/>
      <c r="N102" s="117"/>
      <c r="O102" s="131"/>
      <c r="P102" s="131"/>
      <c r="Q102" s="131"/>
      <c r="R102" s="131"/>
      <c r="S102" s="131"/>
      <c r="T102" s="131">
        <f t="shared" ref="T102:CB102" si="60">T$101*$B102</f>
        <v>1882.2042</v>
      </c>
      <c r="U102" s="131">
        <f t="shared" si="60"/>
        <v>2070.42462</v>
      </c>
      <c r="V102" s="131">
        <f t="shared" si="60"/>
        <v>2091.128866</v>
      </c>
      <c r="W102" s="131">
        <f t="shared" si="60"/>
        <v>2112.040155</v>
      </c>
      <c r="X102" s="131">
        <f t="shared" si="60"/>
        <v>2133.160556</v>
      </c>
      <c r="Y102" s="131">
        <f t="shared" si="60"/>
        <v>2154.492162</v>
      </c>
      <c r="Z102" s="131">
        <f t="shared" si="60"/>
        <v>2176.037084</v>
      </c>
      <c r="AA102" s="131">
        <f t="shared" si="60"/>
        <v>2197.797454</v>
      </c>
      <c r="AB102" s="131">
        <f t="shared" si="60"/>
        <v>2219.775429</v>
      </c>
      <c r="AC102" s="131">
        <f t="shared" si="60"/>
        <v>2241.973183</v>
      </c>
      <c r="AD102" s="131">
        <f t="shared" si="60"/>
        <v>2264.392915</v>
      </c>
      <c r="AE102" s="131">
        <f t="shared" si="60"/>
        <v>2287.036844</v>
      </c>
      <c r="AF102" s="131">
        <f t="shared" si="60"/>
        <v>2309.907213</v>
      </c>
      <c r="AG102" s="131">
        <f t="shared" si="60"/>
        <v>2333.006285</v>
      </c>
      <c r="AH102" s="131">
        <f t="shared" si="60"/>
        <v>2356.336348</v>
      </c>
      <c r="AI102" s="131">
        <f t="shared" si="60"/>
        <v>2379.899711</v>
      </c>
      <c r="AJ102" s="131">
        <f t="shared" si="60"/>
        <v>2403.698708</v>
      </c>
      <c r="AK102" s="131">
        <f t="shared" si="60"/>
        <v>2427.735695</v>
      </c>
      <c r="AL102" s="131">
        <f t="shared" si="60"/>
        <v>2452.013052</v>
      </c>
      <c r="AM102" s="131">
        <f t="shared" si="60"/>
        <v>2476.533183</v>
      </c>
      <c r="AN102" s="131">
        <f t="shared" si="60"/>
        <v>2501.298515</v>
      </c>
      <c r="AO102" s="131">
        <f t="shared" si="60"/>
        <v>2526.3115</v>
      </c>
      <c r="AP102" s="131">
        <f t="shared" si="60"/>
        <v>2551.574615</v>
      </c>
      <c r="AQ102" s="131">
        <f t="shared" si="60"/>
        <v>2577.090361</v>
      </c>
      <c r="AR102" s="131">
        <f t="shared" si="60"/>
        <v>2602.861265</v>
      </c>
      <c r="AS102" s="131">
        <f t="shared" si="60"/>
        <v>2628.889877</v>
      </c>
      <c r="AT102" s="131">
        <f t="shared" si="60"/>
        <v>2655.178776</v>
      </c>
      <c r="AU102" s="131">
        <f t="shared" si="60"/>
        <v>2681.730564</v>
      </c>
      <c r="AV102" s="131">
        <f t="shared" si="60"/>
        <v>2708.547869</v>
      </c>
      <c r="AW102" s="131">
        <f t="shared" si="60"/>
        <v>2735.633348</v>
      </c>
      <c r="AX102" s="131">
        <f t="shared" si="60"/>
        <v>2762.989682</v>
      </c>
      <c r="AY102" s="131">
        <f t="shared" si="60"/>
        <v>2790.619578</v>
      </c>
      <c r="AZ102" s="131">
        <f t="shared" si="60"/>
        <v>2818.525774</v>
      </c>
      <c r="BA102" s="131">
        <f t="shared" si="60"/>
        <v>2846.711032</v>
      </c>
      <c r="BB102" s="131">
        <f t="shared" si="60"/>
        <v>2875.178142</v>
      </c>
      <c r="BC102" s="131">
        <f t="shared" si="60"/>
        <v>2903.929924</v>
      </c>
      <c r="BD102" s="131">
        <f t="shared" si="60"/>
        <v>2932.969223</v>
      </c>
      <c r="BE102" s="131">
        <f t="shared" si="60"/>
        <v>2962.298915</v>
      </c>
      <c r="BF102" s="131">
        <f t="shared" si="60"/>
        <v>2991.921904</v>
      </c>
      <c r="BG102" s="131">
        <f t="shared" si="60"/>
        <v>3021.841123</v>
      </c>
      <c r="BH102" s="131">
        <f t="shared" si="60"/>
        <v>3052.059535</v>
      </c>
      <c r="BI102" s="131">
        <f t="shared" si="60"/>
        <v>3082.58013</v>
      </c>
      <c r="BJ102" s="131">
        <f t="shared" si="60"/>
        <v>3113.405931</v>
      </c>
      <c r="BK102" s="131">
        <f t="shared" si="60"/>
        <v>3144.53999</v>
      </c>
      <c r="BL102" s="131">
        <f t="shared" si="60"/>
        <v>3175.98539</v>
      </c>
      <c r="BM102" s="131">
        <f t="shared" si="60"/>
        <v>3207.745244</v>
      </c>
      <c r="BN102" s="131">
        <f t="shared" si="60"/>
        <v>3239.822697</v>
      </c>
      <c r="BO102" s="131">
        <f t="shared" si="60"/>
        <v>3272.220924</v>
      </c>
      <c r="BP102" s="131">
        <f t="shared" si="60"/>
        <v>3304.943133</v>
      </c>
      <c r="BQ102" s="131">
        <f t="shared" si="60"/>
        <v>3337.992564</v>
      </c>
      <c r="BR102" s="131">
        <f t="shared" si="60"/>
        <v>3371.37249</v>
      </c>
      <c r="BS102" s="131">
        <f t="shared" si="60"/>
        <v>3405.086215</v>
      </c>
      <c r="BT102" s="131">
        <f t="shared" si="60"/>
        <v>3439.137077</v>
      </c>
      <c r="BU102" s="131">
        <f t="shared" si="60"/>
        <v>3473.528448</v>
      </c>
      <c r="BV102" s="131">
        <f t="shared" si="60"/>
        <v>3508.263732</v>
      </c>
      <c r="BW102" s="131">
        <f t="shared" si="60"/>
        <v>3543.346369</v>
      </c>
      <c r="BX102" s="131">
        <f t="shared" si="60"/>
        <v>3578.779833</v>
      </c>
      <c r="BY102" s="131">
        <f t="shared" si="60"/>
        <v>3614.567632</v>
      </c>
      <c r="BZ102" s="131">
        <f t="shared" si="60"/>
        <v>3650.713308</v>
      </c>
      <c r="CA102" s="131">
        <f t="shared" si="60"/>
        <v>3687.220441</v>
      </c>
      <c r="CB102" s="131">
        <f t="shared" si="60"/>
        <v>3724.092645</v>
      </c>
      <c r="CC102" s="117"/>
      <c r="CD102" s="117"/>
    </row>
    <row r="103" ht="15.75" customHeight="1">
      <c r="A103" s="297" t="s">
        <v>546</v>
      </c>
      <c r="B103" s="283">
        <v>0.2</v>
      </c>
      <c r="C103" s="117"/>
      <c r="D103" s="117"/>
      <c r="E103" s="117"/>
      <c r="F103" s="117"/>
      <c r="G103" s="117"/>
      <c r="H103" s="117"/>
      <c r="I103" s="117"/>
      <c r="J103" s="117"/>
      <c r="K103" s="117"/>
      <c r="L103" s="117"/>
      <c r="M103" s="117"/>
      <c r="N103" s="117"/>
      <c r="O103" s="131"/>
      <c r="P103" s="131"/>
      <c r="Q103" s="131"/>
      <c r="R103" s="131"/>
      <c r="S103" s="131"/>
      <c r="T103" s="131">
        <f t="shared" ref="T103:CB103" si="61">T$101*$B103</f>
        <v>941.1021</v>
      </c>
      <c r="U103" s="131">
        <f t="shared" si="61"/>
        <v>1035.21231</v>
      </c>
      <c r="V103" s="131">
        <f t="shared" si="61"/>
        <v>1045.564433</v>
      </c>
      <c r="W103" s="131">
        <f t="shared" si="61"/>
        <v>1056.020077</v>
      </c>
      <c r="X103" s="131">
        <f t="shared" si="61"/>
        <v>1066.580278</v>
      </c>
      <c r="Y103" s="131">
        <f t="shared" si="61"/>
        <v>1077.246081</v>
      </c>
      <c r="Z103" s="131">
        <f t="shared" si="61"/>
        <v>1088.018542</v>
      </c>
      <c r="AA103" s="131">
        <f t="shared" si="61"/>
        <v>1098.898727</v>
      </c>
      <c r="AB103" s="131">
        <f t="shared" si="61"/>
        <v>1109.887714</v>
      </c>
      <c r="AC103" s="131">
        <f t="shared" si="61"/>
        <v>1120.986592</v>
      </c>
      <c r="AD103" s="131">
        <f t="shared" si="61"/>
        <v>1132.196458</v>
      </c>
      <c r="AE103" s="131">
        <f t="shared" si="61"/>
        <v>1143.518422</v>
      </c>
      <c r="AF103" s="131">
        <f t="shared" si="61"/>
        <v>1154.953606</v>
      </c>
      <c r="AG103" s="131">
        <f t="shared" si="61"/>
        <v>1166.503142</v>
      </c>
      <c r="AH103" s="131">
        <f t="shared" si="61"/>
        <v>1178.168174</v>
      </c>
      <c r="AI103" s="131">
        <f t="shared" si="61"/>
        <v>1189.949856</v>
      </c>
      <c r="AJ103" s="131">
        <f t="shared" si="61"/>
        <v>1201.849354</v>
      </c>
      <c r="AK103" s="131">
        <f t="shared" si="61"/>
        <v>1213.867848</v>
      </c>
      <c r="AL103" s="131">
        <f t="shared" si="61"/>
        <v>1226.006526</v>
      </c>
      <c r="AM103" s="131">
        <f t="shared" si="61"/>
        <v>1238.266591</v>
      </c>
      <c r="AN103" s="131">
        <f t="shared" si="61"/>
        <v>1250.649257</v>
      </c>
      <c r="AO103" s="131">
        <f t="shared" si="61"/>
        <v>1263.15575</v>
      </c>
      <c r="AP103" s="131">
        <f t="shared" si="61"/>
        <v>1275.787307</v>
      </c>
      <c r="AQ103" s="131">
        <f t="shared" si="61"/>
        <v>1288.54518</v>
      </c>
      <c r="AR103" s="131">
        <f t="shared" si="61"/>
        <v>1301.430632</v>
      </c>
      <c r="AS103" s="131">
        <f t="shared" si="61"/>
        <v>1314.444939</v>
      </c>
      <c r="AT103" s="131">
        <f t="shared" si="61"/>
        <v>1327.589388</v>
      </c>
      <c r="AU103" s="131">
        <f t="shared" si="61"/>
        <v>1340.865282</v>
      </c>
      <c r="AV103" s="131">
        <f t="shared" si="61"/>
        <v>1354.273935</v>
      </c>
      <c r="AW103" s="131">
        <f t="shared" si="61"/>
        <v>1367.816674</v>
      </c>
      <c r="AX103" s="131">
        <f t="shared" si="61"/>
        <v>1381.494841</v>
      </c>
      <c r="AY103" s="131">
        <f t="shared" si="61"/>
        <v>1395.309789</v>
      </c>
      <c r="AZ103" s="131">
        <f t="shared" si="61"/>
        <v>1409.262887</v>
      </c>
      <c r="BA103" s="131">
        <f t="shared" si="61"/>
        <v>1423.355516</v>
      </c>
      <c r="BB103" s="131">
        <f t="shared" si="61"/>
        <v>1437.589071</v>
      </c>
      <c r="BC103" s="131">
        <f t="shared" si="61"/>
        <v>1451.964962</v>
      </c>
      <c r="BD103" s="131">
        <f t="shared" si="61"/>
        <v>1466.484611</v>
      </c>
      <c r="BE103" s="131">
        <f t="shared" si="61"/>
        <v>1481.149458</v>
      </c>
      <c r="BF103" s="131">
        <f t="shared" si="61"/>
        <v>1495.960952</v>
      </c>
      <c r="BG103" s="131">
        <f t="shared" si="61"/>
        <v>1510.920562</v>
      </c>
      <c r="BH103" s="131">
        <f t="shared" si="61"/>
        <v>1526.029767</v>
      </c>
      <c r="BI103" s="131">
        <f t="shared" si="61"/>
        <v>1541.290065</v>
      </c>
      <c r="BJ103" s="131">
        <f t="shared" si="61"/>
        <v>1556.702966</v>
      </c>
      <c r="BK103" s="131">
        <f t="shared" si="61"/>
        <v>1572.269995</v>
      </c>
      <c r="BL103" s="131">
        <f t="shared" si="61"/>
        <v>1587.992695</v>
      </c>
      <c r="BM103" s="131">
        <f t="shared" si="61"/>
        <v>1603.872622</v>
      </c>
      <c r="BN103" s="131">
        <f t="shared" si="61"/>
        <v>1619.911348</v>
      </c>
      <c r="BO103" s="131">
        <f t="shared" si="61"/>
        <v>1636.110462</v>
      </c>
      <c r="BP103" s="131">
        <f t="shared" si="61"/>
        <v>1652.471566</v>
      </c>
      <c r="BQ103" s="131">
        <f t="shared" si="61"/>
        <v>1668.996282</v>
      </c>
      <c r="BR103" s="131">
        <f t="shared" si="61"/>
        <v>1685.686245</v>
      </c>
      <c r="BS103" s="131">
        <f t="shared" si="61"/>
        <v>1702.543107</v>
      </c>
      <c r="BT103" s="131">
        <f t="shared" si="61"/>
        <v>1719.568538</v>
      </c>
      <c r="BU103" s="131">
        <f t="shared" si="61"/>
        <v>1736.764224</v>
      </c>
      <c r="BV103" s="131">
        <f t="shared" si="61"/>
        <v>1754.131866</v>
      </c>
      <c r="BW103" s="131">
        <f t="shared" si="61"/>
        <v>1771.673185</v>
      </c>
      <c r="BX103" s="131">
        <f t="shared" si="61"/>
        <v>1789.389917</v>
      </c>
      <c r="BY103" s="131">
        <f t="shared" si="61"/>
        <v>1807.283816</v>
      </c>
      <c r="BZ103" s="131">
        <f t="shared" si="61"/>
        <v>1825.356654</v>
      </c>
      <c r="CA103" s="131">
        <f t="shared" si="61"/>
        <v>1843.61022</v>
      </c>
      <c r="CB103" s="131">
        <f t="shared" si="61"/>
        <v>1862.046323</v>
      </c>
      <c r="CC103" s="117"/>
      <c r="CD103" s="117"/>
    </row>
    <row r="104" ht="15.75" customHeight="1">
      <c r="A104" s="297" t="s">
        <v>547</v>
      </c>
      <c r="B104" s="283">
        <v>0.08</v>
      </c>
      <c r="C104" s="117"/>
      <c r="D104" s="117"/>
      <c r="E104" s="117"/>
      <c r="F104" s="117"/>
      <c r="G104" s="117"/>
      <c r="H104" s="117"/>
      <c r="I104" s="117"/>
      <c r="J104" s="117"/>
      <c r="K104" s="117"/>
      <c r="L104" s="117"/>
      <c r="M104" s="117"/>
      <c r="N104" s="117"/>
      <c r="O104" s="131"/>
      <c r="P104" s="131"/>
      <c r="Q104" s="131"/>
      <c r="R104" s="131"/>
      <c r="S104" s="131"/>
      <c r="T104" s="131">
        <f t="shared" ref="T104:CB104" si="62">T$101*$B104</f>
        <v>376.44084</v>
      </c>
      <c r="U104" s="131">
        <f t="shared" si="62"/>
        <v>414.084924</v>
      </c>
      <c r="V104" s="131">
        <f t="shared" si="62"/>
        <v>418.2257732</v>
      </c>
      <c r="W104" s="131">
        <f t="shared" si="62"/>
        <v>422.408031</v>
      </c>
      <c r="X104" s="131">
        <f t="shared" si="62"/>
        <v>426.6321113</v>
      </c>
      <c r="Y104" s="131">
        <f t="shared" si="62"/>
        <v>430.8984324</v>
      </c>
      <c r="Z104" s="131">
        <f t="shared" si="62"/>
        <v>435.2074167</v>
      </c>
      <c r="AA104" s="131">
        <f t="shared" si="62"/>
        <v>439.5594909</v>
      </c>
      <c r="AB104" s="131">
        <f t="shared" si="62"/>
        <v>443.9550858</v>
      </c>
      <c r="AC104" s="131">
        <f t="shared" si="62"/>
        <v>448.3946367</v>
      </c>
      <c r="AD104" s="131">
        <f t="shared" si="62"/>
        <v>452.878583</v>
      </c>
      <c r="AE104" s="131">
        <f t="shared" si="62"/>
        <v>457.4073688</v>
      </c>
      <c r="AF104" s="131">
        <f t="shared" si="62"/>
        <v>461.9814425</v>
      </c>
      <c r="AG104" s="131">
        <f t="shared" si="62"/>
        <v>466.601257</v>
      </c>
      <c r="AH104" s="131">
        <f t="shared" si="62"/>
        <v>471.2672695</v>
      </c>
      <c r="AI104" s="131">
        <f t="shared" si="62"/>
        <v>475.9799422</v>
      </c>
      <c r="AJ104" s="131">
        <f t="shared" si="62"/>
        <v>480.7397417</v>
      </c>
      <c r="AK104" s="131">
        <f t="shared" si="62"/>
        <v>485.5471391</v>
      </c>
      <c r="AL104" s="131">
        <f t="shared" si="62"/>
        <v>490.4026105</v>
      </c>
      <c r="AM104" s="131">
        <f t="shared" si="62"/>
        <v>495.3066366</v>
      </c>
      <c r="AN104" s="131">
        <f t="shared" si="62"/>
        <v>500.2597029</v>
      </c>
      <c r="AO104" s="131">
        <f t="shared" si="62"/>
        <v>505.2623</v>
      </c>
      <c r="AP104" s="131">
        <f t="shared" si="62"/>
        <v>510.314923</v>
      </c>
      <c r="AQ104" s="131">
        <f t="shared" si="62"/>
        <v>515.4180722</v>
      </c>
      <c r="AR104" s="131">
        <f t="shared" si="62"/>
        <v>520.5722529</v>
      </c>
      <c r="AS104" s="131">
        <f t="shared" si="62"/>
        <v>525.7779754</v>
      </c>
      <c r="AT104" s="131">
        <f t="shared" si="62"/>
        <v>531.0357552</v>
      </c>
      <c r="AU104" s="131">
        <f t="shared" si="62"/>
        <v>536.3461127</v>
      </c>
      <c r="AV104" s="131">
        <f t="shared" si="62"/>
        <v>541.7095739</v>
      </c>
      <c r="AW104" s="131">
        <f t="shared" si="62"/>
        <v>547.1266696</v>
      </c>
      <c r="AX104" s="131">
        <f t="shared" si="62"/>
        <v>552.5979363</v>
      </c>
      <c r="AY104" s="131">
        <f t="shared" si="62"/>
        <v>558.1239157</v>
      </c>
      <c r="AZ104" s="131">
        <f t="shared" si="62"/>
        <v>563.7051548</v>
      </c>
      <c r="BA104" s="131">
        <f t="shared" si="62"/>
        <v>569.3422064</v>
      </c>
      <c r="BB104" s="131">
        <f t="shared" si="62"/>
        <v>575.0356284</v>
      </c>
      <c r="BC104" s="131">
        <f t="shared" si="62"/>
        <v>580.7859847</v>
      </c>
      <c r="BD104" s="131">
        <f t="shared" si="62"/>
        <v>586.5938446</v>
      </c>
      <c r="BE104" s="131">
        <f t="shared" si="62"/>
        <v>592.459783</v>
      </c>
      <c r="BF104" s="131">
        <f t="shared" si="62"/>
        <v>598.3843808</v>
      </c>
      <c r="BG104" s="131">
        <f t="shared" si="62"/>
        <v>604.3682247</v>
      </c>
      <c r="BH104" s="131">
        <f t="shared" si="62"/>
        <v>610.4119069</v>
      </c>
      <c r="BI104" s="131">
        <f t="shared" si="62"/>
        <v>616.516026</v>
      </c>
      <c r="BJ104" s="131">
        <f t="shared" si="62"/>
        <v>622.6811862</v>
      </c>
      <c r="BK104" s="131">
        <f t="shared" si="62"/>
        <v>628.9079981</v>
      </c>
      <c r="BL104" s="131">
        <f t="shared" si="62"/>
        <v>635.1970781</v>
      </c>
      <c r="BM104" s="131">
        <f t="shared" si="62"/>
        <v>641.5490489</v>
      </c>
      <c r="BN104" s="131">
        <f t="shared" si="62"/>
        <v>647.9645393</v>
      </c>
      <c r="BO104" s="131">
        <f t="shared" si="62"/>
        <v>654.4441847</v>
      </c>
      <c r="BP104" s="131">
        <f t="shared" si="62"/>
        <v>660.9886266</v>
      </c>
      <c r="BQ104" s="131">
        <f t="shared" si="62"/>
        <v>667.5985128</v>
      </c>
      <c r="BR104" s="131">
        <f t="shared" si="62"/>
        <v>674.274498</v>
      </c>
      <c r="BS104" s="131">
        <f t="shared" si="62"/>
        <v>681.017243</v>
      </c>
      <c r="BT104" s="131">
        <f t="shared" si="62"/>
        <v>687.8274154</v>
      </c>
      <c r="BU104" s="131">
        <f t="shared" si="62"/>
        <v>694.7056895</v>
      </c>
      <c r="BV104" s="131">
        <f t="shared" si="62"/>
        <v>701.6527464</v>
      </c>
      <c r="BW104" s="131">
        <f t="shared" si="62"/>
        <v>708.6692739</v>
      </c>
      <c r="BX104" s="131">
        <f t="shared" si="62"/>
        <v>715.7559666</v>
      </c>
      <c r="BY104" s="131">
        <f t="shared" si="62"/>
        <v>722.9135263</v>
      </c>
      <c r="BZ104" s="131">
        <f t="shared" si="62"/>
        <v>730.1426616</v>
      </c>
      <c r="CA104" s="131">
        <f t="shared" si="62"/>
        <v>737.4440882</v>
      </c>
      <c r="CB104" s="131">
        <f t="shared" si="62"/>
        <v>744.8185291</v>
      </c>
      <c r="CC104" s="117"/>
      <c r="CD104" s="117"/>
    </row>
    <row r="105" ht="15.75" customHeight="1">
      <c r="A105" s="297" t="s">
        <v>548</v>
      </c>
      <c r="B105" s="283">
        <v>0.05</v>
      </c>
      <c r="C105" s="117"/>
      <c r="D105" s="117"/>
      <c r="E105" s="117"/>
      <c r="F105" s="117"/>
      <c r="G105" s="117"/>
      <c r="H105" s="117"/>
      <c r="I105" s="117"/>
      <c r="J105" s="117"/>
      <c r="K105" s="117"/>
      <c r="L105" s="117"/>
      <c r="M105" s="117"/>
      <c r="N105" s="117"/>
      <c r="O105" s="131"/>
      <c r="P105" s="131"/>
      <c r="Q105" s="131"/>
      <c r="R105" s="131"/>
      <c r="S105" s="131"/>
      <c r="T105" s="131">
        <f t="shared" ref="T105:CB105" si="63">T$101*$B105</f>
        <v>235.275525</v>
      </c>
      <c r="U105" s="131">
        <f t="shared" si="63"/>
        <v>258.8030775</v>
      </c>
      <c r="V105" s="131">
        <f t="shared" si="63"/>
        <v>261.3911083</v>
      </c>
      <c r="W105" s="131">
        <f t="shared" si="63"/>
        <v>264.0050194</v>
      </c>
      <c r="X105" s="131">
        <f t="shared" si="63"/>
        <v>266.6450696</v>
      </c>
      <c r="Y105" s="131">
        <f t="shared" si="63"/>
        <v>269.3115202</v>
      </c>
      <c r="Z105" s="131">
        <f t="shared" si="63"/>
        <v>272.0046354</v>
      </c>
      <c r="AA105" s="131">
        <f t="shared" si="63"/>
        <v>274.7246818</v>
      </c>
      <c r="AB105" s="131">
        <f t="shared" si="63"/>
        <v>277.4719286</v>
      </c>
      <c r="AC105" s="131">
        <f t="shared" si="63"/>
        <v>280.2466479</v>
      </c>
      <c r="AD105" s="131">
        <f t="shared" si="63"/>
        <v>283.0491144</v>
      </c>
      <c r="AE105" s="131">
        <f t="shared" si="63"/>
        <v>285.8796055</v>
      </c>
      <c r="AF105" s="131">
        <f t="shared" si="63"/>
        <v>288.7384016</v>
      </c>
      <c r="AG105" s="131">
        <f t="shared" si="63"/>
        <v>291.6257856</v>
      </c>
      <c r="AH105" s="131">
        <f t="shared" si="63"/>
        <v>294.5420435</v>
      </c>
      <c r="AI105" s="131">
        <f t="shared" si="63"/>
        <v>297.4874639</v>
      </c>
      <c r="AJ105" s="131">
        <f t="shared" si="63"/>
        <v>300.4623385</v>
      </c>
      <c r="AK105" s="131">
        <f t="shared" si="63"/>
        <v>303.4669619</v>
      </c>
      <c r="AL105" s="131">
        <f t="shared" si="63"/>
        <v>306.5016315</v>
      </c>
      <c r="AM105" s="131">
        <f t="shared" si="63"/>
        <v>309.5666479</v>
      </c>
      <c r="AN105" s="131">
        <f t="shared" si="63"/>
        <v>312.6623143</v>
      </c>
      <c r="AO105" s="131">
        <f t="shared" si="63"/>
        <v>315.7889375</v>
      </c>
      <c r="AP105" s="131">
        <f t="shared" si="63"/>
        <v>318.9468268</v>
      </c>
      <c r="AQ105" s="131">
        <f t="shared" si="63"/>
        <v>322.1362951</v>
      </c>
      <c r="AR105" s="131">
        <f t="shared" si="63"/>
        <v>325.3576581</v>
      </c>
      <c r="AS105" s="131">
        <f t="shared" si="63"/>
        <v>328.6112346</v>
      </c>
      <c r="AT105" s="131">
        <f t="shared" si="63"/>
        <v>331.897347</v>
      </c>
      <c r="AU105" s="131">
        <f t="shared" si="63"/>
        <v>335.2163205</v>
      </c>
      <c r="AV105" s="131">
        <f t="shared" si="63"/>
        <v>338.5684837</v>
      </c>
      <c r="AW105" s="131">
        <f t="shared" si="63"/>
        <v>341.9541685</v>
      </c>
      <c r="AX105" s="131">
        <f t="shared" si="63"/>
        <v>345.3737102</v>
      </c>
      <c r="AY105" s="131">
        <f t="shared" si="63"/>
        <v>348.8274473</v>
      </c>
      <c r="AZ105" s="131">
        <f t="shared" si="63"/>
        <v>352.3157218</v>
      </c>
      <c r="BA105" s="131">
        <f t="shared" si="63"/>
        <v>355.838879</v>
      </c>
      <c r="BB105" s="131">
        <f t="shared" si="63"/>
        <v>359.3972678</v>
      </c>
      <c r="BC105" s="131">
        <f t="shared" si="63"/>
        <v>362.9912405</v>
      </c>
      <c r="BD105" s="131">
        <f t="shared" si="63"/>
        <v>366.6211529</v>
      </c>
      <c r="BE105" s="131">
        <f t="shared" si="63"/>
        <v>370.2873644</v>
      </c>
      <c r="BF105" s="131">
        <f t="shared" si="63"/>
        <v>373.990238</v>
      </c>
      <c r="BG105" s="131">
        <f t="shared" si="63"/>
        <v>377.7301404</v>
      </c>
      <c r="BH105" s="131">
        <f t="shared" si="63"/>
        <v>381.5074418</v>
      </c>
      <c r="BI105" s="131">
        <f t="shared" si="63"/>
        <v>385.3225162</v>
      </c>
      <c r="BJ105" s="131">
        <f t="shared" si="63"/>
        <v>389.1757414</v>
      </c>
      <c r="BK105" s="131">
        <f t="shared" si="63"/>
        <v>393.0674988</v>
      </c>
      <c r="BL105" s="131">
        <f t="shared" si="63"/>
        <v>396.9981738</v>
      </c>
      <c r="BM105" s="131">
        <f t="shared" si="63"/>
        <v>400.9681555</v>
      </c>
      <c r="BN105" s="131">
        <f t="shared" si="63"/>
        <v>404.9778371</v>
      </c>
      <c r="BO105" s="131">
        <f t="shared" si="63"/>
        <v>409.0276155</v>
      </c>
      <c r="BP105" s="131">
        <f t="shared" si="63"/>
        <v>413.1178916</v>
      </c>
      <c r="BQ105" s="131">
        <f t="shared" si="63"/>
        <v>417.2490705</v>
      </c>
      <c r="BR105" s="131">
        <f t="shared" si="63"/>
        <v>421.4215612</v>
      </c>
      <c r="BS105" s="131">
        <f t="shared" si="63"/>
        <v>425.6357768</v>
      </c>
      <c r="BT105" s="131">
        <f t="shared" si="63"/>
        <v>429.8921346</v>
      </c>
      <c r="BU105" s="131">
        <f t="shared" si="63"/>
        <v>434.191056</v>
      </c>
      <c r="BV105" s="131">
        <f t="shared" si="63"/>
        <v>438.5329665</v>
      </c>
      <c r="BW105" s="131">
        <f t="shared" si="63"/>
        <v>442.9182962</v>
      </c>
      <c r="BX105" s="131">
        <f t="shared" si="63"/>
        <v>447.3474791</v>
      </c>
      <c r="BY105" s="131">
        <f t="shared" si="63"/>
        <v>451.8209539</v>
      </c>
      <c r="BZ105" s="131">
        <f t="shared" si="63"/>
        <v>456.3391635</v>
      </c>
      <c r="CA105" s="131">
        <f t="shared" si="63"/>
        <v>460.9025551</v>
      </c>
      <c r="CB105" s="131">
        <f t="shared" si="63"/>
        <v>465.5115807</v>
      </c>
      <c r="CC105" s="117"/>
      <c r="CD105" s="117"/>
    </row>
    <row r="106" ht="15.75" customHeight="1">
      <c r="A106" s="297" t="s">
        <v>549</v>
      </c>
      <c r="B106" s="283">
        <v>0.03</v>
      </c>
      <c r="C106" s="117"/>
      <c r="D106" s="117"/>
      <c r="E106" s="117"/>
      <c r="F106" s="117"/>
      <c r="G106" s="117"/>
      <c r="H106" s="117"/>
      <c r="I106" s="117"/>
      <c r="J106" s="117"/>
      <c r="K106" s="117"/>
      <c r="L106" s="117"/>
      <c r="M106" s="117"/>
      <c r="N106" s="117"/>
      <c r="O106" s="131"/>
      <c r="P106" s="131"/>
      <c r="Q106" s="131"/>
      <c r="R106" s="131"/>
      <c r="S106" s="131"/>
      <c r="T106" s="131">
        <f t="shared" ref="T106:CB106" si="64">T$101*$B106</f>
        <v>141.165315</v>
      </c>
      <c r="U106" s="131">
        <f t="shared" si="64"/>
        <v>155.2818465</v>
      </c>
      <c r="V106" s="131">
        <f t="shared" si="64"/>
        <v>156.834665</v>
      </c>
      <c r="W106" s="131">
        <f t="shared" si="64"/>
        <v>158.4030116</v>
      </c>
      <c r="X106" s="131">
        <f t="shared" si="64"/>
        <v>159.9870417</v>
      </c>
      <c r="Y106" s="131">
        <f t="shared" si="64"/>
        <v>161.5869121</v>
      </c>
      <c r="Z106" s="131">
        <f t="shared" si="64"/>
        <v>163.2027813</v>
      </c>
      <c r="AA106" s="131">
        <f t="shared" si="64"/>
        <v>164.8348091</v>
      </c>
      <c r="AB106" s="131">
        <f t="shared" si="64"/>
        <v>166.4831572</v>
      </c>
      <c r="AC106" s="131">
        <f t="shared" si="64"/>
        <v>168.1479887</v>
      </c>
      <c r="AD106" s="131">
        <f t="shared" si="64"/>
        <v>169.8294686</v>
      </c>
      <c r="AE106" s="131">
        <f t="shared" si="64"/>
        <v>171.5277633</v>
      </c>
      <c r="AF106" s="131">
        <f t="shared" si="64"/>
        <v>173.243041</v>
      </c>
      <c r="AG106" s="131">
        <f t="shared" si="64"/>
        <v>174.9754714</v>
      </c>
      <c r="AH106" s="131">
        <f t="shared" si="64"/>
        <v>176.7252261</v>
      </c>
      <c r="AI106" s="131">
        <f t="shared" si="64"/>
        <v>178.4924783</v>
      </c>
      <c r="AJ106" s="131">
        <f t="shared" si="64"/>
        <v>180.2774031</v>
      </c>
      <c r="AK106" s="131">
        <f t="shared" si="64"/>
        <v>182.0801772</v>
      </c>
      <c r="AL106" s="131">
        <f t="shared" si="64"/>
        <v>183.9009789</v>
      </c>
      <c r="AM106" s="131">
        <f t="shared" si="64"/>
        <v>185.7399887</v>
      </c>
      <c r="AN106" s="131">
        <f t="shared" si="64"/>
        <v>187.5973886</v>
      </c>
      <c r="AO106" s="131">
        <f t="shared" si="64"/>
        <v>189.4733625</v>
      </c>
      <c r="AP106" s="131">
        <f t="shared" si="64"/>
        <v>191.3680961</v>
      </c>
      <c r="AQ106" s="131">
        <f t="shared" si="64"/>
        <v>193.2817771</v>
      </c>
      <c r="AR106" s="131">
        <f t="shared" si="64"/>
        <v>195.2145948</v>
      </c>
      <c r="AS106" s="131">
        <f t="shared" si="64"/>
        <v>197.1667408</v>
      </c>
      <c r="AT106" s="131">
        <f t="shared" si="64"/>
        <v>199.1384082</v>
      </c>
      <c r="AU106" s="131">
        <f t="shared" si="64"/>
        <v>201.1297923</v>
      </c>
      <c r="AV106" s="131">
        <f t="shared" si="64"/>
        <v>203.1410902</v>
      </c>
      <c r="AW106" s="131">
        <f t="shared" si="64"/>
        <v>205.1725011</v>
      </c>
      <c r="AX106" s="131">
        <f t="shared" si="64"/>
        <v>207.2242261</v>
      </c>
      <c r="AY106" s="131">
        <f t="shared" si="64"/>
        <v>209.2964684</v>
      </c>
      <c r="AZ106" s="131">
        <f t="shared" si="64"/>
        <v>211.3894331</v>
      </c>
      <c r="BA106" s="131">
        <f t="shared" si="64"/>
        <v>213.5033274</v>
      </c>
      <c r="BB106" s="131">
        <f t="shared" si="64"/>
        <v>215.6383607</v>
      </c>
      <c r="BC106" s="131">
        <f t="shared" si="64"/>
        <v>217.7947443</v>
      </c>
      <c r="BD106" s="131">
        <f t="shared" si="64"/>
        <v>219.9726917</v>
      </c>
      <c r="BE106" s="131">
        <f t="shared" si="64"/>
        <v>222.1724186</v>
      </c>
      <c r="BF106" s="131">
        <f t="shared" si="64"/>
        <v>224.3941428</v>
      </c>
      <c r="BG106" s="131">
        <f t="shared" si="64"/>
        <v>226.6380842</v>
      </c>
      <c r="BH106" s="131">
        <f t="shared" si="64"/>
        <v>228.9044651</v>
      </c>
      <c r="BI106" s="131">
        <f t="shared" si="64"/>
        <v>231.1935097</v>
      </c>
      <c r="BJ106" s="131">
        <f t="shared" si="64"/>
        <v>233.5054448</v>
      </c>
      <c r="BK106" s="131">
        <f t="shared" si="64"/>
        <v>235.8404993</v>
      </c>
      <c r="BL106" s="131">
        <f t="shared" si="64"/>
        <v>238.1989043</v>
      </c>
      <c r="BM106" s="131">
        <f t="shared" si="64"/>
        <v>240.5808933</v>
      </c>
      <c r="BN106" s="131">
        <f t="shared" si="64"/>
        <v>242.9867023</v>
      </c>
      <c r="BO106" s="131">
        <f t="shared" si="64"/>
        <v>245.4165693</v>
      </c>
      <c r="BP106" s="131">
        <f t="shared" si="64"/>
        <v>247.870735</v>
      </c>
      <c r="BQ106" s="131">
        <f t="shared" si="64"/>
        <v>250.3494423</v>
      </c>
      <c r="BR106" s="131">
        <f t="shared" si="64"/>
        <v>252.8529367</v>
      </c>
      <c r="BS106" s="131">
        <f t="shared" si="64"/>
        <v>255.3814661</v>
      </c>
      <c r="BT106" s="131">
        <f t="shared" si="64"/>
        <v>257.9352808</v>
      </c>
      <c r="BU106" s="131">
        <f t="shared" si="64"/>
        <v>260.5146336</v>
      </c>
      <c r="BV106" s="131">
        <f t="shared" si="64"/>
        <v>263.1197799</v>
      </c>
      <c r="BW106" s="131">
        <f t="shared" si="64"/>
        <v>265.7509777</v>
      </c>
      <c r="BX106" s="131">
        <f t="shared" si="64"/>
        <v>268.4084875</v>
      </c>
      <c r="BY106" s="131">
        <f t="shared" si="64"/>
        <v>271.0925724</v>
      </c>
      <c r="BZ106" s="131">
        <f t="shared" si="64"/>
        <v>273.8034981</v>
      </c>
      <c r="CA106" s="131">
        <f t="shared" si="64"/>
        <v>276.5415331</v>
      </c>
      <c r="CB106" s="131">
        <f t="shared" si="64"/>
        <v>279.3069484</v>
      </c>
      <c r="CC106" s="117"/>
      <c r="CD106" s="117"/>
    </row>
    <row r="107" ht="15.75" customHeight="1">
      <c r="A107" s="297" t="s">
        <v>550</v>
      </c>
      <c r="B107" s="283">
        <v>0.03</v>
      </c>
      <c r="C107" s="117"/>
      <c r="D107" s="117"/>
      <c r="E107" s="117"/>
      <c r="F107" s="117"/>
      <c r="G107" s="117"/>
      <c r="H107" s="117"/>
      <c r="I107" s="117"/>
      <c r="J107" s="117"/>
      <c r="K107" s="117"/>
      <c r="L107" s="117"/>
      <c r="M107" s="117"/>
      <c r="N107" s="117"/>
      <c r="O107" s="131"/>
      <c r="P107" s="131"/>
      <c r="Q107" s="131"/>
      <c r="R107" s="131"/>
      <c r="S107" s="131"/>
      <c r="T107" s="131">
        <f t="shared" ref="T107:CB107" si="65">T$101*$B107</f>
        <v>141.165315</v>
      </c>
      <c r="U107" s="131">
        <f t="shared" si="65"/>
        <v>155.2818465</v>
      </c>
      <c r="V107" s="131">
        <f t="shared" si="65"/>
        <v>156.834665</v>
      </c>
      <c r="W107" s="131">
        <f t="shared" si="65"/>
        <v>158.4030116</v>
      </c>
      <c r="X107" s="131">
        <f t="shared" si="65"/>
        <v>159.9870417</v>
      </c>
      <c r="Y107" s="131">
        <f t="shared" si="65"/>
        <v>161.5869121</v>
      </c>
      <c r="Z107" s="131">
        <f t="shared" si="65"/>
        <v>163.2027813</v>
      </c>
      <c r="AA107" s="131">
        <f t="shared" si="65"/>
        <v>164.8348091</v>
      </c>
      <c r="AB107" s="131">
        <f t="shared" si="65"/>
        <v>166.4831572</v>
      </c>
      <c r="AC107" s="131">
        <f t="shared" si="65"/>
        <v>168.1479887</v>
      </c>
      <c r="AD107" s="131">
        <f t="shared" si="65"/>
        <v>169.8294686</v>
      </c>
      <c r="AE107" s="131">
        <f t="shared" si="65"/>
        <v>171.5277633</v>
      </c>
      <c r="AF107" s="131">
        <f t="shared" si="65"/>
        <v>173.243041</v>
      </c>
      <c r="AG107" s="131">
        <f t="shared" si="65"/>
        <v>174.9754714</v>
      </c>
      <c r="AH107" s="131">
        <f t="shared" si="65"/>
        <v>176.7252261</v>
      </c>
      <c r="AI107" s="131">
        <f t="shared" si="65"/>
        <v>178.4924783</v>
      </c>
      <c r="AJ107" s="131">
        <f t="shared" si="65"/>
        <v>180.2774031</v>
      </c>
      <c r="AK107" s="131">
        <f t="shared" si="65"/>
        <v>182.0801772</v>
      </c>
      <c r="AL107" s="131">
        <f t="shared" si="65"/>
        <v>183.9009789</v>
      </c>
      <c r="AM107" s="131">
        <f t="shared" si="65"/>
        <v>185.7399887</v>
      </c>
      <c r="AN107" s="131">
        <f t="shared" si="65"/>
        <v>187.5973886</v>
      </c>
      <c r="AO107" s="131">
        <f t="shared" si="65"/>
        <v>189.4733625</v>
      </c>
      <c r="AP107" s="131">
        <f t="shared" si="65"/>
        <v>191.3680961</v>
      </c>
      <c r="AQ107" s="131">
        <f t="shared" si="65"/>
        <v>193.2817771</v>
      </c>
      <c r="AR107" s="131">
        <f t="shared" si="65"/>
        <v>195.2145948</v>
      </c>
      <c r="AS107" s="131">
        <f t="shared" si="65"/>
        <v>197.1667408</v>
      </c>
      <c r="AT107" s="131">
        <f t="shared" si="65"/>
        <v>199.1384082</v>
      </c>
      <c r="AU107" s="131">
        <f t="shared" si="65"/>
        <v>201.1297923</v>
      </c>
      <c r="AV107" s="131">
        <f t="shared" si="65"/>
        <v>203.1410902</v>
      </c>
      <c r="AW107" s="131">
        <f t="shared" si="65"/>
        <v>205.1725011</v>
      </c>
      <c r="AX107" s="131">
        <f t="shared" si="65"/>
        <v>207.2242261</v>
      </c>
      <c r="AY107" s="131">
        <f t="shared" si="65"/>
        <v>209.2964684</v>
      </c>
      <c r="AZ107" s="131">
        <f t="shared" si="65"/>
        <v>211.3894331</v>
      </c>
      <c r="BA107" s="131">
        <f t="shared" si="65"/>
        <v>213.5033274</v>
      </c>
      <c r="BB107" s="131">
        <f t="shared" si="65"/>
        <v>215.6383607</v>
      </c>
      <c r="BC107" s="131">
        <f t="shared" si="65"/>
        <v>217.7947443</v>
      </c>
      <c r="BD107" s="131">
        <f t="shared" si="65"/>
        <v>219.9726917</v>
      </c>
      <c r="BE107" s="131">
        <f t="shared" si="65"/>
        <v>222.1724186</v>
      </c>
      <c r="BF107" s="131">
        <f t="shared" si="65"/>
        <v>224.3941428</v>
      </c>
      <c r="BG107" s="131">
        <f t="shared" si="65"/>
        <v>226.6380842</v>
      </c>
      <c r="BH107" s="131">
        <f t="shared" si="65"/>
        <v>228.9044651</v>
      </c>
      <c r="BI107" s="131">
        <f t="shared" si="65"/>
        <v>231.1935097</v>
      </c>
      <c r="BJ107" s="131">
        <f t="shared" si="65"/>
        <v>233.5054448</v>
      </c>
      <c r="BK107" s="131">
        <f t="shared" si="65"/>
        <v>235.8404993</v>
      </c>
      <c r="BL107" s="131">
        <f t="shared" si="65"/>
        <v>238.1989043</v>
      </c>
      <c r="BM107" s="131">
        <f t="shared" si="65"/>
        <v>240.5808933</v>
      </c>
      <c r="BN107" s="131">
        <f t="shared" si="65"/>
        <v>242.9867023</v>
      </c>
      <c r="BO107" s="131">
        <f t="shared" si="65"/>
        <v>245.4165693</v>
      </c>
      <c r="BP107" s="131">
        <f t="shared" si="65"/>
        <v>247.870735</v>
      </c>
      <c r="BQ107" s="131">
        <f t="shared" si="65"/>
        <v>250.3494423</v>
      </c>
      <c r="BR107" s="131">
        <f t="shared" si="65"/>
        <v>252.8529367</v>
      </c>
      <c r="BS107" s="131">
        <f t="shared" si="65"/>
        <v>255.3814661</v>
      </c>
      <c r="BT107" s="131">
        <f t="shared" si="65"/>
        <v>257.9352808</v>
      </c>
      <c r="BU107" s="131">
        <f t="shared" si="65"/>
        <v>260.5146336</v>
      </c>
      <c r="BV107" s="131">
        <f t="shared" si="65"/>
        <v>263.1197799</v>
      </c>
      <c r="BW107" s="131">
        <f t="shared" si="65"/>
        <v>265.7509777</v>
      </c>
      <c r="BX107" s="131">
        <f t="shared" si="65"/>
        <v>268.4084875</v>
      </c>
      <c r="BY107" s="131">
        <f t="shared" si="65"/>
        <v>271.0925724</v>
      </c>
      <c r="BZ107" s="131">
        <f t="shared" si="65"/>
        <v>273.8034981</v>
      </c>
      <c r="CA107" s="131">
        <f t="shared" si="65"/>
        <v>276.5415331</v>
      </c>
      <c r="CB107" s="131">
        <f t="shared" si="65"/>
        <v>279.3069484</v>
      </c>
      <c r="CC107" s="117"/>
      <c r="CD107" s="117"/>
    </row>
    <row r="108" ht="15.75" customHeight="1">
      <c r="A108" s="297" t="s">
        <v>551</v>
      </c>
      <c r="B108" s="293">
        <f>1-SUM(B102:B107)</f>
        <v>0.21</v>
      </c>
      <c r="C108" s="117"/>
      <c r="D108" s="117"/>
      <c r="E108" s="117"/>
      <c r="F108" s="117"/>
      <c r="G108" s="117"/>
      <c r="H108" s="117"/>
      <c r="I108" s="117"/>
      <c r="J108" s="117"/>
      <c r="K108" s="117"/>
      <c r="L108" s="117"/>
      <c r="M108" s="117"/>
      <c r="N108" s="117"/>
      <c r="O108" s="131"/>
      <c r="P108" s="131"/>
      <c r="Q108" s="131"/>
      <c r="R108" s="131"/>
      <c r="S108" s="131"/>
      <c r="T108" s="131">
        <f t="shared" ref="T108:CB108" si="66">T$101*$B108</f>
        <v>988.157205</v>
      </c>
      <c r="U108" s="131">
        <f t="shared" si="66"/>
        <v>1086.972926</v>
      </c>
      <c r="V108" s="131">
        <f t="shared" si="66"/>
        <v>1097.842655</v>
      </c>
      <c r="W108" s="131">
        <f t="shared" si="66"/>
        <v>1108.821081</v>
      </c>
      <c r="X108" s="131">
        <f t="shared" si="66"/>
        <v>1119.909292</v>
      </c>
      <c r="Y108" s="131">
        <f t="shared" si="66"/>
        <v>1131.108385</v>
      </c>
      <c r="Z108" s="131">
        <f t="shared" si="66"/>
        <v>1142.419469</v>
      </c>
      <c r="AA108" s="131">
        <f t="shared" si="66"/>
        <v>1153.843664</v>
      </c>
      <c r="AB108" s="131">
        <f t="shared" si="66"/>
        <v>1165.3821</v>
      </c>
      <c r="AC108" s="131">
        <f t="shared" si="66"/>
        <v>1177.035921</v>
      </c>
      <c r="AD108" s="131">
        <f t="shared" si="66"/>
        <v>1188.80628</v>
      </c>
      <c r="AE108" s="131">
        <f t="shared" si="66"/>
        <v>1200.694343</v>
      </c>
      <c r="AF108" s="131">
        <f t="shared" si="66"/>
        <v>1212.701287</v>
      </c>
      <c r="AG108" s="131">
        <f t="shared" si="66"/>
        <v>1224.8283</v>
      </c>
      <c r="AH108" s="131">
        <f t="shared" si="66"/>
        <v>1237.076583</v>
      </c>
      <c r="AI108" s="131">
        <f t="shared" si="66"/>
        <v>1249.447348</v>
      </c>
      <c r="AJ108" s="131">
        <f t="shared" si="66"/>
        <v>1261.941822</v>
      </c>
      <c r="AK108" s="131">
        <f t="shared" si="66"/>
        <v>1274.56124</v>
      </c>
      <c r="AL108" s="131">
        <f t="shared" si="66"/>
        <v>1287.306852</v>
      </c>
      <c r="AM108" s="131">
        <f t="shared" si="66"/>
        <v>1300.179921</v>
      </c>
      <c r="AN108" s="131">
        <f t="shared" si="66"/>
        <v>1313.18172</v>
      </c>
      <c r="AO108" s="131">
        <f t="shared" si="66"/>
        <v>1326.313537</v>
      </c>
      <c r="AP108" s="131">
        <f t="shared" si="66"/>
        <v>1339.576673</v>
      </c>
      <c r="AQ108" s="131">
        <f t="shared" si="66"/>
        <v>1352.972439</v>
      </c>
      <c r="AR108" s="131">
        <f t="shared" si="66"/>
        <v>1366.502164</v>
      </c>
      <c r="AS108" s="131">
        <f t="shared" si="66"/>
        <v>1380.167186</v>
      </c>
      <c r="AT108" s="131">
        <f t="shared" si="66"/>
        <v>1393.968857</v>
      </c>
      <c r="AU108" s="131">
        <f t="shared" si="66"/>
        <v>1407.908546</v>
      </c>
      <c r="AV108" s="131">
        <f t="shared" si="66"/>
        <v>1421.987631</v>
      </c>
      <c r="AW108" s="131">
        <f t="shared" si="66"/>
        <v>1436.207508</v>
      </c>
      <c r="AX108" s="131">
        <f t="shared" si="66"/>
        <v>1450.569583</v>
      </c>
      <c r="AY108" s="131">
        <f t="shared" si="66"/>
        <v>1465.075279</v>
      </c>
      <c r="AZ108" s="131">
        <f t="shared" si="66"/>
        <v>1479.726031</v>
      </c>
      <c r="BA108" s="131">
        <f t="shared" si="66"/>
        <v>1494.523292</v>
      </c>
      <c r="BB108" s="131">
        <f t="shared" si="66"/>
        <v>1509.468525</v>
      </c>
      <c r="BC108" s="131">
        <f t="shared" si="66"/>
        <v>1524.56321</v>
      </c>
      <c r="BD108" s="131">
        <f t="shared" si="66"/>
        <v>1539.808842</v>
      </c>
      <c r="BE108" s="131">
        <f t="shared" si="66"/>
        <v>1555.20693</v>
      </c>
      <c r="BF108" s="131">
        <f t="shared" si="66"/>
        <v>1570.759</v>
      </c>
      <c r="BG108" s="131">
        <f t="shared" si="66"/>
        <v>1586.46659</v>
      </c>
      <c r="BH108" s="131">
        <f t="shared" si="66"/>
        <v>1602.331256</v>
      </c>
      <c r="BI108" s="131">
        <f t="shared" si="66"/>
        <v>1618.354568</v>
      </c>
      <c r="BJ108" s="131">
        <f t="shared" si="66"/>
        <v>1634.538114</v>
      </c>
      <c r="BK108" s="131">
        <f t="shared" si="66"/>
        <v>1650.883495</v>
      </c>
      <c r="BL108" s="131">
        <f t="shared" si="66"/>
        <v>1667.39233</v>
      </c>
      <c r="BM108" s="131">
        <f t="shared" si="66"/>
        <v>1684.066253</v>
      </c>
      <c r="BN108" s="131">
        <f t="shared" si="66"/>
        <v>1700.906916</v>
      </c>
      <c r="BO108" s="131">
        <f t="shared" si="66"/>
        <v>1717.915985</v>
      </c>
      <c r="BP108" s="131">
        <f t="shared" si="66"/>
        <v>1735.095145</v>
      </c>
      <c r="BQ108" s="131">
        <f t="shared" si="66"/>
        <v>1752.446096</v>
      </c>
      <c r="BR108" s="131">
        <f t="shared" si="66"/>
        <v>1769.970557</v>
      </c>
      <c r="BS108" s="131">
        <f t="shared" si="66"/>
        <v>1787.670263</v>
      </c>
      <c r="BT108" s="131">
        <f t="shared" si="66"/>
        <v>1805.546965</v>
      </c>
      <c r="BU108" s="131">
        <f t="shared" si="66"/>
        <v>1823.602435</v>
      </c>
      <c r="BV108" s="131">
        <f t="shared" si="66"/>
        <v>1841.838459</v>
      </c>
      <c r="BW108" s="131">
        <f t="shared" si="66"/>
        <v>1860.256844</v>
      </c>
      <c r="BX108" s="131">
        <f t="shared" si="66"/>
        <v>1878.859412</v>
      </c>
      <c r="BY108" s="131">
        <f t="shared" si="66"/>
        <v>1897.648007</v>
      </c>
      <c r="BZ108" s="131">
        <f t="shared" si="66"/>
        <v>1916.624487</v>
      </c>
      <c r="CA108" s="131">
        <f t="shared" si="66"/>
        <v>1935.790731</v>
      </c>
      <c r="CB108" s="131">
        <f t="shared" si="66"/>
        <v>1955.148639</v>
      </c>
      <c r="CC108" s="117"/>
      <c r="CD108" s="117"/>
    </row>
    <row r="109" ht="15.75" customHeight="1">
      <c r="A109" s="146"/>
      <c r="B109" s="130"/>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c r="BS109" s="117"/>
      <c r="BT109" s="117"/>
      <c r="BU109" s="117"/>
      <c r="BV109" s="117"/>
      <c r="BW109" s="117"/>
      <c r="BX109" s="117"/>
      <c r="BY109" s="117"/>
      <c r="BZ109" s="117"/>
      <c r="CA109" s="117"/>
      <c r="CB109" s="117"/>
      <c r="CC109" s="117"/>
      <c r="CD109" s="117"/>
    </row>
    <row r="110" ht="15.75" customHeight="1">
      <c r="A110" s="4" t="s">
        <v>219</v>
      </c>
      <c r="B110" s="296">
        <v>0.45</v>
      </c>
      <c r="C110" s="118"/>
      <c r="D110" s="118"/>
      <c r="E110" s="118"/>
      <c r="F110" s="118"/>
      <c r="G110" s="118"/>
      <c r="H110" s="118"/>
      <c r="I110" s="118"/>
      <c r="J110" s="118"/>
      <c r="K110" s="118"/>
      <c r="L110" s="118"/>
      <c r="M110" s="118"/>
      <c r="N110" s="247">
        <f t="array" ref="N110">INDEX('IS Proforma'!$1:$1048490,MATCH(Expenses!$A110,'IS Proforma'!$C:$C,0),MATCH(Expenses!N$4,'IS Proforma'!$4:$4))</f>
        <v>2285</v>
      </c>
      <c r="O110" s="247">
        <f t="array" ref="O110">INDEX('IS Proforma'!$1:$1048490,MATCH(Expenses!$A110,'IS Proforma'!$C:$C,0),MATCH(Expenses!O$4,'IS Proforma'!$4:$4))</f>
        <v>1905</v>
      </c>
      <c r="P110" s="247">
        <f t="array" ref="P110">INDEX('IS Proforma'!$1:$1048490,MATCH(Expenses!$A110,'IS Proforma'!$C:$C,0),MATCH(Expenses!P$4,'IS Proforma'!$4:$4))</f>
        <v>1643</v>
      </c>
      <c r="Q110" s="247">
        <f t="array" ref="Q110">INDEX('IS Proforma'!$1:$1048490,MATCH(Expenses!$A110,'IS Proforma'!$C:$C,0),MATCH(Expenses!Q$4,'IS Proforma'!$4:$4))</f>
        <v>1323</v>
      </c>
      <c r="R110" s="247">
        <f t="array" ref="R110">INDEX('IS Proforma'!$1:$1048490,MATCH(Expenses!$A110,'IS Proforma'!$C:$C,0),MATCH(Expenses!R$4,'IS Proforma'!$4:$4))</f>
        <v>1038</v>
      </c>
      <c r="S110" s="247">
        <f t="array" ref="S110">INDEX('IS Proforma'!$1:$1048490,MATCH(Expenses!$A110,'IS Proforma'!$C:$C,0),MATCH(Expenses!S$4,'IS Proforma'!$4:$4))</f>
        <v>1723</v>
      </c>
      <c r="T110" s="303">
        <f t="shared" ref="T110:CB110" si="67">T$97*$B110</f>
        <v>7058.26575</v>
      </c>
      <c r="U110" s="303">
        <f t="shared" si="67"/>
        <v>7764.092325</v>
      </c>
      <c r="V110" s="303">
        <f t="shared" si="67"/>
        <v>7841.733248</v>
      </c>
      <c r="W110" s="303">
        <f t="shared" si="67"/>
        <v>7920.150581</v>
      </c>
      <c r="X110" s="303">
        <f t="shared" si="67"/>
        <v>7999.352087</v>
      </c>
      <c r="Y110" s="303">
        <f t="shared" si="67"/>
        <v>8079.345607</v>
      </c>
      <c r="Z110" s="303">
        <f t="shared" si="67"/>
        <v>8160.139063</v>
      </c>
      <c r="AA110" s="303">
        <f t="shared" si="67"/>
        <v>8241.740454</v>
      </c>
      <c r="AB110" s="303">
        <f t="shared" si="67"/>
        <v>8324.157859</v>
      </c>
      <c r="AC110" s="303">
        <f t="shared" si="67"/>
        <v>8407.399437</v>
      </c>
      <c r="AD110" s="303">
        <f t="shared" si="67"/>
        <v>8491.473432</v>
      </c>
      <c r="AE110" s="303">
        <f t="shared" si="67"/>
        <v>8576.388166</v>
      </c>
      <c r="AF110" s="303">
        <f t="shared" si="67"/>
        <v>8662.152048</v>
      </c>
      <c r="AG110" s="303">
        <f t="shared" si="67"/>
        <v>8748.773568</v>
      </c>
      <c r="AH110" s="303">
        <f t="shared" si="67"/>
        <v>8836.261304</v>
      </c>
      <c r="AI110" s="303">
        <f t="shared" si="67"/>
        <v>8924.623917</v>
      </c>
      <c r="AJ110" s="303">
        <f t="shared" si="67"/>
        <v>9013.870156</v>
      </c>
      <c r="AK110" s="303">
        <f t="shared" si="67"/>
        <v>9104.008858</v>
      </c>
      <c r="AL110" s="303">
        <f t="shared" si="67"/>
        <v>9195.048946</v>
      </c>
      <c r="AM110" s="303">
        <f t="shared" si="67"/>
        <v>9286.999436</v>
      </c>
      <c r="AN110" s="303">
        <f t="shared" si="67"/>
        <v>9379.86943</v>
      </c>
      <c r="AO110" s="303">
        <f t="shared" si="67"/>
        <v>9473.668124</v>
      </c>
      <c r="AP110" s="303">
        <f t="shared" si="67"/>
        <v>9568.404805</v>
      </c>
      <c r="AQ110" s="303">
        <f t="shared" si="67"/>
        <v>9664.088853</v>
      </c>
      <c r="AR110" s="303">
        <f t="shared" si="67"/>
        <v>9760.729742</v>
      </c>
      <c r="AS110" s="303">
        <f t="shared" si="67"/>
        <v>9858.337039</v>
      </c>
      <c r="AT110" s="303">
        <f t="shared" si="67"/>
        <v>9956.92041</v>
      </c>
      <c r="AU110" s="303">
        <f t="shared" si="67"/>
        <v>10056.48961</v>
      </c>
      <c r="AV110" s="303">
        <f t="shared" si="67"/>
        <v>10157.05451</v>
      </c>
      <c r="AW110" s="303">
        <f t="shared" si="67"/>
        <v>10258.62506</v>
      </c>
      <c r="AX110" s="303">
        <f t="shared" si="67"/>
        <v>10361.21131</v>
      </c>
      <c r="AY110" s="303">
        <f t="shared" si="67"/>
        <v>10464.82342</v>
      </c>
      <c r="AZ110" s="303">
        <f t="shared" si="67"/>
        <v>10569.47165</v>
      </c>
      <c r="BA110" s="303">
        <f t="shared" si="67"/>
        <v>10675.16637</v>
      </c>
      <c r="BB110" s="303">
        <f t="shared" si="67"/>
        <v>10781.91803</v>
      </c>
      <c r="BC110" s="303">
        <f t="shared" si="67"/>
        <v>10889.73721</v>
      </c>
      <c r="BD110" s="303">
        <f t="shared" si="67"/>
        <v>10998.63459</v>
      </c>
      <c r="BE110" s="303">
        <f t="shared" si="67"/>
        <v>11108.62093</v>
      </c>
      <c r="BF110" s="303">
        <f t="shared" si="67"/>
        <v>11219.70714</v>
      </c>
      <c r="BG110" s="303">
        <f t="shared" si="67"/>
        <v>11331.90421</v>
      </c>
      <c r="BH110" s="303">
        <f t="shared" si="67"/>
        <v>11445.22325</v>
      </c>
      <c r="BI110" s="303">
        <f t="shared" si="67"/>
        <v>11559.67549</v>
      </c>
      <c r="BJ110" s="303">
        <f t="shared" si="67"/>
        <v>11675.27224</v>
      </c>
      <c r="BK110" s="303">
        <f t="shared" si="67"/>
        <v>11792.02496</v>
      </c>
      <c r="BL110" s="303">
        <f t="shared" si="67"/>
        <v>11909.94521</v>
      </c>
      <c r="BM110" s="303">
        <f t="shared" si="67"/>
        <v>12029.04467</v>
      </c>
      <c r="BN110" s="303">
        <f t="shared" si="67"/>
        <v>12149.33511</v>
      </c>
      <c r="BO110" s="303">
        <f t="shared" si="67"/>
        <v>12270.82846</v>
      </c>
      <c r="BP110" s="303">
        <f t="shared" si="67"/>
        <v>12393.53675</v>
      </c>
      <c r="BQ110" s="303">
        <f t="shared" si="67"/>
        <v>12517.47212</v>
      </c>
      <c r="BR110" s="303">
        <f t="shared" si="67"/>
        <v>12642.64684</v>
      </c>
      <c r="BS110" s="303">
        <f t="shared" si="67"/>
        <v>12769.07331</v>
      </c>
      <c r="BT110" s="303">
        <f t="shared" si="67"/>
        <v>12896.76404</v>
      </c>
      <c r="BU110" s="303">
        <f t="shared" si="67"/>
        <v>13025.73168</v>
      </c>
      <c r="BV110" s="303">
        <f t="shared" si="67"/>
        <v>13155.989</v>
      </c>
      <c r="BW110" s="303">
        <f t="shared" si="67"/>
        <v>13287.54889</v>
      </c>
      <c r="BX110" s="303">
        <f t="shared" si="67"/>
        <v>13420.42437</v>
      </c>
      <c r="BY110" s="303">
        <f t="shared" si="67"/>
        <v>13554.62862</v>
      </c>
      <c r="BZ110" s="303">
        <f t="shared" si="67"/>
        <v>13690.1749</v>
      </c>
      <c r="CA110" s="303">
        <f t="shared" si="67"/>
        <v>13827.07665</v>
      </c>
      <c r="CB110" s="303">
        <f t="shared" si="67"/>
        <v>13965.34742</v>
      </c>
      <c r="CC110" s="118"/>
      <c r="CD110" s="118"/>
    </row>
    <row r="111" ht="15.75" customHeight="1">
      <c r="A111" s="297" t="s">
        <v>552</v>
      </c>
      <c r="B111" s="283">
        <v>0.4</v>
      </c>
      <c r="C111" s="117"/>
      <c r="D111" s="117"/>
      <c r="E111" s="117"/>
      <c r="F111" s="117"/>
      <c r="G111" s="117"/>
      <c r="H111" s="117"/>
      <c r="I111" s="117"/>
      <c r="J111" s="117"/>
      <c r="K111" s="117"/>
      <c r="L111" s="117"/>
      <c r="M111" s="117"/>
      <c r="N111" s="117"/>
      <c r="O111" s="131"/>
      <c r="P111" s="131"/>
      <c r="Q111" s="131"/>
      <c r="R111" s="131"/>
      <c r="S111" s="131"/>
      <c r="T111" s="131">
        <f t="shared" ref="T111:CB111" si="68">T$110*$B111</f>
        <v>2823.3063</v>
      </c>
      <c r="U111" s="131">
        <f t="shared" si="68"/>
        <v>3105.63693</v>
      </c>
      <c r="V111" s="131">
        <f t="shared" si="68"/>
        <v>3136.693299</v>
      </c>
      <c r="W111" s="131">
        <f t="shared" si="68"/>
        <v>3168.060232</v>
      </c>
      <c r="X111" s="131">
        <f t="shared" si="68"/>
        <v>3199.740835</v>
      </c>
      <c r="Y111" s="131">
        <f t="shared" si="68"/>
        <v>3231.738243</v>
      </c>
      <c r="Z111" s="131">
        <f t="shared" si="68"/>
        <v>3264.055625</v>
      </c>
      <c r="AA111" s="131">
        <f t="shared" si="68"/>
        <v>3296.696182</v>
      </c>
      <c r="AB111" s="131">
        <f t="shared" si="68"/>
        <v>3329.663143</v>
      </c>
      <c r="AC111" s="131">
        <f t="shared" si="68"/>
        <v>3362.959775</v>
      </c>
      <c r="AD111" s="131">
        <f t="shared" si="68"/>
        <v>3396.589373</v>
      </c>
      <c r="AE111" s="131">
        <f t="shared" si="68"/>
        <v>3430.555266</v>
      </c>
      <c r="AF111" s="131">
        <f t="shared" si="68"/>
        <v>3464.860819</v>
      </c>
      <c r="AG111" s="131">
        <f t="shared" si="68"/>
        <v>3499.509427</v>
      </c>
      <c r="AH111" s="131">
        <f t="shared" si="68"/>
        <v>3534.504521</v>
      </c>
      <c r="AI111" s="131">
        <f t="shared" si="68"/>
        <v>3569.849567</v>
      </c>
      <c r="AJ111" s="131">
        <f t="shared" si="68"/>
        <v>3605.548062</v>
      </c>
      <c r="AK111" s="131">
        <f t="shared" si="68"/>
        <v>3641.603543</v>
      </c>
      <c r="AL111" s="131">
        <f t="shared" si="68"/>
        <v>3678.019578</v>
      </c>
      <c r="AM111" s="131">
        <f t="shared" si="68"/>
        <v>3714.799774</v>
      </c>
      <c r="AN111" s="131">
        <f t="shared" si="68"/>
        <v>3751.947772</v>
      </c>
      <c r="AO111" s="131">
        <f t="shared" si="68"/>
        <v>3789.46725</v>
      </c>
      <c r="AP111" s="131">
        <f t="shared" si="68"/>
        <v>3827.361922</v>
      </c>
      <c r="AQ111" s="131">
        <f t="shared" si="68"/>
        <v>3865.635541</v>
      </c>
      <c r="AR111" s="131">
        <f t="shared" si="68"/>
        <v>3904.291897</v>
      </c>
      <c r="AS111" s="131">
        <f t="shared" si="68"/>
        <v>3943.334816</v>
      </c>
      <c r="AT111" s="131">
        <f t="shared" si="68"/>
        <v>3982.768164</v>
      </c>
      <c r="AU111" s="131">
        <f t="shared" si="68"/>
        <v>4022.595846</v>
      </c>
      <c r="AV111" s="131">
        <f t="shared" si="68"/>
        <v>4062.821804</v>
      </c>
      <c r="AW111" s="131">
        <f t="shared" si="68"/>
        <v>4103.450022</v>
      </c>
      <c r="AX111" s="131">
        <f t="shared" si="68"/>
        <v>4144.484522</v>
      </c>
      <c r="AY111" s="131">
        <f t="shared" si="68"/>
        <v>4185.929368</v>
      </c>
      <c r="AZ111" s="131">
        <f t="shared" si="68"/>
        <v>4227.788661</v>
      </c>
      <c r="BA111" s="131">
        <f t="shared" si="68"/>
        <v>4270.066548</v>
      </c>
      <c r="BB111" s="131">
        <f t="shared" si="68"/>
        <v>4312.767213</v>
      </c>
      <c r="BC111" s="131">
        <f t="shared" si="68"/>
        <v>4355.894885</v>
      </c>
      <c r="BD111" s="131">
        <f t="shared" si="68"/>
        <v>4399.453834</v>
      </c>
      <c r="BE111" s="131">
        <f t="shared" si="68"/>
        <v>4443.448373</v>
      </c>
      <c r="BF111" s="131">
        <f t="shared" si="68"/>
        <v>4487.882856</v>
      </c>
      <c r="BG111" s="131">
        <f t="shared" si="68"/>
        <v>4532.761685</v>
      </c>
      <c r="BH111" s="131">
        <f t="shared" si="68"/>
        <v>4578.089302</v>
      </c>
      <c r="BI111" s="131">
        <f t="shared" si="68"/>
        <v>4623.870195</v>
      </c>
      <c r="BJ111" s="131">
        <f t="shared" si="68"/>
        <v>4670.108897</v>
      </c>
      <c r="BK111" s="131">
        <f t="shared" si="68"/>
        <v>4716.809986</v>
      </c>
      <c r="BL111" s="131">
        <f t="shared" si="68"/>
        <v>4763.978086</v>
      </c>
      <c r="BM111" s="131">
        <f t="shared" si="68"/>
        <v>4811.617866</v>
      </c>
      <c r="BN111" s="131">
        <f t="shared" si="68"/>
        <v>4859.734045</v>
      </c>
      <c r="BO111" s="131">
        <f t="shared" si="68"/>
        <v>4908.331386</v>
      </c>
      <c r="BP111" s="131">
        <f t="shared" si="68"/>
        <v>4957.414699</v>
      </c>
      <c r="BQ111" s="131">
        <f t="shared" si="68"/>
        <v>5006.988846</v>
      </c>
      <c r="BR111" s="131">
        <f t="shared" si="68"/>
        <v>5057.058735</v>
      </c>
      <c r="BS111" s="131">
        <f t="shared" si="68"/>
        <v>5107.629322</v>
      </c>
      <c r="BT111" s="131">
        <f t="shared" si="68"/>
        <v>5158.705615</v>
      </c>
      <c r="BU111" s="131">
        <f t="shared" si="68"/>
        <v>5210.292672</v>
      </c>
      <c r="BV111" s="131">
        <f t="shared" si="68"/>
        <v>5262.395598</v>
      </c>
      <c r="BW111" s="131">
        <f t="shared" si="68"/>
        <v>5315.019554</v>
      </c>
      <c r="BX111" s="131">
        <f t="shared" si="68"/>
        <v>5368.16975</v>
      </c>
      <c r="BY111" s="131">
        <f t="shared" si="68"/>
        <v>5421.851447</v>
      </c>
      <c r="BZ111" s="131">
        <f t="shared" si="68"/>
        <v>5476.069962</v>
      </c>
      <c r="CA111" s="131">
        <f t="shared" si="68"/>
        <v>5530.830661</v>
      </c>
      <c r="CB111" s="131">
        <f t="shared" si="68"/>
        <v>5586.138968</v>
      </c>
      <c r="CC111" s="117"/>
      <c r="CD111" s="117"/>
    </row>
    <row r="112" ht="15.75" customHeight="1">
      <c r="A112" s="297" t="s">
        <v>553</v>
      </c>
      <c r="B112" s="283">
        <v>0.2</v>
      </c>
      <c r="C112" s="117"/>
      <c r="D112" s="117"/>
      <c r="E112" s="117"/>
      <c r="F112" s="117"/>
      <c r="G112" s="117"/>
      <c r="H112" s="117"/>
      <c r="I112" s="117"/>
      <c r="J112" s="117"/>
      <c r="K112" s="117"/>
      <c r="L112" s="117"/>
      <c r="M112" s="117"/>
      <c r="N112" s="117"/>
      <c r="O112" s="131"/>
      <c r="P112" s="131"/>
      <c r="Q112" s="131"/>
      <c r="R112" s="131"/>
      <c r="S112" s="131"/>
      <c r="T112" s="131">
        <f t="shared" ref="T112:CB112" si="69">T$110*$B112</f>
        <v>1411.65315</v>
      </c>
      <c r="U112" s="131">
        <f t="shared" si="69"/>
        <v>1552.818465</v>
      </c>
      <c r="V112" s="131">
        <f t="shared" si="69"/>
        <v>1568.34665</v>
      </c>
      <c r="W112" s="131">
        <f t="shared" si="69"/>
        <v>1584.030116</v>
      </c>
      <c r="X112" s="131">
        <f t="shared" si="69"/>
        <v>1599.870417</v>
      </c>
      <c r="Y112" s="131">
        <f t="shared" si="69"/>
        <v>1615.869121</v>
      </c>
      <c r="Z112" s="131">
        <f t="shared" si="69"/>
        <v>1632.027813</v>
      </c>
      <c r="AA112" s="131">
        <f t="shared" si="69"/>
        <v>1648.348091</v>
      </c>
      <c r="AB112" s="131">
        <f t="shared" si="69"/>
        <v>1664.831572</v>
      </c>
      <c r="AC112" s="131">
        <f t="shared" si="69"/>
        <v>1681.479887</v>
      </c>
      <c r="AD112" s="131">
        <f t="shared" si="69"/>
        <v>1698.294686</v>
      </c>
      <c r="AE112" s="131">
        <f t="shared" si="69"/>
        <v>1715.277633</v>
      </c>
      <c r="AF112" s="131">
        <f t="shared" si="69"/>
        <v>1732.43041</v>
      </c>
      <c r="AG112" s="131">
        <f t="shared" si="69"/>
        <v>1749.754714</v>
      </c>
      <c r="AH112" s="131">
        <f t="shared" si="69"/>
        <v>1767.252261</v>
      </c>
      <c r="AI112" s="131">
        <f t="shared" si="69"/>
        <v>1784.924783</v>
      </c>
      <c r="AJ112" s="131">
        <f t="shared" si="69"/>
        <v>1802.774031</v>
      </c>
      <c r="AK112" s="131">
        <f t="shared" si="69"/>
        <v>1820.801772</v>
      </c>
      <c r="AL112" s="131">
        <f t="shared" si="69"/>
        <v>1839.009789</v>
      </c>
      <c r="AM112" s="131">
        <f t="shared" si="69"/>
        <v>1857.399887</v>
      </c>
      <c r="AN112" s="131">
        <f t="shared" si="69"/>
        <v>1875.973886</v>
      </c>
      <c r="AO112" s="131">
        <f t="shared" si="69"/>
        <v>1894.733625</v>
      </c>
      <c r="AP112" s="131">
        <f t="shared" si="69"/>
        <v>1913.680961</v>
      </c>
      <c r="AQ112" s="131">
        <f t="shared" si="69"/>
        <v>1932.817771</v>
      </c>
      <c r="AR112" s="131">
        <f t="shared" si="69"/>
        <v>1952.145948</v>
      </c>
      <c r="AS112" s="131">
        <f t="shared" si="69"/>
        <v>1971.667408</v>
      </c>
      <c r="AT112" s="131">
        <f t="shared" si="69"/>
        <v>1991.384082</v>
      </c>
      <c r="AU112" s="131">
        <f t="shared" si="69"/>
        <v>2011.297923</v>
      </c>
      <c r="AV112" s="131">
        <f t="shared" si="69"/>
        <v>2031.410902</v>
      </c>
      <c r="AW112" s="131">
        <f t="shared" si="69"/>
        <v>2051.725011</v>
      </c>
      <c r="AX112" s="131">
        <f t="shared" si="69"/>
        <v>2072.242261</v>
      </c>
      <c r="AY112" s="131">
        <f t="shared" si="69"/>
        <v>2092.964684</v>
      </c>
      <c r="AZ112" s="131">
        <f t="shared" si="69"/>
        <v>2113.894331</v>
      </c>
      <c r="BA112" s="131">
        <f t="shared" si="69"/>
        <v>2135.033274</v>
      </c>
      <c r="BB112" s="131">
        <f t="shared" si="69"/>
        <v>2156.383607</v>
      </c>
      <c r="BC112" s="131">
        <f t="shared" si="69"/>
        <v>2177.947443</v>
      </c>
      <c r="BD112" s="131">
        <f t="shared" si="69"/>
        <v>2199.726917</v>
      </c>
      <c r="BE112" s="131">
        <f t="shared" si="69"/>
        <v>2221.724186</v>
      </c>
      <c r="BF112" s="131">
        <f t="shared" si="69"/>
        <v>2243.941428</v>
      </c>
      <c r="BG112" s="131">
        <f t="shared" si="69"/>
        <v>2266.380842</v>
      </c>
      <c r="BH112" s="131">
        <f t="shared" si="69"/>
        <v>2289.044651</v>
      </c>
      <c r="BI112" s="131">
        <f t="shared" si="69"/>
        <v>2311.935097</v>
      </c>
      <c r="BJ112" s="131">
        <f t="shared" si="69"/>
        <v>2335.054448</v>
      </c>
      <c r="BK112" s="131">
        <f t="shared" si="69"/>
        <v>2358.404993</v>
      </c>
      <c r="BL112" s="131">
        <f t="shared" si="69"/>
        <v>2381.989043</v>
      </c>
      <c r="BM112" s="131">
        <f t="shared" si="69"/>
        <v>2405.808933</v>
      </c>
      <c r="BN112" s="131">
        <f t="shared" si="69"/>
        <v>2429.867023</v>
      </c>
      <c r="BO112" s="131">
        <f t="shared" si="69"/>
        <v>2454.165693</v>
      </c>
      <c r="BP112" s="131">
        <f t="shared" si="69"/>
        <v>2478.70735</v>
      </c>
      <c r="BQ112" s="131">
        <f t="shared" si="69"/>
        <v>2503.494423</v>
      </c>
      <c r="BR112" s="131">
        <f t="shared" si="69"/>
        <v>2528.529367</v>
      </c>
      <c r="BS112" s="131">
        <f t="shared" si="69"/>
        <v>2553.814661</v>
      </c>
      <c r="BT112" s="131">
        <f t="shared" si="69"/>
        <v>2579.352808</v>
      </c>
      <c r="BU112" s="131">
        <f t="shared" si="69"/>
        <v>2605.146336</v>
      </c>
      <c r="BV112" s="131">
        <f t="shared" si="69"/>
        <v>2631.197799</v>
      </c>
      <c r="BW112" s="131">
        <f t="shared" si="69"/>
        <v>2657.509777</v>
      </c>
      <c r="BX112" s="131">
        <f t="shared" si="69"/>
        <v>2684.084875</v>
      </c>
      <c r="BY112" s="131">
        <f t="shared" si="69"/>
        <v>2710.925724</v>
      </c>
      <c r="BZ112" s="131">
        <f t="shared" si="69"/>
        <v>2738.034981</v>
      </c>
      <c r="CA112" s="131">
        <f t="shared" si="69"/>
        <v>2765.415331</v>
      </c>
      <c r="CB112" s="131">
        <f t="shared" si="69"/>
        <v>2793.069484</v>
      </c>
      <c r="CC112" s="117"/>
      <c r="CD112" s="117"/>
    </row>
    <row r="113" ht="15.75" customHeight="1">
      <c r="A113" s="297" t="s">
        <v>554</v>
      </c>
      <c r="B113" s="283">
        <v>0.08</v>
      </c>
      <c r="C113" s="117"/>
      <c r="D113" s="117"/>
      <c r="E113" s="117"/>
      <c r="F113" s="117"/>
      <c r="G113" s="117"/>
      <c r="H113" s="117"/>
      <c r="I113" s="117"/>
      <c r="J113" s="117"/>
      <c r="K113" s="117"/>
      <c r="L113" s="117"/>
      <c r="M113" s="117"/>
      <c r="N113" s="117"/>
      <c r="O113" s="131"/>
      <c r="P113" s="131"/>
      <c r="Q113" s="131"/>
      <c r="R113" s="131"/>
      <c r="S113" s="131"/>
      <c r="T113" s="131">
        <f t="shared" ref="T113:CB113" si="70">T$110*$B113</f>
        <v>564.66126</v>
      </c>
      <c r="U113" s="131">
        <f t="shared" si="70"/>
        <v>621.127386</v>
      </c>
      <c r="V113" s="131">
        <f t="shared" si="70"/>
        <v>627.3386599</v>
      </c>
      <c r="W113" s="131">
        <f t="shared" si="70"/>
        <v>633.6120465</v>
      </c>
      <c r="X113" s="131">
        <f t="shared" si="70"/>
        <v>639.9481669</v>
      </c>
      <c r="Y113" s="131">
        <f t="shared" si="70"/>
        <v>646.3476486</v>
      </c>
      <c r="Z113" s="131">
        <f t="shared" si="70"/>
        <v>652.8111251</v>
      </c>
      <c r="AA113" s="131">
        <f t="shared" si="70"/>
        <v>659.3392363</v>
      </c>
      <c r="AB113" s="131">
        <f t="shared" si="70"/>
        <v>665.9326287</v>
      </c>
      <c r="AC113" s="131">
        <f t="shared" si="70"/>
        <v>672.591955</v>
      </c>
      <c r="AD113" s="131">
        <f t="shared" si="70"/>
        <v>679.3178745</v>
      </c>
      <c r="AE113" s="131">
        <f t="shared" si="70"/>
        <v>686.1110533</v>
      </c>
      <c r="AF113" s="131">
        <f t="shared" si="70"/>
        <v>692.9721638</v>
      </c>
      <c r="AG113" s="131">
        <f t="shared" si="70"/>
        <v>699.9018854</v>
      </c>
      <c r="AH113" s="131">
        <f t="shared" si="70"/>
        <v>706.9009043</v>
      </c>
      <c r="AI113" s="131">
        <f t="shared" si="70"/>
        <v>713.9699133</v>
      </c>
      <c r="AJ113" s="131">
        <f t="shared" si="70"/>
        <v>721.1096125</v>
      </c>
      <c r="AK113" s="131">
        <f t="shared" si="70"/>
        <v>728.3207086</v>
      </c>
      <c r="AL113" s="131">
        <f t="shared" si="70"/>
        <v>735.6039157</v>
      </c>
      <c r="AM113" s="131">
        <f t="shared" si="70"/>
        <v>742.9599548</v>
      </c>
      <c r="AN113" s="131">
        <f t="shared" si="70"/>
        <v>750.3895544</v>
      </c>
      <c r="AO113" s="131">
        <f t="shared" si="70"/>
        <v>757.8934499</v>
      </c>
      <c r="AP113" s="131">
        <f t="shared" si="70"/>
        <v>765.4723844</v>
      </c>
      <c r="AQ113" s="131">
        <f t="shared" si="70"/>
        <v>773.1271083</v>
      </c>
      <c r="AR113" s="131">
        <f t="shared" si="70"/>
        <v>780.8583794</v>
      </c>
      <c r="AS113" s="131">
        <f t="shared" si="70"/>
        <v>788.6669632</v>
      </c>
      <c r="AT113" s="131">
        <f t="shared" si="70"/>
        <v>796.5536328</v>
      </c>
      <c r="AU113" s="131">
        <f t="shared" si="70"/>
        <v>804.5191691</v>
      </c>
      <c r="AV113" s="131">
        <f t="shared" si="70"/>
        <v>812.5643608</v>
      </c>
      <c r="AW113" s="131">
        <f t="shared" si="70"/>
        <v>820.6900044</v>
      </c>
      <c r="AX113" s="131">
        <f t="shared" si="70"/>
        <v>828.8969045</v>
      </c>
      <c r="AY113" s="131">
        <f t="shared" si="70"/>
        <v>837.1858735</v>
      </c>
      <c r="AZ113" s="131">
        <f t="shared" si="70"/>
        <v>845.5577322</v>
      </c>
      <c r="BA113" s="131">
        <f t="shared" si="70"/>
        <v>854.0133096</v>
      </c>
      <c r="BB113" s="131">
        <f t="shared" si="70"/>
        <v>862.5534427</v>
      </c>
      <c r="BC113" s="131">
        <f t="shared" si="70"/>
        <v>871.1789771</v>
      </c>
      <c r="BD113" s="131">
        <f t="shared" si="70"/>
        <v>879.8907669</v>
      </c>
      <c r="BE113" s="131">
        <f t="shared" si="70"/>
        <v>888.6896745</v>
      </c>
      <c r="BF113" s="131">
        <f t="shared" si="70"/>
        <v>897.5765713</v>
      </c>
      <c r="BG113" s="131">
        <f t="shared" si="70"/>
        <v>906.552337</v>
      </c>
      <c r="BH113" s="131">
        <f t="shared" si="70"/>
        <v>915.6178604</v>
      </c>
      <c r="BI113" s="131">
        <f t="shared" si="70"/>
        <v>924.774039</v>
      </c>
      <c r="BJ113" s="131">
        <f t="shared" si="70"/>
        <v>934.0217793</v>
      </c>
      <c r="BK113" s="131">
        <f t="shared" si="70"/>
        <v>943.3619971</v>
      </c>
      <c r="BL113" s="131">
        <f t="shared" si="70"/>
        <v>952.7956171</v>
      </c>
      <c r="BM113" s="131">
        <f t="shared" si="70"/>
        <v>962.3235733</v>
      </c>
      <c r="BN113" s="131">
        <f t="shared" si="70"/>
        <v>971.946809</v>
      </c>
      <c r="BO113" s="131">
        <f t="shared" si="70"/>
        <v>981.6662771</v>
      </c>
      <c r="BP113" s="131">
        <f t="shared" si="70"/>
        <v>991.4829399</v>
      </c>
      <c r="BQ113" s="131">
        <f t="shared" si="70"/>
        <v>1001.397769</v>
      </c>
      <c r="BR113" s="131">
        <f t="shared" si="70"/>
        <v>1011.411747</v>
      </c>
      <c r="BS113" s="131">
        <f t="shared" si="70"/>
        <v>1021.525864</v>
      </c>
      <c r="BT113" s="131">
        <f t="shared" si="70"/>
        <v>1031.741123</v>
      </c>
      <c r="BU113" s="131">
        <f t="shared" si="70"/>
        <v>1042.058534</v>
      </c>
      <c r="BV113" s="131">
        <f t="shared" si="70"/>
        <v>1052.47912</v>
      </c>
      <c r="BW113" s="131">
        <f t="shared" si="70"/>
        <v>1063.003911</v>
      </c>
      <c r="BX113" s="131">
        <f t="shared" si="70"/>
        <v>1073.63395</v>
      </c>
      <c r="BY113" s="131">
        <f t="shared" si="70"/>
        <v>1084.370289</v>
      </c>
      <c r="BZ113" s="131">
        <f t="shared" si="70"/>
        <v>1095.213992</v>
      </c>
      <c r="CA113" s="131">
        <f t="shared" si="70"/>
        <v>1106.166132</v>
      </c>
      <c r="CB113" s="131">
        <f t="shared" si="70"/>
        <v>1117.227794</v>
      </c>
      <c r="CC113" s="117"/>
      <c r="CD113" s="117"/>
    </row>
    <row r="114" ht="15.75" customHeight="1">
      <c r="A114" s="297" t="s">
        <v>555</v>
      </c>
      <c r="B114" s="283">
        <v>0.05</v>
      </c>
      <c r="C114" s="117"/>
      <c r="D114" s="117"/>
      <c r="E114" s="117"/>
      <c r="F114" s="117"/>
      <c r="G114" s="117"/>
      <c r="H114" s="117"/>
      <c r="I114" s="117"/>
      <c r="J114" s="117"/>
      <c r="K114" s="117"/>
      <c r="L114" s="117"/>
      <c r="M114" s="117"/>
      <c r="N114" s="117"/>
      <c r="O114" s="131"/>
      <c r="P114" s="131"/>
      <c r="Q114" s="131"/>
      <c r="R114" s="131"/>
      <c r="S114" s="131"/>
      <c r="T114" s="131">
        <f t="shared" ref="T114:CB114" si="71">T$110*$B114</f>
        <v>352.9132875</v>
      </c>
      <c r="U114" s="131">
        <f t="shared" si="71"/>
        <v>388.2046163</v>
      </c>
      <c r="V114" s="131">
        <f t="shared" si="71"/>
        <v>392.0866624</v>
      </c>
      <c r="W114" s="131">
        <f t="shared" si="71"/>
        <v>396.007529</v>
      </c>
      <c r="X114" s="131">
        <f t="shared" si="71"/>
        <v>399.9676043</v>
      </c>
      <c r="Y114" s="131">
        <f t="shared" si="71"/>
        <v>403.9672804</v>
      </c>
      <c r="Z114" s="131">
        <f t="shared" si="71"/>
        <v>408.0069532</v>
      </c>
      <c r="AA114" s="131">
        <f t="shared" si="71"/>
        <v>412.0870227</v>
      </c>
      <c r="AB114" s="131">
        <f t="shared" si="71"/>
        <v>416.2078929</v>
      </c>
      <c r="AC114" s="131">
        <f t="shared" si="71"/>
        <v>420.3699719</v>
      </c>
      <c r="AD114" s="131">
        <f t="shared" si="71"/>
        <v>424.5736716</v>
      </c>
      <c r="AE114" s="131">
        <f t="shared" si="71"/>
        <v>428.8194083</v>
      </c>
      <c r="AF114" s="131">
        <f t="shared" si="71"/>
        <v>433.1076024</v>
      </c>
      <c r="AG114" s="131">
        <f t="shared" si="71"/>
        <v>437.4386784</v>
      </c>
      <c r="AH114" s="131">
        <f t="shared" si="71"/>
        <v>441.8130652</v>
      </c>
      <c r="AI114" s="131">
        <f t="shared" si="71"/>
        <v>446.2311958</v>
      </c>
      <c r="AJ114" s="131">
        <f t="shared" si="71"/>
        <v>450.6935078</v>
      </c>
      <c r="AK114" s="131">
        <f t="shared" si="71"/>
        <v>455.2004429</v>
      </c>
      <c r="AL114" s="131">
        <f t="shared" si="71"/>
        <v>459.7524473</v>
      </c>
      <c r="AM114" s="131">
        <f t="shared" si="71"/>
        <v>464.3499718</v>
      </c>
      <c r="AN114" s="131">
        <f t="shared" si="71"/>
        <v>468.9934715</v>
      </c>
      <c r="AO114" s="131">
        <f t="shared" si="71"/>
        <v>473.6834062</v>
      </c>
      <c r="AP114" s="131">
        <f t="shared" si="71"/>
        <v>478.4202403</v>
      </c>
      <c r="AQ114" s="131">
        <f t="shared" si="71"/>
        <v>483.2044427</v>
      </c>
      <c r="AR114" s="131">
        <f t="shared" si="71"/>
        <v>488.0364871</v>
      </c>
      <c r="AS114" s="131">
        <f t="shared" si="71"/>
        <v>492.916852</v>
      </c>
      <c r="AT114" s="131">
        <f t="shared" si="71"/>
        <v>497.8460205</v>
      </c>
      <c r="AU114" s="131">
        <f t="shared" si="71"/>
        <v>502.8244807</v>
      </c>
      <c r="AV114" s="131">
        <f t="shared" si="71"/>
        <v>507.8527255</v>
      </c>
      <c r="AW114" s="131">
        <f t="shared" si="71"/>
        <v>512.9312528</v>
      </c>
      <c r="AX114" s="131">
        <f t="shared" si="71"/>
        <v>518.0605653</v>
      </c>
      <c r="AY114" s="131">
        <f t="shared" si="71"/>
        <v>523.2411709</v>
      </c>
      <c r="AZ114" s="131">
        <f t="shared" si="71"/>
        <v>528.4735826</v>
      </c>
      <c r="BA114" s="131">
        <f t="shared" si="71"/>
        <v>533.7583185</v>
      </c>
      <c r="BB114" s="131">
        <f t="shared" si="71"/>
        <v>539.0959017</v>
      </c>
      <c r="BC114" s="131">
        <f t="shared" si="71"/>
        <v>544.4868607</v>
      </c>
      <c r="BD114" s="131">
        <f t="shared" si="71"/>
        <v>549.9317293</v>
      </c>
      <c r="BE114" s="131">
        <f t="shared" si="71"/>
        <v>555.4310466</v>
      </c>
      <c r="BF114" s="131">
        <f t="shared" si="71"/>
        <v>560.985357</v>
      </c>
      <c r="BG114" s="131">
        <f t="shared" si="71"/>
        <v>566.5952106</v>
      </c>
      <c r="BH114" s="131">
        <f t="shared" si="71"/>
        <v>572.2611627</v>
      </c>
      <c r="BI114" s="131">
        <f t="shared" si="71"/>
        <v>577.9837743</v>
      </c>
      <c r="BJ114" s="131">
        <f t="shared" si="71"/>
        <v>583.7636121</v>
      </c>
      <c r="BK114" s="131">
        <f t="shared" si="71"/>
        <v>589.6012482</v>
      </c>
      <c r="BL114" s="131">
        <f t="shared" si="71"/>
        <v>595.4972607</v>
      </c>
      <c r="BM114" s="131">
        <f t="shared" si="71"/>
        <v>601.4522333</v>
      </c>
      <c r="BN114" s="131">
        <f t="shared" si="71"/>
        <v>607.4667556</v>
      </c>
      <c r="BO114" s="131">
        <f t="shared" si="71"/>
        <v>613.5414232</v>
      </c>
      <c r="BP114" s="131">
        <f t="shared" si="71"/>
        <v>619.6768374</v>
      </c>
      <c r="BQ114" s="131">
        <f t="shared" si="71"/>
        <v>625.8736058</v>
      </c>
      <c r="BR114" s="131">
        <f t="shared" si="71"/>
        <v>632.1323419</v>
      </c>
      <c r="BS114" s="131">
        <f t="shared" si="71"/>
        <v>638.4536653</v>
      </c>
      <c r="BT114" s="131">
        <f t="shared" si="71"/>
        <v>644.8382019</v>
      </c>
      <c r="BU114" s="131">
        <f t="shared" si="71"/>
        <v>651.2865839</v>
      </c>
      <c r="BV114" s="131">
        <f t="shared" si="71"/>
        <v>657.7994498</v>
      </c>
      <c r="BW114" s="131">
        <f t="shared" si="71"/>
        <v>664.3774443</v>
      </c>
      <c r="BX114" s="131">
        <f t="shared" si="71"/>
        <v>671.0212187</v>
      </c>
      <c r="BY114" s="131">
        <f t="shared" si="71"/>
        <v>677.7314309</v>
      </c>
      <c r="BZ114" s="131">
        <f t="shared" si="71"/>
        <v>684.5087452</v>
      </c>
      <c r="CA114" s="131">
        <f t="shared" si="71"/>
        <v>691.3538327</v>
      </c>
      <c r="CB114" s="131">
        <f t="shared" si="71"/>
        <v>698.267371</v>
      </c>
      <c r="CC114" s="117"/>
      <c r="CD114" s="117"/>
    </row>
    <row r="115" ht="15.75" customHeight="1">
      <c r="A115" s="297" t="s">
        <v>556</v>
      </c>
      <c r="B115" s="283">
        <v>0.03</v>
      </c>
      <c r="C115" s="117"/>
      <c r="D115" s="117"/>
      <c r="E115" s="117"/>
      <c r="F115" s="117"/>
      <c r="G115" s="117"/>
      <c r="H115" s="117"/>
      <c r="I115" s="117"/>
      <c r="J115" s="117"/>
      <c r="K115" s="117"/>
      <c r="L115" s="117"/>
      <c r="M115" s="117"/>
      <c r="N115" s="117"/>
      <c r="O115" s="131"/>
      <c r="P115" s="131"/>
      <c r="Q115" s="131"/>
      <c r="R115" s="131"/>
      <c r="S115" s="131"/>
      <c r="T115" s="131">
        <f t="shared" ref="T115:CB115" si="72">T$110*$B115</f>
        <v>211.7479725</v>
      </c>
      <c r="U115" s="131">
        <f t="shared" si="72"/>
        <v>232.9227698</v>
      </c>
      <c r="V115" s="131">
        <f t="shared" si="72"/>
        <v>235.2519974</v>
      </c>
      <c r="W115" s="131">
        <f t="shared" si="72"/>
        <v>237.6045174</v>
      </c>
      <c r="X115" s="131">
        <f t="shared" si="72"/>
        <v>239.9805626</v>
      </c>
      <c r="Y115" s="131">
        <f t="shared" si="72"/>
        <v>242.3803682</v>
      </c>
      <c r="Z115" s="131">
        <f t="shared" si="72"/>
        <v>244.8041719</v>
      </c>
      <c r="AA115" s="131">
        <f t="shared" si="72"/>
        <v>247.2522136</v>
      </c>
      <c r="AB115" s="131">
        <f t="shared" si="72"/>
        <v>249.7247358</v>
      </c>
      <c r="AC115" s="131">
        <f t="shared" si="72"/>
        <v>252.2219831</v>
      </c>
      <c r="AD115" s="131">
        <f t="shared" si="72"/>
        <v>254.7442029</v>
      </c>
      <c r="AE115" s="131">
        <f t="shared" si="72"/>
        <v>257.291645</v>
      </c>
      <c r="AF115" s="131">
        <f t="shared" si="72"/>
        <v>259.8645614</v>
      </c>
      <c r="AG115" s="131">
        <f t="shared" si="72"/>
        <v>262.463207</v>
      </c>
      <c r="AH115" s="131">
        <f t="shared" si="72"/>
        <v>265.0878391</v>
      </c>
      <c r="AI115" s="131">
        <f t="shared" si="72"/>
        <v>267.7387175</v>
      </c>
      <c r="AJ115" s="131">
        <f t="shared" si="72"/>
        <v>270.4161047</v>
      </c>
      <c r="AK115" s="131">
        <f t="shared" si="72"/>
        <v>273.1202657</v>
      </c>
      <c r="AL115" s="131">
        <f t="shared" si="72"/>
        <v>275.8514684</v>
      </c>
      <c r="AM115" s="131">
        <f t="shared" si="72"/>
        <v>278.6099831</v>
      </c>
      <c r="AN115" s="131">
        <f t="shared" si="72"/>
        <v>281.3960829</v>
      </c>
      <c r="AO115" s="131">
        <f t="shared" si="72"/>
        <v>284.2100437</v>
      </c>
      <c r="AP115" s="131">
        <f t="shared" si="72"/>
        <v>287.0521442</v>
      </c>
      <c r="AQ115" s="131">
        <f t="shared" si="72"/>
        <v>289.9226656</v>
      </c>
      <c r="AR115" s="131">
        <f t="shared" si="72"/>
        <v>292.8218923</v>
      </c>
      <c r="AS115" s="131">
        <f t="shared" si="72"/>
        <v>295.7501112</v>
      </c>
      <c r="AT115" s="131">
        <f t="shared" si="72"/>
        <v>298.7076123</v>
      </c>
      <c r="AU115" s="131">
        <f t="shared" si="72"/>
        <v>301.6946884</v>
      </c>
      <c r="AV115" s="131">
        <f t="shared" si="72"/>
        <v>304.7116353</v>
      </c>
      <c r="AW115" s="131">
        <f t="shared" si="72"/>
        <v>307.7587517</v>
      </c>
      <c r="AX115" s="131">
        <f t="shared" si="72"/>
        <v>310.8363392</v>
      </c>
      <c r="AY115" s="131">
        <f t="shared" si="72"/>
        <v>313.9447026</v>
      </c>
      <c r="AZ115" s="131">
        <f t="shared" si="72"/>
        <v>317.0841496</v>
      </c>
      <c r="BA115" s="131">
        <f t="shared" si="72"/>
        <v>320.2549911</v>
      </c>
      <c r="BB115" s="131">
        <f t="shared" si="72"/>
        <v>323.457541</v>
      </c>
      <c r="BC115" s="131">
        <f t="shared" si="72"/>
        <v>326.6921164</v>
      </c>
      <c r="BD115" s="131">
        <f t="shared" si="72"/>
        <v>329.9590376</v>
      </c>
      <c r="BE115" s="131">
        <f t="shared" si="72"/>
        <v>333.2586279</v>
      </c>
      <c r="BF115" s="131">
        <f t="shared" si="72"/>
        <v>336.5912142</v>
      </c>
      <c r="BG115" s="131">
        <f t="shared" si="72"/>
        <v>339.9571264</v>
      </c>
      <c r="BH115" s="131">
        <f t="shared" si="72"/>
        <v>343.3566976</v>
      </c>
      <c r="BI115" s="131">
        <f t="shared" si="72"/>
        <v>346.7902646</v>
      </c>
      <c r="BJ115" s="131">
        <f t="shared" si="72"/>
        <v>350.2581673</v>
      </c>
      <c r="BK115" s="131">
        <f t="shared" si="72"/>
        <v>353.7607489</v>
      </c>
      <c r="BL115" s="131">
        <f t="shared" si="72"/>
        <v>357.2983564</v>
      </c>
      <c r="BM115" s="131">
        <f t="shared" si="72"/>
        <v>360.87134</v>
      </c>
      <c r="BN115" s="131">
        <f t="shared" si="72"/>
        <v>364.4800534</v>
      </c>
      <c r="BO115" s="131">
        <f t="shared" si="72"/>
        <v>368.1248539</v>
      </c>
      <c r="BP115" s="131">
        <f t="shared" si="72"/>
        <v>371.8061025</v>
      </c>
      <c r="BQ115" s="131">
        <f t="shared" si="72"/>
        <v>375.5241635</v>
      </c>
      <c r="BR115" s="131">
        <f t="shared" si="72"/>
        <v>379.2794051</v>
      </c>
      <c r="BS115" s="131">
        <f t="shared" si="72"/>
        <v>383.0721992</v>
      </c>
      <c r="BT115" s="131">
        <f t="shared" si="72"/>
        <v>386.9029212</v>
      </c>
      <c r="BU115" s="131">
        <f t="shared" si="72"/>
        <v>390.7719504</v>
      </c>
      <c r="BV115" s="131">
        <f t="shared" si="72"/>
        <v>394.6796699</v>
      </c>
      <c r="BW115" s="131">
        <f t="shared" si="72"/>
        <v>398.6264666</v>
      </c>
      <c r="BX115" s="131">
        <f t="shared" si="72"/>
        <v>402.6127312</v>
      </c>
      <c r="BY115" s="131">
        <f t="shared" si="72"/>
        <v>406.6388585</v>
      </c>
      <c r="BZ115" s="131">
        <f t="shared" si="72"/>
        <v>410.7052471</v>
      </c>
      <c r="CA115" s="131">
        <f t="shared" si="72"/>
        <v>414.8122996</v>
      </c>
      <c r="CB115" s="131">
        <f t="shared" si="72"/>
        <v>418.9604226</v>
      </c>
      <c r="CC115" s="117"/>
      <c r="CD115" s="117"/>
    </row>
    <row r="116" ht="15.75" customHeight="1">
      <c r="A116" s="297" t="s">
        <v>557</v>
      </c>
      <c r="B116" s="283">
        <v>0.03</v>
      </c>
      <c r="C116" s="117"/>
      <c r="D116" s="117"/>
      <c r="E116" s="117"/>
      <c r="F116" s="117"/>
      <c r="G116" s="117"/>
      <c r="H116" s="117"/>
      <c r="I116" s="117"/>
      <c r="J116" s="117"/>
      <c r="K116" s="117"/>
      <c r="L116" s="117"/>
      <c r="M116" s="117"/>
      <c r="N116" s="117"/>
      <c r="O116" s="131"/>
      <c r="P116" s="131"/>
      <c r="Q116" s="131"/>
      <c r="R116" s="131"/>
      <c r="S116" s="131"/>
      <c r="T116" s="131">
        <f t="shared" ref="T116:CB116" si="73">T$110*$B116</f>
        <v>211.7479725</v>
      </c>
      <c r="U116" s="131">
        <f t="shared" si="73"/>
        <v>232.9227698</v>
      </c>
      <c r="V116" s="131">
        <f t="shared" si="73"/>
        <v>235.2519974</v>
      </c>
      <c r="W116" s="131">
        <f t="shared" si="73"/>
        <v>237.6045174</v>
      </c>
      <c r="X116" s="131">
        <f t="shared" si="73"/>
        <v>239.9805626</v>
      </c>
      <c r="Y116" s="131">
        <f t="shared" si="73"/>
        <v>242.3803682</v>
      </c>
      <c r="Z116" s="131">
        <f t="shared" si="73"/>
        <v>244.8041719</v>
      </c>
      <c r="AA116" s="131">
        <f t="shared" si="73"/>
        <v>247.2522136</v>
      </c>
      <c r="AB116" s="131">
        <f t="shared" si="73"/>
        <v>249.7247358</v>
      </c>
      <c r="AC116" s="131">
        <f t="shared" si="73"/>
        <v>252.2219831</v>
      </c>
      <c r="AD116" s="131">
        <f t="shared" si="73"/>
        <v>254.7442029</v>
      </c>
      <c r="AE116" s="131">
        <f t="shared" si="73"/>
        <v>257.291645</v>
      </c>
      <c r="AF116" s="131">
        <f t="shared" si="73"/>
        <v>259.8645614</v>
      </c>
      <c r="AG116" s="131">
        <f t="shared" si="73"/>
        <v>262.463207</v>
      </c>
      <c r="AH116" s="131">
        <f t="shared" si="73"/>
        <v>265.0878391</v>
      </c>
      <c r="AI116" s="131">
        <f t="shared" si="73"/>
        <v>267.7387175</v>
      </c>
      <c r="AJ116" s="131">
        <f t="shared" si="73"/>
        <v>270.4161047</v>
      </c>
      <c r="AK116" s="131">
        <f t="shared" si="73"/>
        <v>273.1202657</v>
      </c>
      <c r="AL116" s="131">
        <f t="shared" si="73"/>
        <v>275.8514684</v>
      </c>
      <c r="AM116" s="131">
        <f t="shared" si="73"/>
        <v>278.6099831</v>
      </c>
      <c r="AN116" s="131">
        <f t="shared" si="73"/>
        <v>281.3960829</v>
      </c>
      <c r="AO116" s="131">
        <f t="shared" si="73"/>
        <v>284.2100437</v>
      </c>
      <c r="AP116" s="131">
        <f t="shared" si="73"/>
        <v>287.0521442</v>
      </c>
      <c r="AQ116" s="131">
        <f t="shared" si="73"/>
        <v>289.9226656</v>
      </c>
      <c r="AR116" s="131">
        <f t="shared" si="73"/>
        <v>292.8218923</v>
      </c>
      <c r="AS116" s="131">
        <f t="shared" si="73"/>
        <v>295.7501112</v>
      </c>
      <c r="AT116" s="131">
        <f t="shared" si="73"/>
        <v>298.7076123</v>
      </c>
      <c r="AU116" s="131">
        <f t="shared" si="73"/>
        <v>301.6946884</v>
      </c>
      <c r="AV116" s="131">
        <f t="shared" si="73"/>
        <v>304.7116353</v>
      </c>
      <c r="AW116" s="131">
        <f t="shared" si="73"/>
        <v>307.7587517</v>
      </c>
      <c r="AX116" s="131">
        <f t="shared" si="73"/>
        <v>310.8363392</v>
      </c>
      <c r="AY116" s="131">
        <f t="shared" si="73"/>
        <v>313.9447026</v>
      </c>
      <c r="AZ116" s="131">
        <f t="shared" si="73"/>
        <v>317.0841496</v>
      </c>
      <c r="BA116" s="131">
        <f t="shared" si="73"/>
        <v>320.2549911</v>
      </c>
      <c r="BB116" s="131">
        <f t="shared" si="73"/>
        <v>323.457541</v>
      </c>
      <c r="BC116" s="131">
        <f t="shared" si="73"/>
        <v>326.6921164</v>
      </c>
      <c r="BD116" s="131">
        <f t="shared" si="73"/>
        <v>329.9590376</v>
      </c>
      <c r="BE116" s="131">
        <f t="shared" si="73"/>
        <v>333.2586279</v>
      </c>
      <c r="BF116" s="131">
        <f t="shared" si="73"/>
        <v>336.5912142</v>
      </c>
      <c r="BG116" s="131">
        <f t="shared" si="73"/>
        <v>339.9571264</v>
      </c>
      <c r="BH116" s="131">
        <f t="shared" si="73"/>
        <v>343.3566976</v>
      </c>
      <c r="BI116" s="131">
        <f t="shared" si="73"/>
        <v>346.7902646</v>
      </c>
      <c r="BJ116" s="131">
        <f t="shared" si="73"/>
        <v>350.2581673</v>
      </c>
      <c r="BK116" s="131">
        <f t="shared" si="73"/>
        <v>353.7607489</v>
      </c>
      <c r="BL116" s="131">
        <f t="shared" si="73"/>
        <v>357.2983564</v>
      </c>
      <c r="BM116" s="131">
        <f t="shared" si="73"/>
        <v>360.87134</v>
      </c>
      <c r="BN116" s="131">
        <f t="shared" si="73"/>
        <v>364.4800534</v>
      </c>
      <c r="BO116" s="131">
        <f t="shared" si="73"/>
        <v>368.1248539</v>
      </c>
      <c r="BP116" s="131">
        <f t="shared" si="73"/>
        <v>371.8061025</v>
      </c>
      <c r="BQ116" s="131">
        <f t="shared" si="73"/>
        <v>375.5241635</v>
      </c>
      <c r="BR116" s="131">
        <f t="shared" si="73"/>
        <v>379.2794051</v>
      </c>
      <c r="BS116" s="131">
        <f t="shared" si="73"/>
        <v>383.0721992</v>
      </c>
      <c r="BT116" s="131">
        <f t="shared" si="73"/>
        <v>386.9029212</v>
      </c>
      <c r="BU116" s="131">
        <f t="shared" si="73"/>
        <v>390.7719504</v>
      </c>
      <c r="BV116" s="131">
        <f t="shared" si="73"/>
        <v>394.6796699</v>
      </c>
      <c r="BW116" s="131">
        <f t="shared" si="73"/>
        <v>398.6264666</v>
      </c>
      <c r="BX116" s="131">
        <f t="shared" si="73"/>
        <v>402.6127312</v>
      </c>
      <c r="BY116" s="131">
        <f t="shared" si="73"/>
        <v>406.6388585</v>
      </c>
      <c r="BZ116" s="131">
        <f t="shared" si="73"/>
        <v>410.7052471</v>
      </c>
      <c r="CA116" s="131">
        <f t="shared" si="73"/>
        <v>414.8122996</v>
      </c>
      <c r="CB116" s="131">
        <f t="shared" si="73"/>
        <v>418.9604226</v>
      </c>
      <c r="CC116" s="117"/>
      <c r="CD116" s="117"/>
    </row>
    <row r="117" ht="15.75" customHeight="1">
      <c r="A117" s="297" t="s">
        <v>558</v>
      </c>
      <c r="B117" s="293">
        <f>1-SUM(B111:B116)</f>
        <v>0.21</v>
      </c>
      <c r="C117" s="117"/>
      <c r="D117" s="117"/>
      <c r="E117" s="117"/>
      <c r="F117" s="117"/>
      <c r="G117" s="117"/>
      <c r="H117" s="117"/>
      <c r="I117" s="117"/>
      <c r="J117" s="117"/>
      <c r="K117" s="117"/>
      <c r="L117" s="117"/>
      <c r="M117" s="117"/>
      <c r="N117" s="117"/>
      <c r="O117" s="131"/>
      <c r="P117" s="131"/>
      <c r="Q117" s="131"/>
      <c r="R117" s="131"/>
      <c r="S117" s="131"/>
      <c r="T117" s="131">
        <f t="shared" ref="T117:CB117" si="74">T$110*$B117</f>
        <v>1482.235808</v>
      </c>
      <c r="U117" s="131">
        <f t="shared" si="74"/>
        <v>1630.459388</v>
      </c>
      <c r="V117" s="131">
        <f t="shared" si="74"/>
        <v>1646.763982</v>
      </c>
      <c r="W117" s="131">
        <f t="shared" si="74"/>
        <v>1663.231622</v>
      </c>
      <c r="X117" s="131">
        <f t="shared" si="74"/>
        <v>1679.863938</v>
      </c>
      <c r="Y117" s="131">
        <f t="shared" si="74"/>
        <v>1696.662578</v>
      </c>
      <c r="Z117" s="131">
        <f t="shared" si="74"/>
        <v>1713.629203</v>
      </c>
      <c r="AA117" s="131">
        <f t="shared" si="74"/>
        <v>1730.765495</v>
      </c>
      <c r="AB117" s="131">
        <f t="shared" si="74"/>
        <v>1748.07315</v>
      </c>
      <c r="AC117" s="131">
        <f t="shared" si="74"/>
        <v>1765.553882</v>
      </c>
      <c r="AD117" s="131">
        <f t="shared" si="74"/>
        <v>1783.209421</v>
      </c>
      <c r="AE117" s="131">
        <f t="shared" si="74"/>
        <v>1801.041515</v>
      </c>
      <c r="AF117" s="131">
        <f t="shared" si="74"/>
        <v>1819.05193</v>
      </c>
      <c r="AG117" s="131">
        <f t="shared" si="74"/>
        <v>1837.242449</v>
      </c>
      <c r="AH117" s="131">
        <f t="shared" si="74"/>
        <v>1855.614874</v>
      </c>
      <c r="AI117" s="131">
        <f t="shared" si="74"/>
        <v>1874.171023</v>
      </c>
      <c r="AJ117" s="131">
        <f t="shared" si="74"/>
        <v>1892.912733</v>
      </c>
      <c r="AK117" s="131">
        <f t="shared" si="74"/>
        <v>1911.84186</v>
      </c>
      <c r="AL117" s="131">
        <f t="shared" si="74"/>
        <v>1930.960279</v>
      </c>
      <c r="AM117" s="131">
        <f t="shared" si="74"/>
        <v>1950.269881</v>
      </c>
      <c r="AN117" s="131">
        <f t="shared" si="74"/>
        <v>1969.77258</v>
      </c>
      <c r="AO117" s="131">
        <f t="shared" si="74"/>
        <v>1989.470306</v>
      </c>
      <c r="AP117" s="131">
        <f t="shared" si="74"/>
        <v>2009.365009</v>
      </c>
      <c r="AQ117" s="131">
        <f t="shared" si="74"/>
        <v>2029.458659</v>
      </c>
      <c r="AR117" s="131">
        <f t="shared" si="74"/>
        <v>2049.753246</v>
      </c>
      <c r="AS117" s="131">
        <f t="shared" si="74"/>
        <v>2070.250778</v>
      </c>
      <c r="AT117" s="131">
        <f t="shared" si="74"/>
        <v>2090.953286</v>
      </c>
      <c r="AU117" s="131">
        <f t="shared" si="74"/>
        <v>2111.862819</v>
      </c>
      <c r="AV117" s="131">
        <f t="shared" si="74"/>
        <v>2132.981447</v>
      </c>
      <c r="AW117" s="131">
        <f t="shared" si="74"/>
        <v>2154.311262</v>
      </c>
      <c r="AX117" s="131">
        <f t="shared" si="74"/>
        <v>2175.854374</v>
      </c>
      <c r="AY117" s="131">
        <f t="shared" si="74"/>
        <v>2197.612918</v>
      </c>
      <c r="AZ117" s="131">
        <f t="shared" si="74"/>
        <v>2219.589047</v>
      </c>
      <c r="BA117" s="131">
        <f t="shared" si="74"/>
        <v>2241.784938</v>
      </c>
      <c r="BB117" s="131">
        <f t="shared" si="74"/>
        <v>2264.202787</v>
      </c>
      <c r="BC117" s="131">
        <f t="shared" si="74"/>
        <v>2286.844815</v>
      </c>
      <c r="BD117" s="131">
        <f t="shared" si="74"/>
        <v>2309.713263</v>
      </c>
      <c r="BE117" s="131">
        <f t="shared" si="74"/>
        <v>2332.810396</v>
      </c>
      <c r="BF117" s="131">
        <f t="shared" si="74"/>
        <v>2356.1385</v>
      </c>
      <c r="BG117" s="131">
        <f t="shared" si="74"/>
        <v>2379.699885</v>
      </c>
      <c r="BH117" s="131">
        <f t="shared" si="74"/>
        <v>2403.496883</v>
      </c>
      <c r="BI117" s="131">
        <f t="shared" si="74"/>
        <v>2427.531852</v>
      </c>
      <c r="BJ117" s="131">
        <f t="shared" si="74"/>
        <v>2451.807171</v>
      </c>
      <c r="BK117" s="131">
        <f t="shared" si="74"/>
        <v>2476.325242</v>
      </c>
      <c r="BL117" s="131">
        <f t="shared" si="74"/>
        <v>2501.088495</v>
      </c>
      <c r="BM117" s="131">
        <f t="shared" si="74"/>
        <v>2526.09938</v>
      </c>
      <c r="BN117" s="131">
        <f t="shared" si="74"/>
        <v>2551.360374</v>
      </c>
      <c r="BO117" s="131">
        <f t="shared" si="74"/>
        <v>2576.873977</v>
      </c>
      <c r="BP117" s="131">
        <f t="shared" si="74"/>
        <v>2602.642717</v>
      </c>
      <c r="BQ117" s="131">
        <f t="shared" si="74"/>
        <v>2628.669144</v>
      </c>
      <c r="BR117" s="131">
        <f t="shared" si="74"/>
        <v>2654.955836</v>
      </c>
      <c r="BS117" s="131">
        <f t="shared" si="74"/>
        <v>2681.505394</v>
      </c>
      <c r="BT117" s="131">
        <f t="shared" si="74"/>
        <v>2708.320448</v>
      </c>
      <c r="BU117" s="131">
        <f t="shared" si="74"/>
        <v>2735.403653</v>
      </c>
      <c r="BV117" s="131">
        <f t="shared" si="74"/>
        <v>2762.757689</v>
      </c>
      <c r="BW117" s="131">
        <f t="shared" si="74"/>
        <v>2790.385266</v>
      </c>
      <c r="BX117" s="131">
        <f t="shared" si="74"/>
        <v>2818.289119</v>
      </c>
      <c r="BY117" s="131">
        <f t="shared" si="74"/>
        <v>2846.47201</v>
      </c>
      <c r="BZ117" s="131">
        <f t="shared" si="74"/>
        <v>2874.93673</v>
      </c>
      <c r="CA117" s="131">
        <f t="shared" si="74"/>
        <v>2903.686097</v>
      </c>
      <c r="CB117" s="131">
        <f t="shared" si="74"/>
        <v>2932.722958</v>
      </c>
      <c r="CC117" s="117"/>
      <c r="CD117" s="117"/>
    </row>
    <row r="118" ht="15.75" customHeight="1">
      <c r="A118" s="146"/>
      <c r="B118" s="130"/>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7"/>
      <c r="BO118" s="117"/>
      <c r="BP118" s="117"/>
      <c r="BQ118" s="117"/>
      <c r="BR118" s="117"/>
      <c r="BS118" s="117"/>
      <c r="BT118" s="117"/>
      <c r="BU118" s="117"/>
      <c r="BV118" s="117"/>
      <c r="BW118" s="117"/>
      <c r="BX118" s="117"/>
      <c r="BY118" s="117"/>
      <c r="BZ118" s="117"/>
      <c r="CA118" s="117"/>
      <c r="CB118" s="117"/>
      <c r="CC118" s="117"/>
      <c r="CD118" s="117"/>
    </row>
    <row r="119" ht="15.75" customHeight="1">
      <c r="A119" s="4" t="s">
        <v>220</v>
      </c>
      <c r="B119" s="304">
        <f>1-SUM(B101,B110)</f>
        <v>0.25</v>
      </c>
      <c r="C119" s="118"/>
      <c r="D119" s="118"/>
      <c r="E119" s="118"/>
      <c r="F119" s="118"/>
      <c r="G119" s="118"/>
      <c r="H119" s="118"/>
      <c r="I119" s="118"/>
      <c r="J119" s="118"/>
      <c r="K119" s="118"/>
      <c r="L119" s="118"/>
      <c r="M119" s="118"/>
      <c r="N119" s="247">
        <f t="array" ref="N119">INDEX('IS Proforma'!$1:$1048490,MATCH(Expenses!$A119,'IS Proforma'!$C:$C,0),MATCH(Expenses!N$4,'IS Proforma'!$4:$4))</f>
        <v>1110</v>
      </c>
      <c r="O119" s="247"/>
      <c r="P119" s="247"/>
      <c r="Q119" s="247">
        <f t="array" ref="Q119">INDEX('IS Proforma'!$1:$1048490,MATCH(Expenses!$A119,'IS Proforma'!$C:$C,0),MATCH(Expenses!Q$4,'IS Proforma'!$4:$4))</f>
        <v>2454</v>
      </c>
      <c r="R119" s="247">
        <f t="array" ref="R119">INDEX('IS Proforma'!$1:$1048490,MATCH(Expenses!$A119,'IS Proforma'!$C:$C,0),MATCH(Expenses!R$4,'IS Proforma'!$4:$4))</f>
        <v>2362</v>
      </c>
      <c r="S119" s="247">
        <f t="array" ref="S119">INDEX('IS Proforma'!$1:$1048490,MATCH(Expenses!$A119,'IS Proforma'!$C:$C,0),MATCH(Expenses!S$4,'IS Proforma'!$4:$4))</f>
        <v>1142</v>
      </c>
      <c r="T119" s="303">
        <f t="shared" ref="T119:CB119" si="75">T$97*$B119</f>
        <v>3921.25875</v>
      </c>
      <c r="U119" s="303">
        <f t="shared" si="75"/>
        <v>4313.384625</v>
      </c>
      <c r="V119" s="303">
        <f t="shared" si="75"/>
        <v>4356.518471</v>
      </c>
      <c r="W119" s="303">
        <f t="shared" si="75"/>
        <v>4400.083656</v>
      </c>
      <c r="X119" s="303">
        <f t="shared" si="75"/>
        <v>4444.084493</v>
      </c>
      <c r="Y119" s="303">
        <f t="shared" si="75"/>
        <v>4488.525337</v>
      </c>
      <c r="Z119" s="303">
        <f t="shared" si="75"/>
        <v>4533.410591</v>
      </c>
      <c r="AA119" s="303">
        <f t="shared" si="75"/>
        <v>4578.744697</v>
      </c>
      <c r="AB119" s="303">
        <f t="shared" si="75"/>
        <v>4624.532144</v>
      </c>
      <c r="AC119" s="303">
        <f t="shared" si="75"/>
        <v>4670.777465</v>
      </c>
      <c r="AD119" s="303">
        <f t="shared" si="75"/>
        <v>4717.48524</v>
      </c>
      <c r="AE119" s="303">
        <f t="shared" si="75"/>
        <v>4764.660092</v>
      </c>
      <c r="AF119" s="303">
        <f t="shared" si="75"/>
        <v>4812.306693</v>
      </c>
      <c r="AG119" s="303">
        <f t="shared" si="75"/>
        <v>4860.42976</v>
      </c>
      <c r="AH119" s="303">
        <f t="shared" si="75"/>
        <v>4909.034058</v>
      </c>
      <c r="AI119" s="303">
        <f t="shared" si="75"/>
        <v>4958.124398</v>
      </c>
      <c r="AJ119" s="303">
        <f t="shared" si="75"/>
        <v>5007.705642</v>
      </c>
      <c r="AK119" s="303">
        <f t="shared" si="75"/>
        <v>5057.782699</v>
      </c>
      <c r="AL119" s="303">
        <f t="shared" si="75"/>
        <v>5108.360526</v>
      </c>
      <c r="AM119" s="303">
        <f t="shared" si="75"/>
        <v>5159.444131</v>
      </c>
      <c r="AN119" s="303">
        <f t="shared" si="75"/>
        <v>5211.038572</v>
      </c>
      <c r="AO119" s="303">
        <f t="shared" si="75"/>
        <v>5263.148958</v>
      </c>
      <c r="AP119" s="303">
        <f t="shared" si="75"/>
        <v>5315.780447</v>
      </c>
      <c r="AQ119" s="303">
        <f t="shared" si="75"/>
        <v>5368.938252</v>
      </c>
      <c r="AR119" s="303">
        <f t="shared" si="75"/>
        <v>5422.627634</v>
      </c>
      <c r="AS119" s="303">
        <f t="shared" si="75"/>
        <v>5476.853911</v>
      </c>
      <c r="AT119" s="303">
        <f t="shared" si="75"/>
        <v>5531.62245</v>
      </c>
      <c r="AU119" s="303">
        <f t="shared" si="75"/>
        <v>5586.938674</v>
      </c>
      <c r="AV119" s="303">
        <f t="shared" si="75"/>
        <v>5642.808061</v>
      </c>
      <c r="AW119" s="303">
        <f t="shared" si="75"/>
        <v>5699.236142</v>
      </c>
      <c r="AX119" s="303">
        <f t="shared" si="75"/>
        <v>5756.228503</v>
      </c>
      <c r="AY119" s="303">
        <f t="shared" si="75"/>
        <v>5813.790788</v>
      </c>
      <c r="AZ119" s="303">
        <f t="shared" si="75"/>
        <v>5871.928696</v>
      </c>
      <c r="BA119" s="303">
        <f t="shared" si="75"/>
        <v>5930.647983</v>
      </c>
      <c r="BB119" s="303">
        <f t="shared" si="75"/>
        <v>5989.954463</v>
      </c>
      <c r="BC119" s="303">
        <f t="shared" si="75"/>
        <v>6049.854008</v>
      </c>
      <c r="BD119" s="303">
        <f t="shared" si="75"/>
        <v>6110.352548</v>
      </c>
      <c r="BE119" s="303">
        <f t="shared" si="75"/>
        <v>6171.456073</v>
      </c>
      <c r="BF119" s="303">
        <f t="shared" si="75"/>
        <v>6233.170634</v>
      </c>
      <c r="BG119" s="303">
        <f t="shared" si="75"/>
        <v>6295.50234</v>
      </c>
      <c r="BH119" s="303">
        <f t="shared" si="75"/>
        <v>6358.457364</v>
      </c>
      <c r="BI119" s="303">
        <f t="shared" si="75"/>
        <v>6422.041937</v>
      </c>
      <c r="BJ119" s="303">
        <f t="shared" si="75"/>
        <v>6486.262357</v>
      </c>
      <c r="BK119" s="303">
        <f t="shared" si="75"/>
        <v>6551.12498</v>
      </c>
      <c r="BL119" s="303">
        <f t="shared" si="75"/>
        <v>6616.63623</v>
      </c>
      <c r="BM119" s="303">
        <f t="shared" si="75"/>
        <v>6682.802592</v>
      </c>
      <c r="BN119" s="303">
        <f t="shared" si="75"/>
        <v>6749.630618</v>
      </c>
      <c r="BO119" s="303">
        <f t="shared" si="75"/>
        <v>6817.126924</v>
      </c>
      <c r="BP119" s="303">
        <f t="shared" si="75"/>
        <v>6885.298194</v>
      </c>
      <c r="BQ119" s="303">
        <f t="shared" si="75"/>
        <v>6954.151175</v>
      </c>
      <c r="BR119" s="303">
        <f t="shared" si="75"/>
        <v>7023.692687</v>
      </c>
      <c r="BS119" s="303">
        <f t="shared" si="75"/>
        <v>7093.929614</v>
      </c>
      <c r="BT119" s="303">
        <f t="shared" si="75"/>
        <v>7164.86891</v>
      </c>
      <c r="BU119" s="303">
        <f t="shared" si="75"/>
        <v>7236.517599</v>
      </c>
      <c r="BV119" s="303">
        <f t="shared" si="75"/>
        <v>7308.882775</v>
      </c>
      <c r="BW119" s="303">
        <f t="shared" si="75"/>
        <v>7381.971603</v>
      </c>
      <c r="BX119" s="303">
        <f t="shared" si="75"/>
        <v>7455.791319</v>
      </c>
      <c r="BY119" s="303">
        <f t="shared" si="75"/>
        <v>7530.349232</v>
      </c>
      <c r="BZ119" s="303">
        <f t="shared" si="75"/>
        <v>7605.652725</v>
      </c>
      <c r="CA119" s="303">
        <f t="shared" si="75"/>
        <v>7681.709252</v>
      </c>
      <c r="CB119" s="303">
        <f t="shared" si="75"/>
        <v>7758.526344</v>
      </c>
      <c r="CC119" s="118"/>
      <c r="CD119" s="118"/>
    </row>
    <row r="120" ht="15.75" customHeight="1">
      <c r="A120" s="297" t="s">
        <v>559</v>
      </c>
      <c r="B120" s="283">
        <v>0.4</v>
      </c>
      <c r="C120" s="117"/>
      <c r="D120" s="117"/>
      <c r="E120" s="117"/>
      <c r="F120" s="117"/>
      <c r="G120" s="117"/>
      <c r="H120" s="117"/>
      <c r="I120" s="117"/>
      <c r="J120" s="117"/>
      <c r="K120" s="117"/>
      <c r="L120" s="117"/>
      <c r="M120" s="117"/>
      <c r="N120" s="117"/>
      <c r="O120" s="131"/>
      <c r="P120" s="131"/>
      <c r="Q120" s="131"/>
      <c r="R120" s="131"/>
      <c r="S120" s="131"/>
      <c r="T120" s="131">
        <f t="shared" ref="T120:CB120" si="76">T$119*$B120</f>
        <v>1568.5035</v>
      </c>
      <c r="U120" s="131">
        <f t="shared" si="76"/>
        <v>1725.35385</v>
      </c>
      <c r="V120" s="131">
        <f t="shared" si="76"/>
        <v>1742.607389</v>
      </c>
      <c r="W120" s="131">
        <f t="shared" si="76"/>
        <v>1760.033462</v>
      </c>
      <c r="X120" s="131">
        <f t="shared" si="76"/>
        <v>1777.633797</v>
      </c>
      <c r="Y120" s="131">
        <f t="shared" si="76"/>
        <v>1795.410135</v>
      </c>
      <c r="Z120" s="131">
        <f t="shared" si="76"/>
        <v>1813.364236</v>
      </c>
      <c r="AA120" s="131">
        <f t="shared" si="76"/>
        <v>1831.497879</v>
      </c>
      <c r="AB120" s="131">
        <f t="shared" si="76"/>
        <v>1849.812857</v>
      </c>
      <c r="AC120" s="131">
        <f t="shared" si="76"/>
        <v>1868.310986</v>
      </c>
      <c r="AD120" s="131">
        <f t="shared" si="76"/>
        <v>1886.994096</v>
      </c>
      <c r="AE120" s="131">
        <f t="shared" si="76"/>
        <v>1905.864037</v>
      </c>
      <c r="AF120" s="131">
        <f t="shared" si="76"/>
        <v>1924.922677</v>
      </c>
      <c r="AG120" s="131">
        <f t="shared" si="76"/>
        <v>1944.171904</v>
      </c>
      <c r="AH120" s="131">
        <f t="shared" si="76"/>
        <v>1963.613623</v>
      </c>
      <c r="AI120" s="131">
        <f t="shared" si="76"/>
        <v>1983.249759</v>
      </c>
      <c r="AJ120" s="131">
        <f t="shared" si="76"/>
        <v>2003.082257</v>
      </c>
      <c r="AK120" s="131">
        <f t="shared" si="76"/>
        <v>2023.113079</v>
      </c>
      <c r="AL120" s="131">
        <f t="shared" si="76"/>
        <v>2043.34421</v>
      </c>
      <c r="AM120" s="131">
        <f t="shared" si="76"/>
        <v>2063.777652</v>
      </c>
      <c r="AN120" s="131">
        <f t="shared" si="76"/>
        <v>2084.415429</v>
      </c>
      <c r="AO120" s="131">
        <f t="shared" si="76"/>
        <v>2105.259583</v>
      </c>
      <c r="AP120" s="131">
        <f t="shared" si="76"/>
        <v>2126.312179</v>
      </c>
      <c r="AQ120" s="131">
        <f t="shared" si="76"/>
        <v>2147.575301</v>
      </c>
      <c r="AR120" s="131">
        <f t="shared" si="76"/>
        <v>2169.051054</v>
      </c>
      <c r="AS120" s="131">
        <f t="shared" si="76"/>
        <v>2190.741564</v>
      </c>
      <c r="AT120" s="131">
        <f t="shared" si="76"/>
        <v>2212.64898</v>
      </c>
      <c r="AU120" s="131">
        <f t="shared" si="76"/>
        <v>2234.77547</v>
      </c>
      <c r="AV120" s="131">
        <f t="shared" si="76"/>
        <v>2257.123224</v>
      </c>
      <c r="AW120" s="131">
        <f t="shared" si="76"/>
        <v>2279.694457</v>
      </c>
      <c r="AX120" s="131">
        <f t="shared" si="76"/>
        <v>2302.491401</v>
      </c>
      <c r="AY120" s="131">
        <f t="shared" si="76"/>
        <v>2325.516315</v>
      </c>
      <c r="AZ120" s="131">
        <f t="shared" si="76"/>
        <v>2348.771478</v>
      </c>
      <c r="BA120" s="131">
        <f t="shared" si="76"/>
        <v>2372.259193</v>
      </c>
      <c r="BB120" s="131">
        <f t="shared" si="76"/>
        <v>2395.981785</v>
      </c>
      <c r="BC120" s="131">
        <f t="shared" si="76"/>
        <v>2419.941603</v>
      </c>
      <c r="BD120" s="131">
        <f t="shared" si="76"/>
        <v>2444.141019</v>
      </c>
      <c r="BE120" s="131">
        <f t="shared" si="76"/>
        <v>2468.582429</v>
      </c>
      <c r="BF120" s="131">
        <f t="shared" si="76"/>
        <v>2493.268254</v>
      </c>
      <c r="BG120" s="131">
        <f t="shared" si="76"/>
        <v>2518.200936</v>
      </c>
      <c r="BH120" s="131">
        <f t="shared" si="76"/>
        <v>2543.382945</v>
      </c>
      <c r="BI120" s="131">
        <f t="shared" si="76"/>
        <v>2568.816775</v>
      </c>
      <c r="BJ120" s="131">
        <f t="shared" si="76"/>
        <v>2594.504943</v>
      </c>
      <c r="BK120" s="131">
        <f t="shared" si="76"/>
        <v>2620.449992</v>
      </c>
      <c r="BL120" s="131">
        <f t="shared" si="76"/>
        <v>2646.654492</v>
      </c>
      <c r="BM120" s="131">
        <f t="shared" si="76"/>
        <v>2673.121037</v>
      </c>
      <c r="BN120" s="131">
        <f t="shared" si="76"/>
        <v>2699.852247</v>
      </c>
      <c r="BO120" s="131">
        <f t="shared" si="76"/>
        <v>2726.85077</v>
      </c>
      <c r="BP120" s="131">
        <f t="shared" si="76"/>
        <v>2754.119277</v>
      </c>
      <c r="BQ120" s="131">
        <f t="shared" si="76"/>
        <v>2781.66047</v>
      </c>
      <c r="BR120" s="131">
        <f t="shared" si="76"/>
        <v>2809.477075</v>
      </c>
      <c r="BS120" s="131">
        <f t="shared" si="76"/>
        <v>2837.571846</v>
      </c>
      <c r="BT120" s="131">
        <f t="shared" si="76"/>
        <v>2865.947564</v>
      </c>
      <c r="BU120" s="131">
        <f t="shared" si="76"/>
        <v>2894.60704</v>
      </c>
      <c r="BV120" s="131">
        <f t="shared" si="76"/>
        <v>2923.55311</v>
      </c>
      <c r="BW120" s="131">
        <f t="shared" si="76"/>
        <v>2952.788641</v>
      </c>
      <c r="BX120" s="131">
        <f t="shared" si="76"/>
        <v>2982.316528</v>
      </c>
      <c r="BY120" s="131">
        <f t="shared" si="76"/>
        <v>3012.139693</v>
      </c>
      <c r="BZ120" s="131">
        <f t="shared" si="76"/>
        <v>3042.26109</v>
      </c>
      <c r="CA120" s="131">
        <f t="shared" si="76"/>
        <v>3072.683701</v>
      </c>
      <c r="CB120" s="131">
        <f t="shared" si="76"/>
        <v>3103.410538</v>
      </c>
      <c r="CC120" s="117"/>
      <c r="CD120" s="117"/>
    </row>
    <row r="121" ht="15.75" customHeight="1">
      <c r="A121" s="297" t="s">
        <v>560</v>
      </c>
      <c r="B121" s="283">
        <v>0.2</v>
      </c>
      <c r="C121" s="117"/>
      <c r="D121" s="117"/>
      <c r="E121" s="117"/>
      <c r="F121" s="117"/>
      <c r="G121" s="117"/>
      <c r="H121" s="117"/>
      <c r="I121" s="117"/>
      <c r="J121" s="117"/>
      <c r="K121" s="117"/>
      <c r="L121" s="117"/>
      <c r="M121" s="117"/>
      <c r="N121" s="117"/>
      <c r="O121" s="131"/>
      <c r="P121" s="131"/>
      <c r="Q121" s="131"/>
      <c r="R121" s="131"/>
      <c r="S121" s="131"/>
      <c r="T121" s="131">
        <f t="shared" ref="T121:CB121" si="77">T$119*$B121</f>
        <v>784.25175</v>
      </c>
      <c r="U121" s="131">
        <f t="shared" si="77"/>
        <v>862.676925</v>
      </c>
      <c r="V121" s="131">
        <f t="shared" si="77"/>
        <v>871.3036943</v>
      </c>
      <c r="W121" s="131">
        <f t="shared" si="77"/>
        <v>880.0167312</v>
      </c>
      <c r="X121" s="131">
        <f t="shared" si="77"/>
        <v>888.8168985</v>
      </c>
      <c r="Y121" s="131">
        <f t="shared" si="77"/>
        <v>897.7050675</v>
      </c>
      <c r="Z121" s="131">
        <f t="shared" si="77"/>
        <v>906.6821182</v>
      </c>
      <c r="AA121" s="131">
        <f t="shared" si="77"/>
        <v>915.7489393</v>
      </c>
      <c r="AB121" s="131">
        <f t="shared" si="77"/>
        <v>924.9064287</v>
      </c>
      <c r="AC121" s="131">
        <f t="shared" si="77"/>
        <v>934.155493</v>
      </c>
      <c r="AD121" s="131">
        <f t="shared" si="77"/>
        <v>943.497048</v>
      </c>
      <c r="AE121" s="131">
        <f t="shared" si="77"/>
        <v>952.9320184</v>
      </c>
      <c r="AF121" s="131">
        <f t="shared" si="77"/>
        <v>962.4613386</v>
      </c>
      <c r="AG121" s="131">
        <f t="shared" si="77"/>
        <v>972.085952</v>
      </c>
      <c r="AH121" s="131">
        <f t="shared" si="77"/>
        <v>981.8068115</v>
      </c>
      <c r="AI121" s="131">
        <f t="shared" si="77"/>
        <v>991.6248796</v>
      </c>
      <c r="AJ121" s="131">
        <f t="shared" si="77"/>
        <v>1001.541128</v>
      </c>
      <c r="AK121" s="131">
        <f t="shared" si="77"/>
        <v>1011.55654</v>
      </c>
      <c r="AL121" s="131">
        <f t="shared" si="77"/>
        <v>1021.672105</v>
      </c>
      <c r="AM121" s="131">
        <f t="shared" si="77"/>
        <v>1031.888826</v>
      </c>
      <c r="AN121" s="131">
        <f t="shared" si="77"/>
        <v>1042.207714</v>
      </c>
      <c r="AO121" s="131">
        <f t="shared" si="77"/>
        <v>1052.629792</v>
      </c>
      <c r="AP121" s="131">
        <f t="shared" si="77"/>
        <v>1063.156089</v>
      </c>
      <c r="AQ121" s="131">
        <f t="shared" si="77"/>
        <v>1073.78765</v>
      </c>
      <c r="AR121" s="131">
        <f t="shared" si="77"/>
        <v>1084.525527</v>
      </c>
      <c r="AS121" s="131">
        <f t="shared" si="77"/>
        <v>1095.370782</v>
      </c>
      <c r="AT121" s="131">
        <f t="shared" si="77"/>
        <v>1106.32449</v>
      </c>
      <c r="AU121" s="131">
        <f t="shared" si="77"/>
        <v>1117.387735</v>
      </c>
      <c r="AV121" s="131">
        <f t="shared" si="77"/>
        <v>1128.561612</v>
      </c>
      <c r="AW121" s="131">
        <f t="shared" si="77"/>
        <v>1139.847228</v>
      </c>
      <c r="AX121" s="131">
        <f t="shared" si="77"/>
        <v>1151.245701</v>
      </c>
      <c r="AY121" s="131">
        <f t="shared" si="77"/>
        <v>1162.758158</v>
      </c>
      <c r="AZ121" s="131">
        <f t="shared" si="77"/>
        <v>1174.385739</v>
      </c>
      <c r="BA121" s="131">
        <f t="shared" si="77"/>
        <v>1186.129597</v>
      </c>
      <c r="BB121" s="131">
        <f t="shared" si="77"/>
        <v>1197.990893</v>
      </c>
      <c r="BC121" s="131">
        <f t="shared" si="77"/>
        <v>1209.970802</v>
      </c>
      <c r="BD121" s="131">
        <f t="shared" si="77"/>
        <v>1222.07051</v>
      </c>
      <c r="BE121" s="131">
        <f t="shared" si="77"/>
        <v>1234.291215</v>
      </c>
      <c r="BF121" s="131">
        <f t="shared" si="77"/>
        <v>1246.634127</v>
      </c>
      <c r="BG121" s="131">
        <f t="shared" si="77"/>
        <v>1259.100468</v>
      </c>
      <c r="BH121" s="131">
        <f t="shared" si="77"/>
        <v>1271.691473</v>
      </c>
      <c r="BI121" s="131">
        <f t="shared" si="77"/>
        <v>1284.408387</v>
      </c>
      <c r="BJ121" s="131">
        <f t="shared" si="77"/>
        <v>1297.252471</v>
      </c>
      <c r="BK121" s="131">
        <f t="shared" si="77"/>
        <v>1310.224996</v>
      </c>
      <c r="BL121" s="131">
        <f t="shared" si="77"/>
        <v>1323.327246</v>
      </c>
      <c r="BM121" s="131">
        <f t="shared" si="77"/>
        <v>1336.560518</v>
      </c>
      <c r="BN121" s="131">
        <f t="shared" si="77"/>
        <v>1349.926124</v>
      </c>
      <c r="BO121" s="131">
        <f t="shared" si="77"/>
        <v>1363.425385</v>
      </c>
      <c r="BP121" s="131">
        <f t="shared" si="77"/>
        <v>1377.059639</v>
      </c>
      <c r="BQ121" s="131">
        <f t="shared" si="77"/>
        <v>1390.830235</v>
      </c>
      <c r="BR121" s="131">
        <f t="shared" si="77"/>
        <v>1404.738537</v>
      </c>
      <c r="BS121" s="131">
        <f t="shared" si="77"/>
        <v>1418.785923</v>
      </c>
      <c r="BT121" s="131">
        <f t="shared" si="77"/>
        <v>1432.973782</v>
      </c>
      <c r="BU121" s="131">
        <f t="shared" si="77"/>
        <v>1447.30352</v>
      </c>
      <c r="BV121" s="131">
        <f t="shared" si="77"/>
        <v>1461.776555</v>
      </c>
      <c r="BW121" s="131">
        <f t="shared" si="77"/>
        <v>1476.394321</v>
      </c>
      <c r="BX121" s="131">
        <f t="shared" si="77"/>
        <v>1491.158264</v>
      </c>
      <c r="BY121" s="131">
        <f t="shared" si="77"/>
        <v>1506.069846</v>
      </c>
      <c r="BZ121" s="131">
        <f t="shared" si="77"/>
        <v>1521.130545</v>
      </c>
      <c r="CA121" s="131">
        <f t="shared" si="77"/>
        <v>1536.34185</v>
      </c>
      <c r="CB121" s="131">
        <f t="shared" si="77"/>
        <v>1551.705269</v>
      </c>
      <c r="CC121" s="117"/>
      <c r="CD121" s="117"/>
    </row>
    <row r="122" ht="15.75" customHeight="1">
      <c r="A122" s="297" t="s">
        <v>561</v>
      </c>
      <c r="B122" s="283">
        <v>0.08</v>
      </c>
      <c r="C122" s="117"/>
      <c r="D122" s="117"/>
      <c r="E122" s="117"/>
      <c r="F122" s="117"/>
      <c r="G122" s="117"/>
      <c r="H122" s="117"/>
      <c r="I122" s="117"/>
      <c r="J122" s="117"/>
      <c r="K122" s="117"/>
      <c r="L122" s="117"/>
      <c r="M122" s="117"/>
      <c r="N122" s="117"/>
      <c r="O122" s="131"/>
      <c r="P122" s="131"/>
      <c r="Q122" s="131"/>
      <c r="R122" s="131"/>
      <c r="S122" s="131"/>
      <c r="T122" s="131">
        <f t="shared" ref="T122:CB122" si="78">T$119*$B122</f>
        <v>313.7007</v>
      </c>
      <c r="U122" s="131">
        <f t="shared" si="78"/>
        <v>345.07077</v>
      </c>
      <c r="V122" s="131">
        <f t="shared" si="78"/>
        <v>348.5214777</v>
      </c>
      <c r="W122" s="131">
        <f t="shared" si="78"/>
        <v>352.0066925</v>
      </c>
      <c r="X122" s="131">
        <f t="shared" si="78"/>
        <v>355.5267594</v>
      </c>
      <c r="Y122" s="131">
        <f t="shared" si="78"/>
        <v>359.082027</v>
      </c>
      <c r="Z122" s="131">
        <f t="shared" si="78"/>
        <v>362.6728473</v>
      </c>
      <c r="AA122" s="131">
        <f t="shared" si="78"/>
        <v>366.2995757</v>
      </c>
      <c r="AB122" s="131">
        <f t="shared" si="78"/>
        <v>369.9625715</v>
      </c>
      <c r="AC122" s="131">
        <f t="shared" si="78"/>
        <v>373.6621972</v>
      </c>
      <c r="AD122" s="131">
        <f t="shared" si="78"/>
        <v>377.3988192</v>
      </c>
      <c r="AE122" s="131">
        <f t="shared" si="78"/>
        <v>381.1728074</v>
      </c>
      <c r="AF122" s="131">
        <f t="shared" si="78"/>
        <v>384.9845354</v>
      </c>
      <c r="AG122" s="131">
        <f t="shared" si="78"/>
        <v>388.8343808</v>
      </c>
      <c r="AH122" s="131">
        <f t="shared" si="78"/>
        <v>392.7227246</v>
      </c>
      <c r="AI122" s="131">
        <f t="shared" si="78"/>
        <v>396.6499519</v>
      </c>
      <c r="AJ122" s="131">
        <f t="shared" si="78"/>
        <v>400.6164514</v>
      </c>
      <c r="AK122" s="131">
        <f t="shared" si="78"/>
        <v>404.6226159</v>
      </c>
      <c r="AL122" s="131">
        <f t="shared" si="78"/>
        <v>408.668842</v>
      </c>
      <c r="AM122" s="131">
        <f t="shared" si="78"/>
        <v>412.7555305</v>
      </c>
      <c r="AN122" s="131">
        <f t="shared" si="78"/>
        <v>416.8830858</v>
      </c>
      <c r="AO122" s="131">
        <f t="shared" si="78"/>
        <v>421.0519166</v>
      </c>
      <c r="AP122" s="131">
        <f t="shared" si="78"/>
        <v>425.2624358</v>
      </c>
      <c r="AQ122" s="131">
        <f t="shared" si="78"/>
        <v>429.5150602</v>
      </c>
      <c r="AR122" s="131">
        <f t="shared" si="78"/>
        <v>433.8102108</v>
      </c>
      <c r="AS122" s="131">
        <f t="shared" si="78"/>
        <v>438.1483129</v>
      </c>
      <c r="AT122" s="131">
        <f t="shared" si="78"/>
        <v>442.529796</v>
      </c>
      <c r="AU122" s="131">
        <f t="shared" si="78"/>
        <v>446.955094</v>
      </c>
      <c r="AV122" s="131">
        <f t="shared" si="78"/>
        <v>451.4246449</v>
      </c>
      <c r="AW122" s="131">
        <f t="shared" si="78"/>
        <v>455.9388913</v>
      </c>
      <c r="AX122" s="131">
        <f t="shared" si="78"/>
        <v>460.4982803</v>
      </c>
      <c r="AY122" s="131">
        <f t="shared" si="78"/>
        <v>465.1032631</v>
      </c>
      <c r="AZ122" s="131">
        <f t="shared" si="78"/>
        <v>469.7542957</v>
      </c>
      <c r="BA122" s="131">
        <f t="shared" si="78"/>
        <v>474.4518386</v>
      </c>
      <c r="BB122" s="131">
        <f t="shared" si="78"/>
        <v>479.196357</v>
      </c>
      <c r="BC122" s="131">
        <f t="shared" si="78"/>
        <v>483.9883206</v>
      </c>
      <c r="BD122" s="131">
        <f t="shared" si="78"/>
        <v>488.8282038</v>
      </c>
      <c r="BE122" s="131">
        <f t="shared" si="78"/>
        <v>493.7164858</v>
      </c>
      <c r="BF122" s="131">
        <f t="shared" si="78"/>
        <v>498.6536507</v>
      </c>
      <c r="BG122" s="131">
        <f t="shared" si="78"/>
        <v>503.6401872</v>
      </c>
      <c r="BH122" s="131">
        <f t="shared" si="78"/>
        <v>508.6765891</v>
      </c>
      <c r="BI122" s="131">
        <f t="shared" si="78"/>
        <v>513.763355</v>
      </c>
      <c r="BJ122" s="131">
        <f t="shared" si="78"/>
        <v>518.9009885</v>
      </c>
      <c r="BK122" s="131">
        <f t="shared" si="78"/>
        <v>524.0899984</v>
      </c>
      <c r="BL122" s="131">
        <f t="shared" si="78"/>
        <v>529.3308984</v>
      </c>
      <c r="BM122" s="131">
        <f t="shared" si="78"/>
        <v>534.6242074</v>
      </c>
      <c r="BN122" s="131">
        <f t="shared" si="78"/>
        <v>539.9704495</v>
      </c>
      <c r="BO122" s="131">
        <f t="shared" si="78"/>
        <v>545.3701539</v>
      </c>
      <c r="BP122" s="131">
        <f t="shared" si="78"/>
        <v>550.8238555</v>
      </c>
      <c r="BQ122" s="131">
        <f t="shared" si="78"/>
        <v>556.332094</v>
      </c>
      <c r="BR122" s="131">
        <f t="shared" si="78"/>
        <v>561.895415</v>
      </c>
      <c r="BS122" s="131">
        <f t="shared" si="78"/>
        <v>567.5143691</v>
      </c>
      <c r="BT122" s="131">
        <f t="shared" si="78"/>
        <v>573.1895128</v>
      </c>
      <c r="BU122" s="131">
        <f t="shared" si="78"/>
        <v>578.9214079</v>
      </c>
      <c r="BV122" s="131">
        <f t="shared" si="78"/>
        <v>584.710622</v>
      </c>
      <c r="BW122" s="131">
        <f t="shared" si="78"/>
        <v>590.5577282</v>
      </c>
      <c r="BX122" s="131">
        <f t="shared" si="78"/>
        <v>596.4633055</v>
      </c>
      <c r="BY122" s="131">
        <f t="shared" si="78"/>
        <v>602.4279386</v>
      </c>
      <c r="BZ122" s="131">
        <f t="shared" si="78"/>
        <v>608.452218</v>
      </c>
      <c r="CA122" s="131">
        <f t="shared" si="78"/>
        <v>614.5367402</v>
      </c>
      <c r="CB122" s="131">
        <f t="shared" si="78"/>
        <v>620.6821076</v>
      </c>
      <c r="CC122" s="117"/>
      <c r="CD122" s="117"/>
    </row>
    <row r="123" ht="15.75" customHeight="1">
      <c r="A123" s="297" t="s">
        <v>562</v>
      </c>
      <c r="B123" s="283">
        <v>0.05</v>
      </c>
      <c r="C123" s="117"/>
      <c r="D123" s="117"/>
      <c r="E123" s="117"/>
      <c r="F123" s="117"/>
      <c r="G123" s="117"/>
      <c r="H123" s="117"/>
      <c r="I123" s="117"/>
      <c r="J123" s="117"/>
      <c r="K123" s="117"/>
      <c r="L123" s="117"/>
      <c r="M123" s="117"/>
      <c r="N123" s="117"/>
      <c r="O123" s="131"/>
      <c r="P123" s="131"/>
      <c r="Q123" s="131"/>
      <c r="R123" s="131"/>
      <c r="S123" s="131"/>
      <c r="T123" s="131">
        <f t="shared" ref="T123:CB123" si="79">T$119*$B123</f>
        <v>196.0629375</v>
      </c>
      <c r="U123" s="131">
        <f t="shared" si="79"/>
        <v>215.6692313</v>
      </c>
      <c r="V123" s="131">
        <f t="shared" si="79"/>
        <v>217.8259236</v>
      </c>
      <c r="W123" s="131">
        <f t="shared" si="79"/>
        <v>220.0041828</v>
      </c>
      <c r="X123" s="131">
        <f t="shared" si="79"/>
        <v>222.2042246</v>
      </c>
      <c r="Y123" s="131">
        <f t="shared" si="79"/>
        <v>224.4262669</v>
      </c>
      <c r="Z123" s="131">
        <f t="shared" si="79"/>
        <v>226.6705295</v>
      </c>
      <c r="AA123" s="131">
        <f t="shared" si="79"/>
        <v>228.9372348</v>
      </c>
      <c r="AB123" s="131">
        <f t="shared" si="79"/>
        <v>231.2266072</v>
      </c>
      <c r="AC123" s="131">
        <f t="shared" si="79"/>
        <v>233.5388733</v>
      </c>
      <c r="AD123" s="131">
        <f t="shared" si="79"/>
        <v>235.874262</v>
      </c>
      <c r="AE123" s="131">
        <f t="shared" si="79"/>
        <v>238.2330046</v>
      </c>
      <c r="AF123" s="131">
        <f t="shared" si="79"/>
        <v>240.6153347</v>
      </c>
      <c r="AG123" s="131">
        <f t="shared" si="79"/>
        <v>243.021488</v>
      </c>
      <c r="AH123" s="131">
        <f t="shared" si="79"/>
        <v>245.4517029</v>
      </c>
      <c r="AI123" s="131">
        <f t="shared" si="79"/>
        <v>247.9062199</v>
      </c>
      <c r="AJ123" s="131">
        <f t="shared" si="79"/>
        <v>250.3852821</v>
      </c>
      <c r="AK123" s="131">
        <f t="shared" si="79"/>
        <v>252.8891349</v>
      </c>
      <c r="AL123" s="131">
        <f t="shared" si="79"/>
        <v>255.4180263</v>
      </c>
      <c r="AM123" s="131">
        <f t="shared" si="79"/>
        <v>257.9722065</v>
      </c>
      <c r="AN123" s="131">
        <f t="shared" si="79"/>
        <v>260.5519286</v>
      </c>
      <c r="AO123" s="131">
        <f t="shared" si="79"/>
        <v>263.1574479</v>
      </c>
      <c r="AP123" s="131">
        <f t="shared" si="79"/>
        <v>265.7890224</v>
      </c>
      <c r="AQ123" s="131">
        <f t="shared" si="79"/>
        <v>268.4469126</v>
      </c>
      <c r="AR123" s="131">
        <f t="shared" si="79"/>
        <v>271.1313817</v>
      </c>
      <c r="AS123" s="131">
        <f t="shared" si="79"/>
        <v>273.8426955</v>
      </c>
      <c r="AT123" s="131">
        <f t="shared" si="79"/>
        <v>276.5811225</v>
      </c>
      <c r="AU123" s="131">
        <f t="shared" si="79"/>
        <v>279.3469337</v>
      </c>
      <c r="AV123" s="131">
        <f t="shared" si="79"/>
        <v>282.1404031</v>
      </c>
      <c r="AW123" s="131">
        <f t="shared" si="79"/>
        <v>284.9618071</v>
      </c>
      <c r="AX123" s="131">
        <f t="shared" si="79"/>
        <v>287.8114252</v>
      </c>
      <c r="AY123" s="131">
        <f t="shared" si="79"/>
        <v>290.6895394</v>
      </c>
      <c r="AZ123" s="131">
        <f t="shared" si="79"/>
        <v>293.5964348</v>
      </c>
      <c r="BA123" s="131">
        <f t="shared" si="79"/>
        <v>296.5323992</v>
      </c>
      <c r="BB123" s="131">
        <f t="shared" si="79"/>
        <v>299.4977231</v>
      </c>
      <c r="BC123" s="131">
        <f t="shared" si="79"/>
        <v>302.4927004</v>
      </c>
      <c r="BD123" s="131">
        <f t="shared" si="79"/>
        <v>305.5176274</v>
      </c>
      <c r="BE123" s="131">
        <f t="shared" si="79"/>
        <v>308.5728037</v>
      </c>
      <c r="BF123" s="131">
        <f t="shared" si="79"/>
        <v>311.6585317</v>
      </c>
      <c r="BG123" s="131">
        <f t="shared" si="79"/>
        <v>314.775117</v>
      </c>
      <c r="BH123" s="131">
        <f t="shared" si="79"/>
        <v>317.9228682</v>
      </c>
      <c r="BI123" s="131">
        <f t="shared" si="79"/>
        <v>321.1020969</v>
      </c>
      <c r="BJ123" s="131">
        <f t="shared" si="79"/>
        <v>324.3131178</v>
      </c>
      <c r="BK123" s="131">
        <f t="shared" si="79"/>
        <v>327.556249</v>
      </c>
      <c r="BL123" s="131">
        <f t="shared" si="79"/>
        <v>330.8318115</v>
      </c>
      <c r="BM123" s="131">
        <f t="shared" si="79"/>
        <v>334.1401296</v>
      </c>
      <c r="BN123" s="131">
        <f t="shared" si="79"/>
        <v>337.4815309</v>
      </c>
      <c r="BO123" s="131">
        <f t="shared" si="79"/>
        <v>340.8563462</v>
      </c>
      <c r="BP123" s="131">
        <f t="shared" si="79"/>
        <v>344.2649097</v>
      </c>
      <c r="BQ123" s="131">
        <f t="shared" si="79"/>
        <v>347.7075588</v>
      </c>
      <c r="BR123" s="131">
        <f t="shared" si="79"/>
        <v>351.1846344</v>
      </c>
      <c r="BS123" s="131">
        <f t="shared" si="79"/>
        <v>354.6964807</v>
      </c>
      <c r="BT123" s="131">
        <f t="shared" si="79"/>
        <v>358.2434455</v>
      </c>
      <c r="BU123" s="131">
        <f t="shared" si="79"/>
        <v>361.82588</v>
      </c>
      <c r="BV123" s="131">
        <f t="shared" si="79"/>
        <v>365.4441388</v>
      </c>
      <c r="BW123" s="131">
        <f t="shared" si="79"/>
        <v>369.0985802</v>
      </c>
      <c r="BX123" s="131">
        <f t="shared" si="79"/>
        <v>372.789566</v>
      </c>
      <c r="BY123" s="131">
        <f t="shared" si="79"/>
        <v>376.5174616</v>
      </c>
      <c r="BZ123" s="131">
        <f t="shared" si="79"/>
        <v>380.2826362</v>
      </c>
      <c r="CA123" s="131">
        <f t="shared" si="79"/>
        <v>384.0854626</v>
      </c>
      <c r="CB123" s="131">
        <f t="shared" si="79"/>
        <v>387.9263172</v>
      </c>
      <c r="CC123" s="117"/>
      <c r="CD123" s="117"/>
    </row>
    <row r="124" ht="15.75" customHeight="1">
      <c r="A124" s="297" t="s">
        <v>563</v>
      </c>
      <c r="B124" s="283">
        <v>0.03</v>
      </c>
      <c r="C124" s="117"/>
      <c r="D124" s="117"/>
      <c r="E124" s="117"/>
      <c r="F124" s="117"/>
      <c r="G124" s="117"/>
      <c r="H124" s="117"/>
      <c r="I124" s="117"/>
      <c r="J124" s="117"/>
      <c r="K124" s="117"/>
      <c r="L124" s="117"/>
      <c r="M124" s="117"/>
      <c r="N124" s="117"/>
      <c r="O124" s="131"/>
      <c r="P124" s="131"/>
      <c r="Q124" s="131"/>
      <c r="R124" s="131"/>
      <c r="S124" s="131"/>
      <c r="T124" s="131">
        <f t="shared" ref="T124:CB124" si="80">T$119*$B124</f>
        <v>117.6377625</v>
      </c>
      <c r="U124" s="131">
        <f t="shared" si="80"/>
        <v>129.4015388</v>
      </c>
      <c r="V124" s="131">
        <f t="shared" si="80"/>
        <v>130.6955541</v>
      </c>
      <c r="W124" s="131">
        <f t="shared" si="80"/>
        <v>132.0025097</v>
      </c>
      <c r="X124" s="131">
        <f t="shared" si="80"/>
        <v>133.3225348</v>
      </c>
      <c r="Y124" s="131">
        <f t="shared" si="80"/>
        <v>134.6557601</v>
      </c>
      <c r="Z124" s="131">
        <f t="shared" si="80"/>
        <v>136.0023177</v>
      </c>
      <c r="AA124" s="131">
        <f t="shared" si="80"/>
        <v>137.3623409</v>
      </c>
      <c r="AB124" s="131">
        <f t="shared" si="80"/>
        <v>138.7359643</v>
      </c>
      <c r="AC124" s="131">
        <f t="shared" si="80"/>
        <v>140.123324</v>
      </c>
      <c r="AD124" s="131">
        <f t="shared" si="80"/>
        <v>141.5245572</v>
      </c>
      <c r="AE124" s="131">
        <f t="shared" si="80"/>
        <v>142.9398028</v>
      </c>
      <c r="AF124" s="131">
        <f t="shared" si="80"/>
        <v>144.3692008</v>
      </c>
      <c r="AG124" s="131">
        <f t="shared" si="80"/>
        <v>145.8128928</v>
      </c>
      <c r="AH124" s="131">
        <f t="shared" si="80"/>
        <v>147.2710217</v>
      </c>
      <c r="AI124" s="131">
        <f t="shared" si="80"/>
        <v>148.7437319</v>
      </c>
      <c r="AJ124" s="131">
        <f t="shared" si="80"/>
        <v>150.2311693</v>
      </c>
      <c r="AK124" s="131">
        <f t="shared" si="80"/>
        <v>151.733481</v>
      </c>
      <c r="AL124" s="131">
        <f t="shared" si="80"/>
        <v>153.2508158</v>
      </c>
      <c r="AM124" s="131">
        <f t="shared" si="80"/>
        <v>154.7833239</v>
      </c>
      <c r="AN124" s="131">
        <f t="shared" si="80"/>
        <v>156.3311572</v>
      </c>
      <c r="AO124" s="131">
        <f t="shared" si="80"/>
        <v>157.8944687</v>
      </c>
      <c r="AP124" s="131">
        <f t="shared" si="80"/>
        <v>159.4734134</v>
      </c>
      <c r="AQ124" s="131">
        <f t="shared" si="80"/>
        <v>161.0681476</v>
      </c>
      <c r="AR124" s="131">
        <f t="shared" si="80"/>
        <v>162.678829</v>
      </c>
      <c r="AS124" s="131">
        <f t="shared" si="80"/>
        <v>164.3056173</v>
      </c>
      <c r="AT124" s="131">
        <f t="shared" si="80"/>
        <v>165.9486735</v>
      </c>
      <c r="AU124" s="131">
        <f t="shared" si="80"/>
        <v>167.6081602</v>
      </c>
      <c r="AV124" s="131">
        <f t="shared" si="80"/>
        <v>169.2842418</v>
      </c>
      <c r="AW124" s="131">
        <f t="shared" si="80"/>
        <v>170.9770843</v>
      </c>
      <c r="AX124" s="131">
        <f t="shared" si="80"/>
        <v>172.6868551</v>
      </c>
      <c r="AY124" s="131">
        <f t="shared" si="80"/>
        <v>174.4137236</v>
      </c>
      <c r="AZ124" s="131">
        <f t="shared" si="80"/>
        <v>176.1578609</v>
      </c>
      <c r="BA124" s="131">
        <f t="shared" si="80"/>
        <v>177.9194395</v>
      </c>
      <c r="BB124" s="131">
        <f t="shared" si="80"/>
        <v>179.6986339</v>
      </c>
      <c r="BC124" s="131">
        <f t="shared" si="80"/>
        <v>181.4956202</v>
      </c>
      <c r="BD124" s="131">
        <f t="shared" si="80"/>
        <v>183.3105764</v>
      </c>
      <c r="BE124" s="131">
        <f t="shared" si="80"/>
        <v>185.1436822</v>
      </c>
      <c r="BF124" s="131">
        <f t="shared" si="80"/>
        <v>186.995119</v>
      </c>
      <c r="BG124" s="131">
        <f t="shared" si="80"/>
        <v>188.8650702</v>
      </c>
      <c r="BH124" s="131">
        <f t="shared" si="80"/>
        <v>190.7537209</v>
      </c>
      <c r="BI124" s="131">
        <f t="shared" si="80"/>
        <v>192.6612581</v>
      </c>
      <c r="BJ124" s="131">
        <f t="shared" si="80"/>
        <v>194.5878707</v>
      </c>
      <c r="BK124" s="131">
        <f t="shared" si="80"/>
        <v>196.5337494</v>
      </c>
      <c r="BL124" s="131">
        <f t="shared" si="80"/>
        <v>198.4990869</v>
      </c>
      <c r="BM124" s="131">
        <f t="shared" si="80"/>
        <v>200.4840778</v>
      </c>
      <c r="BN124" s="131">
        <f t="shared" si="80"/>
        <v>202.4889185</v>
      </c>
      <c r="BO124" s="131">
        <f t="shared" si="80"/>
        <v>204.5138077</v>
      </c>
      <c r="BP124" s="131">
        <f t="shared" si="80"/>
        <v>206.5589458</v>
      </c>
      <c r="BQ124" s="131">
        <f t="shared" si="80"/>
        <v>208.6245353</v>
      </c>
      <c r="BR124" s="131">
        <f t="shared" si="80"/>
        <v>210.7107806</v>
      </c>
      <c r="BS124" s="131">
        <f t="shared" si="80"/>
        <v>212.8178884</v>
      </c>
      <c r="BT124" s="131">
        <f t="shared" si="80"/>
        <v>214.9460673</v>
      </c>
      <c r="BU124" s="131">
        <f t="shared" si="80"/>
        <v>217.095528</v>
      </c>
      <c r="BV124" s="131">
        <f t="shared" si="80"/>
        <v>219.2664833</v>
      </c>
      <c r="BW124" s="131">
        <f t="shared" si="80"/>
        <v>221.4591481</v>
      </c>
      <c r="BX124" s="131">
        <f t="shared" si="80"/>
        <v>223.6737396</v>
      </c>
      <c r="BY124" s="131">
        <f t="shared" si="80"/>
        <v>225.910477</v>
      </c>
      <c r="BZ124" s="131">
        <f t="shared" si="80"/>
        <v>228.1695817</v>
      </c>
      <c r="CA124" s="131">
        <f t="shared" si="80"/>
        <v>230.4512776</v>
      </c>
      <c r="CB124" s="131">
        <f t="shared" si="80"/>
        <v>232.7557903</v>
      </c>
      <c r="CC124" s="117"/>
      <c r="CD124" s="117"/>
    </row>
    <row r="125" ht="15.75" customHeight="1">
      <c r="A125" s="297" t="s">
        <v>564</v>
      </c>
      <c r="B125" s="283">
        <v>0.03</v>
      </c>
      <c r="C125" s="117"/>
      <c r="D125" s="117"/>
      <c r="E125" s="117"/>
      <c r="F125" s="117"/>
      <c r="G125" s="117"/>
      <c r="H125" s="117"/>
      <c r="I125" s="117"/>
      <c r="J125" s="117"/>
      <c r="K125" s="117"/>
      <c r="L125" s="117"/>
      <c r="M125" s="117"/>
      <c r="N125" s="117"/>
      <c r="O125" s="131"/>
      <c r="P125" s="131"/>
      <c r="Q125" s="131"/>
      <c r="R125" s="131"/>
      <c r="S125" s="131"/>
      <c r="T125" s="131">
        <f t="shared" ref="T125:CB125" si="81">T$119*$B125</f>
        <v>117.6377625</v>
      </c>
      <c r="U125" s="131">
        <f t="shared" si="81"/>
        <v>129.4015388</v>
      </c>
      <c r="V125" s="131">
        <f t="shared" si="81"/>
        <v>130.6955541</v>
      </c>
      <c r="W125" s="131">
        <f t="shared" si="81"/>
        <v>132.0025097</v>
      </c>
      <c r="X125" s="131">
        <f t="shared" si="81"/>
        <v>133.3225348</v>
      </c>
      <c r="Y125" s="131">
        <f t="shared" si="81"/>
        <v>134.6557601</v>
      </c>
      <c r="Z125" s="131">
        <f t="shared" si="81"/>
        <v>136.0023177</v>
      </c>
      <c r="AA125" s="131">
        <f t="shared" si="81"/>
        <v>137.3623409</v>
      </c>
      <c r="AB125" s="131">
        <f t="shared" si="81"/>
        <v>138.7359643</v>
      </c>
      <c r="AC125" s="131">
        <f t="shared" si="81"/>
        <v>140.123324</v>
      </c>
      <c r="AD125" s="131">
        <f t="shared" si="81"/>
        <v>141.5245572</v>
      </c>
      <c r="AE125" s="131">
        <f t="shared" si="81"/>
        <v>142.9398028</v>
      </c>
      <c r="AF125" s="131">
        <f t="shared" si="81"/>
        <v>144.3692008</v>
      </c>
      <c r="AG125" s="131">
        <f t="shared" si="81"/>
        <v>145.8128928</v>
      </c>
      <c r="AH125" s="131">
        <f t="shared" si="81"/>
        <v>147.2710217</v>
      </c>
      <c r="AI125" s="131">
        <f t="shared" si="81"/>
        <v>148.7437319</v>
      </c>
      <c r="AJ125" s="131">
        <f t="shared" si="81"/>
        <v>150.2311693</v>
      </c>
      <c r="AK125" s="131">
        <f t="shared" si="81"/>
        <v>151.733481</v>
      </c>
      <c r="AL125" s="131">
        <f t="shared" si="81"/>
        <v>153.2508158</v>
      </c>
      <c r="AM125" s="131">
        <f t="shared" si="81"/>
        <v>154.7833239</v>
      </c>
      <c r="AN125" s="131">
        <f t="shared" si="81"/>
        <v>156.3311572</v>
      </c>
      <c r="AO125" s="131">
        <f t="shared" si="81"/>
        <v>157.8944687</v>
      </c>
      <c r="AP125" s="131">
        <f t="shared" si="81"/>
        <v>159.4734134</v>
      </c>
      <c r="AQ125" s="131">
        <f t="shared" si="81"/>
        <v>161.0681476</v>
      </c>
      <c r="AR125" s="131">
        <f t="shared" si="81"/>
        <v>162.678829</v>
      </c>
      <c r="AS125" s="131">
        <f t="shared" si="81"/>
        <v>164.3056173</v>
      </c>
      <c r="AT125" s="131">
        <f t="shared" si="81"/>
        <v>165.9486735</v>
      </c>
      <c r="AU125" s="131">
        <f t="shared" si="81"/>
        <v>167.6081602</v>
      </c>
      <c r="AV125" s="131">
        <f t="shared" si="81"/>
        <v>169.2842418</v>
      </c>
      <c r="AW125" s="131">
        <f t="shared" si="81"/>
        <v>170.9770843</v>
      </c>
      <c r="AX125" s="131">
        <f t="shared" si="81"/>
        <v>172.6868551</v>
      </c>
      <c r="AY125" s="131">
        <f t="shared" si="81"/>
        <v>174.4137236</v>
      </c>
      <c r="AZ125" s="131">
        <f t="shared" si="81"/>
        <v>176.1578609</v>
      </c>
      <c r="BA125" s="131">
        <f t="shared" si="81"/>
        <v>177.9194395</v>
      </c>
      <c r="BB125" s="131">
        <f t="shared" si="81"/>
        <v>179.6986339</v>
      </c>
      <c r="BC125" s="131">
        <f t="shared" si="81"/>
        <v>181.4956202</v>
      </c>
      <c r="BD125" s="131">
        <f t="shared" si="81"/>
        <v>183.3105764</v>
      </c>
      <c r="BE125" s="131">
        <f t="shared" si="81"/>
        <v>185.1436822</v>
      </c>
      <c r="BF125" s="131">
        <f t="shared" si="81"/>
        <v>186.995119</v>
      </c>
      <c r="BG125" s="131">
        <f t="shared" si="81"/>
        <v>188.8650702</v>
      </c>
      <c r="BH125" s="131">
        <f t="shared" si="81"/>
        <v>190.7537209</v>
      </c>
      <c r="BI125" s="131">
        <f t="shared" si="81"/>
        <v>192.6612581</v>
      </c>
      <c r="BJ125" s="131">
        <f t="shared" si="81"/>
        <v>194.5878707</v>
      </c>
      <c r="BK125" s="131">
        <f t="shared" si="81"/>
        <v>196.5337494</v>
      </c>
      <c r="BL125" s="131">
        <f t="shared" si="81"/>
        <v>198.4990869</v>
      </c>
      <c r="BM125" s="131">
        <f t="shared" si="81"/>
        <v>200.4840778</v>
      </c>
      <c r="BN125" s="131">
        <f t="shared" si="81"/>
        <v>202.4889185</v>
      </c>
      <c r="BO125" s="131">
        <f t="shared" si="81"/>
        <v>204.5138077</v>
      </c>
      <c r="BP125" s="131">
        <f t="shared" si="81"/>
        <v>206.5589458</v>
      </c>
      <c r="BQ125" s="131">
        <f t="shared" si="81"/>
        <v>208.6245353</v>
      </c>
      <c r="BR125" s="131">
        <f t="shared" si="81"/>
        <v>210.7107806</v>
      </c>
      <c r="BS125" s="131">
        <f t="shared" si="81"/>
        <v>212.8178884</v>
      </c>
      <c r="BT125" s="131">
        <f t="shared" si="81"/>
        <v>214.9460673</v>
      </c>
      <c r="BU125" s="131">
        <f t="shared" si="81"/>
        <v>217.095528</v>
      </c>
      <c r="BV125" s="131">
        <f t="shared" si="81"/>
        <v>219.2664833</v>
      </c>
      <c r="BW125" s="131">
        <f t="shared" si="81"/>
        <v>221.4591481</v>
      </c>
      <c r="BX125" s="131">
        <f t="shared" si="81"/>
        <v>223.6737396</v>
      </c>
      <c r="BY125" s="131">
        <f t="shared" si="81"/>
        <v>225.910477</v>
      </c>
      <c r="BZ125" s="131">
        <f t="shared" si="81"/>
        <v>228.1695817</v>
      </c>
      <c r="CA125" s="131">
        <f t="shared" si="81"/>
        <v>230.4512776</v>
      </c>
      <c r="CB125" s="131">
        <f t="shared" si="81"/>
        <v>232.7557903</v>
      </c>
      <c r="CC125" s="117"/>
      <c r="CD125" s="117"/>
    </row>
    <row r="126" ht="15.75" customHeight="1">
      <c r="A126" s="297" t="s">
        <v>565</v>
      </c>
      <c r="B126" s="293">
        <f>1-SUM(B120:B125)</f>
        <v>0.21</v>
      </c>
      <c r="C126" s="117"/>
      <c r="D126" s="117"/>
      <c r="E126" s="117"/>
      <c r="F126" s="117"/>
      <c r="G126" s="117"/>
      <c r="H126" s="117"/>
      <c r="I126" s="117"/>
      <c r="J126" s="117"/>
      <c r="K126" s="117"/>
      <c r="L126" s="117"/>
      <c r="M126" s="117"/>
      <c r="N126" s="117"/>
      <c r="O126" s="131"/>
      <c r="P126" s="131"/>
      <c r="Q126" s="131"/>
      <c r="R126" s="131"/>
      <c r="S126" s="131"/>
      <c r="T126" s="131">
        <f t="shared" ref="T126:CB126" si="82">T$119*$B126</f>
        <v>823.4643375</v>
      </c>
      <c r="U126" s="131">
        <f t="shared" si="82"/>
        <v>905.8107712</v>
      </c>
      <c r="V126" s="131">
        <f t="shared" si="82"/>
        <v>914.868879</v>
      </c>
      <c r="W126" s="131">
        <f t="shared" si="82"/>
        <v>924.0175678</v>
      </c>
      <c r="X126" s="131">
        <f t="shared" si="82"/>
        <v>933.2577434</v>
      </c>
      <c r="Y126" s="131">
        <f t="shared" si="82"/>
        <v>942.5903209</v>
      </c>
      <c r="Z126" s="131">
        <f t="shared" si="82"/>
        <v>952.0162241</v>
      </c>
      <c r="AA126" s="131">
        <f t="shared" si="82"/>
        <v>961.5363863</v>
      </c>
      <c r="AB126" s="131">
        <f t="shared" si="82"/>
        <v>971.1517502</v>
      </c>
      <c r="AC126" s="131">
        <f t="shared" si="82"/>
        <v>980.8632677</v>
      </c>
      <c r="AD126" s="131">
        <f t="shared" si="82"/>
        <v>990.6719004</v>
      </c>
      <c r="AE126" s="131">
        <f t="shared" si="82"/>
        <v>1000.578619</v>
      </c>
      <c r="AF126" s="131">
        <f t="shared" si="82"/>
        <v>1010.584406</v>
      </c>
      <c r="AG126" s="131">
        <f t="shared" si="82"/>
        <v>1020.69025</v>
      </c>
      <c r="AH126" s="131">
        <f t="shared" si="82"/>
        <v>1030.897152</v>
      </c>
      <c r="AI126" s="131">
        <f t="shared" si="82"/>
        <v>1041.206124</v>
      </c>
      <c r="AJ126" s="131">
        <f t="shared" si="82"/>
        <v>1051.618185</v>
      </c>
      <c r="AK126" s="131">
        <f t="shared" si="82"/>
        <v>1062.134367</v>
      </c>
      <c r="AL126" s="131">
        <f t="shared" si="82"/>
        <v>1072.75571</v>
      </c>
      <c r="AM126" s="131">
        <f t="shared" si="82"/>
        <v>1083.483267</v>
      </c>
      <c r="AN126" s="131">
        <f t="shared" si="82"/>
        <v>1094.3181</v>
      </c>
      <c r="AO126" s="131">
        <f t="shared" si="82"/>
        <v>1105.261281</v>
      </c>
      <c r="AP126" s="131">
        <f t="shared" si="82"/>
        <v>1116.313894</v>
      </c>
      <c r="AQ126" s="131">
        <f t="shared" si="82"/>
        <v>1127.477033</v>
      </c>
      <c r="AR126" s="131">
        <f t="shared" si="82"/>
        <v>1138.751803</v>
      </c>
      <c r="AS126" s="131">
        <f t="shared" si="82"/>
        <v>1150.139321</v>
      </c>
      <c r="AT126" s="131">
        <f t="shared" si="82"/>
        <v>1161.640714</v>
      </c>
      <c r="AU126" s="131">
        <f t="shared" si="82"/>
        <v>1173.257122</v>
      </c>
      <c r="AV126" s="131">
        <f t="shared" si="82"/>
        <v>1184.989693</v>
      </c>
      <c r="AW126" s="131">
        <f t="shared" si="82"/>
        <v>1196.83959</v>
      </c>
      <c r="AX126" s="131">
        <f t="shared" si="82"/>
        <v>1208.807986</v>
      </c>
      <c r="AY126" s="131">
        <f t="shared" si="82"/>
        <v>1220.896066</v>
      </c>
      <c r="AZ126" s="131">
        <f t="shared" si="82"/>
        <v>1233.105026</v>
      </c>
      <c r="BA126" s="131">
        <f t="shared" si="82"/>
        <v>1245.436076</v>
      </c>
      <c r="BB126" s="131">
        <f t="shared" si="82"/>
        <v>1257.890437</v>
      </c>
      <c r="BC126" s="131">
        <f t="shared" si="82"/>
        <v>1270.469342</v>
      </c>
      <c r="BD126" s="131">
        <f t="shared" si="82"/>
        <v>1283.174035</v>
      </c>
      <c r="BE126" s="131">
        <f t="shared" si="82"/>
        <v>1296.005775</v>
      </c>
      <c r="BF126" s="131">
        <f t="shared" si="82"/>
        <v>1308.965833</v>
      </c>
      <c r="BG126" s="131">
        <f t="shared" si="82"/>
        <v>1322.055491</v>
      </c>
      <c r="BH126" s="131">
        <f t="shared" si="82"/>
        <v>1335.276046</v>
      </c>
      <c r="BI126" s="131">
        <f t="shared" si="82"/>
        <v>1348.628807</v>
      </c>
      <c r="BJ126" s="131">
        <f t="shared" si="82"/>
        <v>1362.115095</v>
      </c>
      <c r="BK126" s="131">
        <f t="shared" si="82"/>
        <v>1375.736246</v>
      </c>
      <c r="BL126" s="131">
        <f t="shared" si="82"/>
        <v>1389.493608</v>
      </c>
      <c r="BM126" s="131">
        <f t="shared" si="82"/>
        <v>1403.388544</v>
      </c>
      <c r="BN126" s="131">
        <f t="shared" si="82"/>
        <v>1417.42243</v>
      </c>
      <c r="BO126" s="131">
        <f t="shared" si="82"/>
        <v>1431.596654</v>
      </c>
      <c r="BP126" s="131">
        <f t="shared" si="82"/>
        <v>1445.912621</v>
      </c>
      <c r="BQ126" s="131">
        <f t="shared" si="82"/>
        <v>1460.371747</v>
      </c>
      <c r="BR126" s="131">
        <f t="shared" si="82"/>
        <v>1474.975464</v>
      </c>
      <c r="BS126" s="131">
        <f t="shared" si="82"/>
        <v>1489.725219</v>
      </c>
      <c r="BT126" s="131">
        <f t="shared" si="82"/>
        <v>1504.622471</v>
      </c>
      <c r="BU126" s="131">
        <f t="shared" si="82"/>
        <v>1519.668696</v>
      </c>
      <c r="BV126" s="131">
        <f t="shared" si="82"/>
        <v>1534.865383</v>
      </c>
      <c r="BW126" s="131">
        <f t="shared" si="82"/>
        <v>1550.214037</v>
      </c>
      <c r="BX126" s="131">
        <f t="shared" si="82"/>
        <v>1565.716177</v>
      </c>
      <c r="BY126" s="131">
        <f t="shared" si="82"/>
        <v>1581.373339</v>
      </c>
      <c r="BZ126" s="131">
        <f t="shared" si="82"/>
        <v>1597.187072</v>
      </c>
      <c r="CA126" s="131">
        <f t="shared" si="82"/>
        <v>1613.158943</v>
      </c>
      <c r="CB126" s="131">
        <f t="shared" si="82"/>
        <v>1629.290532</v>
      </c>
      <c r="CC126" s="117"/>
      <c r="CD126" s="117"/>
    </row>
    <row r="127" ht="15.75" customHeight="1">
      <c r="A127" s="132"/>
      <c r="B127" s="283"/>
      <c r="C127" s="247"/>
      <c r="D127" s="247"/>
      <c r="E127" s="247"/>
      <c r="F127" s="247"/>
      <c r="G127" s="247"/>
      <c r="H127" s="247"/>
      <c r="I127" s="247"/>
      <c r="J127" s="247"/>
      <c r="K127" s="24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c r="AI127" s="117"/>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7"/>
      <c r="BO127" s="117"/>
      <c r="BP127" s="117"/>
      <c r="BQ127" s="117"/>
      <c r="BR127" s="117"/>
      <c r="BS127" s="117"/>
      <c r="BT127" s="117"/>
      <c r="BU127" s="117"/>
      <c r="BV127" s="117"/>
      <c r="BW127" s="117"/>
      <c r="BX127" s="117"/>
      <c r="BY127" s="117"/>
      <c r="BZ127" s="117"/>
      <c r="CA127" s="117"/>
      <c r="CB127" s="117"/>
      <c r="CC127" s="117"/>
      <c r="CD127" s="117"/>
    </row>
    <row r="128" ht="15.75" customHeight="1">
      <c r="A128" s="4" t="s">
        <v>249</v>
      </c>
      <c r="B128" s="296">
        <v>0.2</v>
      </c>
      <c r="C128" s="247">
        <f t="array" ref="C128">INDEX('IS Proforma'!$1:$1048490,MATCH(Expenses!$A128,'IS Proforma'!$C:$C,0),MATCH(Expenses!C$4,'IS Proforma'!$4:$4))</f>
        <v>1740</v>
      </c>
      <c r="D128" s="247">
        <f t="array" ref="D128">INDEX('IS Proforma'!$1:$1048490,MATCH(Expenses!$A128,'IS Proforma'!$C:$C,0),MATCH(Expenses!D$4,'IS Proforma'!$4:$4))</f>
        <v>1311</v>
      </c>
      <c r="E128" s="247">
        <f t="array" ref="E128">INDEX('IS Proforma'!$1:$1048490,MATCH(Expenses!$A128,'IS Proforma'!$C:$C,0),MATCH(Expenses!E$4,'IS Proforma'!$4:$4))</f>
        <v>1789</v>
      </c>
      <c r="F128" s="247">
        <f t="array" ref="F128">INDEX('IS Proforma'!$1:$1048490,MATCH(Expenses!$A128,'IS Proforma'!$C:$C,0),MATCH(Expenses!F$4,'IS Proforma'!$4:$4))</f>
        <v>1142</v>
      </c>
      <c r="G128" s="247">
        <f t="array" ref="G128">INDEX('IS Proforma'!$1:$1048490,MATCH(Expenses!$A128,'IS Proforma'!$C:$C,0),MATCH(Expenses!G$4,'IS Proforma'!$4:$4))</f>
        <v>1654</v>
      </c>
      <c r="H128" s="247">
        <f t="array" ref="H128">INDEX('IS Proforma'!$1:$1048490,MATCH(Expenses!$A128,'IS Proforma'!$C:$C,0),MATCH(Expenses!H$4,'IS Proforma'!$4:$4))</f>
        <v>2148</v>
      </c>
      <c r="I128" s="247">
        <f t="array" ref="I128">INDEX('IS Proforma'!$1:$1048490,MATCH(Expenses!$A128,'IS Proforma'!$C:$C,0),MATCH(Expenses!I$4,'IS Proforma'!$4:$4))</f>
        <v>1023</v>
      </c>
      <c r="J128" s="247">
        <f t="array" ref="J128">INDEX('IS Proforma'!$1:$1048490,MATCH(Expenses!$A128,'IS Proforma'!$C:$C,0),MATCH(Expenses!J$4,'IS Proforma'!$4:$4))</f>
        <v>2351</v>
      </c>
      <c r="K128" s="247">
        <f t="array" ref="K128">INDEX('IS Proforma'!$1:$1048490,MATCH(Expenses!$A128,'IS Proforma'!$C:$C,0),MATCH(Expenses!K$4,'IS Proforma'!$4:$4))</f>
        <v>1056</v>
      </c>
      <c r="L128" s="247">
        <f t="array" ref="L128">INDEX('IS Proforma'!$1:$1048490,MATCH(Expenses!$A128,'IS Proforma'!$C:$C,0),MATCH(Expenses!L$4,'IS Proforma'!$4:$4))</f>
        <v>1518</v>
      </c>
      <c r="M128" s="247">
        <f t="array" ref="M128">INDEX('IS Proforma'!$1:$1048490,MATCH(Expenses!$A128,'IS Proforma'!$C:$C,0),MATCH(Expenses!M$4,'IS Proforma'!$4:$4))</f>
        <v>2329</v>
      </c>
      <c r="N128" s="247">
        <f t="array" ref="N128">INDEX('IS Proforma'!$1:$1048490,MATCH(Expenses!$A128,'IS Proforma'!$C:$C,0),MATCH(Expenses!N$4,'IS Proforma'!$4:$4))</f>
        <v>1523</v>
      </c>
      <c r="O128" s="247">
        <f t="array" ref="O128">INDEX('IS Proforma'!$1:$1048490,MATCH(Expenses!$A128,'IS Proforma'!$C:$C,0),MATCH(Expenses!O$4,'IS Proforma'!$4:$4))</f>
        <v>1406</v>
      </c>
      <c r="P128" s="247">
        <f t="array" ref="P128">INDEX('IS Proforma'!$1:$1048490,MATCH(Expenses!$A128,'IS Proforma'!$C:$C,0),MATCH(Expenses!P$4,'IS Proforma'!$4:$4))</f>
        <v>1971</v>
      </c>
      <c r="Q128" s="247">
        <f t="array" ref="Q128">INDEX('IS Proforma'!$1:$1048490,MATCH(Expenses!$A128,'IS Proforma'!$C:$C,0),MATCH(Expenses!Q$4,'IS Proforma'!$4:$4))</f>
        <v>2086</v>
      </c>
      <c r="R128" s="247">
        <f t="array" ref="R128">INDEX('IS Proforma'!$1:$1048490,MATCH(Expenses!$A128,'IS Proforma'!$C:$C,0),MATCH(Expenses!R$4,'IS Proforma'!$4:$4))</f>
        <v>2071</v>
      </c>
      <c r="S128" s="247">
        <f t="array" ref="S128">INDEX('IS Proforma'!$1:$1048490,MATCH(Expenses!$A128,'IS Proforma'!$C:$C,0),MATCH(Expenses!S$4,'IS Proforma'!$4:$4))</f>
        <v>2418</v>
      </c>
      <c r="T128" s="118">
        <f t="shared" ref="T128:CB128" si="83">T$99*$B128</f>
        <v>11914.6</v>
      </c>
      <c r="U128" s="118">
        <f t="shared" si="83"/>
        <v>6414</v>
      </c>
      <c r="V128" s="118">
        <f t="shared" si="83"/>
        <v>2962.43256</v>
      </c>
      <c r="W128" s="118">
        <f t="shared" si="83"/>
        <v>2992.056886</v>
      </c>
      <c r="X128" s="118">
        <f t="shared" si="83"/>
        <v>3021.977455</v>
      </c>
      <c r="Y128" s="118">
        <f t="shared" si="83"/>
        <v>24050</v>
      </c>
      <c r="Z128" s="118">
        <f t="shared" si="83"/>
        <v>3082.719202</v>
      </c>
      <c r="AA128" s="118">
        <f t="shared" si="83"/>
        <v>3113.546394</v>
      </c>
      <c r="AB128" s="118">
        <f t="shared" si="83"/>
        <v>3144.681858</v>
      </c>
      <c r="AC128" s="118">
        <f t="shared" si="83"/>
        <v>24700</v>
      </c>
      <c r="AD128" s="118">
        <f t="shared" si="83"/>
        <v>3207.889963</v>
      </c>
      <c r="AE128" s="118">
        <f t="shared" si="83"/>
        <v>3239.968863</v>
      </c>
      <c r="AF128" s="118">
        <f t="shared" si="83"/>
        <v>3272.368551</v>
      </c>
      <c r="AG128" s="118">
        <f t="shared" si="83"/>
        <v>26130</v>
      </c>
      <c r="AH128" s="118">
        <f t="shared" si="83"/>
        <v>981.8068115</v>
      </c>
      <c r="AI128" s="118">
        <f t="shared" si="83"/>
        <v>991.6248796</v>
      </c>
      <c r="AJ128" s="118">
        <f t="shared" si="83"/>
        <v>1001.541128</v>
      </c>
      <c r="AK128" s="118">
        <f t="shared" si="83"/>
        <v>26780</v>
      </c>
      <c r="AL128" s="118">
        <f t="shared" si="83"/>
        <v>1021.672105</v>
      </c>
      <c r="AM128" s="118">
        <f t="shared" si="83"/>
        <v>1031.888826</v>
      </c>
      <c r="AN128" s="118">
        <f t="shared" si="83"/>
        <v>1042.207714</v>
      </c>
      <c r="AO128" s="118">
        <f t="shared" si="83"/>
        <v>27430</v>
      </c>
      <c r="AP128" s="118">
        <f t="shared" si="83"/>
        <v>1063.156089</v>
      </c>
      <c r="AQ128" s="118">
        <f t="shared" si="83"/>
        <v>1073.78765</v>
      </c>
      <c r="AR128" s="118">
        <f t="shared" si="83"/>
        <v>1084.525527</v>
      </c>
      <c r="AS128" s="118">
        <f t="shared" si="83"/>
        <v>27950</v>
      </c>
      <c r="AT128" s="118">
        <f t="shared" si="83"/>
        <v>1106.32449</v>
      </c>
      <c r="AU128" s="118">
        <f t="shared" si="83"/>
        <v>1117.387735</v>
      </c>
      <c r="AV128" s="118">
        <f t="shared" si="83"/>
        <v>1128.561612</v>
      </c>
      <c r="AW128" s="118">
        <f t="shared" si="83"/>
        <v>29250</v>
      </c>
      <c r="AX128" s="118">
        <f t="shared" si="83"/>
        <v>1151.245701</v>
      </c>
      <c r="AY128" s="118">
        <f t="shared" si="83"/>
        <v>1162.758158</v>
      </c>
      <c r="AZ128" s="118">
        <f t="shared" si="83"/>
        <v>1174.385739</v>
      </c>
      <c r="BA128" s="118">
        <f t="shared" si="83"/>
        <v>30160</v>
      </c>
      <c r="BB128" s="118">
        <f t="shared" si="83"/>
        <v>1197.990893</v>
      </c>
      <c r="BC128" s="118">
        <f t="shared" si="83"/>
        <v>1209.970802</v>
      </c>
      <c r="BD128" s="118">
        <f t="shared" si="83"/>
        <v>1222.07051</v>
      </c>
      <c r="BE128" s="118">
        <f t="shared" si="83"/>
        <v>31070</v>
      </c>
      <c r="BF128" s="118">
        <f t="shared" si="83"/>
        <v>1246.634127</v>
      </c>
      <c r="BG128" s="118">
        <f t="shared" si="83"/>
        <v>1259.100468</v>
      </c>
      <c r="BH128" s="118">
        <f t="shared" si="83"/>
        <v>1271.691473</v>
      </c>
      <c r="BI128" s="118">
        <f t="shared" si="83"/>
        <v>34840</v>
      </c>
      <c r="BJ128" s="118">
        <f t="shared" si="83"/>
        <v>1297.252471</v>
      </c>
      <c r="BK128" s="118">
        <f t="shared" si="83"/>
        <v>1310.224996</v>
      </c>
      <c r="BL128" s="118">
        <f t="shared" si="83"/>
        <v>1323.327246</v>
      </c>
      <c r="BM128" s="118">
        <f t="shared" si="83"/>
        <v>35880</v>
      </c>
      <c r="BN128" s="118">
        <f t="shared" si="83"/>
        <v>1349.926124</v>
      </c>
      <c r="BO128" s="118">
        <f t="shared" si="83"/>
        <v>1363.425385</v>
      </c>
      <c r="BP128" s="118">
        <f t="shared" si="83"/>
        <v>1377.059639</v>
      </c>
      <c r="BQ128" s="118">
        <f t="shared" si="83"/>
        <v>36660</v>
      </c>
      <c r="BR128" s="118">
        <f t="shared" si="83"/>
        <v>1404.738537</v>
      </c>
      <c r="BS128" s="118">
        <f t="shared" si="83"/>
        <v>1418.785923</v>
      </c>
      <c r="BT128" s="118">
        <f t="shared" si="83"/>
        <v>1432.973782</v>
      </c>
      <c r="BU128" s="118">
        <f t="shared" si="83"/>
        <v>37700</v>
      </c>
      <c r="BV128" s="118">
        <f t="shared" si="83"/>
        <v>1461.776555</v>
      </c>
      <c r="BW128" s="118">
        <f t="shared" si="83"/>
        <v>1476.394321</v>
      </c>
      <c r="BX128" s="118">
        <f t="shared" si="83"/>
        <v>1491.158264</v>
      </c>
      <c r="BY128" s="118">
        <f t="shared" si="83"/>
        <v>38220</v>
      </c>
      <c r="BZ128" s="118">
        <f t="shared" si="83"/>
        <v>1521.130545</v>
      </c>
      <c r="CA128" s="118">
        <f t="shared" si="83"/>
        <v>1536.34185</v>
      </c>
      <c r="CB128" s="118">
        <f t="shared" si="83"/>
        <v>1551.705269</v>
      </c>
      <c r="CC128" s="118"/>
      <c r="CD128" s="118"/>
    </row>
    <row r="129" ht="15.75" customHeight="1">
      <c r="A129" s="292" t="s">
        <v>566</v>
      </c>
      <c r="B129" s="283">
        <v>0.35</v>
      </c>
      <c r="C129" s="247"/>
      <c r="D129" s="247"/>
      <c r="E129" s="247"/>
      <c r="F129" s="247"/>
      <c r="G129" s="247"/>
      <c r="H129" s="247"/>
      <c r="I129" s="247"/>
      <c r="J129" s="247"/>
      <c r="K129" s="247"/>
      <c r="L129" s="247"/>
      <c r="M129" s="247"/>
      <c r="N129" s="247"/>
      <c r="O129" s="117"/>
      <c r="P129" s="117"/>
      <c r="Q129" s="117"/>
      <c r="R129" s="117"/>
      <c r="S129" s="117"/>
      <c r="T129" s="117">
        <f t="shared" ref="T129:CB129" si="84">T$128*$B129</f>
        <v>4170.11</v>
      </c>
      <c r="U129" s="117">
        <f t="shared" si="84"/>
        <v>2244.9</v>
      </c>
      <c r="V129" s="117">
        <f t="shared" si="84"/>
        <v>1036.851396</v>
      </c>
      <c r="W129" s="117">
        <f t="shared" si="84"/>
        <v>1047.21991</v>
      </c>
      <c r="X129" s="117">
        <f t="shared" si="84"/>
        <v>1057.692109</v>
      </c>
      <c r="Y129" s="117">
        <f t="shared" si="84"/>
        <v>8417.5</v>
      </c>
      <c r="Z129" s="117">
        <f t="shared" si="84"/>
        <v>1078.951721</v>
      </c>
      <c r="AA129" s="117">
        <f t="shared" si="84"/>
        <v>1089.741238</v>
      </c>
      <c r="AB129" s="117">
        <f t="shared" si="84"/>
        <v>1100.63865</v>
      </c>
      <c r="AC129" s="117">
        <f t="shared" si="84"/>
        <v>8645</v>
      </c>
      <c r="AD129" s="117">
        <f t="shared" si="84"/>
        <v>1122.761487</v>
      </c>
      <c r="AE129" s="117">
        <f t="shared" si="84"/>
        <v>1133.989102</v>
      </c>
      <c r="AF129" s="117">
        <f t="shared" si="84"/>
        <v>1145.328993</v>
      </c>
      <c r="AG129" s="117">
        <f t="shared" si="84"/>
        <v>9145.5</v>
      </c>
      <c r="AH129" s="117">
        <f t="shared" si="84"/>
        <v>343.632384</v>
      </c>
      <c r="AI129" s="117">
        <f t="shared" si="84"/>
        <v>347.0687079</v>
      </c>
      <c r="AJ129" s="117">
        <f t="shared" si="84"/>
        <v>350.539395</v>
      </c>
      <c r="AK129" s="117">
        <f t="shared" si="84"/>
        <v>9373</v>
      </c>
      <c r="AL129" s="117">
        <f t="shared" si="84"/>
        <v>357.5852368</v>
      </c>
      <c r="AM129" s="117">
        <f t="shared" si="84"/>
        <v>361.1610892</v>
      </c>
      <c r="AN129" s="117">
        <f t="shared" si="84"/>
        <v>364.7727001</v>
      </c>
      <c r="AO129" s="117">
        <f t="shared" si="84"/>
        <v>9600.5</v>
      </c>
      <c r="AP129" s="117">
        <f t="shared" si="84"/>
        <v>372.1046313</v>
      </c>
      <c r="AQ129" s="117">
        <f t="shared" si="84"/>
        <v>375.8256776</v>
      </c>
      <c r="AR129" s="117">
        <f t="shared" si="84"/>
        <v>379.5839344</v>
      </c>
      <c r="AS129" s="117">
        <f t="shared" si="84"/>
        <v>9782.5</v>
      </c>
      <c r="AT129" s="117">
        <f t="shared" si="84"/>
        <v>387.2135715</v>
      </c>
      <c r="AU129" s="117">
        <f t="shared" si="84"/>
        <v>391.0857072</v>
      </c>
      <c r="AV129" s="117">
        <f t="shared" si="84"/>
        <v>394.9965643</v>
      </c>
      <c r="AW129" s="117">
        <f t="shared" si="84"/>
        <v>10237.5</v>
      </c>
      <c r="AX129" s="117">
        <f t="shared" si="84"/>
        <v>402.9359952</v>
      </c>
      <c r="AY129" s="117">
        <f t="shared" si="84"/>
        <v>406.9653552</v>
      </c>
      <c r="AZ129" s="117">
        <f t="shared" si="84"/>
        <v>411.0350087</v>
      </c>
      <c r="BA129" s="117">
        <f t="shared" si="84"/>
        <v>10556</v>
      </c>
      <c r="BB129" s="117">
        <f t="shared" si="84"/>
        <v>419.2968124</v>
      </c>
      <c r="BC129" s="117">
        <f t="shared" si="84"/>
        <v>423.4897805</v>
      </c>
      <c r="BD129" s="117">
        <f t="shared" si="84"/>
        <v>427.7246783</v>
      </c>
      <c r="BE129" s="117">
        <f t="shared" si="84"/>
        <v>10874.5</v>
      </c>
      <c r="BF129" s="117">
        <f t="shared" si="84"/>
        <v>436.3219444</v>
      </c>
      <c r="BG129" s="117">
        <f t="shared" si="84"/>
        <v>440.6851638</v>
      </c>
      <c r="BH129" s="117">
        <f t="shared" si="84"/>
        <v>445.0920154</v>
      </c>
      <c r="BI129" s="117">
        <f t="shared" si="84"/>
        <v>12194</v>
      </c>
      <c r="BJ129" s="117">
        <f t="shared" si="84"/>
        <v>454.038365</v>
      </c>
      <c r="BK129" s="117">
        <f t="shared" si="84"/>
        <v>458.5787486</v>
      </c>
      <c r="BL129" s="117">
        <f t="shared" si="84"/>
        <v>463.1645361</v>
      </c>
      <c r="BM129" s="117">
        <f t="shared" si="84"/>
        <v>12558</v>
      </c>
      <c r="BN129" s="117">
        <f t="shared" si="84"/>
        <v>472.4741433</v>
      </c>
      <c r="BO129" s="117">
        <f t="shared" si="84"/>
        <v>477.1988847</v>
      </c>
      <c r="BP129" s="117">
        <f t="shared" si="84"/>
        <v>481.9708735</v>
      </c>
      <c r="BQ129" s="117">
        <f t="shared" si="84"/>
        <v>12831</v>
      </c>
      <c r="BR129" s="117">
        <f t="shared" si="84"/>
        <v>491.6584881</v>
      </c>
      <c r="BS129" s="117">
        <f t="shared" si="84"/>
        <v>496.575073</v>
      </c>
      <c r="BT129" s="117">
        <f t="shared" si="84"/>
        <v>501.5408237</v>
      </c>
      <c r="BU129" s="117">
        <f t="shared" si="84"/>
        <v>13195</v>
      </c>
      <c r="BV129" s="117">
        <f t="shared" si="84"/>
        <v>511.6217943</v>
      </c>
      <c r="BW129" s="117">
        <f t="shared" si="84"/>
        <v>516.7380122</v>
      </c>
      <c r="BX129" s="117">
        <f t="shared" si="84"/>
        <v>521.9053923</v>
      </c>
      <c r="BY129" s="117">
        <f t="shared" si="84"/>
        <v>13377</v>
      </c>
      <c r="BZ129" s="117">
        <f t="shared" si="84"/>
        <v>532.3956907</v>
      </c>
      <c r="CA129" s="117">
        <f t="shared" si="84"/>
        <v>537.7196476</v>
      </c>
      <c r="CB129" s="117">
        <f t="shared" si="84"/>
        <v>543.0968441</v>
      </c>
      <c r="CC129" s="117"/>
      <c r="CD129" s="117"/>
    </row>
    <row r="130" ht="15.75" customHeight="1">
      <c r="A130" s="292" t="s">
        <v>567</v>
      </c>
      <c r="B130" s="283">
        <v>0.35</v>
      </c>
      <c r="C130" s="247"/>
      <c r="D130" s="247"/>
      <c r="E130" s="247"/>
      <c r="F130" s="247"/>
      <c r="G130" s="247"/>
      <c r="H130" s="247"/>
      <c r="I130" s="247"/>
      <c r="J130" s="247"/>
      <c r="K130" s="247"/>
      <c r="L130" s="247"/>
      <c r="M130" s="247"/>
      <c r="N130" s="247"/>
      <c r="O130" s="117"/>
      <c r="P130" s="117"/>
      <c r="Q130" s="117"/>
      <c r="R130" s="117"/>
      <c r="S130" s="117"/>
      <c r="T130" s="117">
        <f t="shared" ref="T130:CB130" si="85">T$128*$B130</f>
        <v>4170.11</v>
      </c>
      <c r="U130" s="117">
        <f t="shared" si="85"/>
        <v>2244.9</v>
      </c>
      <c r="V130" s="117">
        <f t="shared" si="85"/>
        <v>1036.851396</v>
      </c>
      <c r="W130" s="117">
        <f t="shared" si="85"/>
        <v>1047.21991</v>
      </c>
      <c r="X130" s="117">
        <f t="shared" si="85"/>
        <v>1057.692109</v>
      </c>
      <c r="Y130" s="117">
        <f t="shared" si="85"/>
        <v>8417.5</v>
      </c>
      <c r="Z130" s="117">
        <f t="shared" si="85"/>
        <v>1078.951721</v>
      </c>
      <c r="AA130" s="117">
        <f t="shared" si="85"/>
        <v>1089.741238</v>
      </c>
      <c r="AB130" s="117">
        <f t="shared" si="85"/>
        <v>1100.63865</v>
      </c>
      <c r="AC130" s="117">
        <f t="shared" si="85"/>
        <v>8645</v>
      </c>
      <c r="AD130" s="117">
        <f t="shared" si="85"/>
        <v>1122.761487</v>
      </c>
      <c r="AE130" s="117">
        <f t="shared" si="85"/>
        <v>1133.989102</v>
      </c>
      <c r="AF130" s="117">
        <f t="shared" si="85"/>
        <v>1145.328993</v>
      </c>
      <c r="AG130" s="117">
        <f t="shared" si="85"/>
        <v>9145.5</v>
      </c>
      <c r="AH130" s="117">
        <f t="shared" si="85"/>
        <v>343.632384</v>
      </c>
      <c r="AI130" s="117">
        <f t="shared" si="85"/>
        <v>347.0687079</v>
      </c>
      <c r="AJ130" s="117">
        <f t="shared" si="85"/>
        <v>350.539395</v>
      </c>
      <c r="AK130" s="117">
        <f t="shared" si="85"/>
        <v>9373</v>
      </c>
      <c r="AL130" s="117">
        <f t="shared" si="85"/>
        <v>357.5852368</v>
      </c>
      <c r="AM130" s="117">
        <f t="shared" si="85"/>
        <v>361.1610892</v>
      </c>
      <c r="AN130" s="117">
        <f t="shared" si="85"/>
        <v>364.7727001</v>
      </c>
      <c r="AO130" s="117">
        <f t="shared" si="85"/>
        <v>9600.5</v>
      </c>
      <c r="AP130" s="117">
        <f t="shared" si="85"/>
        <v>372.1046313</v>
      </c>
      <c r="AQ130" s="117">
        <f t="shared" si="85"/>
        <v>375.8256776</v>
      </c>
      <c r="AR130" s="117">
        <f t="shared" si="85"/>
        <v>379.5839344</v>
      </c>
      <c r="AS130" s="117">
        <f t="shared" si="85"/>
        <v>9782.5</v>
      </c>
      <c r="AT130" s="117">
        <f t="shared" si="85"/>
        <v>387.2135715</v>
      </c>
      <c r="AU130" s="117">
        <f t="shared" si="85"/>
        <v>391.0857072</v>
      </c>
      <c r="AV130" s="117">
        <f t="shared" si="85"/>
        <v>394.9965643</v>
      </c>
      <c r="AW130" s="117">
        <f t="shared" si="85"/>
        <v>10237.5</v>
      </c>
      <c r="AX130" s="117">
        <f t="shared" si="85"/>
        <v>402.9359952</v>
      </c>
      <c r="AY130" s="117">
        <f t="shared" si="85"/>
        <v>406.9653552</v>
      </c>
      <c r="AZ130" s="117">
        <f t="shared" si="85"/>
        <v>411.0350087</v>
      </c>
      <c r="BA130" s="117">
        <f t="shared" si="85"/>
        <v>10556</v>
      </c>
      <c r="BB130" s="117">
        <f t="shared" si="85"/>
        <v>419.2968124</v>
      </c>
      <c r="BC130" s="117">
        <f t="shared" si="85"/>
        <v>423.4897805</v>
      </c>
      <c r="BD130" s="117">
        <f t="shared" si="85"/>
        <v>427.7246783</v>
      </c>
      <c r="BE130" s="117">
        <f t="shared" si="85"/>
        <v>10874.5</v>
      </c>
      <c r="BF130" s="117">
        <f t="shared" si="85"/>
        <v>436.3219444</v>
      </c>
      <c r="BG130" s="117">
        <f t="shared" si="85"/>
        <v>440.6851638</v>
      </c>
      <c r="BH130" s="117">
        <f t="shared" si="85"/>
        <v>445.0920154</v>
      </c>
      <c r="BI130" s="117">
        <f t="shared" si="85"/>
        <v>12194</v>
      </c>
      <c r="BJ130" s="117">
        <f t="shared" si="85"/>
        <v>454.038365</v>
      </c>
      <c r="BK130" s="117">
        <f t="shared" si="85"/>
        <v>458.5787486</v>
      </c>
      <c r="BL130" s="117">
        <f t="shared" si="85"/>
        <v>463.1645361</v>
      </c>
      <c r="BM130" s="117">
        <f t="shared" si="85"/>
        <v>12558</v>
      </c>
      <c r="BN130" s="117">
        <f t="shared" si="85"/>
        <v>472.4741433</v>
      </c>
      <c r="BO130" s="117">
        <f t="shared" si="85"/>
        <v>477.1988847</v>
      </c>
      <c r="BP130" s="117">
        <f t="shared" si="85"/>
        <v>481.9708735</v>
      </c>
      <c r="BQ130" s="117">
        <f t="shared" si="85"/>
        <v>12831</v>
      </c>
      <c r="BR130" s="117">
        <f t="shared" si="85"/>
        <v>491.6584881</v>
      </c>
      <c r="BS130" s="117">
        <f t="shared" si="85"/>
        <v>496.575073</v>
      </c>
      <c r="BT130" s="117">
        <f t="shared" si="85"/>
        <v>501.5408237</v>
      </c>
      <c r="BU130" s="117">
        <f t="shared" si="85"/>
        <v>13195</v>
      </c>
      <c r="BV130" s="117">
        <f t="shared" si="85"/>
        <v>511.6217943</v>
      </c>
      <c r="BW130" s="117">
        <f t="shared" si="85"/>
        <v>516.7380122</v>
      </c>
      <c r="BX130" s="117">
        <f t="shared" si="85"/>
        <v>521.9053923</v>
      </c>
      <c r="BY130" s="117">
        <f t="shared" si="85"/>
        <v>13377</v>
      </c>
      <c r="BZ130" s="117">
        <f t="shared" si="85"/>
        <v>532.3956907</v>
      </c>
      <c r="CA130" s="117">
        <f t="shared" si="85"/>
        <v>537.7196476</v>
      </c>
      <c r="CB130" s="117">
        <f t="shared" si="85"/>
        <v>543.0968441</v>
      </c>
      <c r="CC130" s="117"/>
      <c r="CD130" s="117"/>
    </row>
    <row r="131" ht="15.75" customHeight="1">
      <c r="A131" s="292" t="s">
        <v>568</v>
      </c>
      <c r="B131" s="283">
        <v>0.1</v>
      </c>
      <c r="C131" s="247"/>
      <c r="D131" s="247"/>
      <c r="E131" s="247"/>
      <c r="F131" s="247"/>
      <c r="G131" s="247"/>
      <c r="H131" s="247"/>
      <c r="I131" s="247"/>
      <c r="J131" s="247"/>
      <c r="K131" s="247"/>
      <c r="L131" s="247"/>
      <c r="M131" s="247"/>
      <c r="N131" s="247"/>
      <c r="O131" s="117"/>
      <c r="P131" s="117"/>
      <c r="Q131" s="117"/>
      <c r="R131" s="117"/>
      <c r="S131" s="117"/>
      <c r="T131" s="117">
        <f t="shared" ref="T131:CB131" si="86">T$128*$B131</f>
        <v>1191.46</v>
      </c>
      <c r="U131" s="117">
        <f t="shared" si="86"/>
        <v>641.4</v>
      </c>
      <c r="V131" s="117">
        <f t="shared" si="86"/>
        <v>296.243256</v>
      </c>
      <c r="W131" s="117">
        <f t="shared" si="86"/>
        <v>299.2056886</v>
      </c>
      <c r="X131" s="117">
        <f t="shared" si="86"/>
        <v>302.1977455</v>
      </c>
      <c r="Y131" s="117">
        <f t="shared" si="86"/>
        <v>2405</v>
      </c>
      <c r="Z131" s="117">
        <f t="shared" si="86"/>
        <v>308.2719202</v>
      </c>
      <c r="AA131" s="117">
        <f t="shared" si="86"/>
        <v>311.3546394</v>
      </c>
      <c r="AB131" s="117">
        <f t="shared" si="86"/>
        <v>314.4681858</v>
      </c>
      <c r="AC131" s="117">
        <f t="shared" si="86"/>
        <v>2470</v>
      </c>
      <c r="AD131" s="117">
        <f t="shared" si="86"/>
        <v>320.7889963</v>
      </c>
      <c r="AE131" s="117">
        <f t="shared" si="86"/>
        <v>323.9968863</v>
      </c>
      <c r="AF131" s="117">
        <f t="shared" si="86"/>
        <v>327.2368551</v>
      </c>
      <c r="AG131" s="117">
        <f t="shared" si="86"/>
        <v>2613</v>
      </c>
      <c r="AH131" s="117">
        <f t="shared" si="86"/>
        <v>98.18068115</v>
      </c>
      <c r="AI131" s="117">
        <f t="shared" si="86"/>
        <v>99.16248796</v>
      </c>
      <c r="AJ131" s="117">
        <f t="shared" si="86"/>
        <v>100.1541128</v>
      </c>
      <c r="AK131" s="117">
        <f t="shared" si="86"/>
        <v>2678</v>
      </c>
      <c r="AL131" s="117">
        <f t="shared" si="86"/>
        <v>102.1672105</v>
      </c>
      <c r="AM131" s="117">
        <f t="shared" si="86"/>
        <v>103.1888826</v>
      </c>
      <c r="AN131" s="117">
        <f t="shared" si="86"/>
        <v>104.2207714</v>
      </c>
      <c r="AO131" s="117">
        <f t="shared" si="86"/>
        <v>2743</v>
      </c>
      <c r="AP131" s="117">
        <f t="shared" si="86"/>
        <v>106.3156089</v>
      </c>
      <c r="AQ131" s="117">
        <f t="shared" si="86"/>
        <v>107.378765</v>
      </c>
      <c r="AR131" s="117">
        <f t="shared" si="86"/>
        <v>108.4525527</v>
      </c>
      <c r="AS131" s="117">
        <f t="shared" si="86"/>
        <v>2795</v>
      </c>
      <c r="AT131" s="117">
        <f t="shared" si="86"/>
        <v>110.632449</v>
      </c>
      <c r="AU131" s="117">
        <f t="shared" si="86"/>
        <v>111.7387735</v>
      </c>
      <c r="AV131" s="117">
        <f t="shared" si="86"/>
        <v>112.8561612</v>
      </c>
      <c r="AW131" s="117">
        <f t="shared" si="86"/>
        <v>2925</v>
      </c>
      <c r="AX131" s="117">
        <f t="shared" si="86"/>
        <v>115.1245701</v>
      </c>
      <c r="AY131" s="117">
        <f t="shared" si="86"/>
        <v>116.2758158</v>
      </c>
      <c r="AZ131" s="117">
        <f t="shared" si="86"/>
        <v>117.4385739</v>
      </c>
      <c r="BA131" s="117">
        <f t="shared" si="86"/>
        <v>3016</v>
      </c>
      <c r="BB131" s="117">
        <f t="shared" si="86"/>
        <v>119.7990893</v>
      </c>
      <c r="BC131" s="117">
        <f t="shared" si="86"/>
        <v>120.9970802</v>
      </c>
      <c r="BD131" s="117">
        <f t="shared" si="86"/>
        <v>122.207051</v>
      </c>
      <c r="BE131" s="117">
        <f t="shared" si="86"/>
        <v>3107</v>
      </c>
      <c r="BF131" s="117">
        <f t="shared" si="86"/>
        <v>124.6634127</v>
      </c>
      <c r="BG131" s="117">
        <f t="shared" si="86"/>
        <v>125.9100468</v>
      </c>
      <c r="BH131" s="117">
        <f t="shared" si="86"/>
        <v>127.1691473</v>
      </c>
      <c r="BI131" s="117">
        <f t="shared" si="86"/>
        <v>3484</v>
      </c>
      <c r="BJ131" s="117">
        <f t="shared" si="86"/>
        <v>129.7252471</v>
      </c>
      <c r="BK131" s="117">
        <f t="shared" si="86"/>
        <v>131.0224996</v>
      </c>
      <c r="BL131" s="117">
        <f t="shared" si="86"/>
        <v>132.3327246</v>
      </c>
      <c r="BM131" s="117">
        <f t="shared" si="86"/>
        <v>3588</v>
      </c>
      <c r="BN131" s="117">
        <f t="shared" si="86"/>
        <v>134.9926124</v>
      </c>
      <c r="BO131" s="117">
        <f t="shared" si="86"/>
        <v>136.3425385</v>
      </c>
      <c r="BP131" s="117">
        <f t="shared" si="86"/>
        <v>137.7059639</v>
      </c>
      <c r="BQ131" s="117">
        <f t="shared" si="86"/>
        <v>3666</v>
      </c>
      <c r="BR131" s="117">
        <f t="shared" si="86"/>
        <v>140.4738537</v>
      </c>
      <c r="BS131" s="117">
        <f t="shared" si="86"/>
        <v>141.8785923</v>
      </c>
      <c r="BT131" s="117">
        <f t="shared" si="86"/>
        <v>143.2973782</v>
      </c>
      <c r="BU131" s="117">
        <f t="shared" si="86"/>
        <v>3770</v>
      </c>
      <c r="BV131" s="117">
        <f t="shared" si="86"/>
        <v>146.1776555</v>
      </c>
      <c r="BW131" s="117">
        <f t="shared" si="86"/>
        <v>147.6394321</v>
      </c>
      <c r="BX131" s="117">
        <f t="shared" si="86"/>
        <v>149.1158264</v>
      </c>
      <c r="BY131" s="117">
        <f t="shared" si="86"/>
        <v>3822</v>
      </c>
      <c r="BZ131" s="117">
        <f t="shared" si="86"/>
        <v>152.1130545</v>
      </c>
      <c r="CA131" s="117">
        <f t="shared" si="86"/>
        <v>153.634185</v>
      </c>
      <c r="CB131" s="117">
        <f t="shared" si="86"/>
        <v>155.1705269</v>
      </c>
      <c r="CC131" s="117"/>
      <c r="CD131" s="117"/>
    </row>
    <row r="132" ht="15.75" customHeight="1">
      <c r="A132" s="292" t="s">
        <v>569</v>
      </c>
      <c r="B132" s="283">
        <v>0.1</v>
      </c>
      <c r="C132" s="247"/>
      <c r="D132" s="247"/>
      <c r="E132" s="247"/>
      <c r="F132" s="247"/>
      <c r="G132" s="247"/>
      <c r="H132" s="247"/>
      <c r="I132" s="247"/>
      <c r="J132" s="247"/>
      <c r="K132" s="247"/>
      <c r="L132" s="247"/>
      <c r="M132" s="247"/>
      <c r="N132" s="247"/>
      <c r="O132" s="117"/>
      <c r="P132" s="117"/>
      <c r="Q132" s="117"/>
      <c r="R132" s="117"/>
      <c r="S132" s="117"/>
      <c r="T132" s="117">
        <f t="shared" ref="T132:CB132" si="87">T$128*$B132</f>
        <v>1191.46</v>
      </c>
      <c r="U132" s="117">
        <f t="shared" si="87"/>
        <v>641.4</v>
      </c>
      <c r="V132" s="117">
        <f t="shared" si="87"/>
        <v>296.243256</v>
      </c>
      <c r="W132" s="117">
        <f t="shared" si="87"/>
        <v>299.2056886</v>
      </c>
      <c r="X132" s="117">
        <f t="shared" si="87"/>
        <v>302.1977455</v>
      </c>
      <c r="Y132" s="117">
        <f t="shared" si="87"/>
        <v>2405</v>
      </c>
      <c r="Z132" s="117">
        <f t="shared" si="87"/>
        <v>308.2719202</v>
      </c>
      <c r="AA132" s="117">
        <f t="shared" si="87"/>
        <v>311.3546394</v>
      </c>
      <c r="AB132" s="117">
        <f t="shared" si="87"/>
        <v>314.4681858</v>
      </c>
      <c r="AC132" s="117">
        <f t="shared" si="87"/>
        <v>2470</v>
      </c>
      <c r="AD132" s="117">
        <f t="shared" si="87"/>
        <v>320.7889963</v>
      </c>
      <c r="AE132" s="117">
        <f t="shared" si="87"/>
        <v>323.9968863</v>
      </c>
      <c r="AF132" s="117">
        <f t="shared" si="87"/>
        <v>327.2368551</v>
      </c>
      <c r="AG132" s="117">
        <f t="shared" si="87"/>
        <v>2613</v>
      </c>
      <c r="AH132" s="117">
        <f t="shared" si="87"/>
        <v>98.18068115</v>
      </c>
      <c r="AI132" s="117">
        <f t="shared" si="87"/>
        <v>99.16248796</v>
      </c>
      <c r="AJ132" s="117">
        <f t="shared" si="87"/>
        <v>100.1541128</v>
      </c>
      <c r="AK132" s="117">
        <f t="shared" si="87"/>
        <v>2678</v>
      </c>
      <c r="AL132" s="117">
        <f t="shared" si="87"/>
        <v>102.1672105</v>
      </c>
      <c r="AM132" s="117">
        <f t="shared" si="87"/>
        <v>103.1888826</v>
      </c>
      <c r="AN132" s="117">
        <f t="shared" si="87"/>
        <v>104.2207714</v>
      </c>
      <c r="AO132" s="117">
        <f t="shared" si="87"/>
        <v>2743</v>
      </c>
      <c r="AP132" s="117">
        <f t="shared" si="87"/>
        <v>106.3156089</v>
      </c>
      <c r="AQ132" s="117">
        <f t="shared" si="87"/>
        <v>107.378765</v>
      </c>
      <c r="AR132" s="117">
        <f t="shared" si="87"/>
        <v>108.4525527</v>
      </c>
      <c r="AS132" s="117">
        <f t="shared" si="87"/>
        <v>2795</v>
      </c>
      <c r="AT132" s="117">
        <f t="shared" si="87"/>
        <v>110.632449</v>
      </c>
      <c r="AU132" s="117">
        <f t="shared" si="87"/>
        <v>111.7387735</v>
      </c>
      <c r="AV132" s="117">
        <f t="shared" si="87"/>
        <v>112.8561612</v>
      </c>
      <c r="AW132" s="117">
        <f t="shared" si="87"/>
        <v>2925</v>
      </c>
      <c r="AX132" s="117">
        <f t="shared" si="87"/>
        <v>115.1245701</v>
      </c>
      <c r="AY132" s="117">
        <f t="shared" si="87"/>
        <v>116.2758158</v>
      </c>
      <c r="AZ132" s="117">
        <f t="shared" si="87"/>
        <v>117.4385739</v>
      </c>
      <c r="BA132" s="117">
        <f t="shared" si="87"/>
        <v>3016</v>
      </c>
      <c r="BB132" s="117">
        <f t="shared" si="87"/>
        <v>119.7990893</v>
      </c>
      <c r="BC132" s="117">
        <f t="shared" si="87"/>
        <v>120.9970802</v>
      </c>
      <c r="BD132" s="117">
        <f t="shared" si="87"/>
        <v>122.207051</v>
      </c>
      <c r="BE132" s="117">
        <f t="shared" si="87"/>
        <v>3107</v>
      </c>
      <c r="BF132" s="117">
        <f t="shared" si="87"/>
        <v>124.6634127</v>
      </c>
      <c r="BG132" s="117">
        <f t="shared" si="87"/>
        <v>125.9100468</v>
      </c>
      <c r="BH132" s="117">
        <f t="shared" si="87"/>
        <v>127.1691473</v>
      </c>
      <c r="BI132" s="117">
        <f t="shared" si="87"/>
        <v>3484</v>
      </c>
      <c r="BJ132" s="117">
        <f t="shared" si="87"/>
        <v>129.7252471</v>
      </c>
      <c r="BK132" s="117">
        <f t="shared" si="87"/>
        <v>131.0224996</v>
      </c>
      <c r="BL132" s="117">
        <f t="shared" si="87"/>
        <v>132.3327246</v>
      </c>
      <c r="BM132" s="117">
        <f t="shared" si="87"/>
        <v>3588</v>
      </c>
      <c r="BN132" s="117">
        <f t="shared" si="87"/>
        <v>134.9926124</v>
      </c>
      <c r="BO132" s="117">
        <f t="shared" si="87"/>
        <v>136.3425385</v>
      </c>
      <c r="BP132" s="117">
        <f t="shared" si="87"/>
        <v>137.7059639</v>
      </c>
      <c r="BQ132" s="117">
        <f t="shared" si="87"/>
        <v>3666</v>
      </c>
      <c r="BR132" s="117">
        <f t="shared" si="87"/>
        <v>140.4738537</v>
      </c>
      <c r="BS132" s="117">
        <f t="shared" si="87"/>
        <v>141.8785923</v>
      </c>
      <c r="BT132" s="117">
        <f t="shared" si="87"/>
        <v>143.2973782</v>
      </c>
      <c r="BU132" s="117">
        <f t="shared" si="87"/>
        <v>3770</v>
      </c>
      <c r="BV132" s="117">
        <f t="shared" si="87"/>
        <v>146.1776555</v>
      </c>
      <c r="BW132" s="117">
        <f t="shared" si="87"/>
        <v>147.6394321</v>
      </c>
      <c r="BX132" s="117">
        <f t="shared" si="87"/>
        <v>149.1158264</v>
      </c>
      <c r="BY132" s="117">
        <f t="shared" si="87"/>
        <v>3822</v>
      </c>
      <c r="BZ132" s="117">
        <f t="shared" si="87"/>
        <v>152.1130545</v>
      </c>
      <c r="CA132" s="117">
        <f t="shared" si="87"/>
        <v>153.634185</v>
      </c>
      <c r="CB132" s="117">
        <f t="shared" si="87"/>
        <v>155.1705269</v>
      </c>
      <c r="CC132" s="117"/>
      <c r="CD132" s="117"/>
    </row>
    <row r="133" ht="15.75" customHeight="1">
      <c r="A133" s="292" t="s">
        <v>570</v>
      </c>
      <c r="B133" s="293">
        <f>1-SUM(B129:B132)</f>
        <v>0.1</v>
      </c>
      <c r="C133" s="247"/>
      <c r="D133" s="247"/>
      <c r="E133" s="247"/>
      <c r="F133" s="247"/>
      <c r="G133" s="247"/>
      <c r="H133" s="247"/>
      <c r="I133" s="247"/>
      <c r="J133" s="247"/>
      <c r="K133" s="247"/>
      <c r="L133" s="247"/>
      <c r="M133" s="247"/>
      <c r="N133" s="247"/>
      <c r="O133" s="117"/>
      <c r="P133" s="117"/>
      <c r="Q133" s="117"/>
      <c r="R133" s="117"/>
      <c r="S133" s="117"/>
      <c r="T133" s="117">
        <f t="shared" ref="T133:CB133" si="88">T$128*$B133</f>
        <v>1191.46</v>
      </c>
      <c r="U133" s="117">
        <f t="shared" si="88"/>
        <v>641.4</v>
      </c>
      <c r="V133" s="117">
        <f t="shared" si="88"/>
        <v>296.243256</v>
      </c>
      <c r="W133" s="117">
        <f t="shared" si="88"/>
        <v>299.2056886</v>
      </c>
      <c r="X133" s="117">
        <f t="shared" si="88"/>
        <v>302.1977455</v>
      </c>
      <c r="Y133" s="117">
        <f t="shared" si="88"/>
        <v>2405</v>
      </c>
      <c r="Z133" s="117">
        <f t="shared" si="88"/>
        <v>308.2719202</v>
      </c>
      <c r="AA133" s="117">
        <f t="shared" si="88"/>
        <v>311.3546394</v>
      </c>
      <c r="AB133" s="117">
        <f t="shared" si="88"/>
        <v>314.4681858</v>
      </c>
      <c r="AC133" s="117">
        <f t="shared" si="88"/>
        <v>2470</v>
      </c>
      <c r="AD133" s="117">
        <f t="shared" si="88"/>
        <v>320.7889963</v>
      </c>
      <c r="AE133" s="117">
        <f t="shared" si="88"/>
        <v>323.9968863</v>
      </c>
      <c r="AF133" s="117">
        <f t="shared" si="88"/>
        <v>327.2368551</v>
      </c>
      <c r="AG133" s="117">
        <f t="shared" si="88"/>
        <v>2613</v>
      </c>
      <c r="AH133" s="117">
        <f t="shared" si="88"/>
        <v>98.18068115</v>
      </c>
      <c r="AI133" s="117">
        <f t="shared" si="88"/>
        <v>99.16248796</v>
      </c>
      <c r="AJ133" s="117">
        <f t="shared" si="88"/>
        <v>100.1541128</v>
      </c>
      <c r="AK133" s="117">
        <f t="shared" si="88"/>
        <v>2678</v>
      </c>
      <c r="AL133" s="117">
        <f t="shared" si="88"/>
        <v>102.1672105</v>
      </c>
      <c r="AM133" s="117">
        <f t="shared" si="88"/>
        <v>103.1888826</v>
      </c>
      <c r="AN133" s="117">
        <f t="shared" si="88"/>
        <v>104.2207714</v>
      </c>
      <c r="AO133" s="117">
        <f t="shared" si="88"/>
        <v>2743</v>
      </c>
      <c r="AP133" s="117">
        <f t="shared" si="88"/>
        <v>106.3156089</v>
      </c>
      <c r="AQ133" s="117">
        <f t="shared" si="88"/>
        <v>107.378765</v>
      </c>
      <c r="AR133" s="117">
        <f t="shared" si="88"/>
        <v>108.4525527</v>
      </c>
      <c r="AS133" s="117">
        <f t="shared" si="88"/>
        <v>2795</v>
      </c>
      <c r="AT133" s="117">
        <f t="shared" si="88"/>
        <v>110.632449</v>
      </c>
      <c r="AU133" s="117">
        <f t="shared" si="88"/>
        <v>111.7387735</v>
      </c>
      <c r="AV133" s="117">
        <f t="shared" si="88"/>
        <v>112.8561612</v>
      </c>
      <c r="AW133" s="117">
        <f t="shared" si="88"/>
        <v>2925</v>
      </c>
      <c r="AX133" s="117">
        <f t="shared" si="88"/>
        <v>115.1245701</v>
      </c>
      <c r="AY133" s="117">
        <f t="shared" si="88"/>
        <v>116.2758158</v>
      </c>
      <c r="AZ133" s="117">
        <f t="shared" si="88"/>
        <v>117.4385739</v>
      </c>
      <c r="BA133" s="117">
        <f t="shared" si="88"/>
        <v>3016</v>
      </c>
      <c r="BB133" s="117">
        <f t="shared" si="88"/>
        <v>119.7990893</v>
      </c>
      <c r="BC133" s="117">
        <f t="shared" si="88"/>
        <v>120.9970802</v>
      </c>
      <c r="BD133" s="117">
        <f t="shared" si="88"/>
        <v>122.207051</v>
      </c>
      <c r="BE133" s="117">
        <f t="shared" si="88"/>
        <v>3107</v>
      </c>
      <c r="BF133" s="117">
        <f t="shared" si="88"/>
        <v>124.6634127</v>
      </c>
      <c r="BG133" s="117">
        <f t="shared" si="88"/>
        <v>125.9100468</v>
      </c>
      <c r="BH133" s="117">
        <f t="shared" si="88"/>
        <v>127.1691473</v>
      </c>
      <c r="BI133" s="117">
        <f t="shared" si="88"/>
        <v>3484</v>
      </c>
      <c r="BJ133" s="117">
        <f t="shared" si="88"/>
        <v>129.7252471</v>
      </c>
      <c r="BK133" s="117">
        <f t="shared" si="88"/>
        <v>131.0224996</v>
      </c>
      <c r="BL133" s="117">
        <f t="shared" si="88"/>
        <v>132.3327246</v>
      </c>
      <c r="BM133" s="117">
        <f t="shared" si="88"/>
        <v>3588</v>
      </c>
      <c r="BN133" s="117">
        <f t="shared" si="88"/>
        <v>134.9926124</v>
      </c>
      <c r="BO133" s="117">
        <f t="shared" si="88"/>
        <v>136.3425385</v>
      </c>
      <c r="BP133" s="117">
        <f t="shared" si="88"/>
        <v>137.7059639</v>
      </c>
      <c r="BQ133" s="117">
        <f t="shared" si="88"/>
        <v>3666</v>
      </c>
      <c r="BR133" s="117">
        <f t="shared" si="88"/>
        <v>140.4738537</v>
      </c>
      <c r="BS133" s="117">
        <f t="shared" si="88"/>
        <v>141.8785923</v>
      </c>
      <c r="BT133" s="117">
        <f t="shared" si="88"/>
        <v>143.2973782</v>
      </c>
      <c r="BU133" s="117">
        <f t="shared" si="88"/>
        <v>3770</v>
      </c>
      <c r="BV133" s="117">
        <f t="shared" si="88"/>
        <v>146.1776555</v>
      </c>
      <c r="BW133" s="117">
        <f t="shared" si="88"/>
        <v>147.6394321</v>
      </c>
      <c r="BX133" s="117">
        <f t="shared" si="88"/>
        <v>149.1158264</v>
      </c>
      <c r="BY133" s="117">
        <f t="shared" si="88"/>
        <v>3822</v>
      </c>
      <c r="BZ133" s="117">
        <f t="shared" si="88"/>
        <v>152.1130545</v>
      </c>
      <c r="CA133" s="117">
        <f t="shared" si="88"/>
        <v>153.634185</v>
      </c>
      <c r="CB133" s="117">
        <f t="shared" si="88"/>
        <v>155.1705269</v>
      </c>
      <c r="CC133" s="117"/>
      <c r="CD133" s="117"/>
    </row>
    <row r="134" ht="15.75" customHeight="1">
      <c r="A134" s="132"/>
      <c r="B134" s="283"/>
      <c r="C134" s="247"/>
      <c r="D134" s="247"/>
      <c r="E134" s="247"/>
      <c r="F134" s="247"/>
      <c r="G134" s="247"/>
      <c r="H134" s="247"/>
      <c r="I134" s="247"/>
      <c r="J134" s="247"/>
      <c r="K134" s="247"/>
      <c r="L134" s="247"/>
      <c r="M134" s="247"/>
      <c r="N134" s="247"/>
      <c r="O134" s="117"/>
      <c r="P134" s="117"/>
      <c r="Q134" s="117"/>
      <c r="R134" s="117"/>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7"/>
      <c r="BO134" s="117"/>
      <c r="BP134" s="117"/>
      <c r="BQ134" s="117"/>
      <c r="BR134" s="117"/>
      <c r="BS134" s="117"/>
      <c r="BT134" s="117"/>
      <c r="BU134" s="117"/>
      <c r="BV134" s="117"/>
      <c r="BW134" s="117"/>
      <c r="BX134" s="117"/>
      <c r="BY134" s="117"/>
      <c r="BZ134" s="117"/>
      <c r="CA134" s="117"/>
      <c r="CB134" s="117"/>
      <c r="CC134" s="117"/>
      <c r="CD134" s="117"/>
    </row>
    <row r="135" ht="15.75" customHeight="1">
      <c r="A135" s="4" t="s">
        <v>250</v>
      </c>
      <c r="B135" s="296">
        <v>0.2</v>
      </c>
      <c r="C135" s="247">
        <f t="array" ref="C135">INDEX('IS Proforma'!$1:$1048490,MATCH(Expenses!$A135,'IS Proforma'!$C:$C,0),MATCH(Expenses!C$4,'IS Proforma'!$4:$4))</f>
        <v>1673</v>
      </c>
      <c r="D135" s="247">
        <f t="array" ref="D135">INDEX('IS Proforma'!$1:$1048490,MATCH(Expenses!$A135,'IS Proforma'!$C:$C,0),MATCH(Expenses!D$4,'IS Proforma'!$4:$4))</f>
        <v>2445</v>
      </c>
      <c r="E135" s="247">
        <f t="array" ref="E135">INDEX('IS Proforma'!$1:$1048490,MATCH(Expenses!$A135,'IS Proforma'!$C:$C,0),MATCH(Expenses!E$4,'IS Proforma'!$4:$4))</f>
        <v>1238</v>
      </c>
      <c r="F135" s="247">
        <f t="array" ref="F135">INDEX('IS Proforma'!$1:$1048490,MATCH(Expenses!$A135,'IS Proforma'!$C:$C,0),MATCH(Expenses!F$4,'IS Proforma'!$4:$4))</f>
        <v>1868</v>
      </c>
      <c r="G135" s="247">
        <f t="array" ref="G135">INDEX('IS Proforma'!$1:$1048490,MATCH(Expenses!$A135,'IS Proforma'!$C:$C,0),MATCH(Expenses!G$4,'IS Proforma'!$4:$4))</f>
        <v>1376</v>
      </c>
      <c r="H135" s="247">
        <f t="array" ref="H135">INDEX('IS Proforma'!$1:$1048490,MATCH(Expenses!$A135,'IS Proforma'!$C:$C,0),MATCH(Expenses!H$4,'IS Proforma'!$4:$4))</f>
        <v>1705</v>
      </c>
      <c r="I135" s="247">
        <f t="array" ref="I135">INDEX('IS Proforma'!$1:$1048490,MATCH(Expenses!$A135,'IS Proforma'!$C:$C,0),MATCH(Expenses!I$4,'IS Proforma'!$4:$4))</f>
        <v>1049</v>
      </c>
      <c r="J135" s="247">
        <f t="array" ref="J135">INDEX('IS Proforma'!$1:$1048490,MATCH(Expenses!$A135,'IS Proforma'!$C:$C,0),MATCH(Expenses!J$4,'IS Proforma'!$4:$4))</f>
        <v>1805</v>
      </c>
      <c r="K135" s="247">
        <f t="array" ref="K135">INDEX('IS Proforma'!$1:$1048490,MATCH(Expenses!$A135,'IS Proforma'!$C:$C,0),MATCH(Expenses!K$4,'IS Proforma'!$4:$4))</f>
        <v>2470</v>
      </c>
      <c r="L135" s="247">
        <f t="array" ref="L135">INDEX('IS Proforma'!$1:$1048490,MATCH(Expenses!$A135,'IS Proforma'!$C:$C,0),MATCH(Expenses!L$4,'IS Proforma'!$4:$4))</f>
        <v>2407</v>
      </c>
      <c r="M135" s="247">
        <f t="array" ref="M135">INDEX('IS Proforma'!$1:$1048490,MATCH(Expenses!$A135,'IS Proforma'!$C:$C,0),MATCH(Expenses!M$4,'IS Proforma'!$4:$4))</f>
        <v>1498</v>
      </c>
      <c r="N135" s="247">
        <f t="array" ref="N135">INDEX('IS Proforma'!$1:$1048490,MATCH(Expenses!$A135,'IS Proforma'!$C:$C,0),MATCH(Expenses!N$4,'IS Proforma'!$4:$4))</f>
        <v>2134</v>
      </c>
      <c r="O135" s="247">
        <f t="array" ref="O135">INDEX('IS Proforma'!$1:$1048490,MATCH(Expenses!$A135,'IS Proforma'!$C:$C,0),MATCH(Expenses!O$4,'IS Proforma'!$4:$4))</f>
        <v>2489</v>
      </c>
      <c r="P135" s="247">
        <f t="array" ref="P135">INDEX('IS Proforma'!$1:$1048490,MATCH(Expenses!$A135,'IS Proforma'!$C:$C,0),MATCH(Expenses!P$4,'IS Proforma'!$4:$4))</f>
        <v>1123</v>
      </c>
      <c r="Q135" s="247">
        <f t="array" ref="Q135">INDEX('IS Proforma'!$1:$1048490,MATCH(Expenses!$A135,'IS Proforma'!$C:$C,0),MATCH(Expenses!Q$4,'IS Proforma'!$4:$4))</f>
        <v>2308</v>
      </c>
      <c r="R135" s="247">
        <f t="array" ref="R135">INDEX('IS Proforma'!$1:$1048490,MATCH(Expenses!$A135,'IS Proforma'!$C:$C,0),MATCH(Expenses!R$4,'IS Proforma'!$4:$4))</f>
        <v>1644</v>
      </c>
      <c r="S135" s="247">
        <f t="array" ref="S135">INDEX('IS Proforma'!$1:$1048490,MATCH(Expenses!$A135,'IS Proforma'!$C:$C,0),MATCH(Expenses!S$4,'IS Proforma'!$4:$4))</f>
        <v>1439</v>
      </c>
      <c r="T135" s="118">
        <f t="shared" ref="T135:CB135" si="89">T$99*$B135</f>
        <v>11914.6</v>
      </c>
      <c r="U135" s="118">
        <f t="shared" si="89"/>
        <v>6414</v>
      </c>
      <c r="V135" s="118">
        <f t="shared" si="89"/>
        <v>2962.43256</v>
      </c>
      <c r="W135" s="118">
        <f t="shared" si="89"/>
        <v>2992.056886</v>
      </c>
      <c r="X135" s="118">
        <f t="shared" si="89"/>
        <v>3021.977455</v>
      </c>
      <c r="Y135" s="118">
        <f t="shared" si="89"/>
        <v>24050</v>
      </c>
      <c r="Z135" s="118">
        <f t="shared" si="89"/>
        <v>3082.719202</v>
      </c>
      <c r="AA135" s="118">
        <f t="shared" si="89"/>
        <v>3113.546394</v>
      </c>
      <c r="AB135" s="118">
        <f t="shared" si="89"/>
        <v>3144.681858</v>
      </c>
      <c r="AC135" s="118">
        <f t="shared" si="89"/>
        <v>24700</v>
      </c>
      <c r="AD135" s="118">
        <f t="shared" si="89"/>
        <v>3207.889963</v>
      </c>
      <c r="AE135" s="118">
        <f t="shared" si="89"/>
        <v>3239.968863</v>
      </c>
      <c r="AF135" s="118">
        <f t="shared" si="89"/>
        <v>3272.368551</v>
      </c>
      <c r="AG135" s="118">
        <f t="shared" si="89"/>
        <v>26130</v>
      </c>
      <c r="AH135" s="118">
        <f t="shared" si="89"/>
        <v>981.8068115</v>
      </c>
      <c r="AI135" s="118">
        <f t="shared" si="89"/>
        <v>991.6248796</v>
      </c>
      <c r="AJ135" s="118">
        <f t="shared" si="89"/>
        <v>1001.541128</v>
      </c>
      <c r="AK135" s="118">
        <f t="shared" si="89"/>
        <v>26780</v>
      </c>
      <c r="AL135" s="118">
        <f t="shared" si="89"/>
        <v>1021.672105</v>
      </c>
      <c r="AM135" s="118">
        <f t="shared" si="89"/>
        <v>1031.888826</v>
      </c>
      <c r="AN135" s="118">
        <f t="shared" si="89"/>
        <v>1042.207714</v>
      </c>
      <c r="AO135" s="118">
        <f t="shared" si="89"/>
        <v>27430</v>
      </c>
      <c r="AP135" s="118">
        <f t="shared" si="89"/>
        <v>1063.156089</v>
      </c>
      <c r="AQ135" s="118">
        <f t="shared" si="89"/>
        <v>1073.78765</v>
      </c>
      <c r="AR135" s="118">
        <f t="shared" si="89"/>
        <v>1084.525527</v>
      </c>
      <c r="AS135" s="118">
        <f t="shared" si="89"/>
        <v>27950</v>
      </c>
      <c r="AT135" s="118">
        <f t="shared" si="89"/>
        <v>1106.32449</v>
      </c>
      <c r="AU135" s="118">
        <f t="shared" si="89"/>
        <v>1117.387735</v>
      </c>
      <c r="AV135" s="118">
        <f t="shared" si="89"/>
        <v>1128.561612</v>
      </c>
      <c r="AW135" s="118">
        <f t="shared" si="89"/>
        <v>29250</v>
      </c>
      <c r="AX135" s="118">
        <f t="shared" si="89"/>
        <v>1151.245701</v>
      </c>
      <c r="AY135" s="118">
        <f t="shared" si="89"/>
        <v>1162.758158</v>
      </c>
      <c r="AZ135" s="118">
        <f t="shared" si="89"/>
        <v>1174.385739</v>
      </c>
      <c r="BA135" s="118">
        <f t="shared" si="89"/>
        <v>30160</v>
      </c>
      <c r="BB135" s="118">
        <f t="shared" si="89"/>
        <v>1197.990893</v>
      </c>
      <c r="BC135" s="118">
        <f t="shared" si="89"/>
        <v>1209.970802</v>
      </c>
      <c r="BD135" s="118">
        <f t="shared" si="89"/>
        <v>1222.07051</v>
      </c>
      <c r="BE135" s="118">
        <f t="shared" si="89"/>
        <v>31070</v>
      </c>
      <c r="BF135" s="118">
        <f t="shared" si="89"/>
        <v>1246.634127</v>
      </c>
      <c r="BG135" s="118">
        <f t="shared" si="89"/>
        <v>1259.100468</v>
      </c>
      <c r="BH135" s="118">
        <f t="shared" si="89"/>
        <v>1271.691473</v>
      </c>
      <c r="BI135" s="118">
        <f t="shared" si="89"/>
        <v>34840</v>
      </c>
      <c r="BJ135" s="118">
        <f t="shared" si="89"/>
        <v>1297.252471</v>
      </c>
      <c r="BK135" s="118">
        <f t="shared" si="89"/>
        <v>1310.224996</v>
      </c>
      <c r="BL135" s="118">
        <f t="shared" si="89"/>
        <v>1323.327246</v>
      </c>
      <c r="BM135" s="118">
        <f t="shared" si="89"/>
        <v>35880</v>
      </c>
      <c r="BN135" s="118">
        <f t="shared" si="89"/>
        <v>1349.926124</v>
      </c>
      <c r="BO135" s="118">
        <f t="shared" si="89"/>
        <v>1363.425385</v>
      </c>
      <c r="BP135" s="118">
        <f t="shared" si="89"/>
        <v>1377.059639</v>
      </c>
      <c r="BQ135" s="118">
        <f t="shared" si="89"/>
        <v>36660</v>
      </c>
      <c r="BR135" s="118">
        <f t="shared" si="89"/>
        <v>1404.738537</v>
      </c>
      <c r="BS135" s="118">
        <f t="shared" si="89"/>
        <v>1418.785923</v>
      </c>
      <c r="BT135" s="118">
        <f t="shared" si="89"/>
        <v>1432.973782</v>
      </c>
      <c r="BU135" s="118">
        <f t="shared" si="89"/>
        <v>37700</v>
      </c>
      <c r="BV135" s="118">
        <f t="shared" si="89"/>
        <v>1461.776555</v>
      </c>
      <c r="BW135" s="118">
        <f t="shared" si="89"/>
        <v>1476.394321</v>
      </c>
      <c r="BX135" s="118">
        <f t="shared" si="89"/>
        <v>1491.158264</v>
      </c>
      <c r="BY135" s="118">
        <f t="shared" si="89"/>
        <v>38220</v>
      </c>
      <c r="BZ135" s="118">
        <f t="shared" si="89"/>
        <v>1521.130545</v>
      </c>
      <c r="CA135" s="118">
        <f t="shared" si="89"/>
        <v>1536.34185</v>
      </c>
      <c r="CB135" s="118">
        <f t="shared" si="89"/>
        <v>1551.705269</v>
      </c>
      <c r="CC135" s="118"/>
      <c r="CD135" s="118"/>
    </row>
    <row r="136" ht="15.75" customHeight="1">
      <c r="A136" s="292" t="s">
        <v>571</v>
      </c>
      <c r="B136" s="283">
        <v>0.35</v>
      </c>
      <c r="C136" s="247"/>
      <c r="D136" s="247"/>
      <c r="E136" s="247"/>
      <c r="F136" s="247"/>
      <c r="G136" s="247"/>
      <c r="H136" s="247"/>
      <c r="I136" s="247"/>
      <c r="J136" s="247"/>
      <c r="K136" s="247"/>
      <c r="L136" s="247"/>
      <c r="M136" s="247"/>
      <c r="N136" s="247"/>
      <c r="O136" s="117"/>
      <c r="P136" s="117"/>
      <c r="Q136" s="117"/>
      <c r="R136" s="117"/>
      <c r="S136" s="117"/>
      <c r="T136" s="117">
        <f t="shared" ref="T136:CB136" si="90">T$135*$B136</f>
        <v>4170.11</v>
      </c>
      <c r="U136" s="117">
        <f t="shared" si="90"/>
        <v>2244.9</v>
      </c>
      <c r="V136" s="117">
        <f t="shared" si="90"/>
        <v>1036.851396</v>
      </c>
      <c r="W136" s="117">
        <f t="shared" si="90"/>
        <v>1047.21991</v>
      </c>
      <c r="X136" s="117">
        <f t="shared" si="90"/>
        <v>1057.692109</v>
      </c>
      <c r="Y136" s="117">
        <f t="shared" si="90"/>
        <v>8417.5</v>
      </c>
      <c r="Z136" s="117">
        <f t="shared" si="90"/>
        <v>1078.951721</v>
      </c>
      <c r="AA136" s="117">
        <f t="shared" si="90"/>
        <v>1089.741238</v>
      </c>
      <c r="AB136" s="117">
        <f t="shared" si="90"/>
        <v>1100.63865</v>
      </c>
      <c r="AC136" s="117">
        <f t="shared" si="90"/>
        <v>8645</v>
      </c>
      <c r="AD136" s="117">
        <f t="shared" si="90"/>
        <v>1122.761487</v>
      </c>
      <c r="AE136" s="117">
        <f t="shared" si="90"/>
        <v>1133.989102</v>
      </c>
      <c r="AF136" s="117">
        <f t="shared" si="90"/>
        <v>1145.328993</v>
      </c>
      <c r="AG136" s="117">
        <f t="shared" si="90"/>
        <v>9145.5</v>
      </c>
      <c r="AH136" s="117">
        <f t="shared" si="90"/>
        <v>343.632384</v>
      </c>
      <c r="AI136" s="117">
        <f t="shared" si="90"/>
        <v>347.0687079</v>
      </c>
      <c r="AJ136" s="117">
        <f t="shared" si="90"/>
        <v>350.539395</v>
      </c>
      <c r="AK136" s="117">
        <f t="shared" si="90"/>
        <v>9373</v>
      </c>
      <c r="AL136" s="117">
        <f t="shared" si="90"/>
        <v>357.5852368</v>
      </c>
      <c r="AM136" s="117">
        <f t="shared" si="90"/>
        <v>361.1610892</v>
      </c>
      <c r="AN136" s="117">
        <f t="shared" si="90"/>
        <v>364.7727001</v>
      </c>
      <c r="AO136" s="117">
        <f t="shared" si="90"/>
        <v>9600.5</v>
      </c>
      <c r="AP136" s="117">
        <f t="shared" si="90"/>
        <v>372.1046313</v>
      </c>
      <c r="AQ136" s="117">
        <f t="shared" si="90"/>
        <v>375.8256776</v>
      </c>
      <c r="AR136" s="117">
        <f t="shared" si="90"/>
        <v>379.5839344</v>
      </c>
      <c r="AS136" s="117">
        <f t="shared" si="90"/>
        <v>9782.5</v>
      </c>
      <c r="AT136" s="117">
        <f t="shared" si="90"/>
        <v>387.2135715</v>
      </c>
      <c r="AU136" s="117">
        <f t="shared" si="90"/>
        <v>391.0857072</v>
      </c>
      <c r="AV136" s="117">
        <f t="shared" si="90"/>
        <v>394.9965643</v>
      </c>
      <c r="AW136" s="117">
        <f t="shared" si="90"/>
        <v>10237.5</v>
      </c>
      <c r="AX136" s="117">
        <f t="shared" si="90"/>
        <v>402.9359952</v>
      </c>
      <c r="AY136" s="117">
        <f t="shared" si="90"/>
        <v>406.9653552</v>
      </c>
      <c r="AZ136" s="117">
        <f t="shared" si="90"/>
        <v>411.0350087</v>
      </c>
      <c r="BA136" s="117">
        <f t="shared" si="90"/>
        <v>10556</v>
      </c>
      <c r="BB136" s="117">
        <f t="shared" si="90"/>
        <v>419.2968124</v>
      </c>
      <c r="BC136" s="117">
        <f t="shared" si="90"/>
        <v>423.4897805</v>
      </c>
      <c r="BD136" s="117">
        <f t="shared" si="90"/>
        <v>427.7246783</v>
      </c>
      <c r="BE136" s="117">
        <f t="shared" si="90"/>
        <v>10874.5</v>
      </c>
      <c r="BF136" s="117">
        <f t="shared" si="90"/>
        <v>436.3219444</v>
      </c>
      <c r="BG136" s="117">
        <f t="shared" si="90"/>
        <v>440.6851638</v>
      </c>
      <c r="BH136" s="117">
        <f t="shared" si="90"/>
        <v>445.0920154</v>
      </c>
      <c r="BI136" s="117">
        <f t="shared" si="90"/>
        <v>12194</v>
      </c>
      <c r="BJ136" s="117">
        <f t="shared" si="90"/>
        <v>454.038365</v>
      </c>
      <c r="BK136" s="117">
        <f t="shared" si="90"/>
        <v>458.5787486</v>
      </c>
      <c r="BL136" s="117">
        <f t="shared" si="90"/>
        <v>463.1645361</v>
      </c>
      <c r="BM136" s="117">
        <f t="shared" si="90"/>
        <v>12558</v>
      </c>
      <c r="BN136" s="117">
        <f t="shared" si="90"/>
        <v>472.4741433</v>
      </c>
      <c r="BO136" s="117">
        <f t="shared" si="90"/>
        <v>477.1988847</v>
      </c>
      <c r="BP136" s="117">
        <f t="shared" si="90"/>
        <v>481.9708735</v>
      </c>
      <c r="BQ136" s="117">
        <f t="shared" si="90"/>
        <v>12831</v>
      </c>
      <c r="BR136" s="117">
        <f t="shared" si="90"/>
        <v>491.6584881</v>
      </c>
      <c r="BS136" s="117">
        <f t="shared" si="90"/>
        <v>496.575073</v>
      </c>
      <c r="BT136" s="117">
        <f t="shared" si="90"/>
        <v>501.5408237</v>
      </c>
      <c r="BU136" s="117">
        <f t="shared" si="90"/>
        <v>13195</v>
      </c>
      <c r="BV136" s="117">
        <f t="shared" si="90"/>
        <v>511.6217943</v>
      </c>
      <c r="BW136" s="117">
        <f t="shared" si="90"/>
        <v>516.7380122</v>
      </c>
      <c r="BX136" s="117">
        <f t="shared" si="90"/>
        <v>521.9053923</v>
      </c>
      <c r="BY136" s="117">
        <f t="shared" si="90"/>
        <v>13377</v>
      </c>
      <c r="BZ136" s="117">
        <f t="shared" si="90"/>
        <v>532.3956907</v>
      </c>
      <c r="CA136" s="117">
        <f t="shared" si="90"/>
        <v>537.7196476</v>
      </c>
      <c r="CB136" s="117">
        <f t="shared" si="90"/>
        <v>543.0968441</v>
      </c>
      <c r="CC136" s="117"/>
      <c r="CD136" s="117"/>
    </row>
    <row r="137" ht="15.75" customHeight="1">
      <c r="A137" s="292" t="s">
        <v>572</v>
      </c>
      <c r="B137" s="283">
        <v>0.35</v>
      </c>
      <c r="C137" s="247"/>
      <c r="D137" s="247"/>
      <c r="E137" s="247"/>
      <c r="F137" s="247"/>
      <c r="G137" s="247"/>
      <c r="H137" s="247"/>
      <c r="I137" s="247"/>
      <c r="J137" s="247"/>
      <c r="K137" s="247"/>
      <c r="L137" s="247"/>
      <c r="M137" s="247"/>
      <c r="N137" s="247"/>
      <c r="O137" s="117"/>
      <c r="P137" s="117"/>
      <c r="Q137" s="117"/>
      <c r="R137" s="117"/>
      <c r="S137" s="117"/>
      <c r="T137" s="117">
        <f t="shared" ref="T137:CB137" si="91">T$135*$B137</f>
        <v>4170.11</v>
      </c>
      <c r="U137" s="117">
        <f t="shared" si="91"/>
        <v>2244.9</v>
      </c>
      <c r="V137" s="117">
        <f t="shared" si="91"/>
        <v>1036.851396</v>
      </c>
      <c r="W137" s="117">
        <f t="shared" si="91"/>
        <v>1047.21991</v>
      </c>
      <c r="X137" s="117">
        <f t="shared" si="91"/>
        <v>1057.692109</v>
      </c>
      <c r="Y137" s="117">
        <f t="shared" si="91"/>
        <v>8417.5</v>
      </c>
      <c r="Z137" s="117">
        <f t="shared" si="91"/>
        <v>1078.951721</v>
      </c>
      <c r="AA137" s="117">
        <f t="shared" si="91"/>
        <v>1089.741238</v>
      </c>
      <c r="AB137" s="117">
        <f t="shared" si="91"/>
        <v>1100.63865</v>
      </c>
      <c r="AC137" s="117">
        <f t="shared" si="91"/>
        <v>8645</v>
      </c>
      <c r="AD137" s="117">
        <f t="shared" si="91"/>
        <v>1122.761487</v>
      </c>
      <c r="AE137" s="117">
        <f t="shared" si="91"/>
        <v>1133.989102</v>
      </c>
      <c r="AF137" s="117">
        <f t="shared" si="91"/>
        <v>1145.328993</v>
      </c>
      <c r="AG137" s="117">
        <f t="shared" si="91"/>
        <v>9145.5</v>
      </c>
      <c r="AH137" s="117">
        <f t="shared" si="91"/>
        <v>343.632384</v>
      </c>
      <c r="AI137" s="117">
        <f t="shared" si="91"/>
        <v>347.0687079</v>
      </c>
      <c r="AJ137" s="117">
        <f t="shared" si="91"/>
        <v>350.539395</v>
      </c>
      <c r="AK137" s="117">
        <f t="shared" si="91"/>
        <v>9373</v>
      </c>
      <c r="AL137" s="117">
        <f t="shared" si="91"/>
        <v>357.5852368</v>
      </c>
      <c r="AM137" s="117">
        <f t="shared" si="91"/>
        <v>361.1610892</v>
      </c>
      <c r="AN137" s="117">
        <f t="shared" si="91"/>
        <v>364.7727001</v>
      </c>
      <c r="AO137" s="117">
        <f t="shared" si="91"/>
        <v>9600.5</v>
      </c>
      <c r="AP137" s="117">
        <f t="shared" si="91"/>
        <v>372.1046313</v>
      </c>
      <c r="AQ137" s="117">
        <f t="shared" si="91"/>
        <v>375.8256776</v>
      </c>
      <c r="AR137" s="117">
        <f t="shared" si="91"/>
        <v>379.5839344</v>
      </c>
      <c r="AS137" s="117">
        <f t="shared" si="91"/>
        <v>9782.5</v>
      </c>
      <c r="AT137" s="117">
        <f t="shared" si="91"/>
        <v>387.2135715</v>
      </c>
      <c r="AU137" s="117">
        <f t="shared" si="91"/>
        <v>391.0857072</v>
      </c>
      <c r="AV137" s="117">
        <f t="shared" si="91"/>
        <v>394.9965643</v>
      </c>
      <c r="AW137" s="117">
        <f t="shared" si="91"/>
        <v>10237.5</v>
      </c>
      <c r="AX137" s="117">
        <f t="shared" si="91"/>
        <v>402.9359952</v>
      </c>
      <c r="AY137" s="117">
        <f t="shared" si="91"/>
        <v>406.9653552</v>
      </c>
      <c r="AZ137" s="117">
        <f t="shared" si="91"/>
        <v>411.0350087</v>
      </c>
      <c r="BA137" s="117">
        <f t="shared" si="91"/>
        <v>10556</v>
      </c>
      <c r="BB137" s="117">
        <f t="shared" si="91"/>
        <v>419.2968124</v>
      </c>
      <c r="BC137" s="117">
        <f t="shared" si="91"/>
        <v>423.4897805</v>
      </c>
      <c r="BD137" s="117">
        <f t="shared" si="91"/>
        <v>427.7246783</v>
      </c>
      <c r="BE137" s="117">
        <f t="shared" si="91"/>
        <v>10874.5</v>
      </c>
      <c r="BF137" s="117">
        <f t="shared" si="91"/>
        <v>436.3219444</v>
      </c>
      <c r="BG137" s="117">
        <f t="shared" si="91"/>
        <v>440.6851638</v>
      </c>
      <c r="BH137" s="117">
        <f t="shared" si="91"/>
        <v>445.0920154</v>
      </c>
      <c r="BI137" s="117">
        <f t="shared" si="91"/>
        <v>12194</v>
      </c>
      <c r="BJ137" s="117">
        <f t="shared" si="91"/>
        <v>454.038365</v>
      </c>
      <c r="BK137" s="117">
        <f t="shared" si="91"/>
        <v>458.5787486</v>
      </c>
      <c r="BL137" s="117">
        <f t="shared" si="91"/>
        <v>463.1645361</v>
      </c>
      <c r="BM137" s="117">
        <f t="shared" si="91"/>
        <v>12558</v>
      </c>
      <c r="BN137" s="117">
        <f t="shared" si="91"/>
        <v>472.4741433</v>
      </c>
      <c r="BO137" s="117">
        <f t="shared" si="91"/>
        <v>477.1988847</v>
      </c>
      <c r="BP137" s="117">
        <f t="shared" si="91"/>
        <v>481.9708735</v>
      </c>
      <c r="BQ137" s="117">
        <f t="shared" si="91"/>
        <v>12831</v>
      </c>
      <c r="BR137" s="117">
        <f t="shared" si="91"/>
        <v>491.6584881</v>
      </c>
      <c r="BS137" s="117">
        <f t="shared" si="91"/>
        <v>496.575073</v>
      </c>
      <c r="BT137" s="117">
        <f t="shared" si="91"/>
        <v>501.5408237</v>
      </c>
      <c r="BU137" s="117">
        <f t="shared" si="91"/>
        <v>13195</v>
      </c>
      <c r="BV137" s="117">
        <f t="shared" si="91"/>
        <v>511.6217943</v>
      </c>
      <c r="BW137" s="117">
        <f t="shared" si="91"/>
        <v>516.7380122</v>
      </c>
      <c r="BX137" s="117">
        <f t="shared" si="91"/>
        <v>521.9053923</v>
      </c>
      <c r="BY137" s="117">
        <f t="shared" si="91"/>
        <v>13377</v>
      </c>
      <c r="BZ137" s="117">
        <f t="shared" si="91"/>
        <v>532.3956907</v>
      </c>
      <c r="CA137" s="117">
        <f t="shared" si="91"/>
        <v>537.7196476</v>
      </c>
      <c r="CB137" s="117">
        <f t="shared" si="91"/>
        <v>543.0968441</v>
      </c>
      <c r="CC137" s="117"/>
      <c r="CD137" s="117"/>
    </row>
    <row r="138" ht="15.75" customHeight="1">
      <c r="A138" s="292" t="s">
        <v>573</v>
      </c>
      <c r="B138" s="283">
        <v>0.1</v>
      </c>
      <c r="C138" s="247"/>
      <c r="D138" s="247"/>
      <c r="E138" s="247"/>
      <c r="F138" s="247"/>
      <c r="G138" s="247"/>
      <c r="H138" s="247"/>
      <c r="I138" s="247"/>
      <c r="J138" s="247"/>
      <c r="K138" s="247"/>
      <c r="L138" s="247"/>
      <c r="M138" s="247"/>
      <c r="N138" s="247"/>
      <c r="O138" s="117"/>
      <c r="P138" s="117"/>
      <c r="Q138" s="117"/>
      <c r="R138" s="117"/>
      <c r="S138" s="117"/>
      <c r="T138" s="117">
        <f t="shared" ref="T138:CB138" si="92">T$135*$B138</f>
        <v>1191.46</v>
      </c>
      <c r="U138" s="117">
        <f t="shared" si="92"/>
        <v>641.4</v>
      </c>
      <c r="V138" s="117">
        <f t="shared" si="92"/>
        <v>296.243256</v>
      </c>
      <c r="W138" s="117">
        <f t="shared" si="92"/>
        <v>299.2056886</v>
      </c>
      <c r="X138" s="117">
        <f t="shared" si="92"/>
        <v>302.1977455</v>
      </c>
      <c r="Y138" s="117">
        <f t="shared" si="92"/>
        <v>2405</v>
      </c>
      <c r="Z138" s="117">
        <f t="shared" si="92"/>
        <v>308.2719202</v>
      </c>
      <c r="AA138" s="117">
        <f t="shared" si="92"/>
        <v>311.3546394</v>
      </c>
      <c r="AB138" s="117">
        <f t="shared" si="92"/>
        <v>314.4681858</v>
      </c>
      <c r="AC138" s="117">
        <f t="shared" si="92"/>
        <v>2470</v>
      </c>
      <c r="AD138" s="117">
        <f t="shared" si="92"/>
        <v>320.7889963</v>
      </c>
      <c r="AE138" s="117">
        <f t="shared" si="92"/>
        <v>323.9968863</v>
      </c>
      <c r="AF138" s="117">
        <f t="shared" si="92"/>
        <v>327.2368551</v>
      </c>
      <c r="AG138" s="117">
        <f t="shared" si="92"/>
        <v>2613</v>
      </c>
      <c r="AH138" s="117">
        <f t="shared" si="92"/>
        <v>98.18068115</v>
      </c>
      <c r="AI138" s="117">
        <f t="shared" si="92"/>
        <v>99.16248796</v>
      </c>
      <c r="AJ138" s="117">
        <f t="shared" si="92"/>
        <v>100.1541128</v>
      </c>
      <c r="AK138" s="117">
        <f t="shared" si="92"/>
        <v>2678</v>
      </c>
      <c r="AL138" s="117">
        <f t="shared" si="92"/>
        <v>102.1672105</v>
      </c>
      <c r="AM138" s="117">
        <f t="shared" si="92"/>
        <v>103.1888826</v>
      </c>
      <c r="AN138" s="117">
        <f t="shared" si="92"/>
        <v>104.2207714</v>
      </c>
      <c r="AO138" s="117">
        <f t="shared" si="92"/>
        <v>2743</v>
      </c>
      <c r="AP138" s="117">
        <f t="shared" si="92"/>
        <v>106.3156089</v>
      </c>
      <c r="AQ138" s="117">
        <f t="shared" si="92"/>
        <v>107.378765</v>
      </c>
      <c r="AR138" s="117">
        <f t="shared" si="92"/>
        <v>108.4525527</v>
      </c>
      <c r="AS138" s="117">
        <f t="shared" si="92"/>
        <v>2795</v>
      </c>
      <c r="AT138" s="117">
        <f t="shared" si="92"/>
        <v>110.632449</v>
      </c>
      <c r="AU138" s="117">
        <f t="shared" si="92"/>
        <v>111.7387735</v>
      </c>
      <c r="AV138" s="117">
        <f t="shared" si="92"/>
        <v>112.8561612</v>
      </c>
      <c r="AW138" s="117">
        <f t="shared" si="92"/>
        <v>2925</v>
      </c>
      <c r="AX138" s="117">
        <f t="shared" si="92"/>
        <v>115.1245701</v>
      </c>
      <c r="AY138" s="117">
        <f t="shared" si="92"/>
        <v>116.2758158</v>
      </c>
      <c r="AZ138" s="117">
        <f t="shared" si="92"/>
        <v>117.4385739</v>
      </c>
      <c r="BA138" s="117">
        <f t="shared" si="92"/>
        <v>3016</v>
      </c>
      <c r="BB138" s="117">
        <f t="shared" si="92"/>
        <v>119.7990893</v>
      </c>
      <c r="BC138" s="117">
        <f t="shared" si="92"/>
        <v>120.9970802</v>
      </c>
      <c r="BD138" s="117">
        <f t="shared" si="92"/>
        <v>122.207051</v>
      </c>
      <c r="BE138" s="117">
        <f t="shared" si="92"/>
        <v>3107</v>
      </c>
      <c r="BF138" s="117">
        <f t="shared" si="92"/>
        <v>124.6634127</v>
      </c>
      <c r="BG138" s="117">
        <f t="shared" si="92"/>
        <v>125.9100468</v>
      </c>
      <c r="BH138" s="117">
        <f t="shared" si="92"/>
        <v>127.1691473</v>
      </c>
      <c r="BI138" s="117">
        <f t="shared" si="92"/>
        <v>3484</v>
      </c>
      <c r="BJ138" s="117">
        <f t="shared" si="92"/>
        <v>129.7252471</v>
      </c>
      <c r="BK138" s="117">
        <f t="shared" si="92"/>
        <v>131.0224996</v>
      </c>
      <c r="BL138" s="117">
        <f t="shared" si="92"/>
        <v>132.3327246</v>
      </c>
      <c r="BM138" s="117">
        <f t="shared" si="92"/>
        <v>3588</v>
      </c>
      <c r="BN138" s="117">
        <f t="shared" si="92"/>
        <v>134.9926124</v>
      </c>
      <c r="BO138" s="117">
        <f t="shared" si="92"/>
        <v>136.3425385</v>
      </c>
      <c r="BP138" s="117">
        <f t="shared" si="92"/>
        <v>137.7059639</v>
      </c>
      <c r="BQ138" s="117">
        <f t="shared" si="92"/>
        <v>3666</v>
      </c>
      <c r="BR138" s="117">
        <f t="shared" si="92"/>
        <v>140.4738537</v>
      </c>
      <c r="BS138" s="117">
        <f t="shared" si="92"/>
        <v>141.8785923</v>
      </c>
      <c r="BT138" s="117">
        <f t="shared" si="92"/>
        <v>143.2973782</v>
      </c>
      <c r="BU138" s="117">
        <f t="shared" si="92"/>
        <v>3770</v>
      </c>
      <c r="BV138" s="117">
        <f t="shared" si="92"/>
        <v>146.1776555</v>
      </c>
      <c r="BW138" s="117">
        <f t="shared" si="92"/>
        <v>147.6394321</v>
      </c>
      <c r="BX138" s="117">
        <f t="shared" si="92"/>
        <v>149.1158264</v>
      </c>
      <c r="BY138" s="117">
        <f t="shared" si="92"/>
        <v>3822</v>
      </c>
      <c r="BZ138" s="117">
        <f t="shared" si="92"/>
        <v>152.1130545</v>
      </c>
      <c r="CA138" s="117">
        <f t="shared" si="92"/>
        <v>153.634185</v>
      </c>
      <c r="CB138" s="117">
        <f t="shared" si="92"/>
        <v>155.1705269</v>
      </c>
      <c r="CC138" s="117"/>
      <c r="CD138" s="117"/>
    </row>
    <row r="139" ht="15.75" customHeight="1">
      <c r="A139" s="292" t="s">
        <v>574</v>
      </c>
      <c r="B139" s="283">
        <v>0.1</v>
      </c>
      <c r="C139" s="247"/>
      <c r="D139" s="247"/>
      <c r="E139" s="247"/>
      <c r="F139" s="247"/>
      <c r="G139" s="247"/>
      <c r="H139" s="247"/>
      <c r="I139" s="247"/>
      <c r="J139" s="247"/>
      <c r="K139" s="247"/>
      <c r="L139" s="247"/>
      <c r="M139" s="247"/>
      <c r="N139" s="247"/>
      <c r="O139" s="117"/>
      <c r="P139" s="117"/>
      <c r="Q139" s="117"/>
      <c r="R139" s="117"/>
      <c r="S139" s="117"/>
      <c r="T139" s="117">
        <f t="shared" ref="T139:CB139" si="93">T$135*$B139</f>
        <v>1191.46</v>
      </c>
      <c r="U139" s="117">
        <f t="shared" si="93"/>
        <v>641.4</v>
      </c>
      <c r="V139" s="117">
        <f t="shared" si="93"/>
        <v>296.243256</v>
      </c>
      <c r="W139" s="117">
        <f t="shared" si="93"/>
        <v>299.2056886</v>
      </c>
      <c r="X139" s="117">
        <f t="shared" si="93"/>
        <v>302.1977455</v>
      </c>
      <c r="Y139" s="117">
        <f t="shared" si="93"/>
        <v>2405</v>
      </c>
      <c r="Z139" s="117">
        <f t="shared" si="93"/>
        <v>308.2719202</v>
      </c>
      <c r="AA139" s="117">
        <f t="shared" si="93"/>
        <v>311.3546394</v>
      </c>
      <c r="AB139" s="117">
        <f t="shared" si="93"/>
        <v>314.4681858</v>
      </c>
      <c r="AC139" s="117">
        <f t="shared" si="93"/>
        <v>2470</v>
      </c>
      <c r="AD139" s="117">
        <f t="shared" si="93"/>
        <v>320.7889963</v>
      </c>
      <c r="AE139" s="117">
        <f t="shared" si="93"/>
        <v>323.9968863</v>
      </c>
      <c r="AF139" s="117">
        <f t="shared" si="93"/>
        <v>327.2368551</v>
      </c>
      <c r="AG139" s="117">
        <f t="shared" si="93"/>
        <v>2613</v>
      </c>
      <c r="AH139" s="117">
        <f t="shared" si="93"/>
        <v>98.18068115</v>
      </c>
      <c r="AI139" s="117">
        <f t="shared" si="93"/>
        <v>99.16248796</v>
      </c>
      <c r="AJ139" s="117">
        <f t="shared" si="93"/>
        <v>100.1541128</v>
      </c>
      <c r="AK139" s="117">
        <f t="shared" si="93"/>
        <v>2678</v>
      </c>
      <c r="AL139" s="117">
        <f t="shared" si="93"/>
        <v>102.1672105</v>
      </c>
      <c r="AM139" s="117">
        <f t="shared" si="93"/>
        <v>103.1888826</v>
      </c>
      <c r="AN139" s="117">
        <f t="shared" si="93"/>
        <v>104.2207714</v>
      </c>
      <c r="AO139" s="117">
        <f t="shared" si="93"/>
        <v>2743</v>
      </c>
      <c r="AP139" s="117">
        <f t="shared" si="93"/>
        <v>106.3156089</v>
      </c>
      <c r="AQ139" s="117">
        <f t="shared" si="93"/>
        <v>107.378765</v>
      </c>
      <c r="AR139" s="117">
        <f t="shared" si="93"/>
        <v>108.4525527</v>
      </c>
      <c r="AS139" s="117">
        <f t="shared" si="93"/>
        <v>2795</v>
      </c>
      <c r="AT139" s="117">
        <f t="shared" si="93"/>
        <v>110.632449</v>
      </c>
      <c r="AU139" s="117">
        <f t="shared" si="93"/>
        <v>111.7387735</v>
      </c>
      <c r="AV139" s="117">
        <f t="shared" si="93"/>
        <v>112.8561612</v>
      </c>
      <c r="AW139" s="117">
        <f t="shared" si="93"/>
        <v>2925</v>
      </c>
      <c r="AX139" s="117">
        <f t="shared" si="93"/>
        <v>115.1245701</v>
      </c>
      <c r="AY139" s="117">
        <f t="shared" si="93"/>
        <v>116.2758158</v>
      </c>
      <c r="AZ139" s="117">
        <f t="shared" si="93"/>
        <v>117.4385739</v>
      </c>
      <c r="BA139" s="117">
        <f t="shared" si="93"/>
        <v>3016</v>
      </c>
      <c r="BB139" s="117">
        <f t="shared" si="93"/>
        <v>119.7990893</v>
      </c>
      <c r="BC139" s="117">
        <f t="shared" si="93"/>
        <v>120.9970802</v>
      </c>
      <c r="BD139" s="117">
        <f t="shared" si="93"/>
        <v>122.207051</v>
      </c>
      <c r="BE139" s="117">
        <f t="shared" si="93"/>
        <v>3107</v>
      </c>
      <c r="BF139" s="117">
        <f t="shared" si="93"/>
        <v>124.6634127</v>
      </c>
      <c r="BG139" s="117">
        <f t="shared" si="93"/>
        <v>125.9100468</v>
      </c>
      <c r="BH139" s="117">
        <f t="shared" si="93"/>
        <v>127.1691473</v>
      </c>
      <c r="BI139" s="117">
        <f t="shared" si="93"/>
        <v>3484</v>
      </c>
      <c r="BJ139" s="117">
        <f t="shared" si="93"/>
        <v>129.7252471</v>
      </c>
      <c r="BK139" s="117">
        <f t="shared" si="93"/>
        <v>131.0224996</v>
      </c>
      <c r="BL139" s="117">
        <f t="shared" si="93"/>
        <v>132.3327246</v>
      </c>
      <c r="BM139" s="117">
        <f t="shared" si="93"/>
        <v>3588</v>
      </c>
      <c r="BN139" s="117">
        <f t="shared" si="93"/>
        <v>134.9926124</v>
      </c>
      <c r="BO139" s="117">
        <f t="shared" si="93"/>
        <v>136.3425385</v>
      </c>
      <c r="BP139" s="117">
        <f t="shared" si="93"/>
        <v>137.7059639</v>
      </c>
      <c r="BQ139" s="117">
        <f t="shared" si="93"/>
        <v>3666</v>
      </c>
      <c r="BR139" s="117">
        <f t="shared" si="93"/>
        <v>140.4738537</v>
      </c>
      <c r="BS139" s="117">
        <f t="shared" si="93"/>
        <v>141.8785923</v>
      </c>
      <c r="BT139" s="117">
        <f t="shared" si="93"/>
        <v>143.2973782</v>
      </c>
      <c r="BU139" s="117">
        <f t="shared" si="93"/>
        <v>3770</v>
      </c>
      <c r="BV139" s="117">
        <f t="shared" si="93"/>
        <v>146.1776555</v>
      </c>
      <c r="BW139" s="117">
        <f t="shared" si="93"/>
        <v>147.6394321</v>
      </c>
      <c r="BX139" s="117">
        <f t="shared" si="93"/>
        <v>149.1158264</v>
      </c>
      <c r="BY139" s="117">
        <f t="shared" si="93"/>
        <v>3822</v>
      </c>
      <c r="BZ139" s="117">
        <f t="shared" si="93"/>
        <v>152.1130545</v>
      </c>
      <c r="CA139" s="117">
        <f t="shared" si="93"/>
        <v>153.634185</v>
      </c>
      <c r="CB139" s="117">
        <f t="shared" si="93"/>
        <v>155.1705269</v>
      </c>
      <c r="CC139" s="117"/>
      <c r="CD139" s="117"/>
    </row>
    <row r="140" ht="15.75" customHeight="1">
      <c r="A140" s="292" t="s">
        <v>575</v>
      </c>
      <c r="B140" s="293">
        <f>1-SUM(B136:B139)</f>
        <v>0.1</v>
      </c>
      <c r="C140" s="247"/>
      <c r="D140" s="247"/>
      <c r="E140" s="247"/>
      <c r="F140" s="247"/>
      <c r="G140" s="247"/>
      <c r="H140" s="247"/>
      <c r="I140" s="247"/>
      <c r="J140" s="247"/>
      <c r="K140" s="247"/>
      <c r="L140" s="247"/>
      <c r="M140" s="247"/>
      <c r="N140" s="247"/>
      <c r="O140" s="117"/>
      <c r="P140" s="117"/>
      <c r="Q140" s="117"/>
      <c r="R140" s="117"/>
      <c r="S140" s="117"/>
      <c r="T140" s="117">
        <f t="shared" ref="T140:CB140" si="94">T$135*$B140</f>
        <v>1191.46</v>
      </c>
      <c r="U140" s="117">
        <f t="shared" si="94"/>
        <v>641.4</v>
      </c>
      <c r="V140" s="117">
        <f t="shared" si="94"/>
        <v>296.243256</v>
      </c>
      <c r="W140" s="117">
        <f t="shared" si="94"/>
        <v>299.2056886</v>
      </c>
      <c r="X140" s="117">
        <f t="shared" si="94"/>
        <v>302.1977455</v>
      </c>
      <c r="Y140" s="117">
        <f t="shared" si="94"/>
        <v>2405</v>
      </c>
      <c r="Z140" s="117">
        <f t="shared" si="94"/>
        <v>308.2719202</v>
      </c>
      <c r="AA140" s="117">
        <f t="shared" si="94"/>
        <v>311.3546394</v>
      </c>
      <c r="AB140" s="117">
        <f t="shared" si="94"/>
        <v>314.4681858</v>
      </c>
      <c r="AC140" s="117">
        <f t="shared" si="94"/>
        <v>2470</v>
      </c>
      <c r="AD140" s="117">
        <f t="shared" si="94"/>
        <v>320.7889963</v>
      </c>
      <c r="AE140" s="117">
        <f t="shared" si="94"/>
        <v>323.9968863</v>
      </c>
      <c r="AF140" s="117">
        <f t="shared" si="94"/>
        <v>327.2368551</v>
      </c>
      <c r="AG140" s="117">
        <f t="shared" si="94"/>
        <v>2613</v>
      </c>
      <c r="AH140" s="117">
        <f t="shared" si="94"/>
        <v>98.18068115</v>
      </c>
      <c r="AI140" s="117">
        <f t="shared" si="94"/>
        <v>99.16248796</v>
      </c>
      <c r="AJ140" s="117">
        <f t="shared" si="94"/>
        <v>100.1541128</v>
      </c>
      <c r="AK140" s="117">
        <f t="shared" si="94"/>
        <v>2678</v>
      </c>
      <c r="AL140" s="117">
        <f t="shared" si="94"/>
        <v>102.1672105</v>
      </c>
      <c r="AM140" s="117">
        <f t="shared" si="94"/>
        <v>103.1888826</v>
      </c>
      <c r="AN140" s="117">
        <f t="shared" si="94"/>
        <v>104.2207714</v>
      </c>
      <c r="AO140" s="117">
        <f t="shared" si="94"/>
        <v>2743</v>
      </c>
      <c r="AP140" s="117">
        <f t="shared" si="94"/>
        <v>106.3156089</v>
      </c>
      <c r="AQ140" s="117">
        <f t="shared" si="94"/>
        <v>107.378765</v>
      </c>
      <c r="AR140" s="117">
        <f t="shared" si="94"/>
        <v>108.4525527</v>
      </c>
      <c r="AS140" s="117">
        <f t="shared" si="94"/>
        <v>2795</v>
      </c>
      <c r="AT140" s="117">
        <f t="shared" si="94"/>
        <v>110.632449</v>
      </c>
      <c r="AU140" s="117">
        <f t="shared" si="94"/>
        <v>111.7387735</v>
      </c>
      <c r="AV140" s="117">
        <f t="shared" si="94"/>
        <v>112.8561612</v>
      </c>
      <c r="AW140" s="117">
        <f t="shared" si="94"/>
        <v>2925</v>
      </c>
      <c r="AX140" s="117">
        <f t="shared" si="94"/>
        <v>115.1245701</v>
      </c>
      <c r="AY140" s="117">
        <f t="shared" si="94"/>
        <v>116.2758158</v>
      </c>
      <c r="AZ140" s="117">
        <f t="shared" si="94"/>
        <v>117.4385739</v>
      </c>
      <c r="BA140" s="117">
        <f t="shared" si="94"/>
        <v>3016</v>
      </c>
      <c r="BB140" s="117">
        <f t="shared" si="94"/>
        <v>119.7990893</v>
      </c>
      <c r="BC140" s="117">
        <f t="shared" si="94"/>
        <v>120.9970802</v>
      </c>
      <c r="BD140" s="117">
        <f t="shared" si="94"/>
        <v>122.207051</v>
      </c>
      <c r="BE140" s="117">
        <f t="shared" si="94"/>
        <v>3107</v>
      </c>
      <c r="BF140" s="117">
        <f t="shared" si="94"/>
        <v>124.6634127</v>
      </c>
      <c r="BG140" s="117">
        <f t="shared" si="94"/>
        <v>125.9100468</v>
      </c>
      <c r="BH140" s="117">
        <f t="shared" si="94"/>
        <v>127.1691473</v>
      </c>
      <c r="BI140" s="117">
        <f t="shared" si="94"/>
        <v>3484</v>
      </c>
      <c r="BJ140" s="117">
        <f t="shared" si="94"/>
        <v>129.7252471</v>
      </c>
      <c r="BK140" s="117">
        <f t="shared" si="94"/>
        <v>131.0224996</v>
      </c>
      <c r="BL140" s="117">
        <f t="shared" si="94"/>
        <v>132.3327246</v>
      </c>
      <c r="BM140" s="117">
        <f t="shared" si="94"/>
        <v>3588</v>
      </c>
      <c r="BN140" s="117">
        <f t="shared" si="94"/>
        <v>134.9926124</v>
      </c>
      <c r="BO140" s="117">
        <f t="shared" si="94"/>
        <v>136.3425385</v>
      </c>
      <c r="BP140" s="117">
        <f t="shared" si="94"/>
        <v>137.7059639</v>
      </c>
      <c r="BQ140" s="117">
        <f t="shared" si="94"/>
        <v>3666</v>
      </c>
      <c r="BR140" s="117">
        <f t="shared" si="94"/>
        <v>140.4738537</v>
      </c>
      <c r="BS140" s="117">
        <f t="shared" si="94"/>
        <v>141.8785923</v>
      </c>
      <c r="BT140" s="117">
        <f t="shared" si="94"/>
        <v>143.2973782</v>
      </c>
      <c r="BU140" s="117">
        <f t="shared" si="94"/>
        <v>3770</v>
      </c>
      <c r="BV140" s="117">
        <f t="shared" si="94"/>
        <v>146.1776555</v>
      </c>
      <c r="BW140" s="117">
        <f t="shared" si="94"/>
        <v>147.6394321</v>
      </c>
      <c r="BX140" s="117">
        <f t="shared" si="94"/>
        <v>149.1158264</v>
      </c>
      <c r="BY140" s="117">
        <f t="shared" si="94"/>
        <v>3822</v>
      </c>
      <c r="BZ140" s="117">
        <f t="shared" si="94"/>
        <v>152.1130545</v>
      </c>
      <c r="CA140" s="117">
        <f t="shared" si="94"/>
        <v>153.634185</v>
      </c>
      <c r="CB140" s="117">
        <f t="shared" si="94"/>
        <v>155.1705269</v>
      </c>
      <c r="CC140" s="117"/>
      <c r="CD140" s="117"/>
    </row>
    <row r="141" ht="15.75" customHeight="1">
      <c r="A141" s="132"/>
      <c r="B141" s="282"/>
      <c r="C141" s="247"/>
      <c r="D141" s="247"/>
      <c r="E141" s="247"/>
      <c r="F141" s="247"/>
      <c r="G141" s="247"/>
      <c r="H141" s="247"/>
      <c r="I141" s="247"/>
      <c r="J141" s="247"/>
      <c r="K141" s="247"/>
      <c r="L141" s="247"/>
      <c r="M141" s="247"/>
      <c r="N141" s="247"/>
      <c r="O141" s="117"/>
      <c r="P141" s="117"/>
      <c r="Q141" s="117"/>
      <c r="R141" s="117"/>
      <c r="S141" s="117"/>
      <c r="T141" s="117"/>
      <c r="U141" s="117"/>
      <c r="V141" s="117"/>
      <c r="W141" s="117"/>
      <c r="X141" s="117"/>
      <c r="Y141" s="117"/>
      <c r="Z141" s="117"/>
      <c r="AA141" s="117"/>
      <c r="AB141" s="117"/>
      <c r="AC141" s="117"/>
      <c r="AD141" s="117"/>
      <c r="AE141" s="117"/>
      <c r="AF141" s="117"/>
      <c r="AG141" s="117"/>
      <c r="AH141" s="117"/>
      <c r="AI141" s="117"/>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7"/>
      <c r="BO141" s="117"/>
      <c r="BP141" s="117"/>
      <c r="BQ141" s="117"/>
      <c r="BR141" s="117"/>
      <c r="BS141" s="117"/>
      <c r="BT141" s="117"/>
      <c r="BU141" s="117"/>
      <c r="BV141" s="117"/>
      <c r="BW141" s="117"/>
      <c r="BX141" s="117"/>
      <c r="BY141" s="117"/>
      <c r="BZ141" s="117"/>
      <c r="CA141" s="117"/>
      <c r="CB141" s="117"/>
      <c r="CC141" s="117"/>
      <c r="CD141" s="117"/>
    </row>
    <row r="142" ht="15.75" customHeight="1">
      <c r="A142" s="257" t="s">
        <v>253</v>
      </c>
      <c r="B142" s="293">
        <f>1-SUM(B128,B135)</f>
        <v>0.6</v>
      </c>
      <c r="C142" s="247">
        <f t="array" ref="C142">INDEX('IS Proforma'!$1:$1048490,MATCH(Expenses!$A142,'IS Proforma'!$C:$C,0),MATCH(Expenses!C$4,'IS Proforma'!$4:$4))</f>
        <v>1817</v>
      </c>
      <c r="D142" s="247">
        <f t="array" ref="D142">INDEX('IS Proforma'!$1:$1048490,MATCH(Expenses!$A142,'IS Proforma'!$C:$C,0),MATCH(Expenses!D$4,'IS Proforma'!$4:$4))</f>
        <v>1630</v>
      </c>
      <c r="E142" s="247">
        <f t="array" ref="E142">INDEX('IS Proforma'!$1:$1048490,MATCH(Expenses!$A142,'IS Proforma'!$C:$C,0),MATCH(Expenses!E$4,'IS Proforma'!$4:$4))</f>
        <v>2112</v>
      </c>
      <c r="F142" s="247">
        <f t="array" ref="F142">INDEX('IS Proforma'!$1:$1048490,MATCH(Expenses!$A142,'IS Proforma'!$C:$C,0),MATCH(Expenses!F$4,'IS Proforma'!$4:$4))</f>
        <v>1274</v>
      </c>
      <c r="G142" s="247">
        <f t="array" ref="G142">INDEX('IS Proforma'!$1:$1048490,MATCH(Expenses!$A142,'IS Proforma'!$C:$C,0),MATCH(Expenses!G$4,'IS Proforma'!$4:$4))</f>
        <v>1996</v>
      </c>
      <c r="H142" s="247">
        <f t="array" ref="H142">INDEX('IS Proforma'!$1:$1048490,MATCH(Expenses!$A142,'IS Proforma'!$C:$C,0),MATCH(Expenses!H$4,'IS Proforma'!$4:$4))</f>
        <v>1508</v>
      </c>
      <c r="I142" s="247">
        <f t="array" ref="I142">INDEX('IS Proforma'!$1:$1048490,MATCH(Expenses!$A142,'IS Proforma'!$C:$C,0),MATCH(Expenses!I$4,'IS Proforma'!$4:$4))</f>
        <v>2215</v>
      </c>
      <c r="J142" s="247">
        <f t="array" ref="J142">INDEX('IS Proforma'!$1:$1048490,MATCH(Expenses!$A142,'IS Proforma'!$C:$C,0),MATCH(Expenses!J$4,'IS Proforma'!$4:$4))</f>
        <v>1940</v>
      </c>
      <c r="K142" s="247">
        <f t="array" ref="K142">INDEX('IS Proforma'!$1:$1048490,MATCH(Expenses!$A142,'IS Proforma'!$C:$C,0),MATCH(Expenses!K$4,'IS Proforma'!$4:$4))</f>
        <v>1051</v>
      </c>
      <c r="L142" s="247">
        <f t="array" ref="L142">INDEX('IS Proforma'!$1:$1048490,MATCH(Expenses!$A142,'IS Proforma'!$C:$C,0),MATCH(Expenses!L$4,'IS Proforma'!$4:$4))</f>
        <v>2295</v>
      </c>
      <c r="M142" s="247">
        <f t="array" ref="M142">INDEX('IS Proforma'!$1:$1048490,MATCH(Expenses!$A142,'IS Proforma'!$C:$C,0),MATCH(Expenses!M$4,'IS Proforma'!$4:$4))</f>
        <v>2079</v>
      </c>
      <c r="N142" s="247">
        <f t="array" ref="N142">INDEX('IS Proforma'!$1:$1048490,MATCH(Expenses!$A142,'IS Proforma'!$C:$C,0),MATCH(Expenses!N$4,'IS Proforma'!$4:$4))</f>
        <v>1823</v>
      </c>
      <c r="O142" s="247">
        <f t="array" ref="O142">INDEX('IS Proforma'!$1:$1048490,MATCH(Expenses!$A142,'IS Proforma'!$C:$C,0),MATCH(Expenses!O$4,'IS Proforma'!$4:$4))</f>
        <v>1867</v>
      </c>
      <c r="P142" s="247">
        <f t="array" ref="P142">INDEX('IS Proforma'!$1:$1048490,MATCH(Expenses!$A142,'IS Proforma'!$C:$C,0),MATCH(Expenses!P$4,'IS Proforma'!$4:$4))</f>
        <v>1564</v>
      </c>
      <c r="Q142" s="247">
        <f t="array" ref="Q142">INDEX('IS Proforma'!$1:$1048490,MATCH(Expenses!$A142,'IS Proforma'!$C:$C,0),MATCH(Expenses!Q$4,'IS Proforma'!$4:$4))</f>
        <v>2196</v>
      </c>
      <c r="R142" s="247">
        <f t="array" ref="R142">INDEX('IS Proforma'!$1:$1048490,MATCH(Expenses!$A142,'IS Proforma'!$C:$C,0),MATCH(Expenses!R$4,'IS Proforma'!$4:$4))</f>
        <v>1144</v>
      </c>
      <c r="S142" s="247">
        <f t="array" ref="S142">INDEX('IS Proforma'!$1:$1048490,MATCH(Expenses!$A142,'IS Proforma'!$C:$C,0),MATCH(Expenses!S$4,'IS Proforma'!$4:$4))</f>
        <v>1201</v>
      </c>
      <c r="T142" s="118">
        <f t="shared" ref="T142:CB142" si="95">T$99*$B142</f>
        <v>35743.8</v>
      </c>
      <c r="U142" s="118">
        <f t="shared" si="95"/>
        <v>19242</v>
      </c>
      <c r="V142" s="118">
        <f t="shared" si="95"/>
        <v>8887.297681</v>
      </c>
      <c r="W142" s="118">
        <f t="shared" si="95"/>
        <v>8976.170658</v>
      </c>
      <c r="X142" s="118">
        <f t="shared" si="95"/>
        <v>9065.932365</v>
      </c>
      <c r="Y142" s="118">
        <f t="shared" si="95"/>
        <v>72150</v>
      </c>
      <c r="Z142" s="118">
        <f t="shared" si="95"/>
        <v>9248.157605</v>
      </c>
      <c r="AA142" s="118">
        <f t="shared" si="95"/>
        <v>9340.639181</v>
      </c>
      <c r="AB142" s="118">
        <f t="shared" si="95"/>
        <v>9434.045573</v>
      </c>
      <c r="AC142" s="118">
        <f t="shared" si="95"/>
        <v>74100</v>
      </c>
      <c r="AD142" s="118">
        <f t="shared" si="95"/>
        <v>9623.669889</v>
      </c>
      <c r="AE142" s="118">
        <f t="shared" si="95"/>
        <v>9719.906588</v>
      </c>
      <c r="AF142" s="118">
        <f t="shared" si="95"/>
        <v>9817.105654</v>
      </c>
      <c r="AG142" s="118">
        <f t="shared" si="95"/>
        <v>78390</v>
      </c>
      <c r="AH142" s="118">
        <f t="shared" si="95"/>
        <v>2945.420435</v>
      </c>
      <c r="AI142" s="118">
        <f t="shared" si="95"/>
        <v>2974.874639</v>
      </c>
      <c r="AJ142" s="118">
        <f t="shared" si="95"/>
        <v>3004.623385</v>
      </c>
      <c r="AK142" s="118">
        <f t="shared" si="95"/>
        <v>80340</v>
      </c>
      <c r="AL142" s="118">
        <f t="shared" si="95"/>
        <v>3065.016315</v>
      </c>
      <c r="AM142" s="118">
        <f t="shared" si="95"/>
        <v>3095.666479</v>
      </c>
      <c r="AN142" s="118">
        <f t="shared" si="95"/>
        <v>3126.623143</v>
      </c>
      <c r="AO142" s="118">
        <f t="shared" si="95"/>
        <v>82290</v>
      </c>
      <c r="AP142" s="118">
        <f t="shared" si="95"/>
        <v>3189.468268</v>
      </c>
      <c r="AQ142" s="118">
        <f t="shared" si="95"/>
        <v>3221.362951</v>
      </c>
      <c r="AR142" s="118">
        <f t="shared" si="95"/>
        <v>3253.576581</v>
      </c>
      <c r="AS142" s="118">
        <f t="shared" si="95"/>
        <v>83850</v>
      </c>
      <c r="AT142" s="118">
        <f t="shared" si="95"/>
        <v>3318.97347</v>
      </c>
      <c r="AU142" s="118">
        <f t="shared" si="95"/>
        <v>3352.163205</v>
      </c>
      <c r="AV142" s="118">
        <f t="shared" si="95"/>
        <v>3385.684837</v>
      </c>
      <c r="AW142" s="118">
        <f t="shared" si="95"/>
        <v>87750</v>
      </c>
      <c r="AX142" s="118">
        <f t="shared" si="95"/>
        <v>3453.737102</v>
      </c>
      <c r="AY142" s="118">
        <f t="shared" si="95"/>
        <v>3488.274473</v>
      </c>
      <c r="AZ142" s="118">
        <f t="shared" si="95"/>
        <v>3523.157218</v>
      </c>
      <c r="BA142" s="118">
        <f t="shared" si="95"/>
        <v>90480</v>
      </c>
      <c r="BB142" s="118">
        <f t="shared" si="95"/>
        <v>3593.972678</v>
      </c>
      <c r="BC142" s="118">
        <f t="shared" si="95"/>
        <v>3629.912405</v>
      </c>
      <c r="BD142" s="118">
        <f t="shared" si="95"/>
        <v>3666.211529</v>
      </c>
      <c r="BE142" s="118">
        <f t="shared" si="95"/>
        <v>93210</v>
      </c>
      <c r="BF142" s="118">
        <f t="shared" si="95"/>
        <v>3739.90238</v>
      </c>
      <c r="BG142" s="118">
        <f t="shared" si="95"/>
        <v>3777.301404</v>
      </c>
      <c r="BH142" s="118">
        <f t="shared" si="95"/>
        <v>3815.074418</v>
      </c>
      <c r="BI142" s="118">
        <f t="shared" si="95"/>
        <v>104520</v>
      </c>
      <c r="BJ142" s="118">
        <f t="shared" si="95"/>
        <v>3891.757414</v>
      </c>
      <c r="BK142" s="118">
        <f t="shared" si="95"/>
        <v>3930.674988</v>
      </c>
      <c r="BL142" s="118">
        <f t="shared" si="95"/>
        <v>3969.981738</v>
      </c>
      <c r="BM142" s="118">
        <f t="shared" si="95"/>
        <v>107640</v>
      </c>
      <c r="BN142" s="118">
        <f t="shared" si="95"/>
        <v>4049.778371</v>
      </c>
      <c r="BO142" s="118">
        <f t="shared" si="95"/>
        <v>4090.276155</v>
      </c>
      <c r="BP142" s="118">
        <f t="shared" si="95"/>
        <v>4131.178916</v>
      </c>
      <c r="BQ142" s="118">
        <f t="shared" si="95"/>
        <v>109980</v>
      </c>
      <c r="BR142" s="118">
        <f t="shared" si="95"/>
        <v>4214.215612</v>
      </c>
      <c r="BS142" s="118">
        <f t="shared" si="95"/>
        <v>4256.357768</v>
      </c>
      <c r="BT142" s="118">
        <f t="shared" si="95"/>
        <v>4298.921346</v>
      </c>
      <c r="BU142" s="118">
        <f t="shared" si="95"/>
        <v>113100</v>
      </c>
      <c r="BV142" s="118">
        <f t="shared" si="95"/>
        <v>4385.329665</v>
      </c>
      <c r="BW142" s="118">
        <f t="shared" si="95"/>
        <v>4429.182962</v>
      </c>
      <c r="BX142" s="118">
        <f t="shared" si="95"/>
        <v>4473.474791</v>
      </c>
      <c r="BY142" s="118">
        <f t="shared" si="95"/>
        <v>114660</v>
      </c>
      <c r="BZ142" s="118">
        <f t="shared" si="95"/>
        <v>4563.391635</v>
      </c>
      <c r="CA142" s="118">
        <f t="shared" si="95"/>
        <v>4609.025551</v>
      </c>
      <c r="CB142" s="118">
        <f t="shared" si="95"/>
        <v>4655.115807</v>
      </c>
      <c r="CC142" s="118"/>
      <c r="CD142" s="118"/>
    </row>
    <row r="143" ht="15.75" customHeight="1">
      <c r="A143" s="292" t="s">
        <v>576</v>
      </c>
      <c r="B143" s="283">
        <v>0.35</v>
      </c>
      <c r="C143" s="247"/>
      <c r="D143" s="247"/>
      <c r="E143" s="247"/>
      <c r="F143" s="247"/>
      <c r="G143" s="247"/>
      <c r="H143" s="247"/>
      <c r="I143" s="247"/>
      <c r="J143" s="247"/>
      <c r="K143" s="247"/>
      <c r="L143" s="117"/>
      <c r="M143" s="117"/>
      <c r="N143" s="117"/>
      <c r="O143" s="117"/>
      <c r="P143" s="117"/>
      <c r="Q143" s="117"/>
      <c r="R143" s="117"/>
      <c r="S143" s="117"/>
      <c r="T143" s="117">
        <f t="shared" ref="T143:CB143" si="96">T$142*$B143</f>
        <v>12510.33</v>
      </c>
      <c r="U143" s="117">
        <f t="shared" si="96"/>
        <v>6734.7</v>
      </c>
      <c r="V143" s="117">
        <f t="shared" si="96"/>
        <v>3110.554188</v>
      </c>
      <c r="W143" s="117">
        <f t="shared" si="96"/>
        <v>3141.65973</v>
      </c>
      <c r="X143" s="117">
        <f t="shared" si="96"/>
        <v>3173.076328</v>
      </c>
      <c r="Y143" s="117">
        <f t="shared" si="96"/>
        <v>25252.5</v>
      </c>
      <c r="Z143" s="117">
        <f t="shared" si="96"/>
        <v>3236.855162</v>
      </c>
      <c r="AA143" s="117">
        <f t="shared" si="96"/>
        <v>3269.223713</v>
      </c>
      <c r="AB143" s="117">
        <f t="shared" si="96"/>
        <v>3301.915951</v>
      </c>
      <c r="AC143" s="117">
        <f t="shared" si="96"/>
        <v>25935</v>
      </c>
      <c r="AD143" s="117">
        <f t="shared" si="96"/>
        <v>3368.284461</v>
      </c>
      <c r="AE143" s="117">
        <f t="shared" si="96"/>
        <v>3401.967306</v>
      </c>
      <c r="AF143" s="117">
        <f t="shared" si="96"/>
        <v>3435.986979</v>
      </c>
      <c r="AG143" s="117">
        <f t="shared" si="96"/>
        <v>27436.5</v>
      </c>
      <c r="AH143" s="117">
        <f t="shared" si="96"/>
        <v>1030.897152</v>
      </c>
      <c r="AI143" s="117">
        <f t="shared" si="96"/>
        <v>1041.206124</v>
      </c>
      <c r="AJ143" s="117">
        <f t="shared" si="96"/>
        <v>1051.618185</v>
      </c>
      <c r="AK143" s="117">
        <f t="shared" si="96"/>
        <v>28119</v>
      </c>
      <c r="AL143" s="117">
        <f t="shared" si="96"/>
        <v>1072.75571</v>
      </c>
      <c r="AM143" s="117">
        <f t="shared" si="96"/>
        <v>1083.483267</v>
      </c>
      <c r="AN143" s="117">
        <f t="shared" si="96"/>
        <v>1094.3181</v>
      </c>
      <c r="AO143" s="117">
        <f t="shared" si="96"/>
        <v>28801.5</v>
      </c>
      <c r="AP143" s="117">
        <f t="shared" si="96"/>
        <v>1116.313894</v>
      </c>
      <c r="AQ143" s="117">
        <f t="shared" si="96"/>
        <v>1127.477033</v>
      </c>
      <c r="AR143" s="117">
        <f t="shared" si="96"/>
        <v>1138.751803</v>
      </c>
      <c r="AS143" s="117">
        <f t="shared" si="96"/>
        <v>29347.5</v>
      </c>
      <c r="AT143" s="117">
        <f t="shared" si="96"/>
        <v>1161.640714</v>
      </c>
      <c r="AU143" s="117">
        <f t="shared" si="96"/>
        <v>1173.257122</v>
      </c>
      <c r="AV143" s="117">
        <f t="shared" si="96"/>
        <v>1184.989693</v>
      </c>
      <c r="AW143" s="117">
        <f t="shared" si="96"/>
        <v>30712.5</v>
      </c>
      <c r="AX143" s="117">
        <f t="shared" si="96"/>
        <v>1208.807986</v>
      </c>
      <c r="AY143" s="117">
        <f t="shared" si="96"/>
        <v>1220.896066</v>
      </c>
      <c r="AZ143" s="117">
        <f t="shared" si="96"/>
        <v>1233.105026</v>
      </c>
      <c r="BA143" s="117">
        <f t="shared" si="96"/>
        <v>31668</v>
      </c>
      <c r="BB143" s="117">
        <f t="shared" si="96"/>
        <v>1257.890437</v>
      </c>
      <c r="BC143" s="117">
        <f t="shared" si="96"/>
        <v>1270.469342</v>
      </c>
      <c r="BD143" s="117">
        <f t="shared" si="96"/>
        <v>1283.174035</v>
      </c>
      <c r="BE143" s="117">
        <f t="shared" si="96"/>
        <v>32623.5</v>
      </c>
      <c r="BF143" s="117">
        <f t="shared" si="96"/>
        <v>1308.965833</v>
      </c>
      <c r="BG143" s="117">
        <f t="shared" si="96"/>
        <v>1322.055491</v>
      </c>
      <c r="BH143" s="117">
        <f t="shared" si="96"/>
        <v>1335.276046</v>
      </c>
      <c r="BI143" s="117">
        <f t="shared" si="96"/>
        <v>36582</v>
      </c>
      <c r="BJ143" s="117">
        <f t="shared" si="96"/>
        <v>1362.115095</v>
      </c>
      <c r="BK143" s="117">
        <f t="shared" si="96"/>
        <v>1375.736246</v>
      </c>
      <c r="BL143" s="117">
        <f t="shared" si="96"/>
        <v>1389.493608</v>
      </c>
      <c r="BM143" s="117">
        <f t="shared" si="96"/>
        <v>37674</v>
      </c>
      <c r="BN143" s="117">
        <f t="shared" si="96"/>
        <v>1417.42243</v>
      </c>
      <c r="BO143" s="117">
        <f t="shared" si="96"/>
        <v>1431.596654</v>
      </c>
      <c r="BP143" s="117">
        <f t="shared" si="96"/>
        <v>1445.912621</v>
      </c>
      <c r="BQ143" s="117">
        <f t="shared" si="96"/>
        <v>38493</v>
      </c>
      <c r="BR143" s="117">
        <f t="shared" si="96"/>
        <v>1474.975464</v>
      </c>
      <c r="BS143" s="117">
        <f t="shared" si="96"/>
        <v>1489.725219</v>
      </c>
      <c r="BT143" s="117">
        <f t="shared" si="96"/>
        <v>1504.622471</v>
      </c>
      <c r="BU143" s="117">
        <f t="shared" si="96"/>
        <v>39585</v>
      </c>
      <c r="BV143" s="117">
        <f t="shared" si="96"/>
        <v>1534.865383</v>
      </c>
      <c r="BW143" s="117">
        <f t="shared" si="96"/>
        <v>1550.214037</v>
      </c>
      <c r="BX143" s="117">
        <f t="shared" si="96"/>
        <v>1565.716177</v>
      </c>
      <c r="BY143" s="117">
        <f t="shared" si="96"/>
        <v>40131</v>
      </c>
      <c r="BZ143" s="117">
        <f t="shared" si="96"/>
        <v>1597.187072</v>
      </c>
      <c r="CA143" s="117">
        <f t="shared" si="96"/>
        <v>1613.158943</v>
      </c>
      <c r="CB143" s="117">
        <f t="shared" si="96"/>
        <v>1629.290532</v>
      </c>
      <c r="CC143" s="117"/>
      <c r="CD143" s="117"/>
    </row>
    <row r="144" ht="15.75" customHeight="1">
      <c r="A144" s="292" t="s">
        <v>577</v>
      </c>
      <c r="B144" s="283">
        <v>0.35</v>
      </c>
      <c r="C144" s="247"/>
      <c r="D144" s="247"/>
      <c r="E144" s="247"/>
      <c r="F144" s="247"/>
      <c r="G144" s="247"/>
      <c r="H144" s="247"/>
      <c r="I144" s="247"/>
      <c r="J144" s="247"/>
      <c r="K144" s="247"/>
      <c r="L144" s="117"/>
      <c r="M144" s="117"/>
      <c r="N144" s="117"/>
      <c r="O144" s="117"/>
      <c r="P144" s="117"/>
      <c r="Q144" s="117"/>
      <c r="R144" s="117"/>
      <c r="S144" s="117"/>
      <c r="T144" s="117">
        <f t="shared" ref="T144:CB144" si="97">T$142*$B144</f>
        <v>12510.33</v>
      </c>
      <c r="U144" s="117">
        <f t="shared" si="97"/>
        <v>6734.7</v>
      </c>
      <c r="V144" s="117">
        <f t="shared" si="97"/>
        <v>3110.554188</v>
      </c>
      <c r="W144" s="117">
        <f t="shared" si="97"/>
        <v>3141.65973</v>
      </c>
      <c r="X144" s="117">
        <f t="shared" si="97"/>
        <v>3173.076328</v>
      </c>
      <c r="Y144" s="117">
        <f t="shared" si="97"/>
        <v>25252.5</v>
      </c>
      <c r="Z144" s="117">
        <f t="shared" si="97"/>
        <v>3236.855162</v>
      </c>
      <c r="AA144" s="117">
        <f t="shared" si="97"/>
        <v>3269.223713</v>
      </c>
      <c r="AB144" s="117">
        <f t="shared" si="97"/>
        <v>3301.915951</v>
      </c>
      <c r="AC144" s="117">
        <f t="shared" si="97"/>
        <v>25935</v>
      </c>
      <c r="AD144" s="117">
        <f t="shared" si="97"/>
        <v>3368.284461</v>
      </c>
      <c r="AE144" s="117">
        <f t="shared" si="97"/>
        <v>3401.967306</v>
      </c>
      <c r="AF144" s="117">
        <f t="shared" si="97"/>
        <v>3435.986979</v>
      </c>
      <c r="AG144" s="117">
        <f t="shared" si="97"/>
        <v>27436.5</v>
      </c>
      <c r="AH144" s="117">
        <f t="shared" si="97"/>
        <v>1030.897152</v>
      </c>
      <c r="AI144" s="117">
        <f t="shared" si="97"/>
        <v>1041.206124</v>
      </c>
      <c r="AJ144" s="117">
        <f t="shared" si="97"/>
        <v>1051.618185</v>
      </c>
      <c r="AK144" s="117">
        <f t="shared" si="97"/>
        <v>28119</v>
      </c>
      <c r="AL144" s="117">
        <f t="shared" si="97"/>
        <v>1072.75571</v>
      </c>
      <c r="AM144" s="117">
        <f t="shared" si="97"/>
        <v>1083.483267</v>
      </c>
      <c r="AN144" s="117">
        <f t="shared" si="97"/>
        <v>1094.3181</v>
      </c>
      <c r="AO144" s="117">
        <f t="shared" si="97"/>
        <v>28801.5</v>
      </c>
      <c r="AP144" s="117">
        <f t="shared" si="97"/>
        <v>1116.313894</v>
      </c>
      <c r="AQ144" s="117">
        <f t="shared" si="97"/>
        <v>1127.477033</v>
      </c>
      <c r="AR144" s="117">
        <f t="shared" si="97"/>
        <v>1138.751803</v>
      </c>
      <c r="AS144" s="117">
        <f t="shared" si="97"/>
        <v>29347.5</v>
      </c>
      <c r="AT144" s="117">
        <f t="shared" si="97"/>
        <v>1161.640714</v>
      </c>
      <c r="AU144" s="117">
        <f t="shared" si="97"/>
        <v>1173.257122</v>
      </c>
      <c r="AV144" s="117">
        <f t="shared" si="97"/>
        <v>1184.989693</v>
      </c>
      <c r="AW144" s="117">
        <f t="shared" si="97"/>
        <v>30712.5</v>
      </c>
      <c r="AX144" s="117">
        <f t="shared" si="97"/>
        <v>1208.807986</v>
      </c>
      <c r="AY144" s="117">
        <f t="shared" si="97"/>
        <v>1220.896066</v>
      </c>
      <c r="AZ144" s="117">
        <f t="shared" si="97"/>
        <v>1233.105026</v>
      </c>
      <c r="BA144" s="117">
        <f t="shared" si="97"/>
        <v>31668</v>
      </c>
      <c r="BB144" s="117">
        <f t="shared" si="97"/>
        <v>1257.890437</v>
      </c>
      <c r="BC144" s="117">
        <f t="shared" si="97"/>
        <v>1270.469342</v>
      </c>
      <c r="BD144" s="117">
        <f t="shared" si="97"/>
        <v>1283.174035</v>
      </c>
      <c r="BE144" s="117">
        <f t="shared" si="97"/>
        <v>32623.5</v>
      </c>
      <c r="BF144" s="117">
        <f t="shared" si="97"/>
        <v>1308.965833</v>
      </c>
      <c r="BG144" s="117">
        <f t="shared" si="97"/>
        <v>1322.055491</v>
      </c>
      <c r="BH144" s="117">
        <f t="shared" si="97"/>
        <v>1335.276046</v>
      </c>
      <c r="BI144" s="117">
        <f t="shared" si="97"/>
        <v>36582</v>
      </c>
      <c r="BJ144" s="117">
        <f t="shared" si="97"/>
        <v>1362.115095</v>
      </c>
      <c r="BK144" s="117">
        <f t="shared" si="97"/>
        <v>1375.736246</v>
      </c>
      <c r="BL144" s="117">
        <f t="shared" si="97"/>
        <v>1389.493608</v>
      </c>
      <c r="BM144" s="117">
        <f t="shared" si="97"/>
        <v>37674</v>
      </c>
      <c r="BN144" s="117">
        <f t="shared" si="97"/>
        <v>1417.42243</v>
      </c>
      <c r="BO144" s="117">
        <f t="shared" si="97"/>
        <v>1431.596654</v>
      </c>
      <c r="BP144" s="117">
        <f t="shared" si="97"/>
        <v>1445.912621</v>
      </c>
      <c r="BQ144" s="117">
        <f t="shared" si="97"/>
        <v>38493</v>
      </c>
      <c r="BR144" s="117">
        <f t="shared" si="97"/>
        <v>1474.975464</v>
      </c>
      <c r="BS144" s="117">
        <f t="shared" si="97"/>
        <v>1489.725219</v>
      </c>
      <c r="BT144" s="117">
        <f t="shared" si="97"/>
        <v>1504.622471</v>
      </c>
      <c r="BU144" s="117">
        <f t="shared" si="97"/>
        <v>39585</v>
      </c>
      <c r="BV144" s="117">
        <f t="shared" si="97"/>
        <v>1534.865383</v>
      </c>
      <c r="BW144" s="117">
        <f t="shared" si="97"/>
        <v>1550.214037</v>
      </c>
      <c r="BX144" s="117">
        <f t="shared" si="97"/>
        <v>1565.716177</v>
      </c>
      <c r="BY144" s="117">
        <f t="shared" si="97"/>
        <v>40131</v>
      </c>
      <c r="BZ144" s="117">
        <f t="shared" si="97"/>
        <v>1597.187072</v>
      </c>
      <c r="CA144" s="117">
        <f t="shared" si="97"/>
        <v>1613.158943</v>
      </c>
      <c r="CB144" s="117">
        <f t="shared" si="97"/>
        <v>1629.290532</v>
      </c>
      <c r="CC144" s="117"/>
      <c r="CD144" s="117"/>
    </row>
    <row r="145" ht="15.75" customHeight="1">
      <c r="A145" s="292" t="s">
        <v>578</v>
      </c>
      <c r="B145" s="283">
        <v>0.1</v>
      </c>
      <c r="C145" s="247"/>
      <c r="D145" s="247"/>
      <c r="E145" s="247"/>
      <c r="F145" s="247"/>
      <c r="G145" s="247"/>
      <c r="H145" s="247"/>
      <c r="I145" s="247"/>
      <c r="J145" s="247"/>
      <c r="K145" s="247"/>
      <c r="L145" s="117"/>
      <c r="M145" s="117"/>
      <c r="N145" s="117"/>
      <c r="O145" s="117"/>
      <c r="P145" s="117"/>
      <c r="Q145" s="117"/>
      <c r="R145" s="117"/>
      <c r="S145" s="117"/>
      <c r="T145" s="117">
        <f t="shared" ref="T145:CB145" si="98">T$142*$B145</f>
        <v>3574.38</v>
      </c>
      <c r="U145" s="117">
        <f t="shared" si="98"/>
        <v>1924.2</v>
      </c>
      <c r="V145" s="117">
        <f t="shared" si="98"/>
        <v>888.7297681</v>
      </c>
      <c r="W145" s="117">
        <f t="shared" si="98"/>
        <v>897.6170658</v>
      </c>
      <c r="X145" s="117">
        <f t="shared" si="98"/>
        <v>906.5932365</v>
      </c>
      <c r="Y145" s="117">
        <f t="shared" si="98"/>
        <v>7215</v>
      </c>
      <c r="Z145" s="117">
        <f t="shared" si="98"/>
        <v>924.8157605</v>
      </c>
      <c r="AA145" s="117">
        <f t="shared" si="98"/>
        <v>934.0639181</v>
      </c>
      <c r="AB145" s="117">
        <f t="shared" si="98"/>
        <v>943.4045573</v>
      </c>
      <c r="AC145" s="117">
        <f t="shared" si="98"/>
        <v>7410</v>
      </c>
      <c r="AD145" s="117">
        <f t="shared" si="98"/>
        <v>962.3669889</v>
      </c>
      <c r="AE145" s="117">
        <f t="shared" si="98"/>
        <v>971.9906588</v>
      </c>
      <c r="AF145" s="117">
        <f t="shared" si="98"/>
        <v>981.7105654</v>
      </c>
      <c r="AG145" s="117">
        <f t="shared" si="98"/>
        <v>7839</v>
      </c>
      <c r="AH145" s="117">
        <f t="shared" si="98"/>
        <v>294.5420435</v>
      </c>
      <c r="AI145" s="117">
        <f t="shared" si="98"/>
        <v>297.4874639</v>
      </c>
      <c r="AJ145" s="117">
        <f t="shared" si="98"/>
        <v>300.4623385</v>
      </c>
      <c r="AK145" s="117">
        <f t="shared" si="98"/>
        <v>8034</v>
      </c>
      <c r="AL145" s="117">
        <f t="shared" si="98"/>
        <v>306.5016315</v>
      </c>
      <c r="AM145" s="117">
        <f t="shared" si="98"/>
        <v>309.5666479</v>
      </c>
      <c r="AN145" s="117">
        <f t="shared" si="98"/>
        <v>312.6623143</v>
      </c>
      <c r="AO145" s="117">
        <f t="shared" si="98"/>
        <v>8229</v>
      </c>
      <c r="AP145" s="117">
        <f t="shared" si="98"/>
        <v>318.9468268</v>
      </c>
      <c r="AQ145" s="117">
        <f t="shared" si="98"/>
        <v>322.1362951</v>
      </c>
      <c r="AR145" s="117">
        <f t="shared" si="98"/>
        <v>325.3576581</v>
      </c>
      <c r="AS145" s="117">
        <f t="shared" si="98"/>
        <v>8385</v>
      </c>
      <c r="AT145" s="117">
        <f t="shared" si="98"/>
        <v>331.897347</v>
      </c>
      <c r="AU145" s="117">
        <f t="shared" si="98"/>
        <v>335.2163205</v>
      </c>
      <c r="AV145" s="117">
        <f t="shared" si="98"/>
        <v>338.5684837</v>
      </c>
      <c r="AW145" s="117">
        <f t="shared" si="98"/>
        <v>8775</v>
      </c>
      <c r="AX145" s="117">
        <f t="shared" si="98"/>
        <v>345.3737102</v>
      </c>
      <c r="AY145" s="117">
        <f t="shared" si="98"/>
        <v>348.8274473</v>
      </c>
      <c r="AZ145" s="117">
        <f t="shared" si="98"/>
        <v>352.3157218</v>
      </c>
      <c r="BA145" s="117">
        <f t="shared" si="98"/>
        <v>9048</v>
      </c>
      <c r="BB145" s="117">
        <f t="shared" si="98"/>
        <v>359.3972678</v>
      </c>
      <c r="BC145" s="117">
        <f t="shared" si="98"/>
        <v>362.9912405</v>
      </c>
      <c r="BD145" s="117">
        <f t="shared" si="98"/>
        <v>366.6211529</v>
      </c>
      <c r="BE145" s="117">
        <f t="shared" si="98"/>
        <v>9321</v>
      </c>
      <c r="BF145" s="117">
        <f t="shared" si="98"/>
        <v>373.990238</v>
      </c>
      <c r="BG145" s="117">
        <f t="shared" si="98"/>
        <v>377.7301404</v>
      </c>
      <c r="BH145" s="117">
        <f t="shared" si="98"/>
        <v>381.5074418</v>
      </c>
      <c r="BI145" s="117">
        <f t="shared" si="98"/>
        <v>10452</v>
      </c>
      <c r="BJ145" s="117">
        <f t="shared" si="98"/>
        <v>389.1757414</v>
      </c>
      <c r="BK145" s="117">
        <f t="shared" si="98"/>
        <v>393.0674988</v>
      </c>
      <c r="BL145" s="117">
        <f t="shared" si="98"/>
        <v>396.9981738</v>
      </c>
      <c r="BM145" s="117">
        <f t="shared" si="98"/>
        <v>10764</v>
      </c>
      <c r="BN145" s="117">
        <f t="shared" si="98"/>
        <v>404.9778371</v>
      </c>
      <c r="BO145" s="117">
        <f t="shared" si="98"/>
        <v>409.0276155</v>
      </c>
      <c r="BP145" s="117">
        <f t="shared" si="98"/>
        <v>413.1178916</v>
      </c>
      <c r="BQ145" s="117">
        <f t="shared" si="98"/>
        <v>10998</v>
      </c>
      <c r="BR145" s="117">
        <f t="shared" si="98"/>
        <v>421.4215612</v>
      </c>
      <c r="BS145" s="117">
        <f t="shared" si="98"/>
        <v>425.6357768</v>
      </c>
      <c r="BT145" s="117">
        <f t="shared" si="98"/>
        <v>429.8921346</v>
      </c>
      <c r="BU145" s="117">
        <f t="shared" si="98"/>
        <v>11310</v>
      </c>
      <c r="BV145" s="117">
        <f t="shared" si="98"/>
        <v>438.5329665</v>
      </c>
      <c r="BW145" s="117">
        <f t="shared" si="98"/>
        <v>442.9182962</v>
      </c>
      <c r="BX145" s="117">
        <f t="shared" si="98"/>
        <v>447.3474791</v>
      </c>
      <c r="BY145" s="117">
        <f t="shared" si="98"/>
        <v>11466</v>
      </c>
      <c r="BZ145" s="117">
        <f t="shared" si="98"/>
        <v>456.3391635</v>
      </c>
      <c r="CA145" s="117">
        <f t="shared" si="98"/>
        <v>460.9025551</v>
      </c>
      <c r="CB145" s="117">
        <f t="shared" si="98"/>
        <v>465.5115807</v>
      </c>
      <c r="CC145" s="117"/>
      <c r="CD145" s="117"/>
    </row>
    <row r="146" ht="15.75" customHeight="1">
      <c r="A146" s="292" t="s">
        <v>579</v>
      </c>
      <c r="B146" s="283">
        <v>0.1</v>
      </c>
      <c r="C146" s="247"/>
      <c r="D146" s="247"/>
      <c r="E146" s="247"/>
      <c r="F146" s="247"/>
      <c r="G146" s="247"/>
      <c r="H146" s="247"/>
      <c r="I146" s="247"/>
      <c r="J146" s="247"/>
      <c r="K146" s="247"/>
      <c r="L146" s="117"/>
      <c r="M146" s="117"/>
      <c r="N146" s="117"/>
      <c r="O146" s="117"/>
      <c r="P146" s="117"/>
      <c r="Q146" s="117"/>
      <c r="R146" s="117"/>
      <c r="S146" s="117"/>
      <c r="T146" s="117">
        <f t="shared" ref="T146:CB146" si="99">T$142*$B146</f>
        <v>3574.38</v>
      </c>
      <c r="U146" s="117">
        <f t="shared" si="99"/>
        <v>1924.2</v>
      </c>
      <c r="V146" s="117">
        <f t="shared" si="99"/>
        <v>888.7297681</v>
      </c>
      <c r="W146" s="117">
        <f t="shared" si="99"/>
        <v>897.6170658</v>
      </c>
      <c r="X146" s="117">
        <f t="shared" si="99"/>
        <v>906.5932365</v>
      </c>
      <c r="Y146" s="117">
        <f t="shared" si="99"/>
        <v>7215</v>
      </c>
      <c r="Z146" s="117">
        <f t="shared" si="99"/>
        <v>924.8157605</v>
      </c>
      <c r="AA146" s="117">
        <f t="shared" si="99"/>
        <v>934.0639181</v>
      </c>
      <c r="AB146" s="117">
        <f t="shared" si="99"/>
        <v>943.4045573</v>
      </c>
      <c r="AC146" s="117">
        <f t="shared" si="99"/>
        <v>7410</v>
      </c>
      <c r="AD146" s="117">
        <f t="shared" si="99"/>
        <v>962.3669889</v>
      </c>
      <c r="AE146" s="117">
        <f t="shared" si="99"/>
        <v>971.9906588</v>
      </c>
      <c r="AF146" s="117">
        <f t="shared" si="99"/>
        <v>981.7105654</v>
      </c>
      <c r="AG146" s="117">
        <f t="shared" si="99"/>
        <v>7839</v>
      </c>
      <c r="AH146" s="117">
        <f t="shared" si="99"/>
        <v>294.5420435</v>
      </c>
      <c r="AI146" s="117">
        <f t="shared" si="99"/>
        <v>297.4874639</v>
      </c>
      <c r="AJ146" s="117">
        <f t="shared" si="99"/>
        <v>300.4623385</v>
      </c>
      <c r="AK146" s="117">
        <f t="shared" si="99"/>
        <v>8034</v>
      </c>
      <c r="AL146" s="117">
        <f t="shared" si="99"/>
        <v>306.5016315</v>
      </c>
      <c r="AM146" s="117">
        <f t="shared" si="99"/>
        <v>309.5666479</v>
      </c>
      <c r="AN146" s="117">
        <f t="shared" si="99"/>
        <v>312.6623143</v>
      </c>
      <c r="AO146" s="117">
        <f t="shared" si="99"/>
        <v>8229</v>
      </c>
      <c r="AP146" s="117">
        <f t="shared" si="99"/>
        <v>318.9468268</v>
      </c>
      <c r="AQ146" s="117">
        <f t="shared" si="99"/>
        <v>322.1362951</v>
      </c>
      <c r="AR146" s="117">
        <f t="shared" si="99"/>
        <v>325.3576581</v>
      </c>
      <c r="AS146" s="117">
        <f t="shared" si="99"/>
        <v>8385</v>
      </c>
      <c r="AT146" s="117">
        <f t="shared" si="99"/>
        <v>331.897347</v>
      </c>
      <c r="AU146" s="117">
        <f t="shared" si="99"/>
        <v>335.2163205</v>
      </c>
      <c r="AV146" s="117">
        <f t="shared" si="99"/>
        <v>338.5684837</v>
      </c>
      <c r="AW146" s="117">
        <f t="shared" si="99"/>
        <v>8775</v>
      </c>
      <c r="AX146" s="117">
        <f t="shared" si="99"/>
        <v>345.3737102</v>
      </c>
      <c r="AY146" s="117">
        <f t="shared" si="99"/>
        <v>348.8274473</v>
      </c>
      <c r="AZ146" s="117">
        <f t="shared" si="99"/>
        <v>352.3157218</v>
      </c>
      <c r="BA146" s="117">
        <f t="shared" si="99"/>
        <v>9048</v>
      </c>
      <c r="BB146" s="117">
        <f t="shared" si="99"/>
        <v>359.3972678</v>
      </c>
      <c r="BC146" s="117">
        <f t="shared" si="99"/>
        <v>362.9912405</v>
      </c>
      <c r="BD146" s="117">
        <f t="shared" si="99"/>
        <v>366.6211529</v>
      </c>
      <c r="BE146" s="117">
        <f t="shared" si="99"/>
        <v>9321</v>
      </c>
      <c r="BF146" s="117">
        <f t="shared" si="99"/>
        <v>373.990238</v>
      </c>
      <c r="BG146" s="117">
        <f t="shared" si="99"/>
        <v>377.7301404</v>
      </c>
      <c r="BH146" s="117">
        <f t="shared" si="99"/>
        <v>381.5074418</v>
      </c>
      <c r="BI146" s="117">
        <f t="shared" si="99"/>
        <v>10452</v>
      </c>
      <c r="BJ146" s="117">
        <f t="shared" si="99"/>
        <v>389.1757414</v>
      </c>
      <c r="BK146" s="117">
        <f t="shared" si="99"/>
        <v>393.0674988</v>
      </c>
      <c r="BL146" s="117">
        <f t="shared" si="99"/>
        <v>396.9981738</v>
      </c>
      <c r="BM146" s="117">
        <f t="shared" si="99"/>
        <v>10764</v>
      </c>
      <c r="BN146" s="117">
        <f t="shared" si="99"/>
        <v>404.9778371</v>
      </c>
      <c r="BO146" s="117">
        <f t="shared" si="99"/>
        <v>409.0276155</v>
      </c>
      <c r="BP146" s="117">
        <f t="shared" si="99"/>
        <v>413.1178916</v>
      </c>
      <c r="BQ146" s="117">
        <f t="shared" si="99"/>
        <v>10998</v>
      </c>
      <c r="BR146" s="117">
        <f t="shared" si="99"/>
        <v>421.4215612</v>
      </c>
      <c r="BS146" s="117">
        <f t="shared" si="99"/>
        <v>425.6357768</v>
      </c>
      <c r="BT146" s="117">
        <f t="shared" si="99"/>
        <v>429.8921346</v>
      </c>
      <c r="BU146" s="117">
        <f t="shared" si="99"/>
        <v>11310</v>
      </c>
      <c r="BV146" s="117">
        <f t="shared" si="99"/>
        <v>438.5329665</v>
      </c>
      <c r="BW146" s="117">
        <f t="shared" si="99"/>
        <v>442.9182962</v>
      </c>
      <c r="BX146" s="117">
        <f t="shared" si="99"/>
        <v>447.3474791</v>
      </c>
      <c r="BY146" s="117">
        <f t="shared" si="99"/>
        <v>11466</v>
      </c>
      <c r="BZ146" s="117">
        <f t="shared" si="99"/>
        <v>456.3391635</v>
      </c>
      <c r="CA146" s="117">
        <f t="shared" si="99"/>
        <v>460.9025551</v>
      </c>
      <c r="CB146" s="117">
        <f t="shared" si="99"/>
        <v>465.5115807</v>
      </c>
      <c r="CC146" s="117"/>
      <c r="CD146" s="117"/>
    </row>
    <row r="147" ht="15.75" customHeight="1">
      <c r="A147" s="292" t="s">
        <v>580</v>
      </c>
      <c r="B147" s="293">
        <f>1-SUM(B143:B146)</f>
        <v>0.1</v>
      </c>
      <c r="C147" s="247"/>
      <c r="D147" s="247"/>
      <c r="E147" s="247"/>
      <c r="F147" s="247"/>
      <c r="G147" s="247"/>
      <c r="H147" s="247"/>
      <c r="I147" s="247"/>
      <c r="J147" s="247"/>
      <c r="K147" s="247"/>
      <c r="L147" s="117"/>
      <c r="M147" s="117"/>
      <c r="N147" s="117"/>
      <c r="O147" s="117"/>
      <c r="P147" s="117"/>
      <c r="Q147" s="117"/>
      <c r="R147" s="117"/>
      <c r="S147" s="117"/>
      <c r="T147" s="117">
        <f t="shared" ref="T147:CB147" si="100">T$142*$B147</f>
        <v>3574.38</v>
      </c>
      <c r="U147" s="117">
        <f t="shared" si="100"/>
        <v>1924.2</v>
      </c>
      <c r="V147" s="117">
        <f t="shared" si="100"/>
        <v>888.7297681</v>
      </c>
      <c r="W147" s="117">
        <f t="shared" si="100"/>
        <v>897.6170658</v>
      </c>
      <c r="X147" s="117">
        <f t="shared" si="100"/>
        <v>906.5932365</v>
      </c>
      <c r="Y147" s="117">
        <f t="shared" si="100"/>
        <v>7215</v>
      </c>
      <c r="Z147" s="117">
        <f t="shared" si="100"/>
        <v>924.8157605</v>
      </c>
      <c r="AA147" s="117">
        <f t="shared" si="100"/>
        <v>934.0639181</v>
      </c>
      <c r="AB147" s="117">
        <f t="shared" si="100"/>
        <v>943.4045573</v>
      </c>
      <c r="AC147" s="117">
        <f t="shared" si="100"/>
        <v>7410</v>
      </c>
      <c r="AD147" s="117">
        <f t="shared" si="100"/>
        <v>962.3669889</v>
      </c>
      <c r="AE147" s="117">
        <f t="shared" si="100"/>
        <v>971.9906588</v>
      </c>
      <c r="AF147" s="117">
        <f t="shared" si="100"/>
        <v>981.7105654</v>
      </c>
      <c r="AG147" s="117">
        <f t="shared" si="100"/>
        <v>7839</v>
      </c>
      <c r="AH147" s="117">
        <f t="shared" si="100"/>
        <v>294.5420435</v>
      </c>
      <c r="AI147" s="117">
        <f t="shared" si="100"/>
        <v>297.4874639</v>
      </c>
      <c r="AJ147" s="117">
        <f t="shared" si="100"/>
        <v>300.4623385</v>
      </c>
      <c r="AK147" s="117">
        <f t="shared" si="100"/>
        <v>8034</v>
      </c>
      <c r="AL147" s="117">
        <f t="shared" si="100"/>
        <v>306.5016315</v>
      </c>
      <c r="AM147" s="117">
        <f t="shared" si="100"/>
        <v>309.5666479</v>
      </c>
      <c r="AN147" s="117">
        <f t="shared" si="100"/>
        <v>312.6623143</v>
      </c>
      <c r="AO147" s="117">
        <f t="shared" si="100"/>
        <v>8229</v>
      </c>
      <c r="AP147" s="117">
        <f t="shared" si="100"/>
        <v>318.9468268</v>
      </c>
      <c r="AQ147" s="117">
        <f t="shared" si="100"/>
        <v>322.1362951</v>
      </c>
      <c r="AR147" s="117">
        <f t="shared" si="100"/>
        <v>325.3576581</v>
      </c>
      <c r="AS147" s="117">
        <f t="shared" si="100"/>
        <v>8385</v>
      </c>
      <c r="AT147" s="117">
        <f t="shared" si="100"/>
        <v>331.897347</v>
      </c>
      <c r="AU147" s="117">
        <f t="shared" si="100"/>
        <v>335.2163205</v>
      </c>
      <c r="AV147" s="117">
        <f t="shared" si="100"/>
        <v>338.5684837</v>
      </c>
      <c r="AW147" s="117">
        <f t="shared" si="100"/>
        <v>8775</v>
      </c>
      <c r="AX147" s="117">
        <f t="shared" si="100"/>
        <v>345.3737102</v>
      </c>
      <c r="AY147" s="117">
        <f t="shared" si="100"/>
        <v>348.8274473</v>
      </c>
      <c r="AZ147" s="117">
        <f t="shared" si="100"/>
        <v>352.3157218</v>
      </c>
      <c r="BA147" s="117">
        <f t="shared" si="100"/>
        <v>9048</v>
      </c>
      <c r="BB147" s="117">
        <f t="shared" si="100"/>
        <v>359.3972678</v>
      </c>
      <c r="BC147" s="117">
        <f t="shared" si="100"/>
        <v>362.9912405</v>
      </c>
      <c r="BD147" s="117">
        <f t="shared" si="100"/>
        <v>366.6211529</v>
      </c>
      <c r="BE147" s="117">
        <f t="shared" si="100"/>
        <v>9321</v>
      </c>
      <c r="BF147" s="117">
        <f t="shared" si="100"/>
        <v>373.990238</v>
      </c>
      <c r="BG147" s="117">
        <f t="shared" si="100"/>
        <v>377.7301404</v>
      </c>
      <c r="BH147" s="117">
        <f t="shared" si="100"/>
        <v>381.5074418</v>
      </c>
      <c r="BI147" s="117">
        <f t="shared" si="100"/>
        <v>10452</v>
      </c>
      <c r="BJ147" s="117">
        <f t="shared" si="100"/>
        <v>389.1757414</v>
      </c>
      <c r="BK147" s="117">
        <f t="shared" si="100"/>
        <v>393.0674988</v>
      </c>
      <c r="BL147" s="117">
        <f t="shared" si="100"/>
        <v>396.9981738</v>
      </c>
      <c r="BM147" s="117">
        <f t="shared" si="100"/>
        <v>10764</v>
      </c>
      <c r="BN147" s="117">
        <f t="shared" si="100"/>
        <v>404.9778371</v>
      </c>
      <c r="BO147" s="117">
        <f t="shared" si="100"/>
        <v>409.0276155</v>
      </c>
      <c r="BP147" s="117">
        <f t="shared" si="100"/>
        <v>413.1178916</v>
      </c>
      <c r="BQ147" s="117">
        <f t="shared" si="100"/>
        <v>10998</v>
      </c>
      <c r="BR147" s="117">
        <f t="shared" si="100"/>
        <v>421.4215612</v>
      </c>
      <c r="BS147" s="117">
        <f t="shared" si="100"/>
        <v>425.6357768</v>
      </c>
      <c r="BT147" s="117">
        <f t="shared" si="100"/>
        <v>429.8921346</v>
      </c>
      <c r="BU147" s="117">
        <f t="shared" si="100"/>
        <v>11310</v>
      </c>
      <c r="BV147" s="117">
        <f t="shared" si="100"/>
        <v>438.5329665</v>
      </c>
      <c r="BW147" s="117">
        <f t="shared" si="100"/>
        <v>442.9182962</v>
      </c>
      <c r="BX147" s="117">
        <f t="shared" si="100"/>
        <v>447.3474791</v>
      </c>
      <c r="BY147" s="117">
        <f t="shared" si="100"/>
        <v>11466</v>
      </c>
      <c r="BZ147" s="117">
        <f t="shared" si="100"/>
        <v>456.3391635</v>
      </c>
      <c r="CA147" s="117">
        <f t="shared" si="100"/>
        <v>460.9025551</v>
      </c>
      <c r="CB147" s="117">
        <f t="shared" si="100"/>
        <v>465.5115807</v>
      </c>
      <c r="CC147" s="117"/>
      <c r="CD147" s="117"/>
    </row>
    <row r="148" ht="15.75" customHeight="1">
      <c r="A148" s="272" t="s">
        <v>581</v>
      </c>
      <c r="B148" s="294">
        <f>SUM(B101,B110,B119,B128,B135,B142)</f>
        <v>2</v>
      </c>
      <c r="C148" s="121">
        <f t="shared" ref="C148:N148" si="101">SUM(C128:C147)</f>
        <v>5230</v>
      </c>
      <c r="D148" s="121">
        <f t="shared" si="101"/>
        <v>5386</v>
      </c>
      <c r="E148" s="121">
        <f t="shared" si="101"/>
        <v>5139</v>
      </c>
      <c r="F148" s="121">
        <f t="shared" si="101"/>
        <v>4284</v>
      </c>
      <c r="G148" s="121">
        <f t="shared" si="101"/>
        <v>5026</v>
      </c>
      <c r="H148" s="121">
        <f t="shared" si="101"/>
        <v>5361</v>
      </c>
      <c r="I148" s="121">
        <f t="shared" si="101"/>
        <v>4287</v>
      </c>
      <c r="J148" s="121">
        <f t="shared" si="101"/>
        <v>6096</v>
      </c>
      <c r="K148" s="121">
        <f t="shared" si="101"/>
        <v>4577</v>
      </c>
      <c r="L148" s="121">
        <f t="shared" si="101"/>
        <v>6220</v>
      </c>
      <c r="M148" s="121">
        <f t="shared" si="101"/>
        <v>5906</v>
      </c>
      <c r="N148" s="121">
        <f t="shared" si="101"/>
        <v>5480</v>
      </c>
      <c r="O148" s="121">
        <f t="shared" ref="O148:CB148" si="102">SUM(O101,O110,O119,O128,O135,O142,)</f>
        <v>9373</v>
      </c>
      <c r="P148" s="121">
        <f t="shared" si="102"/>
        <v>7857</v>
      </c>
      <c r="Q148" s="121">
        <f t="shared" si="102"/>
        <v>12796</v>
      </c>
      <c r="R148" s="121">
        <f t="shared" si="102"/>
        <v>10585</v>
      </c>
      <c r="S148" s="121">
        <f t="shared" si="102"/>
        <v>9622</v>
      </c>
      <c r="T148" s="121">
        <f t="shared" si="102"/>
        <v>75258.035</v>
      </c>
      <c r="U148" s="121">
        <f t="shared" si="102"/>
        <v>49323.5385</v>
      </c>
      <c r="V148" s="121">
        <f t="shared" si="102"/>
        <v>32238.23669</v>
      </c>
      <c r="W148" s="121">
        <f t="shared" si="102"/>
        <v>32560.61905</v>
      </c>
      <c r="X148" s="121">
        <f t="shared" si="102"/>
        <v>32886.22524</v>
      </c>
      <c r="Y148" s="121">
        <f t="shared" si="102"/>
        <v>138204.1013</v>
      </c>
      <c r="Z148" s="121">
        <f t="shared" si="102"/>
        <v>33547.23837</v>
      </c>
      <c r="AA148" s="121">
        <f t="shared" si="102"/>
        <v>33882.71076</v>
      </c>
      <c r="AB148" s="121">
        <f t="shared" si="102"/>
        <v>34221.53786</v>
      </c>
      <c r="AC148" s="121">
        <f t="shared" si="102"/>
        <v>142183.1099</v>
      </c>
      <c r="AD148" s="121">
        <f t="shared" si="102"/>
        <v>34909.39077</v>
      </c>
      <c r="AE148" s="121">
        <f t="shared" si="102"/>
        <v>35258.48468</v>
      </c>
      <c r="AF148" s="121">
        <f t="shared" si="102"/>
        <v>35611.06953</v>
      </c>
      <c r="AG148" s="121">
        <f t="shared" si="102"/>
        <v>150091.719</v>
      </c>
      <c r="AH148" s="121">
        <f t="shared" si="102"/>
        <v>24545.17029</v>
      </c>
      <c r="AI148" s="121">
        <f t="shared" si="102"/>
        <v>24790.62199</v>
      </c>
      <c r="AJ148" s="121">
        <f t="shared" si="102"/>
        <v>25038.52821</v>
      </c>
      <c r="AK148" s="121">
        <f t="shared" si="102"/>
        <v>154131.1308</v>
      </c>
      <c r="AL148" s="121">
        <f t="shared" si="102"/>
        <v>25541.80263</v>
      </c>
      <c r="AM148" s="121">
        <f t="shared" si="102"/>
        <v>25797.22065</v>
      </c>
      <c r="AN148" s="121">
        <f t="shared" si="102"/>
        <v>26055.19286</v>
      </c>
      <c r="AO148" s="121">
        <f t="shared" si="102"/>
        <v>158202.5958</v>
      </c>
      <c r="AP148" s="121">
        <f t="shared" si="102"/>
        <v>26578.90224</v>
      </c>
      <c r="AQ148" s="121">
        <f t="shared" si="102"/>
        <v>26844.69126</v>
      </c>
      <c r="AR148" s="121">
        <f t="shared" si="102"/>
        <v>27113.13817</v>
      </c>
      <c r="AS148" s="121">
        <f t="shared" si="102"/>
        <v>161657.4156</v>
      </c>
      <c r="AT148" s="121">
        <f t="shared" si="102"/>
        <v>27658.11225</v>
      </c>
      <c r="AU148" s="121">
        <f t="shared" si="102"/>
        <v>27934.69337</v>
      </c>
      <c r="AV148" s="121">
        <f t="shared" si="102"/>
        <v>28214.04031</v>
      </c>
      <c r="AW148" s="121">
        <f t="shared" si="102"/>
        <v>169046.9446</v>
      </c>
      <c r="AX148" s="121">
        <f t="shared" si="102"/>
        <v>28781.14252</v>
      </c>
      <c r="AY148" s="121">
        <f t="shared" si="102"/>
        <v>29068.95394</v>
      </c>
      <c r="AZ148" s="121">
        <f t="shared" si="102"/>
        <v>29359.64348</v>
      </c>
      <c r="BA148" s="121">
        <f t="shared" si="102"/>
        <v>174522.5919</v>
      </c>
      <c r="BB148" s="121">
        <f t="shared" si="102"/>
        <v>29949.77231</v>
      </c>
      <c r="BC148" s="121">
        <f t="shared" si="102"/>
        <v>30249.27004</v>
      </c>
      <c r="BD148" s="121">
        <f t="shared" si="102"/>
        <v>30551.76274</v>
      </c>
      <c r="BE148" s="121">
        <f t="shared" si="102"/>
        <v>180035.8243</v>
      </c>
      <c r="BF148" s="121">
        <f t="shared" si="102"/>
        <v>31165.85317</v>
      </c>
      <c r="BG148" s="121">
        <f t="shared" si="102"/>
        <v>31477.5117</v>
      </c>
      <c r="BH148" s="121">
        <f t="shared" si="102"/>
        <v>31792.28682</v>
      </c>
      <c r="BI148" s="121">
        <f t="shared" si="102"/>
        <v>199888.1677</v>
      </c>
      <c r="BJ148" s="121">
        <f t="shared" si="102"/>
        <v>32431.31178</v>
      </c>
      <c r="BK148" s="121">
        <f t="shared" si="102"/>
        <v>32755.6249</v>
      </c>
      <c r="BL148" s="121">
        <f t="shared" si="102"/>
        <v>33083.18115</v>
      </c>
      <c r="BM148" s="121">
        <f t="shared" si="102"/>
        <v>206131.2104</v>
      </c>
      <c r="BN148" s="121">
        <f t="shared" si="102"/>
        <v>33748.15309</v>
      </c>
      <c r="BO148" s="121">
        <f t="shared" si="102"/>
        <v>34085.63462</v>
      </c>
      <c r="BP148" s="121">
        <f t="shared" si="102"/>
        <v>34426.49097</v>
      </c>
      <c r="BQ148" s="121">
        <f t="shared" si="102"/>
        <v>211116.6047</v>
      </c>
      <c r="BR148" s="121">
        <f t="shared" si="102"/>
        <v>35118.46344</v>
      </c>
      <c r="BS148" s="121">
        <f t="shared" si="102"/>
        <v>35469.64807</v>
      </c>
      <c r="BT148" s="121">
        <f t="shared" si="102"/>
        <v>35824.34455</v>
      </c>
      <c r="BU148" s="121">
        <f t="shared" si="102"/>
        <v>217446.0704</v>
      </c>
      <c r="BV148" s="121">
        <f t="shared" si="102"/>
        <v>36544.41388</v>
      </c>
      <c r="BW148" s="121">
        <f t="shared" si="102"/>
        <v>36909.85802</v>
      </c>
      <c r="BX148" s="121">
        <f t="shared" si="102"/>
        <v>37278.9566</v>
      </c>
      <c r="BY148" s="121">
        <f t="shared" si="102"/>
        <v>221221.3969</v>
      </c>
      <c r="BZ148" s="121">
        <f t="shared" si="102"/>
        <v>38028.26362</v>
      </c>
      <c r="CA148" s="121">
        <f t="shared" si="102"/>
        <v>38408.54626</v>
      </c>
      <c r="CB148" s="121">
        <f t="shared" si="102"/>
        <v>38792.63172</v>
      </c>
      <c r="CC148" s="118"/>
      <c r="CD148" s="118"/>
    </row>
    <row r="149" ht="15.75" customHeight="1">
      <c r="B149" s="6"/>
      <c r="D149" s="130">
        <f t="shared" ref="D149:CB149" si="103">D148/C148-1</f>
        <v>0.02982791587</v>
      </c>
      <c r="E149" s="130">
        <f t="shared" si="103"/>
        <v>-0.04585963609</v>
      </c>
      <c r="F149" s="130">
        <f t="shared" si="103"/>
        <v>-0.1663747811</v>
      </c>
      <c r="G149" s="130">
        <f t="shared" si="103"/>
        <v>0.1732026144</v>
      </c>
      <c r="H149" s="130">
        <f t="shared" si="103"/>
        <v>0.06665340231</v>
      </c>
      <c r="I149" s="130">
        <f t="shared" si="103"/>
        <v>-0.2003357583</v>
      </c>
      <c r="J149" s="130">
        <f t="shared" si="103"/>
        <v>0.421973408</v>
      </c>
      <c r="K149" s="130">
        <f t="shared" si="103"/>
        <v>-0.24917979</v>
      </c>
      <c r="L149" s="130">
        <f t="shared" si="103"/>
        <v>0.3589687568</v>
      </c>
      <c r="M149" s="130">
        <f t="shared" si="103"/>
        <v>-0.05048231511</v>
      </c>
      <c r="N149" s="130">
        <f t="shared" si="103"/>
        <v>-0.07213003725</v>
      </c>
      <c r="O149" s="130">
        <f t="shared" si="103"/>
        <v>0.7104014599</v>
      </c>
      <c r="P149" s="130">
        <f t="shared" si="103"/>
        <v>-0.1617411714</v>
      </c>
      <c r="Q149" s="130">
        <f t="shared" si="103"/>
        <v>0.6286114293</v>
      </c>
      <c r="R149" s="130">
        <f t="shared" si="103"/>
        <v>-0.1727883714</v>
      </c>
      <c r="S149" s="130">
        <f t="shared" si="103"/>
        <v>-0.09097779877</v>
      </c>
      <c r="T149" s="130">
        <f t="shared" si="103"/>
        <v>6.821454479</v>
      </c>
      <c r="U149" s="130">
        <f t="shared" si="103"/>
        <v>-0.3446076754</v>
      </c>
      <c r="V149" s="130">
        <f t="shared" si="103"/>
        <v>-0.3463924595</v>
      </c>
      <c r="W149" s="130">
        <f t="shared" si="103"/>
        <v>0.01</v>
      </c>
      <c r="X149" s="130">
        <f t="shared" si="103"/>
        <v>0.01</v>
      </c>
      <c r="Y149" s="130">
        <f t="shared" si="103"/>
        <v>3.202492087</v>
      </c>
      <c r="Z149" s="130">
        <f t="shared" si="103"/>
        <v>-0.7572630765</v>
      </c>
      <c r="AA149" s="130">
        <f t="shared" si="103"/>
        <v>0.01</v>
      </c>
      <c r="AB149" s="130">
        <f t="shared" si="103"/>
        <v>0.01</v>
      </c>
      <c r="AC149" s="130">
        <f t="shared" si="103"/>
        <v>3.154784347</v>
      </c>
      <c r="AD149" s="130">
        <f t="shared" si="103"/>
        <v>-0.7544758248</v>
      </c>
      <c r="AE149" s="130">
        <f t="shared" si="103"/>
        <v>0.01</v>
      </c>
      <c r="AF149" s="130">
        <f t="shared" si="103"/>
        <v>0.01</v>
      </c>
      <c r="AG149" s="130">
        <f t="shared" si="103"/>
        <v>3.214748982</v>
      </c>
      <c r="AH149" s="130">
        <f t="shared" si="103"/>
        <v>-0.8364655262</v>
      </c>
      <c r="AI149" s="130">
        <f t="shared" si="103"/>
        <v>0.01</v>
      </c>
      <c r="AJ149" s="130">
        <f t="shared" si="103"/>
        <v>0.01</v>
      </c>
      <c r="AK149" s="130">
        <f t="shared" si="103"/>
        <v>5.155758417</v>
      </c>
      <c r="AL149" s="130">
        <f t="shared" si="103"/>
        <v>-0.8342852447</v>
      </c>
      <c r="AM149" s="130">
        <f t="shared" si="103"/>
        <v>0.01</v>
      </c>
      <c r="AN149" s="130">
        <f t="shared" si="103"/>
        <v>0.01</v>
      </c>
      <c r="AO149" s="130">
        <f t="shared" si="103"/>
        <v>5.071825938</v>
      </c>
      <c r="AP149" s="130">
        <f t="shared" si="103"/>
        <v>-0.8319945251</v>
      </c>
      <c r="AQ149" s="130">
        <f t="shared" si="103"/>
        <v>0.01</v>
      </c>
      <c r="AR149" s="130">
        <f t="shared" si="103"/>
        <v>0.01</v>
      </c>
      <c r="AS149" s="130">
        <f t="shared" si="103"/>
        <v>4.962327733</v>
      </c>
      <c r="AT149" s="130">
        <f t="shared" si="103"/>
        <v>-0.828909103</v>
      </c>
      <c r="AU149" s="130">
        <f t="shared" si="103"/>
        <v>0.01</v>
      </c>
      <c r="AV149" s="130">
        <f t="shared" si="103"/>
        <v>0.01</v>
      </c>
      <c r="AW149" s="130">
        <f t="shared" si="103"/>
        <v>4.991589391</v>
      </c>
      <c r="AX149" s="130">
        <f t="shared" si="103"/>
        <v>-0.8297446748</v>
      </c>
      <c r="AY149" s="130">
        <f t="shared" si="103"/>
        <v>0.01</v>
      </c>
      <c r="AZ149" s="130">
        <f t="shared" si="103"/>
        <v>0.01</v>
      </c>
      <c r="BA149" s="130">
        <f t="shared" si="103"/>
        <v>4.944302152</v>
      </c>
      <c r="BB149" s="130">
        <f t="shared" si="103"/>
        <v>-0.8283902847</v>
      </c>
      <c r="BC149" s="130">
        <f t="shared" si="103"/>
        <v>0.01</v>
      </c>
      <c r="BD149" s="130">
        <f t="shared" si="103"/>
        <v>0.01</v>
      </c>
      <c r="BE149" s="130">
        <f t="shared" si="103"/>
        <v>4.892812989</v>
      </c>
      <c r="BF149" s="130">
        <f t="shared" si="103"/>
        <v>-0.8268908241</v>
      </c>
      <c r="BG149" s="130">
        <f t="shared" si="103"/>
        <v>0.01</v>
      </c>
      <c r="BH149" s="130">
        <f t="shared" si="103"/>
        <v>0.01</v>
      </c>
      <c r="BI149" s="130">
        <f t="shared" si="103"/>
        <v>5.287316445</v>
      </c>
      <c r="BJ149" s="130">
        <f t="shared" si="103"/>
        <v>-0.8377527187</v>
      </c>
      <c r="BK149" s="130">
        <f t="shared" si="103"/>
        <v>0.01</v>
      </c>
      <c r="BL149" s="130">
        <f t="shared" si="103"/>
        <v>0.01</v>
      </c>
      <c r="BM149" s="130">
        <f t="shared" si="103"/>
        <v>5.23069497</v>
      </c>
      <c r="BN149" s="130">
        <f t="shared" si="103"/>
        <v>-0.8362782956</v>
      </c>
      <c r="BO149" s="130">
        <f t="shared" si="103"/>
        <v>0.01</v>
      </c>
      <c r="BP149" s="130">
        <f t="shared" si="103"/>
        <v>0.01</v>
      </c>
      <c r="BQ149" s="130">
        <f t="shared" si="103"/>
        <v>5.132388134</v>
      </c>
      <c r="BR149" s="130">
        <f t="shared" si="103"/>
        <v>-0.8336537124</v>
      </c>
      <c r="BS149" s="130">
        <f t="shared" si="103"/>
        <v>0.01</v>
      </c>
      <c r="BT149" s="130">
        <f t="shared" si="103"/>
        <v>0.01</v>
      </c>
      <c r="BU149" s="130">
        <f t="shared" si="103"/>
        <v>5.069785034</v>
      </c>
      <c r="BV149" s="130">
        <f t="shared" si="103"/>
        <v>-0.831938035</v>
      </c>
      <c r="BW149" s="130">
        <f t="shared" si="103"/>
        <v>0.01</v>
      </c>
      <c r="BX149" s="130">
        <f t="shared" si="103"/>
        <v>0.01</v>
      </c>
      <c r="BY149" s="130">
        <f t="shared" si="103"/>
        <v>4.934216436</v>
      </c>
      <c r="BZ149" s="130">
        <f t="shared" si="103"/>
        <v>-0.8280986191</v>
      </c>
      <c r="CA149" s="130">
        <f t="shared" si="103"/>
        <v>0.01</v>
      </c>
      <c r="CB149" s="130">
        <f t="shared" si="103"/>
        <v>0.01</v>
      </c>
      <c r="CC149" s="130"/>
      <c r="CD149" s="130"/>
    </row>
    <row r="150" ht="15.75" customHeight="1">
      <c r="B150" s="6"/>
      <c r="N150" s="1">
        <v>19.0</v>
      </c>
    </row>
    <row r="151" ht="15.75" customHeight="1">
      <c r="B151" s="6"/>
    </row>
    <row r="152" ht="15.75" customHeight="1">
      <c r="A152" s="115" t="s">
        <v>112</v>
      </c>
      <c r="B152" s="6"/>
    </row>
    <row r="153" ht="15.75" customHeight="1">
      <c r="B153" s="6"/>
    </row>
    <row r="154" ht="15.75" customHeight="1">
      <c r="A154" s="1" t="s">
        <v>582</v>
      </c>
      <c r="B154" s="6"/>
      <c r="C154" s="247">
        <f t="shared" ref="C154:S154" si="104">C161</f>
        <v>6084</v>
      </c>
      <c r="D154" s="247">
        <f t="shared" si="104"/>
        <v>5100</v>
      </c>
      <c r="E154" s="247">
        <f t="shared" si="104"/>
        <v>7906</v>
      </c>
      <c r="F154" s="247">
        <f t="shared" si="104"/>
        <v>6613</v>
      </c>
      <c r="G154" s="247">
        <f t="shared" si="104"/>
        <v>5701</v>
      </c>
      <c r="H154" s="247">
        <f t="shared" si="104"/>
        <v>8468</v>
      </c>
      <c r="I154" s="247">
        <f t="shared" si="104"/>
        <v>7531</v>
      </c>
      <c r="J154" s="247">
        <f t="shared" si="104"/>
        <v>8156</v>
      </c>
      <c r="K154" s="247">
        <f t="shared" si="104"/>
        <v>6768</v>
      </c>
      <c r="L154" s="247">
        <f t="shared" si="104"/>
        <v>5077</v>
      </c>
      <c r="M154" s="247">
        <f t="shared" si="104"/>
        <v>8135</v>
      </c>
      <c r="N154" s="247">
        <f t="shared" si="104"/>
        <v>7578</v>
      </c>
      <c r="O154" s="247">
        <f t="shared" si="104"/>
        <v>7035</v>
      </c>
      <c r="P154" s="247">
        <f t="shared" si="104"/>
        <v>6688</v>
      </c>
      <c r="Q154" s="247">
        <f t="shared" si="104"/>
        <v>8101</v>
      </c>
      <c r="R154" s="247">
        <f t="shared" si="104"/>
        <v>7737</v>
      </c>
      <c r="S154" s="247">
        <f t="shared" si="104"/>
        <v>6384</v>
      </c>
      <c r="T154" s="117">
        <f t="shared" ref="T154:CB154" si="105">S154+T155</f>
        <v>2384</v>
      </c>
      <c r="U154" s="117">
        <f t="shared" si="105"/>
        <v>2384</v>
      </c>
      <c r="V154" s="117">
        <f t="shared" si="105"/>
        <v>2384</v>
      </c>
      <c r="W154" s="117">
        <f t="shared" si="105"/>
        <v>2384</v>
      </c>
      <c r="X154" s="117">
        <f t="shared" si="105"/>
        <v>2384</v>
      </c>
      <c r="Y154" s="117">
        <f t="shared" si="105"/>
        <v>2384</v>
      </c>
      <c r="Z154" s="117">
        <f t="shared" si="105"/>
        <v>2384</v>
      </c>
      <c r="AA154" s="117">
        <f t="shared" si="105"/>
        <v>2384</v>
      </c>
      <c r="AB154" s="117">
        <f t="shared" si="105"/>
        <v>2384</v>
      </c>
      <c r="AC154" s="117">
        <f t="shared" si="105"/>
        <v>2384</v>
      </c>
      <c r="AD154" s="117">
        <f t="shared" si="105"/>
        <v>2384</v>
      </c>
      <c r="AE154" s="117">
        <f t="shared" si="105"/>
        <v>2384</v>
      </c>
      <c r="AF154" s="117">
        <f t="shared" si="105"/>
        <v>2384</v>
      </c>
      <c r="AG154" s="117">
        <f t="shared" si="105"/>
        <v>4884</v>
      </c>
      <c r="AH154" s="117">
        <f t="shared" si="105"/>
        <v>4884</v>
      </c>
      <c r="AI154" s="117">
        <f t="shared" si="105"/>
        <v>4884</v>
      </c>
      <c r="AJ154" s="117">
        <f t="shared" si="105"/>
        <v>4884</v>
      </c>
      <c r="AK154" s="117">
        <f t="shared" si="105"/>
        <v>4884</v>
      </c>
      <c r="AL154" s="117">
        <f t="shared" si="105"/>
        <v>4884</v>
      </c>
      <c r="AM154" s="117">
        <f t="shared" si="105"/>
        <v>7384</v>
      </c>
      <c r="AN154" s="117">
        <f t="shared" si="105"/>
        <v>7384</v>
      </c>
      <c r="AO154" s="117">
        <f t="shared" si="105"/>
        <v>7384</v>
      </c>
      <c r="AP154" s="117">
        <f t="shared" si="105"/>
        <v>7384</v>
      </c>
      <c r="AQ154" s="117">
        <f t="shared" si="105"/>
        <v>7384</v>
      </c>
      <c r="AR154" s="117">
        <f t="shared" si="105"/>
        <v>7384</v>
      </c>
      <c r="AS154" s="117">
        <f t="shared" si="105"/>
        <v>9884</v>
      </c>
      <c r="AT154" s="117">
        <f t="shared" si="105"/>
        <v>9884</v>
      </c>
      <c r="AU154" s="117">
        <f t="shared" si="105"/>
        <v>9884</v>
      </c>
      <c r="AV154" s="117">
        <f t="shared" si="105"/>
        <v>9884</v>
      </c>
      <c r="AW154" s="117">
        <f t="shared" si="105"/>
        <v>9884</v>
      </c>
      <c r="AX154" s="117">
        <f t="shared" si="105"/>
        <v>9884</v>
      </c>
      <c r="AY154" s="117">
        <f t="shared" si="105"/>
        <v>12384</v>
      </c>
      <c r="AZ154" s="117">
        <f t="shared" si="105"/>
        <v>12384</v>
      </c>
      <c r="BA154" s="117">
        <f t="shared" si="105"/>
        <v>12384</v>
      </c>
      <c r="BB154" s="117">
        <f t="shared" si="105"/>
        <v>12384</v>
      </c>
      <c r="BC154" s="117">
        <f t="shared" si="105"/>
        <v>12384</v>
      </c>
      <c r="BD154" s="117">
        <f t="shared" si="105"/>
        <v>12384</v>
      </c>
      <c r="BE154" s="117">
        <f t="shared" si="105"/>
        <v>14884</v>
      </c>
      <c r="BF154" s="117">
        <f t="shared" si="105"/>
        <v>14884</v>
      </c>
      <c r="BG154" s="117">
        <f t="shared" si="105"/>
        <v>14884</v>
      </c>
      <c r="BH154" s="117">
        <f t="shared" si="105"/>
        <v>14884</v>
      </c>
      <c r="BI154" s="117">
        <f t="shared" si="105"/>
        <v>14884</v>
      </c>
      <c r="BJ154" s="117">
        <f t="shared" si="105"/>
        <v>14884</v>
      </c>
      <c r="BK154" s="117">
        <f t="shared" si="105"/>
        <v>17384</v>
      </c>
      <c r="BL154" s="117">
        <f t="shared" si="105"/>
        <v>17384</v>
      </c>
      <c r="BM154" s="117">
        <f t="shared" si="105"/>
        <v>17384</v>
      </c>
      <c r="BN154" s="117">
        <f t="shared" si="105"/>
        <v>17384</v>
      </c>
      <c r="BO154" s="117">
        <f t="shared" si="105"/>
        <v>17384</v>
      </c>
      <c r="BP154" s="117">
        <f t="shared" si="105"/>
        <v>17384</v>
      </c>
      <c r="BQ154" s="117">
        <f t="shared" si="105"/>
        <v>19884</v>
      </c>
      <c r="BR154" s="117">
        <f t="shared" si="105"/>
        <v>19884</v>
      </c>
      <c r="BS154" s="117">
        <f t="shared" si="105"/>
        <v>19884</v>
      </c>
      <c r="BT154" s="117">
        <f t="shared" si="105"/>
        <v>19884</v>
      </c>
      <c r="BU154" s="117">
        <f t="shared" si="105"/>
        <v>19884</v>
      </c>
      <c r="BV154" s="117">
        <f t="shared" si="105"/>
        <v>19884</v>
      </c>
      <c r="BW154" s="117">
        <f t="shared" si="105"/>
        <v>22384</v>
      </c>
      <c r="BX154" s="117">
        <f t="shared" si="105"/>
        <v>22384</v>
      </c>
      <c r="BY154" s="117">
        <f t="shared" si="105"/>
        <v>22384</v>
      </c>
      <c r="BZ154" s="117">
        <f t="shared" si="105"/>
        <v>22384</v>
      </c>
      <c r="CA154" s="117">
        <f t="shared" si="105"/>
        <v>22384</v>
      </c>
      <c r="CB154" s="117">
        <f t="shared" si="105"/>
        <v>22384</v>
      </c>
      <c r="CC154" s="117"/>
      <c r="CD154" s="117"/>
    </row>
    <row r="155" ht="15.75" customHeight="1">
      <c r="A155" s="1" t="s">
        <v>516</v>
      </c>
      <c r="B155" s="6"/>
      <c r="C155" s="247"/>
      <c r="D155" s="247"/>
      <c r="E155" s="247"/>
      <c r="F155" s="247"/>
      <c r="G155" s="247"/>
      <c r="H155" s="249"/>
      <c r="I155" s="249"/>
      <c r="J155" s="249"/>
      <c r="K155" s="249"/>
      <c r="L155" s="249"/>
      <c r="M155" s="249"/>
      <c r="N155" s="249"/>
      <c r="O155" s="249"/>
      <c r="P155" s="249"/>
      <c r="Q155" s="249"/>
      <c r="R155" s="249"/>
      <c r="S155" s="249"/>
      <c r="T155" s="249">
        <v>-4000.0</v>
      </c>
      <c r="U155" s="249">
        <v>0.0</v>
      </c>
      <c r="V155" s="249"/>
      <c r="W155" s="249"/>
      <c r="X155" s="249"/>
      <c r="Y155" s="249"/>
      <c r="Z155" s="249"/>
      <c r="AA155" s="249">
        <v>0.0</v>
      </c>
      <c r="AB155" s="249"/>
      <c r="AC155" s="249"/>
      <c r="AD155" s="249"/>
      <c r="AE155" s="249"/>
      <c r="AF155" s="249"/>
      <c r="AG155" s="249">
        <v>2500.0</v>
      </c>
      <c r="AH155" s="249"/>
      <c r="AI155" s="249"/>
      <c r="AJ155" s="249"/>
      <c r="AK155" s="249"/>
      <c r="AL155" s="249"/>
      <c r="AM155" s="249">
        <v>2500.0</v>
      </c>
      <c r="AN155" s="249"/>
      <c r="AO155" s="249"/>
      <c r="AP155" s="249"/>
      <c r="AQ155" s="249"/>
      <c r="AR155" s="249"/>
      <c r="AS155" s="249">
        <v>2500.0</v>
      </c>
      <c r="AT155" s="249"/>
      <c r="AU155" s="249"/>
      <c r="AV155" s="249"/>
      <c r="AW155" s="249"/>
      <c r="AX155" s="249"/>
      <c r="AY155" s="249">
        <v>2500.0</v>
      </c>
      <c r="AZ155" s="249"/>
      <c r="BA155" s="249"/>
      <c r="BB155" s="249"/>
      <c r="BC155" s="249"/>
      <c r="BD155" s="249"/>
      <c r="BE155" s="249">
        <v>2500.0</v>
      </c>
      <c r="BF155" s="249"/>
      <c r="BG155" s="249"/>
      <c r="BH155" s="249"/>
      <c r="BI155" s="249"/>
      <c r="BJ155" s="249"/>
      <c r="BK155" s="249">
        <v>2500.0</v>
      </c>
      <c r="BL155" s="249"/>
      <c r="BM155" s="249"/>
      <c r="BN155" s="249"/>
      <c r="BO155" s="249"/>
      <c r="BP155" s="249"/>
      <c r="BQ155" s="249">
        <v>2500.0</v>
      </c>
      <c r="BR155" s="249"/>
      <c r="BS155" s="249"/>
      <c r="BT155" s="249"/>
      <c r="BU155" s="249"/>
      <c r="BV155" s="249"/>
      <c r="BW155" s="249">
        <v>2500.0</v>
      </c>
      <c r="BX155" s="249"/>
      <c r="BY155" s="249"/>
      <c r="BZ155" s="249"/>
      <c r="CA155" s="249"/>
      <c r="CB155" s="249"/>
      <c r="CC155" s="249"/>
      <c r="CD155" s="249"/>
    </row>
    <row r="156" ht="15.75" customHeight="1">
      <c r="B156" s="6"/>
    </row>
    <row r="157" ht="15.75" customHeight="1">
      <c r="A157" s="132" t="s">
        <v>238</v>
      </c>
      <c r="B157" s="282">
        <f>1-SUM(B158:B160)</f>
        <v>0.57</v>
      </c>
      <c r="C157" s="247">
        <f t="array" ref="C157">INDEX('IS Proforma'!$1:$1048490,MATCH(Expenses!$A157,'IS Proforma'!$C:$C,0),MATCH(Expenses!C$4,'IS Proforma'!$4:$4))</f>
        <v>2304</v>
      </c>
      <c r="D157" s="247">
        <f t="array" ref="D157">INDEX('IS Proforma'!$1:$1048490,MATCH(Expenses!$A157,'IS Proforma'!$C:$C,0),MATCH(Expenses!D$4,'IS Proforma'!$4:$4))</f>
        <v>1013</v>
      </c>
      <c r="E157" s="247">
        <f t="array" ref="E157">INDEX('IS Proforma'!$1:$1048490,MATCH(Expenses!$A157,'IS Proforma'!$C:$C,0),MATCH(Expenses!E$4,'IS Proforma'!$4:$4))</f>
        <v>1838</v>
      </c>
      <c r="F157" s="247">
        <f t="array" ref="F157">INDEX('IS Proforma'!$1:$1048490,MATCH(Expenses!$A157,'IS Proforma'!$C:$C,0),MATCH(Expenses!F$4,'IS Proforma'!$4:$4))</f>
        <v>1803</v>
      </c>
      <c r="G157" s="247">
        <f t="array" ref="G157">INDEX('IS Proforma'!$1:$1048490,MATCH(Expenses!$A157,'IS Proforma'!$C:$C,0),MATCH(Expenses!G$4,'IS Proforma'!$4:$4))</f>
        <v>1359</v>
      </c>
      <c r="H157" s="247">
        <f t="array" ref="H157">INDEX('IS Proforma'!$1:$1048490,MATCH(Expenses!$A157,'IS Proforma'!$C:$C,0),MATCH(Expenses!H$4,'IS Proforma'!$4:$4))</f>
        <v>1587</v>
      </c>
      <c r="I157" s="247">
        <f t="array" ref="I157">INDEX('IS Proforma'!$1:$1048490,MATCH(Expenses!$A157,'IS Proforma'!$C:$C,0),MATCH(Expenses!I$4,'IS Proforma'!$4:$4))</f>
        <v>1747</v>
      </c>
      <c r="J157" s="247">
        <f t="array" ref="J157">INDEX('IS Proforma'!$1:$1048490,MATCH(Expenses!$A157,'IS Proforma'!$C:$C,0),MATCH(Expenses!J$4,'IS Proforma'!$4:$4))</f>
        <v>2224</v>
      </c>
      <c r="K157" s="247">
        <f t="array" ref="K157">INDEX('IS Proforma'!$1:$1048490,MATCH(Expenses!$A157,'IS Proforma'!$C:$C,0),MATCH(Expenses!K$4,'IS Proforma'!$4:$4))</f>
        <v>2108</v>
      </c>
      <c r="L157" s="247">
        <f t="array" ref="L157">INDEX('IS Proforma'!$1:$1048490,MATCH(Expenses!$A157,'IS Proforma'!$C:$C,0),MATCH(Expenses!L$4,'IS Proforma'!$4:$4))</f>
        <v>1305</v>
      </c>
      <c r="M157" s="247">
        <f t="array" ref="M157">INDEX('IS Proforma'!$1:$1048490,MATCH(Expenses!$A157,'IS Proforma'!$C:$C,0),MATCH(Expenses!M$4,'IS Proforma'!$4:$4))</f>
        <v>2169</v>
      </c>
      <c r="N157" s="247">
        <f t="array" ref="N157">INDEX('IS Proforma'!$1:$1048490,MATCH(Expenses!$A157,'IS Proforma'!$C:$C,0),MATCH(Expenses!N$4,'IS Proforma'!$4:$4))</f>
        <v>1093</v>
      </c>
      <c r="O157" s="247">
        <f t="array" ref="O157">INDEX('IS Proforma'!$1:$1048490,MATCH(Expenses!$A157,'IS Proforma'!$C:$C,0),MATCH(Expenses!O$4,'IS Proforma'!$4:$4))</f>
        <v>1197</v>
      </c>
      <c r="P157" s="247">
        <f t="array" ref="P157">INDEX('IS Proforma'!$1:$1048490,MATCH(Expenses!$A157,'IS Proforma'!$C:$C,0),MATCH(Expenses!P$4,'IS Proforma'!$4:$4))</f>
        <v>1714</v>
      </c>
      <c r="Q157" s="247">
        <f t="array" ref="Q157">INDEX('IS Proforma'!$1:$1048490,MATCH(Expenses!$A157,'IS Proforma'!$C:$C,0),MATCH(Expenses!Q$4,'IS Proforma'!$4:$4))</f>
        <v>1823</v>
      </c>
      <c r="R157" s="247">
        <f t="array" ref="R157">INDEX('IS Proforma'!$1:$1048490,MATCH(Expenses!$A157,'IS Proforma'!$C:$C,0),MATCH(Expenses!R$4,'IS Proforma'!$4:$4))</f>
        <v>1151</v>
      </c>
      <c r="S157" s="247">
        <f t="array" ref="S157">INDEX('IS Proforma'!$1:$1048490,MATCH(Expenses!$A157,'IS Proforma'!$C:$C,0),MATCH(Expenses!S$4,'IS Proforma'!$4:$4))</f>
        <v>1756</v>
      </c>
      <c r="T157" s="117">
        <f t="shared" ref="T157:CB157" si="106">T$154*$B157</f>
        <v>1358.88</v>
      </c>
      <c r="U157" s="117">
        <f t="shared" si="106"/>
        <v>1358.88</v>
      </c>
      <c r="V157" s="117">
        <f t="shared" si="106"/>
        <v>1358.88</v>
      </c>
      <c r="W157" s="117">
        <f t="shared" si="106"/>
        <v>1358.88</v>
      </c>
      <c r="X157" s="117">
        <f t="shared" si="106"/>
        <v>1358.88</v>
      </c>
      <c r="Y157" s="117">
        <f t="shared" si="106"/>
        <v>1358.88</v>
      </c>
      <c r="Z157" s="117">
        <f t="shared" si="106"/>
        <v>1358.88</v>
      </c>
      <c r="AA157" s="117">
        <f t="shared" si="106"/>
        <v>1358.88</v>
      </c>
      <c r="AB157" s="117">
        <f t="shared" si="106"/>
        <v>1358.88</v>
      </c>
      <c r="AC157" s="117">
        <f t="shared" si="106"/>
        <v>1358.88</v>
      </c>
      <c r="AD157" s="117">
        <f t="shared" si="106"/>
        <v>1358.88</v>
      </c>
      <c r="AE157" s="117">
        <f t="shared" si="106"/>
        <v>1358.88</v>
      </c>
      <c r="AF157" s="117">
        <f t="shared" si="106"/>
        <v>1358.88</v>
      </c>
      <c r="AG157" s="117">
        <f t="shared" si="106"/>
        <v>2783.88</v>
      </c>
      <c r="AH157" s="117">
        <f t="shared" si="106"/>
        <v>2783.88</v>
      </c>
      <c r="AI157" s="117">
        <f t="shared" si="106"/>
        <v>2783.88</v>
      </c>
      <c r="AJ157" s="117">
        <f t="shared" si="106"/>
        <v>2783.88</v>
      </c>
      <c r="AK157" s="117">
        <f t="shared" si="106"/>
        <v>2783.88</v>
      </c>
      <c r="AL157" s="117">
        <f t="shared" si="106"/>
        <v>2783.88</v>
      </c>
      <c r="AM157" s="117">
        <f t="shared" si="106"/>
        <v>4208.88</v>
      </c>
      <c r="AN157" s="117">
        <f t="shared" si="106"/>
        <v>4208.88</v>
      </c>
      <c r="AO157" s="117">
        <f t="shared" si="106"/>
        <v>4208.88</v>
      </c>
      <c r="AP157" s="117">
        <f t="shared" si="106"/>
        <v>4208.88</v>
      </c>
      <c r="AQ157" s="117">
        <f t="shared" si="106"/>
        <v>4208.88</v>
      </c>
      <c r="AR157" s="117">
        <f t="shared" si="106"/>
        <v>4208.88</v>
      </c>
      <c r="AS157" s="117">
        <f t="shared" si="106"/>
        <v>5633.88</v>
      </c>
      <c r="AT157" s="117">
        <f t="shared" si="106"/>
        <v>5633.88</v>
      </c>
      <c r="AU157" s="117">
        <f t="shared" si="106"/>
        <v>5633.88</v>
      </c>
      <c r="AV157" s="117">
        <f t="shared" si="106"/>
        <v>5633.88</v>
      </c>
      <c r="AW157" s="117">
        <f t="shared" si="106"/>
        <v>5633.88</v>
      </c>
      <c r="AX157" s="117">
        <f t="shared" si="106"/>
        <v>5633.88</v>
      </c>
      <c r="AY157" s="117">
        <f t="shared" si="106"/>
        <v>7058.88</v>
      </c>
      <c r="AZ157" s="117">
        <f t="shared" si="106"/>
        <v>7058.88</v>
      </c>
      <c r="BA157" s="117">
        <f t="shared" si="106"/>
        <v>7058.88</v>
      </c>
      <c r="BB157" s="117">
        <f t="shared" si="106"/>
        <v>7058.88</v>
      </c>
      <c r="BC157" s="117">
        <f t="shared" si="106"/>
        <v>7058.88</v>
      </c>
      <c r="BD157" s="117">
        <f t="shared" si="106"/>
        <v>7058.88</v>
      </c>
      <c r="BE157" s="117">
        <f t="shared" si="106"/>
        <v>8483.88</v>
      </c>
      <c r="BF157" s="117">
        <f t="shared" si="106"/>
        <v>8483.88</v>
      </c>
      <c r="BG157" s="117">
        <f t="shared" si="106"/>
        <v>8483.88</v>
      </c>
      <c r="BH157" s="117">
        <f t="shared" si="106"/>
        <v>8483.88</v>
      </c>
      <c r="BI157" s="117">
        <f t="shared" si="106"/>
        <v>8483.88</v>
      </c>
      <c r="BJ157" s="117">
        <f t="shared" si="106"/>
        <v>8483.88</v>
      </c>
      <c r="BK157" s="117">
        <f t="shared" si="106"/>
        <v>9908.88</v>
      </c>
      <c r="BL157" s="117">
        <f t="shared" si="106"/>
        <v>9908.88</v>
      </c>
      <c r="BM157" s="117">
        <f t="shared" si="106"/>
        <v>9908.88</v>
      </c>
      <c r="BN157" s="117">
        <f t="shared" si="106"/>
        <v>9908.88</v>
      </c>
      <c r="BO157" s="117">
        <f t="shared" si="106"/>
        <v>9908.88</v>
      </c>
      <c r="BP157" s="117">
        <f t="shared" si="106"/>
        <v>9908.88</v>
      </c>
      <c r="BQ157" s="117">
        <f t="shared" si="106"/>
        <v>11333.88</v>
      </c>
      <c r="BR157" s="117">
        <f t="shared" si="106"/>
        <v>11333.88</v>
      </c>
      <c r="BS157" s="117">
        <f t="shared" si="106"/>
        <v>11333.88</v>
      </c>
      <c r="BT157" s="117">
        <f t="shared" si="106"/>
        <v>11333.88</v>
      </c>
      <c r="BU157" s="117">
        <f t="shared" si="106"/>
        <v>11333.88</v>
      </c>
      <c r="BV157" s="117">
        <f t="shared" si="106"/>
        <v>11333.88</v>
      </c>
      <c r="BW157" s="117">
        <f t="shared" si="106"/>
        <v>12758.88</v>
      </c>
      <c r="BX157" s="117">
        <f t="shared" si="106"/>
        <v>12758.88</v>
      </c>
      <c r="BY157" s="117">
        <f t="shared" si="106"/>
        <v>12758.88</v>
      </c>
      <c r="BZ157" s="117">
        <f t="shared" si="106"/>
        <v>12758.88</v>
      </c>
      <c r="CA157" s="117">
        <f t="shared" si="106"/>
        <v>12758.88</v>
      </c>
      <c r="CB157" s="117">
        <f t="shared" si="106"/>
        <v>12758.88</v>
      </c>
      <c r="CC157" s="117"/>
      <c r="CD157" s="117"/>
    </row>
    <row r="158" ht="15.75" customHeight="1">
      <c r="A158" s="132" t="s">
        <v>239</v>
      </c>
      <c r="B158" s="283">
        <v>0.01</v>
      </c>
      <c r="C158" s="247">
        <f t="array" ref="C158">INDEX('IS Proforma'!$1:$1048490,MATCH(Expenses!$A158,'IS Proforma'!$C:$C,0),MATCH(Expenses!C$4,'IS Proforma'!$4:$4))</f>
        <v>1136</v>
      </c>
      <c r="D158" s="247">
        <f t="array" ref="D158">INDEX('IS Proforma'!$1:$1048490,MATCH(Expenses!$A158,'IS Proforma'!$C:$C,0),MATCH(Expenses!D$4,'IS Proforma'!$4:$4))</f>
        <v>1422</v>
      </c>
      <c r="E158" s="247">
        <f t="array" ref="E158">INDEX('IS Proforma'!$1:$1048490,MATCH(Expenses!$A158,'IS Proforma'!$C:$C,0),MATCH(Expenses!E$4,'IS Proforma'!$4:$4))</f>
        <v>2227</v>
      </c>
      <c r="F158" s="247">
        <f t="array" ref="F158">INDEX('IS Proforma'!$1:$1048490,MATCH(Expenses!$A158,'IS Proforma'!$C:$C,0),MATCH(Expenses!F$4,'IS Proforma'!$4:$4))</f>
        <v>1494</v>
      </c>
      <c r="G158" s="247">
        <f t="array" ref="G158">INDEX('IS Proforma'!$1:$1048490,MATCH(Expenses!$A158,'IS Proforma'!$C:$C,0),MATCH(Expenses!G$4,'IS Proforma'!$4:$4))</f>
        <v>1090</v>
      </c>
      <c r="H158" s="247">
        <f t="array" ref="H158">INDEX('IS Proforma'!$1:$1048490,MATCH(Expenses!$A158,'IS Proforma'!$C:$C,0),MATCH(Expenses!H$4,'IS Proforma'!$4:$4))</f>
        <v>2240</v>
      </c>
      <c r="I158" s="247">
        <f t="array" ref="I158">INDEX('IS Proforma'!$1:$1048490,MATCH(Expenses!$A158,'IS Proforma'!$C:$C,0),MATCH(Expenses!I$4,'IS Proforma'!$4:$4))</f>
        <v>1272</v>
      </c>
      <c r="J158" s="247">
        <f t="array" ref="J158">INDEX('IS Proforma'!$1:$1048490,MATCH(Expenses!$A158,'IS Proforma'!$C:$C,0),MATCH(Expenses!J$4,'IS Proforma'!$4:$4))</f>
        <v>2306</v>
      </c>
      <c r="K158" s="247">
        <f t="array" ref="K158">INDEX('IS Proforma'!$1:$1048490,MATCH(Expenses!$A158,'IS Proforma'!$C:$C,0),MATCH(Expenses!K$4,'IS Proforma'!$4:$4))</f>
        <v>1616</v>
      </c>
      <c r="L158" s="247">
        <f t="array" ref="L158">INDEX('IS Proforma'!$1:$1048490,MATCH(Expenses!$A158,'IS Proforma'!$C:$C,0),MATCH(Expenses!L$4,'IS Proforma'!$4:$4))</f>
        <v>1156</v>
      </c>
      <c r="M158" s="247">
        <f t="array" ref="M158">INDEX('IS Proforma'!$1:$1048490,MATCH(Expenses!$A158,'IS Proforma'!$C:$C,0),MATCH(Expenses!M$4,'IS Proforma'!$4:$4))</f>
        <v>2281</v>
      </c>
      <c r="N158" s="247">
        <f t="array" ref="N158">INDEX('IS Proforma'!$1:$1048490,MATCH(Expenses!$A158,'IS Proforma'!$C:$C,0),MATCH(Expenses!N$4,'IS Proforma'!$4:$4))</f>
        <v>2272</v>
      </c>
      <c r="O158" s="247">
        <f t="array" ref="O158">INDEX('IS Proforma'!$1:$1048490,MATCH(Expenses!$A158,'IS Proforma'!$C:$C,0),MATCH(Expenses!O$4,'IS Proforma'!$4:$4))</f>
        <v>2387</v>
      </c>
      <c r="P158" s="247">
        <f t="array" ref="P158">INDEX('IS Proforma'!$1:$1048490,MATCH(Expenses!$A158,'IS Proforma'!$C:$C,0),MATCH(Expenses!P$4,'IS Proforma'!$4:$4))</f>
        <v>1398</v>
      </c>
      <c r="Q158" s="247">
        <f t="array" ref="Q158">INDEX('IS Proforma'!$1:$1048490,MATCH(Expenses!$A158,'IS Proforma'!$C:$C,0),MATCH(Expenses!Q$4,'IS Proforma'!$4:$4))</f>
        <v>2396</v>
      </c>
      <c r="R158" s="247">
        <f t="array" ref="R158">INDEX('IS Proforma'!$1:$1048490,MATCH(Expenses!$A158,'IS Proforma'!$C:$C,0),MATCH(Expenses!R$4,'IS Proforma'!$4:$4))</f>
        <v>2187</v>
      </c>
      <c r="S158" s="247">
        <f t="array" ref="S158">INDEX('IS Proforma'!$1:$1048490,MATCH(Expenses!$A158,'IS Proforma'!$C:$C,0),MATCH(Expenses!S$4,'IS Proforma'!$4:$4))</f>
        <v>1013</v>
      </c>
      <c r="T158" s="117">
        <v>153.0</v>
      </c>
      <c r="U158" s="117">
        <f t="shared" ref="U158:CB158" si="107">U$154*$B158</f>
        <v>23.84</v>
      </c>
      <c r="V158" s="117">
        <f t="shared" si="107"/>
        <v>23.84</v>
      </c>
      <c r="W158" s="117">
        <f t="shared" si="107"/>
        <v>23.84</v>
      </c>
      <c r="X158" s="117">
        <f t="shared" si="107"/>
        <v>23.84</v>
      </c>
      <c r="Y158" s="117">
        <f t="shared" si="107"/>
        <v>23.84</v>
      </c>
      <c r="Z158" s="117">
        <f t="shared" si="107"/>
        <v>23.84</v>
      </c>
      <c r="AA158" s="117">
        <f t="shared" si="107"/>
        <v>23.84</v>
      </c>
      <c r="AB158" s="117">
        <f t="shared" si="107"/>
        <v>23.84</v>
      </c>
      <c r="AC158" s="117">
        <f t="shared" si="107"/>
        <v>23.84</v>
      </c>
      <c r="AD158" s="117">
        <f t="shared" si="107"/>
        <v>23.84</v>
      </c>
      <c r="AE158" s="117">
        <f t="shared" si="107"/>
        <v>23.84</v>
      </c>
      <c r="AF158" s="117">
        <f t="shared" si="107"/>
        <v>23.84</v>
      </c>
      <c r="AG158" s="117">
        <f t="shared" si="107"/>
        <v>48.84</v>
      </c>
      <c r="AH158" s="117">
        <f t="shared" si="107"/>
        <v>48.84</v>
      </c>
      <c r="AI158" s="117">
        <f t="shared" si="107"/>
        <v>48.84</v>
      </c>
      <c r="AJ158" s="117">
        <f t="shared" si="107"/>
        <v>48.84</v>
      </c>
      <c r="AK158" s="117">
        <f t="shared" si="107"/>
        <v>48.84</v>
      </c>
      <c r="AL158" s="117">
        <f t="shared" si="107"/>
        <v>48.84</v>
      </c>
      <c r="AM158" s="117">
        <f t="shared" si="107"/>
        <v>73.84</v>
      </c>
      <c r="AN158" s="117">
        <f t="shared" si="107"/>
        <v>73.84</v>
      </c>
      <c r="AO158" s="117">
        <f t="shared" si="107"/>
        <v>73.84</v>
      </c>
      <c r="AP158" s="117">
        <f t="shared" si="107"/>
        <v>73.84</v>
      </c>
      <c r="AQ158" s="117">
        <f t="shared" si="107"/>
        <v>73.84</v>
      </c>
      <c r="AR158" s="117">
        <f t="shared" si="107"/>
        <v>73.84</v>
      </c>
      <c r="AS158" s="117">
        <f t="shared" si="107"/>
        <v>98.84</v>
      </c>
      <c r="AT158" s="117">
        <f t="shared" si="107"/>
        <v>98.84</v>
      </c>
      <c r="AU158" s="117">
        <f t="shared" si="107"/>
        <v>98.84</v>
      </c>
      <c r="AV158" s="117">
        <f t="shared" si="107"/>
        <v>98.84</v>
      </c>
      <c r="AW158" s="117">
        <f t="shared" si="107"/>
        <v>98.84</v>
      </c>
      <c r="AX158" s="117">
        <f t="shared" si="107"/>
        <v>98.84</v>
      </c>
      <c r="AY158" s="117">
        <f t="shared" si="107"/>
        <v>123.84</v>
      </c>
      <c r="AZ158" s="117">
        <f t="shared" si="107"/>
        <v>123.84</v>
      </c>
      <c r="BA158" s="117">
        <f t="shared" si="107"/>
        <v>123.84</v>
      </c>
      <c r="BB158" s="117">
        <f t="shared" si="107"/>
        <v>123.84</v>
      </c>
      <c r="BC158" s="117">
        <f t="shared" si="107"/>
        <v>123.84</v>
      </c>
      <c r="BD158" s="117">
        <f t="shared" si="107"/>
        <v>123.84</v>
      </c>
      <c r="BE158" s="117">
        <f t="shared" si="107"/>
        <v>148.84</v>
      </c>
      <c r="BF158" s="117">
        <f t="shared" si="107"/>
        <v>148.84</v>
      </c>
      <c r="BG158" s="117">
        <f t="shared" si="107"/>
        <v>148.84</v>
      </c>
      <c r="BH158" s="117">
        <f t="shared" si="107"/>
        <v>148.84</v>
      </c>
      <c r="BI158" s="117">
        <f t="shared" si="107"/>
        <v>148.84</v>
      </c>
      <c r="BJ158" s="117">
        <f t="shared" si="107"/>
        <v>148.84</v>
      </c>
      <c r="BK158" s="117">
        <f t="shared" si="107"/>
        <v>173.84</v>
      </c>
      <c r="BL158" s="117">
        <f t="shared" si="107"/>
        <v>173.84</v>
      </c>
      <c r="BM158" s="117">
        <f t="shared" si="107"/>
        <v>173.84</v>
      </c>
      <c r="BN158" s="117">
        <f t="shared" si="107"/>
        <v>173.84</v>
      </c>
      <c r="BO158" s="117">
        <f t="shared" si="107"/>
        <v>173.84</v>
      </c>
      <c r="BP158" s="117">
        <f t="shared" si="107"/>
        <v>173.84</v>
      </c>
      <c r="BQ158" s="117">
        <f t="shared" si="107"/>
        <v>198.84</v>
      </c>
      <c r="BR158" s="117">
        <f t="shared" si="107"/>
        <v>198.84</v>
      </c>
      <c r="BS158" s="117">
        <f t="shared" si="107"/>
        <v>198.84</v>
      </c>
      <c r="BT158" s="117">
        <f t="shared" si="107"/>
        <v>198.84</v>
      </c>
      <c r="BU158" s="117">
        <f t="shared" si="107"/>
        <v>198.84</v>
      </c>
      <c r="BV158" s="117">
        <f t="shared" si="107"/>
        <v>198.84</v>
      </c>
      <c r="BW158" s="117">
        <f t="shared" si="107"/>
        <v>223.84</v>
      </c>
      <c r="BX158" s="117">
        <f t="shared" si="107"/>
        <v>223.84</v>
      </c>
      <c r="BY158" s="117">
        <f t="shared" si="107"/>
        <v>223.84</v>
      </c>
      <c r="BZ158" s="117">
        <f t="shared" si="107"/>
        <v>223.84</v>
      </c>
      <c r="CA158" s="117">
        <f t="shared" si="107"/>
        <v>223.84</v>
      </c>
      <c r="CB158" s="117">
        <f t="shared" si="107"/>
        <v>223.84</v>
      </c>
      <c r="CC158" s="117"/>
      <c r="CD158" s="117"/>
    </row>
    <row r="159" ht="15.75" customHeight="1">
      <c r="A159" s="132" t="s">
        <v>241</v>
      </c>
      <c r="B159" s="283">
        <v>0.4</v>
      </c>
      <c r="C159" s="247">
        <f t="array" ref="C159">INDEX('IS Proforma'!$1:$1048490,MATCH(Expenses!$A159,'IS Proforma'!$C:$C,0),MATCH(Expenses!C$4,'IS Proforma'!$4:$4))</f>
        <v>1475</v>
      </c>
      <c r="D159" s="247">
        <f t="array" ref="D159">INDEX('IS Proforma'!$1:$1048490,MATCH(Expenses!$A159,'IS Proforma'!$C:$C,0),MATCH(Expenses!D$4,'IS Proforma'!$4:$4))</f>
        <v>1027</v>
      </c>
      <c r="E159" s="247">
        <f t="array" ref="E159">INDEX('IS Proforma'!$1:$1048490,MATCH(Expenses!$A159,'IS Proforma'!$C:$C,0),MATCH(Expenses!E$4,'IS Proforma'!$4:$4))</f>
        <v>1942</v>
      </c>
      <c r="F159" s="247">
        <f t="array" ref="F159">INDEX('IS Proforma'!$1:$1048490,MATCH(Expenses!$A159,'IS Proforma'!$C:$C,0),MATCH(Expenses!F$4,'IS Proforma'!$4:$4))</f>
        <v>1541</v>
      </c>
      <c r="G159" s="247">
        <f t="array" ref="G159">INDEX('IS Proforma'!$1:$1048490,MATCH(Expenses!$A159,'IS Proforma'!$C:$C,0),MATCH(Expenses!G$4,'IS Proforma'!$4:$4))</f>
        <v>1769</v>
      </c>
      <c r="H159" s="247">
        <f t="array" ref="H159">INDEX('IS Proforma'!$1:$1048490,MATCH(Expenses!$A159,'IS Proforma'!$C:$C,0),MATCH(Expenses!H$4,'IS Proforma'!$4:$4))</f>
        <v>2146</v>
      </c>
      <c r="I159" s="247">
        <f t="array" ref="I159">INDEX('IS Proforma'!$1:$1048490,MATCH(Expenses!$A159,'IS Proforma'!$C:$C,0),MATCH(Expenses!I$4,'IS Proforma'!$4:$4))</f>
        <v>2046</v>
      </c>
      <c r="J159" s="247">
        <f t="array" ref="J159">INDEX('IS Proforma'!$1:$1048490,MATCH(Expenses!$A159,'IS Proforma'!$C:$C,0),MATCH(Expenses!J$4,'IS Proforma'!$4:$4))</f>
        <v>1971</v>
      </c>
      <c r="K159" s="247">
        <f t="array" ref="K159">INDEX('IS Proforma'!$1:$1048490,MATCH(Expenses!$A159,'IS Proforma'!$C:$C,0),MATCH(Expenses!K$4,'IS Proforma'!$4:$4))</f>
        <v>1568</v>
      </c>
      <c r="L159" s="247">
        <f t="array" ref="L159">INDEX('IS Proforma'!$1:$1048490,MATCH(Expenses!$A159,'IS Proforma'!$C:$C,0),MATCH(Expenses!L$4,'IS Proforma'!$4:$4))</f>
        <v>1154</v>
      </c>
      <c r="M159" s="247">
        <f t="array" ref="M159">INDEX('IS Proforma'!$1:$1048490,MATCH(Expenses!$A159,'IS Proforma'!$C:$C,0),MATCH(Expenses!M$4,'IS Proforma'!$4:$4))</f>
        <v>2014</v>
      </c>
      <c r="N159" s="247">
        <f t="array" ref="N159">INDEX('IS Proforma'!$1:$1048490,MATCH(Expenses!$A159,'IS Proforma'!$C:$C,0),MATCH(Expenses!N$4,'IS Proforma'!$4:$4))</f>
        <v>2067</v>
      </c>
      <c r="O159" s="247">
        <f t="array" ref="O159">INDEX('IS Proforma'!$1:$1048490,MATCH(Expenses!$A159,'IS Proforma'!$C:$C,0),MATCH(Expenses!O$4,'IS Proforma'!$4:$4))</f>
        <v>1821</v>
      </c>
      <c r="P159" s="247">
        <f t="array" ref="P159">INDEX('IS Proforma'!$1:$1048490,MATCH(Expenses!$A159,'IS Proforma'!$C:$C,0),MATCH(Expenses!P$4,'IS Proforma'!$4:$4))</f>
        <v>1374</v>
      </c>
      <c r="Q159" s="247">
        <f t="array" ref="Q159">INDEX('IS Proforma'!$1:$1048490,MATCH(Expenses!$A159,'IS Proforma'!$C:$C,0),MATCH(Expenses!Q$4,'IS Proforma'!$4:$4))</f>
        <v>2402</v>
      </c>
      <c r="R159" s="247">
        <f t="array" ref="R159">INDEX('IS Proforma'!$1:$1048490,MATCH(Expenses!$A159,'IS Proforma'!$C:$C,0),MATCH(Expenses!R$4,'IS Proforma'!$4:$4))</f>
        <v>2357</v>
      </c>
      <c r="S159" s="247">
        <f t="array" ref="S159">INDEX('IS Proforma'!$1:$1048490,MATCH(Expenses!$A159,'IS Proforma'!$C:$C,0),MATCH(Expenses!S$4,'IS Proforma'!$4:$4))</f>
        <v>1349</v>
      </c>
      <c r="T159" s="117">
        <f t="shared" ref="T159:CB159" si="108">T$154*$B159</f>
        <v>953.6</v>
      </c>
      <c r="U159" s="117">
        <f t="shared" si="108"/>
        <v>953.6</v>
      </c>
      <c r="V159" s="117">
        <f t="shared" si="108"/>
        <v>953.6</v>
      </c>
      <c r="W159" s="117">
        <f t="shared" si="108"/>
        <v>953.6</v>
      </c>
      <c r="X159" s="117">
        <f t="shared" si="108"/>
        <v>953.6</v>
      </c>
      <c r="Y159" s="117">
        <f t="shared" si="108"/>
        <v>953.6</v>
      </c>
      <c r="Z159" s="117">
        <f t="shared" si="108"/>
        <v>953.6</v>
      </c>
      <c r="AA159" s="117">
        <f t="shared" si="108"/>
        <v>953.6</v>
      </c>
      <c r="AB159" s="117">
        <f t="shared" si="108"/>
        <v>953.6</v>
      </c>
      <c r="AC159" s="117">
        <f t="shared" si="108"/>
        <v>953.6</v>
      </c>
      <c r="AD159" s="117">
        <f t="shared" si="108"/>
        <v>953.6</v>
      </c>
      <c r="AE159" s="117">
        <f t="shared" si="108"/>
        <v>953.6</v>
      </c>
      <c r="AF159" s="117">
        <f t="shared" si="108"/>
        <v>953.6</v>
      </c>
      <c r="AG159" s="117">
        <f t="shared" si="108"/>
        <v>1953.6</v>
      </c>
      <c r="AH159" s="117">
        <f t="shared" si="108"/>
        <v>1953.6</v>
      </c>
      <c r="AI159" s="117">
        <f t="shared" si="108"/>
        <v>1953.6</v>
      </c>
      <c r="AJ159" s="117">
        <f t="shared" si="108"/>
        <v>1953.6</v>
      </c>
      <c r="AK159" s="117">
        <f t="shared" si="108"/>
        <v>1953.6</v>
      </c>
      <c r="AL159" s="117">
        <f t="shared" si="108"/>
        <v>1953.6</v>
      </c>
      <c r="AM159" s="117">
        <f t="shared" si="108"/>
        <v>2953.6</v>
      </c>
      <c r="AN159" s="117">
        <f t="shared" si="108"/>
        <v>2953.6</v>
      </c>
      <c r="AO159" s="117">
        <f t="shared" si="108"/>
        <v>2953.6</v>
      </c>
      <c r="AP159" s="117">
        <f t="shared" si="108"/>
        <v>2953.6</v>
      </c>
      <c r="AQ159" s="117">
        <f t="shared" si="108"/>
        <v>2953.6</v>
      </c>
      <c r="AR159" s="117">
        <f t="shared" si="108"/>
        <v>2953.6</v>
      </c>
      <c r="AS159" s="117">
        <f t="shared" si="108"/>
        <v>3953.6</v>
      </c>
      <c r="AT159" s="117">
        <f t="shared" si="108"/>
        <v>3953.6</v>
      </c>
      <c r="AU159" s="117">
        <f t="shared" si="108"/>
        <v>3953.6</v>
      </c>
      <c r="AV159" s="117">
        <f t="shared" si="108"/>
        <v>3953.6</v>
      </c>
      <c r="AW159" s="117">
        <f t="shared" si="108"/>
        <v>3953.6</v>
      </c>
      <c r="AX159" s="117">
        <f t="shared" si="108"/>
        <v>3953.6</v>
      </c>
      <c r="AY159" s="117">
        <f t="shared" si="108"/>
        <v>4953.6</v>
      </c>
      <c r="AZ159" s="117">
        <f t="shared" si="108"/>
        <v>4953.6</v>
      </c>
      <c r="BA159" s="117">
        <f t="shared" si="108"/>
        <v>4953.6</v>
      </c>
      <c r="BB159" s="117">
        <f t="shared" si="108"/>
        <v>4953.6</v>
      </c>
      <c r="BC159" s="117">
        <f t="shared" si="108"/>
        <v>4953.6</v>
      </c>
      <c r="BD159" s="117">
        <f t="shared" si="108"/>
        <v>4953.6</v>
      </c>
      <c r="BE159" s="117">
        <f t="shared" si="108"/>
        <v>5953.6</v>
      </c>
      <c r="BF159" s="117">
        <f t="shared" si="108"/>
        <v>5953.6</v>
      </c>
      <c r="BG159" s="117">
        <f t="shared" si="108"/>
        <v>5953.6</v>
      </c>
      <c r="BH159" s="117">
        <f t="shared" si="108"/>
        <v>5953.6</v>
      </c>
      <c r="BI159" s="117">
        <f t="shared" si="108"/>
        <v>5953.6</v>
      </c>
      <c r="BJ159" s="117">
        <f t="shared" si="108"/>
        <v>5953.6</v>
      </c>
      <c r="BK159" s="117">
        <f t="shared" si="108"/>
        <v>6953.6</v>
      </c>
      <c r="BL159" s="117">
        <f t="shared" si="108"/>
        <v>6953.6</v>
      </c>
      <c r="BM159" s="117">
        <f t="shared" si="108"/>
        <v>6953.6</v>
      </c>
      <c r="BN159" s="117">
        <f t="shared" si="108"/>
        <v>6953.6</v>
      </c>
      <c r="BO159" s="117">
        <f t="shared" si="108"/>
        <v>6953.6</v>
      </c>
      <c r="BP159" s="117">
        <f t="shared" si="108"/>
        <v>6953.6</v>
      </c>
      <c r="BQ159" s="117">
        <f t="shared" si="108"/>
        <v>7953.6</v>
      </c>
      <c r="BR159" s="117">
        <f t="shared" si="108"/>
        <v>7953.6</v>
      </c>
      <c r="BS159" s="117">
        <f t="shared" si="108"/>
        <v>7953.6</v>
      </c>
      <c r="BT159" s="117">
        <f t="shared" si="108"/>
        <v>7953.6</v>
      </c>
      <c r="BU159" s="117">
        <f t="shared" si="108"/>
        <v>7953.6</v>
      </c>
      <c r="BV159" s="117">
        <f t="shared" si="108"/>
        <v>7953.6</v>
      </c>
      <c r="BW159" s="117">
        <f t="shared" si="108"/>
        <v>8953.6</v>
      </c>
      <c r="BX159" s="117">
        <f t="shared" si="108"/>
        <v>8953.6</v>
      </c>
      <c r="BY159" s="117">
        <f t="shared" si="108"/>
        <v>8953.6</v>
      </c>
      <c r="BZ159" s="117">
        <f t="shared" si="108"/>
        <v>8953.6</v>
      </c>
      <c r="CA159" s="117">
        <f t="shared" si="108"/>
        <v>8953.6</v>
      </c>
      <c r="CB159" s="117">
        <f t="shared" si="108"/>
        <v>8953.6</v>
      </c>
      <c r="CC159" s="117"/>
      <c r="CD159" s="117"/>
    </row>
    <row r="160" ht="15.75" customHeight="1">
      <c r="A160" s="132" t="s">
        <v>242</v>
      </c>
      <c r="B160" s="283">
        <v>0.02</v>
      </c>
      <c r="C160" s="247">
        <f t="array" ref="C160">INDEX('IS Proforma'!$1:$1048490,MATCH(Expenses!$A160,'IS Proforma'!$C:$C,0),MATCH(Expenses!C$4,'IS Proforma'!$4:$4))</f>
        <v>1169</v>
      </c>
      <c r="D160" s="247">
        <f t="array" ref="D160">INDEX('IS Proforma'!$1:$1048490,MATCH(Expenses!$A160,'IS Proforma'!$C:$C,0),MATCH(Expenses!D$4,'IS Proforma'!$4:$4))</f>
        <v>1638</v>
      </c>
      <c r="E160" s="247">
        <f t="array" ref="E160">INDEX('IS Proforma'!$1:$1048490,MATCH(Expenses!$A160,'IS Proforma'!$C:$C,0),MATCH(Expenses!E$4,'IS Proforma'!$4:$4))</f>
        <v>1899</v>
      </c>
      <c r="F160" s="247">
        <f t="array" ref="F160">INDEX('IS Proforma'!$1:$1048490,MATCH(Expenses!$A160,'IS Proforma'!$C:$C,0),MATCH(Expenses!F$4,'IS Proforma'!$4:$4))</f>
        <v>1775</v>
      </c>
      <c r="G160" s="247">
        <f t="array" ref="G160">INDEX('IS Proforma'!$1:$1048490,MATCH(Expenses!$A160,'IS Proforma'!$C:$C,0),MATCH(Expenses!G$4,'IS Proforma'!$4:$4))</f>
        <v>1483</v>
      </c>
      <c r="H160" s="247">
        <f t="array" ref="H160">INDEX('IS Proforma'!$1:$1048490,MATCH(Expenses!$A160,'IS Proforma'!$C:$C,0),MATCH(Expenses!H$4,'IS Proforma'!$4:$4))</f>
        <v>2495</v>
      </c>
      <c r="I160" s="247">
        <f t="array" ref="I160">INDEX('IS Proforma'!$1:$1048490,MATCH(Expenses!$A160,'IS Proforma'!$C:$C,0),MATCH(Expenses!I$4,'IS Proforma'!$4:$4))</f>
        <v>2466</v>
      </c>
      <c r="J160" s="247">
        <f t="array" ref="J160">INDEX('IS Proforma'!$1:$1048490,MATCH(Expenses!$A160,'IS Proforma'!$C:$C,0),MATCH(Expenses!J$4,'IS Proforma'!$4:$4))</f>
        <v>1655</v>
      </c>
      <c r="K160" s="247">
        <f t="array" ref="K160">INDEX('IS Proforma'!$1:$1048490,MATCH(Expenses!$A160,'IS Proforma'!$C:$C,0),MATCH(Expenses!K$4,'IS Proforma'!$4:$4))</f>
        <v>1476</v>
      </c>
      <c r="L160" s="247">
        <f t="array" ref="L160">INDEX('IS Proforma'!$1:$1048490,MATCH(Expenses!$A160,'IS Proforma'!$C:$C,0),MATCH(Expenses!L$4,'IS Proforma'!$4:$4))</f>
        <v>1462</v>
      </c>
      <c r="M160" s="247">
        <f t="array" ref="M160">INDEX('IS Proforma'!$1:$1048490,MATCH(Expenses!$A160,'IS Proforma'!$C:$C,0),MATCH(Expenses!M$4,'IS Proforma'!$4:$4))</f>
        <v>1671</v>
      </c>
      <c r="N160" s="247">
        <f t="array" ref="N160">INDEX('IS Proforma'!$1:$1048490,MATCH(Expenses!$A160,'IS Proforma'!$C:$C,0),MATCH(Expenses!N$4,'IS Proforma'!$4:$4))</f>
        <v>2146</v>
      </c>
      <c r="O160" s="247">
        <f t="array" ref="O160">INDEX('IS Proforma'!$1:$1048490,MATCH(Expenses!$A160,'IS Proforma'!$C:$C,0),MATCH(Expenses!O$4,'IS Proforma'!$4:$4))</f>
        <v>1630</v>
      </c>
      <c r="P160" s="247">
        <f t="array" ref="P160">INDEX('IS Proforma'!$1:$1048490,MATCH(Expenses!$A160,'IS Proforma'!$C:$C,0),MATCH(Expenses!P$4,'IS Proforma'!$4:$4))</f>
        <v>2202</v>
      </c>
      <c r="Q160" s="247">
        <f t="array" ref="Q160">INDEX('IS Proforma'!$1:$1048490,MATCH(Expenses!$A160,'IS Proforma'!$C:$C,0),MATCH(Expenses!Q$4,'IS Proforma'!$4:$4))</f>
        <v>1480</v>
      </c>
      <c r="R160" s="247">
        <f t="array" ref="R160">INDEX('IS Proforma'!$1:$1048490,MATCH(Expenses!$A160,'IS Proforma'!$C:$C,0),MATCH(Expenses!R$4,'IS Proforma'!$4:$4))</f>
        <v>2042</v>
      </c>
      <c r="S160" s="247">
        <f t="array" ref="S160">INDEX('IS Proforma'!$1:$1048490,MATCH(Expenses!$A160,'IS Proforma'!$C:$C,0),MATCH(Expenses!S$4,'IS Proforma'!$4:$4))</f>
        <v>2266</v>
      </c>
      <c r="T160" s="117">
        <v>306.0</v>
      </c>
      <c r="U160" s="117">
        <f t="shared" ref="U160:CB160" si="109">U$154*$B160</f>
        <v>47.68</v>
      </c>
      <c r="V160" s="117">
        <f t="shared" si="109"/>
        <v>47.68</v>
      </c>
      <c r="W160" s="117">
        <f t="shared" si="109"/>
        <v>47.68</v>
      </c>
      <c r="X160" s="117">
        <f t="shared" si="109"/>
        <v>47.68</v>
      </c>
      <c r="Y160" s="117">
        <f t="shared" si="109"/>
        <v>47.68</v>
      </c>
      <c r="Z160" s="117">
        <f t="shared" si="109"/>
        <v>47.68</v>
      </c>
      <c r="AA160" s="117">
        <f t="shared" si="109"/>
        <v>47.68</v>
      </c>
      <c r="AB160" s="117">
        <f t="shared" si="109"/>
        <v>47.68</v>
      </c>
      <c r="AC160" s="117">
        <f t="shared" si="109"/>
        <v>47.68</v>
      </c>
      <c r="AD160" s="117">
        <f t="shared" si="109"/>
        <v>47.68</v>
      </c>
      <c r="AE160" s="117">
        <f t="shared" si="109"/>
        <v>47.68</v>
      </c>
      <c r="AF160" s="117">
        <f t="shared" si="109"/>
        <v>47.68</v>
      </c>
      <c r="AG160" s="117">
        <f t="shared" si="109"/>
        <v>97.68</v>
      </c>
      <c r="AH160" s="117">
        <f t="shared" si="109"/>
        <v>97.68</v>
      </c>
      <c r="AI160" s="117">
        <f t="shared" si="109"/>
        <v>97.68</v>
      </c>
      <c r="AJ160" s="117">
        <f t="shared" si="109"/>
        <v>97.68</v>
      </c>
      <c r="AK160" s="117">
        <f t="shared" si="109"/>
        <v>97.68</v>
      </c>
      <c r="AL160" s="117">
        <f t="shared" si="109"/>
        <v>97.68</v>
      </c>
      <c r="AM160" s="117">
        <f t="shared" si="109"/>
        <v>147.68</v>
      </c>
      <c r="AN160" s="117">
        <f t="shared" si="109"/>
        <v>147.68</v>
      </c>
      <c r="AO160" s="117">
        <f t="shared" si="109"/>
        <v>147.68</v>
      </c>
      <c r="AP160" s="117">
        <f t="shared" si="109"/>
        <v>147.68</v>
      </c>
      <c r="AQ160" s="117">
        <f t="shared" si="109"/>
        <v>147.68</v>
      </c>
      <c r="AR160" s="117">
        <f t="shared" si="109"/>
        <v>147.68</v>
      </c>
      <c r="AS160" s="117">
        <f t="shared" si="109"/>
        <v>197.68</v>
      </c>
      <c r="AT160" s="117">
        <f t="shared" si="109"/>
        <v>197.68</v>
      </c>
      <c r="AU160" s="117">
        <f t="shared" si="109"/>
        <v>197.68</v>
      </c>
      <c r="AV160" s="117">
        <f t="shared" si="109"/>
        <v>197.68</v>
      </c>
      <c r="AW160" s="117">
        <f t="shared" si="109"/>
        <v>197.68</v>
      </c>
      <c r="AX160" s="117">
        <f t="shared" si="109"/>
        <v>197.68</v>
      </c>
      <c r="AY160" s="117">
        <f t="shared" si="109"/>
        <v>247.68</v>
      </c>
      <c r="AZ160" s="117">
        <f t="shared" si="109"/>
        <v>247.68</v>
      </c>
      <c r="BA160" s="117">
        <f t="shared" si="109"/>
        <v>247.68</v>
      </c>
      <c r="BB160" s="117">
        <f t="shared" si="109"/>
        <v>247.68</v>
      </c>
      <c r="BC160" s="117">
        <f t="shared" si="109"/>
        <v>247.68</v>
      </c>
      <c r="BD160" s="117">
        <f t="shared" si="109"/>
        <v>247.68</v>
      </c>
      <c r="BE160" s="117">
        <f t="shared" si="109"/>
        <v>297.68</v>
      </c>
      <c r="BF160" s="117">
        <f t="shared" si="109"/>
        <v>297.68</v>
      </c>
      <c r="BG160" s="117">
        <f t="shared" si="109"/>
        <v>297.68</v>
      </c>
      <c r="BH160" s="117">
        <f t="shared" si="109"/>
        <v>297.68</v>
      </c>
      <c r="BI160" s="117">
        <f t="shared" si="109"/>
        <v>297.68</v>
      </c>
      <c r="BJ160" s="117">
        <f t="shared" si="109"/>
        <v>297.68</v>
      </c>
      <c r="BK160" s="117">
        <f t="shared" si="109"/>
        <v>347.68</v>
      </c>
      <c r="BL160" s="117">
        <f t="shared" si="109"/>
        <v>347.68</v>
      </c>
      <c r="BM160" s="117">
        <f t="shared" si="109"/>
        <v>347.68</v>
      </c>
      <c r="BN160" s="117">
        <f t="shared" si="109"/>
        <v>347.68</v>
      </c>
      <c r="BO160" s="117">
        <f t="shared" si="109"/>
        <v>347.68</v>
      </c>
      <c r="BP160" s="117">
        <f t="shared" si="109"/>
        <v>347.68</v>
      </c>
      <c r="BQ160" s="117">
        <f t="shared" si="109"/>
        <v>397.68</v>
      </c>
      <c r="BR160" s="117">
        <f t="shared" si="109"/>
        <v>397.68</v>
      </c>
      <c r="BS160" s="117">
        <f t="shared" si="109"/>
        <v>397.68</v>
      </c>
      <c r="BT160" s="117">
        <f t="shared" si="109"/>
        <v>397.68</v>
      </c>
      <c r="BU160" s="117">
        <f t="shared" si="109"/>
        <v>397.68</v>
      </c>
      <c r="BV160" s="117">
        <f t="shared" si="109"/>
        <v>397.68</v>
      </c>
      <c r="BW160" s="117">
        <f t="shared" si="109"/>
        <v>447.68</v>
      </c>
      <c r="BX160" s="117">
        <f t="shared" si="109"/>
        <v>447.68</v>
      </c>
      <c r="BY160" s="117">
        <f t="shared" si="109"/>
        <v>447.68</v>
      </c>
      <c r="BZ160" s="117">
        <f t="shared" si="109"/>
        <v>447.68</v>
      </c>
      <c r="CA160" s="117">
        <f t="shared" si="109"/>
        <v>447.68</v>
      </c>
      <c r="CB160" s="117">
        <f t="shared" si="109"/>
        <v>447.68</v>
      </c>
      <c r="CC160" s="117"/>
      <c r="CD160" s="117"/>
    </row>
    <row r="161" ht="15.75" customHeight="1">
      <c r="A161" s="272" t="s">
        <v>583</v>
      </c>
      <c r="B161" s="294">
        <f t="shared" ref="B161:CB161" si="110">SUM(B157:B160)</f>
        <v>1</v>
      </c>
      <c r="C161" s="121">
        <f t="shared" si="110"/>
        <v>6084</v>
      </c>
      <c r="D161" s="121">
        <f t="shared" si="110"/>
        <v>5100</v>
      </c>
      <c r="E161" s="121">
        <f t="shared" si="110"/>
        <v>7906</v>
      </c>
      <c r="F161" s="121">
        <f t="shared" si="110"/>
        <v>6613</v>
      </c>
      <c r="G161" s="121">
        <f t="shared" si="110"/>
        <v>5701</v>
      </c>
      <c r="H161" s="121">
        <f t="shared" si="110"/>
        <v>8468</v>
      </c>
      <c r="I161" s="121">
        <f t="shared" si="110"/>
        <v>7531</v>
      </c>
      <c r="J161" s="121">
        <f t="shared" si="110"/>
        <v>8156</v>
      </c>
      <c r="K161" s="121">
        <f t="shared" si="110"/>
        <v>6768</v>
      </c>
      <c r="L161" s="121">
        <f t="shared" si="110"/>
        <v>5077</v>
      </c>
      <c r="M161" s="121">
        <f t="shared" si="110"/>
        <v>8135</v>
      </c>
      <c r="N161" s="121">
        <f t="shared" si="110"/>
        <v>7578</v>
      </c>
      <c r="O161" s="121">
        <f t="shared" si="110"/>
        <v>7035</v>
      </c>
      <c r="P161" s="121">
        <f t="shared" si="110"/>
        <v>6688</v>
      </c>
      <c r="Q161" s="121">
        <f t="shared" si="110"/>
        <v>8101</v>
      </c>
      <c r="R161" s="121">
        <f t="shared" si="110"/>
        <v>7737</v>
      </c>
      <c r="S161" s="121">
        <f t="shared" si="110"/>
        <v>6384</v>
      </c>
      <c r="T161" s="121">
        <f t="shared" si="110"/>
        <v>2771.48</v>
      </c>
      <c r="U161" s="121">
        <f t="shared" si="110"/>
        <v>2384</v>
      </c>
      <c r="V161" s="121">
        <f t="shared" si="110"/>
        <v>2384</v>
      </c>
      <c r="W161" s="121">
        <f t="shared" si="110"/>
        <v>2384</v>
      </c>
      <c r="X161" s="121">
        <f t="shared" si="110"/>
        <v>2384</v>
      </c>
      <c r="Y161" s="121">
        <f t="shared" si="110"/>
        <v>2384</v>
      </c>
      <c r="Z161" s="121">
        <f t="shared" si="110"/>
        <v>2384</v>
      </c>
      <c r="AA161" s="121">
        <f t="shared" si="110"/>
        <v>2384</v>
      </c>
      <c r="AB161" s="121">
        <f t="shared" si="110"/>
        <v>2384</v>
      </c>
      <c r="AC161" s="121">
        <f t="shared" si="110"/>
        <v>2384</v>
      </c>
      <c r="AD161" s="121">
        <f t="shared" si="110"/>
        <v>2384</v>
      </c>
      <c r="AE161" s="121">
        <f t="shared" si="110"/>
        <v>2384</v>
      </c>
      <c r="AF161" s="121">
        <f t="shared" si="110"/>
        <v>2384</v>
      </c>
      <c r="AG161" s="121">
        <f t="shared" si="110"/>
        <v>4884</v>
      </c>
      <c r="AH161" s="121">
        <f t="shared" si="110"/>
        <v>4884</v>
      </c>
      <c r="AI161" s="121">
        <f t="shared" si="110"/>
        <v>4884</v>
      </c>
      <c r="AJ161" s="121">
        <f t="shared" si="110"/>
        <v>4884</v>
      </c>
      <c r="AK161" s="121">
        <f t="shared" si="110"/>
        <v>4884</v>
      </c>
      <c r="AL161" s="121">
        <f t="shared" si="110"/>
        <v>4884</v>
      </c>
      <c r="AM161" s="121">
        <f t="shared" si="110"/>
        <v>7384</v>
      </c>
      <c r="AN161" s="121">
        <f t="shared" si="110"/>
        <v>7384</v>
      </c>
      <c r="AO161" s="121">
        <f t="shared" si="110"/>
        <v>7384</v>
      </c>
      <c r="AP161" s="121">
        <f t="shared" si="110"/>
        <v>7384</v>
      </c>
      <c r="AQ161" s="121">
        <f t="shared" si="110"/>
        <v>7384</v>
      </c>
      <c r="AR161" s="121">
        <f t="shared" si="110"/>
        <v>7384</v>
      </c>
      <c r="AS161" s="121">
        <f t="shared" si="110"/>
        <v>9884</v>
      </c>
      <c r="AT161" s="121">
        <f t="shared" si="110"/>
        <v>9884</v>
      </c>
      <c r="AU161" s="121">
        <f t="shared" si="110"/>
        <v>9884</v>
      </c>
      <c r="AV161" s="121">
        <f t="shared" si="110"/>
        <v>9884</v>
      </c>
      <c r="AW161" s="121">
        <f t="shared" si="110"/>
        <v>9884</v>
      </c>
      <c r="AX161" s="121">
        <f t="shared" si="110"/>
        <v>9884</v>
      </c>
      <c r="AY161" s="121">
        <f t="shared" si="110"/>
        <v>12384</v>
      </c>
      <c r="AZ161" s="121">
        <f t="shared" si="110"/>
        <v>12384</v>
      </c>
      <c r="BA161" s="121">
        <f t="shared" si="110"/>
        <v>12384</v>
      </c>
      <c r="BB161" s="121">
        <f t="shared" si="110"/>
        <v>12384</v>
      </c>
      <c r="BC161" s="121">
        <f t="shared" si="110"/>
        <v>12384</v>
      </c>
      <c r="BD161" s="121">
        <f t="shared" si="110"/>
        <v>12384</v>
      </c>
      <c r="BE161" s="121">
        <f t="shared" si="110"/>
        <v>14884</v>
      </c>
      <c r="BF161" s="121">
        <f t="shared" si="110"/>
        <v>14884</v>
      </c>
      <c r="BG161" s="121">
        <f t="shared" si="110"/>
        <v>14884</v>
      </c>
      <c r="BH161" s="121">
        <f t="shared" si="110"/>
        <v>14884</v>
      </c>
      <c r="BI161" s="121">
        <f t="shared" si="110"/>
        <v>14884</v>
      </c>
      <c r="BJ161" s="121">
        <f t="shared" si="110"/>
        <v>14884</v>
      </c>
      <c r="BK161" s="121">
        <f t="shared" si="110"/>
        <v>17384</v>
      </c>
      <c r="BL161" s="121">
        <f t="shared" si="110"/>
        <v>17384</v>
      </c>
      <c r="BM161" s="121">
        <f t="shared" si="110"/>
        <v>17384</v>
      </c>
      <c r="BN161" s="121">
        <f t="shared" si="110"/>
        <v>17384</v>
      </c>
      <c r="BO161" s="121">
        <f t="shared" si="110"/>
        <v>17384</v>
      </c>
      <c r="BP161" s="121">
        <f t="shared" si="110"/>
        <v>17384</v>
      </c>
      <c r="BQ161" s="121">
        <f t="shared" si="110"/>
        <v>19884</v>
      </c>
      <c r="BR161" s="121">
        <f t="shared" si="110"/>
        <v>19884</v>
      </c>
      <c r="BS161" s="121">
        <f t="shared" si="110"/>
        <v>19884</v>
      </c>
      <c r="BT161" s="121">
        <f t="shared" si="110"/>
        <v>19884</v>
      </c>
      <c r="BU161" s="121">
        <f t="shared" si="110"/>
        <v>19884</v>
      </c>
      <c r="BV161" s="121">
        <f t="shared" si="110"/>
        <v>19884</v>
      </c>
      <c r="BW161" s="121">
        <f t="shared" si="110"/>
        <v>22384</v>
      </c>
      <c r="BX161" s="121">
        <f t="shared" si="110"/>
        <v>22384</v>
      </c>
      <c r="BY161" s="121">
        <f t="shared" si="110"/>
        <v>22384</v>
      </c>
      <c r="BZ161" s="121">
        <f t="shared" si="110"/>
        <v>22384</v>
      </c>
      <c r="CA161" s="121">
        <f t="shared" si="110"/>
        <v>22384</v>
      </c>
      <c r="CB161" s="121">
        <f t="shared" si="110"/>
        <v>22384</v>
      </c>
      <c r="CC161" s="118"/>
      <c r="CD161" s="118"/>
    </row>
    <row r="162" ht="15.75" customHeight="1">
      <c r="B162" s="6"/>
      <c r="D162" s="130">
        <f t="shared" ref="D162:CB162" si="111">D161/C161-1</f>
        <v>-0.1617357002</v>
      </c>
      <c r="E162" s="130">
        <f t="shared" si="111"/>
        <v>0.5501960784</v>
      </c>
      <c r="F162" s="130">
        <f t="shared" si="111"/>
        <v>-0.1635466734</v>
      </c>
      <c r="G162" s="130">
        <f t="shared" si="111"/>
        <v>-0.1379101769</v>
      </c>
      <c r="H162" s="130">
        <f t="shared" si="111"/>
        <v>0.4853534468</v>
      </c>
      <c r="I162" s="130">
        <f t="shared" si="111"/>
        <v>-0.1106518658</v>
      </c>
      <c r="J162" s="130">
        <f t="shared" si="111"/>
        <v>0.08299030673</v>
      </c>
      <c r="K162" s="130">
        <f t="shared" si="111"/>
        <v>-0.1701814615</v>
      </c>
      <c r="L162" s="130">
        <f t="shared" si="111"/>
        <v>-0.2498522459</v>
      </c>
      <c r="M162" s="130">
        <f t="shared" si="111"/>
        <v>0.6023242072</v>
      </c>
      <c r="N162" s="130">
        <f t="shared" si="111"/>
        <v>-0.06846957591</v>
      </c>
      <c r="O162" s="130">
        <f t="shared" si="111"/>
        <v>-0.07165479018</v>
      </c>
      <c r="P162" s="130">
        <f t="shared" si="111"/>
        <v>-0.04932480455</v>
      </c>
      <c r="Q162" s="130">
        <f t="shared" si="111"/>
        <v>0.2112739234</v>
      </c>
      <c r="R162" s="130">
        <f t="shared" si="111"/>
        <v>-0.04493272436</v>
      </c>
      <c r="S162" s="130">
        <f t="shared" si="111"/>
        <v>-0.1748739822</v>
      </c>
      <c r="T162" s="130">
        <f t="shared" si="111"/>
        <v>-0.5658709273</v>
      </c>
      <c r="U162" s="130">
        <f t="shared" si="111"/>
        <v>-0.1398097767</v>
      </c>
      <c r="V162" s="130">
        <f t="shared" si="111"/>
        <v>0</v>
      </c>
      <c r="W162" s="130">
        <f t="shared" si="111"/>
        <v>0</v>
      </c>
      <c r="X162" s="130">
        <f t="shared" si="111"/>
        <v>0</v>
      </c>
      <c r="Y162" s="130">
        <f t="shared" si="111"/>
        <v>0</v>
      </c>
      <c r="Z162" s="130">
        <f t="shared" si="111"/>
        <v>0</v>
      </c>
      <c r="AA162" s="130">
        <f t="shared" si="111"/>
        <v>0</v>
      </c>
      <c r="AB162" s="130">
        <f t="shared" si="111"/>
        <v>0</v>
      </c>
      <c r="AC162" s="130">
        <f t="shared" si="111"/>
        <v>0</v>
      </c>
      <c r="AD162" s="130">
        <f t="shared" si="111"/>
        <v>0</v>
      </c>
      <c r="AE162" s="130">
        <f t="shared" si="111"/>
        <v>0</v>
      </c>
      <c r="AF162" s="130">
        <f t="shared" si="111"/>
        <v>0</v>
      </c>
      <c r="AG162" s="130">
        <f t="shared" si="111"/>
        <v>1.048657718</v>
      </c>
      <c r="AH162" s="130">
        <f t="shared" si="111"/>
        <v>0</v>
      </c>
      <c r="AI162" s="130">
        <f t="shared" si="111"/>
        <v>0</v>
      </c>
      <c r="AJ162" s="130">
        <f t="shared" si="111"/>
        <v>0</v>
      </c>
      <c r="AK162" s="130">
        <f t="shared" si="111"/>
        <v>0</v>
      </c>
      <c r="AL162" s="130">
        <f t="shared" si="111"/>
        <v>0</v>
      </c>
      <c r="AM162" s="130">
        <f t="shared" si="111"/>
        <v>0.5118755119</v>
      </c>
      <c r="AN162" s="130">
        <f t="shared" si="111"/>
        <v>0</v>
      </c>
      <c r="AO162" s="130">
        <f t="shared" si="111"/>
        <v>0</v>
      </c>
      <c r="AP162" s="130">
        <f t="shared" si="111"/>
        <v>0</v>
      </c>
      <c r="AQ162" s="130">
        <f t="shared" si="111"/>
        <v>0</v>
      </c>
      <c r="AR162" s="130">
        <f t="shared" si="111"/>
        <v>0</v>
      </c>
      <c r="AS162" s="130">
        <f t="shared" si="111"/>
        <v>0.3385698808</v>
      </c>
      <c r="AT162" s="130">
        <f t="shared" si="111"/>
        <v>0</v>
      </c>
      <c r="AU162" s="130">
        <f t="shared" si="111"/>
        <v>0</v>
      </c>
      <c r="AV162" s="130">
        <f t="shared" si="111"/>
        <v>0</v>
      </c>
      <c r="AW162" s="130">
        <f t="shared" si="111"/>
        <v>0</v>
      </c>
      <c r="AX162" s="130">
        <f t="shared" si="111"/>
        <v>0</v>
      </c>
      <c r="AY162" s="130">
        <f t="shared" si="111"/>
        <v>0.2529340348</v>
      </c>
      <c r="AZ162" s="130">
        <f t="shared" si="111"/>
        <v>0</v>
      </c>
      <c r="BA162" s="130">
        <f t="shared" si="111"/>
        <v>0</v>
      </c>
      <c r="BB162" s="130">
        <f t="shared" si="111"/>
        <v>0</v>
      </c>
      <c r="BC162" s="130">
        <f t="shared" si="111"/>
        <v>0</v>
      </c>
      <c r="BD162" s="130">
        <f t="shared" si="111"/>
        <v>0</v>
      </c>
      <c r="BE162" s="130">
        <f t="shared" si="111"/>
        <v>0.201873385</v>
      </c>
      <c r="BF162" s="130">
        <f t="shared" si="111"/>
        <v>0</v>
      </c>
      <c r="BG162" s="130">
        <f t="shared" si="111"/>
        <v>0</v>
      </c>
      <c r="BH162" s="130">
        <f t="shared" si="111"/>
        <v>0</v>
      </c>
      <c r="BI162" s="130">
        <f t="shared" si="111"/>
        <v>0</v>
      </c>
      <c r="BJ162" s="130">
        <f t="shared" si="111"/>
        <v>0</v>
      </c>
      <c r="BK162" s="130">
        <f t="shared" si="111"/>
        <v>0.1679656006</v>
      </c>
      <c r="BL162" s="130">
        <f t="shared" si="111"/>
        <v>0</v>
      </c>
      <c r="BM162" s="130">
        <f t="shared" si="111"/>
        <v>0</v>
      </c>
      <c r="BN162" s="130">
        <f t="shared" si="111"/>
        <v>0</v>
      </c>
      <c r="BO162" s="130">
        <f t="shared" si="111"/>
        <v>0</v>
      </c>
      <c r="BP162" s="130">
        <f t="shared" si="111"/>
        <v>0</v>
      </c>
      <c r="BQ162" s="130">
        <f t="shared" si="111"/>
        <v>0.1438104004</v>
      </c>
      <c r="BR162" s="130">
        <f t="shared" si="111"/>
        <v>0</v>
      </c>
      <c r="BS162" s="130">
        <f t="shared" si="111"/>
        <v>0</v>
      </c>
      <c r="BT162" s="130">
        <f t="shared" si="111"/>
        <v>0</v>
      </c>
      <c r="BU162" s="130">
        <f t="shared" si="111"/>
        <v>0</v>
      </c>
      <c r="BV162" s="130">
        <f t="shared" si="111"/>
        <v>0</v>
      </c>
      <c r="BW162" s="130">
        <f t="shared" si="111"/>
        <v>0.1257292295</v>
      </c>
      <c r="BX162" s="130">
        <f t="shared" si="111"/>
        <v>0</v>
      </c>
      <c r="BY162" s="130">
        <f t="shared" si="111"/>
        <v>0</v>
      </c>
      <c r="BZ162" s="130">
        <f t="shared" si="111"/>
        <v>0</v>
      </c>
      <c r="CA162" s="130">
        <f t="shared" si="111"/>
        <v>0</v>
      </c>
      <c r="CB162" s="130">
        <f t="shared" si="111"/>
        <v>0</v>
      </c>
      <c r="CC162" s="130"/>
      <c r="CD162" s="130"/>
    </row>
    <row r="163" ht="15.75" customHeight="1">
      <c r="A163" s="115" t="s">
        <v>183</v>
      </c>
      <c r="B163" s="6"/>
    </row>
    <row r="164" ht="15.75" customHeight="1">
      <c r="B164" s="6"/>
    </row>
    <row r="165" ht="15.75" customHeight="1">
      <c r="A165" s="1" t="s">
        <v>584</v>
      </c>
      <c r="B165" s="6"/>
      <c r="C165" s="247">
        <f t="shared" ref="C165:S165" si="112">C172</f>
        <v>4464</v>
      </c>
      <c r="D165" s="247">
        <f t="shared" si="112"/>
        <v>7771</v>
      </c>
      <c r="E165" s="247">
        <f t="shared" si="112"/>
        <v>7204</v>
      </c>
      <c r="F165" s="247">
        <f t="shared" si="112"/>
        <v>8607</v>
      </c>
      <c r="G165" s="247">
        <f t="shared" si="112"/>
        <v>7380</v>
      </c>
      <c r="H165" s="247">
        <f t="shared" si="112"/>
        <v>5641</v>
      </c>
      <c r="I165" s="247">
        <f t="shared" si="112"/>
        <v>5524</v>
      </c>
      <c r="J165" s="247">
        <f t="shared" si="112"/>
        <v>6716</v>
      </c>
      <c r="K165" s="247">
        <f t="shared" si="112"/>
        <v>5514</v>
      </c>
      <c r="L165" s="247">
        <f t="shared" si="112"/>
        <v>7606</v>
      </c>
      <c r="M165" s="247">
        <f t="shared" si="112"/>
        <v>4737</v>
      </c>
      <c r="N165" s="247">
        <f t="shared" si="112"/>
        <v>5223</v>
      </c>
      <c r="O165" s="247">
        <f t="shared" si="112"/>
        <v>6622</v>
      </c>
      <c r="P165" s="247">
        <f t="shared" si="112"/>
        <v>5712</v>
      </c>
      <c r="Q165" s="247">
        <f t="shared" si="112"/>
        <v>4998</v>
      </c>
      <c r="R165" s="247">
        <f t="shared" si="112"/>
        <v>3458</v>
      </c>
      <c r="S165" s="247">
        <f t="shared" si="112"/>
        <v>5375</v>
      </c>
      <c r="T165" s="116">
        <f t="shared" ref="T165:CB165" si="113">S165+T166</f>
        <v>9375</v>
      </c>
      <c r="U165" s="116">
        <f t="shared" si="113"/>
        <v>9375</v>
      </c>
      <c r="V165" s="116">
        <f t="shared" si="113"/>
        <v>9375</v>
      </c>
      <c r="W165" s="116">
        <f t="shared" si="113"/>
        <v>9375</v>
      </c>
      <c r="X165" s="116">
        <f t="shared" si="113"/>
        <v>9375</v>
      </c>
      <c r="Y165" s="116">
        <f t="shared" si="113"/>
        <v>9375</v>
      </c>
      <c r="Z165" s="116">
        <f t="shared" si="113"/>
        <v>9575</v>
      </c>
      <c r="AA165" s="116">
        <f t="shared" si="113"/>
        <v>9575</v>
      </c>
      <c r="AB165" s="116">
        <f t="shared" si="113"/>
        <v>9575</v>
      </c>
      <c r="AC165" s="116">
        <f t="shared" si="113"/>
        <v>9575</v>
      </c>
      <c r="AD165" s="116">
        <f t="shared" si="113"/>
        <v>9575</v>
      </c>
      <c r="AE165" s="116">
        <f t="shared" si="113"/>
        <v>9575</v>
      </c>
      <c r="AF165" s="116">
        <f t="shared" si="113"/>
        <v>9575</v>
      </c>
      <c r="AG165" s="116">
        <f t="shared" si="113"/>
        <v>9575</v>
      </c>
      <c r="AH165" s="116">
        <f t="shared" si="113"/>
        <v>9575</v>
      </c>
      <c r="AI165" s="116">
        <f t="shared" si="113"/>
        <v>9575</v>
      </c>
      <c r="AJ165" s="116">
        <f t="shared" si="113"/>
        <v>9575</v>
      </c>
      <c r="AK165" s="116">
        <f t="shared" si="113"/>
        <v>9575</v>
      </c>
      <c r="AL165" s="116">
        <f t="shared" si="113"/>
        <v>9575</v>
      </c>
      <c r="AM165" s="116">
        <f t="shared" si="113"/>
        <v>9575</v>
      </c>
      <c r="AN165" s="116">
        <f t="shared" si="113"/>
        <v>9575</v>
      </c>
      <c r="AO165" s="116">
        <f t="shared" si="113"/>
        <v>9575</v>
      </c>
      <c r="AP165" s="116">
        <f t="shared" si="113"/>
        <v>9575</v>
      </c>
      <c r="AQ165" s="116">
        <f t="shared" si="113"/>
        <v>9575</v>
      </c>
      <c r="AR165" s="116">
        <f t="shared" si="113"/>
        <v>9575</v>
      </c>
      <c r="AS165" s="116">
        <f t="shared" si="113"/>
        <v>9575</v>
      </c>
      <c r="AT165" s="116">
        <f t="shared" si="113"/>
        <v>9575</v>
      </c>
      <c r="AU165" s="116">
        <f t="shared" si="113"/>
        <v>9575</v>
      </c>
      <c r="AV165" s="116">
        <f t="shared" si="113"/>
        <v>9575</v>
      </c>
      <c r="AW165" s="116">
        <f t="shared" si="113"/>
        <v>9575</v>
      </c>
      <c r="AX165" s="116">
        <f t="shared" si="113"/>
        <v>9575</v>
      </c>
      <c r="AY165" s="116">
        <f t="shared" si="113"/>
        <v>9575</v>
      </c>
      <c r="AZ165" s="116">
        <f t="shared" si="113"/>
        <v>9575</v>
      </c>
      <c r="BA165" s="116">
        <f t="shared" si="113"/>
        <v>9575</v>
      </c>
      <c r="BB165" s="116">
        <f t="shared" si="113"/>
        <v>9575</v>
      </c>
      <c r="BC165" s="116">
        <f t="shared" si="113"/>
        <v>9575</v>
      </c>
      <c r="BD165" s="116">
        <f t="shared" si="113"/>
        <v>9575</v>
      </c>
      <c r="BE165" s="116">
        <f t="shared" si="113"/>
        <v>9575</v>
      </c>
      <c r="BF165" s="116">
        <f t="shared" si="113"/>
        <v>9575</v>
      </c>
      <c r="BG165" s="116">
        <f t="shared" si="113"/>
        <v>9575</v>
      </c>
      <c r="BH165" s="116">
        <f t="shared" si="113"/>
        <v>9575</v>
      </c>
      <c r="BI165" s="116">
        <f t="shared" si="113"/>
        <v>9575</v>
      </c>
      <c r="BJ165" s="116">
        <f t="shared" si="113"/>
        <v>9575</v>
      </c>
      <c r="BK165" s="116">
        <f t="shared" si="113"/>
        <v>9575</v>
      </c>
      <c r="BL165" s="116">
        <f t="shared" si="113"/>
        <v>9575</v>
      </c>
      <c r="BM165" s="116">
        <f t="shared" si="113"/>
        <v>9575</v>
      </c>
      <c r="BN165" s="116">
        <f t="shared" si="113"/>
        <v>9575</v>
      </c>
      <c r="BO165" s="116">
        <f t="shared" si="113"/>
        <v>9575</v>
      </c>
      <c r="BP165" s="116">
        <f t="shared" si="113"/>
        <v>9575</v>
      </c>
      <c r="BQ165" s="116">
        <f t="shared" si="113"/>
        <v>9575</v>
      </c>
      <c r="BR165" s="116">
        <f t="shared" si="113"/>
        <v>9575</v>
      </c>
      <c r="BS165" s="116">
        <f t="shared" si="113"/>
        <v>9575</v>
      </c>
      <c r="BT165" s="116">
        <f t="shared" si="113"/>
        <v>9575</v>
      </c>
      <c r="BU165" s="116">
        <f t="shared" si="113"/>
        <v>9575</v>
      </c>
      <c r="BV165" s="116">
        <f t="shared" si="113"/>
        <v>9575</v>
      </c>
      <c r="BW165" s="116">
        <f t="shared" si="113"/>
        <v>9575</v>
      </c>
      <c r="BX165" s="116">
        <f t="shared" si="113"/>
        <v>9575</v>
      </c>
      <c r="BY165" s="116">
        <f t="shared" si="113"/>
        <v>9575</v>
      </c>
      <c r="BZ165" s="116">
        <f t="shared" si="113"/>
        <v>9575</v>
      </c>
      <c r="CA165" s="116">
        <f t="shared" si="113"/>
        <v>9575</v>
      </c>
      <c r="CB165" s="116">
        <f t="shared" si="113"/>
        <v>9575</v>
      </c>
      <c r="CC165" s="117"/>
      <c r="CD165" s="117"/>
    </row>
    <row r="166" ht="15.75" customHeight="1">
      <c r="A166" s="1" t="s">
        <v>531</v>
      </c>
      <c r="B166" s="6"/>
      <c r="C166" s="263">
        <f t="shared" ref="C166:P166" si="114">C165/C1</f>
        <v>0.00551180519</v>
      </c>
      <c r="D166" s="263">
        <f t="shared" si="114"/>
        <v>0.009991077329</v>
      </c>
      <c r="E166" s="263">
        <f t="shared" si="114"/>
        <v>0.00857934645</v>
      </c>
      <c r="F166" s="263">
        <f t="shared" si="114"/>
        <v>0.009598891895</v>
      </c>
      <c r="G166" s="263">
        <f t="shared" si="114"/>
        <v>0.008459247746</v>
      </c>
      <c r="H166" s="263">
        <f t="shared" si="114"/>
        <v>0.005613560914</v>
      </c>
      <c r="I166" s="263">
        <f t="shared" si="114"/>
        <v>0.004892500498</v>
      </c>
      <c r="J166" s="263">
        <f t="shared" si="114"/>
        <v>0.006909002999</v>
      </c>
      <c r="K166" s="263">
        <f t="shared" si="114"/>
        <v>0.005176482958</v>
      </c>
      <c r="L166" s="263">
        <f t="shared" si="114"/>
        <v>0.006528889866</v>
      </c>
      <c r="M166" s="263">
        <f t="shared" si="114"/>
        <v>0.004150839237</v>
      </c>
      <c r="N166" s="263">
        <f t="shared" si="114"/>
        <v>0.005088738718</v>
      </c>
      <c r="O166" s="263">
        <f t="shared" si="114"/>
        <v>0.006106366223</v>
      </c>
      <c r="P166" s="263">
        <f t="shared" si="114"/>
        <v>0.004455746759</v>
      </c>
      <c r="Q166" s="266"/>
      <c r="R166" s="266"/>
      <c r="S166" s="266"/>
      <c r="T166" s="305">
        <v>4000.0</v>
      </c>
      <c r="U166" s="266"/>
      <c r="V166" s="266"/>
      <c r="W166" s="266"/>
      <c r="X166" s="266"/>
      <c r="Y166" s="266"/>
      <c r="Z166" s="305">
        <v>200.0</v>
      </c>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49"/>
      <c r="CD166" s="249"/>
    </row>
    <row r="167" ht="15.75" customHeight="1">
      <c r="B167" s="6"/>
    </row>
    <row r="168" ht="15.75" customHeight="1">
      <c r="A168" s="132" t="s">
        <v>256</v>
      </c>
      <c r="B168" s="306"/>
      <c r="C168" s="247">
        <f t="array" ref="C168">INDEX('IS Proforma'!$1:$1048490,MATCH(Expenses!$A168,'IS Proforma'!$C:$C,0),MATCH(Expenses!C$4,'IS Proforma'!$4:$4))</f>
        <v>1209</v>
      </c>
      <c r="D168" s="247">
        <f t="array" ref="D168">INDEX('IS Proforma'!$1:$1048490,MATCH(Expenses!$A168,'IS Proforma'!$C:$C,0),MATCH(Expenses!D$4,'IS Proforma'!$4:$4))</f>
        <v>1608</v>
      </c>
      <c r="E168" s="247">
        <f t="array" ref="E168">INDEX('IS Proforma'!$1:$1048490,MATCH(Expenses!$A168,'IS Proforma'!$C:$C,0),MATCH(Expenses!E$4,'IS Proforma'!$4:$4))</f>
        <v>1066</v>
      </c>
      <c r="F168" s="247">
        <f t="array" ref="F168">INDEX('IS Proforma'!$1:$1048490,MATCH(Expenses!$A168,'IS Proforma'!$C:$C,0),MATCH(Expenses!F$4,'IS Proforma'!$4:$4))</f>
        <v>2158</v>
      </c>
      <c r="G168" s="247">
        <f t="array" ref="G168">INDEX('IS Proforma'!$1:$1048490,MATCH(Expenses!$A168,'IS Proforma'!$C:$C,0),MATCH(Expenses!G$4,'IS Proforma'!$4:$4))</f>
        <v>2375</v>
      </c>
      <c r="H168" s="247">
        <f t="array" ref="H168">INDEX('IS Proforma'!$1:$1048490,MATCH(Expenses!$A168,'IS Proforma'!$C:$C,0),MATCH(Expenses!H$4,'IS Proforma'!$4:$4))</f>
        <v>1486</v>
      </c>
      <c r="I168" s="247">
        <f t="array" ref="I168">INDEX('IS Proforma'!$1:$1048490,MATCH(Expenses!$A168,'IS Proforma'!$C:$C,0),MATCH(Expenses!I$4,'IS Proforma'!$4:$4))</f>
        <v>1416</v>
      </c>
      <c r="J168" s="247">
        <f t="array" ref="J168">INDEX('IS Proforma'!$1:$1048490,MATCH(Expenses!$A168,'IS Proforma'!$C:$C,0),MATCH(Expenses!J$4,'IS Proforma'!$4:$4))</f>
        <v>1108</v>
      </c>
      <c r="K168" s="247">
        <f t="array" ref="K168">INDEX('IS Proforma'!$1:$1048490,MATCH(Expenses!$A168,'IS Proforma'!$C:$C,0),MATCH(Expenses!K$4,'IS Proforma'!$4:$4))</f>
        <v>1945</v>
      </c>
      <c r="L168" s="247">
        <f t="array" ref="L168">INDEX('IS Proforma'!$1:$1048490,MATCH(Expenses!$A168,'IS Proforma'!$C:$C,0),MATCH(Expenses!L$4,'IS Proforma'!$4:$4))</f>
        <v>2274</v>
      </c>
      <c r="M168" s="247">
        <f t="array" ref="M168">INDEX('IS Proforma'!$1:$1048490,MATCH(Expenses!$A168,'IS Proforma'!$C:$C,0),MATCH(Expenses!M$4,'IS Proforma'!$4:$4))</f>
        <v>2189</v>
      </c>
      <c r="N168" s="247">
        <f t="array" ref="N168">INDEX('IS Proforma'!$1:$1048490,MATCH(Expenses!$A168,'IS Proforma'!$C:$C,0),MATCH(Expenses!N$4,'IS Proforma'!$4:$4))</f>
        <v>1674</v>
      </c>
      <c r="O168" s="247">
        <f t="array" ref="O168">INDEX('IS Proforma'!$1:$1048490,MATCH(Expenses!$A168,'IS Proforma'!$C:$C,0),MATCH(Expenses!O$4,'IS Proforma'!$4:$4))</f>
        <v>2312</v>
      </c>
      <c r="P168" s="247">
        <f t="array" ref="P168">INDEX('IS Proforma'!$1:$1048490,MATCH(Expenses!$A168,'IS Proforma'!$C:$C,0),MATCH(Expenses!P$4,'IS Proforma'!$4:$4))</f>
        <v>1762</v>
      </c>
      <c r="Q168" s="247">
        <f t="array" ref="Q168">INDEX('IS Proforma'!$1:$1048490,MATCH(Expenses!$A168,'IS Proforma'!$C:$C,0),MATCH(Expenses!Q$4,'IS Proforma'!$4:$4))</f>
        <v>1517</v>
      </c>
      <c r="R168" s="247">
        <f t="array" ref="R168">INDEX('IS Proforma'!$1:$1048490,MATCH(Expenses!$A168,'IS Proforma'!$C:$C,0),MATCH(Expenses!R$4,'IS Proforma'!$4:$4))</f>
        <v>1283</v>
      </c>
      <c r="S168" s="247">
        <f t="array" ref="S168">INDEX('IS Proforma'!$1:$1048490,MATCH(Expenses!$A168,'IS Proforma'!$C:$C,0),MATCH(Expenses!S$4,'IS Proforma'!$4:$4))</f>
        <v>1222</v>
      </c>
      <c r="T168" s="246">
        <f t="shared" ref="T168:CB168" si="115">T165-T170</f>
        <v>5375</v>
      </c>
      <c r="U168" s="246">
        <f t="shared" si="115"/>
        <v>5375</v>
      </c>
      <c r="V168" s="246">
        <f t="shared" si="115"/>
        <v>5375</v>
      </c>
      <c r="W168" s="246">
        <f t="shared" si="115"/>
        <v>5375</v>
      </c>
      <c r="X168" s="246">
        <f t="shared" si="115"/>
        <v>5375</v>
      </c>
      <c r="Y168" s="246">
        <f t="shared" si="115"/>
        <v>5375</v>
      </c>
      <c r="Z168" s="246">
        <f t="shared" si="115"/>
        <v>5575</v>
      </c>
      <c r="AA168" s="246">
        <f t="shared" si="115"/>
        <v>5575</v>
      </c>
      <c r="AB168" s="246">
        <f t="shared" si="115"/>
        <v>5575</v>
      </c>
      <c r="AC168" s="246">
        <f t="shared" si="115"/>
        <v>5575</v>
      </c>
      <c r="AD168" s="246">
        <f t="shared" si="115"/>
        <v>5575</v>
      </c>
      <c r="AE168" s="246">
        <f t="shared" si="115"/>
        <v>5575</v>
      </c>
      <c r="AF168" s="246">
        <f t="shared" si="115"/>
        <v>5575</v>
      </c>
      <c r="AG168" s="246">
        <f t="shared" si="115"/>
        <v>5575</v>
      </c>
      <c r="AH168" s="246">
        <f t="shared" si="115"/>
        <v>5575</v>
      </c>
      <c r="AI168" s="246">
        <f t="shared" si="115"/>
        <v>5575</v>
      </c>
      <c r="AJ168" s="246">
        <f t="shared" si="115"/>
        <v>5575</v>
      </c>
      <c r="AK168" s="246">
        <f t="shared" si="115"/>
        <v>5575</v>
      </c>
      <c r="AL168" s="246">
        <f t="shared" si="115"/>
        <v>5575</v>
      </c>
      <c r="AM168" s="246">
        <f t="shared" si="115"/>
        <v>5575</v>
      </c>
      <c r="AN168" s="246">
        <f t="shared" si="115"/>
        <v>5575</v>
      </c>
      <c r="AO168" s="246">
        <f t="shared" si="115"/>
        <v>5575</v>
      </c>
      <c r="AP168" s="246">
        <f t="shared" si="115"/>
        <v>5575</v>
      </c>
      <c r="AQ168" s="246">
        <f t="shared" si="115"/>
        <v>5575</v>
      </c>
      <c r="AR168" s="246">
        <f t="shared" si="115"/>
        <v>5575</v>
      </c>
      <c r="AS168" s="246">
        <f t="shared" si="115"/>
        <v>5575</v>
      </c>
      <c r="AT168" s="246">
        <f t="shared" si="115"/>
        <v>5575</v>
      </c>
      <c r="AU168" s="246">
        <f t="shared" si="115"/>
        <v>5575</v>
      </c>
      <c r="AV168" s="246">
        <f t="shared" si="115"/>
        <v>5575</v>
      </c>
      <c r="AW168" s="246">
        <f t="shared" si="115"/>
        <v>5575</v>
      </c>
      <c r="AX168" s="246">
        <f t="shared" si="115"/>
        <v>5575</v>
      </c>
      <c r="AY168" s="246">
        <f t="shared" si="115"/>
        <v>5575</v>
      </c>
      <c r="AZ168" s="246">
        <f t="shared" si="115"/>
        <v>5575</v>
      </c>
      <c r="BA168" s="246">
        <f t="shared" si="115"/>
        <v>5575</v>
      </c>
      <c r="BB168" s="246">
        <f t="shared" si="115"/>
        <v>5575</v>
      </c>
      <c r="BC168" s="246">
        <f t="shared" si="115"/>
        <v>5575</v>
      </c>
      <c r="BD168" s="246">
        <f t="shared" si="115"/>
        <v>5575</v>
      </c>
      <c r="BE168" s="246">
        <f t="shared" si="115"/>
        <v>5575</v>
      </c>
      <c r="BF168" s="246">
        <f t="shared" si="115"/>
        <v>5575</v>
      </c>
      <c r="BG168" s="246">
        <f t="shared" si="115"/>
        <v>5575</v>
      </c>
      <c r="BH168" s="246">
        <f t="shared" si="115"/>
        <v>5575</v>
      </c>
      <c r="BI168" s="246">
        <f t="shared" si="115"/>
        <v>5575</v>
      </c>
      <c r="BJ168" s="246">
        <f t="shared" si="115"/>
        <v>5575</v>
      </c>
      <c r="BK168" s="246">
        <f t="shared" si="115"/>
        <v>5575</v>
      </c>
      <c r="BL168" s="246">
        <f t="shared" si="115"/>
        <v>5575</v>
      </c>
      <c r="BM168" s="246">
        <f t="shared" si="115"/>
        <v>5575</v>
      </c>
      <c r="BN168" s="246">
        <f t="shared" si="115"/>
        <v>5575</v>
      </c>
      <c r="BO168" s="246">
        <f t="shared" si="115"/>
        <v>5575</v>
      </c>
      <c r="BP168" s="246">
        <f t="shared" si="115"/>
        <v>5575</v>
      </c>
      <c r="BQ168" s="246">
        <f t="shared" si="115"/>
        <v>5575</v>
      </c>
      <c r="BR168" s="246">
        <f t="shared" si="115"/>
        <v>5575</v>
      </c>
      <c r="BS168" s="246">
        <f t="shared" si="115"/>
        <v>5575</v>
      </c>
      <c r="BT168" s="246">
        <f t="shared" si="115"/>
        <v>5575</v>
      </c>
      <c r="BU168" s="246">
        <f t="shared" si="115"/>
        <v>5575</v>
      </c>
      <c r="BV168" s="246">
        <f t="shared" si="115"/>
        <v>5575</v>
      </c>
      <c r="BW168" s="246">
        <f t="shared" si="115"/>
        <v>5575</v>
      </c>
      <c r="BX168" s="246">
        <f t="shared" si="115"/>
        <v>5575</v>
      </c>
      <c r="BY168" s="246">
        <f t="shared" si="115"/>
        <v>5575</v>
      </c>
      <c r="BZ168" s="246">
        <f t="shared" si="115"/>
        <v>5575</v>
      </c>
      <c r="CA168" s="246">
        <f t="shared" si="115"/>
        <v>5575</v>
      </c>
      <c r="CB168" s="246">
        <f t="shared" si="115"/>
        <v>5575</v>
      </c>
      <c r="CC168" s="117"/>
      <c r="CD168" s="117"/>
    </row>
    <row r="169" ht="15.75" customHeight="1">
      <c r="A169" s="132" t="s">
        <v>257</v>
      </c>
      <c r="B169" s="306"/>
      <c r="C169" s="247">
        <f t="array" ref="C169">INDEX('IS Proforma'!$1:$1048490,MATCH(Expenses!$A169,'IS Proforma'!$C:$C,0),MATCH(Expenses!C$4,'IS Proforma'!$4:$4))</f>
        <v>1045</v>
      </c>
      <c r="D169" s="247">
        <f t="array" ref="D169">INDEX('IS Proforma'!$1:$1048490,MATCH(Expenses!$A169,'IS Proforma'!$C:$C,0),MATCH(Expenses!D$4,'IS Proforma'!$4:$4))</f>
        <v>1783</v>
      </c>
      <c r="E169" s="247">
        <f t="array" ref="E169">INDEX('IS Proforma'!$1:$1048490,MATCH(Expenses!$A169,'IS Proforma'!$C:$C,0),MATCH(Expenses!E$4,'IS Proforma'!$4:$4))</f>
        <v>2388</v>
      </c>
      <c r="F169" s="247">
        <f t="array" ref="F169">INDEX('IS Proforma'!$1:$1048490,MATCH(Expenses!$A169,'IS Proforma'!$C:$C,0),MATCH(Expenses!F$4,'IS Proforma'!$4:$4))</f>
        <v>2064</v>
      </c>
      <c r="G169" s="247">
        <f t="array" ref="G169">INDEX('IS Proforma'!$1:$1048490,MATCH(Expenses!$A169,'IS Proforma'!$C:$C,0),MATCH(Expenses!G$4,'IS Proforma'!$4:$4))</f>
        <v>1696</v>
      </c>
      <c r="H169" s="247">
        <f t="array" ref="H169">INDEX('IS Proforma'!$1:$1048490,MATCH(Expenses!$A169,'IS Proforma'!$C:$C,0),MATCH(Expenses!H$4,'IS Proforma'!$4:$4))</f>
        <v>1898</v>
      </c>
      <c r="I169" s="247">
        <f t="array" ref="I169">INDEX('IS Proforma'!$1:$1048490,MATCH(Expenses!$A169,'IS Proforma'!$C:$C,0),MATCH(Expenses!I$4,'IS Proforma'!$4:$4))</f>
        <v>1395</v>
      </c>
      <c r="J169" s="247">
        <f t="array" ref="J169">INDEX('IS Proforma'!$1:$1048490,MATCH(Expenses!$A169,'IS Proforma'!$C:$C,0),MATCH(Expenses!J$4,'IS Proforma'!$4:$4))</f>
        <v>1949</v>
      </c>
      <c r="K169" s="247">
        <f t="array" ref="K169">INDEX('IS Proforma'!$1:$1048490,MATCH(Expenses!$A169,'IS Proforma'!$C:$C,0),MATCH(Expenses!K$4,'IS Proforma'!$4:$4))</f>
        <v>1506</v>
      </c>
      <c r="L169" s="247">
        <f t="array" ref="L169">INDEX('IS Proforma'!$1:$1048490,MATCH(Expenses!$A169,'IS Proforma'!$C:$C,0),MATCH(Expenses!L$4,'IS Proforma'!$4:$4))</f>
        <v>1149</v>
      </c>
      <c r="M169" s="247">
        <f t="array" ref="M169">INDEX('IS Proforma'!$1:$1048490,MATCH(Expenses!$A169,'IS Proforma'!$C:$C,0),MATCH(Expenses!M$4,'IS Proforma'!$4:$4))</f>
        <v>1526</v>
      </c>
      <c r="N169" s="247">
        <f t="array" ref="N169">INDEX('IS Proforma'!$1:$1048490,MATCH(Expenses!$A169,'IS Proforma'!$C:$C,0),MATCH(Expenses!N$4,'IS Proforma'!$4:$4))</f>
        <v>1220</v>
      </c>
      <c r="O169" s="247">
        <f t="array" ref="O169">INDEX('IS Proforma'!$1:$1048490,MATCH(Expenses!$A169,'IS Proforma'!$C:$C,0),MATCH(Expenses!O$4,'IS Proforma'!$4:$4))</f>
        <v>2404</v>
      </c>
      <c r="P169" s="247">
        <f t="array" ref="P169">INDEX('IS Proforma'!$1:$1048490,MATCH(Expenses!$A169,'IS Proforma'!$C:$C,0),MATCH(Expenses!P$4,'IS Proforma'!$4:$4))</f>
        <v>1772</v>
      </c>
      <c r="Q169" s="247">
        <f t="array" ref="Q169">INDEX('IS Proforma'!$1:$1048490,MATCH(Expenses!$A169,'IS Proforma'!$C:$C,0),MATCH(Expenses!Q$4,'IS Proforma'!$4:$4))</f>
        <v>2194</v>
      </c>
      <c r="R169" s="247">
        <f t="array" ref="R169">INDEX('IS Proforma'!$1:$1048490,MATCH(Expenses!$A169,'IS Proforma'!$C:$C,0),MATCH(Expenses!R$4,'IS Proforma'!$4:$4))</f>
        <v>1170</v>
      </c>
      <c r="S169" s="247">
        <f t="array" ref="S169">INDEX('IS Proforma'!$1:$1048490,MATCH(Expenses!$A169,'IS Proforma'!$C:$C,0),MATCH(Expenses!S$4,'IS Proforma'!$4:$4))</f>
        <v>2204</v>
      </c>
      <c r="T169" s="117">
        <v>0.0</v>
      </c>
      <c r="U169" s="117">
        <f t="shared" ref="U169:CB169" si="116">U$165*$B169</f>
        <v>0</v>
      </c>
      <c r="V169" s="117">
        <f t="shared" si="116"/>
        <v>0</v>
      </c>
      <c r="W169" s="117">
        <f t="shared" si="116"/>
        <v>0</v>
      </c>
      <c r="X169" s="117">
        <f t="shared" si="116"/>
        <v>0</v>
      </c>
      <c r="Y169" s="117">
        <f t="shared" si="116"/>
        <v>0</v>
      </c>
      <c r="Z169" s="117">
        <f t="shared" si="116"/>
        <v>0</v>
      </c>
      <c r="AA169" s="117">
        <f t="shared" si="116"/>
        <v>0</v>
      </c>
      <c r="AB169" s="117">
        <f t="shared" si="116"/>
        <v>0</v>
      </c>
      <c r="AC169" s="117">
        <f t="shared" si="116"/>
        <v>0</v>
      </c>
      <c r="AD169" s="117">
        <f t="shared" si="116"/>
        <v>0</v>
      </c>
      <c r="AE169" s="117">
        <f t="shared" si="116"/>
        <v>0</v>
      </c>
      <c r="AF169" s="117">
        <f t="shared" si="116"/>
        <v>0</v>
      </c>
      <c r="AG169" s="117">
        <f t="shared" si="116"/>
        <v>0</v>
      </c>
      <c r="AH169" s="117">
        <f t="shared" si="116"/>
        <v>0</v>
      </c>
      <c r="AI169" s="117">
        <f t="shared" si="116"/>
        <v>0</v>
      </c>
      <c r="AJ169" s="117">
        <f t="shared" si="116"/>
        <v>0</v>
      </c>
      <c r="AK169" s="117">
        <f t="shared" si="116"/>
        <v>0</v>
      </c>
      <c r="AL169" s="117">
        <f t="shared" si="116"/>
        <v>0</v>
      </c>
      <c r="AM169" s="117">
        <f t="shared" si="116"/>
        <v>0</v>
      </c>
      <c r="AN169" s="117">
        <f t="shared" si="116"/>
        <v>0</v>
      </c>
      <c r="AO169" s="117">
        <f t="shared" si="116"/>
        <v>0</v>
      </c>
      <c r="AP169" s="117">
        <f t="shared" si="116"/>
        <v>0</v>
      </c>
      <c r="AQ169" s="117">
        <f t="shared" si="116"/>
        <v>0</v>
      </c>
      <c r="AR169" s="117">
        <f t="shared" si="116"/>
        <v>0</v>
      </c>
      <c r="AS169" s="117">
        <f t="shared" si="116"/>
        <v>0</v>
      </c>
      <c r="AT169" s="117">
        <f t="shared" si="116"/>
        <v>0</v>
      </c>
      <c r="AU169" s="117">
        <f t="shared" si="116"/>
        <v>0</v>
      </c>
      <c r="AV169" s="117">
        <f t="shared" si="116"/>
        <v>0</v>
      </c>
      <c r="AW169" s="117">
        <f t="shared" si="116"/>
        <v>0</v>
      </c>
      <c r="AX169" s="117">
        <f t="shared" si="116"/>
        <v>0</v>
      </c>
      <c r="AY169" s="117">
        <f t="shared" si="116"/>
        <v>0</v>
      </c>
      <c r="AZ169" s="117">
        <f t="shared" si="116"/>
        <v>0</v>
      </c>
      <c r="BA169" s="117">
        <f t="shared" si="116"/>
        <v>0</v>
      </c>
      <c r="BB169" s="117">
        <f t="shared" si="116"/>
        <v>0</v>
      </c>
      <c r="BC169" s="117">
        <f t="shared" si="116"/>
        <v>0</v>
      </c>
      <c r="BD169" s="117">
        <f t="shared" si="116"/>
        <v>0</v>
      </c>
      <c r="BE169" s="117">
        <f t="shared" si="116"/>
        <v>0</v>
      </c>
      <c r="BF169" s="117">
        <f t="shared" si="116"/>
        <v>0</v>
      </c>
      <c r="BG169" s="117">
        <f t="shared" si="116"/>
        <v>0</v>
      </c>
      <c r="BH169" s="117">
        <f t="shared" si="116"/>
        <v>0</v>
      </c>
      <c r="BI169" s="117">
        <f t="shared" si="116"/>
        <v>0</v>
      </c>
      <c r="BJ169" s="117">
        <f t="shared" si="116"/>
        <v>0</v>
      </c>
      <c r="BK169" s="117">
        <f t="shared" si="116"/>
        <v>0</v>
      </c>
      <c r="BL169" s="117">
        <f t="shared" si="116"/>
        <v>0</v>
      </c>
      <c r="BM169" s="117">
        <f t="shared" si="116"/>
        <v>0</v>
      </c>
      <c r="BN169" s="117">
        <f t="shared" si="116"/>
        <v>0</v>
      </c>
      <c r="BO169" s="117">
        <f t="shared" si="116"/>
        <v>0</v>
      </c>
      <c r="BP169" s="117">
        <f t="shared" si="116"/>
        <v>0</v>
      </c>
      <c r="BQ169" s="117">
        <f t="shared" si="116"/>
        <v>0</v>
      </c>
      <c r="BR169" s="117">
        <f t="shared" si="116"/>
        <v>0</v>
      </c>
      <c r="BS169" s="117">
        <f t="shared" si="116"/>
        <v>0</v>
      </c>
      <c r="BT169" s="117">
        <f t="shared" si="116"/>
        <v>0</v>
      </c>
      <c r="BU169" s="117">
        <f t="shared" si="116"/>
        <v>0</v>
      </c>
      <c r="BV169" s="117">
        <f t="shared" si="116"/>
        <v>0</v>
      </c>
      <c r="BW169" s="117">
        <f t="shared" si="116"/>
        <v>0</v>
      </c>
      <c r="BX169" s="117">
        <f t="shared" si="116"/>
        <v>0</v>
      </c>
      <c r="BY169" s="117">
        <f t="shared" si="116"/>
        <v>0</v>
      </c>
      <c r="BZ169" s="117">
        <f t="shared" si="116"/>
        <v>0</v>
      </c>
      <c r="CA169" s="117">
        <f t="shared" si="116"/>
        <v>0</v>
      </c>
      <c r="CB169" s="117">
        <f t="shared" si="116"/>
        <v>0</v>
      </c>
      <c r="CC169" s="117"/>
      <c r="CD169" s="117"/>
    </row>
    <row r="170" ht="15.75" customHeight="1">
      <c r="A170" s="132" t="s">
        <v>258</v>
      </c>
      <c r="B170" s="307"/>
      <c r="C170" s="247">
        <f t="array" ref="C170">INDEX('IS Proforma'!$1:$1048490,MATCH(Expenses!$A170,'IS Proforma'!$C:$C,0),MATCH(Expenses!C$4,'IS Proforma'!$4:$4))</f>
        <v>1206</v>
      </c>
      <c r="D170" s="247">
        <f t="array" ref="D170">INDEX('IS Proforma'!$1:$1048490,MATCH(Expenses!$A170,'IS Proforma'!$C:$C,0),MATCH(Expenses!D$4,'IS Proforma'!$4:$4))</f>
        <v>2171</v>
      </c>
      <c r="E170" s="247">
        <f t="array" ref="E170">INDEX('IS Proforma'!$1:$1048490,MATCH(Expenses!$A170,'IS Proforma'!$C:$C,0),MATCH(Expenses!E$4,'IS Proforma'!$4:$4))</f>
        <v>2070</v>
      </c>
      <c r="F170" s="247">
        <f t="array" ref="F170">INDEX('IS Proforma'!$1:$1048490,MATCH(Expenses!$A170,'IS Proforma'!$C:$C,0),MATCH(Expenses!F$4,'IS Proforma'!$4:$4))</f>
        <v>2085</v>
      </c>
      <c r="G170" s="247">
        <f t="array" ref="G170">INDEX('IS Proforma'!$1:$1048490,MATCH(Expenses!$A170,'IS Proforma'!$C:$C,0),MATCH(Expenses!G$4,'IS Proforma'!$4:$4))</f>
        <v>1334</v>
      </c>
      <c r="H170" s="247">
        <f t="array" ref="H170">INDEX('IS Proforma'!$1:$1048490,MATCH(Expenses!$A170,'IS Proforma'!$C:$C,0),MATCH(Expenses!H$4,'IS Proforma'!$4:$4))</f>
        <v>1117</v>
      </c>
      <c r="I170" s="247">
        <f t="array" ref="I170">INDEX('IS Proforma'!$1:$1048490,MATCH(Expenses!$A170,'IS Proforma'!$C:$C,0),MATCH(Expenses!I$4,'IS Proforma'!$4:$4))</f>
        <v>1302</v>
      </c>
      <c r="J170" s="247">
        <f t="array" ref="J170">INDEX('IS Proforma'!$1:$1048490,MATCH(Expenses!$A170,'IS Proforma'!$C:$C,0),MATCH(Expenses!J$4,'IS Proforma'!$4:$4))</f>
        <v>1406</v>
      </c>
      <c r="K170" s="247">
        <f t="array" ref="K170">INDEX('IS Proforma'!$1:$1048490,MATCH(Expenses!$A170,'IS Proforma'!$C:$C,0),MATCH(Expenses!K$4,'IS Proforma'!$4:$4))</f>
        <v>1009</v>
      </c>
      <c r="L170" s="247">
        <f t="array" ref="L170">INDEX('IS Proforma'!$1:$1048490,MATCH(Expenses!$A170,'IS Proforma'!$C:$C,0),MATCH(Expenses!L$4,'IS Proforma'!$4:$4))</f>
        <v>2335</v>
      </c>
      <c r="M170" s="247">
        <f t="array" ref="M170">INDEX('IS Proforma'!$1:$1048490,MATCH(Expenses!$A170,'IS Proforma'!$C:$C,0),MATCH(Expenses!M$4,'IS Proforma'!$4:$4))</f>
        <v>1022</v>
      </c>
      <c r="N170" s="247">
        <f t="array" ref="N170">INDEX('IS Proforma'!$1:$1048490,MATCH(Expenses!$A170,'IS Proforma'!$C:$C,0),MATCH(Expenses!N$4,'IS Proforma'!$4:$4))</f>
        <v>2329</v>
      </c>
      <c r="O170" s="247">
        <f t="array" ref="O170">INDEX('IS Proforma'!$1:$1048490,MATCH(Expenses!$A170,'IS Proforma'!$C:$C,0),MATCH(Expenses!O$4,'IS Proforma'!$4:$4))</f>
        <v>1906</v>
      </c>
      <c r="P170" s="247">
        <f t="array" ref="P170">INDEX('IS Proforma'!$1:$1048490,MATCH(Expenses!$A170,'IS Proforma'!$C:$C,0),MATCH(Expenses!P$4,'IS Proforma'!$4:$4))</f>
        <v>2178</v>
      </c>
      <c r="Q170" s="247">
        <f t="array" ref="Q170">INDEX('IS Proforma'!$1:$1048490,MATCH(Expenses!$A170,'IS Proforma'!$C:$C,0),MATCH(Expenses!Q$4,'IS Proforma'!$4:$4))</f>
        <v>1287</v>
      </c>
      <c r="R170" s="247">
        <f t="array" ref="R170">INDEX('IS Proforma'!$1:$1048490,MATCH(Expenses!$A170,'IS Proforma'!$C:$C,0),MATCH(Expenses!R$4,'IS Proforma'!$4:$4))</f>
        <v>1005</v>
      </c>
      <c r="S170" s="247">
        <f t="array" ref="S170">INDEX('IS Proforma'!$1:$1048490,MATCH(Expenses!$A170,'IS Proforma'!$C:$C,0),MATCH(Expenses!S$4,'IS Proforma'!$4:$4))</f>
        <v>1949</v>
      </c>
      <c r="T170" s="117">
        <v>4000.0</v>
      </c>
      <c r="U170" s="117">
        <v>4000.0</v>
      </c>
      <c r="V170" s="117">
        <v>4000.0</v>
      </c>
      <c r="W170" s="117">
        <v>4000.0</v>
      </c>
      <c r="X170" s="117">
        <v>4000.0</v>
      </c>
      <c r="Y170" s="117">
        <v>4000.0</v>
      </c>
      <c r="Z170" s="117">
        <v>4000.0</v>
      </c>
      <c r="AA170" s="117">
        <v>4000.0</v>
      </c>
      <c r="AB170" s="117">
        <v>4000.0</v>
      </c>
      <c r="AC170" s="117">
        <v>4000.0</v>
      </c>
      <c r="AD170" s="117">
        <v>4000.0</v>
      </c>
      <c r="AE170" s="117">
        <v>4000.0</v>
      </c>
      <c r="AF170" s="117">
        <v>4000.0</v>
      </c>
      <c r="AG170" s="117">
        <v>4000.0</v>
      </c>
      <c r="AH170" s="117">
        <v>4000.0</v>
      </c>
      <c r="AI170" s="117">
        <v>4000.0</v>
      </c>
      <c r="AJ170" s="117">
        <v>4000.0</v>
      </c>
      <c r="AK170" s="117">
        <v>4000.0</v>
      </c>
      <c r="AL170" s="117">
        <v>4000.0</v>
      </c>
      <c r="AM170" s="117">
        <v>4000.0</v>
      </c>
      <c r="AN170" s="117">
        <v>4000.0</v>
      </c>
      <c r="AO170" s="117">
        <v>4000.0</v>
      </c>
      <c r="AP170" s="117">
        <v>4000.0</v>
      </c>
      <c r="AQ170" s="117">
        <v>4000.0</v>
      </c>
      <c r="AR170" s="117">
        <v>4000.0</v>
      </c>
      <c r="AS170" s="117">
        <v>4000.0</v>
      </c>
      <c r="AT170" s="117">
        <v>4000.0</v>
      </c>
      <c r="AU170" s="117">
        <v>4000.0</v>
      </c>
      <c r="AV170" s="117">
        <v>4000.0</v>
      </c>
      <c r="AW170" s="117">
        <v>4000.0</v>
      </c>
      <c r="AX170" s="117">
        <v>4000.0</v>
      </c>
      <c r="AY170" s="117">
        <v>4000.0</v>
      </c>
      <c r="AZ170" s="117">
        <v>4000.0</v>
      </c>
      <c r="BA170" s="117">
        <v>4000.0</v>
      </c>
      <c r="BB170" s="117">
        <v>4000.0</v>
      </c>
      <c r="BC170" s="117">
        <v>4000.0</v>
      </c>
      <c r="BD170" s="117">
        <v>4000.0</v>
      </c>
      <c r="BE170" s="117">
        <v>4000.0</v>
      </c>
      <c r="BF170" s="117">
        <v>4000.0</v>
      </c>
      <c r="BG170" s="117">
        <v>4000.0</v>
      </c>
      <c r="BH170" s="117">
        <v>4000.0</v>
      </c>
      <c r="BI170" s="117">
        <v>4000.0</v>
      </c>
      <c r="BJ170" s="117">
        <v>4000.0</v>
      </c>
      <c r="BK170" s="117">
        <v>4000.0</v>
      </c>
      <c r="BL170" s="117">
        <v>4000.0</v>
      </c>
      <c r="BM170" s="117">
        <v>4000.0</v>
      </c>
      <c r="BN170" s="117">
        <v>4000.0</v>
      </c>
      <c r="BO170" s="117">
        <v>4000.0</v>
      </c>
      <c r="BP170" s="117">
        <v>4000.0</v>
      </c>
      <c r="BQ170" s="117">
        <v>4000.0</v>
      </c>
      <c r="BR170" s="117">
        <v>4000.0</v>
      </c>
      <c r="BS170" s="117">
        <v>4000.0</v>
      </c>
      <c r="BT170" s="117">
        <v>4000.0</v>
      </c>
      <c r="BU170" s="117">
        <v>4000.0</v>
      </c>
      <c r="BV170" s="117">
        <v>4000.0</v>
      </c>
      <c r="BW170" s="117">
        <v>4000.0</v>
      </c>
      <c r="BX170" s="117">
        <v>4000.0</v>
      </c>
      <c r="BY170" s="117">
        <v>4000.0</v>
      </c>
      <c r="BZ170" s="117">
        <v>4000.0</v>
      </c>
      <c r="CA170" s="117">
        <v>4000.0</v>
      </c>
      <c r="CB170" s="117">
        <v>4000.0</v>
      </c>
      <c r="CC170" s="117"/>
      <c r="CD170" s="117"/>
    </row>
    <row r="171" ht="15.75" customHeight="1">
      <c r="A171" s="132" t="s">
        <v>260</v>
      </c>
      <c r="B171" s="306"/>
      <c r="C171" s="247">
        <f t="array" ref="C171">INDEX('IS Proforma'!$1:$1048490,MATCH(Expenses!$A171,'IS Proforma'!$C:$C,0),MATCH(Expenses!C$4,'IS Proforma'!$4:$4))</f>
        <v>1004</v>
      </c>
      <c r="D171" s="247">
        <f t="array" ref="D171">INDEX('IS Proforma'!$1:$1048490,MATCH(Expenses!$A171,'IS Proforma'!$C:$C,0),MATCH(Expenses!D$4,'IS Proforma'!$4:$4))</f>
        <v>2209</v>
      </c>
      <c r="E171" s="247">
        <f t="array" ref="E171">INDEX('IS Proforma'!$1:$1048490,MATCH(Expenses!$A171,'IS Proforma'!$C:$C,0),MATCH(Expenses!E$4,'IS Proforma'!$4:$4))</f>
        <v>1680</v>
      </c>
      <c r="F171" s="247">
        <f t="array" ref="F171">INDEX('IS Proforma'!$1:$1048490,MATCH(Expenses!$A171,'IS Proforma'!$C:$C,0),MATCH(Expenses!F$4,'IS Proforma'!$4:$4))</f>
        <v>2300</v>
      </c>
      <c r="G171" s="247">
        <f t="array" ref="G171">INDEX('IS Proforma'!$1:$1048490,MATCH(Expenses!$A171,'IS Proforma'!$C:$C,0),MATCH(Expenses!G$4,'IS Proforma'!$4:$4))</f>
        <v>1975</v>
      </c>
      <c r="H171" s="247">
        <f t="array" ref="H171">INDEX('IS Proforma'!$1:$1048490,MATCH(Expenses!$A171,'IS Proforma'!$C:$C,0),MATCH(Expenses!H$4,'IS Proforma'!$4:$4))</f>
        <v>1140</v>
      </c>
      <c r="I171" s="247">
        <f t="array" ref="I171">INDEX('IS Proforma'!$1:$1048490,MATCH(Expenses!$A171,'IS Proforma'!$C:$C,0),MATCH(Expenses!I$4,'IS Proforma'!$4:$4))</f>
        <v>1411</v>
      </c>
      <c r="J171" s="247">
        <f t="array" ref="J171">INDEX('IS Proforma'!$1:$1048490,MATCH(Expenses!$A171,'IS Proforma'!$C:$C,0),MATCH(Expenses!J$4,'IS Proforma'!$4:$4))</f>
        <v>2253</v>
      </c>
      <c r="K171" s="247">
        <f t="array" ref="K171">INDEX('IS Proforma'!$1:$1048490,MATCH(Expenses!$A171,'IS Proforma'!$C:$C,0),MATCH(Expenses!K$4,'IS Proforma'!$4:$4))</f>
        <v>1054</v>
      </c>
      <c r="L171" s="247">
        <f t="array" ref="L171">INDEX('IS Proforma'!$1:$1048490,MATCH(Expenses!$A171,'IS Proforma'!$C:$C,0),MATCH(Expenses!L$4,'IS Proforma'!$4:$4))</f>
        <v>1848</v>
      </c>
      <c r="M171" s="247">
        <v>0.0</v>
      </c>
      <c r="N171" s="247">
        <v>0.0</v>
      </c>
      <c r="O171" s="247">
        <v>0.0</v>
      </c>
      <c r="P171" s="247">
        <v>0.0</v>
      </c>
      <c r="Q171" s="247">
        <v>0.0</v>
      </c>
      <c r="R171" s="247">
        <v>0.0</v>
      </c>
      <c r="S171" s="247">
        <v>0.0</v>
      </c>
      <c r="T171" s="117">
        <f t="shared" ref="T171:CB171" si="117">T$165*$B171</f>
        <v>0</v>
      </c>
      <c r="U171" s="117">
        <f t="shared" si="117"/>
        <v>0</v>
      </c>
      <c r="V171" s="117">
        <f t="shared" si="117"/>
        <v>0</v>
      </c>
      <c r="W171" s="117">
        <f t="shared" si="117"/>
        <v>0</v>
      </c>
      <c r="X171" s="117">
        <f t="shared" si="117"/>
        <v>0</v>
      </c>
      <c r="Y171" s="117">
        <f t="shared" si="117"/>
        <v>0</v>
      </c>
      <c r="Z171" s="117">
        <f t="shared" si="117"/>
        <v>0</v>
      </c>
      <c r="AA171" s="117">
        <f t="shared" si="117"/>
        <v>0</v>
      </c>
      <c r="AB171" s="117">
        <f t="shared" si="117"/>
        <v>0</v>
      </c>
      <c r="AC171" s="117">
        <f t="shared" si="117"/>
        <v>0</v>
      </c>
      <c r="AD171" s="117">
        <f t="shared" si="117"/>
        <v>0</v>
      </c>
      <c r="AE171" s="117">
        <f t="shared" si="117"/>
        <v>0</v>
      </c>
      <c r="AF171" s="117">
        <f t="shared" si="117"/>
        <v>0</v>
      </c>
      <c r="AG171" s="117">
        <f t="shared" si="117"/>
        <v>0</v>
      </c>
      <c r="AH171" s="117">
        <f t="shared" si="117"/>
        <v>0</v>
      </c>
      <c r="AI171" s="117">
        <f t="shared" si="117"/>
        <v>0</v>
      </c>
      <c r="AJ171" s="117">
        <f t="shared" si="117"/>
        <v>0</v>
      </c>
      <c r="AK171" s="117">
        <f t="shared" si="117"/>
        <v>0</v>
      </c>
      <c r="AL171" s="117">
        <f t="shared" si="117"/>
        <v>0</v>
      </c>
      <c r="AM171" s="117">
        <f t="shared" si="117"/>
        <v>0</v>
      </c>
      <c r="AN171" s="117">
        <f t="shared" si="117"/>
        <v>0</v>
      </c>
      <c r="AO171" s="117">
        <f t="shared" si="117"/>
        <v>0</v>
      </c>
      <c r="AP171" s="117">
        <f t="shared" si="117"/>
        <v>0</v>
      </c>
      <c r="AQ171" s="117">
        <f t="shared" si="117"/>
        <v>0</v>
      </c>
      <c r="AR171" s="117">
        <f t="shared" si="117"/>
        <v>0</v>
      </c>
      <c r="AS171" s="117">
        <f t="shared" si="117"/>
        <v>0</v>
      </c>
      <c r="AT171" s="117">
        <f t="shared" si="117"/>
        <v>0</v>
      </c>
      <c r="AU171" s="117">
        <f t="shared" si="117"/>
        <v>0</v>
      </c>
      <c r="AV171" s="117">
        <f t="shared" si="117"/>
        <v>0</v>
      </c>
      <c r="AW171" s="117">
        <f t="shared" si="117"/>
        <v>0</v>
      </c>
      <c r="AX171" s="117">
        <f t="shared" si="117"/>
        <v>0</v>
      </c>
      <c r="AY171" s="117">
        <f t="shared" si="117"/>
        <v>0</v>
      </c>
      <c r="AZ171" s="117">
        <f t="shared" si="117"/>
        <v>0</v>
      </c>
      <c r="BA171" s="117">
        <f t="shared" si="117"/>
        <v>0</v>
      </c>
      <c r="BB171" s="117">
        <f t="shared" si="117"/>
        <v>0</v>
      </c>
      <c r="BC171" s="117">
        <f t="shared" si="117"/>
        <v>0</v>
      </c>
      <c r="BD171" s="117">
        <f t="shared" si="117"/>
        <v>0</v>
      </c>
      <c r="BE171" s="117">
        <f t="shared" si="117"/>
        <v>0</v>
      </c>
      <c r="BF171" s="117">
        <f t="shared" si="117"/>
        <v>0</v>
      </c>
      <c r="BG171" s="117">
        <f t="shared" si="117"/>
        <v>0</v>
      </c>
      <c r="BH171" s="117">
        <f t="shared" si="117"/>
        <v>0</v>
      </c>
      <c r="BI171" s="117">
        <f t="shared" si="117"/>
        <v>0</v>
      </c>
      <c r="BJ171" s="117">
        <f t="shared" si="117"/>
        <v>0</v>
      </c>
      <c r="BK171" s="117">
        <f t="shared" si="117"/>
        <v>0</v>
      </c>
      <c r="BL171" s="117">
        <f t="shared" si="117"/>
        <v>0</v>
      </c>
      <c r="BM171" s="117">
        <f t="shared" si="117"/>
        <v>0</v>
      </c>
      <c r="BN171" s="117">
        <f t="shared" si="117"/>
        <v>0</v>
      </c>
      <c r="BO171" s="117">
        <f t="shared" si="117"/>
        <v>0</v>
      </c>
      <c r="BP171" s="117">
        <f t="shared" si="117"/>
        <v>0</v>
      </c>
      <c r="BQ171" s="117">
        <f t="shared" si="117"/>
        <v>0</v>
      </c>
      <c r="BR171" s="117">
        <f t="shared" si="117"/>
        <v>0</v>
      </c>
      <c r="BS171" s="117">
        <f t="shared" si="117"/>
        <v>0</v>
      </c>
      <c r="BT171" s="117">
        <f t="shared" si="117"/>
        <v>0</v>
      </c>
      <c r="BU171" s="117">
        <f t="shared" si="117"/>
        <v>0</v>
      </c>
      <c r="BV171" s="117">
        <f t="shared" si="117"/>
        <v>0</v>
      </c>
      <c r="BW171" s="117">
        <f t="shared" si="117"/>
        <v>0</v>
      </c>
      <c r="BX171" s="117">
        <f t="shared" si="117"/>
        <v>0</v>
      </c>
      <c r="BY171" s="117">
        <f t="shared" si="117"/>
        <v>0</v>
      </c>
      <c r="BZ171" s="117">
        <f t="shared" si="117"/>
        <v>0</v>
      </c>
      <c r="CA171" s="117">
        <f t="shared" si="117"/>
        <v>0</v>
      </c>
      <c r="CB171" s="117">
        <f t="shared" si="117"/>
        <v>0</v>
      </c>
      <c r="CC171" s="117"/>
      <c r="CD171" s="117"/>
    </row>
    <row r="172" ht="15.75" customHeight="1">
      <c r="A172" s="272" t="s">
        <v>270</v>
      </c>
      <c r="B172" s="294"/>
      <c r="C172" s="121">
        <f t="shared" ref="C172:CB172" si="118">SUM(C168:C171)</f>
        <v>4464</v>
      </c>
      <c r="D172" s="121">
        <f t="shared" si="118"/>
        <v>7771</v>
      </c>
      <c r="E172" s="121">
        <f t="shared" si="118"/>
        <v>7204</v>
      </c>
      <c r="F172" s="121">
        <f t="shared" si="118"/>
        <v>8607</v>
      </c>
      <c r="G172" s="121">
        <f t="shared" si="118"/>
        <v>7380</v>
      </c>
      <c r="H172" s="121">
        <f t="shared" si="118"/>
        <v>5641</v>
      </c>
      <c r="I172" s="121">
        <f t="shared" si="118"/>
        <v>5524</v>
      </c>
      <c r="J172" s="121">
        <f t="shared" si="118"/>
        <v>6716</v>
      </c>
      <c r="K172" s="121">
        <f t="shared" si="118"/>
        <v>5514</v>
      </c>
      <c r="L172" s="121">
        <f t="shared" si="118"/>
        <v>7606</v>
      </c>
      <c r="M172" s="121">
        <f t="shared" si="118"/>
        <v>4737</v>
      </c>
      <c r="N172" s="121">
        <f t="shared" si="118"/>
        <v>5223</v>
      </c>
      <c r="O172" s="121">
        <f t="shared" si="118"/>
        <v>6622</v>
      </c>
      <c r="P172" s="121">
        <f t="shared" si="118"/>
        <v>5712</v>
      </c>
      <c r="Q172" s="121">
        <f t="shared" si="118"/>
        <v>4998</v>
      </c>
      <c r="R172" s="121">
        <f t="shared" si="118"/>
        <v>3458</v>
      </c>
      <c r="S172" s="121">
        <f t="shared" si="118"/>
        <v>5375</v>
      </c>
      <c r="T172" s="121">
        <f t="shared" si="118"/>
        <v>9375</v>
      </c>
      <c r="U172" s="121">
        <f t="shared" si="118"/>
        <v>9375</v>
      </c>
      <c r="V172" s="121">
        <f t="shared" si="118"/>
        <v>9375</v>
      </c>
      <c r="W172" s="121">
        <f t="shared" si="118"/>
        <v>9375</v>
      </c>
      <c r="X172" s="121">
        <f t="shared" si="118"/>
        <v>9375</v>
      </c>
      <c r="Y172" s="121">
        <f t="shared" si="118"/>
        <v>9375</v>
      </c>
      <c r="Z172" s="121">
        <f t="shared" si="118"/>
        <v>9575</v>
      </c>
      <c r="AA172" s="121">
        <f t="shared" si="118"/>
        <v>9575</v>
      </c>
      <c r="AB172" s="121">
        <f t="shared" si="118"/>
        <v>9575</v>
      </c>
      <c r="AC172" s="121">
        <f t="shared" si="118"/>
        <v>9575</v>
      </c>
      <c r="AD172" s="121">
        <f t="shared" si="118"/>
        <v>9575</v>
      </c>
      <c r="AE172" s="121">
        <f t="shared" si="118"/>
        <v>9575</v>
      </c>
      <c r="AF172" s="121">
        <f t="shared" si="118"/>
        <v>9575</v>
      </c>
      <c r="AG172" s="121">
        <f t="shared" si="118"/>
        <v>9575</v>
      </c>
      <c r="AH172" s="121">
        <f t="shared" si="118"/>
        <v>9575</v>
      </c>
      <c r="AI172" s="121">
        <f t="shared" si="118"/>
        <v>9575</v>
      </c>
      <c r="AJ172" s="121">
        <f t="shared" si="118"/>
        <v>9575</v>
      </c>
      <c r="AK172" s="121">
        <f t="shared" si="118"/>
        <v>9575</v>
      </c>
      <c r="AL172" s="121">
        <f t="shared" si="118"/>
        <v>9575</v>
      </c>
      <c r="AM172" s="121">
        <f t="shared" si="118"/>
        <v>9575</v>
      </c>
      <c r="AN172" s="121">
        <f t="shared" si="118"/>
        <v>9575</v>
      </c>
      <c r="AO172" s="121">
        <f t="shared" si="118"/>
        <v>9575</v>
      </c>
      <c r="AP172" s="121">
        <f t="shared" si="118"/>
        <v>9575</v>
      </c>
      <c r="AQ172" s="121">
        <f t="shared" si="118"/>
        <v>9575</v>
      </c>
      <c r="AR172" s="121">
        <f t="shared" si="118"/>
        <v>9575</v>
      </c>
      <c r="AS172" s="121">
        <f t="shared" si="118"/>
        <v>9575</v>
      </c>
      <c r="AT172" s="121">
        <f t="shared" si="118"/>
        <v>9575</v>
      </c>
      <c r="AU172" s="121">
        <f t="shared" si="118"/>
        <v>9575</v>
      </c>
      <c r="AV172" s="121">
        <f t="shared" si="118"/>
        <v>9575</v>
      </c>
      <c r="AW172" s="121">
        <f t="shared" si="118"/>
        <v>9575</v>
      </c>
      <c r="AX172" s="121">
        <f t="shared" si="118"/>
        <v>9575</v>
      </c>
      <c r="AY172" s="121">
        <f t="shared" si="118"/>
        <v>9575</v>
      </c>
      <c r="AZ172" s="121">
        <f t="shared" si="118"/>
        <v>9575</v>
      </c>
      <c r="BA172" s="121">
        <f t="shared" si="118"/>
        <v>9575</v>
      </c>
      <c r="BB172" s="121">
        <f t="shared" si="118"/>
        <v>9575</v>
      </c>
      <c r="BC172" s="121">
        <f t="shared" si="118"/>
        <v>9575</v>
      </c>
      <c r="BD172" s="121">
        <f t="shared" si="118"/>
        <v>9575</v>
      </c>
      <c r="BE172" s="121">
        <f t="shared" si="118"/>
        <v>9575</v>
      </c>
      <c r="BF172" s="121">
        <f t="shared" si="118"/>
        <v>9575</v>
      </c>
      <c r="BG172" s="121">
        <f t="shared" si="118"/>
        <v>9575</v>
      </c>
      <c r="BH172" s="121">
        <f t="shared" si="118"/>
        <v>9575</v>
      </c>
      <c r="BI172" s="121">
        <f t="shared" si="118"/>
        <v>9575</v>
      </c>
      <c r="BJ172" s="121">
        <f t="shared" si="118"/>
        <v>9575</v>
      </c>
      <c r="BK172" s="121">
        <f t="shared" si="118"/>
        <v>9575</v>
      </c>
      <c r="BL172" s="121">
        <f t="shared" si="118"/>
        <v>9575</v>
      </c>
      <c r="BM172" s="121">
        <f t="shared" si="118"/>
        <v>9575</v>
      </c>
      <c r="BN172" s="121">
        <f t="shared" si="118"/>
        <v>9575</v>
      </c>
      <c r="BO172" s="121">
        <f t="shared" si="118"/>
        <v>9575</v>
      </c>
      <c r="BP172" s="121">
        <f t="shared" si="118"/>
        <v>9575</v>
      </c>
      <c r="BQ172" s="121">
        <f t="shared" si="118"/>
        <v>9575</v>
      </c>
      <c r="BR172" s="121">
        <f t="shared" si="118"/>
        <v>9575</v>
      </c>
      <c r="BS172" s="121">
        <f t="shared" si="118"/>
        <v>9575</v>
      </c>
      <c r="BT172" s="121">
        <f t="shared" si="118"/>
        <v>9575</v>
      </c>
      <c r="BU172" s="121">
        <f t="shared" si="118"/>
        <v>9575</v>
      </c>
      <c r="BV172" s="121">
        <f t="shared" si="118"/>
        <v>9575</v>
      </c>
      <c r="BW172" s="121">
        <f t="shared" si="118"/>
        <v>9575</v>
      </c>
      <c r="BX172" s="121">
        <f t="shared" si="118"/>
        <v>9575</v>
      </c>
      <c r="BY172" s="121">
        <f t="shared" si="118"/>
        <v>9575</v>
      </c>
      <c r="BZ172" s="121">
        <f t="shared" si="118"/>
        <v>9575</v>
      </c>
      <c r="CA172" s="121">
        <f t="shared" si="118"/>
        <v>9575</v>
      </c>
      <c r="CB172" s="121">
        <f t="shared" si="118"/>
        <v>9575</v>
      </c>
      <c r="CC172" s="118"/>
      <c r="CD172" s="118"/>
    </row>
    <row r="173" ht="15.75" customHeight="1">
      <c r="B173" s="6"/>
      <c r="D173" s="130">
        <f t="shared" ref="D173:CB173" si="119">D172/C172-1</f>
        <v>0.7408154122</v>
      </c>
      <c r="E173" s="130">
        <f t="shared" si="119"/>
        <v>-0.07296358255</v>
      </c>
      <c r="F173" s="130">
        <f t="shared" si="119"/>
        <v>0.194752915</v>
      </c>
      <c r="G173" s="130">
        <f t="shared" si="119"/>
        <v>-0.1425583827</v>
      </c>
      <c r="H173" s="130">
        <f t="shared" si="119"/>
        <v>-0.2356368564</v>
      </c>
      <c r="I173" s="130">
        <f t="shared" si="119"/>
        <v>-0.02074100337</v>
      </c>
      <c r="J173" s="130">
        <f t="shared" si="119"/>
        <v>0.2157856626</v>
      </c>
      <c r="K173" s="130">
        <f t="shared" si="119"/>
        <v>-0.1789755807</v>
      </c>
      <c r="L173" s="130">
        <f t="shared" si="119"/>
        <v>0.3793978963</v>
      </c>
      <c r="M173" s="130">
        <f t="shared" si="119"/>
        <v>-0.3772022088</v>
      </c>
      <c r="N173" s="130">
        <f t="shared" si="119"/>
        <v>0.1025965801</v>
      </c>
      <c r="O173" s="130">
        <f t="shared" si="119"/>
        <v>0.2678537239</v>
      </c>
      <c r="P173" s="130">
        <f t="shared" si="119"/>
        <v>-0.1374207188</v>
      </c>
      <c r="Q173" s="130">
        <f t="shared" si="119"/>
        <v>-0.125</v>
      </c>
      <c r="R173" s="130">
        <f t="shared" si="119"/>
        <v>-0.3081232493</v>
      </c>
      <c r="S173" s="130">
        <f t="shared" si="119"/>
        <v>0.5543666859</v>
      </c>
      <c r="T173" s="130">
        <f t="shared" si="119"/>
        <v>0.7441860465</v>
      </c>
      <c r="U173" s="130">
        <f t="shared" si="119"/>
        <v>0</v>
      </c>
      <c r="V173" s="130">
        <f t="shared" si="119"/>
        <v>0</v>
      </c>
      <c r="W173" s="130">
        <f t="shared" si="119"/>
        <v>0</v>
      </c>
      <c r="X173" s="130">
        <f t="shared" si="119"/>
        <v>0</v>
      </c>
      <c r="Y173" s="130">
        <f t="shared" si="119"/>
        <v>0</v>
      </c>
      <c r="Z173" s="130">
        <f t="shared" si="119"/>
        <v>0.02133333333</v>
      </c>
      <c r="AA173" s="130">
        <f t="shared" si="119"/>
        <v>0</v>
      </c>
      <c r="AB173" s="130">
        <f t="shared" si="119"/>
        <v>0</v>
      </c>
      <c r="AC173" s="130">
        <f t="shared" si="119"/>
        <v>0</v>
      </c>
      <c r="AD173" s="130">
        <f t="shared" si="119"/>
        <v>0</v>
      </c>
      <c r="AE173" s="130">
        <f t="shared" si="119"/>
        <v>0</v>
      </c>
      <c r="AF173" s="130">
        <f t="shared" si="119"/>
        <v>0</v>
      </c>
      <c r="AG173" s="130">
        <f t="shared" si="119"/>
        <v>0</v>
      </c>
      <c r="AH173" s="130">
        <f t="shared" si="119"/>
        <v>0</v>
      </c>
      <c r="AI173" s="130">
        <f t="shared" si="119"/>
        <v>0</v>
      </c>
      <c r="AJ173" s="130">
        <f t="shared" si="119"/>
        <v>0</v>
      </c>
      <c r="AK173" s="130">
        <f t="shared" si="119"/>
        <v>0</v>
      </c>
      <c r="AL173" s="130">
        <f t="shared" si="119"/>
        <v>0</v>
      </c>
      <c r="AM173" s="130">
        <f t="shared" si="119"/>
        <v>0</v>
      </c>
      <c r="AN173" s="130">
        <f t="shared" si="119"/>
        <v>0</v>
      </c>
      <c r="AO173" s="130">
        <f t="shared" si="119"/>
        <v>0</v>
      </c>
      <c r="AP173" s="130">
        <f t="shared" si="119"/>
        <v>0</v>
      </c>
      <c r="AQ173" s="130">
        <f t="shared" si="119"/>
        <v>0</v>
      </c>
      <c r="AR173" s="130">
        <f t="shared" si="119"/>
        <v>0</v>
      </c>
      <c r="AS173" s="130">
        <f t="shared" si="119"/>
        <v>0</v>
      </c>
      <c r="AT173" s="130">
        <f t="shared" si="119"/>
        <v>0</v>
      </c>
      <c r="AU173" s="130">
        <f t="shared" si="119"/>
        <v>0</v>
      </c>
      <c r="AV173" s="130">
        <f t="shared" si="119"/>
        <v>0</v>
      </c>
      <c r="AW173" s="130">
        <f t="shared" si="119"/>
        <v>0</v>
      </c>
      <c r="AX173" s="130">
        <f t="shared" si="119"/>
        <v>0</v>
      </c>
      <c r="AY173" s="130">
        <f t="shared" si="119"/>
        <v>0</v>
      </c>
      <c r="AZ173" s="130">
        <f t="shared" si="119"/>
        <v>0</v>
      </c>
      <c r="BA173" s="130">
        <f t="shared" si="119"/>
        <v>0</v>
      </c>
      <c r="BB173" s="130">
        <f t="shared" si="119"/>
        <v>0</v>
      </c>
      <c r="BC173" s="130">
        <f t="shared" si="119"/>
        <v>0</v>
      </c>
      <c r="BD173" s="130">
        <f t="shared" si="119"/>
        <v>0</v>
      </c>
      <c r="BE173" s="130">
        <f t="shared" si="119"/>
        <v>0</v>
      </c>
      <c r="BF173" s="130">
        <f t="shared" si="119"/>
        <v>0</v>
      </c>
      <c r="BG173" s="130">
        <f t="shared" si="119"/>
        <v>0</v>
      </c>
      <c r="BH173" s="130">
        <f t="shared" si="119"/>
        <v>0</v>
      </c>
      <c r="BI173" s="130">
        <f t="shared" si="119"/>
        <v>0</v>
      </c>
      <c r="BJ173" s="130">
        <f t="shared" si="119"/>
        <v>0</v>
      </c>
      <c r="BK173" s="130">
        <f t="shared" si="119"/>
        <v>0</v>
      </c>
      <c r="BL173" s="130">
        <f t="shared" si="119"/>
        <v>0</v>
      </c>
      <c r="BM173" s="130">
        <f t="shared" si="119"/>
        <v>0</v>
      </c>
      <c r="BN173" s="130">
        <f t="shared" si="119"/>
        <v>0</v>
      </c>
      <c r="BO173" s="130">
        <f t="shared" si="119"/>
        <v>0</v>
      </c>
      <c r="BP173" s="130">
        <f t="shared" si="119"/>
        <v>0</v>
      </c>
      <c r="BQ173" s="130">
        <f t="shared" si="119"/>
        <v>0</v>
      </c>
      <c r="BR173" s="130">
        <f t="shared" si="119"/>
        <v>0</v>
      </c>
      <c r="BS173" s="130">
        <f t="shared" si="119"/>
        <v>0</v>
      </c>
      <c r="BT173" s="130">
        <f t="shared" si="119"/>
        <v>0</v>
      </c>
      <c r="BU173" s="130">
        <f t="shared" si="119"/>
        <v>0</v>
      </c>
      <c r="BV173" s="130">
        <f t="shared" si="119"/>
        <v>0</v>
      </c>
      <c r="BW173" s="130">
        <f t="shared" si="119"/>
        <v>0</v>
      </c>
      <c r="BX173" s="130">
        <f t="shared" si="119"/>
        <v>0</v>
      </c>
      <c r="BY173" s="130">
        <f t="shared" si="119"/>
        <v>0</v>
      </c>
      <c r="BZ173" s="130">
        <f t="shared" si="119"/>
        <v>0</v>
      </c>
      <c r="CA173" s="130">
        <f t="shared" si="119"/>
        <v>0</v>
      </c>
      <c r="CB173" s="130">
        <f t="shared" si="119"/>
        <v>0</v>
      </c>
      <c r="CC173" s="130"/>
      <c r="CD173" s="130"/>
    </row>
    <row r="174" ht="15.75" customHeight="1">
      <c r="A174" s="115" t="s">
        <v>585</v>
      </c>
      <c r="B174" s="6"/>
    </row>
    <row r="175" ht="15.75" customHeight="1">
      <c r="B175" s="6"/>
    </row>
    <row r="176" ht="15.75" customHeight="1">
      <c r="A176" s="132" t="s">
        <v>204</v>
      </c>
      <c r="B176" s="6"/>
      <c r="C176" s="116">
        <f t="array" ref="C176">INDEX('IS Proforma'!$1:$1048490,MATCH($A176,'IS Proforma'!$C:$C,0),MATCH(C$4,'IS Proforma'!$4:$4))</f>
        <v>1171275</v>
      </c>
      <c r="D176" s="116">
        <f t="array" ref="D176">INDEX('IS Proforma'!$1:$1048490,MATCH($A176,'IS Proforma'!$C:$C,0),MATCH(D$4,'IS Proforma'!$4:$4))</f>
        <v>1016879</v>
      </c>
      <c r="E176" s="116">
        <f t="array" ref="E176">INDEX('IS Proforma'!$1:$1048490,MATCH($A176,'IS Proforma'!$C:$C,0),MATCH(E$4,'IS Proforma'!$4:$4))</f>
        <v>1199078</v>
      </c>
      <c r="F176" s="116">
        <f t="array" ref="F176">INDEX('IS Proforma'!$1:$1048490,MATCH($A176,'IS Proforma'!$C:$C,0),MATCH(F$4,'IS Proforma'!$4:$4))</f>
        <v>1344905</v>
      </c>
      <c r="G176" s="116">
        <f t="array" ref="G176">INDEX('IS Proforma'!$1:$1048490,MATCH($A176,'IS Proforma'!$C:$C,0),MATCH(G$4,'IS Proforma'!$4:$4))</f>
        <v>1212008</v>
      </c>
      <c r="H176" s="116">
        <f t="array" ref="H176">INDEX('IS Proforma'!$1:$1048490,MATCH($A176,'IS Proforma'!$C:$C,0),MATCH(H$4,'IS Proforma'!$4:$4))</f>
        <v>1122806</v>
      </c>
      <c r="I176" s="116">
        <f t="array" ref="I176">INDEX('IS Proforma'!$1:$1048490,MATCH($A176,'IS Proforma'!$C:$C,0),MATCH(I$4,'IS Proforma'!$4:$4))</f>
        <v>1347011</v>
      </c>
      <c r="J176" s="116">
        <f t="array" ref="J176">INDEX('IS Proforma'!$1:$1048490,MATCH($A176,'IS Proforma'!$C:$C,0),MATCH(J$4,'IS Proforma'!$4:$4))</f>
        <v>1100646</v>
      </c>
      <c r="K176" s="116">
        <f t="array" ref="K176">INDEX('IS Proforma'!$1:$1048490,MATCH($A176,'IS Proforma'!$C:$C,0),MATCH(K$4,'IS Proforma'!$4:$4))</f>
        <v>1222111</v>
      </c>
      <c r="L176" s="116">
        <f t="array" ref="L176">INDEX('IS Proforma'!$1:$1048490,MATCH($A176,'IS Proforma'!$C:$C,0),MATCH(L$4,'IS Proforma'!$4:$4))</f>
        <v>1271194</v>
      </c>
      <c r="M176" s="116">
        <f t="array" ref="M176">INDEX('IS Proforma'!$1:$1048490,MATCH($A176,'IS Proforma'!$C:$C,0),MATCH(M$4,'IS Proforma'!$4:$4))</f>
        <v>1363749</v>
      </c>
      <c r="N176" s="116">
        <f t="array" ref="N176">INDEX('IS Proforma'!$1:$1048490,MATCH($A176,'IS Proforma'!$C:$C,0),MATCH(N$4,'IS Proforma'!$4:$4))</f>
        <v>1168159</v>
      </c>
      <c r="O176" s="116">
        <f t="array" ref="O176">INDEX('IS Proforma'!$1:$1048490,MATCH($A176,'IS Proforma'!$C:$C,0),MATCH(O$4,'IS Proforma'!$4:$4))</f>
        <v>1323566</v>
      </c>
      <c r="P176" s="116">
        <f t="array" ref="P176">INDEX('IS Proforma'!$1:$1048490,MATCH($A176,'IS Proforma'!$C:$C,0),MATCH(P$4,'IS Proforma'!$4:$4))</f>
        <v>1496054</v>
      </c>
      <c r="Q176" s="116">
        <f t="array" ref="Q176">INDEX('IS Proforma'!$1:$1048490,MATCH($A176,'IS Proforma'!$C:$C,0),MATCH(Q$4,'IS Proforma'!$4:$4))</f>
        <v>1451527</v>
      </c>
      <c r="R176" s="116">
        <f t="array" ref="R176">INDEX('IS Proforma'!$1:$1048490,MATCH($A176,'IS Proforma'!$C:$C,0),MATCH(R$4,'IS Proforma'!$4:$4))</f>
        <v>1263151</v>
      </c>
      <c r="S176" s="116">
        <f t="array" ref="S176">INDEX('IS Proforma'!$1:$1048490,MATCH($A176,'IS Proforma'!$C:$C,0),MATCH(S$4,'IS Proforma'!$4:$4))</f>
        <v>1309094</v>
      </c>
      <c r="T176" s="116">
        <f t="array" ref="T176">INDEX('IS Proforma'!$1:$1048490,MATCH($A176,'IS Proforma'!$C:$C,0),MATCH(T$4,'IS Proforma'!$4:$4))</f>
        <v>1415790.631</v>
      </c>
      <c r="U176" s="116">
        <f t="array" ref="U176">INDEX('IS Proforma'!$1:$1048490,MATCH($A176,'IS Proforma'!$C:$C,0),MATCH(U$4,'IS Proforma'!$4:$4))</f>
        <v>1667456.392</v>
      </c>
      <c r="V176" s="116">
        <f t="array" ref="V176">INDEX('IS Proforma'!$1:$1048490,MATCH($A176,'IS Proforma'!$C:$C,0),MATCH(V$4,'IS Proforma'!$4:$4))</f>
        <v>1916164.307</v>
      </c>
      <c r="W176" s="116">
        <f t="array" ref="W176">INDEX('IS Proforma'!$1:$1048490,MATCH($A176,'IS Proforma'!$C:$C,0),MATCH(W$4,'IS Proforma'!$4:$4))</f>
        <v>2143927.895</v>
      </c>
      <c r="X176" s="116">
        <f t="array" ref="X176">INDEX('IS Proforma'!$1:$1048490,MATCH($A176,'IS Proforma'!$C:$C,0),MATCH(X$4,'IS Proforma'!$4:$4))</f>
        <v>2362030.523</v>
      </c>
      <c r="Y176" s="116">
        <f t="array" ref="Y176">INDEX('IS Proforma'!$1:$1048490,MATCH($A176,'IS Proforma'!$C:$C,0),MATCH(Y$4,'IS Proforma'!$4:$4))</f>
        <v>2578733.721</v>
      </c>
      <c r="Z176" s="116">
        <f t="array" ref="Z176">INDEX('IS Proforma'!$1:$1048490,MATCH($A176,'IS Proforma'!$C:$C,0),MATCH(Z$4,'IS Proforma'!$4:$4))</f>
        <v>2796714.82</v>
      </c>
      <c r="AA176" s="116">
        <f t="array" ref="AA176">INDEX('IS Proforma'!$1:$1048490,MATCH($A176,'IS Proforma'!$C:$C,0),MATCH(AA$4,'IS Proforma'!$4:$4))</f>
        <v>2993212.987</v>
      </c>
      <c r="AB176" s="116">
        <f t="array" ref="AB176">INDEX('IS Proforma'!$1:$1048490,MATCH($A176,'IS Proforma'!$C:$C,0),MATCH(AB$4,'IS Proforma'!$4:$4))</f>
        <v>3185918.325</v>
      </c>
      <c r="AC176" s="116">
        <f t="array" ref="AC176">INDEX('IS Proforma'!$1:$1048490,MATCH($A176,'IS Proforma'!$C:$C,0),MATCH(AC$4,'IS Proforma'!$4:$4))</f>
        <v>3374588.725</v>
      </c>
      <c r="AD176" s="116">
        <f t="array" ref="AD176">INDEX('IS Proforma'!$1:$1048490,MATCH($A176,'IS Proforma'!$C:$C,0),MATCH(AD$4,'IS Proforma'!$4:$4))</f>
        <v>3549978.171</v>
      </c>
      <c r="AE176" s="116">
        <f t="array" ref="AE176">INDEX('IS Proforma'!$1:$1048490,MATCH($A176,'IS Proforma'!$C:$C,0),MATCH(AE$4,'IS Proforma'!$4:$4))</f>
        <v>3723674.445</v>
      </c>
      <c r="AF176" s="116">
        <f t="array" ref="AF176">INDEX('IS Proforma'!$1:$1048490,MATCH($A176,'IS Proforma'!$C:$C,0),MATCH(AF$4,'IS Proforma'!$4:$4))</f>
        <v>3899557.769</v>
      </c>
      <c r="AG176" s="116">
        <f t="array" ref="AG176">INDEX('IS Proforma'!$1:$1048490,MATCH($A176,'IS Proforma'!$C:$C,0),MATCH(AG$4,'IS Proforma'!$4:$4))</f>
        <v>4073318.095</v>
      </c>
      <c r="AH176" s="116">
        <f t="array" ref="AH176">INDEX('IS Proforma'!$1:$1048490,MATCH($A176,'IS Proforma'!$C:$C,0),MATCH(AH$4,'IS Proforma'!$4:$4))</f>
        <v>4104264.349</v>
      </c>
      <c r="AI176" s="116">
        <f t="array" ref="AI176">INDEX('IS Proforma'!$1:$1048490,MATCH($A176,'IS Proforma'!$C:$C,0),MATCH(AI$4,'IS Proforma'!$4:$4))</f>
        <v>4147652.518</v>
      </c>
      <c r="AJ176" s="116">
        <f t="array" ref="AJ176">INDEX('IS Proforma'!$1:$1048490,MATCH($A176,'IS Proforma'!$C:$C,0),MATCH(AJ$4,'IS Proforma'!$4:$4))</f>
        <v>4203892.505</v>
      </c>
      <c r="AK176" s="116">
        <f t="array" ref="AK176">INDEX('IS Proforma'!$1:$1048490,MATCH($A176,'IS Proforma'!$C:$C,0),MATCH(AK$4,'IS Proforma'!$4:$4))</f>
        <v>4263598.691</v>
      </c>
      <c r="AL176" s="116">
        <f t="array" ref="AL176">INDEX('IS Proforma'!$1:$1048490,MATCH($A176,'IS Proforma'!$C:$C,0),MATCH(AL$4,'IS Proforma'!$4:$4))</f>
        <v>4325695.573</v>
      </c>
      <c r="AM176" s="116">
        <f t="array" ref="AM176">INDEX('IS Proforma'!$1:$1048490,MATCH($A176,'IS Proforma'!$C:$C,0),MATCH(AM$4,'IS Proforma'!$4:$4))</f>
        <v>4387113.817</v>
      </c>
      <c r="AN176" s="116">
        <f t="array" ref="AN176">INDEX('IS Proforma'!$1:$1048490,MATCH($A176,'IS Proforma'!$C:$C,0),MATCH(AN$4,'IS Proforma'!$4:$4))</f>
        <v>4461262.247</v>
      </c>
      <c r="AO176" s="116">
        <f t="array" ref="AO176">INDEX('IS Proforma'!$1:$1048490,MATCH($A176,'IS Proforma'!$C:$C,0),MATCH(AO$4,'IS Proforma'!$4:$4))</f>
        <v>4521109.201</v>
      </c>
      <c r="AP176" s="116">
        <f t="array" ref="AP176">INDEX('IS Proforma'!$1:$1048490,MATCH($A176,'IS Proforma'!$C:$C,0),MATCH(AP$4,'IS Proforma'!$4:$4))</f>
        <v>4580106.491</v>
      </c>
      <c r="AQ176" s="116">
        <f t="array" ref="AQ176">INDEX('IS Proforma'!$1:$1048490,MATCH($A176,'IS Proforma'!$C:$C,0),MATCH(AQ$4,'IS Proforma'!$4:$4))</f>
        <v>4638288.148</v>
      </c>
      <c r="AR176" s="116">
        <f t="array" ref="AR176">INDEX('IS Proforma'!$1:$1048490,MATCH($A176,'IS Proforma'!$C:$C,0),MATCH(AR$4,'IS Proforma'!$4:$4))</f>
        <v>4695693.717</v>
      </c>
      <c r="AS176" s="116">
        <f t="array" ref="AS176">INDEX('IS Proforma'!$1:$1048490,MATCH($A176,'IS Proforma'!$C:$C,0),MATCH(AS$4,'IS Proforma'!$4:$4))</f>
        <v>4820732.602</v>
      </c>
      <c r="AT176" s="116">
        <f t="array" ref="AT176">INDEX('IS Proforma'!$1:$1048490,MATCH($A176,'IS Proforma'!$C:$C,0),MATCH(AT$4,'IS Proforma'!$4:$4))</f>
        <v>4914856.216</v>
      </c>
      <c r="AU176" s="116">
        <f t="array" ref="AU176">INDEX('IS Proforma'!$1:$1048490,MATCH($A176,'IS Proforma'!$C:$C,0),MATCH(AU$4,'IS Proforma'!$4:$4))</f>
        <v>5006077.918</v>
      </c>
      <c r="AV176" s="116">
        <f t="array" ref="AV176">INDEX('IS Proforma'!$1:$1048490,MATCH($A176,'IS Proforma'!$C:$C,0),MATCH(AV$4,'IS Proforma'!$4:$4))</f>
        <v>5094952.155</v>
      </c>
      <c r="AW176" s="116">
        <f t="array" ref="AW176">INDEX('IS Proforma'!$1:$1048490,MATCH($A176,'IS Proforma'!$C:$C,0),MATCH(AW$4,'IS Proforma'!$4:$4))</f>
        <v>5181837.409</v>
      </c>
      <c r="AX176" s="116">
        <f t="array" ref="AX176">INDEX('IS Proforma'!$1:$1048490,MATCH($A176,'IS Proforma'!$C:$C,0),MATCH(AX$4,'IS Proforma'!$4:$4))</f>
        <v>5266964.562</v>
      </c>
      <c r="AY176" s="116">
        <f t="array" ref="AY176">INDEX('IS Proforma'!$1:$1048490,MATCH($A176,'IS Proforma'!$C:$C,0),MATCH(AY$4,'IS Proforma'!$4:$4))</f>
        <v>5350509.62</v>
      </c>
      <c r="AZ176" s="116">
        <f t="array" ref="AZ176">INDEX('IS Proforma'!$1:$1048490,MATCH($A176,'IS Proforma'!$C:$C,0),MATCH(AZ$4,'IS Proforma'!$4:$4))</f>
        <v>5432616.125</v>
      </c>
      <c r="BA176" s="116">
        <f t="array" ref="BA176">INDEX('IS Proforma'!$1:$1048490,MATCH($A176,'IS Proforma'!$C:$C,0),MATCH(BA$4,'IS Proforma'!$4:$4))</f>
        <v>5513405.239</v>
      </c>
      <c r="BB176" s="116">
        <f t="array" ref="BB176">INDEX('IS Proforma'!$1:$1048490,MATCH($A176,'IS Proforma'!$C:$C,0),MATCH(BB$4,'IS Proforma'!$4:$4))</f>
        <v>5592981.632</v>
      </c>
      <c r="BC176" s="116">
        <f t="array" ref="BC176">INDEX('IS Proforma'!$1:$1048490,MATCH($A176,'IS Proforma'!$C:$C,0),MATCH(BC$4,'IS Proforma'!$4:$4))</f>
        <v>5671437.41</v>
      </c>
      <c r="BD176" s="116">
        <f t="array" ref="BD176">INDEX('IS Proforma'!$1:$1048490,MATCH($A176,'IS Proforma'!$C:$C,0),MATCH(BD$4,'IS Proforma'!$4:$4))</f>
        <v>5748854.893</v>
      </c>
      <c r="BE176" s="116">
        <f t="array" ref="BE176">INDEX('IS Proforma'!$1:$1048490,MATCH($A176,'IS Proforma'!$C:$C,0),MATCH(BE$4,'IS Proforma'!$4:$4))</f>
        <v>5860742.345</v>
      </c>
      <c r="BF176" s="116">
        <f t="array" ref="BF176">INDEX('IS Proforma'!$1:$1048490,MATCH($A176,'IS Proforma'!$C:$C,0),MATCH(BF$4,'IS Proforma'!$4:$4))</f>
        <v>5947592.72</v>
      </c>
      <c r="BG176" s="116">
        <f t="array" ref="BG176">INDEX('IS Proforma'!$1:$1048490,MATCH($A176,'IS Proforma'!$C:$C,0),MATCH(BG$4,'IS Proforma'!$4:$4))</f>
        <v>6026248.645</v>
      </c>
      <c r="BH176" s="116">
        <f t="array" ref="BH176">INDEX('IS Proforma'!$1:$1048490,MATCH($A176,'IS Proforma'!$C:$C,0),MATCH(BH$4,'IS Proforma'!$4:$4))</f>
        <v>6103350.145</v>
      </c>
      <c r="BI176" s="116">
        <f t="array" ref="BI176">INDEX('IS Proforma'!$1:$1048490,MATCH($A176,'IS Proforma'!$C:$C,0),MATCH(BI$4,'IS Proforma'!$4:$4))</f>
        <v>6180069.871</v>
      </c>
      <c r="BJ176" s="116">
        <f t="array" ref="BJ176">INDEX('IS Proforma'!$1:$1048490,MATCH($A176,'IS Proforma'!$C:$C,0),MATCH(BJ$4,'IS Proforma'!$4:$4))</f>
        <v>6256437.323</v>
      </c>
      <c r="BK176" s="116">
        <f t="array" ref="BK176">INDEX('IS Proforma'!$1:$1048490,MATCH($A176,'IS Proforma'!$C:$C,0),MATCH(BK$4,'IS Proforma'!$4:$4))</f>
        <v>6332503.361</v>
      </c>
      <c r="BL176" s="116">
        <f t="array" ref="BL176">INDEX('IS Proforma'!$1:$1048490,MATCH($A176,'IS Proforma'!$C:$C,0),MATCH(BL$4,'IS Proforma'!$4:$4))</f>
        <v>6408317.12</v>
      </c>
      <c r="BM176" s="116">
        <f t="array" ref="BM176">INDEX('IS Proforma'!$1:$1048490,MATCH($A176,'IS Proforma'!$C:$C,0),MATCH(BM$4,'IS Proforma'!$4:$4))</f>
        <v>6483925.121</v>
      </c>
      <c r="BN176" s="116">
        <f t="array" ref="BN176">INDEX('IS Proforma'!$1:$1048490,MATCH($A176,'IS Proforma'!$C:$C,0),MATCH(BN$4,'IS Proforma'!$4:$4))</f>
        <v>6559372.097</v>
      </c>
      <c r="BO176" s="116">
        <f t="array" ref="BO176">INDEX('IS Proforma'!$1:$1048490,MATCH($A176,'IS Proforma'!$C:$C,0),MATCH(BO$4,'IS Proforma'!$4:$4))</f>
        <v>6634701.496</v>
      </c>
      <c r="BP176" s="116">
        <f t="array" ref="BP176">INDEX('IS Proforma'!$1:$1048490,MATCH($A176,'IS Proforma'!$C:$C,0),MATCH(BP$4,'IS Proforma'!$4:$4))</f>
        <v>6709955.734</v>
      </c>
      <c r="BQ176" s="116">
        <f t="array" ref="BQ176">INDEX('IS Proforma'!$1:$1048490,MATCH($A176,'IS Proforma'!$C:$C,0),MATCH(BQ$4,'IS Proforma'!$4:$4))</f>
        <v>6812868.679</v>
      </c>
      <c r="BR176" s="116">
        <f t="array" ref="BR176">INDEX('IS Proforma'!$1:$1048490,MATCH($A176,'IS Proforma'!$C:$C,0),MATCH(BR$4,'IS Proforma'!$4:$4))</f>
        <v>6860970.95</v>
      </c>
      <c r="BS176" s="116">
        <f t="array" ref="BS176">INDEX('IS Proforma'!$1:$1048490,MATCH($A176,'IS Proforma'!$C:$C,0),MATCH(BS$4,'IS Proforma'!$4:$4))</f>
        <v>6906949.871</v>
      </c>
      <c r="BT176" s="116">
        <f t="array" ref="BT176">INDEX('IS Proforma'!$1:$1048490,MATCH($A176,'IS Proforma'!$C:$C,0),MATCH(BT$4,'IS Proforma'!$4:$4))</f>
        <v>6955328.654</v>
      </c>
      <c r="BU176" s="116">
        <f t="array" ref="BU176">INDEX('IS Proforma'!$1:$1048490,MATCH($A176,'IS Proforma'!$C:$C,0),MATCH(BU$4,'IS Proforma'!$4:$4))</f>
        <v>7005105.221</v>
      </c>
      <c r="BV176" s="116">
        <f t="array" ref="BV176">INDEX('IS Proforma'!$1:$1048490,MATCH($A176,'IS Proforma'!$C:$C,0),MATCH(BV$4,'IS Proforma'!$4:$4))</f>
        <v>7055526.11</v>
      </c>
      <c r="BW176" s="116">
        <f t="array" ref="BW176">INDEX('IS Proforma'!$1:$1048490,MATCH($A176,'IS Proforma'!$C:$C,0),MATCH(BW$4,'IS Proforma'!$4:$4))</f>
        <v>7106276.176</v>
      </c>
      <c r="BX176" s="116">
        <f t="array" ref="BX176">INDEX('IS Proforma'!$1:$1048490,MATCH($A176,'IS Proforma'!$C:$C,0),MATCH(BX$4,'IS Proforma'!$4:$4))</f>
        <v>7157194.211</v>
      </c>
      <c r="BY176" s="116">
        <f t="array" ref="BY176">INDEX('IS Proforma'!$1:$1048490,MATCH($A176,'IS Proforma'!$C:$C,0),MATCH(BY$4,'IS Proforma'!$4:$4))</f>
        <v>7208189.201</v>
      </c>
      <c r="BZ176" s="116">
        <f t="array" ref="BZ176">INDEX('IS Proforma'!$1:$1048490,MATCH($A176,'IS Proforma'!$C:$C,0),MATCH(BZ$4,'IS Proforma'!$4:$4))</f>
        <v>7259209.016</v>
      </c>
      <c r="CA176" s="116">
        <f t="array" ref="CA176">INDEX('IS Proforma'!$1:$1048490,MATCH($A176,'IS Proforma'!$C:$C,0),MATCH(CA$4,'IS Proforma'!$4:$4))</f>
        <v>7310225.906</v>
      </c>
      <c r="CB176" s="116">
        <f t="array" ref="CB176">INDEX('IS Proforma'!$1:$1048490,MATCH($A176,'IS Proforma'!$C:$C,0),MATCH(CB$4,'IS Proforma'!$4:$4))</f>
        <v>7361228.504</v>
      </c>
      <c r="CC176" s="116"/>
      <c r="CD176" s="116"/>
    </row>
    <row r="177" ht="15.75" customHeight="1">
      <c r="B177" s="6"/>
      <c r="C177" s="5"/>
      <c r="D177" s="5"/>
      <c r="E177" s="5"/>
      <c r="F177" s="5"/>
      <c r="G177" s="5"/>
      <c r="H177" s="5"/>
    </row>
    <row r="178" ht="15.75" customHeight="1">
      <c r="A178" s="1" t="s">
        <v>586</v>
      </c>
      <c r="B178" s="6"/>
      <c r="C178" s="260">
        <f t="shared" ref="C178:S178" si="120">C179/C$176</f>
        <v>0.001192717338</v>
      </c>
      <c r="D178" s="260">
        <f t="shared" si="120"/>
        <v>0.001571475072</v>
      </c>
      <c r="E178" s="260">
        <f t="shared" si="120"/>
        <v>0.001023286225</v>
      </c>
      <c r="F178" s="260">
        <f t="shared" si="120"/>
        <v>0.001777820738</v>
      </c>
      <c r="G178" s="260">
        <f t="shared" si="120"/>
        <v>0.001635302737</v>
      </c>
      <c r="H178" s="260">
        <f t="shared" si="120"/>
        <v>0.002144626944</v>
      </c>
      <c r="I178" s="260">
        <f t="shared" si="120"/>
        <v>0.0009309500813</v>
      </c>
      <c r="J178" s="260">
        <f t="shared" si="120"/>
        <v>0.001388275613</v>
      </c>
      <c r="K178" s="260">
        <f t="shared" si="120"/>
        <v>0.0009180835456</v>
      </c>
      <c r="L178" s="260">
        <f t="shared" si="120"/>
        <v>0.001751896249</v>
      </c>
      <c r="M178" s="260">
        <f t="shared" si="120"/>
        <v>0.001250230064</v>
      </c>
      <c r="N178" s="260">
        <f t="shared" si="120"/>
        <v>0.001502363976</v>
      </c>
      <c r="O178" s="260">
        <f t="shared" si="120"/>
        <v>0.001147657163</v>
      </c>
      <c r="P178" s="260">
        <f t="shared" si="120"/>
        <v>0.0008181522859</v>
      </c>
      <c r="Q178" s="260">
        <f t="shared" si="120"/>
        <v>0.001535624208</v>
      </c>
      <c r="R178" s="260">
        <f t="shared" si="120"/>
        <v>0.00113763121</v>
      </c>
      <c r="S178" s="260">
        <f t="shared" si="120"/>
        <v>0.001847842859</v>
      </c>
      <c r="T178" s="253">
        <f t="shared" ref="T178:CB178" si="121">S178</f>
        <v>0.001847842859</v>
      </c>
      <c r="U178" s="253">
        <f t="shared" si="121"/>
        <v>0.001847842859</v>
      </c>
      <c r="V178" s="253">
        <f t="shared" si="121"/>
        <v>0.001847842859</v>
      </c>
      <c r="W178" s="253">
        <f t="shared" si="121"/>
        <v>0.001847842859</v>
      </c>
      <c r="X178" s="253">
        <f t="shared" si="121"/>
        <v>0.001847842859</v>
      </c>
      <c r="Y178" s="253">
        <f t="shared" si="121"/>
        <v>0.001847842859</v>
      </c>
      <c r="Z178" s="253">
        <f t="shared" si="121"/>
        <v>0.001847842859</v>
      </c>
      <c r="AA178" s="253">
        <f t="shared" si="121"/>
        <v>0.001847842859</v>
      </c>
      <c r="AB178" s="253">
        <f t="shared" si="121"/>
        <v>0.001847842859</v>
      </c>
      <c r="AC178" s="253">
        <f t="shared" si="121"/>
        <v>0.001847842859</v>
      </c>
      <c r="AD178" s="253">
        <f t="shared" si="121"/>
        <v>0.001847842859</v>
      </c>
      <c r="AE178" s="253">
        <f t="shared" si="121"/>
        <v>0.001847842859</v>
      </c>
      <c r="AF178" s="253">
        <f t="shared" si="121"/>
        <v>0.001847842859</v>
      </c>
      <c r="AG178" s="253">
        <f t="shared" si="121"/>
        <v>0.001847842859</v>
      </c>
      <c r="AH178" s="253">
        <f t="shared" si="121"/>
        <v>0.001847842859</v>
      </c>
      <c r="AI178" s="253">
        <f t="shared" si="121"/>
        <v>0.001847842859</v>
      </c>
      <c r="AJ178" s="253">
        <f t="shared" si="121"/>
        <v>0.001847842859</v>
      </c>
      <c r="AK178" s="253">
        <f t="shared" si="121"/>
        <v>0.001847842859</v>
      </c>
      <c r="AL178" s="253">
        <f t="shared" si="121"/>
        <v>0.001847842859</v>
      </c>
      <c r="AM178" s="253">
        <f t="shared" si="121"/>
        <v>0.001847842859</v>
      </c>
      <c r="AN178" s="253">
        <f t="shared" si="121"/>
        <v>0.001847842859</v>
      </c>
      <c r="AO178" s="253">
        <f t="shared" si="121"/>
        <v>0.001847842859</v>
      </c>
      <c r="AP178" s="253">
        <f t="shared" si="121"/>
        <v>0.001847842859</v>
      </c>
      <c r="AQ178" s="253">
        <f t="shared" si="121"/>
        <v>0.001847842859</v>
      </c>
      <c r="AR178" s="253">
        <f t="shared" si="121"/>
        <v>0.001847842859</v>
      </c>
      <c r="AS178" s="253">
        <f t="shared" si="121"/>
        <v>0.001847842859</v>
      </c>
      <c r="AT178" s="253">
        <f t="shared" si="121"/>
        <v>0.001847842859</v>
      </c>
      <c r="AU178" s="253">
        <f t="shared" si="121"/>
        <v>0.001847842859</v>
      </c>
      <c r="AV178" s="253">
        <f t="shared" si="121"/>
        <v>0.001847842859</v>
      </c>
      <c r="AW178" s="253">
        <f t="shared" si="121"/>
        <v>0.001847842859</v>
      </c>
      <c r="AX178" s="253">
        <f t="shared" si="121"/>
        <v>0.001847842859</v>
      </c>
      <c r="AY178" s="253">
        <f t="shared" si="121"/>
        <v>0.001847842859</v>
      </c>
      <c r="AZ178" s="253">
        <f t="shared" si="121"/>
        <v>0.001847842859</v>
      </c>
      <c r="BA178" s="253">
        <f t="shared" si="121"/>
        <v>0.001847842859</v>
      </c>
      <c r="BB178" s="253">
        <f t="shared" si="121"/>
        <v>0.001847842859</v>
      </c>
      <c r="BC178" s="253">
        <f t="shared" si="121"/>
        <v>0.001847842859</v>
      </c>
      <c r="BD178" s="253">
        <f t="shared" si="121"/>
        <v>0.001847842859</v>
      </c>
      <c r="BE178" s="253">
        <f t="shared" si="121"/>
        <v>0.001847842859</v>
      </c>
      <c r="BF178" s="253">
        <f t="shared" si="121"/>
        <v>0.001847842859</v>
      </c>
      <c r="BG178" s="253">
        <f t="shared" si="121"/>
        <v>0.001847842859</v>
      </c>
      <c r="BH178" s="253">
        <f t="shared" si="121"/>
        <v>0.001847842859</v>
      </c>
      <c r="BI178" s="253">
        <f t="shared" si="121"/>
        <v>0.001847842859</v>
      </c>
      <c r="BJ178" s="253">
        <f t="shared" si="121"/>
        <v>0.001847842859</v>
      </c>
      <c r="BK178" s="253">
        <f t="shared" si="121"/>
        <v>0.001847842859</v>
      </c>
      <c r="BL178" s="253">
        <f t="shared" si="121"/>
        <v>0.001847842859</v>
      </c>
      <c r="BM178" s="253">
        <f t="shared" si="121"/>
        <v>0.001847842859</v>
      </c>
      <c r="BN178" s="253">
        <f t="shared" si="121"/>
        <v>0.001847842859</v>
      </c>
      <c r="BO178" s="253">
        <f t="shared" si="121"/>
        <v>0.001847842859</v>
      </c>
      <c r="BP178" s="253">
        <f t="shared" si="121"/>
        <v>0.001847842859</v>
      </c>
      <c r="BQ178" s="253">
        <f t="shared" si="121"/>
        <v>0.001847842859</v>
      </c>
      <c r="BR178" s="253">
        <f t="shared" si="121"/>
        <v>0.001847842859</v>
      </c>
      <c r="BS178" s="253">
        <f t="shared" si="121"/>
        <v>0.001847842859</v>
      </c>
      <c r="BT178" s="253">
        <f t="shared" si="121"/>
        <v>0.001847842859</v>
      </c>
      <c r="BU178" s="253">
        <f t="shared" si="121"/>
        <v>0.001847842859</v>
      </c>
      <c r="BV178" s="253">
        <f t="shared" si="121"/>
        <v>0.001847842859</v>
      </c>
      <c r="BW178" s="253">
        <f t="shared" si="121"/>
        <v>0.001847842859</v>
      </c>
      <c r="BX178" s="253">
        <f t="shared" si="121"/>
        <v>0.001847842859</v>
      </c>
      <c r="BY178" s="253">
        <f t="shared" si="121"/>
        <v>0.001847842859</v>
      </c>
      <c r="BZ178" s="253">
        <f t="shared" si="121"/>
        <v>0.001847842859</v>
      </c>
      <c r="CA178" s="253">
        <f t="shared" si="121"/>
        <v>0.001847842859</v>
      </c>
      <c r="CB178" s="253">
        <f t="shared" si="121"/>
        <v>0.001847842859</v>
      </c>
      <c r="CC178" s="253"/>
      <c r="CD178" s="253"/>
    </row>
    <row r="179" ht="15.75" customHeight="1">
      <c r="A179" s="132" t="s">
        <v>240</v>
      </c>
      <c r="B179" s="6"/>
      <c r="C179" s="247">
        <f t="array" ref="C179">INDEX('IS Proforma'!$1:$1048490,MATCH(Expenses!$A179,'IS Proforma'!$C:$C,0),MATCH(Expenses!C$4,'IS Proforma'!$4:$4))</f>
        <v>1397</v>
      </c>
      <c r="D179" s="247">
        <f t="array" ref="D179">INDEX('IS Proforma'!$1:$1048490,MATCH(Expenses!$A179,'IS Proforma'!$C:$C,0),MATCH(Expenses!D$4,'IS Proforma'!$4:$4))</f>
        <v>1598</v>
      </c>
      <c r="E179" s="247">
        <f t="array" ref="E179">INDEX('IS Proforma'!$1:$1048490,MATCH(Expenses!$A179,'IS Proforma'!$C:$C,0),MATCH(Expenses!E$4,'IS Proforma'!$4:$4))</f>
        <v>1227</v>
      </c>
      <c r="F179" s="247">
        <f t="array" ref="F179">INDEX('IS Proforma'!$1:$1048490,MATCH(Expenses!$A179,'IS Proforma'!$C:$C,0),MATCH(Expenses!F$4,'IS Proforma'!$4:$4))</f>
        <v>2391</v>
      </c>
      <c r="G179" s="247">
        <f t="array" ref="G179">INDEX('IS Proforma'!$1:$1048490,MATCH(Expenses!$A179,'IS Proforma'!$C:$C,0),MATCH(Expenses!G$4,'IS Proforma'!$4:$4))</f>
        <v>1982</v>
      </c>
      <c r="H179" s="247">
        <f t="array" ref="H179">INDEX('IS Proforma'!$1:$1048490,MATCH(Expenses!$A179,'IS Proforma'!$C:$C,0),MATCH(Expenses!H$4,'IS Proforma'!$4:$4))</f>
        <v>2408</v>
      </c>
      <c r="I179" s="247">
        <f t="array" ref="I179">INDEX('IS Proforma'!$1:$1048490,MATCH(Expenses!$A179,'IS Proforma'!$C:$C,0),MATCH(Expenses!I$4,'IS Proforma'!$4:$4))</f>
        <v>1254</v>
      </c>
      <c r="J179" s="247">
        <f t="array" ref="J179">INDEX('IS Proforma'!$1:$1048490,MATCH(Expenses!$A179,'IS Proforma'!$C:$C,0),MATCH(Expenses!J$4,'IS Proforma'!$4:$4))</f>
        <v>1528</v>
      </c>
      <c r="K179" s="247">
        <f t="array" ref="K179">INDEX('IS Proforma'!$1:$1048490,MATCH(Expenses!$A179,'IS Proforma'!$C:$C,0),MATCH(Expenses!K$4,'IS Proforma'!$4:$4))</f>
        <v>1122</v>
      </c>
      <c r="L179" s="247">
        <f t="array" ref="L179">INDEX('IS Proforma'!$1:$1048490,MATCH(Expenses!$A179,'IS Proforma'!$C:$C,0),MATCH(Expenses!L$4,'IS Proforma'!$4:$4))</f>
        <v>2227</v>
      </c>
      <c r="M179" s="247">
        <f t="array" ref="M179">INDEX('IS Proforma'!$1:$1048490,MATCH(Expenses!$A179,'IS Proforma'!$C:$C,0),MATCH(Expenses!M$4,'IS Proforma'!$4:$4))</f>
        <v>1705</v>
      </c>
      <c r="N179" s="247">
        <f t="array" ref="N179">INDEX('IS Proforma'!$1:$1048490,MATCH(Expenses!$A179,'IS Proforma'!$C:$C,0),MATCH(Expenses!N$4,'IS Proforma'!$4:$4))</f>
        <v>1755</v>
      </c>
      <c r="O179" s="247">
        <f t="array" ref="O179">INDEX('IS Proforma'!$1:$1048490,MATCH(Expenses!$A179,'IS Proforma'!$C:$C,0),MATCH(Expenses!O$4,'IS Proforma'!$4:$4))</f>
        <v>1519</v>
      </c>
      <c r="P179" s="247">
        <f t="array" ref="P179">INDEX('IS Proforma'!$1:$1048490,MATCH(Expenses!$A179,'IS Proforma'!$C:$C,0),MATCH(Expenses!P$4,'IS Proforma'!$4:$4))</f>
        <v>1224</v>
      </c>
      <c r="Q179" s="247">
        <f t="array" ref="Q179">INDEX('IS Proforma'!$1:$1048490,MATCH(Expenses!$A179,'IS Proforma'!$C:$C,0),MATCH(Expenses!Q$4,'IS Proforma'!$4:$4))</f>
        <v>2229</v>
      </c>
      <c r="R179" s="247">
        <f t="array" ref="R179">INDEX('IS Proforma'!$1:$1048490,MATCH(Expenses!$A179,'IS Proforma'!$C:$C,0),MATCH(Expenses!R$4,'IS Proforma'!$4:$4))</f>
        <v>1437</v>
      </c>
      <c r="S179" s="247">
        <f t="array" ref="S179">INDEX('IS Proforma'!$1:$1048490,MATCH(Expenses!$A179,'IS Proforma'!$C:$C,0),MATCH(Expenses!S$4,'IS Proforma'!$4:$4))</f>
        <v>2419</v>
      </c>
      <c r="T179" s="117">
        <f t="shared" ref="T179:CB179" si="122">T178*T$176</f>
        <v>2616.158607</v>
      </c>
      <c r="U179" s="117">
        <f t="shared" si="122"/>
        <v>3081.197387</v>
      </c>
      <c r="V179" s="117">
        <f t="shared" si="122"/>
        <v>3540.770531</v>
      </c>
      <c r="W179" s="117">
        <f t="shared" si="122"/>
        <v>3961.641851</v>
      </c>
      <c r="X179" s="117">
        <f t="shared" si="122"/>
        <v>4364.661236</v>
      </c>
      <c r="Y179" s="117">
        <f t="shared" si="122"/>
        <v>4765.094692</v>
      </c>
      <c r="Z179" s="117">
        <f t="shared" si="122"/>
        <v>5167.88951</v>
      </c>
      <c r="AA179" s="117">
        <f t="shared" si="122"/>
        <v>5530.987245</v>
      </c>
      <c r="AB179" s="117">
        <f t="shared" si="122"/>
        <v>5887.076426</v>
      </c>
      <c r="AC179" s="117">
        <f t="shared" si="122"/>
        <v>6235.709679</v>
      </c>
      <c r="AD179" s="117">
        <f t="shared" si="122"/>
        <v>6559.801814</v>
      </c>
      <c r="AE179" s="117">
        <f t="shared" si="122"/>
        <v>6880.765233</v>
      </c>
      <c r="AF179" s="117">
        <f t="shared" si="122"/>
        <v>7205.769977</v>
      </c>
      <c r="AG179" s="117">
        <f t="shared" si="122"/>
        <v>7526.851755</v>
      </c>
      <c r="AH179" s="117">
        <f t="shared" si="122"/>
        <v>7584.035569</v>
      </c>
      <c r="AI179" s="117">
        <f t="shared" si="122"/>
        <v>7664.210087</v>
      </c>
      <c r="AJ179" s="117">
        <f t="shared" si="122"/>
        <v>7768.132747</v>
      </c>
      <c r="AK179" s="117">
        <f t="shared" si="122"/>
        <v>7878.460395</v>
      </c>
      <c r="AL179" s="117">
        <f t="shared" si="122"/>
        <v>7993.205675</v>
      </c>
      <c r="AM179" s="117">
        <f t="shared" si="122"/>
        <v>8106.69694</v>
      </c>
      <c r="AN179" s="117">
        <f t="shared" si="122"/>
        <v>8243.711586</v>
      </c>
      <c r="AO179" s="117">
        <f t="shared" si="122"/>
        <v>8354.299353</v>
      </c>
      <c r="AP179" s="117">
        <f t="shared" si="122"/>
        <v>8463.317075</v>
      </c>
      <c r="AQ179" s="117">
        <f t="shared" si="122"/>
        <v>8570.827634</v>
      </c>
      <c r="AR179" s="117">
        <f t="shared" si="122"/>
        <v>8676.904104</v>
      </c>
      <c r="AS179" s="117">
        <f t="shared" si="122"/>
        <v>8907.956315</v>
      </c>
      <c r="AT179" s="117">
        <f t="shared" si="122"/>
        <v>9081.881963</v>
      </c>
      <c r="AU179" s="117">
        <f t="shared" si="122"/>
        <v>9250.445334</v>
      </c>
      <c r="AV179" s="117">
        <f t="shared" si="122"/>
        <v>9414.670958</v>
      </c>
      <c r="AW179" s="117">
        <f t="shared" si="122"/>
        <v>9575.221254</v>
      </c>
      <c r="AX179" s="117">
        <f t="shared" si="122"/>
        <v>9732.522855</v>
      </c>
      <c r="AY179" s="117">
        <f t="shared" si="122"/>
        <v>9886.900995</v>
      </c>
      <c r="AZ179" s="117">
        <f t="shared" si="122"/>
        <v>10038.62091</v>
      </c>
      <c r="BA179" s="117">
        <f t="shared" si="122"/>
        <v>10187.9065</v>
      </c>
      <c r="BB179" s="117">
        <f t="shared" si="122"/>
        <v>10334.95117</v>
      </c>
      <c r="BC179" s="117">
        <f t="shared" si="122"/>
        <v>10479.92512</v>
      </c>
      <c r="BD179" s="117">
        <f t="shared" si="122"/>
        <v>10622.98046</v>
      </c>
      <c r="BE179" s="117">
        <f t="shared" si="122"/>
        <v>10829.73089</v>
      </c>
      <c r="BF179" s="117">
        <f t="shared" si="122"/>
        <v>10990.21674</v>
      </c>
      <c r="BG179" s="117">
        <f t="shared" si="122"/>
        <v>11135.56053</v>
      </c>
      <c r="BH179" s="117">
        <f t="shared" si="122"/>
        <v>11278.03198</v>
      </c>
      <c r="BI179" s="117">
        <f t="shared" si="122"/>
        <v>11419.79798</v>
      </c>
      <c r="BJ179" s="117">
        <f t="shared" si="122"/>
        <v>11560.91303</v>
      </c>
      <c r="BK179" s="117">
        <f t="shared" si="122"/>
        <v>11701.47112</v>
      </c>
      <c r="BL179" s="117">
        <f t="shared" si="122"/>
        <v>11841.56303</v>
      </c>
      <c r="BM179" s="117">
        <f t="shared" si="122"/>
        <v>11981.27473</v>
      </c>
      <c r="BN179" s="117">
        <f t="shared" si="122"/>
        <v>12120.68889</v>
      </c>
      <c r="BO179" s="117">
        <f t="shared" si="122"/>
        <v>12259.88578</v>
      </c>
      <c r="BP179" s="117">
        <f t="shared" si="122"/>
        <v>12398.94379</v>
      </c>
      <c r="BQ179" s="117">
        <f t="shared" si="122"/>
        <v>12589.11074</v>
      </c>
      <c r="BR179" s="117">
        <f t="shared" si="122"/>
        <v>12677.99618</v>
      </c>
      <c r="BS179" s="117">
        <f t="shared" si="122"/>
        <v>12762.958</v>
      </c>
      <c r="BT179" s="117">
        <f t="shared" si="122"/>
        <v>12852.35439</v>
      </c>
      <c r="BU179" s="117">
        <f t="shared" si="122"/>
        <v>12944.33366</v>
      </c>
      <c r="BV179" s="117">
        <f t="shared" si="122"/>
        <v>13037.50354</v>
      </c>
      <c r="BW179" s="117">
        <f t="shared" si="122"/>
        <v>13131.28169</v>
      </c>
      <c r="BX179" s="117">
        <f t="shared" si="122"/>
        <v>13225.37021</v>
      </c>
      <c r="BY179" s="117">
        <f t="shared" si="122"/>
        <v>13319.60094</v>
      </c>
      <c r="BZ179" s="117">
        <f t="shared" si="122"/>
        <v>13413.87754</v>
      </c>
      <c r="CA179" s="117">
        <f t="shared" si="122"/>
        <v>13508.14874</v>
      </c>
      <c r="CB179" s="117">
        <f t="shared" si="122"/>
        <v>13602.39353</v>
      </c>
      <c r="CC179" s="117"/>
      <c r="CD179" s="117"/>
    </row>
    <row r="180" ht="15.75" customHeight="1">
      <c r="B180" s="6"/>
      <c r="C180" s="5"/>
      <c r="D180" s="5"/>
      <c r="E180" s="5"/>
      <c r="F180" s="5"/>
      <c r="G180" s="5"/>
      <c r="H180" s="5"/>
      <c r="I180" s="5"/>
    </row>
    <row r="181" ht="15.75" customHeight="1">
      <c r="A181" s="1" t="s">
        <v>587</v>
      </c>
      <c r="B181" s="6"/>
      <c r="C181" s="260">
        <f t="shared" ref="C181:S181" si="123">C182/C$176</f>
        <v>0.001374570447</v>
      </c>
      <c r="D181" s="260">
        <f t="shared" si="123"/>
        <v>0.00211529592</v>
      </c>
      <c r="E181" s="260">
        <f t="shared" si="123"/>
        <v>0.001294327809</v>
      </c>
      <c r="F181" s="260">
        <f t="shared" si="123"/>
        <v>0.0008758982976</v>
      </c>
      <c r="G181" s="260">
        <f t="shared" si="123"/>
        <v>0.001228539746</v>
      </c>
      <c r="H181" s="260">
        <f t="shared" si="123"/>
        <v>0.001799954756</v>
      </c>
      <c r="I181" s="260">
        <f t="shared" si="123"/>
        <v>0.00128729461</v>
      </c>
      <c r="J181" s="260">
        <f t="shared" si="123"/>
        <v>0.002162366465</v>
      </c>
      <c r="K181" s="260">
        <f t="shared" si="123"/>
        <v>0.0008321666363</v>
      </c>
      <c r="L181" s="260">
        <f t="shared" si="123"/>
        <v>0.0008912880331</v>
      </c>
      <c r="M181" s="260">
        <f t="shared" si="123"/>
        <v>0.0008278649517</v>
      </c>
      <c r="N181" s="260">
        <f t="shared" si="123"/>
        <v>0.001952645145</v>
      </c>
      <c r="O181" s="260">
        <f t="shared" si="123"/>
        <v>0.001037349101</v>
      </c>
      <c r="P181" s="260">
        <f t="shared" si="123"/>
        <v>0.000732593877</v>
      </c>
      <c r="Q181" s="260">
        <f t="shared" si="123"/>
        <v>0.001173936138</v>
      </c>
      <c r="R181" s="260">
        <f t="shared" si="123"/>
        <v>0.001687050875</v>
      </c>
      <c r="S181" s="260">
        <f t="shared" si="123"/>
        <v>0.001719509829</v>
      </c>
      <c r="T181" s="253">
        <v>7.5E-4</v>
      </c>
      <c r="U181" s="253">
        <f t="shared" ref="U181:CB181" si="124">T181</f>
        <v>0.00075</v>
      </c>
      <c r="V181" s="253">
        <f t="shared" si="124"/>
        <v>0.00075</v>
      </c>
      <c r="W181" s="253">
        <f t="shared" si="124"/>
        <v>0.00075</v>
      </c>
      <c r="X181" s="253">
        <f t="shared" si="124"/>
        <v>0.00075</v>
      </c>
      <c r="Y181" s="253">
        <f t="shared" si="124"/>
        <v>0.00075</v>
      </c>
      <c r="Z181" s="253">
        <f t="shared" si="124"/>
        <v>0.00075</v>
      </c>
      <c r="AA181" s="253">
        <f t="shared" si="124"/>
        <v>0.00075</v>
      </c>
      <c r="AB181" s="253">
        <f t="shared" si="124"/>
        <v>0.00075</v>
      </c>
      <c r="AC181" s="253">
        <f t="shared" si="124"/>
        <v>0.00075</v>
      </c>
      <c r="AD181" s="253">
        <f t="shared" si="124"/>
        <v>0.00075</v>
      </c>
      <c r="AE181" s="253">
        <f t="shared" si="124"/>
        <v>0.00075</v>
      </c>
      <c r="AF181" s="253">
        <f t="shared" si="124"/>
        <v>0.00075</v>
      </c>
      <c r="AG181" s="253">
        <f t="shared" si="124"/>
        <v>0.00075</v>
      </c>
      <c r="AH181" s="253">
        <f t="shared" si="124"/>
        <v>0.00075</v>
      </c>
      <c r="AI181" s="253">
        <f t="shared" si="124"/>
        <v>0.00075</v>
      </c>
      <c r="AJ181" s="253">
        <f t="shared" si="124"/>
        <v>0.00075</v>
      </c>
      <c r="AK181" s="253">
        <f t="shared" si="124"/>
        <v>0.00075</v>
      </c>
      <c r="AL181" s="253">
        <f t="shared" si="124"/>
        <v>0.00075</v>
      </c>
      <c r="AM181" s="253">
        <f t="shared" si="124"/>
        <v>0.00075</v>
      </c>
      <c r="AN181" s="253">
        <f t="shared" si="124"/>
        <v>0.00075</v>
      </c>
      <c r="AO181" s="253">
        <f t="shared" si="124"/>
        <v>0.00075</v>
      </c>
      <c r="AP181" s="253">
        <f t="shared" si="124"/>
        <v>0.00075</v>
      </c>
      <c r="AQ181" s="253">
        <f t="shared" si="124"/>
        <v>0.00075</v>
      </c>
      <c r="AR181" s="253">
        <f t="shared" si="124"/>
        <v>0.00075</v>
      </c>
      <c r="AS181" s="253">
        <f t="shared" si="124"/>
        <v>0.00075</v>
      </c>
      <c r="AT181" s="253">
        <f t="shared" si="124"/>
        <v>0.00075</v>
      </c>
      <c r="AU181" s="253">
        <f t="shared" si="124"/>
        <v>0.00075</v>
      </c>
      <c r="AV181" s="253">
        <f t="shared" si="124"/>
        <v>0.00075</v>
      </c>
      <c r="AW181" s="253">
        <f t="shared" si="124"/>
        <v>0.00075</v>
      </c>
      <c r="AX181" s="253">
        <f t="shared" si="124"/>
        <v>0.00075</v>
      </c>
      <c r="AY181" s="253">
        <f t="shared" si="124"/>
        <v>0.00075</v>
      </c>
      <c r="AZ181" s="253">
        <f t="shared" si="124"/>
        <v>0.00075</v>
      </c>
      <c r="BA181" s="253">
        <f t="shared" si="124"/>
        <v>0.00075</v>
      </c>
      <c r="BB181" s="253">
        <f t="shared" si="124"/>
        <v>0.00075</v>
      </c>
      <c r="BC181" s="253">
        <f t="shared" si="124"/>
        <v>0.00075</v>
      </c>
      <c r="BD181" s="253">
        <f t="shared" si="124"/>
        <v>0.00075</v>
      </c>
      <c r="BE181" s="253">
        <f t="shared" si="124"/>
        <v>0.00075</v>
      </c>
      <c r="BF181" s="253">
        <f t="shared" si="124"/>
        <v>0.00075</v>
      </c>
      <c r="BG181" s="253">
        <f t="shared" si="124"/>
        <v>0.00075</v>
      </c>
      <c r="BH181" s="253">
        <f t="shared" si="124"/>
        <v>0.00075</v>
      </c>
      <c r="BI181" s="253">
        <f t="shared" si="124"/>
        <v>0.00075</v>
      </c>
      <c r="BJ181" s="253">
        <f t="shared" si="124"/>
        <v>0.00075</v>
      </c>
      <c r="BK181" s="253">
        <f t="shared" si="124"/>
        <v>0.00075</v>
      </c>
      <c r="BL181" s="253">
        <f t="shared" si="124"/>
        <v>0.00075</v>
      </c>
      <c r="BM181" s="253">
        <f t="shared" si="124"/>
        <v>0.00075</v>
      </c>
      <c r="BN181" s="253">
        <f t="shared" si="124"/>
        <v>0.00075</v>
      </c>
      <c r="BO181" s="253">
        <f t="shared" si="124"/>
        <v>0.00075</v>
      </c>
      <c r="BP181" s="253">
        <f t="shared" si="124"/>
        <v>0.00075</v>
      </c>
      <c r="BQ181" s="253">
        <f t="shared" si="124"/>
        <v>0.00075</v>
      </c>
      <c r="BR181" s="253">
        <f t="shared" si="124"/>
        <v>0.00075</v>
      </c>
      <c r="BS181" s="253">
        <f t="shared" si="124"/>
        <v>0.00075</v>
      </c>
      <c r="BT181" s="253">
        <f t="shared" si="124"/>
        <v>0.00075</v>
      </c>
      <c r="BU181" s="253">
        <f t="shared" si="124"/>
        <v>0.00075</v>
      </c>
      <c r="BV181" s="253">
        <f t="shared" si="124"/>
        <v>0.00075</v>
      </c>
      <c r="BW181" s="253">
        <f t="shared" si="124"/>
        <v>0.00075</v>
      </c>
      <c r="BX181" s="253">
        <f t="shared" si="124"/>
        <v>0.00075</v>
      </c>
      <c r="BY181" s="253">
        <f t="shared" si="124"/>
        <v>0.00075</v>
      </c>
      <c r="BZ181" s="253">
        <f t="shared" si="124"/>
        <v>0.00075</v>
      </c>
      <c r="CA181" s="253">
        <f t="shared" si="124"/>
        <v>0.00075</v>
      </c>
      <c r="CB181" s="253">
        <f t="shared" si="124"/>
        <v>0.00075</v>
      </c>
      <c r="CC181" s="253"/>
      <c r="CD181" s="253"/>
    </row>
    <row r="182" ht="15.75" customHeight="1">
      <c r="A182" s="132" t="s">
        <v>254</v>
      </c>
      <c r="B182" s="6"/>
      <c r="C182" s="247">
        <f t="array" ref="C182">INDEX('IS Proforma'!$1:$1048490,MATCH(Expenses!$A182,'IS Proforma'!$C:$C,0),MATCH(Expenses!C$4,'IS Proforma'!$4:$4))</f>
        <v>1610</v>
      </c>
      <c r="D182" s="247">
        <f t="array" ref="D182">INDEX('IS Proforma'!$1:$1048490,MATCH(Expenses!$A182,'IS Proforma'!$C:$C,0),MATCH(Expenses!D$4,'IS Proforma'!$4:$4))</f>
        <v>2151</v>
      </c>
      <c r="E182" s="247">
        <f t="array" ref="E182">INDEX('IS Proforma'!$1:$1048490,MATCH(Expenses!$A182,'IS Proforma'!$C:$C,0),MATCH(Expenses!E$4,'IS Proforma'!$4:$4))</f>
        <v>1552</v>
      </c>
      <c r="F182" s="247">
        <f t="array" ref="F182">INDEX('IS Proforma'!$1:$1048490,MATCH(Expenses!$A182,'IS Proforma'!$C:$C,0),MATCH(Expenses!F$4,'IS Proforma'!$4:$4))</f>
        <v>1178</v>
      </c>
      <c r="G182" s="247">
        <f t="array" ref="G182">INDEX('IS Proforma'!$1:$1048490,MATCH(Expenses!$A182,'IS Proforma'!$C:$C,0),MATCH(Expenses!G$4,'IS Proforma'!$4:$4))</f>
        <v>1489</v>
      </c>
      <c r="H182" s="247">
        <f t="array" ref="H182">INDEX('IS Proforma'!$1:$1048490,MATCH(Expenses!$A182,'IS Proforma'!$C:$C,0),MATCH(Expenses!H$4,'IS Proforma'!$4:$4))</f>
        <v>2021</v>
      </c>
      <c r="I182" s="247">
        <f t="array" ref="I182">INDEX('IS Proforma'!$1:$1048490,MATCH(Expenses!$A182,'IS Proforma'!$C:$C,0),MATCH(Expenses!I$4,'IS Proforma'!$4:$4))</f>
        <v>1734</v>
      </c>
      <c r="J182" s="247">
        <f t="array" ref="J182">INDEX('IS Proforma'!$1:$1048490,MATCH(Expenses!$A182,'IS Proforma'!$C:$C,0),MATCH(Expenses!J$4,'IS Proforma'!$4:$4))</f>
        <v>2380</v>
      </c>
      <c r="K182" s="247">
        <f t="array" ref="K182">INDEX('IS Proforma'!$1:$1048490,MATCH(Expenses!$A182,'IS Proforma'!$C:$C,0),MATCH(Expenses!K$4,'IS Proforma'!$4:$4))</f>
        <v>1017</v>
      </c>
      <c r="L182" s="247">
        <f t="array" ref="L182">INDEX('IS Proforma'!$1:$1048490,MATCH(Expenses!$A182,'IS Proforma'!$C:$C,0),MATCH(Expenses!L$4,'IS Proforma'!$4:$4))</f>
        <v>1133</v>
      </c>
      <c r="M182" s="247">
        <f t="array" ref="M182">INDEX('IS Proforma'!$1:$1048490,MATCH(Expenses!$A182,'IS Proforma'!$C:$C,0),MATCH(Expenses!M$4,'IS Proforma'!$4:$4))</f>
        <v>1129</v>
      </c>
      <c r="N182" s="247">
        <f t="array" ref="N182">INDEX('IS Proforma'!$1:$1048490,MATCH(Expenses!$A182,'IS Proforma'!$C:$C,0),MATCH(Expenses!N$4,'IS Proforma'!$4:$4))</f>
        <v>2281</v>
      </c>
      <c r="O182" s="247">
        <f t="array" ref="O182">INDEX('IS Proforma'!$1:$1048490,MATCH(Expenses!$A182,'IS Proforma'!$C:$C,0),MATCH(Expenses!O$4,'IS Proforma'!$4:$4))</f>
        <v>1373</v>
      </c>
      <c r="P182" s="247">
        <f t="array" ref="P182">INDEX('IS Proforma'!$1:$1048490,MATCH(Expenses!$A182,'IS Proforma'!$C:$C,0),MATCH(Expenses!P$4,'IS Proforma'!$4:$4))</f>
        <v>1096</v>
      </c>
      <c r="Q182" s="247">
        <f t="array" ref="Q182">INDEX('IS Proforma'!$1:$1048490,MATCH(Expenses!$A182,'IS Proforma'!$C:$C,0),MATCH(Expenses!Q$4,'IS Proforma'!$4:$4))</f>
        <v>1704</v>
      </c>
      <c r="R182" s="247">
        <f t="array" ref="R182">INDEX('IS Proforma'!$1:$1048490,MATCH(Expenses!$A182,'IS Proforma'!$C:$C,0),MATCH(Expenses!R$4,'IS Proforma'!$4:$4))</f>
        <v>2131</v>
      </c>
      <c r="S182" s="247">
        <f t="array" ref="S182">INDEX('IS Proforma'!$1:$1048490,MATCH(Expenses!$A182,'IS Proforma'!$C:$C,0),MATCH(Expenses!S$4,'IS Proforma'!$4:$4))</f>
        <v>2251</v>
      </c>
      <c r="T182" s="117">
        <f t="shared" ref="T182:CB182" si="125">T181*T$176</f>
        <v>1061.842973</v>
      </c>
      <c r="U182" s="117">
        <f t="shared" si="125"/>
        <v>1250.592294</v>
      </c>
      <c r="V182" s="117">
        <f t="shared" si="125"/>
        <v>1437.12323</v>
      </c>
      <c r="W182" s="117">
        <f t="shared" si="125"/>
        <v>1607.945921</v>
      </c>
      <c r="X182" s="117">
        <f t="shared" si="125"/>
        <v>1771.522892</v>
      </c>
      <c r="Y182" s="117">
        <f t="shared" si="125"/>
        <v>1934.050291</v>
      </c>
      <c r="Z182" s="117">
        <f t="shared" si="125"/>
        <v>2097.536115</v>
      </c>
      <c r="AA182" s="117">
        <f t="shared" si="125"/>
        <v>2244.90974</v>
      </c>
      <c r="AB182" s="117">
        <f t="shared" si="125"/>
        <v>2389.438743</v>
      </c>
      <c r="AC182" s="117">
        <f t="shared" si="125"/>
        <v>2530.941544</v>
      </c>
      <c r="AD182" s="117">
        <f t="shared" si="125"/>
        <v>2662.483628</v>
      </c>
      <c r="AE182" s="117">
        <f t="shared" si="125"/>
        <v>2792.755834</v>
      </c>
      <c r="AF182" s="117">
        <f t="shared" si="125"/>
        <v>2924.668327</v>
      </c>
      <c r="AG182" s="117">
        <f t="shared" si="125"/>
        <v>3054.988571</v>
      </c>
      <c r="AH182" s="117">
        <f t="shared" si="125"/>
        <v>3078.198262</v>
      </c>
      <c r="AI182" s="117">
        <f t="shared" si="125"/>
        <v>3110.739388</v>
      </c>
      <c r="AJ182" s="117">
        <f t="shared" si="125"/>
        <v>3152.919379</v>
      </c>
      <c r="AK182" s="117">
        <f t="shared" si="125"/>
        <v>3197.699018</v>
      </c>
      <c r="AL182" s="117">
        <f t="shared" si="125"/>
        <v>3244.271679</v>
      </c>
      <c r="AM182" s="117">
        <f t="shared" si="125"/>
        <v>3290.335363</v>
      </c>
      <c r="AN182" s="117">
        <f t="shared" si="125"/>
        <v>3345.946685</v>
      </c>
      <c r="AO182" s="117">
        <f t="shared" si="125"/>
        <v>3390.831901</v>
      </c>
      <c r="AP182" s="117">
        <f t="shared" si="125"/>
        <v>3435.079868</v>
      </c>
      <c r="AQ182" s="117">
        <f t="shared" si="125"/>
        <v>3478.716111</v>
      </c>
      <c r="AR182" s="117">
        <f t="shared" si="125"/>
        <v>3521.770288</v>
      </c>
      <c r="AS182" s="117">
        <f t="shared" si="125"/>
        <v>3615.549451</v>
      </c>
      <c r="AT182" s="117">
        <f t="shared" si="125"/>
        <v>3686.142162</v>
      </c>
      <c r="AU182" s="117">
        <f t="shared" si="125"/>
        <v>3754.558438</v>
      </c>
      <c r="AV182" s="117">
        <f t="shared" si="125"/>
        <v>3821.214116</v>
      </c>
      <c r="AW182" s="117">
        <f t="shared" si="125"/>
        <v>3886.378057</v>
      </c>
      <c r="AX182" s="117">
        <f t="shared" si="125"/>
        <v>3950.223421</v>
      </c>
      <c r="AY182" s="117">
        <f t="shared" si="125"/>
        <v>4012.882215</v>
      </c>
      <c r="AZ182" s="117">
        <f t="shared" si="125"/>
        <v>4074.462094</v>
      </c>
      <c r="BA182" s="117">
        <f t="shared" si="125"/>
        <v>4135.053929</v>
      </c>
      <c r="BB182" s="117">
        <f t="shared" si="125"/>
        <v>4194.736224</v>
      </c>
      <c r="BC182" s="117">
        <f t="shared" si="125"/>
        <v>4253.578057</v>
      </c>
      <c r="BD182" s="117">
        <f t="shared" si="125"/>
        <v>4311.64117</v>
      </c>
      <c r="BE182" s="117">
        <f t="shared" si="125"/>
        <v>4395.556759</v>
      </c>
      <c r="BF182" s="117">
        <f t="shared" si="125"/>
        <v>4460.69454</v>
      </c>
      <c r="BG182" s="117">
        <f t="shared" si="125"/>
        <v>4519.686484</v>
      </c>
      <c r="BH182" s="117">
        <f t="shared" si="125"/>
        <v>4577.512608</v>
      </c>
      <c r="BI182" s="117">
        <f t="shared" si="125"/>
        <v>4635.052403</v>
      </c>
      <c r="BJ182" s="117">
        <f t="shared" si="125"/>
        <v>4692.327992</v>
      </c>
      <c r="BK182" s="117">
        <f t="shared" si="125"/>
        <v>4749.377521</v>
      </c>
      <c r="BL182" s="117">
        <f t="shared" si="125"/>
        <v>4806.23784</v>
      </c>
      <c r="BM182" s="117">
        <f t="shared" si="125"/>
        <v>4862.943841</v>
      </c>
      <c r="BN182" s="117">
        <f t="shared" si="125"/>
        <v>4919.529073</v>
      </c>
      <c r="BO182" s="117">
        <f t="shared" si="125"/>
        <v>4976.026122</v>
      </c>
      <c r="BP182" s="117">
        <f t="shared" si="125"/>
        <v>5032.4668</v>
      </c>
      <c r="BQ182" s="117">
        <f t="shared" si="125"/>
        <v>5109.651509</v>
      </c>
      <c r="BR182" s="117">
        <f t="shared" si="125"/>
        <v>5145.728213</v>
      </c>
      <c r="BS182" s="117">
        <f t="shared" si="125"/>
        <v>5180.212403</v>
      </c>
      <c r="BT182" s="117">
        <f t="shared" si="125"/>
        <v>5216.496491</v>
      </c>
      <c r="BU182" s="117">
        <f t="shared" si="125"/>
        <v>5253.828916</v>
      </c>
      <c r="BV182" s="117">
        <f t="shared" si="125"/>
        <v>5291.644583</v>
      </c>
      <c r="BW182" s="117">
        <f t="shared" si="125"/>
        <v>5329.707132</v>
      </c>
      <c r="BX182" s="117">
        <f t="shared" si="125"/>
        <v>5367.895658</v>
      </c>
      <c r="BY182" s="117">
        <f t="shared" si="125"/>
        <v>5406.141901</v>
      </c>
      <c r="BZ182" s="117">
        <f t="shared" si="125"/>
        <v>5444.406762</v>
      </c>
      <c r="CA182" s="117">
        <f t="shared" si="125"/>
        <v>5482.669429</v>
      </c>
      <c r="CB182" s="117">
        <f t="shared" si="125"/>
        <v>5520.921378</v>
      </c>
      <c r="CC182" s="117"/>
      <c r="CD182" s="117"/>
    </row>
    <row r="183" ht="15.75" customHeight="1">
      <c r="B183" s="6"/>
      <c r="C183" s="5"/>
      <c r="D183" s="5"/>
      <c r="E183" s="5"/>
      <c r="F183" s="5"/>
      <c r="G183" s="5"/>
      <c r="H183" s="5"/>
      <c r="I183" s="5"/>
    </row>
    <row r="184" ht="15.75" customHeight="1">
      <c r="A184" s="1" t="s">
        <v>588</v>
      </c>
      <c r="B184" s="6"/>
      <c r="C184" s="260">
        <f t="shared" ref="C184:S184" si="126">C185/C$176</f>
        <v>0.0008887750528</v>
      </c>
      <c r="D184" s="260">
        <f t="shared" si="126"/>
        <v>0.001419047891</v>
      </c>
      <c r="E184" s="260">
        <f t="shared" si="126"/>
        <v>0.00109750992</v>
      </c>
      <c r="F184" s="260">
        <f t="shared" si="126"/>
        <v>0.001114576866</v>
      </c>
      <c r="G184" s="260">
        <f t="shared" si="126"/>
        <v>0.001957082792</v>
      </c>
      <c r="H184" s="260">
        <f t="shared" si="126"/>
        <v>0.001039360317</v>
      </c>
      <c r="I184" s="260">
        <f t="shared" si="126"/>
        <v>0.001521888091</v>
      </c>
      <c r="J184" s="260">
        <f t="shared" si="126"/>
        <v>0.001947946933</v>
      </c>
      <c r="K184" s="260">
        <f t="shared" si="126"/>
        <v>0.0008575325809</v>
      </c>
      <c r="L184" s="260">
        <f t="shared" si="126"/>
        <v>0.001292485647</v>
      </c>
      <c r="M184" s="260">
        <f t="shared" si="126"/>
        <v>0.001588268809</v>
      </c>
      <c r="N184" s="260">
        <f t="shared" si="126"/>
        <v>0.002012568495</v>
      </c>
      <c r="O184" s="260">
        <f t="shared" si="126"/>
        <v>0.001671998223</v>
      </c>
      <c r="P184" s="260">
        <f t="shared" si="126"/>
        <v>0.001343534391</v>
      </c>
      <c r="Q184" s="260">
        <f t="shared" si="126"/>
        <v>0.001584538214</v>
      </c>
      <c r="R184" s="260">
        <f t="shared" si="126"/>
        <v>0.001496258167</v>
      </c>
      <c r="S184" s="260">
        <f t="shared" si="126"/>
        <v>0.001209233256</v>
      </c>
      <c r="T184" s="253">
        <v>0.002</v>
      </c>
      <c r="U184" s="253">
        <f t="shared" ref="U184:CB184" si="127">T184</f>
        <v>0.002</v>
      </c>
      <c r="V184" s="253">
        <f t="shared" si="127"/>
        <v>0.002</v>
      </c>
      <c r="W184" s="253">
        <f t="shared" si="127"/>
        <v>0.002</v>
      </c>
      <c r="X184" s="253">
        <f t="shared" si="127"/>
        <v>0.002</v>
      </c>
      <c r="Y184" s="253">
        <f t="shared" si="127"/>
        <v>0.002</v>
      </c>
      <c r="Z184" s="253">
        <f t="shared" si="127"/>
        <v>0.002</v>
      </c>
      <c r="AA184" s="253">
        <f t="shared" si="127"/>
        <v>0.002</v>
      </c>
      <c r="AB184" s="253">
        <f t="shared" si="127"/>
        <v>0.002</v>
      </c>
      <c r="AC184" s="253">
        <f t="shared" si="127"/>
        <v>0.002</v>
      </c>
      <c r="AD184" s="253">
        <f t="shared" si="127"/>
        <v>0.002</v>
      </c>
      <c r="AE184" s="253">
        <f t="shared" si="127"/>
        <v>0.002</v>
      </c>
      <c r="AF184" s="253">
        <f t="shared" si="127"/>
        <v>0.002</v>
      </c>
      <c r="AG184" s="253">
        <f t="shared" si="127"/>
        <v>0.002</v>
      </c>
      <c r="AH184" s="253">
        <f t="shared" si="127"/>
        <v>0.002</v>
      </c>
      <c r="AI184" s="253">
        <f t="shared" si="127"/>
        <v>0.002</v>
      </c>
      <c r="AJ184" s="253">
        <f t="shared" si="127"/>
        <v>0.002</v>
      </c>
      <c r="AK184" s="253">
        <f t="shared" si="127"/>
        <v>0.002</v>
      </c>
      <c r="AL184" s="253">
        <f t="shared" si="127"/>
        <v>0.002</v>
      </c>
      <c r="AM184" s="253">
        <f t="shared" si="127"/>
        <v>0.002</v>
      </c>
      <c r="AN184" s="253">
        <f t="shared" si="127"/>
        <v>0.002</v>
      </c>
      <c r="AO184" s="253">
        <f t="shared" si="127"/>
        <v>0.002</v>
      </c>
      <c r="AP184" s="253">
        <f t="shared" si="127"/>
        <v>0.002</v>
      </c>
      <c r="AQ184" s="253">
        <f t="shared" si="127"/>
        <v>0.002</v>
      </c>
      <c r="AR184" s="253">
        <f t="shared" si="127"/>
        <v>0.002</v>
      </c>
      <c r="AS184" s="253">
        <f t="shared" si="127"/>
        <v>0.002</v>
      </c>
      <c r="AT184" s="253">
        <f t="shared" si="127"/>
        <v>0.002</v>
      </c>
      <c r="AU184" s="253">
        <f t="shared" si="127"/>
        <v>0.002</v>
      </c>
      <c r="AV184" s="253">
        <f t="shared" si="127"/>
        <v>0.002</v>
      </c>
      <c r="AW184" s="253">
        <f t="shared" si="127"/>
        <v>0.002</v>
      </c>
      <c r="AX184" s="253">
        <f t="shared" si="127"/>
        <v>0.002</v>
      </c>
      <c r="AY184" s="253">
        <f t="shared" si="127"/>
        <v>0.002</v>
      </c>
      <c r="AZ184" s="253">
        <f t="shared" si="127"/>
        <v>0.002</v>
      </c>
      <c r="BA184" s="253">
        <f t="shared" si="127"/>
        <v>0.002</v>
      </c>
      <c r="BB184" s="253">
        <f t="shared" si="127"/>
        <v>0.002</v>
      </c>
      <c r="BC184" s="253">
        <f t="shared" si="127"/>
        <v>0.002</v>
      </c>
      <c r="BD184" s="253">
        <f t="shared" si="127"/>
        <v>0.002</v>
      </c>
      <c r="BE184" s="253">
        <f t="shared" si="127"/>
        <v>0.002</v>
      </c>
      <c r="BF184" s="253">
        <f t="shared" si="127"/>
        <v>0.002</v>
      </c>
      <c r="BG184" s="253">
        <f t="shared" si="127"/>
        <v>0.002</v>
      </c>
      <c r="BH184" s="253">
        <f t="shared" si="127"/>
        <v>0.002</v>
      </c>
      <c r="BI184" s="253">
        <f t="shared" si="127"/>
        <v>0.002</v>
      </c>
      <c r="BJ184" s="253">
        <f t="shared" si="127"/>
        <v>0.002</v>
      </c>
      <c r="BK184" s="253">
        <f t="shared" si="127"/>
        <v>0.002</v>
      </c>
      <c r="BL184" s="253">
        <f t="shared" si="127"/>
        <v>0.002</v>
      </c>
      <c r="BM184" s="253">
        <f t="shared" si="127"/>
        <v>0.002</v>
      </c>
      <c r="BN184" s="253">
        <f t="shared" si="127"/>
        <v>0.002</v>
      </c>
      <c r="BO184" s="253">
        <f t="shared" si="127"/>
        <v>0.002</v>
      </c>
      <c r="BP184" s="253">
        <f t="shared" si="127"/>
        <v>0.002</v>
      </c>
      <c r="BQ184" s="253">
        <f t="shared" si="127"/>
        <v>0.002</v>
      </c>
      <c r="BR184" s="253">
        <f t="shared" si="127"/>
        <v>0.002</v>
      </c>
      <c r="BS184" s="253">
        <f t="shared" si="127"/>
        <v>0.002</v>
      </c>
      <c r="BT184" s="253">
        <f t="shared" si="127"/>
        <v>0.002</v>
      </c>
      <c r="BU184" s="253">
        <f t="shared" si="127"/>
        <v>0.002</v>
      </c>
      <c r="BV184" s="253">
        <f t="shared" si="127"/>
        <v>0.002</v>
      </c>
      <c r="BW184" s="253">
        <f t="shared" si="127"/>
        <v>0.002</v>
      </c>
      <c r="BX184" s="253">
        <f t="shared" si="127"/>
        <v>0.002</v>
      </c>
      <c r="BY184" s="253">
        <f t="shared" si="127"/>
        <v>0.002</v>
      </c>
      <c r="BZ184" s="253">
        <f t="shared" si="127"/>
        <v>0.002</v>
      </c>
      <c r="CA184" s="253">
        <f t="shared" si="127"/>
        <v>0.002</v>
      </c>
      <c r="CB184" s="253">
        <f t="shared" si="127"/>
        <v>0.002</v>
      </c>
      <c r="CC184" s="253"/>
      <c r="CD184" s="253"/>
    </row>
    <row r="185" ht="15.75" customHeight="1">
      <c r="A185" s="132" t="s">
        <v>255</v>
      </c>
      <c r="B185" s="6"/>
      <c r="C185" s="247">
        <f t="array" ref="C185">INDEX('IS Proforma'!$1:$1048490,MATCH(Expenses!$A185,'IS Proforma'!$C:$C,0),MATCH(Expenses!C$4,'IS Proforma'!$4:$4))</f>
        <v>1041</v>
      </c>
      <c r="D185" s="247">
        <f t="array" ref="D185">INDEX('IS Proforma'!$1:$1048490,MATCH(Expenses!$A185,'IS Proforma'!$C:$C,0),MATCH(Expenses!D$4,'IS Proforma'!$4:$4))</f>
        <v>1443</v>
      </c>
      <c r="E185" s="247">
        <f t="array" ref="E185">INDEX('IS Proforma'!$1:$1048490,MATCH(Expenses!$A185,'IS Proforma'!$C:$C,0),MATCH(Expenses!E$4,'IS Proforma'!$4:$4))</f>
        <v>1316</v>
      </c>
      <c r="F185" s="247">
        <f t="array" ref="F185">INDEX('IS Proforma'!$1:$1048490,MATCH(Expenses!$A185,'IS Proforma'!$C:$C,0),MATCH(Expenses!F$4,'IS Proforma'!$4:$4))</f>
        <v>1499</v>
      </c>
      <c r="G185" s="247">
        <f t="array" ref="G185">INDEX('IS Proforma'!$1:$1048490,MATCH(Expenses!$A185,'IS Proforma'!$C:$C,0),MATCH(Expenses!G$4,'IS Proforma'!$4:$4))</f>
        <v>2372</v>
      </c>
      <c r="H185" s="247">
        <f t="array" ref="H185">INDEX('IS Proforma'!$1:$1048490,MATCH(Expenses!$A185,'IS Proforma'!$C:$C,0),MATCH(Expenses!H$4,'IS Proforma'!$4:$4))</f>
        <v>1167</v>
      </c>
      <c r="I185" s="247">
        <f t="array" ref="I185">INDEX('IS Proforma'!$1:$1048490,MATCH(Expenses!$A185,'IS Proforma'!$C:$C,0),MATCH(Expenses!I$4,'IS Proforma'!$4:$4))</f>
        <v>2050</v>
      </c>
      <c r="J185" s="247">
        <f t="array" ref="J185">INDEX('IS Proforma'!$1:$1048490,MATCH(Expenses!$A185,'IS Proforma'!$C:$C,0),MATCH(Expenses!J$4,'IS Proforma'!$4:$4))</f>
        <v>2144</v>
      </c>
      <c r="K185" s="247">
        <f t="array" ref="K185">INDEX('IS Proforma'!$1:$1048490,MATCH(Expenses!$A185,'IS Proforma'!$C:$C,0),MATCH(Expenses!K$4,'IS Proforma'!$4:$4))</f>
        <v>1048</v>
      </c>
      <c r="L185" s="247">
        <f t="array" ref="L185">INDEX('IS Proforma'!$1:$1048490,MATCH(Expenses!$A185,'IS Proforma'!$C:$C,0),MATCH(Expenses!L$4,'IS Proforma'!$4:$4))</f>
        <v>1643</v>
      </c>
      <c r="M185" s="247">
        <f t="array" ref="M185">INDEX('IS Proforma'!$1:$1048490,MATCH(Expenses!$A185,'IS Proforma'!$C:$C,0),MATCH(Expenses!M$4,'IS Proforma'!$4:$4))</f>
        <v>2166</v>
      </c>
      <c r="N185" s="247">
        <f t="array" ref="N185">INDEX('IS Proforma'!$1:$1048490,MATCH(Expenses!$A185,'IS Proforma'!$C:$C,0),MATCH(Expenses!N$4,'IS Proforma'!$4:$4))</f>
        <v>2351</v>
      </c>
      <c r="O185" s="247">
        <f t="array" ref="O185">INDEX('IS Proforma'!$1:$1048490,MATCH(Expenses!$A185,'IS Proforma'!$C:$C,0),MATCH(Expenses!O$4,'IS Proforma'!$4:$4))</f>
        <v>2213</v>
      </c>
      <c r="P185" s="247">
        <f t="array" ref="P185">INDEX('IS Proforma'!$1:$1048490,MATCH(Expenses!$A185,'IS Proforma'!$C:$C,0),MATCH(Expenses!P$4,'IS Proforma'!$4:$4))</f>
        <v>2010</v>
      </c>
      <c r="Q185" s="247">
        <f t="array" ref="Q185">INDEX('IS Proforma'!$1:$1048490,MATCH(Expenses!$A185,'IS Proforma'!$C:$C,0),MATCH(Expenses!Q$4,'IS Proforma'!$4:$4))</f>
        <v>2300</v>
      </c>
      <c r="R185" s="247">
        <f t="array" ref="R185">INDEX('IS Proforma'!$1:$1048490,MATCH(Expenses!$A185,'IS Proforma'!$C:$C,0),MATCH(Expenses!R$4,'IS Proforma'!$4:$4))</f>
        <v>1890</v>
      </c>
      <c r="S185" s="247">
        <f t="array" ref="S185">INDEX('IS Proforma'!$1:$1048490,MATCH(Expenses!$A185,'IS Proforma'!$C:$C,0),MATCH(Expenses!S$4,'IS Proforma'!$4:$4))</f>
        <v>1583</v>
      </c>
      <c r="T185" s="117">
        <f t="shared" ref="T185:CB185" si="128">T184*T$176</f>
        <v>2831.581261</v>
      </c>
      <c r="U185" s="117">
        <f t="shared" si="128"/>
        <v>3334.912784</v>
      </c>
      <c r="V185" s="117">
        <f t="shared" si="128"/>
        <v>3832.328613</v>
      </c>
      <c r="W185" s="117">
        <f t="shared" si="128"/>
        <v>4287.855789</v>
      </c>
      <c r="X185" s="117">
        <f t="shared" si="128"/>
        <v>4724.061046</v>
      </c>
      <c r="Y185" s="117">
        <f t="shared" si="128"/>
        <v>5157.467442</v>
      </c>
      <c r="Z185" s="117">
        <f t="shared" si="128"/>
        <v>5593.429641</v>
      </c>
      <c r="AA185" s="117">
        <f t="shared" si="128"/>
        <v>5986.425974</v>
      </c>
      <c r="AB185" s="117">
        <f t="shared" si="128"/>
        <v>6371.836649</v>
      </c>
      <c r="AC185" s="117">
        <f t="shared" si="128"/>
        <v>6749.17745</v>
      </c>
      <c r="AD185" s="117">
        <f t="shared" si="128"/>
        <v>7099.956342</v>
      </c>
      <c r="AE185" s="117">
        <f t="shared" si="128"/>
        <v>7447.348889</v>
      </c>
      <c r="AF185" s="117">
        <f t="shared" si="128"/>
        <v>7799.115538</v>
      </c>
      <c r="AG185" s="117">
        <f t="shared" si="128"/>
        <v>8146.63619</v>
      </c>
      <c r="AH185" s="117">
        <f t="shared" si="128"/>
        <v>8208.528697</v>
      </c>
      <c r="AI185" s="117">
        <f t="shared" si="128"/>
        <v>8295.305035</v>
      </c>
      <c r="AJ185" s="117">
        <f t="shared" si="128"/>
        <v>8407.78501</v>
      </c>
      <c r="AK185" s="117">
        <f t="shared" si="128"/>
        <v>8527.197381</v>
      </c>
      <c r="AL185" s="117">
        <f t="shared" si="128"/>
        <v>8651.391145</v>
      </c>
      <c r="AM185" s="117">
        <f t="shared" si="128"/>
        <v>8774.227634</v>
      </c>
      <c r="AN185" s="117">
        <f t="shared" si="128"/>
        <v>8922.524494</v>
      </c>
      <c r="AO185" s="117">
        <f t="shared" si="128"/>
        <v>9042.218402</v>
      </c>
      <c r="AP185" s="117">
        <f t="shared" si="128"/>
        <v>9160.212983</v>
      </c>
      <c r="AQ185" s="117">
        <f t="shared" si="128"/>
        <v>9276.576296</v>
      </c>
      <c r="AR185" s="117">
        <f t="shared" si="128"/>
        <v>9391.387434</v>
      </c>
      <c r="AS185" s="117">
        <f t="shared" si="128"/>
        <v>9641.465204</v>
      </c>
      <c r="AT185" s="117">
        <f t="shared" si="128"/>
        <v>9829.712432</v>
      </c>
      <c r="AU185" s="117">
        <f t="shared" si="128"/>
        <v>10012.15584</v>
      </c>
      <c r="AV185" s="117">
        <f t="shared" si="128"/>
        <v>10189.90431</v>
      </c>
      <c r="AW185" s="117">
        <f t="shared" si="128"/>
        <v>10363.67482</v>
      </c>
      <c r="AX185" s="117">
        <f t="shared" si="128"/>
        <v>10533.92912</v>
      </c>
      <c r="AY185" s="117">
        <f t="shared" si="128"/>
        <v>10701.01924</v>
      </c>
      <c r="AZ185" s="117">
        <f t="shared" si="128"/>
        <v>10865.23225</v>
      </c>
      <c r="BA185" s="117">
        <f t="shared" si="128"/>
        <v>11026.81048</v>
      </c>
      <c r="BB185" s="117">
        <f t="shared" si="128"/>
        <v>11185.96326</v>
      </c>
      <c r="BC185" s="117">
        <f t="shared" si="128"/>
        <v>11342.87482</v>
      </c>
      <c r="BD185" s="117">
        <f t="shared" si="128"/>
        <v>11497.70979</v>
      </c>
      <c r="BE185" s="117">
        <f t="shared" si="128"/>
        <v>11721.48469</v>
      </c>
      <c r="BF185" s="117">
        <f t="shared" si="128"/>
        <v>11895.18544</v>
      </c>
      <c r="BG185" s="117">
        <f t="shared" si="128"/>
        <v>12052.49729</v>
      </c>
      <c r="BH185" s="117">
        <f t="shared" si="128"/>
        <v>12206.70029</v>
      </c>
      <c r="BI185" s="117">
        <f t="shared" si="128"/>
        <v>12360.13974</v>
      </c>
      <c r="BJ185" s="117">
        <f t="shared" si="128"/>
        <v>12512.87465</v>
      </c>
      <c r="BK185" s="117">
        <f t="shared" si="128"/>
        <v>12665.00672</v>
      </c>
      <c r="BL185" s="117">
        <f t="shared" si="128"/>
        <v>12816.63424</v>
      </c>
      <c r="BM185" s="117">
        <f t="shared" si="128"/>
        <v>12967.85024</v>
      </c>
      <c r="BN185" s="117">
        <f t="shared" si="128"/>
        <v>13118.74419</v>
      </c>
      <c r="BO185" s="117">
        <f t="shared" si="128"/>
        <v>13269.40299</v>
      </c>
      <c r="BP185" s="117">
        <f t="shared" si="128"/>
        <v>13419.91147</v>
      </c>
      <c r="BQ185" s="117">
        <f t="shared" si="128"/>
        <v>13625.73736</v>
      </c>
      <c r="BR185" s="117">
        <f t="shared" si="128"/>
        <v>13721.9419</v>
      </c>
      <c r="BS185" s="117">
        <f t="shared" si="128"/>
        <v>13813.89974</v>
      </c>
      <c r="BT185" s="117">
        <f t="shared" si="128"/>
        <v>13910.65731</v>
      </c>
      <c r="BU185" s="117">
        <f t="shared" si="128"/>
        <v>14010.21044</v>
      </c>
      <c r="BV185" s="117">
        <f t="shared" si="128"/>
        <v>14111.05222</v>
      </c>
      <c r="BW185" s="117">
        <f t="shared" si="128"/>
        <v>14212.55235</v>
      </c>
      <c r="BX185" s="117">
        <f t="shared" si="128"/>
        <v>14314.38842</v>
      </c>
      <c r="BY185" s="117">
        <f t="shared" si="128"/>
        <v>14416.3784</v>
      </c>
      <c r="BZ185" s="117">
        <f t="shared" si="128"/>
        <v>14518.41803</v>
      </c>
      <c r="CA185" s="117">
        <f t="shared" si="128"/>
        <v>14620.45181</v>
      </c>
      <c r="CB185" s="117">
        <f t="shared" si="128"/>
        <v>14722.45701</v>
      </c>
      <c r="CC185" s="117"/>
      <c r="CD185" s="117"/>
    </row>
    <row r="186" ht="15.75" customHeight="1">
      <c r="B186" s="6"/>
      <c r="H186" s="1"/>
    </row>
    <row r="187" ht="15.75" customHeight="1">
      <c r="A187" s="1" t="s">
        <v>589</v>
      </c>
      <c r="B187" s="6"/>
      <c r="H187" s="1"/>
      <c r="I187" s="247">
        <v>0.0</v>
      </c>
      <c r="J187" s="247">
        <v>0.0</v>
      </c>
      <c r="K187" s="247">
        <v>0.0</v>
      </c>
      <c r="L187" s="247">
        <v>0.0</v>
      </c>
      <c r="M187" s="247">
        <v>0.0</v>
      </c>
      <c r="N187" s="247">
        <v>0.0</v>
      </c>
      <c r="O187" s="247">
        <v>0.0</v>
      </c>
      <c r="P187" s="247">
        <v>0.0</v>
      </c>
      <c r="Q187" s="247">
        <v>0.0</v>
      </c>
      <c r="R187" s="249">
        <f t="shared" ref="R187:CB187" si="129">Q187</f>
        <v>0</v>
      </c>
      <c r="S187" s="249">
        <f t="shared" si="129"/>
        <v>0</v>
      </c>
      <c r="T187" s="249">
        <f t="shared" si="129"/>
        <v>0</v>
      </c>
      <c r="U187" s="249">
        <f t="shared" si="129"/>
        <v>0</v>
      </c>
      <c r="V187" s="249">
        <f t="shared" si="129"/>
        <v>0</v>
      </c>
      <c r="W187" s="249">
        <f t="shared" si="129"/>
        <v>0</v>
      </c>
      <c r="X187" s="249">
        <f t="shared" si="129"/>
        <v>0</v>
      </c>
      <c r="Y187" s="249">
        <f t="shared" si="129"/>
        <v>0</v>
      </c>
      <c r="Z187" s="249">
        <f t="shared" si="129"/>
        <v>0</v>
      </c>
      <c r="AA187" s="249">
        <f t="shared" si="129"/>
        <v>0</v>
      </c>
      <c r="AB187" s="249">
        <f t="shared" si="129"/>
        <v>0</v>
      </c>
      <c r="AC187" s="249">
        <f t="shared" si="129"/>
        <v>0</v>
      </c>
      <c r="AD187" s="249">
        <f t="shared" si="129"/>
        <v>0</v>
      </c>
      <c r="AE187" s="249">
        <f t="shared" si="129"/>
        <v>0</v>
      </c>
      <c r="AF187" s="249">
        <f t="shared" si="129"/>
        <v>0</v>
      </c>
      <c r="AG187" s="249">
        <f t="shared" si="129"/>
        <v>0</v>
      </c>
      <c r="AH187" s="249">
        <f t="shared" si="129"/>
        <v>0</v>
      </c>
      <c r="AI187" s="249">
        <f t="shared" si="129"/>
        <v>0</v>
      </c>
      <c r="AJ187" s="249">
        <f t="shared" si="129"/>
        <v>0</v>
      </c>
      <c r="AK187" s="249">
        <f t="shared" si="129"/>
        <v>0</v>
      </c>
      <c r="AL187" s="249">
        <f t="shared" si="129"/>
        <v>0</v>
      </c>
      <c r="AM187" s="249">
        <f t="shared" si="129"/>
        <v>0</v>
      </c>
      <c r="AN187" s="249">
        <f t="shared" si="129"/>
        <v>0</v>
      </c>
      <c r="AO187" s="249">
        <f t="shared" si="129"/>
        <v>0</v>
      </c>
      <c r="AP187" s="249">
        <f t="shared" si="129"/>
        <v>0</v>
      </c>
      <c r="AQ187" s="249">
        <f t="shared" si="129"/>
        <v>0</v>
      </c>
      <c r="AR187" s="249">
        <f t="shared" si="129"/>
        <v>0</v>
      </c>
      <c r="AS187" s="249">
        <f t="shared" si="129"/>
        <v>0</v>
      </c>
      <c r="AT187" s="249">
        <f t="shared" si="129"/>
        <v>0</v>
      </c>
      <c r="AU187" s="249">
        <f t="shared" si="129"/>
        <v>0</v>
      </c>
      <c r="AV187" s="249">
        <f t="shared" si="129"/>
        <v>0</v>
      </c>
      <c r="AW187" s="249">
        <f t="shared" si="129"/>
        <v>0</v>
      </c>
      <c r="AX187" s="249">
        <f t="shared" si="129"/>
        <v>0</v>
      </c>
      <c r="AY187" s="249">
        <f t="shared" si="129"/>
        <v>0</v>
      </c>
      <c r="AZ187" s="249">
        <f t="shared" si="129"/>
        <v>0</v>
      </c>
      <c r="BA187" s="249">
        <f t="shared" si="129"/>
        <v>0</v>
      </c>
      <c r="BB187" s="249">
        <f t="shared" si="129"/>
        <v>0</v>
      </c>
      <c r="BC187" s="249">
        <f t="shared" si="129"/>
        <v>0</v>
      </c>
      <c r="BD187" s="249">
        <f t="shared" si="129"/>
        <v>0</v>
      </c>
      <c r="BE187" s="249">
        <f t="shared" si="129"/>
        <v>0</v>
      </c>
      <c r="BF187" s="249">
        <f t="shared" si="129"/>
        <v>0</v>
      </c>
      <c r="BG187" s="249">
        <f t="shared" si="129"/>
        <v>0</v>
      </c>
      <c r="BH187" s="249">
        <f t="shared" si="129"/>
        <v>0</v>
      </c>
      <c r="BI187" s="249">
        <f t="shared" si="129"/>
        <v>0</v>
      </c>
      <c r="BJ187" s="249">
        <f t="shared" si="129"/>
        <v>0</v>
      </c>
      <c r="BK187" s="249">
        <f t="shared" si="129"/>
        <v>0</v>
      </c>
      <c r="BL187" s="249">
        <f t="shared" si="129"/>
        <v>0</v>
      </c>
      <c r="BM187" s="249">
        <f t="shared" si="129"/>
        <v>0</v>
      </c>
      <c r="BN187" s="249">
        <f t="shared" si="129"/>
        <v>0</v>
      </c>
      <c r="BO187" s="249">
        <f t="shared" si="129"/>
        <v>0</v>
      </c>
      <c r="BP187" s="249">
        <f t="shared" si="129"/>
        <v>0</v>
      </c>
      <c r="BQ187" s="249">
        <f t="shared" si="129"/>
        <v>0</v>
      </c>
      <c r="BR187" s="249">
        <f t="shared" si="129"/>
        <v>0</v>
      </c>
      <c r="BS187" s="249">
        <f t="shared" si="129"/>
        <v>0</v>
      </c>
      <c r="BT187" s="249">
        <f t="shared" si="129"/>
        <v>0</v>
      </c>
      <c r="BU187" s="249">
        <f t="shared" si="129"/>
        <v>0</v>
      </c>
      <c r="BV187" s="249">
        <f t="shared" si="129"/>
        <v>0</v>
      </c>
      <c r="BW187" s="249">
        <f t="shared" si="129"/>
        <v>0</v>
      </c>
      <c r="BX187" s="249">
        <f t="shared" si="129"/>
        <v>0</v>
      </c>
      <c r="BY187" s="249">
        <f t="shared" si="129"/>
        <v>0</v>
      </c>
      <c r="BZ187" s="249">
        <f t="shared" si="129"/>
        <v>0</v>
      </c>
      <c r="CA187" s="249">
        <f t="shared" si="129"/>
        <v>0</v>
      </c>
      <c r="CB187" s="249">
        <f t="shared" si="129"/>
        <v>0</v>
      </c>
      <c r="CC187" s="249"/>
      <c r="CD187" s="249"/>
    </row>
    <row r="188" ht="15.75" customHeight="1">
      <c r="A188" s="1" t="s">
        <v>590</v>
      </c>
      <c r="B188" s="6"/>
      <c r="C188" s="260">
        <f t="shared" ref="C188:K188" si="130">C189/C$176</f>
        <v>0.0008981665279</v>
      </c>
      <c r="D188" s="260">
        <f t="shared" si="130"/>
        <v>0.001095508905</v>
      </c>
      <c r="E188" s="260">
        <f t="shared" si="130"/>
        <v>0.001848920587</v>
      </c>
      <c r="F188" s="260">
        <f t="shared" si="130"/>
        <v>0.001551782468</v>
      </c>
      <c r="G188" s="260">
        <f t="shared" si="130"/>
        <v>0.001903452782</v>
      </c>
      <c r="H188" s="260">
        <f t="shared" si="130"/>
        <v>0.001798173505</v>
      </c>
      <c r="I188" s="260">
        <f t="shared" si="130"/>
        <v>0.001510752325</v>
      </c>
      <c r="J188" s="260">
        <f t="shared" si="130"/>
        <v>0.0019933748</v>
      </c>
      <c r="K188" s="260">
        <f t="shared" si="130"/>
        <v>0.001188108118</v>
      </c>
      <c r="L188" s="260">
        <v>0.0</v>
      </c>
      <c r="M188" s="260">
        <v>0.0</v>
      </c>
      <c r="N188" s="260">
        <v>0.0</v>
      </c>
      <c r="O188" s="260">
        <v>0.0</v>
      </c>
      <c r="P188" s="260">
        <v>0.0</v>
      </c>
      <c r="Q188" s="260">
        <v>0.0</v>
      </c>
      <c r="R188" s="260">
        <v>0.0</v>
      </c>
      <c r="S188" s="260">
        <v>0.0</v>
      </c>
      <c r="T188" s="253">
        <f t="shared" ref="T188:CB188" si="131">S188</f>
        <v>0</v>
      </c>
      <c r="U188" s="253">
        <f t="shared" si="131"/>
        <v>0</v>
      </c>
      <c r="V188" s="253">
        <f t="shared" si="131"/>
        <v>0</v>
      </c>
      <c r="W188" s="253">
        <f t="shared" si="131"/>
        <v>0</v>
      </c>
      <c r="X188" s="253">
        <f t="shared" si="131"/>
        <v>0</v>
      </c>
      <c r="Y188" s="253">
        <f t="shared" si="131"/>
        <v>0</v>
      </c>
      <c r="Z188" s="253">
        <f t="shared" si="131"/>
        <v>0</v>
      </c>
      <c r="AA188" s="253">
        <f t="shared" si="131"/>
        <v>0</v>
      </c>
      <c r="AB188" s="253">
        <f t="shared" si="131"/>
        <v>0</v>
      </c>
      <c r="AC188" s="253">
        <f t="shared" si="131"/>
        <v>0</v>
      </c>
      <c r="AD188" s="253">
        <f t="shared" si="131"/>
        <v>0</v>
      </c>
      <c r="AE188" s="253">
        <f t="shared" si="131"/>
        <v>0</v>
      </c>
      <c r="AF188" s="253">
        <f t="shared" si="131"/>
        <v>0</v>
      </c>
      <c r="AG188" s="253">
        <f t="shared" si="131"/>
        <v>0</v>
      </c>
      <c r="AH188" s="253">
        <f t="shared" si="131"/>
        <v>0</v>
      </c>
      <c r="AI188" s="253">
        <f t="shared" si="131"/>
        <v>0</v>
      </c>
      <c r="AJ188" s="253">
        <f t="shared" si="131"/>
        <v>0</v>
      </c>
      <c r="AK188" s="253">
        <f t="shared" si="131"/>
        <v>0</v>
      </c>
      <c r="AL188" s="253">
        <f t="shared" si="131"/>
        <v>0</v>
      </c>
      <c r="AM188" s="253">
        <f t="shared" si="131"/>
        <v>0</v>
      </c>
      <c r="AN188" s="253">
        <f t="shared" si="131"/>
        <v>0</v>
      </c>
      <c r="AO188" s="253">
        <f t="shared" si="131"/>
        <v>0</v>
      </c>
      <c r="AP188" s="253">
        <f t="shared" si="131"/>
        <v>0</v>
      </c>
      <c r="AQ188" s="253">
        <f t="shared" si="131"/>
        <v>0</v>
      </c>
      <c r="AR188" s="253">
        <f t="shared" si="131"/>
        <v>0</v>
      </c>
      <c r="AS188" s="253">
        <f t="shared" si="131"/>
        <v>0</v>
      </c>
      <c r="AT188" s="253">
        <f t="shared" si="131"/>
        <v>0</v>
      </c>
      <c r="AU188" s="253">
        <f t="shared" si="131"/>
        <v>0</v>
      </c>
      <c r="AV188" s="253">
        <f t="shared" si="131"/>
        <v>0</v>
      </c>
      <c r="AW188" s="253">
        <f t="shared" si="131"/>
        <v>0</v>
      </c>
      <c r="AX188" s="253">
        <f t="shared" si="131"/>
        <v>0</v>
      </c>
      <c r="AY188" s="253">
        <f t="shared" si="131"/>
        <v>0</v>
      </c>
      <c r="AZ188" s="253">
        <f t="shared" si="131"/>
        <v>0</v>
      </c>
      <c r="BA188" s="253">
        <f t="shared" si="131"/>
        <v>0</v>
      </c>
      <c r="BB188" s="253">
        <f t="shared" si="131"/>
        <v>0</v>
      </c>
      <c r="BC188" s="253">
        <f t="shared" si="131"/>
        <v>0</v>
      </c>
      <c r="BD188" s="253">
        <f t="shared" si="131"/>
        <v>0</v>
      </c>
      <c r="BE188" s="253">
        <f t="shared" si="131"/>
        <v>0</v>
      </c>
      <c r="BF188" s="253">
        <f t="shared" si="131"/>
        <v>0</v>
      </c>
      <c r="BG188" s="253">
        <f t="shared" si="131"/>
        <v>0</v>
      </c>
      <c r="BH188" s="253">
        <f t="shared" si="131"/>
        <v>0</v>
      </c>
      <c r="BI188" s="253">
        <f t="shared" si="131"/>
        <v>0</v>
      </c>
      <c r="BJ188" s="253">
        <f t="shared" si="131"/>
        <v>0</v>
      </c>
      <c r="BK188" s="253">
        <f t="shared" si="131"/>
        <v>0</v>
      </c>
      <c r="BL188" s="253">
        <f t="shared" si="131"/>
        <v>0</v>
      </c>
      <c r="BM188" s="253">
        <f t="shared" si="131"/>
        <v>0</v>
      </c>
      <c r="BN188" s="253">
        <f t="shared" si="131"/>
        <v>0</v>
      </c>
      <c r="BO188" s="253">
        <f t="shared" si="131"/>
        <v>0</v>
      </c>
      <c r="BP188" s="253">
        <f t="shared" si="131"/>
        <v>0</v>
      </c>
      <c r="BQ188" s="253">
        <f t="shared" si="131"/>
        <v>0</v>
      </c>
      <c r="BR188" s="253">
        <f t="shared" si="131"/>
        <v>0</v>
      </c>
      <c r="BS188" s="253">
        <f t="shared" si="131"/>
        <v>0</v>
      </c>
      <c r="BT188" s="253">
        <f t="shared" si="131"/>
        <v>0</v>
      </c>
      <c r="BU188" s="253">
        <f t="shared" si="131"/>
        <v>0</v>
      </c>
      <c r="BV188" s="253">
        <f t="shared" si="131"/>
        <v>0</v>
      </c>
      <c r="BW188" s="253">
        <f t="shared" si="131"/>
        <v>0</v>
      </c>
      <c r="BX188" s="253">
        <f t="shared" si="131"/>
        <v>0</v>
      </c>
      <c r="BY188" s="253">
        <f t="shared" si="131"/>
        <v>0</v>
      </c>
      <c r="BZ188" s="253">
        <f t="shared" si="131"/>
        <v>0</v>
      </c>
      <c r="CA188" s="253">
        <f t="shared" si="131"/>
        <v>0</v>
      </c>
      <c r="CB188" s="253">
        <f t="shared" si="131"/>
        <v>0</v>
      </c>
      <c r="CC188" s="253"/>
      <c r="CD188" s="253"/>
    </row>
    <row r="189" ht="15.75" customHeight="1">
      <c r="A189" s="132" t="s">
        <v>247</v>
      </c>
      <c r="B189" s="283"/>
      <c r="C189" s="247">
        <f t="array" ref="C189">INDEX('IS Proforma'!$1:$1048490,MATCH(Expenses!$A189,'IS Proforma'!$C:$C,0),MATCH(Expenses!C$4,'IS Proforma'!$4:$4))</f>
        <v>1052</v>
      </c>
      <c r="D189" s="247">
        <f t="array" ref="D189">INDEX('IS Proforma'!$1:$1048490,MATCH(Expenses!$A189,'IS Proforma'!$C:$C,0),MATCH(Expenses!D$4,'IS Proforma'!$4:$4))</f>
        <v>1114</v>
      </c>
      <c r="E189" s="247">
        <f t="array" ref="E189">INDEX('IS Proforma'!$1:$1048490,MATCH(Expenses!$A189,'IS Proforma'!$C:$C,0),MATCH(Expenses!E$4,'IS Proforma'!$4:$4))</f>
        <v>2217</v>
      </c>
      <c r="F189" s="247">
        <f t="array" ref="F189">INDEX('IS Proforma'!$1:$1048490,MATCH(Expenses!$A189,'IS Proforma'!$C:$C,0),MATCH(Expenses!F$4,'IS Proforma'!$4:$4))</f>
        <v>2087</v>
      </c>
      <c r="G189" s="247">
        <f t="array" ref="G189">INDEX('IS Proforma'!$1:$1048490,MATCH(Expenses!$A189,'IS Proforma'!$C:$C,0),MATCH(Expenses!G$4,'IS Proforma'!$4:$4))</f>
        <v>2307</v>
      </c>
      <c r="H189" s="247">
        <f t="array" ref="H189">INDEX('IS Proforma'!$1:$1048490,MATCH(Expenses!$A189,'IS Proforma'!$C:$C,0),MATCH(Expenses!H$4,'IS Proforma'!$4:$4))</f>
        <v>2019</v>
      </c>
      <c r="I189" s="247">
        <f t="array" ref="I189">INDEX('IS Proforma'!$1:$1048490,MATCH(Expenses!$A189,'IS Proforma'!$C:$C,0),MATCH(Expenses!I$4,'IS Proforma'!$4:$4))</f>
        <v>2035</v>
      </c>
      <c r="J189" s="247">
        <f t="array" ref="J189">INDEX('IS Proforma'!$1:$1048490,MATCH(Expenses!$A189,'IS Proforma'!$C:$C,0),MATCH(Expenses!J$4,'IS Proforma'!$4:$4))</f>
        <v>2194</v>
      </c>
      <c r="K189" s="247">
        <f t="array" ref="K189">INDEX('IS Proforma'!$1:$1048490,MATCH(Expenses!$A189,'IS Proforma'!$C:$C,0),MATCH(Expenses!K$4,'IS Proforma'!$4:$4))</f>
        <v>1452</v>
      </c>
      <c r="L189" s="247">
        <f t="shared" ref="L189:CB189" si="132">L188*L$187</f>
        <v>0</v>
      </c>
      <c r="M189" s="247">
        <f t="shared" si="132"/>
        <v>0</v>
      </c>
      <c r="N189" s="117">
        <f t="shared" si="132"/>
        <v>0</v>
      </c>
      <c r="O189" s="117">
        <f t="shared" si="132"/>
        <v>0</v>
      </c>
      <c r="P189" s="117">
        <f t="shared" si="132"/>
        <v>0</v>
      </c>
      <c r="Q189" s="117">
        <f t="shared" si="132"/>
        <v>0</v>
      </c>
      <c r="R189" s="117">
        <f t="shared" si="132"/>
        <v>0</v>
      </c>
      <c r="S189" s="117">
        <f t="shared" si="132"/>
        <v>0</v>
      </c>
      <c r="T189" s="117">
        <f t="shared" si="132"/>
        <v>0</v>
      </c>
      <c r="U189" s="117">
        <f t="shared" si="132"/>
        <v>0</v>
      </c>
      <c r="V189" s="117">
        <f t="shared" si="132"/>
        <v>0</v>
      </c>
      <c r="W189" s="117">
        <f t="shared" si="132"/>
        <v>0</v>
      </c>
      <c r="X189" s="117">
        <f t="shared" si="132"/>
        <v>0</v>
      </c>
      <c r="Y189" s="117">
        <f t="shared" si="132"/>
        <v>0</v>
      </c>
      <c r="Z189" s="117">
        <f t="shared" si="132"/>
        <v>0</v>
      </c>
      <c r="AA189" s="117">
        <f t="shared" si="132"/>
        <v>0</v>
      </c>
      <c r="AB189" s="117">
        <f t="shared" si="132"/>
        <v>0</v>
      </c>
      <c r="AC189" s="117">
        <f t="shared" si="132"/>
        <v>0</v>
      </c>
      <c r="AD189" s="117">
        <f t="shared" si="132"/>
        <v>0</v>
      </c>
      <c r="AE189" s="117">
        <f t="shared" si="132"/>
        <v>0</v>
      </c>
      <c r="AF189" s="117">
        <f t="shared" si="132"/>
        <v>0</v>
      </c>
      <c r="AG189" s="117">
        <f t="shared" si="132"/>
        <v>0</v>
      </c>
      <c r="AH189" s="117">
        <f t="shared" si="132"/>
        <v>0</v>
      </c>
      <c r="AI189" s="117">
        <f t="shared" si="132"/>
        <v>0</v>
      </c>
      <c r="AJ189" s="117">
        <f t="shared" si="132"/>
        <v>0</v>
      </c>
      <c r="AK189" s="117">
        <f t="shared" si="132"/>
        <v>0</v>
      </c>
      <c r="AL189" s="117">
        <f t="shared" si="132"/>
        <v>0</v>
      </c>
      <c r="AM189" s="117">
        <f t="shared" si="132"/>
        <v>0</v>
      </c>
      <c r="AN189" s="117">
        <f t="shared" si="132"/>
        <v>0</v>
      </c>
      <c r="AO189" s="117">
        <f t="shared" si="132"/>
        <v>0</v>
      </c>
      <c r="AP189" s="117">
        <f t="shared" si="132"/>
        <v>0</v>
      </c>
      <c r="AQ189" s="117">
        <f t="shared" si="132"/>
        <v>0</v>
      </c>
      <c r="AR189" s="117">
        <f t="shared" si="132"/>
        <v>0</v>
      </c>
      <c r="AS189" s="117">
        <f t="shared" si="132"/>
        <v>0</v>
      </c>
      <c r="AT189" s="117">
        <f t="shared" si="132"/>
        <v>0</v>
      </c>
      <c r="AU189" s="117">
        <f t="shared" si="132"/>
        <v>0</v>
      </c>
      <c r="AV189" s="117">
        <f t="shared" si="132"/>
        <v>0</v>
      </c>
      <c r="AW189" s="117">
        <f t="shared" si="132"/>
        <v>0</v>
      </c>
      <c r="AX189" s="117">
        <f t="shared" si="132"/>
        <v>0</v>
      </c>
      <c r="AY189" s="117">
        <f t="shared" si="132"/>
        <v>0</v>
      </c>
      <c r="AZ189" s="117">
        <f t="shared" si="132"/>
        <v>0</v>
      </c>
      <c r="BA189" s="117">
        <f t="shared" si="132"/>
        <v>0</v>
      </c>
      <c r="BB189" s="117">
        <f t="shared" si="132"/>
        <v>0</v>
      </c>
      <c r="BC189" s="117">
        <f t="shared" si="132"/>
        <v>0</v>
      </c>
      <c r="BD189" s="117">
        <f t="shared" si="132"/>
        <v>0</v>
      </c>
      <c r="BE189" s="117">
        <f t="shared" si="132"/>
        <v>0</v>
      </c>
      <c r="BF189" s="117">
        <f t="shared" si="132"/>
        <v>0</v>
      </c>
      <c r="BG189" s="117">
        <f t="shared" si="132"/>
        <v>0</v>
      </c>
      <c r="BH189" s="117">
        <f t="shared" si="132"/>
        <v>0</v>
      </c>
      <c r="BI189" s="117">
        <f t="shared" si="132"/>
        <v>0</v>
      </c>
      <c r="BJ189" s="117">
        <f t="shared" si="132"/>
        <v>0</v>
      </c>
      <c r="BK189" s="117">
        <f t="shared" si="132"/>
        <v>0</v>
      </c>
      <c r="BL189" s="117">
        <f t="shared" si="132"/>
        <v>0</v>
      </c>
      <c r="BM189" s="117">
        <f t="shared" si="132"/>
        <v>0</v>
      </c>
      <c r="BN189" s="117">
        <f t="shared" si="132"/>
        <v>0</v>
      </c>
      <c r="BO189" s="117">
        <f t="shared" si="132"/>
        <v>0</v>
      </c>
      <c r="BP189" s="117">
        <f t="shared" si="132"/>
        <v>0</v>
      </c>
      <c r="BQ189" s="117">
        <f t="shared" si="132"/>
        <v>0</v>
      </c>
      <c r="BR189" s="117">
        <f t="shared" si="132"/>
        <v>0</v>
      </c>
      <c r="BS189" s="117">
        <f t="shared" si="132"/>
        <v>0</v>
      </c>
      <c r="BT189" s="117">
        <f t="shared" si="132"/>
        <v>0</v>
      </c>
      <c r="BU189" s="117">
        <f t="shared" si="132"/>
        <v>0</v>
      </c>
      <c r="BV189" s="117">
        <f t="shared" si="132"/>
        <v>0</v>
      </c>
      <c r="BW189" s="117">
        <f t="shared" si="132"/>
        <v>0</v>
      </c>
      <c r="BX189" s="117">
        <f t="shared" si="132"/>
        <v>0</v>
      </c>
      <c r="BY189" s="117">
        <f t="shared" si="132"/>
        <v>0</v>
      </c>
      <c r="BZ189" s="117">
        <f t="shared" si="132"/>
        <v>0</v>
      </c>
      <c r="CA189" s="117">
        <f t="shared" si="132"/>
        <v>0</v>
      </c>
      <c r="CB189" s="117">
        <f t="shared" si="132"/>
        <v>0</v>
      </c>
      <c r="CC189" s="117"/>
      <c r="CD189" s="117"/>
    </row>
    <row r="190" ht="15.75" customHeight="1">
      <c r="B190" s="6"/>
    </row>
    <row r="191" ht="15.75" customHeight="1">
      <c r="A191" s="1" t="s">
        <v>591</v>
      </c>
      <c r="B191" s="6"/>
    </row>
    <row r="192" ht="15.75" customHeight="1">
      <c r="B192" s="6"/>
    </row>
    <row r="193" ht="15.75" customHeight="1">
      <c r="B193" s="6"/>
    </row>
    <row r="194" ht="15.75" customHeight="1">
      <c r="B194" s="6"/>
    </row>
    <row r="195" ht="15.75" customHeight="1">
      <c r="B195" s="6"/>
    </row>
    <row r="196" ht="15.75" customHeight="1">
      <c r="B196" s="6"/>
    </row>
    <row r="197" ht="15.75" customHeight="1">
      <c r="B197" s="6"/>
    </row>
    <row r="198" ht="15.75" customHeight="1">
      <c r="B198" s="6"/>
    </row>
    <row r="199" ht="15.75" customHeight="1">
      <c r="B199" s="6"/>
    </row>
    <row r="200" ht="15.75" customHeight="1">
      <c r="B200" s="6"/>
    </row>
    <row r="201" ht="15.75" customHeight="1">
      <c r="B201" s="6"/>
    </row>
    <row r="202" ht="15.75" customHeight="1">
      <c r="B202" s="6"/>
    </row>
    <row r="203" ht="15.75" customHeight="1">
      <c r="B203" s="6"/>
    </row>
    <row r="204" ht="15.75" customHeight="1">
      <c r="B204" s="6"/>
    </row>
    <row r="205" ht="15.75" customHeight="1">
      <c r="B205" s="6"/>
    </row>
    <row r="206" ht="15.75" customHeight="1">
      <c r="B206" s="6"/>
    </row>
    <row r="207" ht="15.75" customHeight="1">
      <c r="B207" s="6"/>
    </row>
    <row r="208" ht="15.75" customHeight="1">
      <c r="B208" s="6"/>
    </row>
    <row r="209" ht="15.75" customHeight="1">
      <c r="B209" s="6"/>
    </row>
    <row r="210" ht="15.75" customHeight="1">
      <c r="B210" s="6"/>
    </row>
    <row r="211" ht="15.75" customHeight="1">
      <c r="B211" s="6"/>
    </row>
    <row r="212" ht="15.75" customHeight="1">
      <c r="B212" s="6"/>
    </row>
    <row r="213" ht="15.75" customHeight="1">
      <c r="B213" s="6"/>
    </row>
    <row r="214" ht="15.75" customHeight="1">
      <c r="B214" s="6"/>
    </row>
    <row r="215" ht="15.75" customHeight="1">
      <c r="B215" s="6"/>
    </row>
    <row r="216" ht="15.75" customHeight="1">
      <c r="B216" s="6"/>
    </row>
    <row r="217" ht="15.75" customHeight="1">
      <c r="B217" s="6"/>
    </row>
    <row r="218" ht="15.75" customHeight="1">
      <c r="B218" s="6"/>
    </row>
    <row r="219" ht="15.75" customHeight="1">
      <c r="B219" s="6"/>
    </row>
    <row r="220" ht="15.75" customHeight="1">
      <c r="B220" s="6"/>
    </row>
    <row r="221" ht="15.75" customHeight="1">
      <c r="B221" s="6"/>
    </row>
    <row r="222" ht="15.75" customHeight="1">
      <c r="B222" s="6"/>
    </row>
    <row r="223" ht="15.75" customHeight="1">
      <c r="B223" s="6"/>
    </row>
    <row r="224" ht="15.75" customHeight="1">
      <c r="B224" s="6"/>
    </row>
    <row r="225" ht="15.75" customHeight="1">
      <c r="B225" s="6"/>
    </row>
    <row r="226" ht="15.75" customHeight="1">
      <c r="B226" s="6"/>
    </row>
    <row r="227" ht="15.75" customHeight="1">
      <c r="B227" s="6"/>
    </row>
    <row r="228" ht="15.75" customHeight="1">
      <c r="B228" s="6"/>
    </row>
    <row r="229" ht="15.75" customHeight="1">
      <c r="B229" s="6"/>
    </row>
    <row r="230" ht="15.75" customHeight="1">
      <c r="B230" s="6"/>
    </row>
    <row r="231" ht="15.75" customHeight="1">
      <c r="B231" s="6"/>
    </row>
    <row r="232" ht="15.75" customHeight="1">
      <c r="B232" s="6"/>
    </row>
    <row r="233" ht="15.75" customHeight="1">
      <c r="B233" s="6"/>
    </row>
    <row r="234" ht="15.75" customHeight="1">
      <c r="B234" s="6"/>
    </row>
    <row r="235" ht="15.75" customHeight="1">
      <c r="B235" s="6"/>
    </row>
    <row r="236" ht="15.75" customHeight="1">
      <c r="B236" s="6"/>
    </row>
    <row r="237" ht="15.75" customHeight="1">
      <c r="B237" s="6"/>
    </row>
    <row r="238" ht="15.75" customHeight="1">
      <c r="B238" s="6"/>
    </row>
    <row r="239" ht="15.75" customHeight="1">
      <c r="B239" s="6"/>
    </row>
    <row r="240" ht="15.75" customHeight="1">
      <c r="B240" s="6"/>
    </row>
    <row r="241" ht="15.75" customHeight="1">
      <c r="B241" s="6"/>
    </row>
    <row r="242" ht="15.75" customHeight="1">
      <c r="B242" s="6"/>
    </row>
    <row r="243" ht="15.75" customHeight="1">
      <c r="B243" s="6"/>
    </row>
    <row r="244" ht="15.75" customHeight="1">
      <c r="B244" s="6"/>
    </row>
    <row r="245" ht="15.75" customHeight="1">
      <c r="B245" s="6"/>
    </row>
    <row r="246" ht="15.75" customHeight="1">
      <c r="B246" s="6"/>
    </row>
    <row r="247" ht="15.75" customHeight="1">
      <c r="B247" s="6"/>
    </row>
    <row r="248" ht="15.75" customHeight="1">
      <c r="B248" s="6"/>
    </row>
    <row r="249" ht="15.75" customHeight="1">
      <c r="B249" s="6"/>
    </row>
    <row r="250" ht="15.75" customHeight="1">
      <c r="B250" s="6"/>
    </row>
    <row r="251" ht="15.75" customHeight="1">
      <c r="B251" s="6"/>
    </row>
    <row r="252" ht="15.75" customHeight="1">
      <c r="B252" s="6"/>
    </row>
    <row r="253" ht="15.75" customHeight="1">
      <c r="B253" s="6"/>
    </row>
    <row r="254" ht="15.75" customHeight="1">
      <c r="B254" s="6"/>
    </row>
    <row r="255" ht="15.75" customHeight="1">
      <c r="B255" s="6"/>
    </row>
    <row r="256" ht="15.75" customHeight="1">
      <c r="B256" s="6"/>
    </row>
    <row r="257" ht="15.75" customHeight="1">
      <c r="B257" s="6"/>
    </row>
    <row r="258" ht="15.75" customHeight="1">
      <c r="B258" s="6"/>
    </row>
    <row r="259" ht="15.75" customHeight="1">
      <c r="B259" s="6"/>
    </row>
    <row r="260" ht="15.75" customHeight="1">
      <c r="B260" s="6"/>
    </row>
    <row r="261" ht="15.75" customHeight="1">
      <c r="B261" s="6"/>
    </row>
    <row r="262" ht="15.75" customHeight="1">
      <c r="B262" s="6"/>
    </row>
    <row r="263" ht="15.75" customHeight="1">
      <c r="B263" s="6"/>
    </row>
    <row r="264" ht="15.75" customHeight="1">
      <c r="B264" s="6"/>
    </row>
    <row r="265" ht="15.75" customHeight="1">
      <c r="B265" s="6"/>
    </row>
    <row r="266" ht="15.75" customHeight="1">
      <c r="B266" s="6"/>
      <c r="P266" s="308">
        <v>17200.0</v>
      </c>
      <c r="Q266" s="309">
        <v>17200.0</v>
      </c>
      <c r="R266" s="309">
        <v>17200.0</v>
      </c>
      <c r="S266" s="309">
        <v>17200.0</v>
      </c>
      <c r="T266" s="309">
        <v>17200.0</v>
      </c>
      <c r="U266" s="309">
        <v>17200.0</v>
      </c>
      <c r="V266" s="309">
        <v>17200.0</v>
      </c>
      <c r="W266" s="309">
        <v>17200.0</v>
      </c>
      <c r="X266" s="309">
        <v>17200.0</v>
      </c>
      <c r="Y266" s="309">
        <v>17200.0</v>
      </c>
      <c r="Z266" s="309">
        <v>17200.0</v>
      </c>
      <c r="AA266" s="309">
        <v>17200.0</v>
      </c>
    </row>
    <row r="267" ht="15.75" customHeight="1">
      <c r="B267" s="6"/>
      <c r="P267" s="308">
        <v>124300.0</v>
      </c>
      <c r="Q267" s="309">
        <v>124300.0</v>
      </c>
      <c r="R267" s="309">
        <v>124300.0</v>
      </c>
      <c r="S267" s="309">
        <v>124300.0</v>
      </c>
      <c r="T267" s="309">
        <v>124300.0</v>
      </c>
      <c r="U267" s="309">
        <v>124300.0</v>
      </c>
      <c r="V267" s="309">
        <v>124300.0</v>
      </c>
      <c r="W267" s="309">
        <v>125300.0</v>
      </c>
      <c r="X267" s="309">
        <v>124300.0</v>
      </c>
      <c r="Y267" s="309">
        <v>124300.0</v>
      </c>
      <c r="Z267" s="309">
        <v>124300.0</v>
      </c>
      <c r="AA267" s="309">
        <v>119300.0</v>
      </c>
    </row>
    <row r="268" ht="15.75" customHeight="1">
      <c r="B268" s="6"/>
      <c r="P268" s="308">
        <v>61000.0</v>
      </c>
      <c r="Q268" s="309">
        <v>66000.0</v>
      </c>
      <c r="R268" s="309">
        <v>66000.0</v>
      </c>
      <c r="S268" s="309">
        <v>66000.0</v>
      </c>
      <c r="T268" s="309">
        <v>66000.0</v>
      </c>
      <c r="U268" s="309">
        <v>66000.0</v>
      </c>
      <c r="V268" s="309">
        <v>66000.0</v>
      </c>
      <c r="W268" s="309">
        <v>67000.0</v>
      </c>
      <c r="X268" s="309">
        <v>66000.0</v>
      </c>
      <c r="Y268" s="309">
        <v>66000.0</v>
      </c>
      <c r="Z268" s="309">
        <v>66000.0</v>
      </c>
      <c r="AA268" s="309">
        <v>62000.0</v>
      </c>
    </row>
    <row r="269" ht="15.75" customHeight="1">
      <c r="B269" s="6"/>
      <c r="P269" s="308">
        <v>3438.0</v>
      </c>
      <c r="Q269" s="309">
        <v>3438.0</v>
      </c>
      <c r="R269" s="309">
        <v>3438.0</v>
      </c>
      <c r="S269" s="309">
        <v>3438.0</v>
      </c>
      <c r="T269" s="309">
        <v>3438.0</v>
      </c>
      <c r="U269" s="309">
        <v>3438.0</v>
      </c>
      <c r="V269" s="309">
        <v>3438.0</v>
      </c>
      <c r="W269" s="309">
        <v>3438.0</v>
      </c>
      <c r="X269" s="309">
        <v>3438.0</v>
      </c>
      <c r="Y269" s="309">
        <v>3438.0</v>
      </c>
      <c r="Z269" s="309">
        <v>3438.0</v>
      </c>
      <c r="AA269" s="309">
        <v>3438.0</v>
      </c>
    </row>
    <row r="270" ht="15.75" customHeight="1">
      <c r="B270" s="6"/>
      <c r="P270" s="308">
        <v>31948.0</v>
      </c>
      <c r="Q270" s="309">
        <v>32810.0</v>
      </c>
      <c r="R270" s="309">
        <v>32810.0</v>
      </c>
      <c r="S270" s="309">
        <v>32810.0</v>
      </c>
      <c r="T270" s="309">
        <v>32810.0</v>
      </c>
      <c r="U270" s="309">
        <v>32810.0</v>
      </c>
      <c r="V270" s="309">
        <v>32810.0</v>
      </c>
      <c r="W270" s="309">
        <v>33155.0</v>
      </c>
      <c r="X270" s="309">
        <v>32810.0</v>
      </c>
      <c r="Y270" s="309">
        <v>32810.0</v>
      </c>
      <c r="Z270" s="309">
        <v>32810.0</v>
      </c>
      <c r="AA270" s="309">
        <v>31259.0</v>
      </c>
    </row>
    <row r="271" ht="15.75" customHeight="1">
      <c r="B271" s="6"/>
      <c r="P271" s="137">
        <f t="shared" ref="P271:AA271" si="133">SUM(P266:P270)</f>
        <v>237886</v>
      </c>
      <c r="Q271" s="137">
        <f t="shared" si="133"/>
        <v>243748</v>
      </c>
      <c r="R271" s="137">
        <f t="shared" si="133"/>
        <v>243748</v>
      </c>
      <c r="S271" s="137">
        <f t="shared" si="133"/>
        <v>243748</v>
      </c>
      <c r="T271" s="137">
        <f t="shared" si="133"/>
        <v>243748</v>
      </c>
      <c r="U271" s="137">
        <f t="shared" si="133"/>
        <v>243748</v>
      </c>
      <c r="V271" s="137">
        <f t="shared" si="133"/>
        <v>243748</v>
      </c>
      <c r="W271" s="137">
        <f t="shared" si="133"/>
        <v>246093</v>
      </c>
      <c r="X271" s="137">
        <f t="shared" si="133"/>
        <v>243748</v>
      </c>
      <c r="Y271" s="137">
        <f t="shared" si="133"/>
        <v>243748</v>
      </c>
      <c r="Z271" s="137">
        <f t="shared" si="133"/>
        <v>243748</v>
      </c>
      <c r="AA271" s="137">
        <f t="shared" si="133"/>
        <v>233197</v>
      </c>
    </row>
    <row r="272" ht="15.75" customHeight="1">
      <c r="B272" s="6"/>
    </row>
    <row r="273" ht="15.75" customHeight="1">
      <c r="B273" s="6"/>
    </row>
    <row r="274" ht="15.75" customHeight="1">
      <c r="B274" s="6"/>
    </row>
    <row r="275" ht="15.75" customHeight="1">
      <c r="B275" s="6"/>
    </row>
    <row r="276" ht="15.75" customHeight="1">
      <c r="B276" s="6"/>
    </row>
    <row r="277" ht="15.75" customHeight="1">
      <c r="B277" s="6"/>
    </row>
    <row r="278" ht="15.75" customHeight="1">
      <c r="B278" s="6"/>
    </row>
    <row r="279" ht="15.75" customHeight="1">
      <c r="B279" s="6"/>
    </row>
    <row r="280" ht="15.75" customHeight="1">
      <c r="B280" s="6"/>
    </row>
    <row r="281" ht="15.75" customHeight="1">
      <c r="B281" s="6"/>
    </row>
    <row r="282" ht="15.75" customHeight="1">
      <c r="B282" s="6"/>
    </row>
    <row r="283" ht="15.75" customHeight="1">
      <c r="B283" s="6"/>
    </row>
    <row r="284" ht="15.75" customHeight="1">
      <c r="B284" s="6"/>
    </row>
    <row r="285" ht="15.75" customHeight="1">
      <c r="B285" s="6"/>
    </row>
    <row r="286" ht="15.75" customHeight="1">
      <c r="B286" s="6"/>
    </row>
    <row r="287" ht="15.75" customHeight="1">
      <c r="B287" s="6"/>
    </row>
    <row r="288" ht="15.75" customHeight="1">
      <c r="B288" s="6"/>
    </row>
    <row r="289" ht="15.75" customHeight="1">
      <c r="B289" s="6"/>
    </row>
    <row r="290" ht="15.75" customHeight="1">
      <c r="B290" s="6"/>
    </row>
    <row r="291" ht="15.75" customHeight="1">
      <c r="B291" s="6"/>
    </row>
    <row r="292" ht="15.75" customHeight="1">
      <c r="B292" s="6"/>
    </row>
    <row r="293" ht="15.75" customHeight="1">
      <c r="B293" s="6"/>
    </row>
    <row r="294" ht="15.75" customHeight="1">
      <c r="B294" s="6"/>
    </row>
    <row r="295" ht="15.75" customHeight="1">
      <c r="B295" s="6"/>
    </row>
    <row r="296" ht="15.75" customHeight="1">
      <c r="B296" s="6"/>
    </row>
    <row r="297" ht="15.75" customHeight="1">
      <c r="B297" s="6"/>
    </row>
    <row r="298" ht="15.75" customHeight="1">
      <c r="B298" s="6"/>
    </row>
    <row r="299" ht="15.75" customHeight="1">
      <c r="B299" s="6"/>
    </row>
    <row r="300" ht="15.75" customHeight="1">
      <c r="B300" s="6"/>
    </row>
    <row r="301" ht="15.75" customHeight="1">
      <c r="B301" s="6"/>
    </row>
    <row r="302" ht="15.75" customHeight="1">
      <c r="B302" s="6"/>
    </row>
    <row r="303" ht="15.75" customHeight="1">
      <c r="B303" s="6"/>
    </row>
    <row r="304" ht="15.75" customHeight="1">
      <c r="B304" s="6"/>
    </row>
    <row r="305" ht="15.75" customHeight="1">
      <c r="B305" s="6"/>
    </row>
    <row r="306" ht="15.75" customHeight="1">
      <c r="B306" s="6"/>
    </row>
    <row r="307" ht="15.75" customHeight="1">
      <c r="B307" s="6"/>
    </row>
    <row r="308" ht="15.75" customHeight="1">
      <c r="B308" s="6"/>
    </row>
    <row r="309" ht="15.75" customHeight="1">
      <c r="B309" s="6"/>
    </row>
    <row r="310" ht="15.75" customHeight="1">
      <c r="B310" s="6"/>
    </row>
    <row r="311" ht="15.75" customHeight="1">
      <c r="B311" s="6"/>
    </row>
    <row r="312" ht="15.75" customHeight="1">
      <c r="B312" s="6"/>
    </row>
    <row r="313" ht="15.75" customHeight="1">
      <c r="B313" s="6"/>
    </row>
    <row r="314" ht="15.75" customHeight="1">
      <c r="B314" s="6"/>
    </row>
    <row r="315" ht="15.75" customHeight="1">
      <c r="B315" s="6"/>
    </row>
    <row r="316" ht="15.75" customHeight="1">
      <c r="B316" s="6"/>
    </row>
    <row r="317" ht="15.75" customHeight="1">
      <c r="B317" s="6"/>
    </row>
    <row r="318" ht="15.75" customHeight="1">
      <c r="B318" s="6"/>
    </row>
    <row r="319" ht="15.75" customHeight="1">
      <c r="B319" s="6"/>
    </row>
    <row r="320" ht="15.75" customHeight="1">
      <c r="B320" s="6"/>
    </row>
    <row r="321" ht="15.75" customHeight="1">
      <c r="B321" s="6"/>
    </row>
    <row r="322" ht="15.75" customHeight="1">
      <c r="B322" s="6"/>
    </row>
    <row r="323" ht="15.75" customHeight="1">
      <c r="B323" s="6"/>
    </row>
    <row r="324" ht="15.75" customHeight="1">
      <c r="B324" s="6"/>
    </row>
    <row r="325" ht="15.75" customHeight="1">
      <c r="B325" s="6"/>
    </row>
    <row r="326" ht="15.75" customHeight="1">
      <c r="B326" s="6"/>
    </row>
    <row r="327" ht="15.75" customHeight="1">
      <c r="B327" s="6"/>
    </row>
    <row r="328" ht="15.75" customHeight="1">
      <c r="B328" s="6"/>
    </row>
    <row r="329" ht="15.75" customHeight="1">
      <c r="B329" s="6"/>
    </row>
    <row r="330" ht="15.75" customHeight="1">
      <c r="B330" s="6"/>
    </row>
    <row r="331" ht="15.75" customHeight="1">
      <c r="B331" s="6"/>
    </row>
    <row r="332" ht="15.75" customHeight="1">
      <c r="B332" s="6"/>
    </row>
    <row r="333" ht="15.75" customHeight="1">
      <c r="B333" s="6"/>
    </row>
    <row r="334" ht="15.75" customHeight="1">
      <c r="B334" s="6"/>
    </row>
    <row r="335" ht="15.75" customHeight="1">
      <c r="B335" s="6"/>
    </row>
    <row r="336" ht="15.75" customHeight="1">
      <c r="B336" s="6"/>
    </row>
    <row r="337" ht="15.75" customHeight="1">
      <c r="B337" s="6"/>
    </row>
    <row r="338" ht="15.75" customHeight="1">
      <c r="B338" s="6"/>
    </row>
    <row r="339" ht="15.75" customHeight="1">
      <c r="B339" s="6"/>
    </row>
    <row r="340" ht="15.75" customHeight="1">
      <c r="B340" s="6"/>
    </row>
    <row r="341" ht="15.75" customHeight="1">
      <c r="B341" s="6"/>
    </row>
    <row r="342" ht="15.75" customHeight="1">
      <c r="B342" s="6"/>
    </row>
    <row r="343" ht="15.75" customHeight="1">
      <c r="B343" s="6"/>
    </row>
    <row r="344" ht="15.75" customHeight="1">
      <c r="B344" s="6"/>
    </row>
    <row r="345" ht="15.75" customHeight="1">
      <c r="B345" s="6"/>
    </row>
    <row r="346" ht="15.75" customHeight="1">
      <c r="B346" s="6"/>
    </row>
    <row r="347" ht="15.75" customHeight="1">
      <c r="B347" s="6"/>
    </row>
    <row r="348" ht="15.75" customHeight="1">
      <c r="B348" s="6"/>
    </row>
    <row r="349" ht="15.75" customHeight="1">
      <c r="B349" s="6"/>
    </row>
    <row r="350" ht="15.75" customHeight="1">
      <c r="B350" s="6"/>
    </row>
    <row r="351" ht="15.75" customHeight="1">
      <c r="B351" s="6"/>
    </row>
    <row r="352" ht="15.75" customHeight="1">
      <c r="B352" s="6"/>
    </row>
    <row r="353" ht="15.75" customHeight="1">
      <c r="B353" s="6"/>
    </row>
    <row r="354" ht="15.75" customHeight="1">
      <c r="B354" s="6"/>
    </row>
    <row r="355" ht="15.75" customHeight="1">
      <c r="B355" s="6"/>
    </row>
    <row r="356" ht="15.75" customHeight="1">
      <c r="B356" s="6"/>
    </row>
    <row r="357" ht="15.75" customHeight="1">
      <c r="B357" s="6"/>
    </row>
    <row r="358" ht="15.75" customHeight="1">
      <c r="B358" s="6"/>
    </row>
    <row r="359" ht="15.75" customHeight="1">
      <c r="B359" s="6"/>
    </row>
    <row r="360" ht="15.75" customHeight="1">
      <c r="B360" s="6"/>
    </row>
    <row r="361" ht="15.75" customHeight="1">
      <c r="B361" s="6"/>
    </row>
    <row r="362" ht="15.75" customHeight="1">
      <c r="B362" s="6"/>
    </row>
    <row r="363" ht="15.75" customHeight="1">
      <c r="B363" s="6"/>
    </row>
    <row r="364" ht="15.75" customHeight="1">
      <c r="B364" s="6"/>
    </row>
    <row r="365" ht="15.75" customHeight="1">
      <c r="B365" s="6"/>
    </row>
    <row r="366" ht="15.75" customHeight="1">
      <c r="B366" s="6"/>
    </row>
    <row r="367" ht="15.75" customHeight="1">
      <c r="B367" s="6"/>
    </row>
    <row r="368" ht="15.75" customHeight="1">
      <c r="B368" s="6"/>
    </row>
    <row r="369" ht="15.75" customHeight="1">
      <c r="B369" s="6"/>
    </row>
    <row r="370" ht="15.75" customHeight="1">
      <c r="B370" s="6"/>
    </row>
    <row r="371" ht="15.75" customHeight="1">
      <c r="B371" s="6"/>
    </row>
    <row r="372" ht="15.75" customHeight="1">
      <c r="B372" s="6"/>
    </row>
    <row r="373" ht="15.75" customHeight="1">
      <c r="B373" s="6"/>
    </row>
    <row r="374" ht="15.75" customHeight="1">
      <c r="B374" s="6"/>
    </row>
    <row r="375" ht="15.75" customHeight="1">
      <c r="B375" s="6"/>
    </row>
    <row r="376" ht="15.75" customHeight="1">
      <c r="B376" s="6"/>
    </row>
    <row r="377" ht="15.75" customHeight="1">
      <c r="B377" s="6"/>
    </row>
    <row r="378" ht="15.75" customHeight="1">
      <c r="B378" s="6"/>
    </row>
    <row r="379" ht="15.75" customHeight="1">
      <c r="B379" s="6"/>
    </row>
    <row r="380" ht="15.75" customHeight="1">
      <c r="B380" s="6"/>
    </row>
    <row r="381" ht="15.75" customHeight="1">
      <c r="B381" s="6"/>
    </row>
    <row r="382" ht="15.75" customHeight="1">
      <c r="B382" s="6"/>
    </row>
    <row r="383" ht="15.75" customHeight="1">
      <c r="B383" s="6"/>
    </row>
    <row r="384" ht="15.75" customHeight="1">
      <c r="B384" s="6"/>
    </row>
    <row r="385" ht="15.75" customHeight="1">
      <c r="B385" s="6"/>
    </row>
    <row r="386" ht="15.75" customHeight="1">
      <c r="B386" s="6"/>
    </row>
    <row r="387" ht="15.75" customHeight="1">
      <c r="B387" s="6"/>
    </row>
    <row r="388" ht="15.75" customHeight="1">
      <c r="B388" s="6"/>
    </row>
    <row r="389" ht="15.75" customHeight="1">
      <c r="B389" s="6"/>
    </row>
    <row r="390" ht="15.75" customHeight="1">
      <c r="B390" s="6"/>
    </row>
    <row r="391" ht="15.75" customHeight="1">
      <c r="B391" s="6"/>
    </row>
    <row r="392" ht="15.75" customHeight="1">
      <c r="B392" s="6"/>
    </row>
    <row r="393" ht="15.75" customHeight="1">
      <c r="B393" s="6"/>
    </row>
    <row r="394" ht="15.75" customHeight="1">
      <c r="B394" s="6"/>
    </row>
    <row r="395" ht="15.75" customHeight="1">
      <c r="B395" s="6"/>
    </row>
    <row r="396" ht="15.75" customHeight="1">
      <c r="B396" s="6"/>
    </row>
    <row r="397" ht="15.75" customHeight="1">
      <c r="B397" s="6"/>
    </row>
    <row r="398" ht="15.75" customHeight="1">
      <c r="B398" s="6"/>
    </row>
    <row r="399" ht="15.75" customHeight="1">
      <c r="B399" s="6"/>
    </row>
    <row r="400" ht="15.75" customHeight="1">
      <c r="B400" s="6"/>
    </row>
    <row r="401" ht="15.75" customHeight="1">
      <c r="B401" s="6"/>
    </row>
    <row r="402" ht="15.75" customHeight="1">
      <c r="B402" s="6"/>
    </row>
    <row r="403" ht="15.75" customHeight="1">
      <c r="B403" s="6"/>
    </row>
    <row r="404" ht="15.75" customHeight="1">
      <c r="B404" s="6"/>
    </row>
    <row r="405" ht="15.75" customHeight="1">
      <c r="B405" s="6"/>
    </row>
    <row r="406" ht="15.75" customHeight="1">
      <c r="B406" s="6"/>
    </row>
    <row r="407" ht="15.75" customHeight="1">
      <c r="B407" s="6"/>
    </row>
    <row r="408" ht="15.75" customHeight="1">
      <c r="B408" s="6"/>
    </row>
    <row r="409" ht="15.75" customHeight="1">
      <c r="B409" s="6"/>
    </row>
    <row r="410" ht="15.75" customHeight="1">
      <c r="B410" s="6"/>
    </row>
    <row r="411" ht="15.75" customHeight="1">
      <c r="B411" s="6"/>
    </row>
    <row r="412" ht="15.75" customHeight="1">
      <c r="B412" s="6"/>
    </row>
    <row r="413" ht="15.75" customHeight="1">
      <c r="B413" s="6"/>
    </row>
    <row r="414" ht="15.75" customHeight="1">
      <c r="B414" s="6"/>
    </row>
    <row r="415" ht="15.75" customHeight="1">
      <c r="B415" s="6"/>
    </row>
    <row r="416" ht="15.75" customHeight="1">
      <c r="B416" s="6"/>
    </row>
    <row r="417" ht="15.75" customHeight="1">
      <c r="B417" s="6"/>
    </row>
    <row r="418" ht="15.75" customHeight="1">
      <c r="B418" s="6"/>
    </row>
    <row r="419" ht="15.75" customHeight="1">
      <c r="B419" s="6"/>
    </row>
    <row r="420" ht="15.75" customHeight="1">
      <c r="B420" s="6"/>
    </row>
    <row r="421" ht="15.75" customHeight="1">
      <c r="B421" s="6"/>
    </row>
    <row r="422" ht="15.75" customHeight="1">
      <c r="B422" s="6"/>
    </row>
    <row r="423" ht="15.75" customHeight="1">
      <c r="B423" s="6"/>
    </row>
    <row r="424" ht="15.75" customHeight="1">
      <c r="B424" s="6"/>
    </row>
    <row r="425" ht="15.75" customHeight="1">
      <c r="B425" s="6"/>
    </row>
    <row r="426" ht="15.75" customHeight="1">
      <c r="B426" s="6"/>
    </row>
    <row r="427" ht="15.75" customHeight="1">
      <c r="B427" s="6"/>
    </row>
    <row r="428" ht="15.75" customHeight="1">
      <c r="B428" s="6"/>
    </row>
    <row r="429" ht="15.75" customHeight="1">
      <c r="B429" s="6"/>
    </row>
    <row r="430" ht="15.75" customHeight="1">
      <c r="B430" s="6"/>
    </row>
    <row r="431" ht="15.75" customHeight="1">
      <c r="B431" s="6"/>
    </row>
    <row r="432" ht="15.75" customHeight="1">
      <c r="B432" s="6"/>
    </row>
    <row r="433" ht="15.75" customHeight="1">
      <c r="B433" s="6"/>
    </row>
    <row r="434" ht="15.75" customHeight="1">
      <c r="B434" s="6"/>
    </row>
    <row r="435" ht="15.75" customHeight="1">
      <c r="B435" s="6"/>
    </row>
    <row r="436" ht="15.75" customHeight="1">
      <c r="B436" s="6"/>
    </row>
    <row r="437" ht="15.75" customHeight="1">
      <c r="B437" s="6"/>
    </row>
    <row r="438" ht="15.75" customHeight="1">
      <c r="B438" s="6"/>
    </row>
    <row r="439" ht="15.75" customHeight="1">
      <c r="B439" s="6"/>
    </row>
    <row r="440" ht="15.75" customHeight="1">
      <c r="B440" s="6"/>
    </row>
    <row r="441" ht="15.75" customHeight="1">
      <c r="B441" s="6"/>
    </row>
    <row r="442" ht="15.75" customHeight="1">
      <c r="B442" s="6"/>
    </row>
    <row r="443" ht="15.75" customHeight="1">
      <c r="B443" s="6"/>
    </row>
    <row r="444" ht="15.75" customHeight="1">
      <c r="B444" s="6"/>
    </row>
    <row r="445" ht="15.75" customHeight="1">
      <c r="B445" s="6"/>
    </row>
    <row r="446" ht="15.75" customHeight="1">
      <c r="B446" s="6"/>
    </row>
    <row r="447" ht="15.75" customHeight="1">
      <c r="B447" s="6"/>
    </row>
    <row r="448" ht="15.75" customHeight="1">
      <c r="B448" s="6"/>
    </row>
    <row r="449" ht="15.75" customHeight="1">
      <c r="B449" s="6"/>
    </row>
    <row r="450" ht="15.75" customHeight="1">
      <c r="B450" s="6"/>
    </row>
    <row r="451" ht="15.75" customHeight="1">
      <c r="B451" s="6"/>
    </row>
    <row r="452" ht="15.75" customHeight="1">
      <c r="B452" s="6"/>
    </row>
    <row r="453" ht="15.75" customHeight="1">
      <c r="B453" s="6"/>
    </row>
    <row r="454" ht="15.75" customHeight="1">
      <c r="B454" s="6"/>
    </row>
    <row r="455" ht="15.75" customHeight="1">
      <c r="B455" s="6"/>
    </row>
    <row r="456" ht="15.75" customHeight="1">
      <c r="B456" s="6"/>
    </row>
    <row r="457" ht="15.75" customHeight="1">
      <c r="B457" s="6"/>
    </row>
    <row r="458" ht="15.75" customHeight="1">
      <c r="B458" s="6"/>
    </row>
    <row r="459" ht="15.75" customHeight="1">
      <c r="B459" s="6"/>
    </row>
    <row r="460" ht="15.75" customHeight="1">
      <c r="B460" s="6"/>
    </row>
    <row r="461" ht="15.75" customHeight="1">
      <c r="B461" s="6"/>
    </row>
    <row r="462" ht="15.75" customHeight="1">
      <c r="B462" s="6"/>
    </row>
    <row r="463" ht="15.75" customHeight="1">
      <c r="B463" s="6"/>
    </row>
    <row r="464" ht="15.75" customHeight="1">
      <c r="B464" s="6"/>
    </row>
    <row r="465" ht="15.75" customHeight="1">
      <c r="B465" s="6"/>
    </row>
    <row r="466" ht="15.75" customHeight="1">
      <c r="B466" s="6"/>
    </row>
    <row r="467" ht="15.75" customHeight="1">
      <c r="B467" s="6"/>
    </row>
    <row r="468" ht="15.75" customHeight="1">
      <c r="B468" s="6"/>
    </row>
    <row r="469" ht="15.75" customHeight="1">
      <c r="B469" s="6"/>
    </row>
    <row r="470" ht="15.75" customHeight="1">
      <c r="B470" s="6"/>
    </row>
    <row r="471" ht="15.75" customHeight="1">
      <c r="B471" s="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outlineLevelCol="1"/>
  <cols>
    <col customWidth="1" min="1" max="1" width="46.57"/>
    <col customWidth="1" min="2" max="3" width="11.0" outlineLevel="1"/>
    <col customWidth="1" min="4" max="5" width="10.43" outlineLevel="1"/>
    <col customWidth="1" min="6" max="6" width="10.71" outlineLevel="1"/>
    <col customWidth="1" min="7" max="11" width="11.57" outlineLevel="1"/>
    <col customWidth="1" min="12" max="12" width="14.0" outlineLevel="1"/>
    <col customWidth="1" min="13" max="13" width="11.57" outlineLevel="1"/>
    <col customWidth="1" min="14" max="14" width="11.57"/>
    <col customWidth="1" min="15" max="15" width="10.71"/>
    <col customWidth="1" min="16" max="17" width="11.57"/>
    <col customWidth="1" min="18" max="18" width="15.71"/>
    <col customWidth="1" min="19" max="47" width="11.57"/>
    <col customWidth="1" min="48" max="48" width="14.29"/>
    <col customWidth="1" min="49" max="49" width="15.43"/>
    <col customWidth="1" min="50" max="50" width="15.29"/>
    <col customWidth="1" min="51" max="54" width="11.57"/>
    <col customWidth="1" min="55" max="55" width="14.57"/>
    <col customWidth="1" min="56" max="56" width="14.0"/>
    <col customWidth="1" min="57" max="57" width="11.57"/>
    <col customWidth="1" min="58" max="58" width="15.43"/>
    <col customWidth="1" min="59" max="59" width="18.86"/>
    <col customWidth="1" min="60" max="60" width="15.57"/>
    <col customWidth="1" min="61" max="61" width="15.29"/>
  </cols>
  <sheetData>
    <row r="1">
      <c r="A1" s="310"/>
      <c r="B1" s="31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row>
    <row r="4">
      <c r="A4" s="1"/>
      <c r="B4" s="241"/>
      <c r="C4" s="92">
        <v>44197.0</v>
      </c>
      <c r="D4" s="93">
        <v>44228.0</v>
      </c>
      <c r="E4" s="93">
        <v>44256.0</v>
      </c>
      <c r="F4" s="93">
        <v>44287.0</v>
      </c>
      <c r="G4" s="93">
        <v>44317.0</v>
      </c>
      <c r="H4" s="93">
        <v>44348.0</v>
      </c>
      <c r="I4" s="93">
        <v>44378.0</v>
      </c>
      <c r="J4" s="93">
        <v>44409.0</v>
      </c>
      <c r="K4" s="93">
        <v>44440.0</v>
      </c>
      <c r="L4" s="93">
        <v>44470.0</v>
      </c>
      <c r="M4" s="93">
        <v>44501.0</v>
      </c>
      <c r="N4" s="94">
        <v>44531.0</v>
      </c>
      <c r="O4" s="92">
        <v>44562.0</v>
      </c>
      <c r="P4" s="93">
        <v>44593.0</v>
      </c>
      <c r="Q4" s="93">
        <v>44621.0</v>
      </c>
      <c r="R4" s="93">
        <v>44652.0</v>
      </c>
      <c r="S4" s="93">
        <v>44682.0</v>
      </c>
      <c r="T4" s="93">
        <v>44713.0</v>
      </c>
      <c r="U4" s="93">
        <v>44743.0</v>
      </c>
      <c r="V4" s="93">
        <v>44774.0</v>
      </c>
      <c r="W4" s="95">
        <v>44805.0</v>
      </c>
      <c r="X4" s="95">
        <v>44835.0</v>
      </c>
      <c r="Y4" s="95">
        <v>44866.0</v>
      </c>
      <c r="Z4" s="95">
        <v>44896.0</v>
      </c>
      <c r="AA4" s="150">
        <v>44927.0</v>
      </c>
      <c r="AB4" s="97">
        <v>44958.0</v>
      </c>
      <c r="AC4" s="97">
        <v>44986.0</v>
      </c>
      <c r="AD4" s="97">
        <v>45017.0</v>
      </c>
      <c r="AE4" s="98">
        <v>45047.0</v>
      </c>
      <c r="AF4" s="98">
        <v>45078.0</v>
      </c>
      <c r="AG4" s="98">
        <v>45108.0</v>
      </c>
      <c r="AH4" s="98">
        <v>45139.0</v>
      </c>
      <c r="AI4" s="98">
        <v>45170.0</v>
      </c>
      <c r="AJ4" s="98">
        <v>45200.0</v>
      </c>
      <c r="AK4" s="98">
        <v>45231.0</v>
      </c>
      <c r="AL4" s="99">
        <v>45261.0</v>
      </c>
      <c r="AM4" s="100">
        <v>45292.0</v>
      </c>
      <c r="AN4" s="98">
        <v>45323.0</v>
      </c>
      <c r="AO4" s="98">
        <v>45352.0</v>
      </c>
      <c r="AP4" s="98">
        <v>45383.0</v>
      </c>
      <c r="AQ4" s="98">
        <v>45413.0</v>
      </c>
      <c r="AR4" s="98">
        <v>45444.0</v>
      </c>
      <c r="AS4" s="98">
        <v>45474.0</v>
      </c>
      <c r="AT4" s="98">
        <v>45505.0</v>
      </c>
      <c r="AU4" s="98">
        <v>45536.0</v>
      </c>
      <c r="AV4" s="98">
        <v>45566.0</v>
      </c>
      <c r="AW4" s="98">
        <v>45597.0</v>
      </c>
      <c r="AX4" s="99">
        <v>45627.0</v>
      </c>
      <c r="AY4" s="100">
        <v>45658.0</v>
      </c>
      <c r="AZ4" s="98">
        <v>45689.0</v>
      </c>
      <c r="BA4" s="98">
        <v>45717.0</v>
      </c>
      <c r="BB4" s="98">
        <v>45748.0</v>
      </c>
      <c r="BC4" s="98">
        <v>45778.0</v>
      </c>
      <c r="BD4" s="98">
        <v>45809.0</v>
      </c>
      <c r="BE4" s="98">
        <v>45839.0</v>
      </c>
      <c r="BF4" s="98">
        <v>45870.0</v>
      </c>
      <c r="BG4" s="98">
        <v>45901.0</v>
      </c>
      <c r="BH4" s="98">
        <v>45931.0</v>
      </c>
      <c r="BI4" s="98">
        <v>45962.0</v>
      </c>
      <c r="BJ4" s="99">
        <v>45992.0</v>
      </c>
      <c r="BK4" s="100">
        <v>46023.0</v>
      </c>
      <c r="BL4" s="98">
        <v>46054.0</v>
      </c>
      <c r="BM4" s="98">
        <v>46082.0</v>
      </c>
      <c r="BN4" s="98">
        <v>46113.0</v>
      </c>
      <c r="BO4" s="98">
        <v>46143.0</v>
      </c>
      <c r="BP4" s="98">
        <v>46174.0</v>
      </c>
      <c r="BQ4" s="98">
        <v>46204.0</v>
      </c>
      <c r="BR4" s="98">
        <v>46235.0</v>
      </c>
      <c r="BS4" s="98">
        <v>46266.0</v>
      </c>
      <c r="BT4" s="98">
        <v>46296.0</v>
      </c>
      <c r="BU4" s="98">
        <v>46327.0</v>
      </c>
      <c r="BV4" s="99">
        <v>46357.0</v>
      </c>
      <c r="BW4" s="100">
        <v>46388.0</v>
      </c>
      <c r="BX4" s="98">
        <v>46419.0</v>
      </c>
      <c r="BY4" s="98">
        <v>46447.0</v>
      </c>
      <c r="BZ4" s="98">
        <v>46478.0</v>
      </c>
      <c r="CA4" s="98">
        <v>46508.0</v>
      </c>
      <c r="CB4" s="98">
        <v>46539.0</v>
      </c>
      <c r="CC4" s="98">
        <v>46569.0</v>
      </c>
      <c r="CD4" s="98">
        <v>46600.0</v>
      </c>
      <c r="CE4" s="98">
        <v>46631.0</v>
      </c>
      <c r="CF4" s="98">
        <v>46661.0</v>
      </c>
      <c r="CG4" s="98">
        <v>46692.0</v>
      </c>
      <c r="CH4" s="99">
        <v>46722.0</v>
      </c>
      <c r="CI4" s="100"/>
      <c r="CJ4" s="98"/>
      <c r="CK4" s="100"/>
      <c r="CL4" s="98"/>
      <c r="CM4" s="100"/>
      <c r="CN4" s="98"/>
      <c r="CO4" s="100"/>
      <c r="CP4" s="98"/>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row>
    <row r="6">
      <c r="A6" s="1" t="s">
        <v>47</v>
      </c>
      <c r="B6" s="312"/>
      <c r="C6" s="312">
        <v>100.0</v>
      </c>
      <c r="D6" s="312">
        <v>100.0</v>
      </c>
      <c r="E6" s="312">
        <v>100.0</v>
      </c>
      <c r="F6" s="312">
        <v>100.0</v>
      </c>
      <c r="G6" s="312">
        <v>100.0</v>
      </c>
      <c r="H6" s="312">
        <v>100.0</v>
      </c>
      <c r="I6" s="312">
        <v>100.0</v>
      </c>
      <c r="J6" s="312">
        <v>100.0</v>
      </c>
      <c r="K6" s="312">
        <v>100.0</v>
      </c>
      <c r="L6" s="312">
        <v>100.0</v>
      </c>
      <c r="M6" s="312">
        <v>100.0</v>
      </c>
      <c r="N6" s="312">
        <v>100.0</v>
      </c>
      <c r="O6" s="312">
        <v>100.0</v>
      </c>
      <c r="P6" s="312">
        <v>100.0</v>
      </c>
      <c r="Q6" s="312">
        <v>100.0</v>
      </c>
      <c r="R6" s="312">
        <v>100.0</v>
      </c>
      <c r="S6" s="312">
        <v>100.0</v>
      </c>
      <c r="T6" s="312">
        <v>100.0</v>
      </c>
      <c r="U6" s="312">
        <v>100.0</v>
      </c>
      <c r="V6" s="312">
        <v>100.0</v>
      </c>
      <c r="W6" s="312">
        <v>100.0</v>
      </c>
      <c r="X6" s="312">
        <v>100.0</v>
      </c>
      <c r="Y6" s="312">
        <v>100.0</v>
      </c>
      <c r="Z6" s="313">
        <f t="shared" ref="Z6:CH6" si="1">Z23/Z15</f>
        <v>110</v>
      </c>
      <c r="AA6" s="313">
        <f t="shared" si="1"/>
        <v>110</v>
      </c>
      <c r="AB6" s="313">
        <f t="shared" si="1"/>
        <v>110</v>
      </c>
      <c r="AC6" s="313">
        <f t="shared" si="1"/>
        <v>110</v>
      </c>
      <c r="AD6" s="313">
        <f t="shared" si="1"/>
        <v>137.5</v>
      </c>
      <c r="AE6" s="313">
        <f t="shared" si="1"/>
        <v>137.5</v>
      </c>
      <c r="AF6" s="313">
        <f t="shared" si="1"/>
        <v>137.5</v>
      </c>
      <c r="AG6" s="313">
        <f t="shared" si="1"/>
        <v>137.5</v>
      </c>
      <c r="AH6" s="313">
        <f t="shared" si="1"/>
        <v>132</v>
      </c>
      <c r="AI6" s="313">
        <f t="shared" si="1"/>
        <v>132</v>
      </c>
      <c r="AJ6" s="313">
        <f t="shared" si="1"/>
        <v>132</v>
      </c>
      <c r="AK6" s="313">
        <f t="shared" si="1"/>
        <v>132.66</v>
      </c>
      <c r="AL6" s="313">
        <f t="shared" si="1"/>
        <v>92.862</v>
      </c>
      <c r="AM6" s="313">
        <f t="shared" si="1"/>
        <v>86.06721951</v>
      </c>
      <c r="AN6" s="313">
        <f t="shared" si="1"/>
        <v>88.43889726</v>
      </c>
      <c r="AO6" s="313">
        <f t="shared" si="1"/>
        <v>88.85893241</v>
      </c>
      <c r="AP6" s="313">
        <f t="shared" si="1"/>
        <v>89.27874275</v>
      </c>
      <c r="AQ6" s="313">
        <f t="shared" si="1"/>
        <v>89.69808462</v>
      </c>
      <c r="AR6" s="313">
        <f t="shared" si="1"/>
        <v>90.11668817</v>
      </c>
      <c r="AS6" s="313">
        <f t="shared" si="1"/>
        <v>90.53425466</v>
      </c>
      <c r="AT6" s="313">
        <f t="shared" si="1"/>
        <v>90.95045362</v>
      </c>
      <c r="AU6" s="313">
        <f t="shared" si="1"/>
        <v>91.36491968</v>
      </c>
      <c r="AV6" s="313">
        <f t="shared" si="1"/>
        <v>91.77724908</v>
      </c>
      <c r="AW6" s="313">
        <f t="shared" si="1"/>
        <v>92.18699591</v>
      </c>
      <c r="AX6" s="313">
        <f t="shared" si="1"/>
        <v>93.28604563</v>
      </c>
      <c r="AY6" s="313">
        <f t="shared" si="1"/>
        <v>93.73861692</v>
      </c>
      <c r="AZ6" s="313">
        <f t="shared" si="1"/>
        <v>94.1943385</v>
      </c>
      <c r="BA6" s="313">
        <f t="shared" si="1"/>
        <v>94.65356585</v>
      </c>
      <c r="BB6" s="313">
        <f t="shared" si="1"/>
        <v>95.11671799</v>
      </c>
      <c r="BC6" s="313">
        <f t="shared" si="1"/>
        <v>95.58428711</v>
      </c>
      <c r="BD6" s="313">
        <f t="shared" si="1"/>
        <v>96.05684967</v>
      </c>
      <c r="BE6" s="313">
        <f t="shared" si="1"/>
        <v>96.53507893</v>
      </c>
      <c r="BF6" s="313">
        <f t="shared" si="1"/>
        <v>97.01975951</v>
      </c>
      <c r="BG6" s="313">
        <f t="shared" si="1"/>
        <v>97.51180385</v>
      </c>
      <c r="BH6" s="313">
        <f t="shared" si="1"/>
        <v>98.01227128</v>
      </c>
      <c r="BI6" s="313">
        <f t="shared" si="1"/>
        <v>98.49786914</v>
      </c>
      <c r="BJ6" s="313">
        <f t="shared" si="1"/>
        <v>93.56969441</v>
      </c>
      <c r="BK6" s="313">
        <f t="shared" si="1"/>
        <v>94.03521011</v>
      </c>
      <c r="BL6" s="313">
        <f t="shared" si="1"/>
        <v>94.50397965</v>
      </c>
      <c r="BM6" s="313">
        <f t="shared" si="1"/>
        <v>94.97595458</v>
      </c>
      <c r="BN6" s="313">
        <f t="shared" si="1"/>
        <v>95.45103218</v>
      </c>
      <c r="BO6" s="313">
        <f t="shared" si="1"/>
        <v>95.92904123</v>
      </c>
      <c r="BP6" s="313">
        <f t="shared" si="1"/>
        <v>96.40972511</v>
      </c>
      <c r="BQ6" s="313">
        <f t="shared" si="1"/>
        <v>96.89272175</v>
      </c>
      <c r="BR6" s="313">
        <f t="shared" si="1"/>
        <v>97.37753972</v>
      </c>
      <c r="BS6" s="313">
        <f t="shared" si="1"/>
        <v>97.86353023</v>
      </c>
      <c r="BT6" s="313">
        <f t="shared" si="1"/>
        <v>98.3523017</v>
      </c>
      <c r="BU6" s="313">
        <f t="shared" si="1"/>
        <v>98.84380602</v>
      </c>
      <c r="BV6" s="313">
        <f t="shared" si="1"/>
        <v>88.95939147</v>
      </c>
      <c r="BW6" s="313">
        <f t="shared" si="1"/>
        <v>89.40428396</v>
      </c>
      <c r="BX6" s="313">
        <f t="shared" si="1"/>
        <v>89.85146256</v>
      </c>
      <c r="BY6" s="313">
        <f t="shared" si="1"/>
        <v>90.30087491</v>
      </c>
      <c r="BZ6" s="313">
        <f t="shared" si="1"/>
        <v>90.75247936</v>
      </c>
      <c r="CA6" s="313">
        <f t="shared" si="1"/>
        <v>91.20625412</v>
      </c>
      <c r="CB6" s="313">
        <f t="shared" si="1"/>
        <v>91.66220938</v>
      </c>
      <c r="CC6" s="313">
        <f t="shared" si="1"/>
        <v>92.12040288</v>
      </c>
      <c r="CD6" s="313">
        <f t="shared" si="1"/>
        <v>92.58095981</v>
      </c>
      <c r="CE6" s="313">
        <f t="shared" si="1"/>
        <v>93.04386645</v>
      </c>
      <c r="CF6" s="313">
        <f t="shared" si="1"/>
        <v>93.50911214</v>
      </c>
      <c r="CG6" s="313">
        <f t="shared" si="1"/>
        <v>93.97669043</v>
      </c>
      <c r="CH6" s="313">
        <f t="shared" si="1"/>
        <v>94.44659997</v>
      </c>
      <c r="CI6" s="1"/>
      <c r="CJ6" s="1"/>
      <c r="CK6" s="1"/>
      <c r="CL6" s="1"/>
      <c r="CM6" s="1"/>
      <c r="CN6" s="1"/>
      <c r="CO6" s="1"/>
      <c r="CP6" s="1"/>
    </row>
    <row r="7" ht="15.75" customHeight="1">
      <c r="A7" s="1" t="s">
        <v>85</v>
      </c>
      <c r="B7" s="312"/>
      <c r="C7" s="312">
        <v>100.0</v>
      </c>
      <c r="D7" s="312">
        <v>100.0</v>
      </c>
      <c r="E7" s="312">
        <v>100.0</v>
      </c>
      <c r="F7" s="312">
        <v>100.0</v>
      </c>
      <c r="G7" s="312">
        <v>100.0</v>
      </c>
      <c r="H7" s="312">
        <v>100.0</v>
      </c>
      <c r="I7" s="312">
        <v>100.0</v>
      </c>
      <c r="J7" s="312">
        <v>100.0</v>
      </c>
      <c r="K7" s="312">
        <v>100.0</v>
      </c>
      <c r="L7" s="312">
        <v>100.0</v>
      </c>
      <c r="M7" s="312">
        <v>100.0</v>
      </c>
      <c r="N7" s="312">
        <v>100.0</v>
      </c>
      <c r="O7" s="312">
        <v>100.0</v>
      </c>
      <c r="P7" s="312">
        <v>100.0</v>
      </c>
      <c r="Q7" s="312">
        <v>100.0</v>
      </c>
      <c r="R7" s="312">
        <v>100.0</v>
      </c>
      <c r="S7" s="312">
        <v>100.0</v>
      </c>
      <c r="T7" s="312">
        <v>100.0</v>
      </c>
      <c r="U7" s="312">
        <v>100.0</v>
      </c>
      <c r="V7" s="312">
        <v>100.0</v>
      </c>
      <c r="W7" s="312">
        <v>100.0</v>
      </c>
      <c r="X7" s="312">
        <v>100.0</v>
      </c>
      <c r="Y7" s="312">
        <v>100.0</v>
      </c>
      <c r="Z7" s="313">
        <f t="shared" ref="Z7:CH7" si="2">Z24/Z16</f>
        <v>110</v>
      </c>
      <c r="AA7" s="313">
        <f t="shared" si="2"/>
        <v>110</v>
      </c>
      <c r="AB7" s="313">
        <f t="shared" si="2"/>
        <v>110</v>
      </c>
      <c r="AC7" s="313">
        <f t="shared" si="2"/>
        <v>110</v>
      </c>
      <c r="AD7" s="313">
        <f t="shared" si="2"/>
        <v>117.8571429</v>
      </c>
      <c r="AE7" s="313">
        <f t="shared" si="2"/>
        <v>117.8571429</v>
      </c>
      <c r="AF7" s="313">
        <f t="shared" si="2"/>
        <v>117.8571429</v>
      </c>
      <c r="AG7" s="313">
        <f t="shared" si="2"/>
        <v>117.8571429</v>
      </c>
      <c r="AH7" s="313">
        <f t="shared" si="2"/>
        <v>111.9642857</v>
      </c>
      <c r="AI7" s="313">
        <f t="shared" si="2"/>
        <v>111.9642857</v>
      </c>
      <c r="AJ7" s="313">
        <f t="shared" si="2"/>
        <v>111.9642857</v>
      </c>
      <c r="AK7" s="313">
        <f t="shared" si="2"/>
        <v>112.5241071</v>
      </c>
      <c r="AL7" s="313">
        <f t="shared" si="2"/>
        <v>78.766875</v>
      </c>
      <c r="AM7" s="313">
        <f t="shared" si="2"/>
        <v>74.29783245</v>
      </c>
      <c r="AN7" s="313">
        <f t="shared" si="2"/>
        <v>75.14899605</v>
      </c>
      <c r="AO7" s="313">
        <f t="shared" si="2"/>
        <v>75.51935064</v>
      </c>
      <c r="AP7" s="313">
        <f t="shared" si="2"/>
        <v>75.89098921</v>
      </c>
      <c r="AQ7" s="313">
        <f t="shared" si="2"/>
        <v>76.26385848</v>
      </c>
      <c r="AR7" s="313">
        <f t="shared" si="2"/>
        <v>76.63789861</v>
      </c>
      <c r="AS7" s="313">
        <f t="shared" si="2"/>
        <v>77.01304261</v>
      </c>
      <c r="AT7" s="313">
        <f t="shared" si="2"/>
        <v>77.38921547</v>
      </c>
      <c r="AU7" s="313">
        <f t="shared" si="2"/>
        <v>77.76633343</v>
      </c>
      <c r="AV7" s="313">
        <f t="shared" si="2"/>
        <v>78.14430299</v>
      </c>
      <c r="AW7" s="313">
        <f t="shared" si="2"/>
        <v>78.52301995</v>
      </c>
      <c r="AX7" s="313">
        <f t="shared" si="2"/>
        <v>79.3514922</v>
      </c>
      <c r="AY7" s="313">
        <f t="shared" si="2"/>
        <v>79.74487151</v>
      </c>
      <c r="AZ7" s="313">
        <f t="shared" si="2"/>
        <v>80.14043339</v>
      </c>
      <c r="BA7" s="313">
        <f t="shared" si="2"/>
        <v>80.53827172</v>
      </c>
      <c r="BB7" s="313">
        <f t="shared" si="2"/>
        <v>80.93849599</v>
      </c>
      <c r="BC7" s="313">
        <f t="shared" si="2"/>
        <v>81.34123357</v>
      </c>
      <c r="BD7" s="313">
        <f t="shared" si="2"/>
        <v>81.74663247</v>
      </c>
      <c r="BE7" s="313">
        <f t="shared" si="2"/>
        <v>82.1548643</v>
      </c>
      <c r="BF7" s="313">
        <f t="shared" si="2"/>
        <v>82.5661278</v>
      </c>
      <c r="BG7" s="313">
        <f t="shared" si="2"/>
        <v>82.98065276</v>
      </c>
      <c r="BH7" s="313">
        <f t="shared" si="2"/>
        <v>83.39870447</v>
      </c>
      <c r="BI7" s="313">
        <f t="shared" si="2"/>
        <v>83.81460938</v>
      </c>
      <c r="BJ7" s="313">
        <f t="shared" si="2"/>
        <v>79.62307859</v>
      </c>
      <c r="BK7" s="313">
        <f t="shared" si="2"/>
        <v>80.02062498</v>
      </c>
      <c r="BL7" s="313">
        <f t="shared" si="2"/>
        <v>80.42038503</v>
      </c>
      <c r="BM7" s="313">
        <f t="shared" si="2"/>
        <v>80.82235402</v>
      </c>
      <c r="BN7" s="313">
        <f t="shared" si="2"/>
        <v>81.22651405</v>
      </c>
      <c r="BO7" s="313">
        <f t="shared" si="2"/>
        <v>81.63283051</v>
      </c>
      <c r="BP7" s="313">
        <f t="shared" si="2"/>
        <v>82.04124802</v>
      </c>
      <c r="BQ7" s="313">
        <f t="shared" si="2"/>
        <v>82.4516855</v>
      </c>
      <c r="BR7" s="313">
        <f t="shared" si="2"/>
        <v>82.86403036</v>
      </c>
      <c r="BS7" s="313">
        <f t="shared" si="2"/>
        <v>83.27813167</v>
      </c>
      <c r="BT7" s="313">
        <f t="shared" si="2"/>
        <v>83.6943891</v>
      </c>
      <c r="BU7" s="313">
        <f t="shared" si="2"/>
        <v>84.11279831</v>
      </c>
      <c r="BV7" s="313">
        <f t="shared" si="2"/>
        <v>75.7015102</v>
      </c>
      <c r="BW7" s="313">
        <f t="shared" si="2"/>
        <v>76.08004106</v>
      </c>
      <c r="BX7" s="313">
        <f t="shared" si="2"/>
        <v>76.4604796</v>
      </c>
      <c r="BY7" s="313">
        <f t="shared" si="2"/>
        <v>76.84281982</v>
      </c>
      <c r="BZ7" s="313">
        <f t="shared" si="2"/>
        <v>77.22705832</v>
      </c>
      <c r="CA7" s="313">
        <f t="shared" si="2"/>
        <v>77.61319663</v>
      </c>
      <c r="CB7" s="313">
        <f t="shared" si="2"/>
        <v>78.00124408</v>
      </c>
      <c r="CC7" s="313">
        <f t="shared" si="2"/>
        <v>78.39122162</v>
      </c>
      <c r="CD7" s="313">
        <f t="shared" si="2"/>
        <v>78.78316674</v>
      </c>
      <c r="CE7" s="313">
        <f t="shared" si="2"/>
        <v>79.17708302</v>
      </c>
      <c r="CF7" s="313">
        <f t="shared" si="2"/>
        <v>79.57297486</v>
      </c>
      <c r="CG7" s="313">
        <f t="shared" si="2"/>
        <v>79.97084772</v>
      </c>
      <c r="CH7" s="313">
        <f t="shared" si="2"/>
        <v>80.37070832</v>
      </c>
      <c r="CI7" s="1"/>
      <c r="CJ7" s="1"/>
      <c r="CK7" s="1"/>
      <c r="CL7" s="1"/>
      <c r="CM7" s="1"/>
      <c r="CN7" s="1"/>
      <c r="CO7" s="1"/>
      <c r="CP7" s="1"/>
    </row>
    <row r="8">
      <c r="A8" s="1" t="s">
        <v>130</v>
      </c>
      <c r="B8" s="312"/>
      <c r="C8" s="312">
        <v>100.0</v>
      </c>
      <c r="D8" s="312">
        <v>100.0</v>
      </c>
      <c r="E8" s="312">
        <v>100.0</v>
      </c>
      <c r="F8" s="312">
        <v>100.0</v>
      </c>
      <c r="G8" s="312">
        <v>100.0</v>
      </c>
      <c r="H8" s="312">
        <v>100.0</v>
      </c>
      <c r="I8" s="312">
        <v>100.0</v>
      </c>
      <c r="J8" s="312">
        <v>100.0</v>
      </c>
      <c r="K8" s="312">
        <v>100.0</v>
      </c>
      <c r="L8" s="312">
        <v>100.0</v>
      </c>
      <c r="M8" s="312">
        <v>100.0</v>
      </c>
      <c r="N8" s="312">
        <v>100.0</v>
      </c>
      <c r="O8" s="312">
        <v>100.0</v>
      </c>
      <c r="P8" s="312">
        <v>100.0</v>
      </c>
      <c r="Q8" s="312">
        <v>100.0</v>
      </c>
      <c r="R8" s="312">
        <v>100.0</v>
      </c>
      <c r="S8" s="312">
        <v>100.0</v>
      </c>
      <c r="T8" s="312">
        <v>100.0</v>
      </c>
      <c r="U8" s="312">
        <v>100.0</v>
      </c>
      <c r="V8" s="312">
        <v>100.0</v>
      </c>
      <c r="W8" s="312">
        <v>100.0</v>
      </c>
      <c r="X8" s="312">
        <v>100.0</v>
      </c>
      <c r="Y8" s="312">
        <v>100.0</v>
      </c>
      <c r="Z8" s="313">
        <f t="shared" ref="Z8:CH8" si="3">Z25/Z17</f>
        <v>110</v>
      </c>
      <c r="AA8" s="313">
        <f t="shared" si="3"/>
        <v>110</v>
      </c>
      <c r="AB8" s="313">
        <f t="shared" si="3"/>
        <v>110</v>
      </c>
      <c r="AC8" s="313">
        <f t="shared" si="3"/>
        <v>110</v>
      </c>
      <c r="AD8" s="313">
        <f t="shared" si="3"/>
        <v>113.7931034</v>
      </c>
      <c r="AE8" s="313">
        <f t="shared" si="3"/>
        <v>113.7931034</v>
      </c>
      <c r="AF8" s="313">
        <f t="shared" si="3"/>
        <v>113.7931034</v>
      </c>
      <c r="AG8" s="313">
        <f t="shared" si="3"/>
        <v>113.7931034</v>
      </c>
      <c r="AH8" s="313">
        <f t="shared" si="3"/>
        <v>108.1034483</v>
      </c>
      <c r="AI8" s="313">
        <f t="shared" si="3"/>
        <v>108.1034483</v>
      </c>
      <c r="AJ8" s="313">
        <f t="shared" si="3"/>
        <v>108.1034483</v>
      </c>
      <c r="AK8" s="313">
        <f t="shared" si="3"/>
        <v>108.6439655</v>
      </c>
      <c r="AL8" s="313">
        <f t="shared" si="3"/>
        <v>76.05077586</v>
      </c>
      <c r="AM8" s="313">
        <f t="shared" si="3"/>
        <v>71.99996134</v>
      </c>
      <c r="AN8" s="313">
        <f t="shared" si="3"/>
        <v>72.58444913</v>
      </c>
      <c r="AO8" s="313">
        <f t="shared" si="3"/>
        <v>72.94485691</v>
      </c>
      <c r="AP8" s="313">
        <f t="shared" si="3"/>
        <v>73.30680164</v>
      </c>
      <c r="AQ8" s="313">
        <f t="shared" si="3"/>
        <v>73.6702631</v>
      </c>
      <c r="AR8" s="313">
        <f t="shared" si="3"/>
        <v>74.03521802</v>
      </c>
      <c r="AS8" s="313">
        <f t="shared" si="3"/>
        <v>74.40163975</v>
      </c>
      <c r="AT8" s="313">
        <f t="shared" si="3"/>
        <v>74.76949794</v>
      </c>
      <c r="AU8" s="313">
        <f t="shared" si="3"/>
        <v>75.13875813</v>
      </c>
      <c r="AV8" s="313">
        <f t="shared" si="3"/>
        <v>75.50938131</v>
      </c>
      <c r="AW8" s="313">
        <f t="shared" si="3"/>
        <v>75.88132346</v>
      </c>
      <c r="AX8" s="313">
        <f t="shared" si="3"/>
        <v>76.66032173</v>
      </c>
      <c r="AY8" s="313">
        <f t="shared" si="3"/>
        <v>77.04204686</v>
      </c>
      <c r="AZ8" s="313">
        <f t="shared" si="3"/>
        <v>77.42578119</v>
      </c>
      <c r="BA8" s="313">
        <f t="shared" si="3"/>
        <v>77.81157352</v>
      </c>
      <c r="BB8" s="313">
        <f t="shared" si="3"/>
        <v>78.19947994</v>
      </c>
      <c r="BC8" s="313">
        <f t="shared" si="3"/>
        <v>78.58956492</v>
      </c>
      <c r="BD8" s="313">
        <f t="shared" si="3"/>
        <v>78.98190257</v>
      </c>
      <c r="BE8" s="313">
        <f t="shared" si="3"/>
        <v>79.37657809</v>
      </c>
      <c r="BF8" s="313">
        <f t="shared" si="3"/>
        <v>79.77368931</v>
      </c>
      <c r="BG8" s="313">
        <f t="shared" si="3"/>
        <v>80.17334857</v>
      </c>
      <c r="BH8" s="313">
        <f t="shared" si="3"/>
        <v>80.5756848</v>
      </c>
      <c r="BI8" s="313">
        <f t="shared" si="3"/>
        <v>106.6239685</v>
      </c>
      <c r="BJ8" s="313">
        <f t="shared" si="3"/>
        <v>101.2922782</v>
      </c>
      <c r="BK8" s="313">
        <f t="shared" si="3"/>
        <v>101.7983899</v>
      </c>
      <c r="BL8" s="313">
        <f t="shared" si="3"/>
        <v>102.3071711</v>
      </c>
      <c r="BM8" s="313">
        <f t="shared" si="3"/>
        <v>102.8186252</v>
      </c>
      <c r="BN8" s="313">
        <f t="shared" si="3"/>
        <v>103.332748</v>
      </c>
      <c r="BO8" s="313">
        <f t="shared" si="3"/>
        <v>103.8495247</v>
      </c>
      <c r="BP8" s="313">
        <f t="shared" si="3"/>
        <v>104.3689281</v>
      </c>
      <c r="BQ8" s="313">
        <f t="shared" si="3"/>
        <v>104.8909148</v>
      </c>
      <c r="BR8" s="313">
        <f t="shared" si="3"/>
        <v>105.4154225</v>
      </c>
      <c r="BS8" s="313">
        <f t="shared" si="3"/>
        <v>105.9423651</v>
      </c>
      <c r="BT8" s="313">
        <f t="shared" si="3"/>
        <v>106.4719951</v>
      </c>
      <c r="BU8" s="313">
        <f t="shared" si="3"/>
        <v>107.0043165</v>
      </c>
      <c r="BV8" s="313">
        <f t="shared" si="3"/>
        <v>96.30387977</v>
      </c>
      <c r="BW8" s="313">
        <f t="shared" si="3"/>
        <v>96.78541349</v>
      </c>
      <c r="BX8" s="313">
        <f t="shared" si="3"/>
        <v>97.26936412</v>
      </c>
      <c r="BY8" s="313">
        <f t="shared" si="3"/>
        <v>97.75573418</v>
      </c>
      <c r="BZ8" s="313">
        <f t="shared" si="3"/>
        <v>98.24452786</v>
      </c>
      <c r="CA8" s="313">
        <f t="shared" si="3"/>
        <v>98.73575235</v>
      </c>
      <c r="CB8" s="313">
        <f t="shared" si="3"/>
        <v>99.22941972</v>
      </c>
      <c r="CC8" s="313">
        <f t="shared" si="3"/>
        <v>99.72554919</v>
      </c>
      <c r="CD8" s="313">
        <f t="shared" si="3"/>
        <v>100.2241702</v>
      </c>
      <c r="CE8" s="313">
        <f t="shared" si="3"/>
        <v>100.7252913</v>
      </c>
      <c r="CF8" s="313">
        <f t="shared" si="3"/>
        <v>101.2289217</v>
      </c>
      <c r="CG8" s="313">
        <f t="shared" si="3"/>
        <v>101.7350712</v>
      </c>
      <c r="CH8" s="313">
        <f t="shared" si="3"/>
        <v>102.2437505</v>
      </c>
      <c r="CI8" s="1"/>
      <c r="CJ8" s="1"/>
      <c r="CK8" s="1"/>
      <c r="CL8" s="1"/>
      <c r="CM8" s="1"/>
      <c r="CN8" s="1"/>
      <c r="CO8" s="1"/>
      <c r="CP8" s="1"/>
    </row>
    <row r="9">
      <c r="A9" s="1" t="s">
        <v>89</v>
      </c>
      <c r="B9" s="312"/>
      <c r="C9" s="312">
        <v>100.0</v>
      </c>
      <c r="D9" s="312">
        <v>100.0</v>
      </c>
      <c r="E9" s="312">
        <v>100.0</v>
      </c>
      <c r="F9" s="312">
        <v>100.0</v>
      </c>
      <c r="G9" s="312">
        <v>100.0</v>
      </c>
      <c r="H9" s="312">
        <v>100.0</v>
      </c>
      <c r="I9" s="312">
        <v>100.0</v>
      </c>
      <c r="J9" s="312">
        <v>100.0</v>
      </c>
      <c r="K9" s="312">
        <v>100.0</v>
      </c>
      <c r="L9" s="312">
        <v>100.0</v>
      </c>
      <c r="M9" s="312">
        <v>100.0</v>
      </c>
      <c r="N9" s="312">
        <v>100.0</v>
      </c>
      <c r="O9" s="312">
        <v>100.0</v>
      </c>
      <c r="P9" s="312">
        <v>100.0</v>
      </c>
      <c r="Q9" s="312">
        <v>100.0</v>
      </c>
      <c r="R9" s="312">
        <v>100.0</v>
      </c>
      <c r="S9" s="312">
        <v>100.0</v>
      </c>
      <c r="T9" s="312">
        <v>100.0</v>
      </c>
      <c r="U9" s="312">
        <v>100.0</v>
      </c>
      <c r="V9" s="312">
        <v>100.0</v>
      </c>
      <c r="W9" s="312">
        <v>100.0</v>
      </c>
      <c r="X9" s="312">
        <v>100.0</v>
      </c>
      <c r="Y9" s="312">
        <v>100.0</v>
      </c>
      <c r="Z9" s="313">
        <f t="shared" ref="Z9:CH9" si="4">Z26/Z18</f>
        <v>110</v>
      </c>
      <c r="AA9" s="313">
        <f t="shared" si="4"/>
        <v>110</v>
      </c>
      <c r="AB9" s="313">
        <f t="shared" si="4"/>
        <v>110</v>
      </c>
      <c r="AC9" s="313">
        <f t="shared" si="4"/>
        <v>110</v>
      </c>
      <c r="AD9" s="313">
        <f t="shared" si="4"/>
        <v>194.1176471</v>
      </c>
      <c r="AE9" s="313">
        <f t="shared" si="4"/>
        <v>194.1176471</v>
      </c>
      <c r="AF9" s="313">
        <f t="shared" si="4"/>
        <v>194.1176471</v>
      </c>
      <c r="AG9" s="313">
        <f t="shared" si="4"/>
        <v>194.1176471</v>
      </c>
      <c r="AH9" s="313">
        <f t="shared" si="4"/>
        <v>184.4117647</v>
      </c>
      <c r="AI9" s="313">
        <f t="shared" si="4"/>
        <v>184.4117647</v>
      </c>
      <c r="AJ9" s="313">
        <f t="shared" si="4"/>
        <v>184.4117647</v>
      </c>
      <c r="AK9" s="313">
        <f t="shared" si="4"/>
        <v>185.3338235</v>
      </c>
      <c r="AL9" s="313">
        <f t="shared" si="4"/>
        <v>129.7336765</v>
      </c>
      <c r="AM9" s="313">
        <f t="shared" si="4"/>
        <v>114.4917418</v>
      </c>
      <c r="AN9" s="313">
        <f t="shared" si="4"/>
        <v>122.9232265</v>
      </c>
      <c r="AO9" s="313">
        <f t="shared" si="4"/>
        <v>123.4441605</v>
      </c>
      <c r="AP9" s="313">
        <f t="shared" si="4"/>
        <v>123.9579806</v>
      </c>
      <c r="AQ9" s="313">
        <f t="shared" si="4"/>
        <v>124.4636608</v>
      </c>
      <c r="AR9" s="313">
        <f t="shared" si="4"/>
        <v>124.9600733</v>
      </c>
      <c r="AS9" s="313">
        <f t="shared" si="4"/>
        <v>125.4459787</v>
      </c>
      <c r="AT9" s="313">
        <f t="shared" si="4"/>
        <v>125.9200164</v>
      </c>
      <c r="AU9" s="313">
        <f t="shared" si="4"/>
        <v>126.3806941</v>
      </c>
      <c r="AV9" s="313">
        <f t="shared" si="4"/>
        <v>126.8263765</v>
      </c>
      <c r="AW9" s="313">
        <f t="shared" si="4"/>
        <v>127.2552739</v>
      </c>
      <c r="AX9" s="313">
        <f t="shared" si="4"/>
        <v>129.2698894</v>
      </c>
      <c r="AY9" s="313">
        <f t="shared" si="4"/>
        <v>129.8579883</v>
      </c>
      <c r="AZ9" s="313">
        <f t="shared" si="4"/>
        <v>130.4527892</v>
      </c>
      <c r="BA9" s="313">
        <f t="shared" si="4"/>
        <v>131.0557453</v>
      </c>
      <c r="BB9" s="313">
        <f t="shared" si="4"/>
        <v>131.6685738</v>
      </c>
      <c r="BC9" s="313">
        <f t="shared" si="4"/>
        <v>132.2932972</v>
      </c>
      <c r="BD9" s="313">
        <f t="shared" si="4"/>
        <v>132.9322904</v>
      </c>
      <c r="BE9" s="313">
        <f t="shared" si="4"/>
        <v>133.5883353</v>
      </c>
      <c r="BF9" s="313">
        <f t="shared" si="4"/>
        <v>134.2646847</v>
      </c>
      <c r="BG9" s="313">
        <f t="shared" si="4"/>
        <v>134.9651362</v>
      </c>
      <c r="BH9" s="313">
        <f t="shared" si="4"/>
        <v>135.6941192</v>
      </c>
      <c r="BI9" s="313">
        <f t="shared" si="4"/>
        <v>179.5374023</v>
      </c>
      <c r="BJ9" s="313">
        <f t="shared" si="4"/>
        <v>170.5424055</v>
      </c>
      <c r="BK9" s="313">
        <f t="shared" si="4"/>
        <v>171.3822321</v>
      </c>
      <c r="BL9" s="313">
        <f t="shared" si="4"/>
        <v>172.2313748</v>
      </c>
      <c r="BM9" s="313">
        <f t="shared" si="4"/>
        <v>173.0895219</v>
      </c>
      <c r="BN9" s="313">
        <f t="shared" si="4"/>
        <v>173.9560621</v>
      </c>
      <c r="BO9" s="313">
        <f t="shared" si="4"/>
        <v>174.8300061</v>
      </c>
      <c r="BP9" s="313">
        <f t="shared" si="4"/>
        <v>175.709893</v>
      </c>
      <c r="BQ9" s="313">
        <f t="shared" si="4"/>
        <v>176.5936788</v>
      </c>
      <c r="BR9" s="313">
        <f t="shared" si="4"/>
        <v>177.4786045</v>
      </c>
      <c r="BS9" s="313">
        <f t="shared" si="4"/>
        <v>178.3610419</v>
      </c>
      <c r="BT9" s="313">
        <f t="shared" si="4"/>
        <v>179.2498304</v>
      </c>
      <c r="BU9" s="313">
        <f t="shared" si="4"/>
        <v>180.1446589</v>
      </c>
      <c r="BV9" s="313">
        <f t="shared" si="4"/>
        <v>162.1300056</v>
      </c>
      <c r="BW9" s="313">
        <f t="shared" si="4"/>
        <v>162.9411833</v>
      </c>
      <c r="BX9" s="313">
        <f t="shared" si="4"/>
        <v>163.7567573</v>
      </c>
      <c r="BY9" s="313">
        <f t="shared" si="4"/>
        <v>164.5763974</v>
      </c>
      <c r="BZ9" s="313">
        <f t="shared" si="4"/>
        <v>165.3998321</v>
      </c>
      <c r="CA9" s="313">
        <f t="shared" si="4"/>
        <v>166.2268996</v>
      </c>
      <c r="CB9" s="313">
        <f t="shared" si="4"/>
        <v>167.0576143</v>
      </c>
      <c r="CC9" s="313">
        <f t="shared" si="4"/>
        <v>167.8922531</v>
      </c>
      <c r="CD9" s="313">
        <f t="shared" si="4"/>
        <v>168.7314653</v>
      </c>
      <c r="CE9" s="313">
        <f t="shared" si="4"/>
        <v>169.5751328</v>
      </c>
      <c r="CF9" s="313">
        <f t="shared" si="4"/>
        <v>170.4231541</v>
      </c>
      <c r="CG9" s="313">
        <f t="shared" si="4"/>
        <v>171.2754506</v>
      </c>
      <c r="CH9" s="313">
        <f t="shared" si="4"/>
        <v>172.1319719</v>
      </c>
      <c r="CI9" s="1"/>
      <c r="CJ9" s="1"/>
      <c r="CK9" s="1"/>
      <c r="CL9" s="1"/>
      <c r="CM9" s="1"/>
      <c r="CN9" s="1"/>
      <c r="CO9" s="1"/>
      <c r="CP9" s="1"/>
    </row>
    <row r="10">
      <c r="A10" s="1" t="s">
        <v>94</v>
      </c>
      <c r="B10" s="312"/>
      <c r="C10" s="312">
        <v>100.0</v>
      </c>
      <c r="D10" s="312">
        <v>100.0</v>
      </c>
      <c r="E10" s="312">
        <v>100.0</v>
      </c>
      <c r="F10" s="312">
        <v>100.0</v>
      </c>
      <c r="G10" s="312">
        <v>100.0</v>
      </c>
      <c r="H10" s="312">
        <v>100.0</v>
      </c>
      <c r="I10" s="312">
        <v>100.0</v>
      </c>
      <c r="J10" s="312">
        <v>100.0</v>
      </c>
      <c r="K10" s="312">
        <v>100.0</v>
      </c>
      <c r="L10" s="312">
        <v>100.0</v>
      </c>
      <c r="M10" s="312">
        <v>100.0</v>
      </c>
      <c r="N10" s="312">
        <v>100.0</v>
      </c>
      <c r="O10" s="312">
        <v>100.0</v>
      </c>
      <c r="P10" s="312">
        <v>100.0</v>
      </c>
      <c r="Q10" s="312">
        <v>100.0</v>
      </c>
      <c r="R10" s="312">
        <v>100.0</v>
      </c>
      <c r="S10" s="312">
        <v>100.0</v>
      </c>
      <c r="T10" s="312">
        <v>100.0</v>
      </c>
      <c r="U10" s="312">
        <v>100.0</v>
      </c>
      <c r="V10" s="312">
        <v>100.0</v>
      </c>
      <c r="W10" s="312">
        <v>100.0</v>
      </c>
      <c r="X10" s="312">
        <v>100.0</v>
      </c>
      <c r="Y10" s="312">
        <v>100.0</v>
      </c>
      <c r="Z10" s="313">
        <f t="shared" ref="Z10:CH10" si="5">Z27/Z19</f>
        <v>110</v>
      </c>
      <c r="AA10" s="313">
        <f t="shared" si="5"/>
        <v>110</v>
      </c>
      <c r="AB10" s="313">
        <f t="shared" si="5"/>
        <v>110</v>
      </c>
      <c r="AC10" s="313">
        <f t="shared" si="5"/>
        <v>110</v>
      </c>
      <c r="AD10" s="313">
        <f t="shared" si="5"/>
        <v>165</v>
      </c>
      <c r="AE10" s="313">
        <f t="shared" si="5"/>
        <v>165</v>
      </c>
      <c r="AF10" s="313">
        <f t="shared" si="5"/>
        <v>165</v>
      </c>
      <c r="AG10" s="313">
        <f t="shared" si="5"/>
        <v>165</v>
      </c>
      <c r="AH10" s="313">
        <f t="shared" si="5"/>
        <v>156.75</v>
      </c>
      <c r="AI10" s="313">
        <f t="shared" si="5"/>
        <v>156.75</v>
      </c>
      <c r="AJ10" s="313">
        <f t="shared" si="5"/>
        <v>156.75</v>
      </c>
      <c r="AK10" s="313">
        <f t="shared" si="5"/>
        <v>157.53375</v>
      </c>
      <c r="AL10" s="313">
        <f t="shared" si="5"/>
        <v>159.1090875</v>
      </c>
      <c r="AM10" s="313">
        <f t="shared" si="5"/>
        <v>159.1090875</v>
      </c>
      <c r="AN10" s="313">
        <f t="shared" si="5"/>
        <v>167.0645419</v>
      </c>
      <c r="AO10" s="313">
        <f t="shared" si="5"/>
        <v>167.8163739</v>
      </c>
      <c r="AP10" s="313">
        <f t="shared" si="5"/>
        <v>168.563253</v>
      </c>
      <c r="AQ10" s="313">
        <f t="shared" si="5"/>
        <v>169.3042562</v>
      </c>
      <c r="AR10" s="313">
        <f t="shared" si="5"/>
        <v>170.0383651</v>
      </c>
      <c r="AS10" s="313">
        <f t="shared" si="5"/>
        <v>170.7644572</v>
      </c>
      <c r="AT10" s="313">
        <f t="shared" si="5"/>
        <v>171.4812964</v>
      </c>
      <c r="AU10" s="313">
        <f t="shared" si="5"/>
        <v>172.1875217</v>
      </c>
      <c r="AV10" s="313">
        <f t="shared" si="5"/>
        <v>172.881636</v>
      </c>
      <c r="AW10" s="313">
        <f t="shared" si="5"/>
        <v>173.5619941</v>
      </c>
      <c r="AX10" s="313">
        <f t="shared" si="5"/>
        <v>175.9621354</v>
      </c>
      <c r="AY10" s="313">
        <f t="shared" si="5"/>
        <v>176.7898772</v>
      </c>
      <c r="AZ10" s="313">
        <f t="shared" si="5"/>
        <v>177.6251056</v>
      </c>
      <c r="BA10" s="313">
        <f t="shared" si="5"/>
        <v>178.4691308</v>
      </c>
      <c r="BB10" s="313">
        <f t="shared" si="5"/>
        <v>179.3235004</v>
      </c>
      <c r="BC10" s="313">
        <f t="shared" si="5"/>
        <v>180.1900359</v>
      </c>
      <c r="BD10" s="313">
        <f t="shared" si="5"/>
        <v>181.0708745</v>
      </c>
      <c r="BE10" s="313">
        <f t="shared" si="5"/>
        <v>181.9685173</v>
      </c>
      <c r="BF10" s="313">
        <f t="shared" si="5"/>
        <v>182.8858846</v>
      </c>
      <c r="BG10" s="313">
        <f t="shared" si="5"/>
        <v>183.8263806</v>
      </c>
      <c r="BH10" s="313">
        <f t="shared" si="5"/>
        <v>184.7939675</v>
      </c>
      <c r="BI10" s="313">
        <f t="shared" si="5"/>
        <v>185.701181</v>
      </c>
      <c r="BJ10" s="313">
        <f t="shared" si="5"/>
        <v>176.4038048</v>
      </c>
      <c r="BK10" s="313">
        <f t="shared" si="5"/>
        <v>177.2770677</v>
      </c>
      <c r="BL10" s="313">
        <f t="shared" si="5"/>
        <v>178.1581738</v>
      </c>
      <c r="BM10" s="313">
        <f t="shared" si="5"/>
        <v>179.0469193</v>
      </c>
      <c r="BN10" s="313">
        <f t="shared" si="5"/>
        <v>179.9428963</v>
      </c>
      <c r="BO10" s="313">
        <f t="shared" si="5"/>
        <v>180.8454404</v>
      </c>
      <c r="BP10" s="313">
        <f t="shared" si="5"/>
        <v>181.7535662</v>
      </c>
      <c r="BQ10" s="313">
        <f t="shared" si="5"/>
        <v>182.6658924</v>
      </c>
      <c r="BR10" s="313">
        <f t="shared" si="5"/>
        <v>183.580552</v>
      </c>
      <c r="BS10" s="313">
        <f t="shared" si="5"/>
        <v>184.4950871</v>
      </c>
      <c r="BT10" s="313">
        <f t="shared" si="5"/>
        <v>185.4155125</v>
      </c>
      <c r="BU10" s="313">
        <f t="shared" si="5"/>
        <v>186.3416247</v>
      </c>
      <c r="BV10" s="313">
        <f t="shared" si="5"/>
        <v>167.7073348</v>
      </c>
      <c r="BW10" s="313">
        <f t="shared" si="5"/>
        <v>168.5462301</v>
      </c>
      <c r="BX10" s="313">
        <f t="shared" si="5"/>
        <v>169.3895512</v>
      </c>
      <c r="BY10" s="313">
        <f t="shared" si="5"/>
        <v>170.2370808</v>
      </c>
      <c r="BZ10" s="313">
        <f t="shared" si="5"/>
        <v>171.0886419</v>
      </c>
      <c r="CA10" s="313">
        <f t="shared" si="5"/>
        <v>171.9441315</v>
      </c>
      <c r="CB10" s="313">
        <f t="shared" si="5"/>
        <v>172.8035669</v>
      </c>
      <c r="CC10" s="313">
        <f t="shared" si="5"/>
        <v>173.6671435</v>
      </c>
      <c r="CD10" s="313">
        <f t="shared" si="5"/>
        <v>174.53531</v>
      </c>
      <c r="CE10" s="313">
        <f t="shared" si="5"/>
        <v>175.4079934</v>
      </c>
      <c r="CF10" s="313">
        <f t="shared" si="5"/>
        <v>176.2851323</v>
      </c>
      <c r="CG10" s="313">
        <f t="shared" si="5"/>
        <v>177.1666808</v>
      </c>
      <c r="CH10" s="313">
        <f t="shared" si="5"/>
        <v>178.0526122</v>
      </c>
      <c r="CI10" s="1"/>
      <c r="CJ10" s="1"/>
      <c r="CK10" s="1"/>
      <c r="CL10" s="1"/>
      <c r="CM10" s="1"/>
      <c r="CN10" s="1"/>
      <c r="CO10" s="1"/>
      <c r="CP10" s="1"/>
    </row>
    <row r="11">
      <c r="A11" s="1" t="s">
        <v>96</v>
      </c>
      <c r="B11" s="312"/>
      <c r="C11" s="312">
        <v>100.0</v>
      </c>
      <c r="D11" s="312">
        <v>100.0</v>
      </c>
      <c r="E11" s="312">
        <v>100.0</v>
      </c>
      <c r="F11" s="312">
        <v>100.0</v>
      </c>
      <c r="G11" s="312">
        <v>100.0</v>
      </c>
      <c r="H11" s="312">
        <v>100.0</v>
      </c>
      <c r="I11" s="312">
        <v>100.0</v>
      </c>
      <c r="J11" s="312">
        <v>100.0</v>
      </c>
      <c r="K11" s="312">
        <v>100.0</v>
      </c>
      <c r="L11" s="312">
        <v>100.0</v>
      </c>
      <c r="M11" s="312">
        <v>100.0</v>
      </c>
      <c r="N11" s="312">
        <v>100.0</v>
      </c>
      <c r="O11" s="312">
        <v>100.0</v>
      </c>
      <c r="P11" s="312">
        <v>100.0</v>
      </c>
      <c r="Q11" s="312">
        <v>100.0</v>
      </c>
      <c r="R11" s="312">
        <v>100.0</v>
      </c>
      <c r="S11" s="312">
        <v>100.0</v>
      </c>
      <c r="T11" s="312">
        <v>100.0</v>
      </c>
      <c r="U11" s="312">
        <v>100.0</v>
      </c>
      <c r="V11" s="312">
        <v>100.0</v>
      </c>
      <c r="W11" s="312">
        <v>100.0</v>
      </c>
      <c r="X11" s="312">
        <v>100.0</v>
      </c>
      <c r="Y11" s="312">
        <v>100.0</v>
      </c>
      <c r="Z11" s="313">
        <f t="shared" ref="Z11:CH11" si="6">Z28/Z20</f>
        <v>110</v>
      </c>
      <c r="AA11" s="313">
        <f t="shared" si="6"/>
        <v>300</v>
      </c>
      <c r="AB11" s="313">
        <f t="shared" si="6"/>
        <v>300</v>
      </c>
      <c r="AC11" s="313">
        <f t="shared" si="6"/>
        <v>300</v>
      </c>
      <c r="AD11" s="313">
        <f t="shared" si="6"/>
        <v>300</v>
      </c>
      <c r="AE11" s="313">
        <f t="shared" si="6"/>
        <v>300</v>
      </c>
      <c r="AF11" s="313">
        <f t="shared" si="6"/>
        <v>300</v>
      </c>
      <c r="AG11" s="313">
        <f t="shared" si="6"/>
        <v>300</v>
      </c>
      <c r="AH11" s="313">
        <f t="shared" si="6"/>
        <v>300</v>
      </c>
      <c r="AI11" s="313">
        <f t="shared" si="6"/>
        <v>300</v>
      </c>
      <c r="AJ11" s="313">
        <f t="shared" si="6"/>
        <v>300</v>
      </c>
      <c r="AK11" s="313">
        <f t="shared" si="6"/>
        <v>300</v>
      </c>
      <c r="AL11" s="313">
        <f t="shared" si="6"/>
        <v>300</v>
      </c>
      <c r="AM11" s="313">
        <f t="shared" si="6"/>
        <v>300</v>
      </c>
      <c r="AN11" s="313">
        <f t="shared" si="6"/>
        <v>300</v>
      </c>
      <c r="AO11" s="313">
        <f t="shared" si="6"/>
        <v>300</v>
      </c>
      <c r="AP11" s="313">
        <f t="shared" si="6"/>
        <v>300</v>
      </c>
      <c r="AQ11" s="313">
        <f t="shared" si="6"/>
        <v>300</v>
      </c>
      <c r="AR11" s="313">
        <f t="shared" si="6"/>
        <v>300</v>
      </c>
      <c r="AS11" s="313">
        <f t="shared" si="6"/>
        <v>300</v>
      </c>
      <c r="AT11" s="313">
        <f t="shared" si="6"/>
        <v>300</v>
      </c>
      <c r="AU11" s="313">
        <f t="shared" si="6"/>
        <v>300</v>
      </c>
      <c r="AV11" s="313">
        <f t="shared" si="6"/>
        <v>300</v>
      </c>
      <c r="AW11" s="313">
        <f t="shared" si="6"/>
        <v>300</v>
      </c>
      <c r="AX11" s="313">
        <f t="shared" si="6"/>
        <v>300</v>
      </c>
      <c r="AY11" s="313">
        <f t="shared" si="6"/>
        <v>300</v>
      </c>
      <c r="AZ11" s="313">
        <f t="shared" si="6"/>
        <v>300</v>
      </c>
      <c r="BA11" s="313">
        <f t="shared" si="6"/>
        <v>300</v>
      </c>
      <c r="BB11" s="313">
        <f t="shared" si="6"/>
        <v>300</v>
      </c>
      <c r="BC11" s="313">
        <f t="shared" si="6"/>
        <v>300</v>
      </c>
      <c r="BD11" s="313">
        <f t="shared" si="6"/>
        <v>300</v>
      </c>
      <c r="BE11" s="313">
        <f t="shared" si="6"/>
        <v>300</v>
      </c>
      <c r="BF11" s="313">
        <f t="shared" si="6"/>
        <v>300</v>
      </c>
      <c r="BG11" s="313">
        <f t="shared" si="6"/>
        <v>300</v>
      </c>
      <c r="BH11" s="313">
        <f t="shared" si="6"/>
        <v>300</v>
      </c>
      <c r="BI11" s="313">
        <f t="shared" si="6"/>
        <v>300</v>
      </c>
      <c r="BJ11" s="313">
        <f t="shared" si="6"/>
        <v>300</v>
      </c>
      <c r="BK11" s="313">
        <f t="shared" si="6"/>
        <v>300</v>
      </c>
      <c r="BL11" s="313">
        <f t="shared" si="6"/>
        <v>300</v>
      </c>
      <c r="BM11" s="313">
        <f t="shared" si="6"/>
        <v>300</v>
      </c>
      <c r="BN11" s="313">
        <f t="shared" si="6"/>
        <v>300</v>
      </c>
      <c r="BO11" s="313">
        <f t="shared" si="6"/>
        <v>300</v>
      </c>
      <c r="BP11" s="313">
        <f t="shared" si="6"/>
        <v>300</v>
      </c>
      <c r="BQ11" s="313">
        <f t="shared" si="6"/>
        <v>300</v>
      </c>
      <c r="BR11" s="313">
        <f t="shared" si="6"/>
        <v>300</v>
      </c>
      <c r="BS11" s="313">
        <f t="shared" si="6"/>
        <v>300</v>
      </c>
      <c r="BT11" s="313">
        <f t="shared" si="6"/>
        <v>300</v>
      </c>
      <c r="BU11" s="313">
        <f t="shared" si="6"/>
        <v>300</v>
      </c>
      <c r="BV11" s="313">
        <f t="shared" si="6"/>
        <v>300</v>
      </c>
      <c r="BW11" s="313">
        <f t="shared" si="6"/>
        <v>300</v>
      </c>
      <c r="BX11" s="313">
        <f t="shared" si="6"/>
        <v>300</v>
      </c>
      <c r="BY11" s="313">
        <f t="shared" si="6"/>
        <v>300</v>
      </c>
      <c r="BZ11" s="313">
        <f t="shared" si="6"/>
        <v>300</v>
      </c>
      <c r="CA11" s="313">
        <f t="shared" si="6"/>
        <v>300</v>
      </c>
      <c r="CB11" s="313">
        <f t="shared" si="6"/>
        <v>300</v>
      </c>
      <c r="CC11" s="313">
        <f t="shared" si="6"/>
        <v>300</v>
      </c>
      <c r="CD11" s="313">
        <f t="shared" si="6"/>
        <v>300</v>
      </c>
      <c r="CE11" s="313">
        <f t="shared" si="6"/>
        <v>300</v>
      </c>
      <c r="CF11" s="313">
        <f t="shared" si="6"/>
        <v>300</v>
      </c>
      <c r="CG11" s="313">
        <f t="shared" si="6"/>
        <v>300</v>
      </c>
      <c r="CH11" s="313">
        <f t="shared" si="6"/>
        <v>300</v>
      </c>
      <c r="CI11" s="1"/>
      <c r="CJ11" s="1"/>
      <c r="CK11" s="1"/>
      <c r="CL11" s="1"/>
      <c r="CM11" s="1"/>
      <c r="CN11" s="1"/>
      <c r="CO11" s="1"/>
      <c r="CP11" s="1"/>
    </row>
    <row r="12">
      <c r="A12" s="119" t="s">
        <v>592</v>
      </c>
      <c r="B12" s="314"/>
      <c r="C12" s="314">
        <f t="shared" ref="C12:N12" si="7">C6+C7+C8+C9+C10+C11</f>
        <v>600</v>
      </c>
      <c r="D12" s="314">
        <f t="shared" si="7"/>
        <v>600</v>
      </c>
      <c r="E12" s="314">
        <f t="shared" si="7"/>
        <v>600</v>
      </c>
      <c r="F12" s="314">
        <f t="shared" si="7"/>
        <v>600</v>
      </c>
      <c r="G12" s="314">
        <f t="shared" si="7"/>
        <v>600</v>
      </c>
      <c r="H12" s="314">
        <f t="shared" si="7"/>
        <v>600</v>
      </c>
      <c r="I12" s="314">
        <f t="shared" si="7"/>
        <v>600</v>
      </c>
      <c r="J12" s="314">
        <f t="shared" si="7"/>
        <v>600</v>
      </c>
      <c r="K12" s="314">
        <f t="shared" si="7"/>
        <v>600</v>
      </c>
      <c r="L12" s="314">
        <f t="shared" si="7"/>
        <v>600</v>
      </c>
      <c r="M12" s="314">
        <f t="shared" si="7"/>
        <v>600</v>
      </c>
      <c r="N12" s="314">
        <f t="shared" si="7"/>
        <v>600</v>
      </c>
      <c r="O12" s="314">
        <f>SUM(O6:O11)</f>
        <v>600</v>
      </c>
      <c r="P12" s="314">
        <f t="shared" ref="P12:CH12" si="8">P6+P7+P8+P9+P10+P11</f>
        <v>600</v>
      </c>
      <c r="Q12" s="314">
        <f t="shared" si="8"/>
        <v>600</v>
      </c>
      <c r="R12" s="314">
        <f t="shared" si="8"/>
        <v>600</v>
      </c>
      <c r="S12" s="314">
        <f t="shared" si="8"/>
        <v>600</v>
      </c>
      <c r="T12" s="314">
        <f t="shared" si="8"/>
        <v>600</v>
      </c>
      <c r="U12" s="314">
        <f t="shared" si="8"/>
        <v>600</v>
      </c>
      <c r="V12" s="314">
        <f t="shared" si="8"/>
        <v>600</v>
      </c>
      <c r="W12" s="314">
        <f t="shared" si="8"/>
        <v>600</v>
      </c>
      <c r="X12" s="314">
        <f t="shared" si="8"/>
        <v>600</v>
      </c>
      <c r="Y12" s="314">
        <f t="shared" si="8"/>
        <v>600</v>
      </c>
      <c r="Z12" s="314">
        <f t="shared" si="8"/>
        <v>660</v>
      </c>
      <c r="AA12" s="314">
        <f t="shared" si="8"/>
        <v>850</v>
      </c>
      <c r="AB12" s="314">
        <f t="shared" si="8"/>
        <v>850</v>
      </c>
      <c r="AC12" s="314">
        <f t="shared" si="8"/>
        <v>850</v>
      </c>
      <c r="AD12" s="314">
        <f t="shared" si="8"/>
        <v>1028.267893</v>
      </c>
      <c r="AE12" s="314">
        <f t="shared" si="8"/>
        <v>1028.267893</v>
      </c>
      <c r="AF12" s="314">
        <f t="shared" si="8"/>
        <v>1028.267893</v>
      </c>
      <c r="AG12" s="314">
        <f t="shared" si="8"/>
        <v>1028.267893</v>
      </c>
      <c r="AH12" s="314">
        <f t="shared" si="8"/>
        <v>993.2294987</v>
      </c>
      <c r="AI12" s="314">
        <f t="shared" si="8"/>
        <v>993.2294987</v>
      </c>
      <c r="AJ12" s="314">
        <f t="shared" si="8"/>
        <v>993.2294987</v>
      </c>
      <c r="AK12" s="314">
        <f t="shared" si="8"/>
        <v>996.6956462</v>
      </c>
      <c r="AL12" s="314">
        <f t="shared" si="8"/>
        <v>836.5224148</v>
      </c>
      <c r="AM12" s="314">
        <f t="shared" si="8"/>
        <v>805.9658426</v>
      </c>
      <c r="AN12" s="314">
        <f t="shared" si="8"/>
        <v>826.1601108</v>
      </c>
      <c r="AO12" s="314">
        <f t="shared" si="8"/>
        <v>828.5836743</v>
      </c>
      <c r="AP12" s="314">
        <f t="shared" si="8"/>
        <v>830.9977672</v>
      </c>
      <c r="AQ12" s="314">
        <f t="shared" si="8"/>
        <v>833.4001232</v>
      </c>
      <c r="AR12" s="314">
        <f t="shared" si="8"/>
        <v>835.7882432</v>
      </c>
      <c r="AS12" s="314">
        <f t="shared" si="8"/>
        <v>838.159373</v>
      </c>
      <c r="AT12" s="314">
        <f t="shared" si="8"/>
        <v>840.5104798</v>
      </c>
      <c r="AU12" s="314">
        <f t="shared" si="8"/>
        <v>842.838227</v>
      </c>
      <c r="AV12" s="314">
        <f t="shared" si="8"/>
        <v>845.1389459</v>
      </c>
      <c r="AW12" s="314">
        <f t="shared" si="8"/>
        <v>847.4086073</v>
      </c>
      <c r="AX12" s="314">
        <f t="shared" si="8"/>
        <v>854.5298844</v>
      </c>
      <c r="AY12" s="314">
        <f t="shared" si="8"/>
        <v>857.1734007</v>
      </c>
      <c r="AZ12" s="314">
        <f t="shared" si="8"/>
        <v>859.8384479</v>
      </c>
      <c r="BA12" s="314">
        <f t="shared" si="8"/>
        <v>862.5282872</v>
      </c>
      <c r="BB12" s="314">
        <f t="shared" si="8"/>
        <v>865.2467681</v>
      </c>
      <c r="BC12" s="314">
        <f t="shared" si="8"/>
        <v>867.9984188</v>
      </c>
      <c r="BD12" s="314">
        <f t="shared" si="8"/>
        <v>870.7885496</v>
      </c>
      <c r="BE12" s="314">
        <f t="shared" si="8"/>
        <v>873.6233739</v>
      </c>
      <c r="BF12" s="314">
        <f t="shared" si="8"/>
        <v>876.5101459</v>
      </c>
      <c r="BG12" s="314">
        <f t="shared" si="8"/>
        <v>879.457322</v>
      </c>
      <c r="BH12" s="314">
        <f t="shared" si="8"/>
        <v>882.4747473</v>
      </c>
      <c r="BI12" s="314">
        <f t="shared" si="8"/>
        <v>954.1750304</v>
      </c>
      <c r="BJ12" s="314">
        <f t="shared" si="8"/>
        <v>921.4312615</v>
      </c>
      <c r="BK12" s="314">
        <f t="shared" si="8"/>
        <v>924.5135249</v>
      </c>
      <c r="BL12" s="314">
        <f t="shared" si="8"/>
        <v>927.6210844</v>
      </c>
      <c r="BM12" s="314">
        <f t="shared" si="8"/>
        <v>930.753375</v>
      </c>
      <c r="BN12" s="314">
        <f t="shared" si="8"/>
        <v>933.9092526</v>
      </c>
      <c r="BO12" s="314">
        <f t="shared" si="8"/>
        <v>937.086843</v>
      </c>
      <c r="BP12" s="314">
        <f t="shared" si="8"/>
        <v>940.2833605</v>
      </c>
      <c r="BQ12" s="314">
        <f t="shared" si="8"/>
        <v>943.4948932</v>
      </c>
      <c r="BR12" s="314">
        <f t="shared" si="8"/>
        <v>946.7161491</v>
      </c>
      <c r="BS12" s="314">
        <f t="shared" si="8"/>
        <v>949.9401561</v>
      </c>
      <c r="BT12" s="314">
        <f t="shared" si="8"/>
        <v>953.1840288</v>
      </c>
      <c r="BU12" s="314">
        <f t="shared" si="8"/>
        <v>956.4472045</v>
      </c>
      <c r="BV12" s="314">
        <f t="shared" si="8"/>
        <v>890.8021218</v>
      </c>
      <c r="BW12" s="314">
        <f t="shared" si="8"/>
        <v>893.7571519</v>
      </c>
      <c r="BX12" s="314">
        <f t="shared" si="8"/>
        <v>896.7276147</v>
      </c>
      <c r="BY12" s="314">
        <f t="shared" si="8"/>
        <v>899.7129072</v>
      </c>
      <c r="BZ12" s="314">
        <f t="shared" si="8"/>
        <v>902.7125395</v>
      </c>
      <c r="CA12" s="314">
        <f t="shared" si="8"/>
        <v>905.7262342</v>
      </c>
      <c r="CB12" s="314">
        <f t="shared" si="8"/>
        <v>908.7540543</v>
      </c>
      <c r="CC12" s="314">
        <f t="shared" si="8"/>
        <v>911.7965702</v>
      </c>
      <c r="CD12" s="314">
        <f t="shared" si="8"/>
        <v>914.8550721</v>
      </c>
      <c r="CE12" s="314">
        <f t="shared" si="8"/>
        <v>917.929367</v>
      </c>
      <c r="CF12" s="314">
        <f t="shared" si="8"/>
        <v>921.0192951</v>
      </c>
      <c r="CG12" s="314">
        <f t="shared" si="8"/>
        <v>924.1247408</v>
      </c>
      <c r="CH12" s="314">
        <f t="shared" si="8"/>
        <v>927.2456429</v>
      </c>
      <c r="CI12" s="1"/>
      <c r="CJ12" s="1"/>
      <c r="CK12" s="1"/>
      <c r="CL12" s="1"/>
      <c r="CM12" s="1"/>
      <c r="CN12" s="1"/>
      <c r="CO12" s="1"/>
      <c r="CP12" s="1"/>
    </row>
    <row r="13">
      <c r="A13" s="1" t="s">
        <v>593</v>
      </c>
      <c r="B13" s="1"/>
      <c r="C13" s="1"/>
      <c r="D13" s="315">
        <f t="shared" ref="D13:CH13" si="9">D12/C12-1</f>
        <v>0</v>
      </c>
      <c r="E13" s="315">
        <f t="shared" si="9"/>
        <v>0</v>
      </c>
      <c r="F13" s="315">
        <f t="shared" si="9"/>
        <v>0</v>
      </c>
      <c r="G13" s="315">
        <f t="shared" si="9"/>
        <v>0</v>
      </c>
      <c r="H13" s="315">
        <f t="shared" si="9"/>
        <v>0</v>
      </c>
      <c r="I13" s="315">
        <f t="shared" si="9"/>
        <v>0</v>
      </c>
      <c r="J13" s="315">
        <f t="shared" si="9"/>
        <v>0</v>
      </c>
      <c r="K13" s="315">
        <f t="shared" si="9"/>
        <v>0</v>
      </c>
      <c r="L13" s="315">
        <f t="shared" si="9"/>
        <v>0</v>
      </c>
      <c r="M13" s="315">
        <f t="shared" si="9"/>
        <v>0</v>
      </c>
      <c r="N13" s="315">
        <f t="shared" si="9"/>
        <v>0</v>
      </c>
      <c r="O13" s="315">
        <f t="shared" si="9"/>
        <v>0</v>
      </c>
      <c r="P13" s="315">
        <f t="shared" si="9"/>
        <v>0</v>
      </c>
      <c r="Q13" s="315">
        <f t="shared" si="9"/>
        <v>0</v>
      </c>
      <c r="R13" s="315">
        <f t="shared" si="9"/>
        <v>0</v>
      </c>
      <c r="S13" s="315">
        <f t="shared" si="9"/>
        <v>0</v>
      </c>
      <c r="T13" s="315">
        <f t="shared" si="9"/>
        <v>0</v>
      </c>
      <c r="U13" s="315">
        <f t="shared" si="9"/>
        <v>0</v>
      </c>
      <c r="V13" s="315">
        <f t="shared" si="9"/>
        <v>0</v>
      </c>
      <c r="W13" s="315">
        <f t="shared" si="9"/>
        <v>0</v>
      </c>
      <c r="X13" s="315">
        <f t="shared" si="9"/>
        <v>0</v>
      </c>
      <c r="Y13" s="315">
        <f t="shared" si="9"/>
        <v>0</v>
      </c>
      <c r="Z13" s="315">
        <f t="shared" si="9"/>
        <v>0.1</v>
      </c>
      <c r="AA13" s="315">
        <f t="shared" si="9"/>
        <v>0.2878787879</v>
      </c>
      <c r="AB13" s="315">
        <f t="shared" si="9"/>
        <v>0</v>
      </c>
      <c r="AC13" s="315">
        <f t="shared" si="9"/>
        <v>0</v>
      </c>
      <c r="AD13" s="315">
        <f t="shared" si="9"/>
        <v>0.2097269334</v>
      </c>
      <c r="AE13" s="315">
        <f t="shared" si="9"/>
        <v>0</v>
      </c>
      <c r="AF13" s="315">
        <f t="shared" si="9"/>
        <v>0</v>
      </c>
      <c r="AG13" s="315">
        <f t="shared" si="9"/>
        <v>0</v>
      </c>
      <c r="AH13" s="315">
        <f t="shared" si="9"/>
        <v>-0.03407516163</v>
      </c>
      <c r="AI13" s="315">
        <f t="shared" si="9"/>
        <v>0</v>
      </c>
      <c r="AJ13" s="315">
        <f t="shared" si="9"/>
        <v>0</v>
      </c>
      <c r="AK13" s="315">
        <f t="shared" si="9"/>
        <v>0.00348977502</v>
      </c>
      <c r="AL13" s="315">
        <f t="shared" si="9"/>
        <v>-0.1607042551</v>
      </c>
      <c r="AM13" s="315">
        <f t="shared" si="9"/>
        <v>-0.03652809738</v>
      </c>
      <c r="AN13" s="315">
        <f t="shared" si="9"/>
        <v>0.02505598515</v>
      </c>
      <c r="AO13" s="315">
        <f t="shared" si="9"/>
        <v>0.002933527665</v>
      </c>
      <c r="AP13" s="315">
        <f t="shared" si="9"/>
        <v>0.002913517325</v>
      </c>
      <c r="AQ13" s="315">
        <f t="shared" si="9"/>
        <v>0.00289092957</v>
      </c>
      <c r="AR13" s="315">
        <f t="shared" si="9"/>
        <v>0.002865514274</v>
      </c>
      <c r="AS13" s="315">
        <f t="shared" si="9"/>
        <v>0.002836998241</v>
      </c>
      <c r="AT13" s="315">
        <f t="shared" si="9"/>
        <v>0.002805083334</v>
      </c>
      <c r="AU13" s="315">
        <f t="shared" si="9"/>
        <v>0.002769444517</v>
      </c>
      <c r="AV13" s="315">
        <f t="shared" si="9"/>
        <v>0.00272972781</v>
      </c>
      <c r="AW13" s="315">
        <f t="shared" si="9"/>
        <v>0.002685548163</v>
      </c>
      <c r="AX13" s="315">
        <f t="shared" si="9"/>
        <v>0.008403593069</v>
      </c>
      <c r="AY13" s="315">
        <f t="shared" si="9"/>
        <v>0.003093532972</v>
      </c>
      <c r="AZ13" s="315">
        <f t="shared" si="9"/>
        <v>0.003109110842</v>
      </c>
      <c r="BA13" s="315">
        <f t="shared" si="9"/>
        <v>0.003128307771</v>
      </c>
      <c r="BB13" s="315">
        <f t="shared" si="9"/>
        <v>0.003151758627</v>
      </c>
      <c r="BC13" s="315">
        <f t="shared" si="9"/>
        <v>0.003180191747</v>
      </c>
      <c r="BD13" s="315">
        <f t="shared" si="9"/>
        <v>0.003214442336</v>
      </c>
      <c r="BE13" s="315">
        <f t="shared" si="9"/>
        <v>0.00325546799</v>
      </c>
      <c r="BF13" s="315">
        <f t="shared" si="9"/>
        <v>0.003304366747</v>
      </c>
      <c r="BG13" s="315">
        <f t="shared" si="9"/>
        <v>0.003362398175</v>
      </c>
      <c r="BH13" s="315">
        <f t="shared" si="9"/>
        <v>0.003431008144</v>
      </c>
      <c r="BI13" s="315">
        <f t="shared" si="9"/>
        <v>0.08124910467</v>
      </c>
      <c r="BJ13" s="315">
        <f t="shared" si="9"/>
        <v>-0.03431631283</v>
      </c>
      <c r="BK13" s="315">
        <f t="shared" si="9"/>
        <v>0.003345082227</v>
      </c>
      <c r="BL13" s="315">
        <f t="shared" si="9"/>
        <v>0.003361291574</v>
      </c>
      <c r="BM13" s="315">
        <f t="shared" si="9"/>
        <v>0.003376691897</v>
      </c>
      <c r="BN13" s="315">
        <f t="shared" si="9"/>
        <v>0.003390670125</v>
      </c>
      <c r="BO13" s="315">
        <f t="shared" si="9"/>
        <v>0.003402461583</v>
      </c>
      <c r="BP13" s="315">
        <f t="shared" si="9"/>
        <v>0.003411121905</v>
      </c>
      <c r="BQ13" s="315">
        <f t="shared" si="9"/>
        <v>0.003415494651</v>
      </c>
      <c r="BR13" s="315">
        <f t="shared" si="9"/>
        <v>0.003414174151</v>
      </c>
      <c r="BS13" s="315">
        <f t="shared" si="9"/>
        <v>0.003405463157</v>
      </c>
      <c r="BT13" s="315">
        <f t="shared" si="9"/>
        <v>0.003414817923</v>
      </c>
      <c r="BU13" s="315">
        <f t="shared" si="9"/>
        <v>0.003423447753</v>
      </c>
      <c r="BV13" s="315">
        <f t="shared" si="9"/>
        <v>-0.06863429821</v>
      </c>
      <c r="BW13" s="315">
        <f t="shared" si="9"/>
        <v>0.003317268732</v>
      </c>
      <c r="BX13" s="315">
        <f t="shared" si="9"/>
        <v>0.003323568224</v>
      </c>
      <c r="BY13" s="315">
        <f t="shared" si="9"/>
        <v>0.003329096128</v>
      </c>
      <c r="BZ13" s="315">
        <f t="shared" si="9"/>
        <v>0.003333988395</v>
      </c>
      <c r="CA13" s="315">
        <f t="shared" si="9"/>
        <v>0.003338487664</v>
      </c>
      <c r="CB13" s="315">
        <f t="shared" si="9"/>
        <v>0.003342974929</v>
      </c>
      <c r="CC13" s="315">
        <f t="shared" si="9"/>
        <v>0.003348008082</v>
      </c>
      <c r="CD13" s="315">
        <f t="shared" si="9"/>
        <v>0.003354368652</v>
      </c>
      <c r="CE13" s="315">
        <f t="shared" si="9"/>
        <v>0.003360417443</v>
      </c>
      <c r="CF13" s="315">
        <f t="shared" si="9"/>
        <v>0.003366193767</v>
      </c>
      <c r="CG13" s="315">
        <f t="shared" si="9"/>
        <v>0.003371748789</v>
      </c>
      <c r="CH13" s="315">
        <f t="shared" si="9"/>
        <v>0.003377143728</v>
      </c>
      <c r="CI13" s="1"/>
      <c r="CJ13" s="1"/>
      <c r="CK13" s="1"/>
      <c r="CL13" s="1"/>
      <c r="CM13" s="1"/>
      <c r="CN13" s="1"/>
      <c r="CO13" s="1"/>
      <c r="CP13" s="1"/>
    </row>
    <row r="14">
      <c r="A14" s="1"/>
      <c r="B14" s="1"/>
      <c r="C14" s="1"/>
      <c r="D14" s="1"/>
      <c r="E14" s="1"/>
      <c r="F14" s="1"/>
      <c r="G14" s="1"/>
      <c r="H14" s="1"/>
      <c r="I14" s="1"/>
      <c r="J14" s="1"/>
      <c r="K14" s="1"/>
      <c r="L14" s="1"/>
      <c r="M14" s="1"/>
      <c r="N14" s="1"/>
      <c r="O14" s="207">
        <f t="shared" ref="O14:S14" si="10">O8/O12</f>
        <v>0.1666666667</v>
      </c>
      <c r="P14" s="207">
        <f t="shared" si="10"/>
        <v>0.1666666667</v>
      </c>
      <c r="Q14" s="207">
        <f t="shared" si="10"/>
        <v>0.1666666667</v>
      </c>
      <c r="R14" s="207">
        <f t="shared" si="10"/>
        <v>0.1666666667</v>
      </c>
      <c r="S14" s="207">
        <f t="shared" si="10"/>
        <v>0.1666666667</v>
      </c>
      <c r="T14" s="316">
        <f t="shared" ref="T14:AA14" si="11">T12*0.64</f>
        <v>384</v>
      </c>
      <c r="U14" s="316">
        <f t="shared" si="11"/>
        <v>384</v>
      </c>
      <c r="V14" s="316">
        <f t="shared" si="11"/>
        <v>384</v>
      </c>
      <c r="W14" s="316">
        <f t="shared" si="11"/>
        <v>384</v>
      </c>
      <c r="X14" s="316">
        <f t="shared" si="11"/>
        <v>384</v>
      </c>
      <c r="Y14" s="316">
        <f t="shared" si="11"/>
        <v>384</v>
      </c>
      <c r="Z14" s="316">
        <f t="shared" si="11"/>
        <v>422.4</v>
      </c>
      <c r="AA14" s="316">
        <f t="shared" si="11"/>
        <v>544</v>
      </c>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row>
    <row r="15" hidden="1">
      <c r="A15" s="1" t="s">
        <v>47</v>
      </c>
      <c r="B15" s="317"/>
      <c r="C15" s="317">
        <f t="shared" ref="C15:X15" si="12">IFERROR(C23/C6,0)</f>
        <v>0</v>
      </c>
      <c r="D15" s="317">
        <f t="shared" si="12"/>
        <v>0.07</v>
      </c>
      <c r="E15" s="317">
        <f t="shared" si="12"/>
        <v>0.08</v>
      </c>
      <c r="F15" s="317">
        <f t="shared" si="12"/>
        <v>0.19</v>
      </c>
      <c r="G15" s="317">
        <f t="shared" si="12"/>
        <v>0.48</v>
      </c>
      <c r="H15" s="317">
        <f t="shared" si="12"/>
        <v>1.12</v>
      </c>
      <c r="I15" s="317">
        <f t="shared" si="12"/>
        <v>0.94</v>
      </c>
      <c r="J15" s="317">
        <f t="shared" si="12"/>
        <v>1.1</v>
      </c>
      <c r="K15" s="317">
        <f t="shared" si="12"/>
        <v>0.91</v>
      </c>
      <c r="L15" s="317">
        <f t="shared" si="12"/>
        <v>0.61</v>
      </c>
      <c r="M15" s="317">
        <f t="shared" si="12"/>
        <v>0.31</v>
      </c>
      <c r="N15" s="317">
        <f t="shared" si="12"/>
        <v>0.31</v>
      </c>
      <c r="O15" s="317">
        <f t="shared" si="12"/>
        <v>0.51</v>
      </c>
      <c r="P15" s="317">
        <f t="shared" si="12"/>
        <v>0.54</v>
      </c>
      <c r="Q15" s="317">
        <f t="shared" si="12"/>
        <v>0.72</v>
      </c>
      <c r="R15" s="317">
        <f t="shared" si="12"/>
        <v>0.47</v>
      </c>
      <c r="S15" s="317">
        <f t="shared" si="12"/>
        <v>0.55</v>
      </c>
      <c r="T15" s="317">
        <f t="shared" si="12"/>
        <v>0.46</v>
      </c>
      <c r="U15" s="317">
        <f t="shared" si="12"/>
        <v>0.47</v>
      </c>
      <c r="V15" s="317">
        <f t="shared" si="12"/>
        <v>0.5</v>
      </c>
      <c r="W15" s="317">
        <f t="shared" si="12"/>
        <v>0.47</v>
      </c>
      <c r="X15" s="317">
        <f t="shared" si="12"/>
        <v>0.58</v>
      </c>
      <c r="Y15" s="318">
        <v>1.0</v>
      </c>
      <c r="Z15" s="318">
        <f t="shared" ref="Z15:CH15" si="13">Y15</f>
        <v>1</v>
      </c>
      <c r="AA15" s="318">
        <f t="shared" si="13"/>
        <v>1</v>
      </c>
      <c r="AB15" s="318">
        <f t="shared" si="13"/>
        <v>1</v>
      </c>
      <c r="AC15" s="318">
        <f t="shared" si="13"/>
        <v>1</v>
      </c>
      <c r="AD15" s="318">
        <f t="shared" si="13"/>
        <v>1</v>
      </c>
      <c r="AE15" s="318">
        <f t="shared" si="13"/>
        <v>1</v>
      </c>
      <c r="AF15" s="318">
        <f t="shared" si="13"/>
        <v>1</v>
      </c>
      <c r="AG15" s="318">
        <f t="shared" si="13"/>
        <v>1</v>
      </c>
      <c r="AH15" s="318">
        <f t="shared" si="13"/>
        <v>1</v>
      </c>
      <c r="AI15" s="318">
        <f t="shared" si="13"/>
        <v>1</v>
      </c>
      <c r="AJ15" s="318">
        <f t="shared" si="13"/>
        <v>1</v>
      </c>
      <c r="AK15" s="318">
        <f t="shared" si="13"/>
        <v>1</v>
      </c>
      <c r="AL15" s="318">
        <f t="shared" si="13"/>
        <v>1</v>
      </c>
      <c r="AM15" s="318">
        <f t="shared" si="13"/>
        <v>1</v>
      </c>
      <c r="AN15" s="318">
        <f t="shared" si="13"/>
        <v>1</v>
      </c>
      <c r="AO15" s="318">
        <f t="shared" si="13"/>
        <v>1</v>
      </c>
      <c r="AP15" s="318">
        <f t="shared" si="13"/>
        <v>1</v>
      </c>
      <c r="AQ15" s="318">
        <f t="shared" si="13"/>
        <v>1</v>
      </c>
      <c r="AR15" s="318">
        <f t="shared" si="13"/>
        <v>1</v>
      </c>
      <c r="AS15" s="318">
        <f t="shared" si="13"/>
        <v>1</v>
      </c>
      <c r="AT15" s="318">
        <f t="shared" si="13"/>
        <v>1</v>
      </c>
      <c r="AU15" s="318">
        <f t="shared" si="13"/>
        <v>1</v>
      </c>
      <c r="AV15" s="318">
        <f t="shared" si="13"/>
        <v>1</v>
      </c>
      <c r="AW15" s="318">
        <f t="shared" si="13"/>
        <v>1</v>
      </c>
      <c r="AX15" s="318">
        <f t="shared" si="13"/>
        <v>1</v>
      </c>
      <c r="AY15" s="318">
        <f t="shared" si="13"/>
        <v>1</v>
      </c>
      <c r="AZ15" s="318">
        <f t="shared" si="13"/>
        <v>1</v>
      </c>
      <c r="BA15" s="318">
        <f t="shared" si="13"/>
        <v>1</v>
      </c>
      <c r="BB15" s="318">
        <f t="shared" si="13"/>
        <v>1</v>
      </c>
      <c r="BC15" s="318">
        <f t="shared" si="13"/>
        <v>1</v>
      </c>
      <c r="BD15" s="318">
        <f t="shared" si="13"/>
        <v>1</v>
      </c>
      <c r="BE15" s="318">
        <f t="shared" si="13"/>
        <v>1</v>
      </c>
      <c r="BF15" s="318">
        <f t="shared" si="13"/>
        <v>1</v>
      </c>
      <c r="BG15" s="318">
        <f t="shared" si="13"/>
        <v>1</v>
      </c>
      <c r="BH15" s="318">
        <f t="shared" si="13"/>
        <v>1</v>
      </c>
      <c r="BI15" s="318">
        <f t="shared" si="13"/>
        <v>1</v>
      </c>
      <c r="BJ15" s="318">
        <f t="shared" si="13"/>
        <v>1</v>
      </c>
      <c r="BK15" s="318">
        <f t="shared" si="13"/>
        <v>1</v>
      </c>
      <c r="BL15" s="318">
        <f t="shared" si="13"/>
        <v>1</v>
      </c>
      <c r="BM15" s="318">
        <f t="shared" si="13"/>
        <v>1</v>
      </c>
      <c r="BN15" s="318">
        <f t="shared" si="13"/>
        <v>1</v>
      </c>
      <c r="BO15" s="318">
        <f t="shared" si="13"/>
        <v>1</v>
      </c>
      <c r="BP15" s="318">
        <f t="shared" si="13"/>
        <v>1</v>
      </c>
      <c r="BQ15" s="318">
        <f t="shared" si="13"/>
        <v>1</v>
      </c>
      <c r="BR15" s="318">
        <f t="shared" si="13"/>
        <v>1</v>
      </c>
      <c r="BS15" s="318">
        <f t="shared" si="13"/>
        <v>1</v>
      </c>
      <c r="BT15" s="318">
        <f t="shared" si="13"/>
        <v>1</v>
      </c>
      <c r="BU15" s="318">
        <f t="shared" si="13"/>
        <v>1</v>
      </c>
      <c r="BV15" s="318">
        <f t="shared" si="13"/>
        <v>1</v>
      </c>
      <c r="BW15" s="318">
        <f t="shared" si="13"/>
        <v>1</v>
      </c>
      <c r="BX15" s="318">
        <f t="shared" si="13"/>
        <v>1</v>
      </c>
      <c r="BY15" s="318">
        <f t="shared" si="13"/>
        <v>1</v>
      </c>
      <c r="BZ15" s="318">
        <f t="shared" si="13"/>
        <v>1</v>
      </c>
      <c r="CA15" s="318">
        <f t="shared" si="13"/>
        <v>1</v>
      </c>
      <c r="CB15" s="318">
        <f t="shared" si="13"/>
        <v>1</v>
      </c>
      <c r="CC15" s="318">
        <f t="shared" si="13"/>
        <v>1</v>
      </c>
      <c r="CD15" s="318">
        <f t="shared" si="13"/>
        <v>1</v>
      </c>
      <c r="CE15" s="318">
        <f t="shared" si="13"/>
        <v>1</v>
      </c>
      <c r="CF15" s="318">
        <f t="shared" si="13"/>
        <v>1</v>
      </c>
      <c r="CG15" s="318">
        <f t="shared" si="13"/>
        <v>1</v>
      </c>
      <c r="CH15" s="318">
        <f t="shared" si="13"/>
        <v>1</v>
      </c>
      <c r="CI15" s="1"/>
      <c r="CJ15" s="1"/>
      <c r="CK15" s="1"/>
      <c r="CL15" s="1"/>
      <c r="CM15" s="1"/>
      <c r="CN15" s="1"/>
      <c r="CO15" s="1"/>
      <c r="CP15" s="1"/>
    </row>
    <row r="16" hidden="1">
      <c r="A16" s="1" t="s">
        <v>85</v>
      </c>
      <c r="B16" s="317"/>
      <c r="C16" s="317">
        <f t="shared" ref="C16:X16" si="14">IFERROR(C24/C7,0)</f>
        <v>0.03</v>
      </c>
      <c r="D16" s="317">
        <f t="shared" si="14"/>
        <v>0.04</v>
      </c>
      <c r="E16" s="317">
        <f t="shared" si="14"/>
        <v>0.04</v>
      </c>
      <c r="F16" s="317">
        <f t="shared" si="14"/>
        <v>0.11</v>
      </c>
      <c r="G16" s="317">
        <f t="shared" si="14"/>
        <v>0.34</v>
      </c>
      <c r="H16" s="317">
        <f t="shared" si="14"/>
        <v>0.81</v>
      </c>
      <c r="I16" s="317">
        <f t="shared" si="14"/>
        <v>0.58</v>
      </c>
      <c r="J16" s="317">
        <f t="shared" si="14"/>
        <v>0.66</v>
      </c>
      <c r="K16" s="317">
        <f t="shared" si="14"/>
        <v>0.61</v>
      </c>
      <c r="L16" s="317">
        <f t="shared" si="14"/>
        <v>0.34</v>
      </c>
      <c r="M16" s="317">
        <f t="shared" si="14"/>
        <v>0.18</v>
      </c>
      <c r="N16" s="317">
        <f t="shared" si="14"/>
        <v>0.18</v>
      </c>
      <c r="O16" s="317">
        <f t="shared" si="14"/>
        <v>0.3</v>
      </c>
      <c r="P16" s="317">
        <f t="shared" si="14"/>
        <v>0.35</v>
      </c>
      <c r="Q16" s="317">
        <f t="shared" si="14"/>
        <v>0.41</v>
      </c>
      <c r="R16" s="317">
        <f t="shared" si="14"/>
        <v>0.27</v>
      </c>
      <c r="S16" s="317">
        <f t="shared" si="14"/>
        <v>0.3</v>
      </c>
      <c r="T16" s="317">
        <f t="shared" si="14"/>
        <v>0.27</v>
      </c>
      <c r="U16" s="317">
        <f t="shared" si="14"/>
        <v>0.33</v>
      </c>
      <c r="V16" s="317">
        <f t="shared" si="14"/>
        <v>0.36</v>
      </c>
      <c r="W16" s="317">
        <f t="shared" si="14"/>
        <v>0.34</v>
      </c>
      <c r="X16" s="317">
        <f t="shared" si="14"/>
        <v>0.3</v>
      </c>
      <c r="Y16" s="318">
        <v>1.0</v>
      </c>
      <c r="Z16" s="318">
        <f t="shared" ref="Z16:CH16" si="15">Y16</f>
        <v>1</v>
      </c>
      <c r="AA16" s="318">
        <f t="shared" si="15"/>
        <v>1</v>
      </c>
      <c r="AB16" s="318">
        <f t="shared" si="15"/>
        <v>1</v>
      </c>
      <c r="AC16" s="318">
        <f t="shared" si="15"/>
        <v>1</v>
      </c>
      <c r="AD16" s="318">
        <f t="shared" si="15"/>
        <v>1</v>
      </c>
      <c r="AE16" s="318">
        <f t="shared" si="15"/>
        <v>1</v>
      </c>
      <c r="AF16" s="318">
        <f t="shared" si="15"/>
        <v>1</v>
      </c>
      <c r="AG16" s="318">
        <f t="shared" si="15"/>
        <v>1</v>
      </c>
      <c r="AH16" s="318">
        <f t="shared" si="15"/>
        <v>1</v>
      </c>
      <c r="AI16" s="318">
        <f t="shared" si="15"/>
        <v>1</v>
      </c>
      <c r="AJ16" s="318">
        <f t="shared" si="15"/>
        <v>1</v>
      </c>
      <c r="AK16" s="318">
        <f t="shared" si="15"/>
        <v>1</v>
      </c>
      <c r="AL16" s="318">
        <f t="shared" si="15"/>
        <v>1</v>
      </c>
      <c r="AM16" s="318">
        <f t="shared" si="15"/>
        <v>1</v>
      </c>
      <c r="AN16" s="318">
        <f t="shared" si="15"/>
        <v>1</v>
      </c>
      <c r="AO16" s="318">
        <f t="shared" si="15"/>
        <v>1</v>
      </c>
      <c r="AP16" s="318">
        <f t="shared" si="15"/>
        <v>1</v>
      </c>
      <c r="AQ16" s="318">
        <f t="shared" si="15"/>
        <v>1</v>
      </c>
      <c r="AR16" s="318">
        <f t="shared" si="15"/>
        <v>1</v>
      </c>
      <c r="AS16" s="318">
        <f t="shared" si="15"/>
        <v>1</v>
      </c>
      <c r="AT16" s="318">
        <f t="shared" si="15"/>
        <v>1</v>
      </c>
      <c r="AU16" s="318">
        <f t="shared" si="15"/>
        <v>1</v>
      </c>
      <c r="AV16" s="318">
        <f t="shared" si="15"/>
        <v>1</v>
      </c>
      <c r="AW16" s="318">
        <f t="shared" si="15"/>
        <v>1</v>
      </c>
      <c r="AX16" s="318">
        <f t="shared" si="15"/>
        <v>1</v>
      </c>
      <c r="AY16" s="318">
        <f t="shared" si="15"/>
        <v>1</v>
      </c>
      <c r="AZ16" s="318">
        <f t="shared" si="15"/>
        <v>1</v>
      </c>
      <c r="BA16" s="318">
        <f t="shared" si="15"/>
        <v>1</v>
      </c>
      <c r="BB16" s="318">
        <f t="shared" si="15"/>
        <v>1</v>
      </c>
      <c r="BC16" s="318">
        <f t="shared" si="15"/>
        <v>1</v>
      </c>
      <c r="BD16" s="318">
        <f t="shared" si="15"/>
        <v>1</v>
      </c>
      <c r="BE16" s="318">
        <f t="shared" si="15"/>
        <v>1</v>
      </c>
      <c r="BF16" s="318">
        <f t="shared" si="15"/>
        <v>1</v>
      </c>
      <c r="BG16" s="318">
        <f t="shared" si="15"/>
        <v>1</v>
      </c>
      <c r="BH16" s="318">
        <f t="shared" si="15"/>
        <v>1</v>
      </c>
      <c r="BI16" s="318">
        <f t="shared" si="15"/>
        <v>1</v>
      </c>
      <c r="BJ16" s="318">
        <f t="shared" si="15"/>
        <v>1</v>
      </c>
      <c r="BK16" s="318">
        <f t="shared" si="15"/>
        <v>1</v>
      </c>
      <c r="BL16" s="318">
        <f t="shared" si="15"/>
        <v>1</v>
      </c>
      <c r="BM16" s="318">
        <f t="shared" si="15"/>
        <v>1</v>
      </c>
      <c r="BN16" s="318">
        <f t="shared" si="15"/>
        <v>1</v>
      </c>
      <c r="BO16" s="318">
        <f t="shared" si="15"/>
        <v>1</v>
      </c>
      <c r="BP16" s="318">
        <f t="shared" si="15"/>
        <v>1</v>
      </c>
      <c r="BQ16" s="318">
        <f t="shared" si="15"/>
        <v>1</v>
      </c>
      <c r="BR16" s="318">
        <f t="shared" si="15"/>
        <v>1</v>
      </c>
      <c r="BS16" s="318">
        <f t="shared" si="15"/>
        <v>1</v>
      </c>
      <c r="BT16" s="318">
        <f t="shared" si="15"/>
        <v>1</v>
      </c>
      <c r="BU16" s="318">
        <f t="shared" si="15"/>
        <v>1</v>
      </c>
      <c r="BV16" s="318">
        <f t="shared" si="15"/>
        <v>1</v>
      </c>
      <c r="BW16" s="318">
        <f t="shared" si="15"/>
        <v>1</v>
      </c>
      <c r="BX16" s="318">
        <f t="shared" si="15"/>
        <v>1</v>
      </c>
      <c r="BY16" s="318">
        <f t="shared" si="15"/>
        <v>1</v>
      </c>
      <c r="BZ16" s="318">
        <f t="shared" si="15"/>
        <v>1</v>
      </c>
      <c r="CA16" s="318">
        <f t="shared" si="15"/>
        <v>1</v>
      </c>
      <c r="CB16" s="318">
        <f t="shared" si="15"/>
        <v>1</v>
      </c>
      <c r="CC16" s="318">
        <f t="shared" si="15"/>
        <v>1</v>
      </c>
      <c r="CD16" s="318">
        <f t="shared" si="15"/>
        <v>1</v>
      </c>
      <c r="CE16" s="318">
        <f t="shared" si="15"/>
        <v>1</v>
      </c>
      <c r="CF16" s="318">
        <f t="shared" si="15"/>
        <v>1</v>
      </c>
      <c r="CG16" s="318">
        <f t="shared" si="15"/>
        <v>1</v>
      </c>
      <c r="CH16" s="318">
        <f t="shared" si="15"/>
        <v>1</v>
      </c>
      <c r="CI16" s="1"/>
      <c r="CJ16" s="1"/>
      <c r="CK16" s="1"/>
      <c r="CL16" s="1"/>
      <c r="CM16" s="1"/>
      <c r="CN16" s="1"/>
      <c r="CO16" s="1"/>
      <c r="CP16" s="1"/>
    </row>
    <row r="17" hidden="1">
      <c r="A17" s="1" t="s">
        <v>130</v>
      </c>
      <c r="B17" s="317"/>
      <c r="C17" s="317">
        <f t="shared" ref="C17:X17" si="16">IFERROR(C25/C8,0)</f>
        <v>0.01</v>
      </c>
      <c r="D17" s="317">
        <f t="shared" si="16"/>
        <v>0.02</v>
      </c>
      <c r="E17" s="317">
        <f t="shared" si="16"/>
        <v>0.06</v>
      </c>
      <c r="F17" s="317">
        <f t="shared" si="16"/>
        <v>0.06</v>
      </c>
      <c r="G17" s="317">
        <f t="shared" si="16"/>
        <v>0.21</v>
      </c>
      <c r="H17" s="317">
        <f t="shared" si="16"/>
        <v>0.46</v>
      </c>
      <c r="I17" s="317">
        <f t="shared" si="16"/>
        <v>0.25</v>
      </c>
      <c r="J17" s="317">
        <f t="shared" si="16"/>
        <v>0.31</v>
      </c>
      <c r="K17" s="317">
        <f t="shared" si="16"/>
        <v>0.28</v>
      </c>
      <c r="L17" s="317">
        <f t="shared" si="16"/>
        <v>0.12</v>
      </c>
      <c r="M17" s="317">
        <f t="shared" si="16"/>
        <v>0.06</v>
      </c>
      <c r="N17" s="317">
        <f t="shared" si="16"/>
        <v>0.1</v>
      </c>
      <c r="O17" s="317">
        <f t="shared" si="16"/>
        <v>0.19</v>
      </c>
      <c r="P17" s="317">
        <f t="shared" si="16"/>
        <v>0.2</v>
      </c>
      <c r="Q17" s="317">
        <f t="shared" si="16"/>
        <v>0.2</v>
      </c>
      <c r="R17" s="317">
        <f t="shared" si="16"/>
        <v>0.17</v>
      </c>
      <c r="S17" s="317">
        <f t="shared" si="16"/>
        <v>0.13</v>
      </c>
      <c r="T17" s="317">
        <f t="shared" si="16"/>
        <v>0.13</v>
      </c>
      <c r="U17" s="317">
        <f t="shared" si="16"/>
        <v>0.13</v>
      </c>
      <c r="V17" s="317">
        <f t="shared" si="16"/>
        <v>0.12</v>
      </c>
      <c r="W17" s="317">
        <f t="shared" si="16"/>
        <v>0.16</v>
      </c>
      <c r="X17" s="317">
        <f t="shared" si="16"/>
        <v>0.11</v>
      </c>
      <c r="Y17" s="318">
        <v>1.0</v>
      </c>
      <c r="Z17" s="318">
        <f t="shared" ref="Z17:BH17" si="17">Y17</f>
        <v>1</v>
      </c>
      <c r="AA17" s="318">
        <f t="shared" si="17"/>
        <v>1</v>
      </c>
      <c r="AB17" s="318">
        <f t="shared" si="17"/>
        <v>1</v>
      </c>
      <c r="AC17" s="318">
        <f t="shared" si="17"/>
        <v>1</v>
      </c>
      <c r="AD17" s="318">
        <f t="shared" si="17"/>
        <v>1</v>
      </c>
      <c r="AE17" s="318">
        <f t="shared" si="17"/>
        <v>1</v>
      </c>
      <c r="AF17" s="318">
        <f t="shared" si="17"/>
        <v>1</v>
      </c>
      <c r="AG17" s="318">
        <f t="shared" si="17"/>
        <v>1</v>
      </c>
      <c r="AH17" s="318">
        <f t="shared" si="17"/>
        <v>1</v>
      </c>
      <c r="AI17" s="318">
        <f t="shared" si="17"/>
        <v>1</v>
      </c>
      <c r="AJ17" s="318">
        <f t="shared" si="17"/>
        <v>1</v>
      </c>
      <c r="AK17" s="318">
        <f t="shared" si="17"/>
        <v>1</v>
      </c>
      <c r="AL17" s="318">
        <f t="shared" si="17"/>
        <v>1</v>
      </c>
      <c r="AM17" s="318">
        <f t="shared" si="17"/>
        <v>1</v>
      </c>
      <c r="AN17" s="318">
        <f t="shared" si="17"/>
        <v>1</v>
      </c>
      <c r="AO17" s="318">
        <f t="shared" si="17"/>
        <v>1</v>
      </c>
      <c r="AP17" s="318">
        <f t="shared" si="17"/>
        <v>1</v>
      </c>
      <c r="AQ17" s="318">
        <f t="shared" si="17"/>
        <v>1</v>
      </c>
      <c r="AR17" s="318">
        <f t="shared" si="17"/>
        <v>1</v>
      </c>
      <c r="AS17" s="318">
        <f t="shared" si="17"/>
        <v>1</v>
      </c>
      <c r="AT17" s="318">
        <f t="shared" si="17"/>
        <v>1</v>
      </c>
      <c r="AU17" s="318">
        <f t="shared" si="17"/>
        <v>1</v>
      </c>
      <c r="AV17" s="318">
        <f t="shared" si="17"/>
        <v>1</v>
      </c>
      <c r="AW17" s="318">
        <f t="shared" si="17"/>
        <v>1</v>
      </c>
      <c r="AX17" s="318">
        <f t="shared" si="17"/>
        <v>1</v>
      </c>
      <c r="AY17" s="318">
        <f t="shared" si="17"/>
        <v>1</v>
      </c>
      <c r="AZ17" s="318">
        <f t="shared" si="17"/>
        <v>1</v>
      </c>
      <c r="BA17" s="318">
        <f t="shared" si="17"/>
        <v>1</v>
      </c>
      <c r="BB17" s="318">
        <f t="shared" si="17"/>
        <v>1</v>
      </c>
      <c r="BC17" s="318">
        <f t="shared" si="17"/>
        <v>1</v>
      </c>
      <c r="BD17" s="318">
        <f t="shared" si="17"/>
        <v>1</v>
      </c>
      <c r="BE17" s="318">
        <f t="shared" si="17"/>
        <v>1</v>
      </c>
      <c r="BF17" s="318">
        <f t="shared" si="17"/>
        <v>1</v>
      </c>
      <c r="BG17" s="318">
        <f t="shared" si="17"/>
        <v>1</v>
      </c>
      <c r="BH17" s="318">
        <f t="shared" si="17"/>
        <v>1</v>
      </c>
      <c r="BI17" s="318">
        <v>0.7594732805097205</v>
      </c>
      <c r="BJ17" s="318">
        <v>0.7594732805097205</v>
      </c>
      <c r="BK17" s="318">
        <v>0.7594732805097205</v>
      </c>
      <c r="BL17" s="318">
        <v>0.759473280509721</v>
      </c>
      <c r="BM17" s="318">
        <v>0.759473280509721</v>
      </c>
      <c r="BN17" s="318">
        <v>0.759473280509721</v>
      </c>
      <c r="BO17" s="318">
        <v>0.759473280509721</v>
      </c>
      <c r="BP17" s="318">
        <v>0.759473280509721</v>
      </c>
      <c r="BQ17" s="318">
        <v>0.759473280509721</v>
      </c>
      <c r="BR17" s="318">
        <v>0.759473280509721</v>
      </c>
      <c r="BS17" s="318">
        <v>0.759473280509721</v>
      </c>
      <c r="BT17" s="318">
        <v>0.759473280509721</v>
      </c>
      <c r="BU17" s="318">
        <v>0.759473280509721</v>
      </c>
      <c r="BV17" s="318">
        <v>0.759473280509721</v>
      </c>
      <c r="BW17" s="318">
        <v>0.759473280509721</v>
      </c>
      <c r="BX17" s="318">
        <v>0.759473280509721</v>
      </c>
      <c r="BY17" s="318">
        <v>0.759473280509721</v>
      </c>
      <c r="BZ17" s="318">
        <v>0.759473280509721</v>
      </c>
      <c r="CA17" s="318">
        <v>0.759473280509721</v>
      </c>
      <c r="CB17" s="318">
        <v>0.759473280509721</v>
      </c>
      <c r="CC17" s="318">
        <v>0.759473280509721</v>
      </c>
      <c r="CD17" s="318">
        <v>0.759473280509721</v>
      </c>
      <c r="CE17" s="318">
        <v>0.759473280509721</v>
      </c>
      <c r="CF17" s="318">
        <v>0.759473280509721</v>
      </c>
      <c r="CG17" s="318">
        <v>0.759473280509721</v>
      </c>
      <c r="CH17" s="318">
        <v>0.759473280509721</v>
      </c>
      <c r="CI17" s="1"/>
      <c r="CJ17" s="1"/>
      <c r="CK17" s="1"/>
      <c r="CL17" s="1"/>
      <c r="CM17" s="1"/>
      <c r="CN17" s="1"/>
      <c r="CO17" s="1"/>
      <c r="CP17" s="1"/>
    </row>
    <row r="18" hidden="1">
      <c r="A18" s="1" t="s">
        <v>89</v>
      </c>
      <c r="B18" s="317"/>
      <c r="C18" s="317">
        <f t="shared" ref="C18:X18" si="18">IFERROR(C26/C9,0)</f>
        <v>0.01</v>
      </c>
      <c r="D18" s="317">
        <f t="shared" si="18"/>
        <v>0</v>
      </c>
      <c r="E18" s="317">
        <f t="shared" si="18"/>
        <v>0</v>
      </c>
      <c r="F18" s="317">
        <f t="shared" si="18"/>
        <v>0</v>
      </c>
      <c r="G18" s="317">
        <f t="shared" si="18"/>
        <v>0.02</v>
      </c>
      <c r="H18" s="317">
        <f t="shared" si="18"/>
        <v>0</v>
      </c>
      <c r="I18" s="317">
        <f t="shared" si="18"/>
        <v>0.21</v>
      </c>
      <c r="J18" s="317">
        <f t="shared" si="18"/>
        <v>0.2</v>
      </c>
      <c r="K18" s="317">
        <f t="shared" si="18"/>
        <v>0.16</v>
      </c>
      <c r="L18" s="317">
        <f t="shared" si="18"/>
        <v>0.08</v>
      </c>
      <c r="M18" s="317">
        <f t="shared" si="18"/>
        <v>0.06</v>
      </c>
      <c r="N18" s="317">
        <f t="shared" si="18"/>
        <v>0.03</v>
      </c>
      <c r="O18" s="317">
        <f t="shared" si="18"/>
        <v>0.12</v>
      </c>
      <c r="P18" s="317">
        <f t="shared" si="18"/>
        <v>0.1</v>
      </c>
      <c r="Q18" s="317">
        <f t="shared" si="18"/>
        <v>0.11</v>
      </c>
      <c r="R18" s="317">
        <f t="shared" si="18"/>
        <v>0.14</v>
      </c>
      <c r="S18" s="317">
        <f t="shared" si="18"/>
        <v>0.14</v>
      </c>
      <c r="T18" s="317">
        <f t="shared" si="18"/>
        <v>0.11</v>
      </c>
      <c r="U18" s="317">
        <f t="shared" si="18"/>
        <v>0.09</v>
      </c>
      <c r="V18" s="317">
        <f t="shared" si="18"/>
        <v>0.15</v>
      </c>
      <c r="W18" s="317">
        <f t="shared" si="18"/>
        <v>0.1</v>
      </c>
      <c r="X18" s="317">
        <f t="shared" si="18"/>
        <v>0.13</v>
      </c>
      <c r="Y18" s="318">
        <v>1.0</v>
      </c>
      <c r="Z18" s="318">
        <f t="shared" ref="Z18:BH18" si="19">Y18</f>
        <v>1</v>
      </c>
      <c r="AA18" s="318">
        <f t="shared" si="19"/>
        <v>1</v>
      </c>
      <c r="AB18" s="318">
        <f t="shared" si="19"/>
        <v>1</v>
      </c>
      <c r="AC18" s="318">
        <f t="shared" si="19"/>
        <v>1</v>
      </c>
      <c r="AD18" s="318">
        <f t="shared" si="19"/>
        <v>1</v>
      </c>
      <c r="AE18" s="318">
        <f t="shared" si="19"/>
        <v>1</v>
      </c>
      <c r="AF18" s="318">
        <f t="shared" si="19"/>
        <v>1</v>
      </c>
      <c r="AG18" s="318">
        <f t="shared" si="19"/>
        <v>1</v>
      </c>
      <c r="AH18" s="318">
        <f t="shared" si="19"/>
        <v>1</v>
      </c>
      <c r="AI18" s="318">
        <f t="shared" si="19"/>
        <v>1</v>
      </c>
      <c r="AJ18" s="318">
        <f t="shared" si="19"/>
        <v>1</v>
      </c>
      <c r="AK18" s="318">
        <f t="shared" si="19"/>
        <v>1</v>
      </c>
      <c r="AL18" s="318">
        <f t="shared" si="19"/>
        <v>1</v>
      </c>
      <c r="AM18" s="318">
        <f t="shared" si="19"/>
        <v>1</v>
      </c>
      <c r="AN18" s="318">
        <f t="shared" si="19"/>
        <v>1</v>
      </c>
      <c r="AO18" s="318">
        <f t="shared" si="19"/>
        <v>1</v>
      </c>
      <c r="AP18" s="318">
        <f t="shared" si="19"/>
        <v>1</v>
      </c>
      <c r="AQ18" s="318">
        <f t="shared" si="19"/>
        <v>1</v>
      </c>
      <c r="AR18" s="318">
        <f t="shared" si="19"/>
        <v>1</v>
      </c>
      <c r="AS18" s="318">
        <f t="shared" si="19"/>
        <v>1</v>
      </c>
      <c r="AT18" s="318">
        <f t="shared" si="19"/>
        <v>1</v>
      </c>
      <c r="AU18" s="318">
        <f t="shared" si="19"/>
        <v>1</v>
      </c>
      <c r="AV18" s="318">
        <f t="shared" si="19"/>
        <v>1</v>
      </c>
      <c r="AW18" s="318">
        <f t="shared" si="19"/>
        <v>1</v>
      </c>
      <c r="AX18" s="318">
        <f t="shared" si="19"/>
        <v>1</v>
      </c>
      <c r="AY18" s="318">
        <f t="shared" si="19"/>
        <v>1</v>
      </c>
      <c r="AZ18" s="318">
        <f t="shared" si="19"/>
        <v>1</v>
      </c>
      <c r="BA18" s="318">
        <f t="shared" si="19"/>
        <v>1</v>
      </c>
      <c r="BB18" s="318">
        <f t="shared" si="19"/>
        <v>1</v>
      </c>
      <c r="BC18" s="318">
        <f t="shared" si="19"/>
        <v>1</v>
      </c>
      <c r="BD18" s="318">
        <f t="shared" si="19"/>
        <v>1</v>
      </c>
      <c r="BE18" s="318">
        <f t="shared" si="19"/>
        <v>1</v>
      </c>
      <c r="BF18" s="318">
        <f t="shared" si="19"/>
        <v>1</v>
      </c>
      <c r="BG18" s="318">
        <f t="shared" si="19"/>
        <v>1</v>
      </c>
      <c r="BH18" s="318">
        <f t="shared" si="19"/>
        <v>1</v>
      </c>
      <c r="BI18" s="318">
        <v>0.7594732805097205</v>
      </c>
      <c r="BJ18" s="318">
        <v>0.7594732805097205</v>
      </c>
      <c r="BK18" s="318">
        <v>0.7594732805097205</v>
      </c>
      <c r="BL18" s="318">
        <v>0.759473280509721</v>
      </c>
      <c r="BM18" s="318">
        <v>0.759473280509721</v>
      </c>
      <c r="BN18" s="318">
        <v>0.759473280509721</v>
      </c>
      <c r="BO18" s="318">
        <v>0.759473280509721</v>
      </c>
      <c r="BP18" s="318">
        <v>0.759473280509721</v>
      </c>
      <c r="BQ18" s="318">
        <v>0.759473280509721</v>
      </c>
      <c r="BR18" s="318">
        <v>0.759473280509721</v>
      </c>
      <c r="BS18" s="318">
        <v>0.759473280509721</v>
      </c>
      <c r="BT18" s="318">
        <v>0.759473280509721</v>
      </c>
      <c r="BU18" s="318">
        <v>0.759473280509721</v>
      </c>
      <c r="BV18" s="318">
        <v>0.759473280509721</v>
      </c>
      <c r="BW18" s="318">
        <v>0.759473280509721</v>
      </c>
      <c r="BX18" s="318">
        <v>0.759473280509721</v>
      </c>
      <c r="BY18" s="318">
        <v>0.759473280509721</v>
      </c>
      <c r="BZ18" s="318">
        <v>0.759473280509721</v>
      </c>
      <c r="CA18" s="318">
        <v>0.759473280509721</v>
      </c>
      <c r="CB18" s="318">
        <v>0.759473280509721</v>
      </c>
      <c r="CC18" s="318">
        <v>0.759473280509721</v>
      </c>
      <c r="CD18" s="318">
        <v>0.759473280509721</v>
      </c>
      <c r="CE18" s="318">
        <v>0.759473280509721</v>
      </c>
      <c r="CF18" s="318">
        <v>0.759473280509721</v>
      </c>
      <c r="CG18" s="318">
        <v>0.759473280509721</v>
      </c>
      <c r="CH18" s="318">
        <v>0.759473280509721</v>
      </c>
      <c r="CI18" s="1"/>
      <c r="CJ18" s="1"/>
      <c r="CK18" s="1"/>
      <c r="CL18" s="1"/>
      <c r="CM18" s="1"/>
      <c r="CN18" s="1"/>
      <c r="CO18" s="1"/>
      <c r="CP18" s="1"/>
    </row>
    <row r="19" hidden="1">
      <c r="A19" s="1" t="s">
        <v>94</v>
      </c>
      <c r="B19" s="317"/>
      <c r="C19" s="317">
        <f t="shared" ref="C19:X19" si="20">IFERROR(C27/C10,0)</f>
        <v>0.02</v>
      </c>
      <c r="D19" s="317">
        <f t="shared" si="20"/>
        <v>0</v>
      </c>
      <c r="E19" s="317">
        <f t="shared" si="20"/>
        <v>0.03</v>
      </c>
      <c r="F19" s="317">
        <f t="shared" si="20"/>
        <v>0</v>
      </c>
      <c r="G19" s="317">
        <f t="shared" si="20"/>
        <v>0.02</v>
      </c>
      <c r="H19" s="317">
        <f t="shared" si="20"/>
        <v>0.01</v>
      </c>
      <c r="I19" s="317">
        <f t="shared" si="20"/>
        <v>0.16</v>
      </c>
      <c r="J19" s="317">
        <f t="shared" si="20"/>
        <v>0.48</v>
      </c>
      <c r="K19" s="317">
        <f t="shared" si="20"/>
        <v>0.32</v>
      </c>
      <c r="L19" s="317">
        <f t="shared" si="20"/>
        <v>0.2</v>
      </c>
      <c r="M19" s="317">
        <f t="shared" si="20"/>
        <v>0.1</v>
      </c>
      <c r="N19" s="317">
        <f t="shared" si="20"/>
        <v>0.04</v>
      </c>
      <c r="O19" s="317">
        <f t="shared" si="20"/>
        <v>0.17</v>
      </c>
      <c r="P19" s="317">
        <f t="shared" si="20"/>
        <v>0.27</v>
      </c>
      <c r="Q19" s="317">
        <f t="shared" si="20"/>
        <v>0.41</v>
      </c>
      <c r="R19" s="317">
        <f t="shared" si="20"/>
        <v>0.22</v>
      </c>
      <c r="S19" s="317">
        <f t="shared" si="20"/>
        <v>0.21</v>
      </c>
      <c r="T19" s="317">
        <f t="shared" si="20"/>
        <v>0.29</v>
      </c>
      <c r="U19" s="317">
        <f t="shared" si="20"/>
        <v>0.12</v>
      </c>
      <c r="V19" s="317">
        <f t="shared" si="20"/>
        <v>0.15</v>
      </c>
      <c r="W19" s="317">
        <f t="shared" si="20"/>
        <v>0.19</v>
      </c>
      <c r="X19" s="317">
        <f t="shared" si="20"/>
        <v>0.1</v>
      </c>
      <c r="Y19" s="318">
        <v>1.0</v>
      </c>
      <c r="Z19" s="318">
        <f t="shared" ref="Z19:CH19" si="21">Y19</f>
        <v>1</v>
      </c>
      <c r="AA19" s="318">
        <f t="shared" si="21"/>
        <v>1</v>
      </c>
      <c r="AB19" s="318">
        <f t="shared" si="21"/>
        <v>1</v>
      </c>
      <c r="AC19" s="318">
        <f t="shared" si="21"/>
        <v>1</v>
      </c>
      <c r="AD19" s="318">
        <f t="shared" si="21"/>
        <v>1</v>
      </c>
      <c r="AE19" s="318">
        <f t="shared" si="21"/>
        <v>1</v>
      </c>
      <c r="AF19" s="318">
        <f t="shared" si="21"/>
        <v>1</v>
      </c>
      <c r="AG19" s="318">
        <f t="shared" si="21"/>
        <v>1</v>
      </c>
      <c r="AH19" s="318">
        <f t="shared" si="21"/>
        <v>1</v>
      </c>
      <c r="AI19" s="318">
        <f t="shared" si="21"/>
        <v>1</v>
      </c>
      <c r="AJ19" s="318">
        <f t="shared" si="21"/>
        <v>1</v>
      </c>
      <c r="AK19" s="318">
        <f t="shared" si="21"/>
        <v>1</v>
      </c>
      <c r="AL19" s="318">
        <f t="shared" si="21"/>
        <v>1</v>
      </c>
      <c r="AM19" s="318">
        <f t="shared" si="21"/>
        <v>1</v>
      </c>
      <c r="AN19" s="318">
        <f t="shared" si="21"/>
        <v>1</v>
      </c>
      <c r="AO19" s="318">
        <f t="shared" si="21"/>
        <v>1</v>
      </c>
      <c r="AP19" s="318">
        <f t="shared" si="21"/>
        <v>1</v>
      </c>
      <c r="AQ19" s="318">
        <f t="shared" si="21"/>
        <v>1</v>
      </c>
      <c r="AR19" s="318">
        <f t="shared" si="21"/>
        <v>1</v>
      </c>
      <c r="AS19" s="318">
        <f t="shared" si="21"/>
        <v>1</v>
      </c>
      <c r="AT19" s="318">
        <f t="shared" si="21"/>
        <v>1</v>
      </c>
      <c r="AU19" s="318">
        <f t="shared" si="21"/>
        <v>1</v>
      </c>
      <c r="AV19" s="318">
        <f t="shared" si="21"/>
        <v>1</v>
      </c>
      <c r="AW19" s="318">
        <f t="shared" si="21"/>
        <v>1</v>
      </c>
      <c r="AX19" s="318">
        <f t="shared" si="21"/>
        <v>1</v>
      </c>
      <c r="AY19" s="318">
        <f t="shared" si="21"/>
        <v>1</v>
      </c>
      <c r="AZ19" s="318">
        <f t="shared" si="21"/>
        <v>1</v>
      </c>
      <c r="BA19" s="318">
        <f t="shared" si="21"/>
        <v>1</v>
      </c>
      <c r="BB19" s="318">
        <f t="shared" si="21"/>
        <v>1</v>
      </c>
      <c r="BC19" s="318">
        <f t="shared" si="21"/>
        <v>1</v>
      </c>
      <c r="BD19" s="318">
        <f t="shared" si="21"/>
        <v>1</v>
      </c>
      <c r="BE19" s="318">
        <f t="shared" si="21"/>
        <v>1</v>
      </c>
      <c r="BF19" s="318">
        <f t="shared" si="21"/>
        <v>1</v>
      </c>
      <c r="BG19" s="318">
        <f t="shared" si="21"/>
        <v>1</v>
      </c>
      <c r="BH19" s="318">
        <f t="shared" si="21"/>
        <v>1</v>
      </c>
      <c r="BI19" s="318">
        <f t="shared" si="21"/>
        <v>1</v>
      </c>
      <c r="BJ19" s="318">
        <f t="shared" si="21"/>
        <v>1</v>
      </c>
      <c r="BK19" s="318">
        <f t="shared" si="21"/>
        <v>1</v>
      </c>
      <c r="BL19" s="318">
        <f t="shared" si="21"/>
        <v>1</v>
      </c>
      <c r="BM19" s="318">
        <f t="shared" si="21"/>
        <v>1</v>
      </c>
      <c r="BN19" s="318">
        <f t="shared" si="21"/>
        <v>1</v>
      </c>
      <c r="BO19" s="318">
        <f t="shared" si="21"/>
        <v>1</v>
      </c>
      <c r="BP19" s="318">
        <f t="shared" si="21"/>
        <v>1</v>
      </c>
      <c r="BQ19" s="318">
        <f t="shared" si="21"/>
        <v>1</v>
      </c>
      <c r="BR19" s="318">
        <f t="shared" si="21"/>
        <v>1</v>
      </c>
      <c r="BS19" s="318">
        <f t="shared" si="21"/>
        <v>1</v>
      </c>
      <c r="BT19" s="318">
        <f t="shared" si="21"/>
        <v>1</v>
      </c>
      <c r="BU19" s="318">
        <f t="shared" si="21"/>
        <v>1</v>
      </c>
      <c r="BV19" s="318">
        <f t="shared" si="21"/>
        <v>1</v>
      </c>
      <c r="BW19" s="318">
        <f t="shared" si="21"/>
        <v>1</v>
      </c>
      <c r="BX19" s="318">
        <f t="shared" si="21"/>
        <v>1</v>
      </c>
      <c r="BY19" s="318">
        <f t="shared" si="21"/>
        <v>1</v>
      </c>
      <c r="BZ19" s="318">
        <f t="shared" si="21"/>
        <v>1</v>
      </c>
      <c r="CA19" s="318">
        <f t="shared" si="21"/>
        <v>1</v>
      </c>
      <c r="CB19" s="318">
        <f t="shared" si="21"/>
        <v>1</v>
      </c>
      <c r="CC19" s="318">
        <f t="shared" si="21"/>
        <v>1</v>
      </c>
      <c r="CD19" s="318">
        <f t="shared" si="21"/>
        <v>1</v>
      </c>
      <c r="CE19" s="318">
        <f t="shared" si="21"/>
        <v>1</v>
      </c>
      <c r="CF19" s="318">
        <f t="shared" si="21"/>
        <v>1</v>
      </c>
      <c r="CG19" s="318">
        <f t="shared" si="21"/>
        <v>1</v>
      </c>
      <c r="CH19" s="318">
        <f t="shared" si="21"/>
        <v>1</v>
      </c>
      <c r="CI19" s="1"/>
      <c r="CJ19" s="1"/>
      <c r="CK19" s="1"/>
      <c r="CL19" s="1"/>
      <c r="CM19" s="1"/>
      <c r="CN19" s="1"/>
      <c r="CO19" s="1"/>
      <c r="CP19" s="1"/>
    </row>
    <row r="20" hidden="1">
      <c r="A20" s="1" t="s">
        <v>96</v>
      </c>
      <c r="B20" s="317"/>
      <c r="C20" s="317">
        <f t="shared" ref="C20:X20" si="22">IFERROR(C28/C11,0)</f>
        <v>0.01</v>
      </c>
      <c r="D20" s="317">
        <f t="shared" si="22"/>
        <v>0.03</v>
      </c>
      <c r="E20" s="317">
        <f t="shared" si="22"/>
        <v>0.01</v>
      </c>
      <c r="F20" s="317">
        <f t="shared" si="22"/>
        <v>0.03</v>
      </c>
      <c r="G20" s="317">
        <f t="shared" si="22"/>
        <v>0.02</v>
      </c>
      <c r="H20" s="317">
        <f t="shared" si="22"/>
        <v>0.2</v>
      </c>
      <c r="I20" s="317">
        <f t="shared" si="22"/>
        <v>0.56</v>
      </c>
      <c r="J20" s="317">
        <f t="shared" si="22"/>
        <v>0.65</v>
      </c>
      <c r="K20" s="317">
        <f t="shared" si="22"/>
        <v>0.53</v>
      </c>
      <c r="L20" s="317">
        <f t="shared" si="22"/>
        <v>0.27</v>
      </c>
      <c r="M20" s="317">
        <f t="shared" si="22"/>
        <v>0.16</v>
      </c>
      <c r="N20" s="317">
        <f t="shared" si="22"/>
        <v>0.08</v>
      </c>
      <c r="O20" s="317">
        <f t="shared" si="22"/>
        <v>0.19</v>
      </c>
      <c r="P20" s="317">
        <f t="shared" si="22"/>
        <v>0.19</v>
      </c>
      <c r="Q20" s="317">
        <f t="shared" si="22"/>
        <v>0.28</v>
      </c>
      <c r="R20" s="317">
        <f t="shared" si="22"/>
        <v>0.2</v>
      </c>
      <c r="S20" s="317">
        <f t="shared" si="22"/>
        <v>0.29</v>
      </c>
      <c r="T20" s="317">
        <f t="shared" si="22"/>
        <v>0.39</v>
      </c>
      <c r="U20" s="317">
        <f t="shared" si="22"/>
        <v>0.26</v>
      </c>
      <c r="V20" s="317">
        <f t="shared" si="22"/>
        <v>0.43</v>
      </c>
      <c r="W20" s="317">
        <f t="shared" si="22"/>
        <v>0.38</v>
      </c>
      <c r="X20" s="317">
        <f t="shared" si="22"/>
        <v>0.19</v>
      </c>
      <c r="Y20" s="318">
        <v>1.0</v>
      </c>
      <c r="Z20" s="318">
        <f t="shared" ref="Z20:BF20" si="23">Y20</f>
        <v>1</v>
      </c>
      <c r="AA20" s="318">
        <f t="shared" si="23"/>
        <v>1</v>
      </c>
      <c r="AB20" s="318">
        <f t="shared" si="23"/>
        <v>1</v>
      </c>
      <c r="AC20" s="318">
        <f t="shared" si="23"/>
        <v>1</v>
      </c>
      <c r="AD20" s="318">
        <f t="shared" si="23"/>
        <v>1</v>
      </c>
      <c r="AE20" s="318">
        <f t="shared" si="23"/>
        <v>1</v>
      </c>
      <c r="AF20" s="318">
        <f t="shared" si="23"/>
        <v>1</v>
      </c>
      <c r="AG20" s="318">
        <f t="shared" si="23"/>
        <v>1</v>
      </c>
      <c r="AH20" s="318">
        <f t="shared" si="23"/>
        <v>1</v>
      </c>
      <c r="AI20" s="318">
        <f t="shared" si="23"/>
        <v>1</v>
      </c>
      <c r="AJ20" s="318">
        <f t="shared" si="23"/>
        <v>1</v>
      </c>
      <c r="AK20" s="318">
        <f t="shared" si="23"/>
        <v>1</v>
      </c>
      <c r="AL20" s="318">
        <f t="shared" si="23"/>
        <v>1</v>
      </c>
      <c r="AM20" s="318">
        <f t="shared" si="23"/>
        <v>1</v>
      </c>
      <c r="AN20" s="318">
        <f t="shared" si="23"/>
        <v>1</v>
      </c>
      <c r="AO20" s="318">
        <f t="shared" si="23"/>
        <v>1</v>
      </c>
      <c r="AP20" s="318">
        <f t="shared" si="23"/>
        <v>1</v>
      </c>
      <c r="AQ20" s="318">
        <f t="shared" si="23"/>
        <v>1</v>
      </c>
      <c r="AR20" s="318">
        <f t="shared" si="23"/>
        <v>1</v>
      </c>
      <c r="AS20" s="318">
        <f t="shared" si="23"/>
        <v>1</v>
      </c>
      <c r="AT20" s="318">
        <f t="shared" si="23"/>
        <v>1</v>
      </c>
      <c r="AU20" s="318">
        <f t="shared" si="23"/>
        <v>1</v>
      </c>
      <c r="AV20" s="318">
        <f t="shared" si="23"/>
        <v>1</v>
      </c>
      <c r="AW20" s="318">
        <f t="shared" si="23"/>
        <v>1</v>
      </c>
      <c r="AX20" s="318">
        <f t="shared" si="23"/>
        <v>1</v>
      </c>
      <c r="AY20" s="318">
        <f t="shared" si="23"/>
        <v>1</v>
      </c>
      <c r="AZ20" s="318">
        <f t="shared" si="23"/>
        <v>1</v>
      </c>
      <c r="BA20" s="318">
        <f t="shared" si="23"/>
        <v>1</v>
      </c>
      <c r="BB20" s="318">
        <f t="shared" si="23"/>
        <v>1</v>
      </c>
      <c r="BC20" s="318">
        <f t="shared" si="23"/>
        <v>1</v>
      </c>
      <c r="BD20" s="318">
        <f t="shared" si="23"/>
        <v>1</v>
      </c>
      <c r="BE20" s="318">
        <f t="shared" si="23"/>
        <v>1</v>
      </c>
      <c r="BF20" s="318">
        <f t="shared" si="23"/>
        <v>1</v>
      </c>
      <c r="BG20" s="318">
        <f t="shared" ref="BG20:CH20" si="24">AVERAGE(AX20:BF20)</f>
        <v>1</v>
      </c>
      <c r="BH20" s="318">
        <f t="shared" si="24"/>
        <v>1</v>
      </c>
      <c r="BI20" s="318">
        <f t="shared" si="24"/>
        <v>1</v>
      </c>
      <c r="BJ20" s="318">
        <f t="shared" si="24"/>
        <v>1</v>
      </c>
      <c r="BK20" s="318">
        <f t="shared" si="24"/>
        <v>1</v>
      </c>
      <c r="BL20" s="318">
        <f t="shared" si="24"/>
        <v>1</v>
      </c>
      <c r="BM20" s="318">
        <f t="shared" si="24"/>
        <v>1</v>
      </c>
      <c r="BN20" s="318">
        <f t="shared" si="24"/>
        <v>1</v>
      </c>
      <c r="BO20" s="318">
        <f t="shared" si="24"/>
        <v>1</v>
      </c>
      <c r="BP20" s="318">
        <f t="shared" si="24"/>
        <v>1</v>
      </c>
      <c r="BQ20" s="318">
        <f t="shared" si="24"/>
        <v>1</v>
      </c>
      <c r="BR20" s="318">
        <f t="shared" si="24"/>
        <v>1</v>
      </c>
      <c r="BS20" s="318">
        <f t="shared" si="24"/>
        <v>1</v>
      </c>
      <c r="BT20" s="318">
        <f t="shared" si="24"/>
        <v>1</v>
      </c>
      <c r="BU20" s="318">
        <f t="shared" si="24"/>
        <v>1</v>
      </c>
      <c r="BV20" s="318">
        <f t="shared" si="24"/>
        <v>1</v>
      </c>
      <c r="BW20" s="318">
        <f t="shared" si="24"/>
        <v>1</v>
      </c>
      <c r="BX20" s="318">
        <f t="shared" si="24"/>
        <v>1</v>
      </c>
      <c r="BY20" s="318">
        <f t="shared" si="24"/>
        <v>1</v>
      </c>
      <c r="BZ20" s="318">
        <f t="shared" si="24"/>
        <v>1</v>
      </c>
      <c r="CA20" s="318">
        <f t="shared" si="24"/>
        <v>1</v>
      </c>
      <c r="CB20" s="318">
        <f t="shared" si="24"/>
        <v>1</v>
      </c>
      <c r="CC20" s="318">
        <f t="shared" si="24"/>
        <v>1</v>
      </c>
      <c r="CD20" s="318">
        <f t="shared" si="24"/>
        <v>1</v>
      </c>
      <c r="CE20" s="318">
        <f t="shared" si="24"/>
        <v>1</v>
      </c>
      <c r="CF20" s="318">
        <f t="shared" si="24"/>
        <v>1</v>
      </c>
      <c r="CG20" s="318">
        <f t="shared" si="24"/>
        <v>1</v>
      </c>
      <c r="CH20" s="318">
        <f t="shared" si="24"/>
        <v>1</v>
      </c>
      <c r="CI20" s="1"/>
      <c r="CJ20" s="1"/>
      <c r="CK20" s="1"/>
      <c r="CL20" s="1"/>
      <c r="CM20" s="1"/>
      <c r="CN20" s="1"/>
      <c r="CO20" s="1"/>
      <c r="CP20" s="1"/>
    </row>
    <row r="21" ht="15.75" hidden="1" customHeight="1">
      <c r="A21" s="119" t="s">
        <v>594</v>
      </c>
      <c r="B21" s="319"/>
      <c r="C21" s="319">
        <f t="shared" ref="C21:CH21" si="25">SUMPRODUCT(C15:C20,C6:C11)/SUM(C6:C11)</f>
        <v>0.01333333333</v>
      </c>
      <c r="D21" s="319">
        <f t="shared" si="25"/>
        <v>0.02666666667</v>
      </c>
      <c r="E21" s="319">
        <f t="shared" si="25"/>
        <v>0.03666666667</v>
      </c>
      <c r="F21" s="319">
        <f t="shared" si="25"/>
        <v>0.065</v>
      </c>
      <c r="G21" s="319">
        <f t="shared" si="25"/>
        <v>0.1816666667</v>
      </c>
      <c r="H21" s="319">
        <f t="shared" si="25"/>
        <v>0.4333333333</v>
      </c>
      <c r="I21" s="319">
        <f t="shared" si="25"/>
        <v>0.45</v>
      </c>
      <c r="J21" s="319">
        <f t="shared" si="25"/>
        <v>0.5666666667</v>
      </c>
      <c r="K21" s="319">
        <f t="shared" si="25"/>
        <v>0.4683333333</v>
      </c>
      <c r="L21" s="319">
        <f t="shared" si="25"/>
        <v>0.27</v>
      </c>
      <c r="M21" s="319">
        <f t="shared" si="25"/>
        <v>0.145</v>
      </c>
      <c r="N21" s="319">
        <f t="shared" si="25"/>
        <v>0.1233333333</v>
      </c>
      <c r="O21" s="319">
        <f t="shared" si="25"/>
        <v>0.2466666667</v>
      </c>
      <c r="P21" s="319">
        <f t="shared" si="25"/>
        <v>0.275</v>
      </c>
      <c r="Q21" s="319">
        <f t="shared" si="25"/>
        <v>0.355</v>
      </c>
      <c r="R21" s="319">
        <f t="shared" si="25"/>
        <v>0.245</v>
      </c>
      <c r="S21" s="319">
        <f t="shared" si="25"/>
        <v>0.27</v>
      </c>
      <c r="T21" s="319">
        <f t="shared" si="25"/>
        <v>0.275</v>
      </c>
      <c r="U21" s="319">
        <f t="shared" si="25"/>
        <v>0.2333333333</v>
      </c>
      <c r="V21" s="319">
        <f t="shared" si="25"/>
        <v>0.285</v>
      </c>
      <c r="W21" s="319">
        <f t="shared" si="25"/>
        <v>0.2733333333</v>
      </c>
      <c r="X21" s="319">
        <f t="shared" si="25"/>
        <v>0.235</v>
      </c>
      <c r="Y21" s="319">
        <f t="shared" si="25"/>
        <v>1</v>
      </c>
      <c r="Z21" s="319">
        <f t="shared" si="25"/>
        <v>1</v>
      </c>
      <c r="AA21" s="319">
        <f t="shared" si="25"/>
        <v>1</v>
      </c>
      <c r="AB21" s="319">
        <f t="shared" si="25"/>
        <v>1</v>
      </c>
      <c r="AC21" s="319">
        <f t="shared" si="25"/>
        <v>1</v>
      </c>
      <c r="AD21" s="319">
        <f t="shared" si="25"/>
        <v>1</v>
      </c>
      <c r="AE21" s="319">
        <f t="shared" si="25"/>
        <v>1</v>
      </c>
      <c r="AF21" s="319">
        <f t="shared" si="25"/>
        <v>1</v>
      </c>
      <c r="AG21" s="319">
        <f t="shared" si="25"/>
        <v>1</v>
      </c>
      <c r="AH21" s="319">
        <f t="shared" si="25"/>
        <v>1</v>
      </c>
      <c r="AI21" s="319">
        <f t="shared" si="25"/>
        <v>1</v>
      </c>
      <c r="AJ21" s="319">
        <f t="shared" si="25"/>
        <v>1</v>
      </c>
      <c r="AK21" s="319">
        <f t="shared" si="25"/>
        <v>1</v>
      </c>
      <c r="AL21" s="319">
        <f t="shared" si="25"/>
        <v>1</v>
      </c>
      <c r="AM21" s="319">
        <f t="shared" si="25"/>
        <v>1</v>
      </c>
      <c r="AN21" s="319">
        <f t="shared" si="25"/>
        <v>1</v>
      </c>
      <c r="AO21" s="319">
        <f t="shared" si="25"/>
        <v>1</v>
      </c>
      <c r="AP21" s="319">
        <f t="shared" si="25"/>
        <v>1</v>
      </c>
      <c r="AQ21" s="319">
        <f t="shared" si="25"/>
        <v>1</v>
      </c>
      <c r="AR21" s="319">
        <f t="shared" si="25"/>
        <v>1</v>
      </c>
      <c r="AS21" s="319">
        <f t="shared" si="25"/>
        <v>1</v>
      </c>
      <c r="AT21" s="319">
        <f t="shared" si="25"/>
        <v>1</v>
      </c>
      <c r="AU21" s="319">
        <f t="shared" si="25"/>
        <v>1</v>
      </c>
      <c r="AV21" s="319">
        <f t="shared" si="25"/>
        <v>1</v>
      </c>
      <c r="AW21" s="319">
        <f t="shared" si="25"/>
        <v>1</v>
      </c>
      <c r="AX21" s="319">
        <f t="shared" si="25"/>
        <v>1</v>
      </c>
      <c r="AY21" s="319">
        <f t="shared" si="25"/>
        <v>1</v>
      </c>
      <c r="AZ21" s="319">
        <f t="shared" si="25"/>
        <v>1</v>
      </c>
      <c r="BA21" s="319">
        <f t="shared" si="25"/>
        <v>1</v>
      </c>
      <c r="BB21" s="319">
        <f t="shared" si="25"/>
        <v>1</v>
      </c>
      <c r="BC21" s="319">
        <f t="shared" si="25"/>
        <v>1</v>
      </c>
      <c r="BD21" s="319">
        <f t="shared" si="25"/>
        <v>1</v>
      </c>
      <c r="BE21" s="319">
        <f t="shared" si="25"/>
        <v>1</v>
      </c>
      <c r="BF21" s="319">
        <f t="shared" si="25"/>
        <v>1</v>
      </c>
      <c r="BG21" s="319">
        <f t="shared" si="25"/>
        <v>1</v>
      </c>
      <c r="BH21" s="319">
        <f t="shared" si="25"/>
        <v>1</v>
      </c>
      <c r="BI21" s="319">
        <f t="shared" si="25"/>
        <v>0.9278649581</v>
      </c>
      <c r="BJ21" s="319">
        <f t="shared" si="25"/>
        <v>0.9290413648</v>
      </c>
      <c r="BK21" s="319">
        <f t="shared" si="25"/>
        <v>0.9289277689</v>
      </c>
      <c r="BL21" s="319">
        <f t="shared" si="25"/>
        <v>0.9288137614</v>
      </c>
      <c r="BM21" s="319">
        <f t="shared" si="25"/>
        <v>0.928699392</v>
      </c>
      <c r="BN21" s="319">
        <f t="shared" si="25"/>
        <v>0.9285847446</v>
      </c>
      <c r="BO21" s="319">
        <f t="shared" si="25"/>
        <v>0.9284699451</v>
      </c>
      <c r="BP21" s="319">
        <f t="shared" si="25"/>
        <v>0.9283551716</v>
      </c>
      <c r="BQ21" s="319">
        <f t="shared" si="25"/>
        <v>0.9282406652</v>
      </c>
      <c r="BR21" s="319">
        <f t="shared" si="25"/>
        <v>0.9281267438</v>
      </c>
      <c r="BS21" s="319">
        <f t="shared" si="25"/>
        <v>0.9280138171</v>
      </c>
      <c r="BT21" s="319">
        <f t="shared" si="25"/>
        <v>0.9279008761</v>
      </c>
      <c r="BU21" s="319">
        <f t="shared" si="25"/>
        <v>0.9277879628</v>
      </c>
      <c r="BV21" s="319">
        <f t="shared" si="25"/>
        <v>0.9302199073</v>
      </c>
      <c r="BW21" s="319">
        <f t="shared" si="25"/>
        <v>0.9301027285</v>
      </c>
      <c r="BX21" s="319">
        <f t="shared" si="25"/>
        <v>0.9299856995</v>
      </c>
      <c r="BY21" s="319">
        <f t="shared" si="25"/>
        <v>0.9298688654</v>
      </c>
      <c r="BZ21" s="319">
        <f t="shared" si="25"/>
        <v>0.929752263</v>
      </c>
      <c r="CA21" s="319">
        <f t="shared" si="25"/>
        <v>0.9296359153</v>
      </c>
      <c r="CB21" s="319">
        <f t="shared" si="25"/>
        <v>0.9295198229</v>
      </c>
      <c r="CC21" s="319">
        <f t="shared" si="25"/>
        <v>0.9294039546</v>
      </c>
      <c r="CD21" s="319">
        <f t="shared" si="25"/>
        <v>0.9292882352</v>
      </c>
      <c r="CE21" s="319">
        <f t="shared" si="25"/>
        <v>0.929172683</v>
      </c>
      <c r="CF21" s="319">
        <f t="shared" si="25"/>
        <v>0.929057314</v>
      </c>
      <c r="CG21" s="319">
        <f t="shared" si="25"/>
        <v>0.9289421414</v>
      </c>
      <c r="CH21" s="319">
        <f t="shared" si="25"/>
        <v>0.9288271744</v>
      </c>
      <c r="CI21" s="1"/>
      <c r="CJ21" s="1"/>
      <c r="CK21" s="1"/>
      <c r="CL21" s="1"/>
      <c r="CM21" s="1"/>
      <c r="CN21" s="1"/>
      <c r="CO21" s="1"/>
      <c r="CP21" s="1"/>
    </row>
    <row r="22" ht="15.75" hidden="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row>
    <row r="23" ht="15.75" hidden="1" customHeight="1">
      <c r="A23" s="1" t="s">
        <v>129</v>
      </c>
      <c r="B23" s="320"/>
      <c r="C23" s="320">
        <v>0.0</v>
      </c>
      <c r="D23" s="320">
        <v>7.0</v>
      </c>
      <c r="E23" s="320">
        <v>8.0</v>
      </c>
      <c r="F23" s="320">
        <v>19.0</v>
      </c>
      <c r="G23" s="320">
        <v>48.0</v>
      </c>
      <c r="H23" s="320">
        <v>112.0</v>
      </c>
      <c r="I23" s="320">
        <v>94.0</v>
      </c>
      <c r="J23" s="320">
        <v>110.0</v>
      </c>
      <c r="K23" s="320">
        <v>91.0</v>
      </c>
      <c r="L23" s="320">
        <v>61.0</v>
      </c>
      <c r="M23" s="320">
        <v>31.0</v>
      </c>
      <c r="N23" s="320">
        <v>31.0</v>
      </c>
      <c r="O23" s="320">
        <v>51.0</v>
      </c>
      <c r="P23" s="312">
        <v>54.0</v>
      </c>
      <c r="Q23" s="312">
        <v>72.0</v>
      </c>
      <c r="R23" s="320">
        <v>47.0</v>
      </c>
      <c r="S23" s="320">
        <v>55.0</v>
      </c>
      <c r="T23" s="320">
        <v>46.0</v>
      </c>
      <c r="U23" s="320">
        <v>47.0</v>
      </c>
      <c r="V23" s="320">
        <v>50.0</v>
      </c>
      <c r="W23" s="320">
        <v>47.0</v>
      </c>
      <c r="X23" s="320">
        <v>58.0</v>
      </c>
      <c r="Y23" s="313">
        <f t="shared" ref="Y23:CH23" si="26">Y39/Y31</f>
        <v>100</v>
      </c>
      <c r="Z23" s="313">
        <f t="shared" si="26"/>
        <v>110</v>
      </c>
      <c r="AA23" s="313">
        <f t="shared" si="26"/>
        <v>110</v>
      </c>
      <c r="AB23" s="313">
        <f t="shared" si="26"/>
        <v>110</v>
      </c>
      <c r="AC23" s="313">
        <f t="shared" si="26"/>
        <v>110</v>
      </c>
      <c r="AD23" s="313">
        <f t="shared" si="26"/>
        <v>137.5</v>
      </c>
      <c r="AE23" s="313">
        <f t="shared" si="26"/>
        <v>137.5</v>
      </c>
      <c r="AF23" s="313">
        <f t="shared" si="26"/>
        <v>137.5</v>
      </c>
      <c r="AG23" s="313">
        <f t="shared" si="26"/>
        <v>137.5</v>
      </c>
      <c r="AH23" s="313">
        <f t="shared" si="26"/>
        <v>132</v>
      </c>
      <c r="AI23" s="313">
        <f t="shared" si="26"/>
        <v>132</v>
      </c>
      <c r="AJ23" s="313">
        <f t="shared" si="26"/>
        <v>132</v>
      </c>
      <c r="AK23" s="313">
        <f t="shared" si="26"/>
        <v>132.66</v>
      </c>
      <c r="AL23" s="313">
        <f t="shared" si="26"/>
        <v>92.862</v>
      </c>
      <c r="AM23" s="313">
        <f t="shared" si="26"/>
        <v>86.06721951</v>
      </c>
      <c r="AN23" s="313">
        <f t="shared" si="26"/>
        <v>88.43889726</v>
      </c>
      <c r="AO23" s="313">
        <f t="shared" si="26"/>
        <v>88.85893241</v>
      </c>
      <c r="AP23" s="313">
        <f t="shared" si="26"/>
        <v>89.27874275</v>
      </c>
      <c r="AQ23" s="313">
        <f t="shared" si="26"/>
        <v>89.69808462</v>
      </c>
      <c r="AR23" s="313">
        <f t="shared" si="26"/>
        <v>90.11668817</v>
      </c>
      <c r="AS23" s="313">
        <f t="shared" si="26"/>
        <v>90.53425466</v>
      </c>
      <c r="AT23" s="313">
        <f t="shared" si="26"/>
        <v>90.95045362</v>
      </c>
      <c r="AU23" s="313">
        <f t="shared" si="26"/>
        <v>91.36491968</v>
      </c>
      <c r="AV23" s="313">
        <f t="shared" si="26"/>
        <v>91.77724908</v>
      </c>
      <c r="AW23" s="313">
        <f t="shared" si="26"/>
        <v>92.18699591</v>
      </c>
      <c r="AX23" s="313">
        <f t="shared" si="26"/>
        <v>93.28604563</v>
      </c>
      <c r="AY23" s="313">
        <f t="shared" si="26"/>
        <v>93.73861692</v>
      </c>
      <c r="AZ23" s="313">
        <f t="shared" si="26"/>
        <v>94.1943385</v>
      </c>
      <c r="BA23" s="313">
        <f t="shared" si="26"/>
        <v>94.65356585</v>
      </c>
      <c r="BB23" s="313">
        <f t="shared" si="26"/>
        <v>95.11671799</v>
      </c>
      <c r="BC23" s="313">
        <f t="shared" si="26"/>
        <v>95.58428711</v>
      </c>
      <c r="BD23" s="313">
        <f t="shared" si="26"/>
        <v>96.05684967</v>
      </c>
      <c r="BE23" s="313">
        <f t="shared" si="26"/>
        <v>96.53507893</v>
      </c>
      <c r="BF23" s="313">
        <f t="shared" si="26"/>
        <v>97.01975951</v>
      </c>
      <c r="BG23" s="313">
        <f t="shared" si="26"/>
        <v>97.51180385</v>
      </c>
      <c r="BH23" s="313">
        <f t="shared" si="26"/>
        <v>98.01227128</v>
      </c>
      <c r="BI23" s="313">
        <f t="shared" si="26"/>
        <v>98.49786914</v>
      </c>
      <c r="BJ23" s="313">
        <f t="shared" si="26"/>
        <v>93.56969441</v>
      </c>
      <c r="BK23" s="313">
        <f t="shared" si="26"/>
        <v>94.03521011</v>
      </c>
      <c r="BL23" s="313">
        <f t="shared" si="26"/>
        <v>94.50397965</v>
      </c>
      <c r="BM23" s="313">
        <f t="shared" si="26"/>
        <v>94.97595458</v>
      </c>
      <c r="BN23" s="313">
        <f t="shared" si="26"/>
        <v>95.45103218</v>
      </c>
      <c r="BO23" s="313">
        <f t="shared" si="26"/>
        <v>95.92904123</v>
      </c>
      <c r="BP23" s="313">
        <f t="shared" si="26"/>
        <v>96.40972511</v>
      </c>
      <c r="BQ23" s="313">
        <f t="shared" si="26"/>
        <v>96.89272175</v>
      </c>
      <c r="BR23" s="313">
        <f t="shared" si="26"/>
        <v>97.37753972</v>
      </c>
      <c r="BS23" s="313">
        <f t="shared" si="26"/>
        <v>97.86353023</v>
      </c>
      <c r="BT23" s="313">
        <f t="shared" si="26"/>
        <v>98.3523017</v>
      </c>
      <c r="BU23" s="313">
        <f t="shared" si="26"/>
        <v>98.84380602</v>
      </c>
      <c r="BV23" s="313">
        <f t="shared" si="26"/>
        <v>88.95939147</v>
      </c>
      <c r="BW23" s="313">
        <f t="shared" si="26"/>
        <v>89.40428396</v>
      </c>
      <c r="BX23" s="313">
        <f t="shared" si="26"/>
        <v>89.85146256</v>
      </c>
      <c r="BY23" s="313">
        <f t="shared" si="26"/>
        <v>90.30087491</v>
      </c>
      <c r="BZ23" s="313">
        <f t="shared" si="26"/>
        <v>90.75247936</v>
      </c>
      <c r="CA23" s="313">
        <f t="shared" si="26"/>
        <v>91.20625412</v>
      </c>
      <c r="CB23" s="313">
        <f t="shared" si="26"/>
        <v>91.66220938</v>
      </c>
      <c r="CC23" s="313">
        <f t="shared" si="26"/>
        <v>92.12040288</v>
      </c>
      <c r="CD23" s="313">
        <f t="shared" si="26"/>
        <v>92.58095981</v>
      </c>
      <c r="CE23" s="313">
        <f t="shared" si="26"/>
        <v>93.04386645</v>
      </c>
      <c r="CF23" s="313">
        <f t="shared" si="26"/>
        <v>93.50911214</v>
      </c>
      <c r="CG23" s="313">
        <f t="shared" si="26"/>
        <v>93.97669043</v>
      </c>
      <c r="CH23" s="313">
        <f t="shared" si="26"/>
        <v>94.44659997</v>
      </c>
      <c r="CI23" s="1"/>
      <c r="CJ23" s="1"/>
      <c r="CK23" s="1"/>
      <c r="CL23" s="1"/>
      <c r="CM23" s="1"/>
      <c r="CN23" s="1"/>
      <c r="CO23" s="1"/>
      <c r="CP23" s="1"/>
    </row>
    <row r="24" ht="15.75" hidden="1" customHeight="1">
      <c r="A24" s="1" t="s">
        <v>85</v>
      </c>
      <c r="B24" s="320"/>
      <c r="C24" s="320">
        <v>3.0</v>
      </c>
      <c r="D24" s="320">
        <v>4.0</v>
      </c>
      <c r="E24" s="320">
        <v>4.0</v>
      </c>
      <c r="F24" s="320">
        <v>11.0</v>
      </c>
      <c r="G24" s="320">
        <v>34.0</v>
      </c>
      <c r="H24" s="320">
        <v>81.0</v>
      </c>
      <c r="I24" s="320">
        <v>58.0</v>
      </c>
      <c r="J24" s="320">
        <v>66.0</v>
      </c>
      <c r="K24" s="320">
        <v>61.0</v>
      </c>
      <c r="L24" s="320">
        <v>34.0</v>
      </c>
      <c r="M24" s="320">
        <v>18.0</v>
      </c>
      <c r="N24" s="320">
        <v>18.0</v>
      </c>
      <c r="O24" s="320">
        <v>30.0</v>
      </c>
      <c r="P24" s="320">
        <v>35.0</v>
      </c>
      <c r="Q24" s="320">
        <v>41.0</v>
      </c>
      <c r="R24" s="320">
        <v>27.0</v>
      </c>
      <c r="S24" s="320">
        <v>30.0</v>
      </c>
      <c r="T24" s="320">
        <v>27.0</v>
      </c>
      <c r="U24" s="320">
        <v>33.0</v>
      </c>
      <c r="V24" s="320">
        <v>36.0</v>
      </c>
      <c r="W24" s="320">
        <v>34.0</v>
      </c>
      <c r="X24" s="320">
        <v>30.0</v>
      </c>
      <c r="Y24" s="313">
        <f t="shared" ref="Y24:CH24" si="27">Y40/Y32</f>
        <v>100</v>
      </c>
      <c r="Z24" s="313">
        <f t="shared" si="27"/>
        <v>110</v>
      </c>
      <c r="AA24" s="313">
        <f t="shared" si="27"/>
        <v>110</v>
      </c>
      <c r="AB24" s="313">
        <f t="shared" si="27"/>
        <v>110</v>
      </c>
      <c r="AC24" s="313">
        <f t="shared" si="27"/>
        <v>110</v>
      </c>
      <c r="AD24" s="313">
        <f t="shared" si="27"/>
        <v>117.8571429</v>
      </c>
      <c r="AE24" s="313">
        <f t="shared" si="27"/>
        <v>117.8571429</v>
      </c>
      <c r="AF24" s="313">
        <f t="shared" si="27"/>
        <v>117.8571429</v>
      </c>
      <c r="AG24" s="313">
        <f t="shared" si="27"/>
        <v>117.8571429</v>
      </c>
      <c r="AH24" s="313">
        <f t="shared" si="27"/>
        <v>111.9642857</v>
      </c>
      <c r="AI24" s="313">
        <f t="shared" si="27"/>
        <v>111.9642857</v>
      </c>
      <c r="AJ24" s="313">
        <f t="shared" si="27"/>
        <v>111.9642857</v>
      </c>
      <c r="AK24" s="313">
        <f t="shared" si="27"/>
        <v>112.5241071</v>
      </c>
      <c r="AL24" s="313">
        <f t="shared" si="27"/>
        <v>78.766875</v>
      </c>
      <c r="AM24" s="313">
        <f t="shared" si="27"/>
        <v>74.29783245</v>
      </c>
      <c r="AN24" s="313">
        <f t="shared" si="27"/>
        <v>75.14899605</v>
      </c>
      <c r="AO24" s="313">
        <f t="shared" si="27"/>
        <v>75.51935064</v>
      </c>
      <c r="AP24" s="313">
        <f t="shared" si="27"/>
        <v>75.89098921</v>
      </c>
      <c r="AQ24" s="313">
        <f t="shared" si="27"/>
        <v>76.26385848</v>
      </c>
      <c r="AR24" s="313">
        <f t="shared" si="27"/>
        <v>76.63789861</v>
      </c>
      <c r="AS24" s="313">
        <f t="shared" si="27"/>
        <v>77.01304261</v>
      </c>
      <c r="AT24" s="313">
        <f t="shared" si="27"/>
        <v>77.38921547</v>
      </c>
      <c r="AU24" s="313">
        <f t="shared" si="27"/>
        <v>77.76633343</v>
      </c>
      <c r="AV24" s="313">
        <f t="shared" si="27"/>
        <v>78.14430299</v>
      </c>
      <c r="AW24" s="313">
        <f t="shared" si="27"/>
        <v>78.52301995</v>
      </c>
      <c r="AX24" s="313">
        <f t="shared" si="27"/>
        <v>79.3514922</v>
      </c>
      <c r="AY24" s="313">
        <f t="shared" si="27"/>
        <v>79.74487151</v>
      </c>
      <c r="AZ24" s="313">
        <f t="shared" si="27"/>
        <v>80.14043339</v>
      </c>
      <c r="BA24" s="313">
        <f t="shared" si="27"/>
        <v>80.53827172</v>
      </c>
      <c r="BB24" s="313">
        <f t="shared" si="27"/>
        <v>80.93849599</v>
      </c>
      <c r="BC24" s="313">
        <f t="shared" si="27"/>
        <v>81.34123357</v>
      </c>
      <c r="BD24" s="313">
        <f t="shared" si="27"/>
        <v>81.74663247</v>
      </c>
      <c r="BE24" s="313">
        <f t="shared" si="27"/>
        <v>82.1548643</v>
      </c>
      <c r="BF24" s="313">
        <f t="shared" si="27"/>
        <v>82.5661278</v>
      </c>
      <c r="BG24" s="313">
        <f t="shared" si="27"/>
        <v>82.98065276</v>
      </c>
      <c r="BH24" s="313">
        <f t="shared" si="27"/>
        <v>83.39870447</v>
      </c>
      <c r="BI24" s="313">
        <f t="shared" si="27"/>
        <v>83.81460938</v>
      </c>
      <c r="BJ24" s="313">
        <f t="shared" si="27"/>
        <v>79.62307859</v>
      </c>
      <c r="BK24" s="313">
        <f t="shared" si="27"/>
        <v>80.02062498</v>
      </c>
      <c r="BL24" s="313">
        <f t="shared" si="27"/>
        <v>80.42038503</v>
      </c>
      <c r="BM24" s="313">
        <f t="shared" si="27"/>
        <v>80.82235402</v>
      </c>
      <c r="BN24" s="313">
        <f t="shared" si="27"/>
        <v>81.22651405</v>
      </c>
      <c r="BO24" s="313">
        <f t="shared" si="27"/>
        <v>81.63283051</v>
      </c>
      <c r="BP24" s="313">
        <f t="shared" si="27"/>
        <v>82.04124802</v>
      </c>
      <c r="BQ24" s="313">
        <f t="shared" si="27"/>
        <v>82.4516855</v>
      </c>
      <c r="BR24" s="313">
        <f t="shared" si="27"/>
        <v>82.86403036</v>
      </c>
      <c r="BS24" s="313">
        <f t="shared" si="27"/>
        <v>83.27813167</v>
      </c>
      <c r="BT24" s="313">
        <f t="shared" si="27"/>
        <v>83.6943891</v>
      </c>
      <c r="BU24" s="313">
        <f t="shared" si="27"/>
        <v>84.11279831</v>
      </c>
      <c r="BV24" s="313">
        <f t="shared" si="27"/>
        <v>75.7015102</v>
      </c>
      <c r="BW24" s="313">
        <f t="shared" si="27"/>
        <v>76.08004106</v>
      </c>
      <c r="BX24" s="313">
        <f t="shared" si="27"/>
        <v>76.4604796</v>
      </c>
      <c r="BY24" s="313">
        <f t="shared" si="27"/>
        <v>76.84281982</v>
      </c>
      <c r="BZ24" s="313">
        <f t="shared" si="27"/>
        <v>77.22705832</v>
      </c>
      <c r="CA24" s="313">
        <f t="shared" si="27"/>
        <v>77.61319663</v>
      </c>
      <c r="CB24" s="313">
        <f t="shared" si="27"/>
        <v>78.00124408</v>
      </c>
      <c r="CC24" s="313">
        <f t="shared" si="27"/>
        <v>78.39122162</v>
      </c>
      <c r="CD24" s="313">
        <f t="shared" si="27"/>
        <v>78.78316674</v>
      </c>
      <c r="CE24" s="313">
        <f t="shared" si="27"/>
        <v>79.17708302</v>
      </c>
      <c r="CF24" s="313">
        <f t="shared" si="27"/>
        <v>79.57297486</v>
      </c>
      <c r="CG24" s="313">
        <f t="shared" si="27"/>
        <v>79.97084772</v>
      </c>
      <c r="CH24" s="313">
        <f t="shared" si="27"/>
        <v>80.37070832</v>
      </c>
      <c r="CI24" s="1"/>
      <c r="CJ24" s="1"/>
      <c r="CK24" s="1"/>
      <c r="CL24" s="1"/>
      <c r="CM24" s="1"/>
      <c r="CN24" s="1"/>
      <c r="CO24" s="1"/>
      <c r="CP24" s="1"/>
    </row>
    <row r="25" ht="15.75" hidden="1" customHeight="1">
      <c r="A25" s="1" t="s">
        <v>130</v>
      </c>
      <c r="B25" s="320"/>
      <c r="C25" s="320">
        <v>1.0</v>
      </c>
      <c r="D25" s="320">
        <v>2.0</v>
      </c>
      <c r="E25" s="320">
        <v>6.0</v>
      </c>
      <c r="F25" s="320">
        <v>6.0</v>
      </c>
      <c r="G25" s="320">
        <v>21.0</v>
      </c>
      <c r="H25" s="320">
        <v>46.0</v>
      </c>
      <c r="I25" s="320">
        <v>25.0</v>
      </c>
      <c r="J25" s="320">
        <v>31.0</v>
      </c>
      <c r="K25" s="320">
        <v>28.0</v>
      </c>
      <c r="L25" s="320">
        <v>12.0</v>
      </c>
      <c r="M25" s="320">
        <v>6.0</v>
      </c>
      <c r="N25" s="320">
        <v>10.0</v>
      </c>
      <c r="O25" s="320">
        <v>19.0</v>
      </c>
      <c r="P25" s="320">
        <v>20.0</v>
      </c>
      <c r="Q25" s="320">
        <v>20.0</v>
      </c>
      <c r="R25" s="320">
        <v>17.0</v>
      </c>
      <c r="S25" s="320">
        <v>13.0</v>
      </c>
      <c r="T25" s="320">
        <v>13.0</v>
      </c>
      <c r="U25" s="320">
        <v>13.0</v>
      </c>
      <c r="V25" s="320">
        <v>12.0</v>
      </c>
      <c r="W25" s="320">
        <v>16.0</v>
      </c>
      <c r="X25" s="320">
        <v>11.0</v>
      </c>
      <c r="Y25" s="313">
        <f t="shared" ref="Y25:CH25" si="28">Y41/Y33</f>
        <v>100</v>
      </c>
      <c r="Z25" s="313">
        <f t="shared" si="28"/>
        <v>110</v>
      </c>
      <c r="AA25" s="313">
        <f t="shared" si="28"/>
        <v>110</v>
      </c>
      <c r="AB25" s="313">
        <f t="shared" si="28"/>
        <v>110</v>
      </c>
      <c r="AC25" s="313">
        <f t="shared" si="28"/>
        <v>110</v>
      </c>
      <c r="AD25" s="313">
        <f t="shared" si="28"/>
        <v>113.7931034</v>
      </c>
      <c r="AE25" s="313">
        <f t="shared" si="28"/>
        <v>113.7931034</v>
      </c>
      <c r="AF25" s="313">
        <f t="shared" si="28"/>
        <v>113.7931034</v>
      </c>
      <c r="AG25" s="313">
        <f t="shared" si="28"/>
        <v>113.7931034</v>
      </c>
      <c r="AH25" s="313">
        <f t="shared" si="28"/>
        <v>108.1034483</v>
      </c>
      <c r="AI25" s="313">
        <f t="shared" si="28"/>
        <v>108.1034483</v>
      </c>
      <c r="AJ25" s="313">
        <f t="shared" si="28"/>
        <v>108.1034483</v>
      </c>
      <c r="AK25" s="313">
        <f t="shared" si="28"/>
        <v>108.6439655</v>
      </c>
      <c r="AL25" s="313">
        <f t="shared" si="28"/>
        <v>76.05077586</v>
      </c>
      <c r="AM25" s="313">
        <f t="shared" si="28"/>
        <v>71.99996134</v>
      </c>
      <c r="AN25" s="313">
        <f t="shared" si="28"/>
        <v>72.58444913</v>
      </c>
      <c r="AO25" s="313">
        <f t="shared" si="28"/>
        <v>72.94485691</v>
      </c>
      <c r="AP25" s="313">
        <f t="shared" si="28"/>
        <v>73.30680164</v>
      </c>
      <c r="AQ25" s="313">
        <f t="shared" si="28"/>
        <v>73.6702631</v>
      </c>
      <c r="AR25" s="313">
        <f t="shared" si="28"/>
        <v>74.03521802</v>
      </c>
      <c r="AS25" s="313">
        <f t="shared" si="28"/>
        <v>74.40163975</v>
      </c>
      <c r="AT25" s="313">
        <f t="shared" si="28"/>
        <v>74.76949794</v>
      </c>
      <c r="AU25" s="313">
        <f t="shared" si="28"/>
        <v>75.13875813</v>
      </c>
      <c r="AV25" s="313">
        <f t="shared" si="28"/>
        <v>75.50938131</v>
      </c>
      <c r="AW25" s="313">
        <f t="shared" si="28"/>
        <v>75.88132346</v>
      </c>
      <c r="AX25" s="313">
        <f t="shared" si="28"/>
        <v>76.66032173</v>
      </c>
      <c r="AY25" s="313">
        <f t="shared" si="28"/>
        <v>77.04204686</v>
      </c>
      <c r="AZ25" s="313">
        <f t="shared" si="28"/>
        <v>77.42578119</v>
      </c>
      <c r="BA25" s="313">
        <f t="shared" si="28"/>
        <v>77.81157352</v>
      </c>
      <c r="BB25" s="313">
        <f t="shared" si="28"/>
        <v>78.19947994</v>
      </c>
      <c r="BC25" s="313">
        <f t="shared" si="28"/>
        <v>78.58956492</v>
      </c>
      <c r="BD25" s="313">
        <f t="shared" si="28"/>
        <v>78.98190257</v>
      </c>
      <c r="BE25" s="313">
        <f t="shared" si="28"/>
        <v>79.37657809</v>
      </c>
      <c r="BF25" s="313">
        <f t="shared" si="28"/>
        <v>79.77368931</v>
      </c>
      <c r="BG25" s="313">
        <f t="shared" si="28"/>
        <v>80.17334857</v>
      </c>
      <c r="BH25" s="313">
        <f t="shared" si="28"/>
        <v>80.5756848</v>
      </c>
      <c r="BI25" s="313">
        <f t="shared" si="28"/>
        <v>80.97805514</v>
      </c>
      <c r="BJ25" s="313">
        <f t="shared" si="28"/>
        <v>76.92877884</v>
      </c>
      <c r="BK25" s="313">
        <f t="shared" si="28"/>
        <v>77.31315716</v>
      </c>
      <c r="BL25" s="313">
        <f t="shared" si="28"/>
        <v>77.69956282</v>
      </c>
      <c r="BM25" s="313">
        <f t="shared" si="28"/>
        <v>78.08799859</v>
      </c>
      <c r="BN25" s="313">
        <f t="shared" si="28"/>
        <v>78.47846111</v>
      </c>
      <c r="BO25" s="313">
        <f t="shared" si="28"/>
        <v>78.87093924</v>
      </c>
      <c r="BP25" s="313">
        <f t="shared" si="28"/>
        <v>79.26541219</v>
      </c>
      <c r="BQ25" s="313">
        <f t="shared" si="28"/>
        <v>79.66184718</v>
      </c>
      <c r="BR25" s="313">
        <f t="shared" si="28"/>
        <v>80.06019676</v>
      </c>
      <c r="BS25" s="313">
        <f t="shared" si="28"/>
        <v>80.4603956</v>
      </c>
      <c r="BT25" s="313">
        <f t="shared" si="28"/>
        <v>80.8626354</v>
      </c>
      <c r="BU25" s="313">
        <f t="shared" si="28"/>
        <v>81.26691929</v>
      </c>
      <c r="BV25" s="313">
        <f t="shared" si="28"/>
        <v>73.1402235</v>
      </c>
      <c r="BW25" s="313">
        <f t="shared" si="28"/>
        <v>73.50593549</v>
      </c>
      <c r="BX25" s="313">
        <f t="shared" si="28"/>
        <v>73.87348306</v>
      </c>
      <c r="BY25" s="313">
        <f t="shared" si="28"/>
        <v>74.24286813</v>
      </c>
      <c r="BZ25" s="313">
        <f t="shared" si="28"/>
        <v>74.61409386</v>
      </c>
      <c r="CA25" s="313">
        <f t="shared" si="28"/>
        <v>74.98716574</v>
      </c>
      <c r="CB25" s="313">
        <f t="shared" si="28"/>
        <v>75.36209292</v>
      </c>
      <c r="CC25" s="313">
        <f t="shared" si="28"/>
        <v>75.73889</v>
      </c>
      <c r="CD25" s="313">
        <f t="shared" si="28"/>
        <v>76.11757932</v>
      </c>
      <c r="CE25" s="313">
        <f t="shared" si="28"/>
        <v>76.49816742</v>
      </c>
      <c r="CF25" s="313">
        <f t="shared" si="28"/>
        <v>76.88066126</v>
      </c>
      <c r="CG25" s="313">
        <f t="shared" si="28"/>
        <v>77.26506829</v>
      </c>
      <c r="CH25" s="313">
        <f t="shared" si="28"/>
        <v>77.6513966</v>
      </c>
      <c r="CI25" s="1"/>
      <c r="CJ25" s="1"/>
      <c r="CK25" s="1"/>
      <c r="CL25" s="1"/>
      <c r="CM25" s="1"/>
      <c r="CN25" s="1"/>
      <c r="CO25" s="1"/>
      <c r="CP25" s="1"/>
    </row>
    <row r="26" ht="15.75" hidden="1" customHeight="1">
      <c r="A26" s="1" t="s">
        <v>89</v>
      </c>
      <c r="B26" s="320"/>
      <c r="C26" s="320">
        <v>1.0</v>
      </c>
      <c r="D26" s="320">
        <v>0.0</v>
      </c>
      <c r="E26" s="320">
        <v>0.0</v>
      </c>
      <c r="F26" s="320">
        <v>0.0</v>
      </c>
      <c r="G26" s="320">
        <v>2.0</v>
      </c>
      <c r="H26" s="320">
        <v>0.0</v>
      </c>
      <c r="I26" s="320">
        <v>21.0</v>
      </c>
      <c r="J26" s="320">
        <v>20.0</v>
      </c>
      <c r="K26" s="320">
        <v>16.0</v>
      </c>
      <c r="L26" s="320">
        <v>8.0</v>
      </c>
      <c r="M26" s="320">
        <v>6.0</v>
      </c>
      <c r="N26" s="320">
        <v>3.0</v>
      </c>
      <c r="O26" s="320">
        <v>12.0</v>
      </c>
      <c r="P26" s="320">
        <v>10.0</v>
      </c>
      <c r="Q26" s="320">
        <v>11.0</v>
      </c>
      <c r="R26" s="320">
        <v>14.0</v>
      </c>
      <c r="S26" s="320">
        <v>14.0</v>
      </c>
      <c r="T26" s="320">
        <v>11.0</v>
      </c>
      <c r="U26" s="320">
        <v>9.0</v>
      </c>
      <c r="V26" s="320">
        <v>15.0</v>
      </c>
      <c r="W26" s="320">
        <v>10.0</v>
      </c>
      <c r="X26" s="320">
        <v>13.0</v>
      </c>
      <c r="Y26" s="313">
        <f t="shared" ref="Y26:CH26" si="29">Y42/Y34</f>
        <v>100</v>
      </c>
      <c r="Z26" s="313">
        <f t="shared" si="29"/>
        <v>110</v>
      </c>
      <c r="AA26" s="313">
        <f t="shared" si="29"/>
        <v>110</v>
      </c>
      <c r="AB26" s="313">
        <f t="shared" si="29"/>
        <v>110</v>
      </c>
      <c r="AC26" s="313">
        <f t="shared" si="29"/>
        <v>110</v>
      </c>
      <c r="AD26" s="313">
        <f t="shared" si="29"/>
        <v>194.1176471</v>
      </c>
      <c r="AE26" s="313">
        <f t="shared" si="29"/>
        <v>194.1176471</v>
      </c>
      <c r="AF26" s="313">
        <f t="shared" si="29"/>
        <v>194.1176471</v>
      </c>
      <c r="AG26" s="313">
        <f t="shared" si="29"/>
        <v>194.1176471</v>
      </c>
      <c r="AH26" s="313">
        <f t="shared" si="29"/>
        <v>184.4117647</v>
      </c>
      <c r="AI26" s="313">
        <f t="shared" si="29"/>
        <v>184.4117647</v>
      </c>
      <c r="AJ26" s="313">
        <f t="shared" si="29"/>
        <v>184.4117647</v>
      </c>
      <c r="AK26" s="313">
        <f t="shared" si="29"/>
        <v>185.3338235</v>
      </c>
      <c r="AL26" s="313">
        <f t="shared" si="29"/>
        <v>129.7336765</v>
      </c>
      <c r="AM26" s="313">
        <f t="shared" si="29"/>
        <v>114.4917418</v>
      </c>
      <c r="AN26" s="313">
        <f t="shared" si="29"/>
        <v>122.9232265</v>
      </c>
      <c r="AO26" s="313">
        <f t="shared" si="29"/>
        <v>123.4441605</v>
      </c>
      <c r="AP26" s="313">
        <f t="shared" si="29"/>
        <v>123.9579806</v>
      </c>
      <c r="AQ26" s="313">
        <f t="shared" si="29"/>
        <v>124.4636608</v>
      </c>
      <c r="AR26" s="313">
        <f t="shared" si="29"/>
        <v>124.9600733</v>
      </c>
      <c r="AS26" s="313">
        <f t="shared" si="29"/>
        <v>125.4459787</v>
      </c>
      <c r="AT26" s="313">
        <f t="shared" si="29"/>
        <v>125.9200164</v>
      </c>
      <c r="AU26" s="313">
        <f t="shared" si="29"/>
        <v>126.3806941</v>
      </c>
      <c r="AV26" s="313">
        <f t="shared" si="29"/>
        <v>126.8263765</v>
      </c>
      <c r="AW26" s="313">
        <f t="shared" si="29"/>
        <v>127.2552739</v>
      </c>
      <c r="AX26" s="313">
        <f t="shared" si="29"/>
        <v>129.2698894</v>
      </c>
      <c r="AY26" s="313">
        <f t="shared" si="29"/>
        <v>129.8579883</v>
      </c>
      <c r="AZ26" s="313">
        <f t="shared" si="29"/>
        <v>130.4527892</v>
      </c>
      <c r="BA26" s="313">
        <f t="shared" si="29"/>
        <v>131.0557453</v>
      </c>
      <c r="BB26" s="313">
        <f t="shared" si="29"/>
        <v>131.6685738</v>
      </c>
      <c r="BC26" s="313">
        <f t="shared" si="29"/>
        <v>132.2932972</v>
      </c>
      <c r="BD26" s="313">
        <f t="shared" si="29"/>
        <v>132.9322904</v>
      </c>
      <c r="BE26" s="313">
        <f t="shared" si="29"/>
        <v>133.5883353</v>
      </c>
      <c r="BF26" s="313">
        <f t="shared" si="29"/>
        <v>134.2646847</v>
      </c>
      <c r="BG26" s="313">
        <f t="shared" si="29"/>
        <v>134.9651362</v>
      </c>
      <c r="BH26" s="313">
        <f t="shared" si="29"/>
        <v>135.6941192</v>
      </c>
      <c r="BI26" s="313">
        <f t="shared" si="29"/>
        <v>136.3538599</v>
      </c>
      <c r="BJ26" s="313">
        <f t="shared" si="29"/>
        <v>129.5224001</v>
      </c>
      <c r="BK26" s="313">
        <f t="shared" si="29"/>
        <v>130.1602261</v>
      </c>
      <c r="BL26" s="313">
        <f t="shared" si="29"/>
        <v>130.8051273</v>
      </c>
      <c r="BM26" s="313">
        <f t="shared" si="29"/>
        <v>131.456867</v>
      </c>
      <c r="BN26" s="313">
        <f t="shared" si="29"/>
        <v>132.1149811</v>
      </c>
      <c r="BO26" s="313">
        <f t="shared" si="29"/>
        <v>132.7787183</v>
      </c>
      <c r="BP26" s="313">
        <f t="shared" si="29"/>
        <v>133.4469689</v>
      </c>
      <c r="BQ26" s="313">
        <f t="shared" si="29"/>
        <v>134.1181805</v>
      </c>
      <c r="BR26" s="313">
        <f t="shared" si="29"/>
        <v>134.790258</v>
      </c>
      <c r="BS26" s="313">
        <f t="shared" si="29"/>
        <v>135.4604456</v>
      </c>
      <c r="BT26" s="313">
        <f t="shared" si="29"/>
        <v>136.1354567</v>
      </c>
      <c r="BU26" s="313">
        <f t="shared" si="29"/>
        <v>136.8150551</v>
      </c>
      <c r="BV26" s="313">
        <f t="shared" si="29"/>
        <v>123.1334072</v>
      </c>
      <c r="BW26" s="313">
        <f t="shared" si="29"/>
        <v>123.749475</v>
      </c>
      <c r="BX26" s="313">
        <f t="shared" si="29"/>
        <v>124.3688817</v>
      </c>
      <c r="BY26" s="313">
        <f t="shared" si="29"/>
        <v>124.9913764</v>
      </c>
      <c r="BZ26" s="313">
        <f t="shared" si="29"/>
        <v>125.6167531</v>
      </c>
      <c r="CA26" s="313">
        <f t="shared" si="29"/>
        <v>126.2448888</v>
      </c>
      <c r="CB26" s="313">
        <f t="shared" si="29"/>
        <v>126.8757943</v>
      </c>
      <c r="CC26" s="313">
        <f t="shared" si="29"/>
        <v>127.5096802</v>
      </c>
      <c r="CD26" s="313">
        <f t="shared" si="29"/>
        <v>128.1470395</v>
      </c>
      <c r="CE26" s="313">
        <f t="shared" si="29"/>
        <v>128.7877824</v>
      </c>
      <c r="CF26" s="313">
        <f t="shared" si="29"/>
        <v>129.4318319</v>
      </c>
      <c r="CG26" s="313">
        <f t="shared" si="29"/>
        <v>130.0791283</v>
      </c>
      <c r="CH26" s="313">
        <f t="shared" si="29"/>
        <v>130.7296334</v>
      </c>
      <c r="CI26" s="1"/>
      <c r="CJ26" s="1"/>
      <c r="CK26" s="1"/>
      <c r="CL26" s="1"/>
      <c r="CM26" s="1"/>
      <c r="CN26" s="1"/>
      <c r="CO26" s="1"/>
      <c r="CP26" s="1"/>
    </row>
    <row r="27" ht="15.75" hidden="1" customHeight="1">
      <c r="A27" s="1" t="s">
        <v>94</v>
      </c>
      <c r="B27" s="320"/>
      <c r="C27" s="320">
        <v>2.0</v>
      </c>
      <c r="D27" s="320">
        <v>0.0</v>
      </c>
      <c r="E27" s="320">
        <v>3.0</v>
      </c>
      <c r="F27" s="320">
        <v>0.0</v>
      </c>
      <c r="G27" s="320">
        <v>2.0</v>
      </c>
      <c r="H27" s="320">
        <v>1.0</v>
      </c>
      <c r="I27" s="320">
        <v>16.0</v>
      </c>
      <c r="J27" s="320">
        <v>48.0</v>
      </c>
      <c r="K27" s="320">
        <v>32.0</v>
      </c>
      <c r="L27" s="320">
        <v>20.0</v>
      </c>
      <c r="M27" s="320">
        <v>10.0</v>
      </c>
      <c r="N27" s="320">
        <v>4.0</v>
      </c>
      <c r="O27" s="320">
        <v>17.0</v>
      </c>
      <c r="P27" s="320">
        <v>27.0</v>
      </c>
      <c r="Q27" s="320">
        <v>41.0</v>
      </c>
      <c r="R27" s="320">
        <v>22.0</v>
      </c>
      <c r="S27" s="320">
        <v>21.0</v>
      </c>
      <c r="T27" s="320">
        <v>29.0</v>
      </c>
      <c r="U27" s="320">
        <v>12.0</v>
      </c>
      <c r="V27" s="320">
        <v>15.0</v>
      </c>
      <c r="W27" s="320">
        <v>19.0</v>
      </c>
      <c r="X27" s="320">
        <v>10.0</v>
      </c>
      <c r="Y27" s="313">
        <f t="shared" ref="Y27:CH27" si="30">Y43/Y35</f>
        <v>100</v>
      </c>
      <c r="Z27" s="313">
        <f t="shared" si="30"/>
        <v>110</v>
      </c>
      <c r="AA27" s="313">
        <f t="shared" si="30"/>
        <v>110</v>
      </c>
      <c r="AB27" s="313">
        <f t="shared" si="30"/>
        <v>110</v>
      </c>
      <c r="AC27" s="313">
        <f t="shared" si="30"/>
        <v>110</v>
      </c>
      <c r="AD27" s="313">
        <f t="shared" si="30"/>
        <v>165</v>
      </c>
      <c r="AE27" s="313">
        <f t="shared" si="30"/>
        <v>165</v>
      </c>
      <c r="AF27" s="313">
        <f t="shared" si="30"/>
        <v>165</v>
      </c>
      <c r="AG27" s="313">
        <f t="shared" si="30"/>
        <v>165</v>
      </c>
      <c r="AH27" s="313">
        <f t="shared" si="30"/>
        <v>156.75</v>
      </c>
      <c r="AI27" s="313">
        <f t="shared" si="30"/>
        <v>156.75</v>
      </c>
      <c r="AJ27" s="313">
        <f t="shared" si="30"/>
        <v>156.75</v>
      </c>
      <c r="AK27" s="313">
        <f t="shared" si="30"/>
        <v>157.53375</v>
      </c>
      <c r="AL27" s="313">
        <f t="shared" si="30"/>
        <v>159.1090875</v>
      </c>
      <c r="AM27" s="313">
        <f t="shared" si="30"/>
        <v>159.1090875</v>
      </c>
      <c r="AN27" s="313">
        <f t="shared" si="30"/>
        <v>167.0645419</v>
      </c>
      <c r="AO27" s="313">
        <f t="shared" si="30"/>
        <v>167.8163739</v>
      </c>
      <c r="AP27" s="313">
        <f t="shared" si="30"/>
        <v>168.563253</v>
      </c>
      <c r="AQ27" s="313">
        <f t="shared" si="30"/>
        <v>169.3042562</v>
      </c>
      <c r="AR27" s="313">
        <f t="shared" si="30"/>
        <v>170.0383651</v>
      </c>
      <c r="AS27" s="313">
        <f t="shared" si="30"/>
        <v>170.7644572</v>
      </c>
      <c r="AT27" s="313">
        <f t="shared" si="30"/>
        <v>171.4812964</v>
      </c>
      <c r="AU27" s="313">
        <f t="shared" si="30"/>
        <v>172.1875217</v>
      </c>
      <c r="AV27" s="313">
        <f t="shared" si="30"/>
        <v>172.881636</v>
      </c>
      <c r="AW27" s="313">
        <f t="shared" si="30"/>
        <v>173.5619941</v>
      </c>
      <c r="AX27" s="313">
        <f t="shared" si="30"/>
        <v>175.9621354</v>
      </c>
      <c r="AY27" s="313">
        <f t="shared" si="30"/>
        <v>176.7898772</v>
      </c>
      <c r="AZ27" s="313">
        <f t="shared" si="30"/>
        <v>177.6251056</v>
      </c>
      <c r="BA27" s="313">
        <f t="shared" si="30"/>
        <v>178.4691308</v>
      </c>
      <c r="BB27" s="313">
        <f t="shared" si="30"/>
        <v>179.3235004</v>
      </c>
      <c r="BC27" s="313">
        <f t="shared" si="30"/>
        <v>180.1900359</v>
      </c>
      <c r="BD27" s="313">
        <f t="shared" si="30"/>
        <v>181.0708745</v>
      </c>
      <c r="BE27" s="313">
        <f t="shared" si="30"/>
        <v>181.9685173</v>
      </c>
      <c r="BF27" s="313">
        <f t="shared" si="30"/>
        <v>182.8858846</v>
      </c>
      <c r="BG27" s="313">
        <f t="shared" si="30"/>
        <v>183.8263806</v>
      </c>
      <c r="BH27" s="313">
        <f t="shared" si="30"/>
        <v>184.7939675</v>
      </c>
      <c r="BI27" s="313">
        <f t="shared" si="30"/>
        <v>185.701181</v>
      </c>
      <c r="BJ27" s="313">
        <f t="shared" si="30"/>
        <v>176.4038048</v>
      </c>
      <c r="BK27" s="313">
        <f t="shared" si="30"/>
        <v>177.2770677</v>
      </c>
      <c r="BL27" s="313">
        <f t="shared" si="30"/>
        <v>178.1581738</v>
      </c>
      <c r="BM27" s="313">
        <f t="shared" si="30"/>
        <v>179.0469193</v>
      </c>
      <c r="BN27" s="313">
        <f t="shared" si="30"/>
        <v>179.9428963</v>
      </c>
      <c r="BO27" s="313">
        <f t="shared" si="30"/>
        <v>180.8454404</v>
      </c>
      <c r="BP27" s="313">
        <f t="shared" si="30"/>
        <v>181.7535662</v>
      </c>
      <c r="BQ27" s="313">
        <f t="shared" si="30"/>
        <v>182.6658924</v>
      </c>
      <c r="BR27" s="313">
        <f t="shared" si="30"/>
        <v>183.580552</v>
      </c>
      <c r="BS27" s="313">
        <f t="shared" si="30"/>
        <v>184.4950871</v>
      </c>
      <c r="BT27" s="313">
        <f t="shared" si="30"/>
        <v>185.4155125</v>
      </c>
      <c r="BU27" s="313">
        <f t="shared" si="30"/>
        <v>186.3416247</v>
      </c>
      <c r="BV27" s="313">
        <f t="shared" si="30"/>
        <v>167.7073348</v>
      </c>
      <c r="BW27" s="313">
        <f t="shared" si="30"/>
        <v>168.5462301</v>
      </c>
      <c r="BX27" s="313">
        <f t="shared" si="30"/>
        <v>169.3895512</v>
      </c>
      <c r="BY27" s="313">
        <f t="shared" si="30"/>
        <v>170.2370808</v>
      </c>
      <c r="BZ27" s="313">
        <f t="shared" si="30"/>
        <v>171.0886419</v>
      </c>
      <c r="CA27" s="313">
        <f t="shared" si="30"/>
        <v>171.9441315</v>
      </c>
      <c r="CB27" s="313">
        <f t="shared" si="30"/>
        <v>172.8035669</v>
      </c>
      <c r="CC27" s="313">
        <f t="shared" si="30"/>
        <v>173.6671435</v>
      </c>
      <c r="CD27" s="313">
        <f t="shared" si="30"/>
        <v>174.53531</v>
      </c>
      <c r="CE27" s="313">
        <f t="shared" si="30"/>
        <v>175.4079934</v>
      </c>
      <c r="CF27" s="313">
        <f t="shared" si="30"/>
        <v>176.2851323</v>
      </c>
      <c r="CG27" s="313">
        <f t="shared" si="30"/>
        <v>177.1666808</v>
      </c>
      <c r="CH27" s="313">
        <f t="shared" si="30"/>
        <v>178.0526122</v>
      </c>
      <c r="CI27" s="1"/>
      <c r="CJ27" s="1"/>
      <c r="CK27" s="1"/>
      <c r="CL27" s="1"/>
      <c r="CM27" s="1"/>
      <c r="CN27" s="1"/>
      <c r="CO27" s="1"/>
      <c r="CP27" s="1"/>
    </row>
    <row r="28" ht="15.75" hidden="1" customHeight="1">
      <c r="A28" s="1" t="s">
        <v>96</v>
      </c>
      <c r="B28" s="320"/>
      <c r="C28" s="320">
        <v>1.0</v>
      </c>
      <c r="D28" s="320">
        <v>3.0</v>
      </c>
      <c r="E28" s="320">
        <v>1.0</v>
      </c>
      <c r="F28" s="320">
        <v>3.0</v>
      </c>
      <c r="G28" s="320">
        <v>2.0</v>
      </c>
      <c r="H28" s="320">
        <v>20.0</v>
      </c>
      <c r="I28" s="320">
        <v>56.0</v>
      </c>
      <c r="J28" s="320">
        <v>65.0</v>
      </c>
      <c r="K28" s="320">
        <v>53.0</v>
      </c>
      <c r="L28" s="320">
        <v>27.0</v>
      </c>
      <c r="M28" s="320">
        <v>16.0</v>
      </c>
      <c r="N28" s="320">
        <v>8.0</v>
      </c>
      <c r="O28" s="320">
        <v>19.0</v>
      </c>
      <c r="P28" s="320">
        <v>19.0</v>
      </c>
      <c r="Q28" s="320">
        <v>28.0</v>
      </c>
      <c r="R28" s="320">
        <v>20.0</v>
      </c>
      <c r="S28" s="320">
        <v>29.0</v>
      </c>
      <c r="T28" s="320">
        <v>39.0</v>
      </c>
      <c r="U28" s="320">
        <v>26.0</v>
      </c>
      <c r="V28" s="320">
        <v>43.0</v>
      </c>
      <c r="W28" s="320">
        <v>38.0</v>
      </c>
      <c r="X28" s="320">
        <v>19.0</v>
      </c>
      <c r="Y28" s="313">
        <f t="shared" ref="Y28:CH28" si="31">Y44/Y36</f>
        <v>100</v>
      </c>
      <c r="Z28" s="313">
        <f t="shared" si="31"/>
        <v>110</v>
      </c>
      <c r="AA28" s="313">
        <f t="shared" si="31"/>
        <v>300</v>
      </c>
      <c r="AB28" s="313">
        <f t="shared" si="31"/>
        <v>300</v>
      </c>
      <c r="AC28" s="313">
        <f t="shared" si="31"/>
        <v>300</v>
      </c>
      <c r="AD28" s="313">
        <f t="shared" si="31"/>
        <v>300</v>
      </c>
      <c r="AE28" s="313">
        <f t="shared" si="31"/>
        <v>300</v>
      </c>
      <c r="AF28" s="313">
        <f t="shared" si="31"/>
        <v>300</v>
      </c>
      <c r="AG28" s="313">
        <f t="shared" si="31"/>
        <v>300</v>
      </c>
      <c r="AH28" s="313">
        <f t="shared" si="31"/>
        <v>300</v>
      </c>
      <c r="AI28" s="313">
        <f t="shared" si="31"/>
        <v>300</v>
      </c>
      <c r="AJ28" s="313">
        <f t="shared" si="31"/>
        <v>300</v>
      </c>
      <c r="AK28" s="313">
        <f t="shared" si="31"/>
        <v>300</v>
      </c>
      <c r="AL28" s="313">
        <f t="shared" si="31"/>
        <v>300</v>
      </c>
      <c r="AM28" s="313">
        <f t="shared" si="31"/>
        <v>300</v>
      </c>
      <c r="AN28" s="313">
        <f t="shared" si="31"/>
        <v>300</v>
      </c>
      <c r="AO28" s="313">
        <f t="shared" si="31"/>
        <v>300</v>
      </c>
      <c r="AP28" s="313">
        <f t="shared" si="31"/>
        <v>300</v>
      </c>
      <c r="AQ28" s="313">
        <f t="shared" si="31"/>
        <v>300</v>
      </c>
      <c r="AR28" s="313">
        <f t="shared" si="31"/>
        <v>300</v>
      </c>
      <c r="AS28" s="313">
        <f t="shared" si="31"/>
        <v>300</v>
      </c>
      <c r="AT28" s="313">
        <f t="shared" si="31"/>
        <v>300</v>
      </c>
      <c r="AU28" s="313">
        <f t="shared" si="31"/>
        <v>300</v>
      </c>
      <c r="AV28" s="313">
        <f t="shared" si="31"/>
        <v>300</v>
      </c>
      <c r="AW28" s="313">
        <f t="shared" si="31"/>
        <v>300</v>
      </c>
      <c r="AX28" s="313">
        <f t="shared" si="31"/>
        <v>300</v>
      </c>
      <c r="AY28" s="313">
        <f t="shared" si="31"/>
        <v>300</v>
      </c>
      <c r="AZ28" s="313">
        <f t="shared" si="31"/>
        <v>300</v>
      </c>
      <c r="BA28" s="313">
        <f t="shared" si="31"/>
        <v>300</v>
      </c>
      <c r="BB28" s="313">
        <f t="shared" si="31"/>
        <v>300</v>
      </c>
      <c r="BC28" s="313">
        <f t="shared" si="31"/>
        <v>300</v>
      </c>
      <c r="BD28" s="313">
        <f t="shared" si="31"/>
        <v>300</v>
      </c>
      <c r="BE28" s="313">
        <f t="shared" si="31"/>
        <v>300</v>
      </c>
      <c r="BF28" s="313">
        <f t="shared" si="31"/>
        <v>300</v>
      </c>
      <c r="BG28" s="313">
        <f t="shared" si="31"/>
        <v>300</v>
      </c>
      <c r="BH28" s="313">
        <f t="shared" si="31"/>
        <v>300</v>
      </c>
      <c r="BI28" s="313">
        <f t="shared" si="31"/>
        <v>300</v>
      </c>
      <c r="BJ28" s="313">
        <f t="shared" si="31"/>
        <v>300</v>
      </c>
      <c r="BK28" s="313">
        <f t="shared" si="31"/>
        <v>300</v>
      </c>
      <c r="BL28" s="313">
        <f t="shared" si="31"/>
        <v>300</v>
      </c>
      <c r="BM28" s="313">
        <f t="shared" si="31"/>
        <v>300</v>
      </c>
      <c r="BN28" s="313">
        <f t="shared" si="31"/>
        <v>300</v>
      </c>
      <c r="BO28" s="313">
        <f t="shared" si="31"/>
        <v>300</v>
      </c>
      <c r="BP28" s="313">
        <f t="shared" si="31"/>
        <v>300</v>
      </c>
      <c r="BQ28" s="313">
        <f t="shared" si="31"/>
        <v>300</v>
      </c>
      <c r="BR28" s="313">
        <f t="shared" si="31"/>
        <v>300</v>
      </c>
      <c r="BS28" s="313">
        <f t="shared" si="31"/>
        <v>300</v>
      </c>
      <c r="BT28" s="313">
        <f t="shared" si="31"/>
        <v>300</v>
      </c>
      <c r="BU28" s="313">
        <f t="shared" si="31"/>
        <v>300</v>
      </c>
      <c r="BV28" s="313">
        <f t="shared" si="31"/>
        <v>300</v>
      </c>
      <c r="BW28" s="313">
        <f t="shared" si="31"/>
        <v>300</v>
      </c>
      <c r="BX28" s="313">
        <f t="shared" si="31"/>
        <v>300</v>
      </c>
      <c r="BY28" s="313">
        <f t="shared" si="31"/>
        <v>300</v>
      </c>
      <c r="BZ28" s="313">
        <f t="shared" si="31"/>
        <v>300</v>
      </c>
      <c r="CA28" s="313">
        <f t="shared" si="31"/>
        <v>300</v>
      </c>
      <c r="CB28" s="313">
        <f t="shared" si="31"/>
        <v>300</v>
      </c>
      <c r="CC28" s="313">
        <f t="shared" si="31"/>
        <v>300</v>
      </c>
      <c r="CD28" s="313">
        <f t="shared" si="31"/>
        <v>300</v>
      </c>
      <c r="CE28" s="313">
        <f t="shared" si="31"/>
        <v>300</v>
      </c>
      <c r="CF28" s="313">
        <f t="shared" si="31"/>
        <v>300</v>
      </c>
      <c r="CG28" s="313">
        <f t="shared" si="31"/>
        <v>300</v>
      </c>
      <c r="CH28" s="313">
        <f t="shared" si="31"/>
        <v>300</v>
      </c>
      <c r="CI28" s="1"/>
      <c r="CJ28" s="1"/>
      <c r="CK28" s="1"/>
      <c r="CL28" s="1"/>
      <c r="CM28" s="1"/>
      <c r="CN28" s="1"/>
      <c r="CO28" s="1"/>
      <c r="CP28" s="1"/>
    </row>
    <row r="29" ht="15.75" hidden="1" customHeight="1">
      <c r="A29" s="321" t="s">
        <v>595</v>
      </c>
      <c r="B29" s="322"/>
      <c r="C29" s="322">
        <f t="shared" ref="C29:CH29" si="32">SUM(C23:C28)</f>
        <v>8</v>
      </c>
      <c r="D29" s="322">
        <f t="shared" si="32"/>
        <v>16</v>
      </c>
      <c r="E29" s="322">
        <f t="shared" si="32"/>
        <v>22</v>
      </c>
      <c r="F29" s="322">
        <f t="shared" si="32"/>
        <v>39</v>
      </c>
      <c r="G29" s="322">
        <f t="shared" si="32"/>
        <v>109</v>
      </c>
      <c r="H29" s="322">
        <f t="shared" si="32"/>
        <v>260</v>
      </c>
      <c r="I29" s="322">
        <f t="shared" si="32"/>
        <v>270</v>
      </c>
      <c r="J29" s="322">
        <f t="shared" si="32"/>
        <v>340</v>
      </c>
      <c r="K29" s="322">
        <f t="shared" si="32"/>
        <v>281</v>
      </c>
      <c r="L29" s="322">
        <f t="shared" si="32"/>
        <v>162</v>
      </c>
      <c r="M29" s="322">
        <f t="shared" si="32"/>
        <v>87</v>
      </c>
      <c r="N29" s="322">
        <f t="shared" si="32"/>
        <v>74</v>
      </c>
      <c r="O29" s="322">
        <f t="shared" si="32"/>
        <v>148</v>
      </c>
      <c r="P29" s="322">
        <f t="shared" si="32"/>
        <v>165</v>
      </c>
      <c r="Q29" s="322">
        <f t="shared" si="32"/>
        <v>213</v>
      </c>
      <c r="R29" s="322">
        <f t="shared" si="32"/>
        <v>147</v>
      </c>
      <c r="S29" s="322">
        <f t="shared" si="32"/>
        <v>162</v>
      </c>
      <c r="T29" s="322">
        <f t="shared" si="32"/>
        <v>165</v>
      </c>
      <c r="U29" s="322">
        <f t="shared" si="32"/>
        <v>140</v>
      </c>
      <c r="V29" s="322">
        <f t="shared" si="32"/>
        <v>171</v>
      </c>
      <c r="W29" s="322">
        <f t="shared" si="32"/>
        <v>164</v>
      </c>
      <c r="X29" s="322">
        <f t="shared" si="32"/>
        <v>141</v>
      </c>
      <c r="Y29" s="322">
        <f t="shared" si="32"/>
        <v>600</v>
      </c>
      <c r="Z29" s="322">
        <f t="shared" si="32"/>
        <v>660</v>
      </c>
      <c r="AA29" s="322">
        <f t="shared" si="32"/>
        <v>850</v>
      </c>
      <c r="AB29" s="322">
        <f t="shared" si="32"/>
        <v>850</v>
      </c>
      <c r="AC29" s="322">
        <f t="shared" si="32"/>
        <v>850</v>
      </c>
      <c r="AD29" s="322">
        <f t="shared" si="32"/>
        <v>1028.267893</v>
      </c>
      <c r="AE29" s="322">
        <f t="shared" si="32"/>
        <v>1028.267893</v>
      </c>
      <c r="AF29" s="322">
        <f t="shared" si="32"/>
        <v>1028.267893</v>
      </c>
      <c r="AG29" s="322">
        <f t="shared" si="32"/>
        <v>1028.267893</v>
      </c>
      <c r="AH29" s="322">
        <f t="shared" si="32"/>
        <v>993.2294987</v>
      </c>
      <c r="AI29" s="322">
        <f t="shared" si="32"/>
        <v>993.2294987</v>
      </c>
      <c r="AJ29" s="322">
        <f t="shared" si="32"/>
        <v>993.2294987</v>
      </c>
      <c r="AK29" s="322">
        <f t="shared" si="32"/>
        <v>996.6956462</v>
      </c>
      <c r="AL29" s="322">
        <f t="shared" si="32"/>
        <v>836.5224148</v>
      </c>
      <c r="AM29" s="322">
        <f t="shared" si="32"/>
        <v>805.9658426</v>
      </c>
      <c r="AN29" s="322">
        <f t="shared" si="32"/>
        <v>826.1601108</v>
      </c>
      <c r="AO29" s="322">
        <f t="shared" si="32"/>
        <v>828.5836743</v>
      </c>
      <c r="AP29" s="322">
        <f t="shared" si="32"/>
        <v>830.9977672</v>
      </c>
      <c r="AQ29" s="322">
        <f t="shared" si="32"/>
        <v>833.4001232</v>
      </c>
      <c r="AR29" s="322">
        <f t="shared" si="32"/>
        <v>835.7882432</v>
      </c>
      <c r="AS29" s="322">
        <f t="shared" si="32"/>
        <v>838.159373</v>
      </c>
      <c r="AT29" s="322">
        <f t="shared" si="32"/>
        <v>840.5104798</v>
      </c>
      <c r="AU29" s="322">
        <f t="shared" si="32"/>
        <v>842.838227</v>
      </c>
      <c r="AV29" s="322">
        <f t="shared" si="32"/>
        <v>845.1389459</v>
      </c>
      <c r="AW29" s="322">
        <f t="shared" si="32"/>
        <v>847.4086073</v>
      </c>
      <c r="AX29" s="322">
        <f t="shared" si="32"/>
        <v>854.5298844</v>
      </c>
      <c r="AY29" s="322">
        <f t="shared" si="32"/>
        <v>857.1734007</v>
      </c>
      <c r="AZ29" s="322">
        <f t="shared" si="32"/>
        <v>859.8384479</v>
      </c>
      <c r="BA29" s="322">
        <f t="shared" si="32"/>
        <v>862.5282872</v>
      </c>
      <c r="BB29" s="322">
        <f t="shared" si="32"/>
        <v>865.2467681</v>
      </c>
      <c r="BC29" s="322">
        <f t="shared" si="32"/>
        <v>867.9984188</v>
      </c>
      <c r="BD29" s="322">
        <f t="shared" si="32"/>
        <v>870.7885496</v>
      </c>
      <c r="BE29" s="322">
        <f t="shared" si="32"/>
        <v>873.6233739</v>
      </c>
      <c r="BF29" s="322">
        <f t="shared" si="32"/>
        <v>876.5101459</v>
      </c>
      <c r="BG29" s="322">
        <f t="shared" si="32"/>
        <v>879.457322</v>
      </c>
      <c r="BH29" s="322">
        <f t="shared" si="32"/>
        <v>882.4747473</v>
      </c>
      <c r="BI29" s="322">
        <f t="shared" si="32"/>
        <v>885.3455746</v>
      </c>
      <c r="BJ29" s="322">
        <f t="shared" si="32"/>
        <v>856.0477568</v>
      </c>
      <c r="BK29" s="322">
        <f t="shared" si="32"/>
        <v>858.806286</v>
      </c>
      <c r="BL29" s="322">
        <f t="shared" si="32"/>
        <v>861.5872286</v>
      </c>
      <c r="BM29" s="322">
        <f t="shared" si="32"/>
        <v>864.3900935</v>
      </c>
      <c r="BN29" s="322">
        <f t="shared" si="32"/>
        <v>867.2138848</v>
      </c>
      <c r="BO29" s="322">
        <f t="shared" si="32"/>
        <v>870.0569697</v>
      </c>
      <c r="BP29" s="322">
        <f t="shared" si="32"/>
        <v>872.9169204</v>
      </c>
      <c r="BQ29" s="322">
        <f t="shared" si="32"/>
        <v>875.7903274</v>
      </c>
      <c r="BR29" s="322">
        <f t="shared" si="32"/>
        <v>878.6725768</v>
      </c>
      <c r="BS29" s="322">
        <f t="shared" si="32"/>
        <v>881.5575902</v>
      </c>
      <c r="BT29" s="322">
        <f t="shared" si="32"/>
        <v>884.4602954</v>
      </c>
      <c r="BU29" s="322">
        <f t="shared" si="32"/>
        <v>887.3802034</v>
      </c>
      <c r="BV29" s="322">
        <f t="shared" si="32"/>
        <v>828.6418672</v>
      </c>
      <c r="BW29" s="322">
        <f t="shared" si="32"/>
        <v>831.2859656</v>
      </c>
      <c r="BX29" s="322">
        <f t="shared" si="32"/>
        <v>833.943858</v>
      </c>
      <c r="BY29" s="322">
        <f t="shared" si="32"/>
        <v>836.6150201</v>
      </c>
      <c r="BZ29" s="322">
        <f t="shared" si="32"/>
        <v>839.2990265</v>
      </c>
      <c r="CA29" s="322">
        <f t="shared" si="32"/>
        <v>841.9956368</v>
      </c>
      <c r="CB29" s="322">
        <f t="shared" si="32"/>
        <v>844.7049076</v>
      </c>
      <c r="CC29" s="322">
        <f t="shared" si="32"/>
        <v>847.4273382</v>
      </c>
      <c r="CD29" s="322">
        <f t="shared" si="32"/>
        <v>850.1640554</v>
      </c>
      <c r="CE29" s="322">
        <f t="shared" si="32"/>
        <v>852.9148927</v>
      </c>
      <c r="CF29" s="322">
        <f t="shared" si="32"/>
        <v>855.6797125</v>
      </c>
      <c r="CG29" s="322">
        <f t="shared" si="32"/>
        <v>858.4584156</v>
      </c>
      <c r="CH29" s="322">
        <f t="shared" si="32"/>
        <v>861.2509505</v>
      </c>
      <c r="CI29" s="1"/>
      <c r="CJ29" s="1"/>
      <c r="CK29" s="1"/>
      <c r="CL29" s="1"/>
      <c r="CM29" s="1"/>
      <c r="CN29" s="1"/>
      <c r="CO29" s="1"/>
      <c r="CP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row>
    <row r="31" ht="15.75" customHeight="1">
      <c r="A31" s="1" t="s">
        <v>129</v>
      </c>
      <c r="B31" s="317"/>
      <c r="C31" s="317">
        <f t="shared" ref="C31:Y31" si="33">IFERROR(C39/C6,0)</f>
        <v>0.3</v>
      </c>
      <c r="D31" s="317">
        <f t="shared" si="33"/>
        <v>0.3</v>
      </c>
      <c r="E31" s="317">
        <f t="shared" si="33"/>
        <v>0.3</v>
      </c>
      <c r="F31" s="317">
        <f t="shared" si="33"/>
        <v>0.3</v>
      </c>
      <c r="G31" s="317">
        <f t="shared" si="33"/>
        <v>0.3</v>
      </c>
      <c r="H31" s="317">
        <f t="shared" si="33"/>
        <v>0.3</v>
      </c>
      <c r="I31" s="317">
        <f t="shared" si="33"/>
        <v>0.3</v>
      </c>
      <c r="J31" s="317">
        <f t="shared" si="33"/>
        <v>0.3</v>
      </c>
      <c r="K31" s="317">
        <f t="shared" si="33"/>
        <v>0.3</v>
      </c>
      <c r="L31" s="317">
        <f t="shared" si="33"/>
        <v>0.3</v>
      </c>
      <c r="M31" s="317">
        <f t="shared" si="33"/>
        <v>0.3</v>
      </c>
      <c r="N31" s="317">
        <f t="shared" si="33"/>
        <v>0.3</v>
      </c>
      <c r="O31" s="317">
        <f t="shared" si="33"/>
        <v>0.3</v>
      </c>
      <c r="P31" s="317">
        <f t="shared" si="33"/>
        <v>0.3</v>
      </c>
      <c r="Q31" s="317">
        <f t="shared" si="33"/>
        <v>0.3</v>
      </c>
      <c r="R31" s="317">
        <f t="shared" si="33"/>
        <v>0.3</v>
      </c>
      <c r="S31" s="317">
        <f t="shared" si="33"/>
        <v>0.3</v>
      </c>
      <c r="T31" s="317">
        <f t="shared" si="33"/>
        <v>0.3</v>
      </c>
      <c r="U31" s="317">
        <f t="shared" si="33"/>
        <v>0.3</v>
      </c>
      <c r="V31" s="317">
        <f t="shared" si="33"/>
        <v>0.3</v>
      </c>
      <c r="W31" s="317">
        <f t="shared" si="33"/>
        <v>0.3</v>
      </c>
      <c r="X31" s="317">
        <f t="shared" si="33"/>
        <v>0.3</v>
      </c>
      <c r="Y31" s="317">
        <f t="shared" si="33"/>
        <v>0.3</v>
      </c>
      <c r="Z31" s="318">
        <f t="shared" ref="Z31:AC31" si="34">AVERAGE(P31:Y31)</f>
        <v>0.3</v>
      </c>
      <c r="AA31" s="318">
        <f t="shared" si="34"/>
        <v>0.3</v>
      </c>
      <c r="AB31" s="318">
        <f t="shared" si="34"/>
        <v>0.3</v>
      </c>
      <c r="AC31" s="318">
        <f t="shared" si="34"/>
        <v>0.3</v>
      </c>
      <c r="AD31" s="318">
        <v>0.24</v>
      </c>
      <c r="AE31" s="318">
        <v>0.24</v>
      </c>
      <c r="AF31" s="318">
        <v>0.24</v>
      </c>
      <c r="AG31" s="318">
        <v>0.24</v>
      </c>
      <c r="AH31" s="318">
        <v>0.24</v>
      </c>
      <c r="AI31" s="318">
        <v>0.24</v>
      </c>
      <c r="AJ31" s="318">
        <v>0.24</v>
      </c>
      <c r="AK31" s="318">
        <v>0.24</v>
      </c>
      <c r="AL31" s="318">
        <v>0.24</v>
      </c>
      <c r="AM31" s="318">
        <f t="shared" ref="AM31:CH31" si="35">AVERAGE(AC31:AL31)</f>
        <v>0.246</v>
      </c>
      <c r="AN31" s="318">
        <f t="shared" si="35"/>
        <v>0.2406</v>
      </c>
      <c r="AO31" s="318">
        <f t="shared" si="35"/>
        <v>0.24066</v>
      </c>
      <c r="AP31" s="318">
        <f t="shared" si="35"/>
        <v>0.240726</v>
      </c>
      <c r="AQ31" s="318">
        <f t="shared" si="35"/>
        <v>0.2407986</v>
      </c>
      <c r="AR31" s="318">
        <f t="shared" si="35"/>
        <v>0.24087846</v>
      </c>
      <c r="AS31" s="318">
        <f t="shared" si="35"/>
        <v>0.240966306</v>
      </c>
      <c r="AT31" s="318">
        <f t="shared" si="35"/>
        <v>0.2410629366</v>
      </c>
      <c r="AU31" s="318">
        <f t="shared" si="35"/>
        <v>0.2411692303</v>
      </c>
      <c r="AV31" s="318">
        <f t="shared" si="35"/>
        <v>0.2412861533</v>
      </c>
      <c r="AW31" s="318">
        <f t="shared" si="35"/>
        <v>0.2414147686</v>
      </c>
      <c r="AX31" s="318">
        <f t="shared" si="35"/>
        <v>0.2409562455</v>
      </c>
      <c r="AY31" s="318">
        <f t="shared" si="35"/>
        <v>0.24099187</v>
      </c>
      <c r="AZ31" s="318">
        <f t="shared" si="35"/>
        <v>0.241025057</v>
      </c>
      <c r="BA31" s="318">
        <f t="shared" si="35"/>
        <v>0.2410549627</v>
      </c>
      <c r="BB31" s="318">
        <f t="shared" si="35"/>
        <v>0.241080599</v>
      </c>
      <c r="BC31" s="318">
        <f t="shared" si="35"/>
        <v>0.2411008129</v>
      </c>
      <c r="BD31" s="318">
        <f t="shared" si="35"/>
        <v>0.2411142636</v>
      </c>
      <c r="BE31" s="318">
        <f t="shared" si="35"/>
        <v>0.2411193963</v>
      </c>
      <c r="BF31" s="318">
        <f t="shared" si="35"/>
        <v>0.2411144129</v>
      </c>
      <c r="BG31" s="318">
        <f t="shared" si="35"/>
        <v>0.2410972389</v>
      </c>
      <c r="BH31" s="318">
        <f t="shared" si="35"/>
        <v>0.2410654859</v>
      </c>
      <c r="BI31" s="318">
        <f t="shared" si="35"/>
        <v>0.2410764099</v>
      </c>
      <c r="BJ31" s="318">
        <f t="shared" si="35"/>
        <v>0.2410848639</v>
      </c>
      <c r="BK31" s="318">
        <f t="shared" si="35"/>
        <v>0.2410908446</v>
      </c>
      <c r="BL31" s="318">
        <f t="shared" si="35"/>
        <v>0.2410944328</v>
      </c>
      <c r="BM31" s="318">
        <f t="shared" si="35"/>
        <v>0.2410958162</v>
      </c>
      <c r="BN31" s="318">
        <f t="shared" si="35"/>
        <v>0.2410953165</v>
      </c>
      <c r="BO31" s="318">
        <f t="shared" si="35"/>
        <v>0.2410934218</v>
      </c>
      <c r="BP31" s="318">
        <f t="shared" si="35"/>
        <v>0.2410908243</v>
      </c>
      <c r="BQ31" s="318">
        <f t="shared" si="35"/>
        <v>0.2410884655</v>
      </c>
      <c r="BR31" s="318">
        <f t="shared" si="35"/>
        <v>0.2410875881</v>
      </c>
      <c r="BS31" s="318">
        <f t="shared" si="35"/>
        <v>0.2410897984</v>
      </c>
      <c r="BT31" s="318">
        <f t="shared" si="35"/>
        <v>0.2410911372</v>
      </c>
      <c r="BU31" s="318">
        <f t="shared" si="35"/>
        <v>0.2410917645</v>
      </c>
      <c r="BV31" s="318">
        <f t="shared" si="35"/>
        <v>0.2410918565</v>
      </c>
      <c r="BW31" s="318">
        <f t="shared" si="35"/>
        <v>0.2410915989</v>
      </c>
      <c r="BX31" s="318">
        <f t="shared" si="35"/>
        <v>0.2410911772</v>
      </c>
      <c r="BY31" s="318">
        <f t="shared" si="35"/>
        <v>0.2410907632</v>
      </c>
      <c r="BZ31" s="318">
        <f t="shared" si="35"/>
        <v>0.2410904974</v>
      </c>
      <c r="CA31" s="318">
        <f t="shared" si="35"/>
        <v>0.2410904647</v>
      </c>
      <c r="CB31" s="318">
        <f t="shared" si="35"/>
        <v>0.2410906646</v>
      </c>
      <c r="CC31" s="318">
        <f t="shared" si="35"/>
        <v>0.2410909723</v>
      </c>
      <c r="CD31" s="318">
        <f t="shared" si="35"/>
        <v>0.2410910897</v>
      </c>
      <c r="CE31" s="318">
        <f t="shared" si="35"/>
        <v>0.2410910849</v>
      </c>
      <c r="CF31" s="318">
        <f t="shared" si="35"/>
        <v>0.2410910169</v>
      </c>
      <c r="CG31" s="318">
        <f t="shared" si="35"/>
        <v>0.241090933</v>
      </c>
      <c r="CH31" s="318">
        <f t="shared" si="35"/>
        <v>0.2410908664</v>
      </c>
      <c r="CI31" s="1"/>
      <c r="CJ31" s="1"/>
      <c r="CK31" s="1"/>
      <c r="CL31" s="1"/>
      <c r="CM31" s="1"/>
      <c r="CN31" s="1"/>
      <c r="CO31" s="1"/>
      <c r="CP31" s="1"/>
    </row>
    <row r="32" ht="15.75" customHeight="1">
      <c r="A32" s="1" t="s">
        <v>85</v>
      </c>
      <c r="B32" s="317"/>
      <c r="C32" s="317">
        <f t="shared" ref="C32:Y32" si="36">IFERROR(C40/C7,0)</f>
        <v>0.3</v>
      </c>
      <c r="D32" s="317">
        <f t="shared" si="36"/>
        <v>0.3</v>
      </c>
      <c r="E32" s="317">
        <f t="shared" si="36"/>
        <v>0.3</v>
      </c>
      <c r="F32" s="317">
        <f t="shared" si="36"/>
        <v>0.3</v>
      </c>
      <c r="G32" s="317">
        <f t="shared" si="36"/>
        <v>0.3</v>
      </c>
      <c r="H32" s="317">
        <f t="shared" si="36"/>
        <v>0.3</v>
      </c>
      <c r="I32" s="317">
        <f t="shared" si="36"/>
        <v>0.3</v>
      </c>
      <c r="J32" s="317">
        <f t="shared" si="36"/>
        <v>0.3</v>
      </c>
      <c r="K32" s="317">
        <f t="shared" si="36"/>
        <v>0.3</v>
      </c>
      <c r="L32" s="317">
        <f t="shared" si="36"/>
        <v>0.3</v>
      </c>
      <c r="M32" s="317">
        <f t="shared" si="36"/>
        <v>0.3</v>
      </c>
      <c r="N32" s="317">
        <f t="shared" si="36"/>
        <v>0.3</v>
      </c>
      <c r="O32" s="317">
        <f t="shared" si="36"/>
        <v>0.3</v>
      </c>
      <c r="P32" s="317">
        <f t="shared" si="36"/>
        <v>0.3</v>
      </c>
      <c r="Q32" s="317">
        <f t="shared" si="36"/>
        <v>0.3</v>
      </c>
      <c r="R32" s="317">
        <f t="shared" si="36"/>
        <v>0.3</v>
      </c>
      <c r="S32" s="317">
        <f t="shared" si="36"/>
        <v>0.3</v>
      </c>
      <c r="T32" s="317">
        <f t="shared" si="36"/>
        <v>0.3</v>
      </c>
      <c r="U32" s="317">
        <f t="shared" si="36"/>
        <v>0.3</v>
      </c>
      <c r="V32" s="317">
        <f t="shared" si="36"/>
        <v>0.3</v>
      </c>
      <c r="W32" s="317">
        <f t="shared" si="36"/>
        <v>0.3</v>
      </c>
      <c r="X32" s="317">
        <f t="shared" si="36"/>
        <v>0.3</v>
      </c>
      <c r="Y32" s="317">
        <f t="shared" si="36"/>
        <v>0.3</v>
      </c>
      <c r="Z32" s="318">
        <f t="shared" ref="Z32:AC32" si="37">AVERAGE(P32:Y32)</f>
        <v>0.3</v>
      </c>
      <c r="AA32" s="318">
        <f t="shared" si="37"/>
        <v>0.3</v>
      </c>
      <c r="AB32" s="318">
        <f t="shared" si="37"/>
        <v>0.3</v>
      </c>
      <c r="AC32" s="318">
        <f t="shared" si="37"/>
        <v>0.3</v>
      </c>
      <c r="AD32" s="318">
        <v>0.28</v>
      </c>
      <c r="AE32" s="318">
        <v>0.28</v>
      </c>
      <c r="AF32" s="318">
        <v>0.28</v>
      </c>
      <c r="AG32" s="318">
        <v>0.28</v>
      </c>
      <c r="AH32" s="318">
        <v>0.28</v>
      </c>
      <c r="AI32" s="318">
        <v>0.28</v>
      </c>
      <c r="AJ32" s="318">
        <v>0.28</v>
      </c>
      <c r="AK32" s="318">
        <v>0.28</v>
      </c>
      <c r="AL32" s="318">
        <v>0.28</v>
      </c>
      <c r="AM32" s="318">
        <f t="shared" ref="AM32:CH32" si="38">AVERAGE(AC32:AL32)</f>
        <v>0.282</v>
      </c>
      <c r="AN32" s="318">
        <f t="shared" si="38"/>
        <v>0.2802</v>
      </c>
      <c r="AO32" s="318">
        <f t="shared" si="38"/>
        <v>0.28022</v>
      </c>
      <c r="AP32" s="318">
        <f t="shared" si="38"/>
        <v>0.280242</v>
      </c>
      <c r="AQ32" s="318">
        <f t="shared" si="38"/>
        <v>0.2802662</v>
      </c>
      <c r="AR32" s="318">
        <f t="shared" si="38"/>
        <v>0.28029282</v>
      </c>
      <c r="AS32" s="318">
        <f t="shared" si="38"/>
        <v>0.280322102</v>
      </c>
      <c r="AT32" s="318">
        <f t="shared" si="38"/>
        <v>0.2803543122</v>
      </c>
      <c r="AU32" s="318">
        <f t="shared" si="38"/>
        <v>0.2803897434</v>
      </c>
      <c r="AV32" s="318">
        <f t="shared" si="38"/>
        <v>0.2804287178</v>
      </c>
      <c r="AW32" s="318">
        <f t="shared" si="38"/>
        <v>0.2804715895</v>
      </c>
      <c r="AX32" s="318">
        <f t="shared" si="38"/>
        <v>0.2803187485</v>
      </c>
      <c r="AY32" s="318">
        <f t="shared" si="38"/>
        <v>0.2803306233</v>
      </c>
      <c r="AZ32" s="318">
        <f t="shared" si="38"/>
        <v>0.2803416857</v>
      </c>
      <c r="BA32" s="318">
        <f t="shared" si="38"/>
        <v>0.2803516542</v>
      </c>
      <c r="BB32" s="318">
        <f t="shared" si="38"/>
        <v>0.2803601997</v>
      </c>
      <c r="BC32" s="318">
        <f t="shared" si="38"/>
        <v>0.2803669376</v>
      </c>
      <c r="BD32" s="318">
        <f t="shared" si="38"/>
        <v>0.2803714212</v>
      </c>
      <c r="BE32" s="318">
        <f t="shared" si="38"/>
        <v>0.2803731321</v>
      </c>
      <c r="BF32" s="318">
        <f t="shared" si="38"/>
        <v>0.280371471</v>
      </c>
      <c r="BG32" s="318">
        <f t="shared" si="38"/>
        <v>0.2803657463</v>
      </c>
      <c r="BH32" s="318">
        <f t="shared" si="38"/>
        <v>0.280355162</v>
      </c>
      <c r="BI32" s="318">
        <f t="shared" si="38"/>
        <v>0.2803588033</v>
      </c>
      <c r="BJ32" s="318">
        <f t="shared" si="38"/>
        <v>0.2803616213</v>
      </c>
      <c r="BK32" s="318">
        <f t="shared" si="38"/>
        <v>0.2803636149</v>
      </c>
      <c r="BL32" s="318">
        <f t="shared" si="38"/>
        <v>0.2803648109</v>
      </c>
      <c r="BM32" s="318">
        <f t="shared" si="38"/>
        <v>0.2803652721</v>
      </c>
      <c r="BN32" s="318">
        <f t="shared" si="38"/>
        <v>0.2803651055</v>
      </c>
      <c r="BO32" s="318">
        <f t="shared" si="38"/>
        <v>0.2803644739</v>
      </c>
      <c r="BP32" s="318">
        <f t="shared" si="38"/>
        <v>0.2803636081</v>
      </c>
      <c r="BQ32" s="318">
        <f t="shared" si="38"/>
        <v>0.2803628218</v>
      </c>
      <c r="BR32" s="318">
        <f t="shared" si="38"/>
        <v>0.2803625294</v>
      </c>
      <c r="BS32" s="318">
        <f t="shared" si="38"/>
        <v>0.2803632661</v>
      </c>
      <c r="BT32" s="318">
        <f t="shared" si="38"/>
        <v>0.2803637124</v>
      </c>
      <c r="BU32" s="318">
        <f t="shared" si="38"/>
        <v>0.2803639215</v>
      </c>
      <c r="BV32" s="318">
        <f t="shared" si="38"/>
        <v>0.2803639522</v>
      </c>
      <c r="BW32" s="318">
        <f t="shared" si="38"/>
        <v>0.2803638663</v>
      </c>
      <c r="BX32" s="318">
        <f t="shared" si="38"/>
        <v>0.2803637257</v>
      </c>
      <c r="BY32" s="318">
        <f t="shared" si="38"/>
        <v>0.2803635877</v>
      </c>
      <c r="BZ32" s="318">
        <f t="shared" si="38"/>
        <v>0.2803634991</v>
      </c>
      <c r="CA32" s="318">
        <f t="shared" si="38"/>
        <v>0.2803634882</v>
      </c>
      <c r="CB32" s="318">
        <f t="shared" si="38"/>
        <v>0.2803635549</v>
      </c>
      <c r="CC32" s="318">
        <f t="shared" si="38"/>
        <v>0.2803636574</v>
      </c>
      <c r="CD32" s="318">
        <f t="shared" si="38"/>
        <v>0.2803636966</v>
      </c>
      <c r="CE32" s="318">
        <f t="shared" si="38"/>
        <v>0.280363695</v>
      </c>
      <c r="CF32" s="318">
        <f t="shared" si="38"/>
        <v>0.2803636723</v>
      </c>
      <c r="CG32" s="318">
        <f t="shared" si="38"/>
        <v>0.2803636443</v>
      </c>
      <c r="CH32" s="318">
        <f t="shared" si="38"/>
        <v>0.2803636221</v>
      </c>
      <c r="CI32" s="1"/>
      <c r="CJ32" s="1"/>
      <c r="CK32" s="1"/>
      <c r="CL32" s="1"/>
      <c r="CM32" s="1"/>
      <c r="CN32" s="1"/>
      <c r="CO32" s="1"/>
      <c r="CP32" s="1"/>
    </row>
    <row r="33" ht="15.75" customHeight="1">
      <c r="A33" s="1" t="s">
        <v>130</v>
      </c>
      <c r="B33" s="317"/>
      <c r="C33" s="317">
        <f t="shared" ref="C33:Y33" si="39">IFERROR(C41/C8,0)</f>
        <v>0.3</v>
      </c>
      <c r="D33" s="317">
        <f t="shared" si="39"/>
        <v>0.3</v>
      </c>
      <c r="E33" s="317">
        <f t="shared" si="39"/>
        <v>0.3</v>
      </c>
      <c r="F33" s="317">
        <f t="shared" si="39"/>
        <v>0.3</v>
      </c>
      <c r="G33" s="317">
        <f t="shared" si="39"/>
        <v>0.3</v>
      </c>
      <c r="H33" s="317">
        <f t="shared" si="39"/>
        <v>0.3</v>
      </c>
      <c r="I33" s="317">
        <f t="shared" si="39"/>
        <v>0.3</v>
      </c>
      <c r="J33" s="317">
        <f t="shared" si="39"/>
        <v>0.3</v>
      </c>
      <c r="K33" s="317">
        <f t="shared" si="39"/>
        <v>0.3</v>
      </c>
      <c r="L33" s="317">
        <f t="shared" si="39"/>
        <v>0.3</v>
      </c>
      <c r="M33" s="317">
        <f t="shared" si="39"/>
        <v>0.3</v>
      </c>
      <c r="N33" s="317">
        <f t="shared" si="39"/>
        <v>0.3</v>
      </c>
      <c r="O33" s="317">
        <f t="shared" si="39"/>
        <v>0.3</v>
      </c>
      <c r="P33" s="317">
        <f t="shared" si="39"/>
        <v>0.3</v>
      </c>
      <c r="Q33" s="317">
        <f t="shared" si="39"/>
        <v>0.3</v>
      </c>
      <c r="R33" s="317">
        <f t="shared" si="39"/>
        <v>0.3</v>
      </c>
      <c r="S33" s="317">
        <f t="shared" si="39"/>
        <v>0.3</v>
      </c>
      <c r="T33" s="317">
        <f t="shared" si="39"/>
        <v>0.3</v>
      </c>
      <c r="U33" s="317">
        <f t="shared" si="39"/>
        <v>0.3</v>
      </c>
      <c r="V33" s="317">
        <f t="shared" si="39"/>
        <v>0.3</v>
      </c>
      <c r="W33" s="317">
        <f t="shared" si="39"/>
        <v>0.3</v>
      </c>
      <c r="X33" s="317">
        <f t="shared" si="39"/>
        <v>0.3</v>
      </c>
      <c r="Y33" s="317">
        <f t="shared" si="39"/>
        <v>0.3</v>
      </c>
      <c r="Z33" s="318">
        <f t="shared" ref="Z33:AC33" si="40">AVERAGE(P33:Y33)</f>
        <v>0.3</v>
      </c>
      <c r="AA33" s="318">
        <f t="shared" si="40"/>
        <v>0.3</v>
      </c>
      <c r="AB33" s="318">
        <f t="shared" si="40"/>
        <v>0.3</v>
      </c>
      <c r="AC33" s="318">
        <f t="shared" si="40"/>
        <v>0.3</v>
      </c>
      <c r="AD33" s="318">
        <v>0.29</v>
      </c>
      <c r="AE33" s="318">
        <v>0.29</v>
      </c>
      <c r="AF33" s="318">
        <v>0.29</v>
      </c>
      <c r="AG33" s="318">
        <v>0.29</v>
      </c>
      <c r="AH33" s="318">
        <v>0.29</v>
      </c>
      <c r="AI33" s="318">
        <v>0.29</v>
      </c>
      <c r="AJ33" s="318">
        <v>0.29</v>
      </c>
      <c r="AK33" s="318">
        <v>0.29</v>
      </c>
      <c r="AL33" s="318">
        <v>0.29</v>
      </c>
      <c r="AM33" s="318">
        <f t="shared" ref="AM33:CH33" si="41">AVERAGE(AC33:AL33)</f>
        <v>0.291</v>
      </c>
      <c r="AN33" s="318">
        <f t="shared" si="41"/>
        <v>0.2901</v>
      </c>
      <c r="AO33" s="318">
        <f t="shared" si="41"/>
        <v>0.29011</v>
      </c>
      <c r="AP33" s="318">
        <f t="shared" si="41"/>
        <v>0.290121</v>
      </c>
      <c r="AQ33" s="318">
        <f t="shared" si="41"/>
        <v>0.2901331</v>
      </c>
      <c r="AR33" s="318">
        <f t="shared" si="41"/>
        <v>0.29014641</v>
      </c>
      <c r="AS33" s="318">
        <f t="shared" si="41"/>
        <v>0.290161051</v>
      </c>
      <c r="AT33" s="318">
        <f t="shared" si="41"/>
        <v>0.2901771561</v>
      </c>
      <c r="AU33" s="318">
        <f t="shared" si="41"/>
        <v>0.2901948717</v>
      </c>
      <c r="AV33" s="318">
        <f t="shared" si="41"/>
        <v>0.2902143589</v>
      </c>
      <c r="AW33" s="318">
        <f t="shared" si="41"/>
        <v>0.2902357948</v>
      </c>
      <c r="AX33" s="318">
        <f t="shared" si="41"/>
        <v>0.2901593742</v>
      </c>
      <c r="AY33" s="318">
        <f t="shared" si="41"/>
        <v>0.2901653117</v>
      </c>
      <c r="AZ33" s="318">
        <f t="shared" si="41"/>
        <v>0.2901708428</v>
      </c>
      <c r="BA33" s="318">
        <f t="shared" si="41"/>
        <v>0.2901758271</v>
      </c>
      <c r="BB33" s="318">
        <f t="shared" si="41"/>
        <v>0.2901800998</v>
      </c>
      <c r="BC33" s="318">
        <f t="shared" si="41"/>
        <v>0.2901834688</v>
      </c>
      <c r="BD33" s="318">
        <f t="shared" si="41"/>
        <v>0.2901857106</v>
      </c>
      <c r="BE33" s="318">
        <f t="shared" si="41"/>
        <v>0.290186566</v>
      </c>
      <c r="BF33" s="318">
        <f t="shared" si="41"/>
        <v>0.2901857355</v>
      </c>
      <c r="BG33" s="318">
        <f t="shared" si="41"/>
        <v>0.2901828731</v>
      </c>
      <c r="BH33" s="318">
        <f t="shared" si="41"/>
        <v>0.290177581</v>
      </c>
      <c r="BI33" s="318">
        <f t="shared" si="41"/>
        <v>0.2901794017</v>
      </c>
      <c r="BJ33" s="318">
        <f t="shared" si="41"/>
        <v>0.2901808107</v>
      </c>
      <c r="BK33" s="318">
        <f t="shared" si="41"/>
        <v>0.2901818074</v>
      </c>
      <c r="BL33" s="318">
        <f t="shared" si="41"/>
        <v>0.2901824055</v>
      </c>
      <c r="BM33" s="318">
        <f t="shared" si="41"/>
        <v>0.290182636</v>
      </c>
      <c r="BN33" s="318">
        <f t="shared" si="41"/>
        <v>0.2901825527</v>
      </c>
      <c r="BO33" s="318">
        <f t="shared" si="41"/>
        <v>0.290182237</v>
      </c>
      <c r="BP33" s="318">
        <f t="shared" si="41"/>
        <v>0.2901818041</v>
      </c>
      <c r="BQ33" s="318">
        <f t="shared" si="41"/>
        <v>0.2901814109</v>
      </c>
      <c r="BR33" s="318">
        <f t="shared" si="41"/>
        <v>0.2901812647</v>
      </c>
      <c r="BS33" s="318">
        <f t="shared" si="41"/>
        <v>0.2901816331</v>
      </c>
      <c r="BT33" s="318">
        <f t="shared" si="41"/>
        <v>0.2901818562</v>
      </c>
      <c r="BU33" s="318">
        <f t="shared" si="41"/>
        <v>0.2901819608</v>
      </c>
      <c r="BV33" s="318">
        <f t="shared" si="41"/>
        <v>0.2901819761</v>
      </c>
      <c r="BW33" s="318">
        <f t="shared" si="41"/>
        <v>0.2901819331</v>
      </c>
      <c r="BX33" s="318">
        <f t="shared" si="41"/>
        <v>0.2901818629</v>
      </c>
      <c r="BY33" s="318">
        <f t="shared" si="41"/>
        <v>0.2901817939</v>
      </c>
      <c r="BZ33" s="318">
        <f t="shared" si="41"/>
        <v>0.2901817496</v>
      </c>
      <c r="CA33" s="318">
        <f t="shared" si="41"/>
        <v>0.2901817441</v>
      </c>
      <c r="CB33" s="318">
        <f t="shared" si="41"/>
        <v>0.2901817774</v>
      </c>
      <c r="CC33" s="318">
        <f t="shared" si="41"/>
        <v>0.2901818287</v>
      </c>
      <c r="CD33" s="318">
        <f t="shared" si="41"/>
        <v>0.2901818483</v>
      </c>
      <c r="CE33" s="318">
        <f t="shared" si="41"/>
        <v>0.2901818475</v>
      </c>
      <c r="CF33" s="318">
        <f t="shared" si="41"/>
        <v>0.2901818362</v>
      </c>
      <c r="CG33" s="318">
        <f t="shared" si="41"/>
        <v>0.2901818222</v>
      </c>
      <c r="CH33" s="318">
        <f t="shared" si="41"/>
        <v>0.2901818111</v>
      </c>
      <c r="CI33" s="1"/>
      <c r="CJ33" s="1"/>
      <c r="CK33" s="1"/>
      <c r="CL33" s="1"/>
      <c r="CM33" s="1"/>
      <c r="CN33" s="1"/>
      <c r="CO33" s="1"/>
      <c r="CP33" s="1"/>
    </row>
    <row r="34" ht="15.75" customHeight="1">
      <c r="A34" s="1" t="s">
        <v>89</v>
      </c>
      <c r="B34" s="317"/>
      <c r="C34" s="317">
        <f t="shared" ref="C34:Y34" si="42">IFERROR(C42/C9,0)</f>
        <v>0.3</v>
      </c>
      <c r="D34" s="317">
        <f t="shared" si="42"/>
        <v>0.3</v>
      </c>
      <c r="E34" s="317">
        <f t="shared" si="42"/>
        <v>0.3</v>
      </c>
      <c r="F34" s="317">
        <f t="shared" si="42"/>
        <v>0.3</v>
      </c>
      <c r="G34" s="317">
        <f t="shared" si="42"/>
        <v>0.3</v>
      </c>
      <c r="H34" s="317">
        <f t="shared" si="42"/>
        <v>0.3</v>
      </c>
      <c r="I34" s="317">
        <f t="shared" si="42"/>
        <v>0.3</v>
      </c>
      <c r="J34" s="317">
        <f t="shared" si="42"/>
        <v>0.3</v>
      </c>
      <c r="K34" s="317">
        <f t="shared" si="42"/>
        <v>0.3</v>
      </c>
      <c r="L34" s="317">
        <f t="shared" si="42"/>
        <v>0.3</v>
      </c>
      <c r="M34" s="317">
        <f t="shared" si="42"/>
        <v>0.3</v>
      </c>
      <c r="N34" s="317">
        <f t="shared" si="42"/>
        <v>0.3</v>
      </c>
      <c r="O34" s="317">
        <f t="shared" si="42"/>
        <v>0.3</v>
      </c>
      <c r="P34" s="317">
        <f t="shared" si="42"/>
        <v>0.3</v>
      </c>
      <c r="Q34" s="317">
        <f t="shared" si="42"/>
        <v>0.3</v>
      </c>
      <c r="R34" s="317">
        <f t="shared" si="42"/>
        <v>0.3</v>
      </c>
      <c r="S34" s="317">
        <f t="shared" si="42"/>
        <v>0.3</v>
      </c>
      <c r="T34" s="317">
        <f t="shared" si="42"/>
        <v>0.3</v>
      </c>
      <c r="U34" s="317">
        <f t="shared" si="42"/>
        <v>0.3</v>
      </c>
      <c r="V34" s="317">
        <f t="shared" si="42"/>
        <v>0.3</v>
      </c>
      <c r="W34" s="317">
        <f t="shared" si="42"/>
        <v>0.3</v>
      </c>
      <c r="X34" s="317">
        <f t="shared" si="42"/>
        <v>0.3</v>
      </c>
      <c r="Y34" s="317">
        <f t="shared" si="42"/>
        <v>0.3</v>
      </c>
      <c r="Z34" s="318">
        <f t="shared" ref="Z34:AC34" si="43">AVERAGE(P34:Y34)</f>
        <v>0.3</v>
      </c>
      <c r="AA34" s="318">
        <f t="shared" si="43"/>
        <v>0.3</v>
      </c>
      <c r="AB34" s="318">
        <f t="shared" si="43"/>
        <v>0.3</v>
      </c>
      <c r="AC34" s="318">
        <f t="shared" si="43"/>
        <v>0.3</v>
      </c>
      <c r="AD34" s="318">
        <v>0.17</v>
      </c>
      <c r="AE34" s="318">
        <v>0.17</v>
      </c>
      <c r="AF34" s="318">
        <v>0.17</v>
      </c>
      <c r="AG34" s="318">
        <v>0.17</v>
      </c>
      <c r="AH34" s="318">
        <v>0.17</v>
      </c>
      <c r="AI34" s="318">
        <v>0.17</v>
      </c>
      <c r="AJ34" s="318">
        <v>0.17</v>
      </c>
      <c r="AK34" s="318">
        <v>0.17</v>
      </c>
      <c r="AL34" s="318">
        <v>0.17</v>
      </c>
      <c r="AM34" s="318">
        <f t="shared" ref="AM34:CH34" si="44">AVERAGE(AC34:AL34)</f>
        <v>0.183</v>
      </c>
      <c r="AN34" s="318">
        <f t="shared" si="44"/>
        <v>0.1713</v>
      </c>
      <c r="AO34" s="318">
        <f t="shared" si="44"/>
        <v>0.17143</v>
      </c>
      <c r="AP34" s="318">
        <f t="shared" si="44"/>
        <v>0.171573</v>
      </c>
      <c r="AQ34" s="318">
        <f t="shared" si="44"/>
        <v>0.1717303</v>
      </c>
      <c r="AR34" s="318">
        <f t="shared" si="44"/>
        <v>0.17190333</v>
      </c>
      <c r="AS34" s="318">
        <f t="shared" si="44"/>
        <v>0.172093663</v>
      </c>
      <c r="AT34" s="318">
        <f t="shared" si="44"/>
        <v>0.1723030293</v>
      </c>
      <c r="AU34" s="318">
        <f t="shared" si="44"/>
        <v>0.1725333322</v>
      </c>
      <c r="AV34" s="318">
        <f t="shared" si="44"/>
        <v>0.1727866655</v>
      </c>
      <c r="AW34" s="318">
        <f t="shared" si="44"/>
        <v>0.173065332</v>
      </c>
      <c r="AX34" s="318">
        <f t="shared" si="44"/>
        <v>0.1720718652</v>
      </c>
      <c r="AY34" s="318">
        <f t="shared" si="44"/>
        <v>0.1721490517</v>
      </c>
      <c r="AZ34" s="318">
        <f t="shared" si="44"/>
        <v>0.1722209569</v>
      </c>
      <c r="BA34" s="318">
        <f t="shared" si="44"/>
        <v>0.1722857526</v>
      </c>
      <c r="BB34" s="318">
        <f t="shared" si="44"/>
        <v>0.1723412978</v>
      </c>
      <c r="BC34" s="318">
        <f t="shared" si="44"/>
        <v>0.1723850946</v>
      </c>
      <c r="BD34" s="318">
        <f t="shared" si="44"/>
        <v>0.1724142378</v>
      </c>
      <c r="BE34" s="318">
        <f t="shared" si="44"/>
        <v>0.1724253586</v>
      </c>
      <c r="BF34" s="318">
        <f t="shared" si="44"/>
        <v>0.1724145613</v>
      </c>
      <c r="BG34" s="318">
        <f t="shared" si="44"/>
        <v>0.1723773509</v>
      </c>
      <c r="BH34" s="318">
        <f t="shared" si="44"/>
        <v>0.1723085527</v>
      </c>
      <c r="BI34" s="318">
        <f t="shared" si="44"/>
        <v>0.1723322215</v>
      </c>
      <c r="BJ34" s="318">
        <f t="shared" si="44"/>
        <v>0.1723505385</v>
      </c>
      <c r="BK34" s="318">
        <f t="shared" si="44"/>
        <v>0.1723634966</v>
      </c>
      <c r="BL34" s="318">
        <f t="shared" si="44"/>
        <v>0.172371271</v>
      </c>
      <c r="BM34" s="318">
        <f t="shared" si="44"/>
        <v>0.1723742684</v>
      </c>
      <c r="BN34" s="318">
        <f t="shared" si="44"/>
        <v>0.1723731857</v>
      </c>
      <c r="BO34" s="318">
        <f t="shared" si="44"/>
        <v>0.1723690805</v>
      </c>
      <c r="BP34" s="318">
        <f t="shared" si="44"/>
        <v>0.1723634527</v>
      </c>
      <c r="BQ34" s="318">
        <f t="shared" si="44"/>
        <v>0.1723583419</v>
      </c>
      <c r="BR34" s="318">
        <f t="shared" si="44"/>
        <v>0.172356441</v>
      </c>
      <c r="BS34" s="318">
        <f t="shared" si="44"/>
        <v>0.1723612298</v>
      </c>
      <c r="BT34" s="318">
        <f t="shared" si="44"/>
        <v>0.1723641306</v>
      </c>
      <c r="BU34" s="318">
        <f t="shared" si="44"/>
        <v>0.1723654898</v>
      </c>
      <c r="BV34" s="318">
        <f t="shared" si="44"/>
        <v>0.1723656891</v>
      </c>
      <c r="BW34" s="318">
        <f t="shared" si="44"/>
        <v>0.1723651309</v>
      </c>
      <c r="BX34" s="318">
        <f t="shared" si="44"/>
        <v>0.1723642172</v>
      </c>
      <c r="BY34" s="318">
        <f t="shared" si="44"/>
        <v>0.1723633203</v>
      </c>
      <c r="BZ34" s="318">
        <f t="shared" si="44"/>
        <v>0.1723627443</v>
      </c>
      <c r="CA34" s="318">
        <f t="shared" si="44"/>
        <v>0.1723626735</v>
      </c>
      <c r="CB34" s="318">
        <f t="shared" si="44"/>
        <v>0.1723631067</v>
      </c>
      <c r="CC34" s="318">
        <f t="shared" si="44"/>
        <v>0.1723637732</v>
      </c>
      <c r="CD34" s="318">
        <f t="shared" si="44"/>
        <v>0.1723640276</v>
      </c>
      <c r="CE34" s="318">
        <f t="shared" si="44"/>
        <v>0.1723640173</v>
      </c>
      <c r="CF34" s="318">
        <f t="shared" si="44"/>
        <v>0.17236387</v>
      </c>
      <c r="CG34" s="318">
        <f t="shared" si="44"/>
        <v>0.1723636881</v>
      </c>
      <c r="CH34" s="318">
        <f t="shared" si="44"/>
        <v>0.1723635438</v>
      </c>
      <c r="CI34" s="1"/>
      <c r="CJ34" s="1"/>
      <c r="CK34" s="1"/>
      <c r="CL34" s="1"/>
      <c r="CM34" s="1"/>
      <c r="CN34" s="1"/>
      <c r="CO34" s="1"/>
      <c r="CP34" s="1"/>
    </row>
    <row r="35" ht="15.75" customHeight="1">
      <c r="A35" s="1" t="s">
        <v>94</v>
      </c>
      <c r="B35" s="317"/>
      <c r="C35" s="317">
        <f t="shared" ref="C35:Y35" si="45">IFERROR(C43/C10,0)</f>
        <v>0.3</v>
      </c>
      <c r="D35" s="317">
        <f t="shared" si="45"/>
        <v>0.3</v>
      </c>
      <c r="E35" s="317">
        <f t="shared" si="45"/>
        <v>0.3</v>
      </c>
      <c r="F35" s="317">
        <f t="shared" si="45"/>
        <v>0.3</v>
      </c>
      <c r="G35" s="317">
        <f t="shared" si="45"/>
        <v>0.3</v>
      </c>
      <c r="H35" s="317">
        <f t="shared" si="45"/>
        <v>0.3</v>
      </c>
      <c r="I35" s="317">
        <f t="shared" si="45"/>
        <v>0.3</v>
      </c>
      <c r="J35" s="317">
        <f t="shared" si="45"/>
        <v>0.3</v>
      </c>
      <c r="K35" s="317">
        <f t="shared" si="45"/>
        <v>0.3</v>
      </c>
      <c r="L35" s="317">
        <f t="shared" si="45"/>
        <v>0.3</v>
      </c>
      <c r="M35" s="317">
        <f t="shared" si="45"/>
        <v>0.3</v>
      </c>
      <c r="N35" s="317">
        <f t="shared" si="45"/>
        <v>0.3</v>
      </c>
      <c r="O35" s="317">
        <f t="shared" si="45"/>
        <v>0.3</v>
      </c>
      <c r="P35" s="317">
        <f t="shared" si="45"/>
        <v>0.3</v>
      </c>
      <c r="Q35" s="317">
        <f t="shared" si="45"/>
        <v>0.3</v>
      </c>
      <c r="R35" s="317">
        <f t="shared" si="45"/>
        <v>0.3</v>
      </c>
      <c r="S35" s="317">
        <f t="shared" si="45"/>
        <v>0.3</v>
      </c>
      <c r="T35" s="317">
        <f t="shared" si="45"/>
        <v>0.3</v>
      </c>
      <c r="U35" s="317">
        <f t="shared" si="45"/>
        <v>0.3</v>
      </c>
      <c r="V35" s="317">
        <f t="shared" si="45"/>
        <v>0.3</v>
      </c>
      <c r="W35" s="317">
        <f t="shared" si="45"/>
        <v>0.3</v>
      </c>
      <c r="X35" s="317">
        <f t="shared" si="45"/>
        <v>0.3</v>
      </c>
      <c r="Y35" s="317">
        <f t="shared" si="45"/>
        <v>0.3</v>
      </c>
      <c r="Z35" s="318">
        <f t="shared" ref="Z35:AC35" si="46">AVERAGE(P35:Y35)</f>
        <v>0.3</v>
      </c>
      <c r="AA35" s="318">
        <f t="shared" si="46"/>
        <v>0.3</v>
      </c>
      <c r="AB35" s="318">
        <f t="shared" si="46"/>
        <v>0.3</v>
      </c>
      <c r="AC35" s="318">
        <f t="shared" si="46"/>
        <v>0.3</v>
      </c>
      <c r="AD35" s="318">
        <v>0.2</v>
      </c>
      <c r="AE35" s="318">
        <v>0.2</v>
      </c>
      <c r="AF35" s="318">
        <v>0.2</v>
      </c>
      <c r="AG35" s="318">
        <v>0.2</v>
      </c>
      <c r="AH35" s="318">
        <v>0.2</v>
      </c>
      <c r="AI35" s="318">
        <v>0.2</v>
      </c>
      <c r="AJ35" s="318">
        <v>0.2</v>
      </c>
      <c r="AK35" s="318">
        <v>0.2</v>
      </c>
      <c r="AL35" s="318">
        <v>0.2</v>
      </c>
      <c r="AM35" s="318">
        <f t="shared" ref="AM35:CH35" si="47">AVERAGE(AC35:AL35)</f>
        <v>0.21</v>
      </c>
      <c r="AN35" s="318">
        <f t="shared" si="47"/>
        <v>0.201</v>
      </c>
      <c r="AO35" s="318">
        <f t="shared" si="47"/>
        <v>0.2011</v>
      </c>
      <c r="AP35" s="318">
        <f t="shared" si="47"/>
        <v>0.20121</v>
      </c>
      <c r="AQ35" s="318">
        <f t="shared" si="47"/>
        <v>0.201331</v>
      </c>
      <c r="AR35" s="318">
        <f t="shared" si="47"/>
        <v>0.2014641</v>
      </c>
      <c r="AS35" s="318">
        <f t="shared" si="47"/>
        <v>0.20161051</v>
      </c>
      <c r="AT35" s="318">
        <f t="shared" si="47"/>
        <v>0.201771561</v>
      </c>
      <c r="AU35" s="318">
        <f t="shared" si="47"/>
        <v>0.2019487171</v>
      </c>
      <c r="AV35" s="318">
        <f t="shared" si="47"/>
        <v>0.2021435888</v>
      </c>
      <c r="AW35" s="318">
        <f t="shared" si="47"/>
        <v>0.2023579477</v>
      </c>
      <c r="AX35" s="318">
        <f t="shared" si="47"/>
        <v>0.2015937425</v>
      </c>
      <c r="AY35" s="318">
        <f t="shared" si="47"/>
        <v>0.2016531167</v>
      </c>
      <c r="AZ35" s="318">
        <f t="shared" si="47"/>
        <v>0.2017084284</v>
      </c>
      <c r="BA35" s="318">
        <f t="shared" si="47"/>
        <v>0.2017582712</v>
      </c>
      <c r="BB35" s="318">
        <f t="shared" si="47"/>
        <v>0.2018009983</v>
      </c>
      <c r="BC35" s="318">
        <f t="shared" si="47"/>
        <v>0.2018346882</v>
      </c>
      <c r="BD35" s="318">
        <f t="shared" si="47"/>
        <v>0.201857106</v>
      </c>
      <c r="BE35" s="318">
        <f t="shared" si="47"/>
        <v>0.2018656605</v>
      </c>
      <c r="BF35" s="318">
        <f t="shared" si="47"/>
        <v>0.2018573548</v>
      </c>
      <c r="BG35" s="318">
        <f t="shared" si="47"/>
        <v>0.2018287314</v>
      </c>
      <c r="BH35" s="318">
        <f t="shared" si="47"/>
        <v>0.2017758098</v>
      </c>
      <c r="BI35" s="318">
        <f t="shared" si="47"/>
        <v>0.2017940165</v>
      </c>
      <c r="BJ35" s="318">
        <f t="shared" si="47"/>
        <v>0.2018081065</v>
      </c>
      <c r="BK35" s="318">
        <f t="shared" si="47"/>
        <v>0.2018180743</v>
      </c>
      <c r="BL35" s="318">
        <f t="shared" si="47"/>
        <v>0.2018240546</v>
      </c>
      <c r="BM35" s="318">
        <f t="shared" si="47"/>
        <v>0.2018263603</v>
      </c>
      <c r="BN35" s="318">
        <f t="shared" si="47"/>
        <v>0.2018255275</v>
      </c>
      <c r="BO35" s="318">
        <f t="shared" si="47"/>
        <v>0.2018223696</v>
      </c>
      <c r="BP35" s="318">
        <f t="shared" si="47"/>
        <v>0.2018180405</v>
      </c>
      <c r="BQ35" s="318">
        <f t="shared" si="47"/>
        <v>0.2018141091</v>
      </c>
      <c r="BR35" s="318">
        <f t="shared" si="47"/>
        <v>0.2018126469</v>
      </c>
      <c r="BS35" s="318">
        <f t="shared" si="47"/>
        <v>0.2018163306</v>
      </c>
      <c r="BT35" s="318">
        <f t="shared" si="47"/>
        <v>0.201818562</v>
      </c>
      <c r="BU35" s="318">
        <f t="shared" si="47"/>
        <v>0.2018196075</v>
      </c>
      <c r="BV35" s="318">
        <f t="shared" si="47"/>
        <v>0.2018197609</v>
      </c>
      <c r="BW35" s="318">
        <f t="shared" si="47"/>
        <v>0.2018193315</v>
      </c>
      <c r="BX35" s="318">
        <f t="shared" si="47"/>
        <v>0.2018186286</v>
      </c>
      <c r="BY35" s="318">
        <f t="shared" si="47"/>
        <v>0.2018179387</v>
      </c>
      <c r="BZ35" s="318">
        <f t="shared" si="47"/>
        <v>0.2018174956</v>
      </c>
      <c r="CA35" s="318">
        <f t="shared" si="47"/>
        <v>0.2018174411</v>
      </c>
      <c r="CB35" s="318">
        <f t="shared" si="47"/>
        <v>0.2018177744</v>
      </c>
      <c r="CC35" s="318">
        <f t="shared" si="47"/>
        <v>0.2018182871</v>
      </c>
      <c r="CD35" s="318">
        <f t="shared" si="47"/>
        <v>0.2018184828</v>
      </c>
      <c r="CE35" s="318">
        <f t="shared" si="47"/>
        <v>0.2018184748</v>
      </c>
      <c r="CF35" s="318">
        <f t="shared" si="47"/>
        <v>0.2018183616</v>
      </c>
      <c r="CG35" s="318">
        <f t="shared" si="47"/>
        <v>0.2018182216</v>
      </c>
      <c r="CH35" s="318">
        <f t="shared" si="47"/>
        <v>0.2018181106</v>
      </c>
      <c r="CI35" s="1"/>
      <c r="CJ35" s="1"/>
      <c r="CK35" s="1"/>
      <c r="CL35" s="1"/>
      <c r="CM35" s="1"/>
      <c r="CN35" s="1"/>
      <c r="CO35" s="1"/>
      <c r="CP35" s="1"/>
    </row>
    <row r="36" ht="15.75" customHeight="1">
      <c r="A36" s="1" t="s">
        <v>96</v>
      </c>
      <c r="B36" s="317"/>
      <c r="C36" s="317">
        <f t="shared" ref="C36:Y36" si="48">IFERROR(C44/C11,0)</f>
        <v>0.3</v>
      </c>
      <c r="D36" s="317">
        <f t="shared" si="48"/>
        <v>0.3</v>
      </c>
      <c r="E36" s="317">
        <f t="shared" si="48"/>
        <v>0.3</v>
      </c>
      <c r="F36" s="317">
        <f t="shared" si="48"/>
        <v>0.3</v>
      </c>
      <c r="G36" s="317">
        <f t="shared" si="48"/>
        <v>0.3</v>
      </c>
      <c r="H36" s="317">
        <f t="shared" si="48"/>
        <v>0.3</v>
      </c>
      <c r="I36" s="317">
        <f t="shared" si="48"/>
        <v>0.3</v>
      </c>
      <c r="J36" s="317">
        <f t="shared" si="48"/>
        <v>0.3</v>
      </c>
      <c r="K36" s="317">
        <f t="shared" si="48"/>
        <v>0.3</v>
      </c>
      <c r="L36" s="317">
        <f t="shared" si="48"/>
        <v>0.3</v>
      </c>
      <c r="M36" s="317">
        <f t="shared" si="48"/>
        <v>0.3</v>
      </c>
      <c r="N36" s="317">
        <f t="shared" si="48"/>
        <v>0.3</v>
      </c>
      <c r="O36" s="317">
        <f t="shared" si="48"/>
        <v>0.3</v>
      </c>
      <c r="P36" s="317">
        <f t="shared" si="48"/>
        <v>0.3</v>
      </c>
      <c r="Q36" s="317">
        <f t="shared" si="48"/>
        <v>0.3</v>
      </c>
      <c r="R36" s="317">
        <f t="shared" si="48"/>
        <v>0.3</v>
      </c>
      <c r="S36" s="317">
        <f t="shared" si="48"/>
        <v>0.3</v>
      </c>
      <c r="T36" s="317">
        <f t="shared" si="48"/>
        <v>0.3</v>
      </c>
      <c r="U36" s="317">
        <f t="shared" si="48"/>
        <v>0.3</v>
      </c>
      <c r="V36" s="317">
        <f t="shared" si="48"/>
        <v>0.3</v>
      </c>
      <c r="W36" s="317">
        <f t="shared" si="48"/>
        <v>0.3</v>
      </c>
      <c r="X36" s="317">
        <f t="shared" si="48"/>
        <v>0.3</v>
      </c>
      <c r="Y36" s="317">
        <f t="shared" si="48"/>
        <v>0.3</v>
      </c>
      <c r="Z36" s="318">
        <f>AVERAGE(P36:Y36)</f>
        <v>0.3</v>
      </c>
      <c r="AA36" s="318">
        <v>0.11</v>
      </c>
      <c r="AB36" s="318">
        <v>0.11</v>
      </c>
      <c r="AC36" s="318">
        <v>0.11</v>
      </c>
      <c r="AD36" s="318">
        <v>0.11</v>
      </c>
      <c r="AE36" s="318">
        <v>0.11</v>
      </c>
      <c r="AF36" s="318">
        <v>0.11</v>
      </c>
      <c r="AG36" s="318">
        <v>0.11</v>
      </c>
      <c r="AH36" s="318">
        <v>0.11</v>
      </c>
      <c r="AI36" s="318">
        <v>0.11</v>
      </c>
      <c r="AJ36" s="318">
        <v>0.11</v>
      </c>
      <c r="AK36" s="318">
        <v>0.11</v>
      </c>
      <c r="AL36" s="318">
        <v>0.11</v>
      </c>
      <c r="AM36" s="318">
        <v>0.11</v>
      </c>
      <c r="AN36" s="318">
        <v>0.11</v>
      </c>
      <c r="AO36" s="318">
        <v>0.11</v>
      </c>
      <c r="AP36" s="318">
        <v>0.11</v>
      </c>
      <c r="AQ36" s="318">
        <v>0.11</v>
      </c>
      <c r="AR36" s="318">
        <v>0.11</v>
      </c>
      <c r="AS36" s="318">
        <v>0.11</v>
      </c>
      <c r="AT36" s="318">
        <v>0.11</v>
      </c>
      <c r="AU36" s="318">
        <v>0.11</v>
      </c>
      <c r="AV36" s="318">
        <v>0.11</v>
      </c>
      <c r="AW36" s="318">
        <v>0.11</v>
      </c>
      <c r="AX36" s="318">
        <v>0.11</v>
      </c>
      <c r="AY36" s="318">
        <v>0.11</v>
      </c>
      <c r="AZ36" s="318">
        <v>0.11</v>
      </c>
      <c r="BA36" s="318">
        <v>0.11</v>
      </c>
      <c r="BB36" s="318">
        <v>0.11</v>
      </c>
      <c r="BC36" s="318">
        <v>0.11</v>
      </c>
      <c r="BD36" s="318">
        <v>0.11</v>
      </c>
      <c r="BE36" s="318">
        <v>0.11</v>
      </c>
      <c r="BF36" s="318">
        <v>0.11</v>
      </c>
      <c r="BG36" s="318">
        <v>0.11</v>
      </c>
      <c r="BH36" s="318">
        <v>0.11</v>
      </c>
      <c r="BI36" s="318">
        <v>0.11</v>
      </c>
      <c r="BJ36" s="318">
        <v>0.11</v>
      </c>
      <c r="BK36" s="318">
        <v>0.11</v>
      </c>
      <c r="BL36" s="318">
        <v>0.11</v>
      </c>
      <c r="BM36" s="318">
        <v>0.11</v>
      </c>
      <c r="BN36" s="318">
        <v>0.11</v>
      </c>
      <c r="BO36" s="318">
        <v>0.11</v>
      </c>
      <c r="BP36" s="318">
        <v>0.11</v>
      </c>
      <c r="BQ36" s="318">
        <v>0.11</v>
      </c>
      <c r="BR36" s="318">
        <v>0.11</v>
      </c>
      <c r="BS36" s="318">
        <v>0.11</v>
      </c>
      <c r="BT36" s="318">
        <v>0.11</v>
      </c>
      <c r="BU36" s="318">
        <v>0.11</v>
      </c>
      <c r="BV36" s="318">
        <v>0.11</v>
      </c>
      <c r="BW36" s="318">
        <v>0.11</v>
      </c>
      <c r="BX36" s="318">
        <v>0.11</v>
      </c>
      <c r="BY36" s="318">
        <v>0.11</v>
      </c>
      <c r="BZ36" s="318">
        <v>0.11</v>
      </c>
      <c r="CA36" s="318">
        <v>0.11</v>
      </c>
      <c r="CB36" s="318">
        <v>0.11</v>
      </c>
      <c r="CC36" s="318">
        <v>0.11</v>
      </c>
      <c r="CD36" s="318">
        <v>0.11</v>
      </c>
      <c r="CE36" s="318">
        <v>0.11</v>
      </c>
      <c r="CF36" s="318">
        <v>0.11</v>
      </c>
      <c r="CG36" s="318">
        <v>0.11</v>
      </c>
      <c r="CH36" s="318">
        <v>0.11</v>
      </c>
      <c r="CI36" s="1"/>
      <c r="CJ36" s="1"/>
      <c r="CK36" s="1"/>
      <c r="CL36" s="1"/>
      <c r="CM36" s="1"/>
      <c r="CN36" s="1"/>
      <c r="CO36" s="1"/>
      <c r="CP36" s="1"/>
    </row>
    <row r="37" ht="15.75" customHeight="1">
      <c r="A37" s="119" t="s">
        <v>596</v>
      </c>
      <c r="B37" s="319"/>
      <c r="C37" s="319">
        <f t="shared" ref="C37:CH37" si="49">SUMPRODUCT(C31:C36,C23:C28)/SUM(C23:C28)</f>
        <v>0.3</v>
      </c>
      <c r="D37" s="319">
        <f t="shared" si="49"/>
        <v>0.3</v>
      </c>
      <c r="E37" s="319">
        <f t="shared" si="49"/>
        <v>0.3</v>
      </c>
      <c r="F37" s="319">
        <f t="shared" si="49"/>
        <v>0.3</v>
      </c>
      <c r="G37" s="319">
        <f t="shared" si="49"/>
        <v>0.3</v>
      </c>
      <c r="H37" s="319">
        <f t="shared" si="49"/>
        <v>0.3</v>
      </c>
      <c r="I37" s="319">
        <f t="shared" si="49"/>
        <v>0.3</v>
      </c>
      <c r="J37" s="319">
        <f t="shared" si="49"/>
        <v>0.3</v>
      </c>
      <c r="K37" s="319">
        <f t="shared" si="49"/>
        <v>0.3</v>
      </c>
      <c r="L37" s="319">
        <f t="shared" si="49"/>
        <v>0.3</v>
      </c>
      <c r="M37" s="319">
        <f t="shared" si="49"/>
        <v>0.3</v>
      </c>
      <c r="N37" s="319">
        <f t="shared" si="49"/>
        <v>0.3</v>
      </c>
      <c r="O37" s="319">
        <f t="shared" si="49"/>
        <v>0.3</v>
      </c>
      <c r="P37" s="319">
        <f t="shared" si="49"/>
        <v>0.3</v>
      </c>
      <c r="Q37" s="319">
        <f t="shared" si="49"/>
        <v>0.3</v>
      </c>
      <c r="R37" s="319">
        <f t="shared" si="49"/>
        <v>0.3</v>
      </c>
      <c r="S37" s="319">
        <f t="shared" si="49"/>
        <v>0.3</v>
      </c>
      <c r="T37" s="319">
        <f t="shared" si="49"/>
        <v>0.3</v>
      </c>
      <c r="U37" s="319">
        <f t="shared" si="49"/>
        <v>0.3</v>
      </c>
      <c r="V37" s="319">
        <f t="shared" si="49"/>
        <v>0.3</v>
      </c>
      <c r="W37" s="319">
        <f t="shared" si="49"/>
        <v>0.3</v>
      </c>
      <c r="X37" s="319">
        <f t="shared" si="49"/>
        <v>0.3</v>
      </c>
      <c r="Y37" s="319">
        <f t="shared" si="49"/>
        <v>0.3</v>
      </c>
      <c r="Z37" s="319">
        <f t="shared" si="49"/>
        <v>0.3</v>
      </c>
      <c r="AA37" s="319">
        <f t="shared" si="49"/>
        <v>0.2329411765</v>
      </c>
      <c r="AB37" s="319">
        <f t="shared" si="49"/>
        <v>0.2329411765</v>
      </c>
      <c r="AC37" s="319">
        <f t="shared" si="49"/>
        <v>0.2329411765</v>
      </c>
      <c r="AD37" s="319">
        <f t="shared" si="49"/>
        <v>0.1925568242</v>
      </c>
      <c r="AE37" s="319">
        <f t="shared" si="49"/>
        <v>0.1925568242</v>
      </c>
      <c r="AF37" s="319">
        <f t="shared" si="49"/>
        <v>0.1925568242</v>
      </c>
      <c r="AG37" s="319">
        <f t="shared" si="49"/>
        <v>0.1925568242</v>
      </c>
      <c r="AH37" s="319">
        <f t="shared" si="49"/>
        <v>0.1913757095</v>
      </c>
      <c r="AI37" s="319">
        <f t="shared" si="49"/>
        <v>0.1913757095</v>
      </c>
      <c r="AJ37" s="319">
        <f t="shared" si="49"/>
        <v>0.1913757095</v>
      </c>
      <c r="AK37" s="319">
        <f t="shared" si="49"/>
        <v>0.1914981777</v>
      </c>
      <c r="AL37" s="319">
        <f t="shared" si="49"/>
        <v>0.1832262588</v>
      </c>
      <c r="AM37" s="319">
        <f t="shared" si="49"/>
        <v>0.1866597847</v>
      </c>
      <c r="AN37" s="319">
        <f t="shared" si="49"/>
        <v>0.1828079276</v>
      </c>
      <c r="AO37" s="319">
        <f t="shared" si="49"/>
        <v>0.1829854551</v>
      </c>
      <c r="AP37" s="319">
        <f t="shared" si="49"/>
        <v>0.1831675855</v>
      </c>
      <c r="AQ37" s="319">
        <f t="shared" si="49"/>
        <v>0.1833548011</v>
      </c>
      <c r="AR37" s="319">
        <f t="shared" si="49"/>
        <v>0.1835476326</v>
      </c>
      <c r="AS37" s="319">
        <f t="shared" si="49"/>
        <v>0.1837466634</v>
      </c>
      <c r="AT37" s="319">
        <f t="shared" si="49"/>
        <v>0.1839525346</v>
      </c>
      <c r="AU37" s="319">
        <f t="shared" si="49"/>
        <v>0.1841659506</v>
      </c>
      <c r="AV37" s="319">
        <f t="shared" si="49"/>
        <v>0.1843876851</v>
      </c>
      <c r="AW37" s="319">
        <f t="shared" si="49"/>
        <v>0.1846185872</v>
      </c>
      <c r="AX37" s="319">
        <f t="shared" si="49"/>
        <v>0.1845246802</v>
      </c>
      <c r="AY37" s="319">
        <f t="shared" si="49"/>
        <v>0.1846828924</v>
      </c>
      <c r="AZ37" s="319">
        <f t="shared" si="49"/>
        <v>0.1848391284</v>
      </c>
      <c r="BA37" s="319">
        <f t="shared" si="49"/>
        <v>0.1849927134</v>
      </c>
      <c r="BB37" s="319">
        <f t="shared" si="49"/>
        <v>0.1851428533</v>
      </c>
      <c r="BC37" s="319">
        <f t="shared" si="49"/>
        <v>0.1852886172</v>
      </c>
      <c r="BD37" s="319">
        <f t="shared" si="49"/>
        <v>0.1854289172</v>
      </c>
      <c r="BE37" s="319">
        <f t="shared" si="49"/>
        <v>0.1855624856</v>
      </c>
      <c r="BF37" s="319">
        <f t="shared" si="49"/>
        <v>0.1856878487</v>
      </c>
      <c r="BG37" s="319">
        <f t="shared" si="49"/>
        <v>0.1858032967</v>
      </c>
      <c r="BH37" s="319">
        <f t="shared" si="49"/>
        <v>0.1859068496</v>
      </c>
      <c r="BI37" s="319">
        <f t="shared" si="49"/>
        <v>0.1860441791</v>
      </c>
      <c r="BJ37" s="319">
        <f t="shared" si="49"/>
        <v>0.1847183406</v>
      </c>
      <c r="BK37" s="319">
        <f t="shared" si="49"/>
        <v>0.1848535139</v>
      </c>
      <c r="BL37" s="319">
        <f t="shared" si="49"/>
        <v>0.18498664</v>
      </c>
      <c r="BM37" s="319">
        <f t="shared" si="49"/>
        <v>0.1851178517</v>
      </c>
      <c r="BN37" s="319">
        <f t="shared" si="49"/>
        <v>0.1852473884</v>
      </c>
      <c r="BO37" s="319">
        <f t="shared" si="49"/>
        <v>0.1853756231</v>
      </c>
      <c r="BP37" s="319">
        <f t="shared" si="49"/>
        <v>0.1855030941</v>
      </c>
      <c r="BQ37" s="319">
        <f t="shared" si="49"/>
        <v>0.1856305425</v>
      </c>
      <c r="BR37" s="319">
        <f t="shared" si="49"/>
        <v>0.1857589562</v>
      </c>
      <c r="BS37" s="319">
        <f t="shared" si="49"/>
        <v>0.185889622</v>
      </c>
      <c r="BT37" s="319">
        <f t="shared" si="49"/>
        <v>0.1860193953</v>
      </c>
      <c r="BU37" s="319">
        <f t="shared" si="49"/>
        <v>0.1861483978</v>
      </c>
      <c r="BV37" s="319">
        <f t="shared" si="49"/>
        <v>0.183391606</v>
      </c>
      <c r="BW37" s="319">
        <f t="shared" si="49"/>
        <v>0.1835238401</v>
      </c>
      <c r="BX37" s="319">
        <f t="shared" si="49"/>
        <v>0.1836557642</v>
      </c>
      <c r="BY37" s="319">
        <f t="shared" si="49"/>
        <v>0.1837875078</v>
      </c>
      <c r="BZ37" s="319">
        <f t="shared" si="49"/>
        <v>0.1839191774</v>
      </c>
      <c r="CA37" s="319">
        <f t="shared" si="49"/>
        <v>0.1840508379</v>
      </c>
      <c r="CB37" s="319">
        <f t="shared" si="49"/>
        <v>0.1841824891</v>
      </c>
      <c r="CC37" s="319">
        <f t="shared" si="49"/>
        <v>0.1843140346</v>
      </c>
      <c r="CD37" s="319">
        <f t="shared" si="49"/>
        <v>0.1844452427</v>
      </c>
      <c r="CE37" s="319">
        <f t="shared" si="49"/>
        <v>0.1845761639</v>
      </c>
      <c r="CF37" s="319">
        <f t="shared" si="49"/>
        <v>0.1847068425</v>
      </c>
      <c r="CG37" s="319">
        <f t="shared" si="49"/>
        <v>0.1848373136</v>
      </c>
      <c r="CH37" s="319">
        <f t="shared" si="49"/>
        <v>0.1849676021</v>
      </c>
      <c r="CI37" s="1"/>
      <c r="CJ37" s="1"/>
      <c r="CK37" s="1"/>
      <c r="CL37" s="1"/>
      <c r="CM37" s="1"/>
      <c r="CN37" s="1"/>
      <c r="CO37" s="1"/>
      <c r="CP37" s="1"/>
    </row>
    <row r="38" ht="15.75" customHeight="1">
      <c r="A38" s="1"/>
      <c r="B38" s="1"/>
      <c r="C38" s="1"/>
      <c r="D38" s="1"/>
      <c r="E38" s="1"/>
      <c r="F38" s="1"/>
      <c r="G38" s="1"/>
      <c r="H38" s="1"/>
      <c r="I38" s="1"/>
      <c r="J38" s="1"/>
      <c r="K38" s="1"/>
      <c r="L38" s="1"/>
      <c r="M38" s="1"/>
      <c r="N38" s="1"/>
      <c r="O38" s="1"/>
      <c r="P38" s="1"/>
      <c r="Q38" s="1"/>
      <c r="R38" s="1"/>
      <c r="S38" s="1"/>
      <c r="T38" s="1"/>
      <c r="U38" s="323"/>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row>
    <row r="39" ht="15.75" customHeight="1">
      <c r="A39" s="324" t="s">
        <v>129</v>
      </c>
      <c r="B39" s="325"/>
      <c r="C39" s="325">
        <v>30.0</v>
      </c>
      <c r="D39" s="325">
        <v>30.0</v>
      </c>
      <c r="E39" s="325">
        <v>30.0</v>
      </c>
      <c r="F39" s="325">
        <v>30.0</v>
      </c>
      <c r="G39" s="325">
        <v>30.0</v>
      </c>
      <c r="H39" s="325">
        <v>30.0</v>
      </c>
      <c r="I39" s="325">
        <v>30.0</v>
      </c>
      <c r="J39" s="325">
        <v>30.0</v>
      </c>
      <c r="K39" s="325">
        <v>30.0</v>
      </c>
      <c r="L39" s="325">
        <v>30.0</v>
      </c>
      <c r="M39" s="325">
        <v>30.0</v>
      </c>
      <c r="N39" s="325">
        <v>30.0</v>
      </c>
      <c r="O39" s="325">
        <v>30.0</v>
      </c>
      <c r="P39" s="325">
        <v>30.0</v>
      </c>
      <c r="Q39" s="325">
        <v>30.0</v>
      </c>
      <c r="R39" s="325">
        <v>30.0</v>
      </c>
      <c r="S39" s="325">
        <v>30.0</v>
      </c>
      <c r="T39" s="325">
        <v>30.0</v>
      </c>
      <c r="U39" s="325">
        <v>30.0</v>
      </c>
      <c r="V39" s="325">
        <v>30.0</v>
      </c>
      <c r="W39" s="325">
        <v>30.0</v>
      </c>
      <c r="X39" s="325">
        <v>30.0</v>
      </c>
      <c r="Y39" s="325">
        <v>30.0</v>
      </c>
      <c r="Z39" s="326">
        <f t="shared" ref="Z39:CH39" si="50">Y39*(1+Z47)</f>
        <v>33</v>
      </c>
      <c r="AA39" s="326">
        <f t="shared" si="50"/>
        <v>33</v>
      </c>
      <c r="AB39" s="326">
        <f t="shared" si="50"/>
        <v>33</v>
      </c>
      <c r="AC39" s="326">
        <f t="shared" si="50"/>
        <v>33</v>
      </c>
      <c r="AD39" s="326">
        <f t="shared" si="50"/>
        <v>33</v>
      </c>
      <c r="AE39" s="326">
        <f t="shared" si="50"/>
        <v>33</v>
      </c>
      <c r="AF39" s="326">
        <f t="shared" si="50"/>
        <v>33</v>
      </c>
      <c r="AG39" s="326">
        <f t="shared" si="50"/>
        <v>33</v>
      </c>
      <c r="AH39" s="326">
        <f t="shared" si="50"/>
        <v>31.68</v>
      </c>
      <c r="AI39" s="326">
        <f t="shared" si="50"/>
        <v>31.68</v>
      </c>
      <c r="AJ39" s="326">
        <f t="shared" si="50"/>
        <v>31.68</v>
      </c>
      <c r="AK39" s="326">
        <f t="shared" si="50"/>
        <v>31.8384</v>
      </c>
      <c r="AL39" s="326">
        <f t="shared" si="50"/>
        <v>22.28688</v>
      </c>
      <c r="AM39" s="326">
        <f t="shared" si="50"/>
        <v>21.172536</v>
      </c>
      <c r="AN39" s="326">
        <f t="shared" si="50"/>
        <v>21.27839868</v>
      </c>
      <c r="AO39" s="326">
        <f t="shared" si="50"/>
        <v>21.38479067</v>
      </c>
      <c r="AP39" s="326">
        <f t="shared" si="50"/>
        <v>21.49171463</v>
      </c>
      <c r="AQ39" s="326">
        <f t="shared" si="50"/>
        <v>21.5991732</v>
      </c>
      <c r="AR39" s="326">
        <f t="shared" si="50"/>
        <v>21.70716907</v>
      </c>
      <c r="AS39" s="326">
        <f t="shared" si="50"/>
        <v>21.81570491</v>
      </c>
      <c r="AT39" s="326">
        <f t="shared" si="50"/>
        <v>21.92478344</v>
      </c>
      <c r="AU39" s="326">
        <f t="shared" si="50"/>
        <v>22.03440735</v>
      </c>
      <c r="AV39" s="326">
        <f t="shared" si="50"/>
        <v>22.14457939</v>
      </c>
      <c r="AW39" s="326">
        <f t="shared" si="50"/>
        <v>22.25530229</v>
      </c>
      <c r="AX39" s="326">
        <f t="shared" si="50"/>
        <v>22.47785531</v>
      </c>
      <c r="AY39" s="326">
        <f t="shared" si="50"/>
        <v>22.59024459</v>
      </c>
      <c r="AZ39" s="326">
        <f t="shared" si="50"/>
        <v>22.70319581</v>
      </c>
      <c r="BA39" s="326">
        <f t="shared" si="50"/>
        <v>22.81671179</v>
      </c>
      <c r="BB39" s="326">
        <f t="shared" si="50"/>
        <v>22.93079535</v>
      </c>
      <c r="BC39" s="326">
        <f t="shared" si="50"/>
        <v>23.04544932</v>
      </c>
      <c r="BD39" s="326">
        <f t="shared" si="50"/>
        <v>23.16067657</v>
      </c>
      <c r="BE39" s="326">
        <f t="shared" si="50"/>
        <v>23.27647995</v>
      </c>
      <c r="BF39" s="326">
        <f t="shared" si="50"/>
        <v>23.39286235</v>
      </c>
      <c r="BG39" s="326">
        <f t="shared" si="50"/>
        <v>23.50982666</v>
      </c>
      <c r="BH39" s="326">
        <f t="shared" si="50"/>
        <v>23.6273758</v>
      </c>
      <c r="BI39" s="326">
        <f t="shared" si="50"/>
        <v>23.74551268</v>
      </c>
      <c r="BJ39" s="326">
        <f t="shared" si="50"/>
        <v>22.55823704</v>
      </c>
      <c r="BK39" s="326">
        <f t="shared" si="50"/>
        <v>22.67102823</v>
      </c>
      <c r="BL39" s="326">
        <f t="shared" si="50"/>
        <v>22.78438337</v>
      </c>
      <c r="BM39" s="326">
        <f t="shared" si="50"/>
        <v>22.89830529</v>
      </c>
      <c r="BN39" s="326">
        <f t="shared" si="50"/>
        <v>23.01279681</v>
      </c>
      <c r="BO39" s="326">
        <f t="shared" si="50"/>
        <v>23.1278608</v>
      </c>
      <c r="BP39" s="326">
        <f t="shared" si="50"/>
        <v>23.2435001</v>
      </c>
      <c r="BQ39" s="326">
        <f t="shared" si="50"/>
        <v>23.3597176</v>
      </c>
      <c r="BR39" s="326">
        <f t="shared" si="50"/>
        <v>23.47651619</v>
      </c>
      <c r="BS39" s="326">
        <f t="shared" si="50"/>
        <v>23.59389877</v>
      </c>
      <c r="BT39" s="326">
        <f t="shared" si="50"/>
        <v>23.71186826</v>
      </c>
      <c r="BU39" s="326">
        <f t="shared" si="50"/>
        <v>23.83042761</v>
      </c>
      <c r="BV39" s="326">
        <f t="shared" si="50"/>
        <v>21.44738484</v>
      </c>
      <c r="BW39" s="326">
        <f t="shared" si="50"/>
        <v>21.55462177</v>
      </c>
      <c r="BX39" s="326">
        <f t="shared" si="50"/>
        <v>21.66239488</v>
      </c>
      <c r="BY39" s="326">
        <f t="shared" si="50"/>
        <v>21.77070685</v>
      </c>
      <c r="BZ39" s="326">
        <f t="shared" si="50"/>
        <v>21.87956039</v>
      </c>
      <c r="CA39" s="326">
        <f t="shared" si="50"/>
        <v>21.98895819</v>
      </c>
      <c r="CB39" s="326">
        <f t="shared" si="50"/>
        <v>22.09890298</v>
      </c>
      <c r="CC39" s="326">
        <f t="shared" si="50"/>
        <v>22.20939749</v>
      </c>
      <c r="CD39" s="326">
        <f t="shared" si="50"/>
        <v>22.32044448</v>
      </c>
      <c r="CE39" s="326">
        <f t="shared" si="50"/>
        <v>22.4320467</v>
      </c>
      <c r="CF39" s="326">
        <f t="shared" si="50"/>
        <v>22.54420694</v>
      </c>
      <c r="CG39" s="326">
        <f t="shared" si="50"/>
        <v>22.65692797</v>
      </c>
      <c r="CH39" s="326">
        <f t="shared" si="50"/>
        <v>22.77021261</v>
      </c>
      <c r="CI39" s="326"/>
      <c r="CJ39" s="326"/>
      <c r="CK39" s="326"/>
      <c r="CL39" s="326"/>
      <c r="CM39" s="326"/>
      <c r="CN39" s="326"/>
      <c r="CO39" s="326"/>
      <c r="CP39" s="326"/>
    </row>
    <row r="40" ht="15.75" customHeight="1">
      <c r="A40" s="324" t="s">
        <v>85</v>
      </c>
      <c r="B40" s="325"/>
      <c r="C40" s="325">
        <v>30.0</v>
      </c>
      <c r="D40" s="325">
        <v>30.0</v>
      </c>
      <c r="E40" s="325">
        <v>30.0</v>
      </c>
      <c r="F40" s="325">
        <v>30.0</v>
      </c>
      <c r="G40" s="325">
        <v>30.0</v>
      </c>
      <c r="H40" s="325">
        <v>30.0</v>
      </c>
      <c r="I40" s="325">
        <v>30.0</v>
      </c>
      <c r="J40" s="325">
        <v>30.0</v>
      </c>
      <c r="K40" s="325">
        <v>30.0</v>
      </c>
      <c r="L40" s="325">
        <v>30.0</v>
      </c>
      <c r="M40" s="325">
        <v>30.0</v>
      </c>
      <c r="N40" s="325">
        <v>30.0</v>
      </c>
      <c r="O40" s="325">
        <v>30.0</v>
      </c>
      <c r="P40" s="325">
        <v>30.0</v>
      </c>
      <c r="Q40" s="325">
        <v>30.0</v>
      </c>
      <c r="R40" s="325">
        <v>30.0</v>
      </c>
      <c r="S40" s="325">
        <v>30.0</v>
      </c>
      <c r="T40" s="325">
        <v>30.0</v>
      </c>
      <c r="U40" s="325">
        <v>30.0</v>
      </c>
      <c r="V40" s="325">
        <v>30.0</v>
      </c>
      <c r="W40" s="325">
        <v>30.0</v>
      </c>
      <c r="X40" s="325">
        <v>30.0</v>
      </c>
      <c r="Y40" s="325">
        <v>30.0</v>
      </c>
      <c r="Z40" s="326">
        <f t="shared" ref="Z40:CH40" si="51">Y40*(1+Z48)</f>
        <v>33</v>
      </c>
      <c r="AA40" s="326">
        <f t="shared" si="51"/>
        <v>33</v>
      </c>
      <c r="AB40" s="326">
        <f t="shared" si="51"/>
        <v>33</v>
      </c>
      <c r="AC40" s="326">
        <f t="shared" si="51"/>
        <v>33</v>
      </c>
      <c r="AD40" s="326">
        <f t="shared" si="51"/>
        <v>33</v>
      </c>
      <c r="AE40" s="326">
        <f t="shared" si="51"/>
        <v>33</v>
      </c>
      <c r="AF40" s="326">
        <f t="shared" si="51"/>
        <v>33</v>
      </c>
      <c r="AG40" s="326">
        <f t="shared" si="51"/>
        <v>33</v>
      </c>
      <c r="AH40" s="326">
        <f t="shared" si="51"/>
        <v>31.35</v>
      </c>
      <c r="AI40" s="326">
        <f t="shared" si="51"/>
        <v>31.35</v>
      </c>
      <c r="AJ40" s="326">
        <f t="shared" si="51"/>
        <v>31.35</v>
      </c>
      <c r="AK40" s="326">
        <f t="shared" si="51"/>
        <v>31.50675</v>
      </c>
      <c r="AL40" s="326">
        <f t="shared" si="51"/>
        <v>22.054725</v>
      </c>
      <c r="AM40" s="326">
        <f t="shared" si="51"/>
        <v>20.95198875</v>
      </c>
      <c r="AN40" s="326">
        <f t="shared" si="51"/>
        <v>21.05674869</v>
      </c>
      <c r="AO40" s="326">
        <f t="shared" si="51"/>
        <v>21.16203244</v>
      </c>
      <c r="AP40" s="326">
        <f t="shared" si="51"/>
        <v>21.2678426</v>
      </c>
      <c r="AQ40" s="326">
        <f t="shared" si="51"/>
        <v>21.37418181</v>
      </c>
      <c r="AR40" s="326">
        <f t="shared" si="51"/>
        <v>21.48105272</v>
      </c>
      <c r="AS40" s="326">
        <f t="shared" si="51"/>
        <v>21.58845799</v>
      </c>
      <c r="AT40" s="326">
        <f t="shared" si="51"/>
        <v>21.69640027</v>
      </c>
      <c r="AU40" s="326">
        <f t="shared" si="51"/>
        <v>21.80488228</v>
      </c>
      <c r="AV40" s="326">
        <f t="shared" si="51"/>
        <v>21.91390669</v>
      </c>
      <c r="AW40" s="326">
        <f t="shared" si="51"/>
        <v>22.02347622</v>
      </c>
      <c r="AX40" s="326">
        <f t="shared" si="51"/>
        <v>22.24371098</v>
      </c>
      <c r="AY40" s="326">
        <f t="shared" si="51"/>
        <v>22.35492954</v>
      </c>
      <c r="AZ40" s="326">
        <f t="shared" si="51"/>
        <v>22.46670419</v>
      </c>
      <c r="BA40" s="326">
        <f t="shared" si="51"/>
        <v>22.57903771</v>
      </c>
      <c r="BB40" s="326">
        <f t="shared" si="51"/>
        <v>22.6919329</v>
      </c>
      <c r="BC40" s="326">
        <f t="shared" si="51"/>
        <v>22.80539256</v>
      </c>
      <c r="BD40" s="326">
        <f t="shared" si="51"/>
        <v>22.91941952</v>
      </c>
      <c r="BE40" s="326">
        <f t="shared" si="51"/>
        <v>23.03401662</v>
      </c>
      <c r="BF40" s="326">
        <f t="shared" si="51"/>
        <v>23.1491867</v>
      </c>
      <c r="BG40" s="326">
        <f t="shared" si="51"/>
        <v>23.26493264</v>
      </c>
      <c r="BH40" s="326">
        <f t="shared" si="51"/>
        <v>23.3812573</v>
      </c>
      <c r="BI40" s="326">
        <f t="shared" si="51"/>
        <v>23.49816359</v>
      </c>
      <c r="BJ40" s="326">
        <f t="shared" si="51"/>
        <v>22.32325541</v>
      </c>
      <c r="BK40" s="326">
        <f t="shared" si="51"/>
        <v>22.43487168</v>
      </c>
      <c r="BL40" s="326">
        <f t="shared" si="51"/>
        <v>22.54704604</v>
      </c>
      <c r="BM40" s="326">
        <f t="shared" si="51"/>
        <v>22.65978127</v>
      </c>
      <c r="BN40" s="326">
        <f t="shared" si="51"/>
        <v>22.77308018</v>
      </c>
      <c r="BO40" s="326">
        <f t="shared" si="51"/>
        <v>22.88694558</v>
      </c>
      <c r="BP40" s="326">
        <f t="shared" si="51"/>
        <v>23.00138031</v>
      </c>
      <c r="BQ40" s="326">
        <f t="shared" si="51"/>
        <v>23.11638721</v>
      </c>
      <c r="BR40" s="326">
        <f t="shared" si="51"/>
        <v>23.23196915</v>
      </c>
      <c r="BS40" s="326">
        <f t="shared" si="51"/>
        <v>23.34812899</v>
      </c>
      <c r="BT40" s="326">
        <f t="shared" si="51"/>
        <v>23.46486964</v>
      </c>
      <c r="BU40" s="326">
        <f t="shared" si="51"/>
        <v>23.58219398</v>
      </c>
      <c r="BV40" s="326">
        <f t="shared" si="51"/>
        <v>21.22397459</v>
      </c>
      <c r="BW40" s="326">
        <f t="shared" si="51"/>
        <v>21.33009446</v>
      </c>
      <c r="BX40" s="326">
        <f t="shared" si="51"/>
        <v>21.43674493</v>
      </c>
      <c r="BY40" s="326">
        <f t="shared" si="51"/>
        <v>21.54392866</v>
      </c>
      <c r="BZ40" s="326">
        <f t="shared" si="51"/>
        <v>21.6516483</v>
      </c>
      <c r="CA40" s="326">
        <f t="shared" si="51"/>
        <v>21.75990654</v>
      </c>
      <c r="CB40" s="326">
        <f t="shared" si="51"/>
        <v>21.86870607</v>
      </c>
      <c r="CC40" s="326">
        <f t="shared" si="51"/>
        <v>21.9780496</v>
      </c>
      <c r="CD40" s="326">
        <f t="shared" si="51"/>
        <v>22.08793985</v>
      </c>
      <c r="CE40" s="326">
        <f t="shared" si="51"/>
        <v>22.19837955</v>
      </c>
      <c r="CF40" s="326">
        <f t="shared" si="51"/>
        <v>22.30937145</v>
      </c>
      <c r="CG40" s="326">
        <f t="shared" si="51"/>
        <v>22.42091831</v>
      </c>
      <c r="CH40" s="326">
        <f t="shared" si="51"/>
        <v>22.5330229</v>
      </c>
      <c r="CI40" s="326"/>
      <c r="CJ40" s="326"/>
      <c r="CK40" s="326"/>
      <c r="CL40" s="326"/>
      <c r="CM40" s="326"/>
      <c r="CN40" s="326"/>
      <c r="CO40" s="326"/>
      <c r="CP40" s="326"/>
    </row>
    <row r="41" ht="15.75" customHeight="1">
      <c r="A41" s="324" t="s">
        <v>130</v>
      </c>
      <c r="B41" s="325"/>
      <c r="C41" s="325">
        <v>30.0</v>
      </c>
      <c r="D41" s="325">
        <v>30.0</v>
      </c>
      <c r="E41" s="325">
        <v>30.0</v>
      </c>
      <c r="F41" s="325">
        <v>30.0</v>
      </c>
      <c r="G41" s="325">
        <v>30.0</v>
      </c>
      <c r="H41" s="325">
        <v>30.0</v>
      </c>
      <c r="I41" s="325">
        <v>30.0</v>
      </c>
      <c r="J41" s="325">
        <v>30.0</v>
      </c>
      <c r="K41" s="325">
        <v>30.0</v>
      </c>
      <c r="L41" s="325">
        <v>30.0</v>
      </c>
      <c r="M41" s="325">
        <v>30.0</v>
      </c>
      <c r="N41" s="325">
        <v>30.0</v>
      </c>
      <c r="O41" s="325">
        <v>30.0</v>
      </c>
      <c r="P41" s="325">
        <v>30.0</v>
      </c>
      <c r="Q41" s="325">
        <v>30.0</v>
      </c>
      <c r="R41" s="325">
        <v>30.0</v>
      </c>
      <c r="S41" s="325">
        <v>30.0</v>
      </c>
      <c r="T41" s="325">
        <v>30.0</v>
      </c>
      <c r="U41" s="325">
        <v>30.0</v>
      </c>
      <c r="V41" s="325">
        <v>30.0</v>
      </c>
      <c r="W41" s="325">
        <v>30.0</v>
      </c>
      <c r="X41" s="325">
        <v>30.0</v>
      </c>
      <c r="Y41" s="325">
        <v>30.0</v>
      </c>
      <c r="Z41" s="326">
        <f t="shared" ref="Z41:CH41" si="52">Y41*(1+Z49)</f>
        <v>33</v>
      </c>
      <c r="AA41" s="326">
        <f t="shared" si="52"/>
        <v>33</v>
      </c>
      <c r="AB41" s="326">
        <f t="shared" si="52"/>
        <v>33</v>
      </c>
      <c r="AC41" s="326">
        <f t="shared" si="52"/>
        <v>33</v>
      </c>
      <c r="AD41" s="326">
        <f t="shared" si="52"/>
        <v>33</v>
      </c>
      <c r="AE41" s="326">
        <f t="shared" si="52"/>
        <v>33</v>
      </c>
      <c r="AF41" s="326">
        <f t="shared" si="52"/>
        <v>33</v>
      </c>
      <c r="AG41" s="326">
        <f t="shared" si="52"/>
        <v>33</v>
      </c>
      <c r="AH41" s="326">
        <f t="shared" si="52"/>
        <v>31.35</v>
      </c>
      <c r="AI41" s="326">
        <f t="shared" si="52"/>
        <v>31.35</v>
      </c>
      <c r="AJ41" s="326">
        <f t="shared" si="52"/>
        <v>31.35</v>
      </c>
      <c r="AK41" s="326">
        <f t="shared" si="52"/>
        <v>31.50675</v>
      </c>
      <c r="AL41" s="326">
        <f t="shared" si="52"/>
        <v>22.054725</v>
      </c>
      <c r="AM41" s="326">
        <f t="shared" si="52"/>
        <v>20.95198875</v>
      </c>
      <c r="AN41" s="326">
        <f t="shared" si="52"/>
        <v>21.05674869</v>
      </c>
      <c r="AO41" s="326">
        <f t="shared" si="52"/>
        <v>21.16203244</v>
      </c>
      <c r="AP41" s="326">
        <f t="shared" si="52"/>
        <v>21.2678426</v>
      </c>
      <c r="AQ41" s="326">
        <f t="shared" si="52"/>
        <v>21.37418181</v>
      </c>
      <c r="AR41" s="326">
        <f t="shared" si="52"/>
        <v>21.48105272</v>
      </c>
      <c r="AS41" s="326">
        <f t="shared" si="52"/>
        <v>21.58845799</v>
      </c>
      <c r="AT41" s="326">
        <f t="shared" si="52"/>
        <v>21.69640027</v>
      </c>
      <c r="AU41" s="326">
        <f t="shared" si="52"/>
        <v>21.80488228</v>
      </c>
      <c r="AV41" s="326">
        <f t="shared" si="52"/>
        <v>21.91390669</v>
      </c>
      <c r="AW41" s="326">
        <f t="shared" si="52"/>
        <v>22.02347622</v>
      </c>
      <c r="AX41" s="326">
        <f t="shared" si="52"/>
        <v>22.24371098</v>
      </c>
      <c r="AY41" s="326">
        <f t="shared" si="52"/>
        <v>22.35492954</v>
      </c>
      <c r="AZ41" s="326">
        <f t="shared" si="52"/>
        <v>22.46670419</v>
      </c>
      <c r="BA41" s="326">
        <f t="shared" si="52"/>
        <v>22.57903771</v>
      </c>
      <c r="BB41" s="326">
        <f t="shared" si="52"/>
        <v>22.6919329</v>
      </c>
      <c r="BC41" s="326">
        <f t="shared" si="52"/>
        <v>22.80539256</v>
      </c>
      <c r="BD41" s="326">
        <f t="shared" si="52"/>
        <v>22.91941952</v>
      </c>
      <c r="BE41" s="326">
        <f t="shared" si="52"/>
        <v>23.03401662</v>
      </c>
      <c r="BF41" s="326">
        <f t="shared" si="52"/>
        <v>23.1491867</v>
      </c>
      <c r="BG41" s="326">
        <f t="shared" si="52"/>
        <v>23.26493264</v>
      </c>
      <c r="BH41" s="326">
        <f t="shared" si="52"/>
        <v>23.3812573</v>
      </c>
      <c r="BI41" s="326">
        <f t="shared" si="52"/>
        <v>23.49816359</v>
      </c>
      <c r="BJ41" s="326">
        <f t="shared" si="52"/>
        <v>22.32325541</v>
      </c>
      <c r="BK41" s="326">
        <f t="shared" si="52"/>
        <v>22.43487168</v>
      </c>
      <c r="BL41" s="326">
        <f t="shared" si="52"/>
        <v>22.54704604</v>
      </c>
      <c r="BM41" s="326">
        <f t="shared" si="52"/>
        <v>22.65978127</v>
      </c>
      <c r="BN41" s="326">
        <f t="shared" si="52"/>
        <v>22.77308018</v>
      </c>
      <c r="BO41" s="326">
        <f t="shared" si="52"/>
        <v>22.88694558</v>
      </c>
      <c r="BP41" s="326">
        <f t="shared" si="52"/>
        <v>23.00138031</v>
      </c>
      <c r="BQ41" s="326">
        <f t="shared" si="52"/>
        <v>23.11638721</v>
      </c>
      <c r="BR41" s="326">
        <f t="shared" si="52"/>
        <v>23.23196915</v>
      </c>
      <c r="BS41" s="326">
        <f t="shared" si="52"/>
        <v>23.34812899</v>
      </c>
      <c r="BT41" s="326">
        <f t="shared" si="52"/>
        <v>23.46486964</v>
      </c>
      <c r="BU41" s="326">
        <f t="shared" si="52"/>
        <v>23.58219398</v>
      </c>
      <c r="BV41" s="326">
        <f t="shared" si="52"/>
        <v>21.22397459</v>
      </c>
      <c r="BW41" s="326">
        <f t="shared" si="52"/>
        <v>21.33009446</v>
      </c>
      <c r="BX41" s="326">
        <f t="shared" si="52"/>
        <v>21.43674493</v>
      </c>
      <c r="BY41" s="326">
        <f t="shared" si="52"/>
        <v>21.54392866</v>
      </c>
      <c r="BZ41" s="326">
        <f t="shared" si="52"/>
        <v>21.6516483</v>
      </c>
      <c r="CA41" s="326">
        <f t="shared" si="52"/>
        <v>21.75990654</v>
      </c>
      <c r="CB41" s="326">
        <f t="shared" si="52"/>
        <v>21.86870607</v>
      </c>
      <c r="CC41" s="326">
        <f t="shared" si="52"/>
        <v>21.9780496</v>
      </c>
      <c r="CD41" s="326">
        <f t="shared" si="52"/>
        <v>22.08793985</v>
      </c>
      <c r="CE41" s="326">
        <f t="shared" si="52"/>
        <v>22.19837955</v>
      </c>
      <c r="CF41" s="326">
        <f t="shared" si="52"/>
        <v>22.30937145</v>
      </c>
      <c r="CG41" s="326">
        <f t="shared" si="52"/>
        <v>22.42091831</v>
      </c>
      <c r="CH41" s="326">
        <f t="shared" si="52"/>
        <v>22.5330229</v>
      </c>
      <c r="CI41" s="326"/>
      <c r="CJ41" s="326"/>
      <c r="CK41" s="326"/>
      <c r="CL41" s="326"/>
      <c r="CM41" s="326"/>
      <c r="CN41" s="326"/>
      <c r="CO41" s="326"/>
      <c r="CP41" s="326"/>
    </row>
    <row r="42" ht="15.75" customHeight="1">
      <c r="A42" s="324" t="s">
        <v>89</v>
      </c>
      <c r="B42" s="325"/>
      <c r="C42" s="325">
        <v>30.0</v>
      </c>
      <c r="D42" s="325">
        <v>30.0</v>
      </c>
      <c r="E42" s="325">
        <v>30.0</v>
      </c>
      <c r="F42" s="325">
        <v>30.0</v>
      </c>
      <c r="G42" s="325">
        <v>30.0</v>
      </c>
      <c r="H42" s="325">
        <v>30.0</v>
      </c>
      <c r="I42" s="325">
        <v>30.0</v>
      </c>
      <c r="J42" s="325">
        <v>30.0</v>
      </c>
      <c r="K42" s="325">
        <v>30.0</v>
      </c>
      <c r="L42" s="325">
        <v>30.0</v>
      </c>
      <c r="M42" s="325">
        <v>30.0</v>
      </c>
      <c r="N42" s="325">
        <v>30.0</v>
      </c>
      <c r="O42" s="325">
        <v>30.0</v>
      </c>
      <c r="P42" s="325">
        <v>30.0</v>
      </c>
      <c r="Q42" s="325">
        <v>30.0</v>
      </c>
      <c r="R42" s="325">
        <v>30.0</v>
      </c>
      <c r="S42" s="325">
        <v>30.0</v>
      </c>
      <c r="T42" s="325">
        <v>30.0</v>
      </c>
      <c r="U42" s="325">
        <v>30.0</v>
      </c>
      <c r="V42" s="325">
        <v>30.0</v>
      </c>
      <c r="W42" s="325">
        <v>30.0</v>
      </c>
      <c r="X42" s="325">
        <v>30.0</v>
      </c>
      <c r="Y42" s="325">
        <v>30.0</v>
      </c>
      <c r="Z42" s="326">
        <f t="shared" ref="Z42:CH42" si="53">Y42*(1+Z50)</f>
        <v>33</v>
      </c>
      <c r="AA42" s="326">
        <f t="shared" si="53"/>
        <v>33</v>
      </c>
      <c r="AB42" s="326">
        <f t="shared" si="53"/>
        <v>33</v>
      </c>
      <c r="AC42" s="326">
        <f t="shared" si="53"/>
        <v>33</v>
      </c>
      <c r="AD42" s="326">
        <f t="shared" si="53"/>
        <v>33</v>
      </c>
      <c r="AE42" s="326">
        <f t="shared" si="53"/>
        <v>33</v>
      </c>
      <c r="AF42" s="326">
        <f t="shared" si="53"/>
        <v>33</v>
      </c>
      <c r="AG42" s="326">
        <f t="shared" si="53"/>
        <v>33</v>
      </c>
      <c r="AH42" s="326">
        <f t="shared" si="53"/>
        <v>31.35</v>
      </c>
      <c r="AI42" s="326">
        <f t="shared" si="53"/>
        <v>31.35</v>
      </c>
      <c r="AJ42" s="326">
        <f t="shared" si="53"/>
        <v>31.35</v>
      </c>
      <c r="AK42" s="326">
        <f t="shared" si="53"/>
        <v>31.50675</v>
      </c>
      <c r="AL42" s="326">
        <f t="shared" si="53"/>
        <v>22.054725</v>
      </c>
      <c r="AM42" s="326">
        <f t="shared" si="53"/>
        <v>20.95198875</v>
      </c>
      <c r="AN42" s="326">
        <f t="shared" si="53"/>
        <v>21.05674869</v>
      </c>
      <c r="AO42" s="326">
        <f t="shared" si="53"/>
        <v>21.16203244</v>
      </c>
      <c r="AP42" s="326">
        <f t="shared" si="53"/>
        <v>21.2678426</v>
      </c>
      <c r="AQ42" s="326">
        <f t="shared" si="53"/>
        <v>21.37418181</v>
      </c>
      <c r="AR42" s="326">
        <f t="shared" si="53"/>
        <v>21.48105272</v>
      </c>
      <c r="AS42" s="326">
        <f t="shared" si="53"/>
        <v>21.58845799</v>
      </c>
      <c r="AT42" s="326">
        <f t="shared" si="53"/>
        <v>21.69640027</v>
      </c>
      <c r="AU42" s="326">
        <f t="shared" si="53"/>
        <v>21.80488228</v>
      </c>
      <c r="AV42" s="326">
        <f t="shared" si="53"/>
        <v>21.91390669</v>
      </c>
      <c r="AW42" s="326">
        <f t="shared" si="53"/>
        <v>22.02347622</v>
      </c>
      <c r="AX42" s="326">
        <f t="shared" si="53"/>
        <v>22.24371098</v>
      </c>
      <c r="AY42" s="326">
        <f t="shared" si="53"/>
        <v>22.35492954</v>
      </c>
      <c r="AZ42" s="326">
        <f t="shared" si="53"/>
        <v>22.46670419</v>
      </c>
      <c r="BA42" s="326">
        <f t="shared" si="53"/>
        <v>22.57903771</v>
      </c>
      <c r="BB42" s="326">
        <f t="shared" si="53"/>
        <v>22.6919329</v>
      </c>
      <c r="BC42" s="326">
        <f t="shared" si="53"/>
        <v>22.80539256</v>
      </c>
      <c r="BD42" s="326">
        <f t="shared" si="53"/>
        <v>22.91941952</v>
      </c>
      <c r="BE42" s="326">
        <f t="shared" si="53"/>
        <v>23.03401662</v>
      </c>
      <c r="BF42" s="326">
        <f t="shared" si="53"/>
        <v>23.1491867</v>
      </c>
      <c r="BG42" s="326">
        <f t="shared" si="53"/>
        <v>23.26493264</v>
      </c>
      <c r="BH42" s="326">
        <f t="shared" si="53"/>
        <v>23.3812573</v>
      </c>
      <c r="BI42" s="326">
        <f t="shared" si="53"/>
        <v>23.49816359</v>
      </c>
      <c r="BJ42" s="326">
        <f t="shared" si="53"/>
        <v>22.32325541</v>
      </c>
      <c r="BK42" s="326">
        <f t="shared" si="53"/>
        <v>22.43487168</v>
      </c>
      <c r="BL42" s="326">
        <f t="shared" si="53"/>
        <v>22.54704604</v>
      </c>
      <c r="BM42" s="326">
        <f t="shared" si="53"/>
        <v>22.65978127</v>
      </c>
      <c r="BN42" s="326">
        <f t="shared" si="53"/>
        <v>22.77308018</v>
      </c>
      <c r="BO42" s="326">
        <f t="shared" si="53"/>
        <v>22.88694558</v>
      </c>
      <c r="BP42" s="326">
        <f t="shared" si="53"/>
        <v>23.00138031</v>
      </c>
      <c r="BQ42" s="326">
        <f t="shared" si="53"/>
        <v>23.11638721</v>
      </c>
      <c r="BR42" s="326">
        <f t="shared" si="53"/>
        <v>23.23196915</v>
      </c>
      <c r="BS42" s="326">
        <f t="shared" si="53"/>
        <v>23.34812899</v>
      </c>
      <c r="BT42" s="326">
        <f t="shared" si="53"/>
        <v>23.46486964</v>
      </c>
      <c r="BU42" s="326">
        <f t="shared" si="53"/>
        <v>23.58219398</v>
      </c>
      <c r="BV42" s="326">
        <f t="shared" si="53"/>
        <v>21.22397459</v>
      </c>
      <c r="BW42" s="326">
        <f t="shared" si="53"/>
        <v>21.33009446</v>
      </c>
      <c r="BX42" s="326">
        <f t="shared" si="53"/>
        <v>21.43674493</v>
      </c>
      <c r="BY42" s="326">
        <f t="shared" si="53"/>
        <v>21.54392866</v>
      </c>
      <c r="BZ42" s="326">
        <f t="shared" si="53"/>
        <v>21.6516483</v>
      </c>
      <c r="CA42" s="326">
        <f t="shared" si="53"/>
        <v>21.75990654</v>
      </c>
      <c r="CB42" s="326">
        <f t="shared" si="53"/>
        <v>21.86870607</v>
      </c>
      <c r="CC42" s="326">
        <f t="shared" si="53"/>
        <v>21.9780496</v>
      </c>
      <c r="CD42" s="326">
        <f t="shared" si="53"/>
        <v>22.08793985</v>
      </c>
      <c r="CE42" s="326">
        <f t="shared" si="53"/>
        <v>22.19837955</v>
      </c>
      <c r="CF42" s="326">
        <f t="shared" si="53"/>
        <v>22.30937145</v>
      </c>
      <c r="CG42" s="326">
        <f t="shared" si="53"/>
        <v>22.42091831</v>
      </c>
      <c r="CH42" s="326">
        <f t="shared" si="53"/>
        <v>22.5330229</v>
      </c>
      <c r="CI42" s="326"/>
      <c r="CJ42" s="326"/>
      <c r="CK42" s="326"/>
      <c r="CL42" s="326"/>
      <c r="CM42" s="326"/>
      <c r="CN42" s="326"/>
      <c r="CO42" s="326"/>
      <c r="CP42" s="326"/>
    </row>
    <row r="43" ht="15.75" customHeight="1">
      <c r="A43" s="324" t="s">
        <v>94</v>
      </c>
      <c r="B43" s="325"/>
      <c r="C43" s="325">
        <v>30.0</v>
      </c>
      <c r="D43" s="325">
        <v>30.0</v>
      </c>
      <c r="E43" s="325">
        <v>30.0</v>
      </c>
      <c r="F43" s="325">
        <v>30.0</v>
      </c>
      <c r="G43" s="325">
        <v>30.0</v>
      </c>
      <c r="H43" s="325">
        <v>30.0</v>
      </c>
      <c r="I43" s="325">
        <v>30.0</v>
      </c>
      <c r="J43" s="325">
        <v>30.0</v>
      </c>
      <c r="K43" s="325">
        <v>30.0</v>
      </c>
      <c r="L43" s="325">
        <v>30.0</v>
      </c>
      <c r="M43" s="325">
        <v>30.0</v>
      </c>
      <c r="N43" s="325">
        <v>30.0</v>
      </c>
      <c r="O43" s="325">
        <v>30.0</v>
      </c>
      <c r="P43" s="325">
        <v>30.0</v>
      </c>
      <c r="Q43" s="325">
        <v>30.0</v>
      </c>
      <c r="R43" s="325">
        <v>30.0</v>
      </c>
      <c r="S43" s="325">
        <v>30.0</v>
      </c>
      <c r="T43" s="325">
        <v>30.0</v>
      </c>
      <c r="U43" s="325">
        <v>30.0</v>
      </c>
      <c r="V43" s="325">
        <v>30.0</v>
      </c>
      <c r="W43" s="325">
        <v>30.0</v>
      </c>
      <c r="X43" s="325">
        <v>30.0</v>
      </c>
      <c r="Y43" s="325">
        <v>30.0</v>
      </c>
      <c r="Z43" s="326">
        <f t="shared" ref="Z43:CH43" si="54">Y43*(1+Z51)</f>
        <v>33</v>
      </c>
      <c r="AA43" s="326">
        <f t="shared" si="54"/>
        <v>33</v>
      </c>
      <c r="AB43" s="326">
        <f t="shared" si="54"/>
        <v>33</v>
      </c>
      <c r="AC43" s="326">
        <f t="shared" si="54"/>
        <v>33</v>
      </c>
      <c r="AD43" s="326">
        <f t="shared" si="54"/>
        <v>33</v>
      </c>
      <c r="AE43" s="326">
        <f t="shared" si="54"/>
        <v>33</v>
      </c>
      <c r="AF43" s="326">
        <f t="shared" si="54"/>
        <v>33</v>
      </c>
      <c r="AG43" s="326">
        <f t="shared" si="54"/>
        <v>33</v>
      </c>
      <c r="AH43" s="326">
        <f t="shared" si="54"/>
        <v>31.35</v>
      </c>
      <c r="AI43" s="326">
        <f t="shared" si="54"/>
        <v>31.35</v>
      </c>
      <c r="AJ43" s="326">
        <f t="shared" si="54"/>
        <v>31.35</v>
      </c>
      <c r="AK43" s="326">
        <f t="shared" si="54"/>
        <v>31.50675</v>
      </c>
      <c r="AL43" s="326">
        <f t="shared" si="54"/>
        <v>31.8218175</v>
      </c>
      <c r="AM43" s="326">
        <f t="shared" si="54"/>
        <v>33.41290838</v>
      </c>
      <c r="AN43" s="326">
        <f t="shared" si="54"/>
        <v>33.57997292</v>
      </c>
      <c r="AO43" s="326">
        <f t="shared" si="54"/>
        <v>33.74787278</v>
      </c>
      <c r="AP43" s="326">
        <f t="shared" si="54"/>
        <v>33.91661215</v>
      </c>
      <c r="AQ43" s="326">
        <f t="shared" si="54"/>
        <v>34.08619521</v>
      </c>
      <c r="AR43" s="326">
        <f t="shared" si="54"/>
        <v>34.25662618</v>
      </c>
      <c r="AS43" s="326">
        <f t="shared" si="54"/>
        <v>34.42790931</v>
      </c>
      <c r="AT43" s="326">
        <f t="shared" si="54"/>
        <v>34.60004886</v>
      </c>
      <c r="AU43" s="326">
        <f t="shared" si="54"/>
        <v>34.7730491</v>
      </c>
      <c r="AV43" s="326">
        <f t="shared" si="54"/>
        <v>34.94691435</v>
      </c>
      <c r="AW43" s="326">
        <f t="shared" si="54"/>
        <v>35.12164892</v>
      </c>
      <c r="AX43" s="326">
        <f t="shared" si="54"/>
        <v>35.47286541</v>
      </c>
      <c r="AY43" s="326">
        <f t="shared" si="54"/>
        <v>35.65022974</v>
      </c>
      <c r="AZ43" s="326">
        <f t="shared" si="54"/>
        <v>35.82848089</v>
      </c>
      <c r="BA43" s="326">
        <f t="shared" si="54"/>
        <v>36.00762329</v>
      </c>
      <c r="BB43" s="326">
        <f t="shared" si="54"/>
        <v>36.18766141</v>
      </c>
      <c r="BC43" s="326">
        <f t="shared" si="54"/>
        <v>36.36859971</v>
      </c>
      <c r="BD43" s="326">
        <f t="shared" si="54"/>
        <v>36.55044271</v>
      </c>
      <c r="BE43" s="326">
        <f t="shared" si="54"/>
        <v>36.73319493</v>
      </c>
      <c r="BF43" s="326">
        <f t="shared" si="54"/>
        <v>36.9168609</v>
      </c>
      <c r="BG43" s="326">
        <f t="shared" si="54"/>
        <v>37.10144521</v>
      </c>
      <c r="BH43" s="326">
        <f t="shared" si="54"/>
        <v>37.28695243</v>
      </c>
      <c r="BI43" s="326">
        <f t="shared" si="54"/>
        <v>37.47338719</v>
      </c>
      <c r="BJ43" s="326">
        <f t="shared" si="54"/>
        <v>35.59971783</v>
      </c>
      <c r="BK43" s="326">
        <f t="shared" si="54"/>
        <v>35.77771642</v>
      </c>
      <c r="BL43" s="326">
        <f t="shared" si="54"/>
        <v>35.95660501</v>
      </c>
      <c r="BM43" s="326">
        <f t="shared" si="54"/>
        <v>36.13638803</v>
      </c>
      <c r="BN43" s="326">
        <f t="shared" si="54"/>
        <v>36.31706997</v>
      </c>
      <c r="BO43" s="326">
        <f t="shared" si="54"/>
        <v>36.49865532</v>
      </c>
      <c r="BP43" s="326">
        <f t="shared" si="54"/>
        <v>36.6811486</v>
      </c>
      <c r="BQ43" s="326">
        <f t="shared" si="54"/>
        <v>36.86455434</v>
      </c>
      <c r="BR43" s="326">
        <f t="shared" si="54"/>
        <v>37.04887711</v>
      </c>
      <c r="BS43" s="326">
        <f t="shared" si="54"/>
        <v>37.2341215</v>
      </c>
      <c r="BT43" s="326">
        <f t="shared" si="54"/>
        <v>37.4202921</v>
      </c>
      <c r="BU43" s="326">
        <f t="shared" si="54"/>
        <v>37.60739356</v>
      </c>
      <c r="BV43" s="326">
        <f t="shared" si="54"/>
        <v>33.84665421</v>
      </c>
      <c r="BW43" s="326">
        <f t="shared" si="54"/>
        <v>34.01588748</v>
      </c>
      <c r="BX43" s="326">
        <f t="shared" si="54"/>
        <v>34.18596692</v>
      </c>
      <c r="BY43" s="326">
        <f t="shared" si="54"/>
        <v>34.35689675</v>
      </c>
      <c r="BZ43" s="326">
        <f t="shared" si="54"/>
        <v>34.52868124</v>
      </c>
      <c r="CA43" s="326">
        <f t="shared" si="54"/>
        <v>34.70132464</v>
      </c>
      <c r="CB43" s="326">
        <f t="shared" si="54"/>
        <v>34.87483126</v>
      </c>
      <c r="CC43" s="326">
        <f t="shared" si="54"/>
        <v>35.04920542</v>
      </c>
      <c r="CD43" s="326">
        <f t="shared" si="54"/>
        <v>35.22445145</v>
      </c>
      <c r="CE43" s="326">
        <f t="shared" si="54"/>
        <v>35.40057371</v>
      </c>
      <c r="CF43" s="326">
        <f t="shared" si="54"/>
        <v>35.57757657</v>
      </c>
      <c r="CG43" s="326">
        <f t="shared" si="54"/>
        <v>35.75546446</v>
      </c>
      <c r="CH43" s="326">
        <f t="shared" si="54"/>
        <v>35.93424178</v>
      </c>
      <c r="CI43" s="326"/>
      <c r="CJ43" s="326"/>
      <c r="CK43" s="326"/>
      <c r="CL43" s="326"/>
      <c r="CM43" s="326"/>
      <c r="CN43" s="326"/>
      <c r="CO43" s="326"/>
      <c r="CP43" s="326"/>
    </row>
    <row r="44" ht="15.75" customHeight="1">
      <c r="A44" s="324" t="s">
        <v>96</v>
      </c>
      <c r="B44" s="325"/>
      <c r="C44" s="325">
        <v>30.0</v>
      </c>
      <c r="D44" s="325">
        <v>30.0</v>
      </c>
      <c r="E44" s="325">
        <v>30.0</v>
      </c>
      <c r="F44" s="325">
        <v>30.0</v>
      </c>
      <c r="G44" s="325">
        <v>30.0</v>
      </c>
      <c r="H44" s="325">
        <v>30.0</v>
      </c>
      <c r="I44" s="325">
        <v>30.0</v>
      </c>
      <c r="J44" s="325">
        <v>30.0</v>
      </c>
      <c r="K44" s="325">
        <v>30.0</v>
      </c>
      <c r="L44" s="325">
        <v>30.0</v>
      </c>
      <c r="M44" s="325">
        <v>30.0</v>
      </c>
      <c r="N44" s="325">
        <v>30.0</v>
      </c>
      <c r="O44" s="325">
        <v>30.0</v>
      </c>
      <c r="P44" s="325">
        <v>30.0</v>
      </c>
      <c r="Q44" s="325">
        <v>30.0</v>
      </c>
      <c r="R44" s="325">
        <v>30.0</v>
      </c>
      <c r="S44" s="325">
        <v>30.0</v>
      </c>
      <c r="T44" s="325">
        <v>30.0</v>
      </c>
      <c r="U44" s="325">
        <v>30.0</v>
      </c>
      <c r="V44" s="325">
        <v>30.0</v>
      </c>
      <c r="W44" s="325">
        <v>30.0</v>
      </c>
      <c r="X44" s="325">
        <v>30.0</v>
      </c>
      <c r="Y44" s="325">
        <v>30.0</v>
      </c>
      <c r="Z44" s="326">
        <f t="shared" ref="Z44:CH44" si="55">Y44*(1+Z52)</f>
        <v>33</v>
      </c>
      <c r="AA44" s="326">
        <f t="shared" si="55"/>
        <v>33</v>
      </c>
      <c r="AB44" s="326">
        <f t="shared" si="55"/>
        <v>33</v>
      </c>
      <c r="AC44" s="326">
        <f t="shared" si="55"/>
        <v>33</v>
      </c>
      <c r="AD44" s="326">
        <f t="shared" si="55"/>
        <v>33</v>
      </c>
      <c r="AE44" s="326">
        <f t="shared" si="55"/>
        <v>33</v>
      </c>
      <c r="AF44" s="326">
        <f t="shared" si="55"/>
        <v>33</v>
      </c>
      <c r="AG44" s="326">
        <f t="shared" si="55"/>
        <v>33</v>
      </c>
      <c r="AH44" s="326">
        <f t="shared" si="55"/>
        <v>33</v>
      </c>
      <c r="AI44" s="326">
        <f t="shared" si="55"/>
        <v>33</v>
      </c>
      <c r="AJ44" s="326">
        <f t="shared" si="55"/>
        <v>33</v>
      </c>
      <c r="AK44" s="326">
        <f t="shared" si="55"/>
        <v>33</v>
      </c>
      <c r="AL44" s="326">
        <f t="shared" si="55"/>
        <v>33</v>
      </c>
      <c r="AM44" s="326">
        <f t="shared" si="55"/>
        <v>33</v>
      </c>
      <c r="AN44" s="326">
        <f t="shared" si="55"/>
        <v>33</v>
      </c>
      <c r="AO44" s="326">
        <f t="shared" si="55"/>
        <v>33</v>
      </c>
      <c r="AP44" s="326">
        <f t="shared" si="55"/>
        <v>33</v>
      </c>
      <c r="AQ44" s="326">
        <f t="shared" si="55"/>
        <v>33</v>
      </c>
      <c r="AR44" s="326">
        <f t="shared" si="55"/>
        <v>33</v>
      </c>
      <c r="AS44" s="326">
        <f t="shared" si="55"/>
        <v>33</v>
      </c>
      <c r="AT44" s="326">
        <f t="shared" si="55"/>
        <v>33</v>
      </c>
      <c r="AU44" s="326">
        <f t="shared" si="55"/>
        <v>33</v>
      </c>
      <c r="AV44" s="326">
        <f t="shared" si="55"/>
        <v>33</v>
      </c>
      <c r="AW44" s="326">
        <f t="shared" si="55"/>
        <v>33</v>
      </c>
      <c r="AX44" s="326">
        <f t="shared" si="55"/>
        <v>33</v>
      </c>
      <c r="AY44" s="326">
        <f t="shared" si="55"/>
        <v>33</v>
      </c>
      <c r="AZ44" s="326">
        <f t="shared" si="55"/>
        <v>33</v>
      </c>
      <c r="BA44" s="326">
        <f t="shared" si="55"/>
        <v>33</v>
      </c>
      <c r="BB44" s="326">
        <f t="shared" si="55"/>
        <v>33</v>
      </c>
      <c r="BC44" s="326">
        <f t="shared" si="55"/>
        <v>33</v>
      </c>
      <c r="BD44" s="326">
        <f t="shared" si="55"/>
        <v>33</v>
      </c>
      <c r="BE44" s="326">
        <f t="shared" si="55"/>
        <v>33</v>
      </c>
      <c r="BF44" s="326">
        <f t="shared" si="55"/>
        <v>33</v>
      </c>
      <c r="BG44" s="326">
        <f t="shared" si="55"/>
        <v>33</v>
      </c>
      <c r="BH44" s="326">
        <f t="shared" si="55"/>
        <v>33</v>
      </c>
      <c r="BI44" s="326">
        <f t="shared" si="55"/>
        <v>33</v>
      </c>
      <c r="BJ44" s="326">
        <f t="shared" si="55"/>
        <v>33</v>
      </c>
      <c r="BK44" s="326">
        <f t="shared" si="55"/>
        <v>33</v>
      </c>
      <c r="BL44" s="326">
        <f t="shared" si="55"/>
        <v>33</v>
      </c>
      <c r="BM44" s="326">
        <f t="shared" si="55"/>
        <v>33</v>
      </c>
      <c r="BN44" s="326">
        <f t="shared" si="55"/>
        <v>33</v>
      </c>
      <c r="BO44" s="326">
        <f t="shared" si="55"/>
        <v>33</v>
      </c>
      <c r="BP44" s="326">
        <f t="shared" si="55"/>
        <v>33</v>
      </c>
      <c r="BQ44" s="326">
        <f t="shared" si="55"/>
        <v>33</v>
      </c>
      <c r="BR44" s="326">
        <f t="shared" si="55"/>
        <v>33</v>
      </c>
      <c r="BS44" s="326">
        <f t="shared" si="55"/>
        <v>33</v>
      </c>
      <c r="BT44" s="326">
        <f t="shared" si="55"/>
        <v>33</v>
      </c>
      <c r="BU44" s="326">
        <f t="shared" si="55"/>
        <v>33</v>
      </c>
      <c r="BV44" s="326">
        <f t="shared" si="55"/>
        <v>33</v>
      </c>
      <c r="BW44" s="326">
        <f t="shared" si="55"/>
        <v>33</v>
      </c>
      <c r="BX44" s="326">
        <f t="shared" si="55"/>
        <v>33</v>
      </c>
      <c r="BY44" s="326">
        <f t="shared" si="55"/>
        <v>33</v>
      </c>
      <c r="BZ44" s="326">
        <f t="shared" si="55"/>
        <v>33</v>
      </c>
      <c r="CA44" s="326">
        <f t="shared" si="55"/>
        <v>33</v>
      </c>
      <c r="CB44" s="326">
        <f t="shared" si="55"/>
        <v>33</v>
      </c>
      <c r="CC44" s="326">
        <f t="shared" si="55"/>
        <v>33</v>
      </c>
      <c r="CD44" s="326">
        <f t="shared" si="55"/>
        <v>33</v>
      </c>
      <c r="CE44" s="326">
        <f t="shared" si="55"/>
        <v>33</v>
      </c>
      <c r="CF44" s="326">
        <f t="shared" si="55"/>
        <v>33</v>
      </c>
      <c r="CG44" s="326">
        <f t="shared" si="55"/>
        <v>33</v>
      </c>
      <c r="CH44" s="326">
        <f t="shared" si="55"/>
        <v>33</v>
      </c>
      <c r="CI44" s="326"/>
      <c r="CJ44" s="326"/>
      <c r="CK44" s="326"/>
      <c r="CL44" s="326"/>
      <c r="CM44" s="326"/>
      <c r="CN44" s="326"/>
      <c r="CO44" s="326"/>
      <c r="CP44" s="326"/>
    </row>
    <row r="45" ht="15.75" customHeight="1">
      <c r="A45" s="327" t="s">
        <v>597</v>
      </c>
      <c r="B45" s="328"/>
      <c r="C45" s="328">
        <f t="shared" ref="C45:CH45" si="56">SUM(C39:C44)</f>
        <v>180</v>
      </c>
      <c r="D45" s="328">
        <f t="shared" si="56"/>
        <v>180</v>
      </c>
      <c r="E45" s="328">
        <f t="shared" si="56"/>
        <v>180</v>
      </c>
      <c r="F45" s="328">
        <f t="shared" si="56"/>
        <v>180</v>
      </c>
      <c r="G45" s="328">
        <f t="shared" si="56"/>
        <v>180</v>
      </c>
      <c r="H45" s="328">
        <f t="shared" si="56"/>
        <v>180</v>
      </c>
      <c r="I45" s="328">
        <f t="shared" si="56"/>
        <v>180</v>
      </c>
      <c r="J45" s="328">
        <f t="shared" si="56"/>
        <v>180</v>
      </c>
      <c r="K45" s="328">
        <f t="shared" si="56"/>
        <v>180</v>
      </c>
      <c r="L45" s="328">
        <f t="shared" si="56"/>
        <v>180</v>
      </c>
      <c r="M45" s="328">
        <f t="shared" si="56"/>
        <v>180</v>
      </c>
      <c r="N45" s="328">
        <f t="shared" si="56"/>
        <v>180</v>
      </c>
      <c r="O45" s="328">
        <f t="shared" si="56"/>
        <v>180</v>
      </c>
      <c r="P45" s="328">
        <f t="shared" si="56"/>
        <v>180</v>
      </c>
      <c r="Q45" s="328">
        <f t="shared" si="56"/>
        <v>180</v>
      </c>
      <c r="R45" s="329">
        <f t="shared" si="56"/>
        <v>180</v>
      </c>
      <c r="S45" s="329">
        <f t="shared" si="56"/>
        <v>180</v>
      </c>
      <c r="T45" s="329">
        <f t="shared" si="56"/>
        <v>180</v>
      </c>
      <c r="U45" s="329">
        <f t="shared" si="56"/>
        <v>180</v>
      </c>
      <c r="V45" s="329">
        <f t="shared" si="56"/>
        <v>180</v>
      </c>
      <c r="W45" s="329">
        <f t="shared" si="56"/>
        <v>180</v>
      </c>
      <c r="X45" s="329">
        <f t="shared" si="56"/>
        <v>180</v>
      </c>
      <c r="Y45" s="329">
        <f t="shared" si="56"/>
        <v>180</v>
      </c>
      <c r="Z45" s="329">
        <f t="shared" si="56"/>
        <v>198</v>
      </c>
      <c r="AA45" s="329">
        <f t="shared" si="56"/>
        <v>198</v>
      </c>
      <c r="AB45" s="329">
        <f t="shared" si="56"/>
        <v>198</v>
      </c>
      <c r="AC45" s="329">
        <f t="shared" si="56"/>
        <v>198</v>
      </c>
      <c r="AD45" s="329">
        <f t="shared" si="56"/>
        <v>198</v>
      </c>
      <c r="AE45" s="329">
        <f t="shared" si="56"/>
        <v>198</v>
      </c>
      <c r="AF45" s="329">
        <f t="shared" si="56"/>
        <v>198</v>
      </c>
      <c r="AG45" s="329">
        <f t="shared" si="56"/>
        <v>198</v>
      </c>
      <c r="AH45" s="329">
        <f t="shared" si="56"/>
        <v>190.08</v>
      </c>
      <c r="AI45" s="329">
        <f t="shared" si="56"/>
        <v>190.08</v>
      </c>
      <c r="AJ45" s="329">
        <f t="shared" si="56"/>
        <v>190.08</v>
      </c>
      <c r="AK45" s="329">
        <f t="shared" si="56"/>
        <v>190.8654</v>
      </c>
      <c r="AL45" s="329">
        <f t="shared" si="56"/>
        <v>153.2728725</v>
      </c>
      <c r="AM45" s="329">
        <f t="shared" si="56"/>
        <v>150.4414106</v>
      </c>
      <c r="AN45" s="329">
        <f t="shared" si="56"/>
        <v>151.0286177</v>
      </c>
      <c r="AO45" s="329">
        <f t="shared" si="56"/>
        <v>151.6187608</v>
      </c>
      <c r="AP45" s="329">
        <f t="shared" si="56"/>
        <v>152.2118546</v>
      </c>
      <c r="AQ45" s="329">
        <f t="shared" si="56"/>
        <v>152.8079138</v>
      </c>
      <c r="AR45" s="329">
        <f t="shared" si="56"/>
        <v>153.4069534</v>
      </c>
      <c r="AS45" s="329">
        <f t="shared" si="56"/>
        <v>154.0089882</v>
      </c>
      <c r="AT45" s="329">
        <f t="shared" si="56"/>
        <v>154.6140331</v>
      </c>
      <c r="AU45" s="329">
        <f t="shared" si="56"/>
        <v>155.2221033</v>
      </c>
      <c r="AV45" s="329">
        <f t="shared" si="56"/>
        <v>155.8332138</v>
      </c>
      <c r="AW45" s="329">
        <f t="shared" si="56"/>
        <v>156.4473799</v>
      </c>
      <c r="AX45" s="329">
        <f t="shared" si="56"/>
        <v>157.6818537</v>
      </c>
      <c r="AY45" s="329">
        <f t="shared" si="56"/>
        <v>158.3052629</v>
      </c>
      <c r="AZ45" s="329">
        <f t="shared" si="56"/>
        <v>158.9317893</v>
      </c>
      <c r="BA45" s="329">
        <f t="shared" si="56"/>
        <v>159.5614482</v>
      </c>
      <c r="BB45" s="329">
        <f t="shared" si="56"/>
        <v>160.1942554</v>
      </c>
      <c r="BC45" s="329">
        <f t="shared" si="56"/>
        <v>160.8302267</v>
      </c>
      <c r="BD45" s="329">
        <f t="shared" si="56"/>
        <v>161.4693779</v>
      </c>
      <c r="BE45" s="329">
        <f t="shared" si="56"/>
        <v>162.1117247</v>
      </c>
      <c r="BF45" s="329">
        <f t="shared" si="56"/>
        <v>162.7572834</v>
      </c>
      <c r="BG45" s="329">
        <f t="shared" si="56"/>
        <v>163.4060698</v>
      </c>
      <c r="BH45" s="329">
        <f t="shared" si="56"/>
        <v>164.0581001</v>
      </c>
      <c r="BI45" s="329">
        <f t="shared" si="56"/>
        <v>164.7133906</v>
      </c>
      <c r="BJ45" s="329">
        <f t="shared" si="56"/>
        <v>158.1277211</v>
      </c>
      <c r="BK45" s="329">
        <f t="shared" si="56"/>
        <v>158.7533597</v>
      </c>
      <c r="BL45" s="329">
        <f t="shared" si="56"/>
        <v>159.3821265</v>
      </c>
      <c r="BM45" s="329">
        <f t="shared" si="56"/>
        <v>160.0140371</v>
      </c>
      <c r="BN45" s="329">
        <f t="shared" si="56"/>
        <v>160.6491073</v>
      </c>
      <c r="BO45" s="329">
        <f t="shared" si="56"/>
        <v>161.2873529</v>
      </c>
      <c r="BP45" s="329">
        <f t="shared" si="56"/>
        <v>161.9287896</v>
      </c>
      <c r="BQ45" s="329">
        <f t="shared" si="56"/>
        <v>162.5734336</v>
      </c>
      <c r="BR45" s="329">
        <f t="shared" si="56"/>
        <v>163.2213007</v>
      </c>
      <c r="BS45" s="329">
        <f t="shared" si="56"/>
        <v>163.8724072</v>
      </c>
      <c r="BT45" s="329">
        <f t="shared" si="56"/>
        <v>164.5267693</v>
      </c>
      <c r="BU45" s="329">
        <f t="shared" si="56"/>
        <v>165.1844031</v>
      </c>
      <c r="BV45" s="329">
        <f t="shared" si="56"/>
        <v>151.9659628</v>
      </c>
      <c r="BW45" s="329">
        <f t="shared" si="56"/>
        <v>152.5607926</v>
      </c>
      <c r="BX45" s="329">
        <f t="shared" si="56"/>
        <v>153.1585966</v>
      </c>
      <c r="BY45" s="329">
        <f t="shared" si="56"/>
        <v>153.7593896</v>
      </c>
      <c r="BZ45" s="329">
        <f t="shared" si="56"/>
        <v>154.3631865</v>
      </c>
      <c r="CA45" s="329">
        <f t="shared" si="56"/>
        <v>154.9700025</v>
      </c>
      <c r="CB45" s="329">
        <f t="shared" si="56"/>
        <v>155.5798525</v>
      </c>
      <c r="CC45" s="329">
        <f t="shared" si="56"/>
        <v>156.1927517</v>
      </c>
      <c r="CD45" s="329">
        <f t="shared" si="56"/>
        <v>156.8087155</v>
      </c>
      <c r="CE45" s="329">
        <f t="shared" si="56"/>
        <v>157.4277591</v>
      </c>
      <c r="CF45" s="329">
        <f t="shared" si="56"/>
        <v>158.0498979</v>
      </c>
      <c r="CG45" s="329">
        <f t="shared" si="56"/>
        <v>158.6751473</v>
      </c>
      <c r="CH45" s="329">
        <f t="shared" si="56"/>
        <v>159.3035231</v>
      </c>
      <c r="CI45" s="330"/>
      <c r="CJ45" s="330"/>
      <c r="CK45" s="330"/>
      <c r="CL45" s="330"/>
      <c r="CM45" s="330"/>
      <c r="CN45" s="330"/>
      <c r="CO45" s="330"/>
      <c r="CP45" s="330"/>
    </row>
    <row r="46" ht="15.75" customHeight="1">
      <c r="A46" s="1"/>
      <c r="B46" s="1"/>
      <c r="C46" s="1"/>
      <c r="D46" s="1"/>
      <c r="E46" s="1"/>
      <c r="F46" s="1"/>
      <c r="G46" s="1"/>
      <c r="H46" s="1"/>
      <c r="I46" s="1"/>
      <c r="J46" s="1"/>
      <c r="K46" s="1"/>
      <c r="L46" s="1"/>
      <c r="M46" s="1"/>
      <c r="N46" s="125"/>
      <c r="O46" s="125"/>
      <c r="P46" s="125"/>
      <c r="Q46" s="125"/>
      <c r="R46" s="331"/>
      <c r="S46" s="125"/>
      <c r="T46" s="125"/>
      <c r="U46" s="1"/>
      <c r="V46" s="313"/>
      <c r="W46" s="1"/>
      <c r="X46" s="1"/>
      <c r="Y46" s="1"/>
      <c r="Z46" s="313"/>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row>
    <row r="47" ht="15.75" customHeight="1">
      <c r="A47" s="324" t="s">
        <v>129</v>
      </c>
      <c r="B47" s="332"/>
      <c r="C47" s="332"/>
      <c r="D47" s="333">
        <f t="shared" ref="D47:Y47" si="57">D39/C39-1</f>
        <v>0</v>
      </c>
      <c r="E47" s="333">
        <f t="shared" si="57"/>
        <v>0</v>
      </c>
      <c r="F47" s="333">
        <f t="shared" si="57"/>
        <v>0</v>
      </c>
      <c r="G47" s="333">
        <f t="shared" si="57"/>
        <v>0</v>
      </c>
      <c r="H47" s="333">
        <f t="shared" si="57"/>
        <v>0</v>
      </c>
      <c r="I47" s="333">
        <f t="shared" si="57"/>
        <v>0</v>
      </c>
      <c r="J47" s="333">
        <f t="shared" si="57"/>
        <v>0</v>
      </c>
      <c r="K47" s="334">
        <f t="shared" si="57"/>
        <v>0</v>
      </c>
      <c r="L47" s="334">
        <f t="shared" si="57"/>
        <v>0</v>
      </c>
      <c r="M47" s="334">
        <f t="shared" si="57"/>
        <v>0</v>
      </c>
      <c r="N47" s="334">
        <f t="shared" si="57"/>
        <v>0</v>
      </c>
      <c r="O47" s="334">
        <f t="shared" si="57"/>
        <v>0</v>
      </c>
      <c r="P47" s="334">
        <f t="shared" si="57"/>
        <v>0</v>
      </c>
      <c r="Q47" s="334">
        <f t="shared" si="57"/>
        <v>0</v>
      </c>
      <c r="R47" s="334">
        <f t="shared" si="57"/>
        <v>0</v>
      </c>
      <c r="S47" s="334">
        <f t="shared" si="57"/>
        <v>0</v>
      </c>
      <c r="T47" s="334">
        <f t="shared" si="57"/>
        <v>0</v>
      </c>
      <c r="U47" s="334">
        <f t="shared" si="57"/>
        <v>0</v>
      </c>
      <c r="V47" s="334">
        <f t="shared" si="57"/>
        <v>0</v>
      </c>
      <c r="W47" s="334">
        <f t="shared" si="57"/>
        <v>0</v>
      </c>
      <c r="X47" s="334">
        <f t="shared" si="57"/>
        <v>0</v>
      </c>
      <c r="Y47" s="334">
        <f t="shared" si="57"/>
        <v>0</v>
      </c>
      <c r="Z47" s="335">
        <v>0.1</v>
      </c>
      <c r="AA47" s="335">
        <v>0.0</v>
      </c>
      <c r="AB47" s="335">
        <v>0.0</v>
      </c>
      <c r="AC47" s="335">
        <v>0.0</v>
      </c>
      <c r="AD47" s="335">
        <v>0.0</v>
      </c>
      <c r="AE47" s="335">
        <v>0.0</v>
      </c>
      <c r="AF47" s="335">
        <v>0.0</v>
      </c>
      <c r="AG47" s="335">
        <v>0.0</v>
      </c>
      <c r="AH47" s="335">
        <v>-0.04</v>
      </c>
      <c r="AI47" s="335">
        <v>0.0</v>
      </c>
      <c r="AJ47" s="335">
        <v>0.0</v>
      </c>
      <c r="AK47" s="335">
        <v>0.005</v>
      </c>
      <c r="AL47" s="335">
        <v>-0.3</v>
      </c>
      <c r="AM47" s="335">
        <v>-0.05</v>
      </c>
      <c r="AN47" s="335">
        <v>0.005</v>
      </c>
      <c r="AO47" s="335">
        <v>0.005</v>
      </c>
      <c r="AP47" s="335">
        <v>0.005</v>
      </c>
      <c r="AQ47" s="335">
        <v>0.005</v>
      </c>
      <c r="AR47" s="335">
        <v>0.005</v>
      </c>
      <c r="AS47" s="335">
        <v>0.005</v>
      </c>
      <c r="AT47" s="335">
        <v>0.005</v>
      </c>
      <c r="AU47" s="335">
        <v>0.005</v>
      </c>
      <c r="AV47" s="335">
        <v>0.005</v>
      </c>
      <c r="AW47" s="335">
        <v>0.005</v>
      </c>
      <c r="AX47" s="335">
        <v>0.01</v>
      </c>
      <c r="AY47" s="335">
        <v>0.005</v>
      </c>
      <c r="AZ47" s="335">
        <v>0.005</v>
      </c>
      <c r="BA47" s="335">
        <v>0.005</v>
      </c>
      <c r="BB47" s="335">
        <v>0.005</v>
      </c>
      <c r="BC47" s="335">
        <v>0.005</v>
      </c>
      <c r="BD47" s="335">
        <v>0.005</v>
      </c>
      <c r="BE47" s="335">
        <v>0.005</v>
      </c>
      <c r="BF47" s="335">
        <v>0.005</v>
      </c>
      <c r="BG47" s="335">
        <v>0.005</v>
      </c>
      <c r="BH47" s="335">
        <v>0.005</v>
      </c>
      <c r="BI47" s="335">
        <v>0.005</v>
      </c>
      <c r="BJ47" s="335">
        <v>-0.05</v>
      </c>
      <c r="BK47" s="335">
        <v>0.005</v>
      </c>
      <c r="BL47" s="335">
        <v>0.005</v>
      </c>
      <c r="BM47" s="335">
        <v>0.005</v>
      </c>
      <c r="BN47" s="335">
        <v>0.005</v>
      </c>
      <c r="BO47" s="335">
        <v>0.005</v>
      </c>
      <c r="BP47" s="335">
        <v>0.005</v>
      </c>
      <c r="BQ47" s="335">
        <v>0.005</v>
      </c>
      <c r="BR47" s="335">
        <v>0.005</v>
      </c>
      <c r="BS47" s="335">
        <v>0.005</v>
      </c>
      <c r="BT47" s="335">
        <v>0.005</v>
      </c>
      <c r="BU47" s="335">
        <v>0.005</v>
      </c>
      <c r="BV47" s="335">
        <v>-0.1</v>
      </c>
      <c r="BW47" s="335">
        <v>0.005</v>
      </c>
      <c r="BX47" s="335">
        <v>0.005</v>
      </c>
      <c r="BY47" s="335">
        <v>0.005</v>
      </c>
      <c r="BZ47" s="335">
        <v>0.005</v>
      </c>
      <c r="CA47" s="335">
        <v>0.005</v>
      </c>
      <c r="CB47" s="335">
        <v>0.005</v>
      </c>
      <c r="CC47" s="335">
        <v>0.005</v>
      </c>
      <c r="CD47" s="335">
        <v>0.005</v>
      </c>
      <c r="CE47" s="335">
        <v>0.005</v>
      </c>
      <c r="CF47" s="335">
        <v>0.005</v>
      </c>
      <c r="CG47" s="335">
        <v>0.005</v>
      </c>
      <c r="CH47" s="335">
        <v>0.005</v>
      </c>
      <c r="CI47" s="335"/>
      <c r="CJ47" s="335"/>
      <c r="CK47" s="335"/>
      <c r="CL47" s="335"/>
      <c r="CM47" s="335"/>
      <c r="CN47" s="335"/>
      <c r="CO47" s="335"/>
      <c r="CP47" s="335"/>
    </row>
    <row r="48" ht="15.75" customHeight="1">
      <c r="A48" s="324" t="s">
        <v>85</v>
      </c>
      <c r="B48" s="332"/>
      <c r="C48" s="332"/>
      <c r="D48" s="333">
        <f t="shared" ref="D48:Y48" si="58">D40/C40-1</f>
        <v>0</v>
      </c>
      <c r="E48" s="333">
        <f t="shared" si="58"/>
        <v>0</v>
      </c>
      <c r="F48" s="333">
        <f t="shared" si="58"/>
        <v>0</v>
      </c>
      <c r="G48" s="333">
        <f t="shared" si="58"/>
        <v>0</v>
      </c>
      <c r="H48" s="333">
        <f t="shared" si="58"/>
        <v>0</v>
      </c>
      <c r="I48" s="333">
        <f t="shared" si="58"/>
        <v>0</v>
      </c>
      <c r="J48" s="333">
        <f t="shared" si="58"/>
        <v>0</v>
      </c>
      <c r="K48" s="334">
        <f t="shared" si="58"/>
        <v>0</v>
      </c>
      <c r="L48" s="334">
        <f t="shared" si="58"/>
        <v>0</v>
      </c>
      <c r="M48" s="334">
        <f t="shared" si="58"/>
        <v>0</v>
      </c>
      <c r="N48" s="334">
        <f t="shared" si="58"/>
        <v>0</v>
      </c>
      <c r="O48" s="334">
        <f t="shared" si="58"/>
        <v>0</v>
      </c>
      <c r="P48" s="334">
        <f t="shared" si="58"/>
        <v>0</v>
      </c>
      <c r="Q48" s="334">
        <f t="shared" si="58"/>
        <v>0</v>
      </c>
      <c r="R48" s="334">
        <f t="shared" si="58"/>
        <v>0</v>
      </c>
      <c r="S48" s="334">
        <f t="shared" si="58"/>
        <v>0</v>
      </c>
      <c r="T48" s="334">
        <f t="shared" si="58"/>
        <v>0</v>
      </c>
      <c r="U48" s="334">
        <f t="shared" si="58"/>
        <v>0</v>
      </c>
      <c r="V48" s="334">
        <f t="shared" si="58"/>
        <v>0</v>
      </c>
      <c r="W48" s="334">
        <f t="shared" si="58"/>
        <v>0</v>
      </c>
      <c r="X48" s="334">
        <f t="shared" si="58"/>
        <v>0</v>
      </c>
      <c r="Y48" s="334">
        <f t="shared" si="58"/>
        <v>0</v>
      </c>
      <c r="Z48" s="335">
        <v>0.1</v>
      </c>
      <c r="AA48" s="335">
        <v>0.0</v>
      </c>
      <c r="AB48" s="335">
        <v>0.0</v>
      </c>
      <c r="AC48" s="335">
        <v>0.0</v>
      </c>
      <c r="AD48" s="335">
        <v>0.0</v>
      </c>
      <c r="AE48" s="335">
        <v>0.0</v>
      </c>
      <c r="AF48" s="335">
        <v>0.0</v>
      </c>
      <c r="AG48" s="335">
        <v>0.0</v>
      </c>
      <c r="AH48" s="335">
        <v>-0.05</v>
      </c>
      <c r="AI48" s="335">
        <v>0.0</v>
      </c>
      <c r="AJ48" s="335">
        <v>0.0</v>
      </c>
      <c r="AK48" s="335">
        <v>0.005</v>
      </c>
      <c r="AL48" s="335">
        <v>-0.3</v>
      </c>
      <c r="AM48" s="335">
        <v>-0.05</v>
      </c>
      <c r="AN48" s="335">
        <v>0.005</v>
      </c>
      <c r="AO48" s="335">
        <v>0.005</v>
      </c>
      <c r="AP48" s="335">
        <v>0.005</v>
      </c>
      <c r="AQ48" s="335">
        <v>0.005</v>
      </c>
      <c r="AR48" s="335">
        <v>0.005</v>
      </c>
      <c r="AS48" s="335">
        <v>0.005</v>
      </c>
      <c r="AT48" s="335">
        <v>0.005</v>
      </c>
      <c r="AU48" s="335">
        <v>0.005</v>
      </c>
      <c r="AV48" s="335">
        <v>0.005</v>
      </c>
      <c r="AW48" s="335">
        <v>0.005</v>
      </c>
      <c r="AX48" s="335">
        <v>0.01</v>
      </c>
      <c r="AY48" s="335">
        <v>0.005</v>
      </c>
      <c r="AZ48" s="335">
        <v>0.005</v>
      </c>
      <c r="BA48" s="335">
        <v>0.005</v>
      </c>
      <c r="BB48" s="335">
        <v>0.005</v>
      </c>
      <c r="BC48" s="335">
        <v>0.005</v>
      </c>
      <c r="BD48" s="335">
        <v>0.005</v>
      </c>
      <c r="BE48" s="335">
        <v>0.005</v>
      </c>
      <c r="BF48" s="335">
        <v>0.005</v>
      </c>
      <c r="BG48" s="335">
        <v>0.005</v>
      </c>
      <c r="BH48" s="335">
        <v>0.005</v>
      </c>
      <c r="BI48" s="335">
        <v>0.005</v>
      </c>
      <c r="BJ48" s="335">
        <v>-0.05</v>
      </c>
      <c r="BK48" s="335">
        <v>0.005</v>
      </c>
      <c r="BL48" s="335">
        <v>0.005</v>
      </c>
      <c r="BM48" s="335">
        <v>0.005</v>
      </c>
      <c r="BN48" s="335">
        <v>0.005</v>
      </c>
      <c r="BO48" s="335">
        <v>0.005</v>
      </c>
      <c r="BP48" s="335">
        <v>0.005</v>
      </c>
      <c r="BQ48" s="335">
        <v>0.005</v>
      </c>
      <c r="BR48" s="335">
        <v>0.005</v>
      </c>
      <c r="BS48" s="335">
        <v>0.005</v>
      </c>
      <c r="BT48" s="335">
        <v>0.005</v>
      </c>
      <c r="BU48" s="335">
        <v>0.005</v>
      </c>
      <c r="BV48" s="335">
        <v>-0.1</v>
      </c>
      <c r="BW48" s="335">
        <v>0.005</v>
      </c>
      <c r="BX48" s="335">
        <v>0.005</v>
      </c>
      <c r="BY48" s="335">
        <v>0.005</v>
      </c>
      <c r="BZ48" s="335">
        <v>0.005</v>
      </c>
      <c r="CA48" s="335">
        <v>0.005</v>
      </c>
      <c r="CB48" s="335">
        <v>0.005</v>
      </c>
      <c r="CC48" s="335">
        <v>0.005</v>
      </c>
      <c r="CD48" s="335">
        <v>0.005</v>
      </c>
      <c r="CE48" s="335">
        <v>0.005</v>
      </c>
      <c r="CF48" s="335">
        <v>0.005</v>
      </c>
      <c r="CG48" s="335">
        <v>0.005</v>
      </c>
      <c r="CH48" s="335">
        <v>0.005</v>
      </c>
      <c r="CI48" s="335"/>
      <c r="CJ48" s="335"/>
      <c r="CK48" s="335"/>
      <c r="CL48" s="335"/>
      <c r="CM48" s="335"/>
      <c r="CN48" s="335"/>
      <c r="CO48" s="335"/>
      <c r="CP48" s="335"/>
    </row>
    <row r="49" ht="15.75" customHeight="1">
      <c r="A49" s="324" t="s">
        <v>130</v>
      </c>
      <c r="B49" s="332"/>
      <c r="C49" s="332"/>
      <c r="D49" s="333">
        <f t="shared" ref="D49:Y49" si="59">D41/C41-1</f>
        <v>0</v>
      </c>
      <c r="E49" s="333">
        <f t="shared" si="59"/>
        <v>0</v>
      </c>
      <c r="F49" s="333">
        <f t="shared" si="59"/>
        <v>0</v>
      </c>
      <c r="G49" s="333">
        <f t="shared" si="59"/>
        <v>0</v>
      </c>
      <c r="H49" s="333">
        <f t="shared" si="59"/>
        <v>0</v>
      </c>
      <c r="I49" s="333">
        <f t="shared" si="59"/>
        <v>0</v>
      </c>
      <c r="J49" s="333">
        <f t="shared" si="59"/>
        <v>0</v>
      </c>
      <c r="K49" s="334">
        <f t="shared" si="59"/>
        <v>0</v>
      </c>
      <c r="L49" s="334">
        <f t="shared" si="59"/>
        <v>0</v>
      </c>
      <c r="M49" s="334">
        <f t="shared" si="59"/>
        <v>0</v>
      </c>
      <c r="N49" s="334">
        <f t="shared" si="59"/>
        <v>0</v>
      </c>
      <c r="O49" s="334">
        <f t="shared" si="59"/>
        <v>0</v>
      </c>
      <c r="P49" s="334">
        <f t="shared" si="59"/>
        <v>0</v>
      </c>
      <c r="Q49" s="334">
        <f t="shared" si="59"/>
        <v>0</v>
      </c>
      <c r="R49" s="334">
        <f t="shared" si="59"/>
        <v>0</v>
      </c>
      <c r="S49" s="334">
        <f t="shared" si="59"/>
        <v>0</v>
      </c>
      <c r="T49" s="334">
        <f t="shared" si="59"/>
        <v>0</v>
      </c>
      <c r="U49" s="334">
        <f t="shared" si="59"/>
        <v>0</v>
      </c>
      <c r="V49" s="334">
        <f t="shared" si="59"/>
        <v>0</v>
      </c>
      <c r="W49" s="334">
        <f t="shared" si="59"/>
        <v>0</v>
      </c>
      <c r="X49" s="334">
        <f t="shared" si="59"/>
        <v>0</v>
      </c>
      <c r="Y49" s="334">
        <f t="shared" si="59"/>
        <v>0</v>
      </c>
      <c r="Z49" s="335">
        <v>0.1</v>
      </c>
      <c r="AA49" s="335">
        <v>0.0</v>
      </c>
      <c r="AB49" s="335">
        <v>0.0</v>
      </c>
      <c r="AC49" s="335">
        <v>0.0</v>
      </c>
      <c r="AD49" s="335">
        <v>0.0</v>
      </c>
      <c r="AE49" s="335">
        <v>0.0</v>
      </c>
      <c r="AF49" s="335">
        <v>0.0</v>
      </c>
      <c r="AG49" s="335">
        <v>0.0</v>
      </c>
      <c r="AH49" s="335">
        <v>-0.05</v>
      </c>
      <c r="AI49" s="335">
        <v>0.0</v>
      </c>
      <c r="AJ49" s="335">
        <v>0.0</v>
      </c>
      <c r="AK49" s="335">
        <v>0.005</v>
      </c>
      <c r="AL49" s="335">
        <v>-0.3</v>
      </c>
      <c r="AM49" s="335">
        <v>-0.05</v>
      </c>
      <c r="AN49" s="335">
        <v>0.005</v>
      </c>
      <c r="AO49" s="335">
        <v>0.005</v>
      </c>
      <c r="AP49" s="335">
        <v>0.005</v>
      </c>
      <c r="AQ49" s="335">
        <v>0.005</v>
      </c>
      <c r="AR49" s="335">
        <v>0.005</v>
      </c>
      <c r="AS49" s="335">
        <v>0.005</v>
      </c>
      <c r="AT49" s="335">
        <v>0.005</v>
      </c>
      <c r="AU49" s="335">
        <v>0.005</v>
      </c>
      <c r="AV49" s="335">
        <v>0.005</v>
      </c>
      <c r="AW49" s="335">
        <v>0.005</v>
      </c>
      <c r="AX49" s="335">
        <v>0.01</v>
      </c>
      <c r="AY49" s="335">
        <v>0.005</v>
      </c>
      <c r="AZ49" s="335">
        <v>0.005</v>
      </c>
      <c r="BA49" s="335">
        <v>0.005</v>
      </c>
      <c r="BB49" s="335">
        <v>0.005</v>
      </c>
      <c r="BC49" s="335">
        <v>0.005</v>
      </c>
      <c r="BD49" s="335">
        <v>0.005</v>
      </c>
      <c r="BE49" s="335">
        <v>0.005</v>
      </c>
      <c r="BF49" s="335">
        <v>0.005</v>
      </c>
      <c r="BG49" s="335">
        <v>0.005</v>
      </c>
      <c r="BH49" s="335">
        <v>0.005</v>
      </c>
      <c r="BI49" s="335">
        <v>0.005</v>
      </c>
      <c r="BJ49" s="335">
        <v>-0.05</v>
      </c>
      <c r="BK49" s="335">
        <v>0.005</v>
      </c>
      <c r="BL49" s="335">
        <v>0.005</v>
      </c>
      <c r="BM49" s="335">
        <v>0.005</v>
      </c>
      <c r="BN49" s="335">
        <v>0.005</v>
      </c>
      <c r="BO49" s="335">
        <v>0.005</v>
      </c>
      <c r="BP49" s="335">
        <v>0.005</v>
      </c>
      <c r="BQ49" s="335">
        <v>0.005</v>
      </c>
      <c r="BR49" s="335">
        <v>0.005</v>
      </c>
      <c r="BS49" s="335">
        <v>0.005</v>
      </c>
      <c r="BT49" s="335">
        <v>0.005</v>
      </c>
      <c r="BU49" s="335">
        <v>0.005</v>
      </c>
      <c r="BV49" s="335">
        <v>-0.1</v>
      </c>
      <c r="BW49" s="335">
        <v>0.005</v>
      </c>
      <c r="BX49" s="335">
        <v>0.005</v>
      </c>
      <c r="BY49" s="335">
        <v>0.005</v>
      </c>
      <c r="BZ49" s="335">
        <v>0.005</v>
      </c>
      <c r="CA49" s="335">
        <v>0.005</v>
      </c>
      <c r="CB49" s="335">
        <v>0.005</v>
      </c>
      <c r="CC49" s="335">
        <v>0.005</v>
      </c>
      <c r="CD49" s="335">
        <v>0.005</v>
      </c>
      <c r="CE49" s="335">
        <v>0.005</v>
      </c>
      <c r="CF49" s="335">
        <v>0.005</v>
      </c>
      <c r="CG49" s="335">
        <v>0.005</v>
      </c>
      <c r="CH49" s="335">
        <v>0.005</v>
      </c>
      <c r="CI49" s="335"/>
      <c r="CJ49" s="335"/>
      <c r="CK49" s="335"/>
      <c r="CL49" s="335"/>
      <c r="CM49" s="335"/>
      <c r="CN49" s="335"/>
      <c r="CO49" s="335"/>
      <c r="CP49" s="335"/>
    </row>
    <row r="50" ht="15.75" customHeight="1">
      <c r="A50" s="324" t="s">
        <v>89</v>
      </c>
      <c r="B50" s="332"/>
      <c r="C50" s="332"/>
      <c r="D50" s="333">
        <f t="shared" ref="D50:Y50" si="60">D42/C42-1</f>
        <v>0</v>
      </c>
      <c r="E50" s="333">
        <f t="shared" si="60"/>
        <v>0</v>
      </c>
      <c r="F50" s="333">
        <f t="shared" si="60"/>
        <v>0</v>
      </c>
      <c r="G50" s="333">
        <f t="shared" si="60"/>
        <v>0</v>
      </c>
      <c r="H50" s="333">
        <f t="shared" si="60"/>
        <v>0</v>
      </c>
      <c r="I50" s="333">
        <f t="shared" si="60"/>
        <v>0</v>
      </c>
      <c r="J50" s="333">
        <f t="shared" si="60"/>
        <v>0</v>
      </c>
      <c r="K50" s="334">
        <f t="shared" si="60"/>
        <v>0</v>
      </c>
      <c r="L50" s="334">
        <f t="shared" si="60"/>
        <v>0</v>
      </c>
      <c r="M50" s="334">
        <f t="shared" si="60"/>
        <v>0</v>
      </c>
      <c r="N50" s="334">
        <f t="shared" si="60"/>
        <v>0</v>
      </c>
      <c r="O50" s="334">
        <f t="shared" si="60"/>
        <v>0</v>
      </c>
      <c r="P50" s="334">
        <f t="shared" si="60"/>
        <v>0</v>
      </c>
      <c r="Q50" s="334">
        <f t="shared" si="60"/>
        <v>0</v>
      </c>
      <c r="R50" s="334">
        <f t="shared" si="60"/>
        <v>0</v>
      </c>
      <c r="S50" s="334">
        <f t="shared" si="60"/>
        <v>0</v>
      </c>
      <c r="T50" s="334">
        <f t="shared" si="60"/>
        <v>0</v>
      </c>
      <c r="U50" s="334">
        <f t="shared" si="60"/>
        <v>0</v>
      </c>
      <c r="V50" s="334">
        <f t="shared" si="60"/>
        <v>0</v>
      </c>
      <c r="W50" s="334">
        <f t="shared" si="60"/>
        <v>0</v>
      </c>
      <c r="X50" s="334">
        <f t="shared" si="60"/>
        <v>0</v>
      </c>
      <c r="Y50" s="334">
        <f t="shared" si="60"/>
        <v>0</v>
      </c>
      <c r="Z50" s="335">
        <v>0.1</v>
      </c>
      <c r="AA50" s="335">
        <v>0.0</v>
      </c>
      <c r="AB50" s="335">
        <v>0.0</v>
      </c>
      <c r="AC50" s="335">
        <v>0.0</v>
      </c>
      <c r="AD50" s="335">
        <v>0.0</v>
      </c>
      <c r="AE50" s="335">
        <v>0.0</v>
      </c>
      <c r="AF50" s="335">
        <v>0.0</v>
      </c>
      <c r="AG50" s="335">
        <v>0.0</v>
      </c>
      <c r="AH50" s="335">
        <v>-0.05</v>
      </c>
      <c r="AI50" s="335">
        <v>0.0</v>
      </c>
      <c r="AJ50" s="335">
        <v>0.0</v>
      </c>
      <c r="AK50" s="335">
        <v>0.005</v>
      </c>
      <c r="AL50" s="335">
        <v>-0.3</v>
      </c>
      <c r="AM50" s="335">
        <v>-0.05</v>
      </c>
      <c r="AN50" s="335">
        <v>0.005</v>
      </c>
      <c r="AO50" s="335">
        <v>0.005</v>
      </c>
      <c r="AP50" s="335">
        <v>0.005</v>
      </c>
      <c r="AQ50" s="335">
        <v>0.005</v>
      </c>
      <c r="AR50" s="335">
        <v>0.005</v>
      </c>
      <c r="AS50" s="335">
        <v>0.005</v>
      </c>
      <c r="AT50" s="335">
        <v>0.005</v>
      </c>
      <c r="AU50" s="335">
        <v>0.005</v>
      </c>
      <c r="AV50" s="335">
        <v>0.005</v>
      </c>
      <c r="AW50" s="335">
        <v>0.005</v>
      </c>
      <c r="AX50" s="335">
        <v>0.01</v>
      </c>
      <c r="AY50" s="335">
        <v>0.005</v>
      </c>
      <c r="AZ50" s="335">
        <v>0.005</v>
      </c>
      <c r="BA50" s="335">
        <v>0.005</v>
      </c>
      <c r="BB50" s="335">
        <v>0.005</v>
      </c>
      <c r="BC50" s="335">
        <v>0.005</v>
      </c>
      <c r="BD50" s="335">
        <v>0.005</v>
      </c>
      <c r="BE50" s="335">
        <v>0.005</v>
      </c>
      <c r="BF50" s="335">
        <v>0.005</v>
      </c>
      <c r="BG50" s="335">
        <v>0.005</v>
      </c>
      <c r="BH50" s="335">
        <v>0.005</v>
      </c>
      <c r="BI50" s="335">
        <v>0.005</v>
      </c>
      <c r="BJ50" s="335">
        <v>-0.05</v>
      </c>
      <c r="BK50" s="335">
        <v>0.005</v>
      </c>
      <c r="BL50" s="335">
        <v>0.005</v>
      </c>
      <c r="BM50" s="335">
        <v>0.005</v>
      </c>
      <c r="BN50" s="335">
        <v>0.005</v>
      </c>
      <c r="BO50" s="335">
        <v>0.005</v>
      </c>
      <c r="BP50" s="335">
        <v>0.005</v>
      </c>
      <c r="BQ50" s="335">
        <v>0.005</v>
      </c>
      <c r="BR50" s="335">
        <v>0.005</v>
      </c>
      <c r="BS50" s="335">
        <v>0.005</v>
      </c>
      <c r="BT50" s="335">
        <v>0.005</v>
      </c>
      <c r="BU50" s="335">
        <v>0.005</v>
      </c>
      <c r="BV50" s="335">
        <v>-0.1</v>
      </c>
      <c r="BW50" s="335">
        <v>0.005</v>
      </c>
      <c r="BX50" s="335">
        <v>0.005</v>
      </c>
      <c r="BY50" s="335">
        <v>0.005</v>
      </c>
      <c r="BZ50" s="335">
        <v>0.005</v>
      </c>
      <c r="CA50" s="335">
        <v>0.005</v>
      </c>
      <c r="CB50" s="335">
        <v>0.005</v>
      </c>
      <c r="CC50" s="335">
        <v>0.005</v>
      </c>
      <c r="CD50" s="335">
        <v>0.005</v>
      </c>
      <c r="CE50" s="335">
        <v>0.005</v>
      </c>
      <c r="CF50" s="335">
        <v>0.005</v>
      </c>
      <c r="CG50" s="335">
        <v>0.005</v>
      </c>
      <c r="CH50" s="335">
        <v>0.005</v>
      </c>
      <c r="CI50" s="335"/>
      <c r="CJ50" s="335"/>
      <c r="CK50" s="335"/>
      <c r="CL50" s="335"/>
      <c r="CM50" s="335"/>
      <c r="CN50" s="335"/>
      <c r="CO50" s="335"/>
      <c r="CP50" s="335"/>
    </row>
    <row r="51" ht="15.75" customHeight="1">
      <c r="A51" s="324" t="s">
        <v>94</v>
      </c>
      <c r="B51" s="332"/>
      <c r="C51" s="332"/>
      <c r="D51" s="333">
        <f t="shared" ref="D51:Y51" si="61">D43/C43-1</f>
        <v>0</v>
      </c>
      <c r="E51" s="333">
        <f t="shared" si="61"/>
        <v>0</v>
      </c>
      <c r="F51" s="333">
        <f t="shared" si="61"/>
        <v>0</v>
      </c>
      <c r="G51" s="333">
        <f t="shared" si="61"/>
        <v>0</v>
      </c>
      <c r="H51" s="333">
        <f t="shared" si="61"/>
        <v>0</v>
      </c>
      <c r="I51" s="333">
        <f t="shared" si="61"/>
        <v>0</v>
      </c>
      <c r="J51" s="333">
        <f t="shared" si="61"/>
        <v>0</v>
      </c>
      <c r="K51" s="334">
        <f t="shared" si="61"/>
        <v>0</v>
      </c>
      <c r="L51" s="334">
        <f t="shared" si="61"/>
        <v>0</v>
      </c>
      <c r="M51" s="334">
        <f t="shared" si="61"/>
        <v>0</v>
      </c>
      <c r="N51" s="334">
        <f t="shared" si="61"/>
        <v>0</v>
      </c>
      <c r="O51" s="334">
        <f t="shared" si="61"/>
        <v>0</v>
      </c>
      <c r="P51" s="334">
        <f t="shared" si="61"/>
        <v>0</v>
      </c>
      <c r="Q51" s="334">
        <f t="shared" si="61"/>
        <v>0</v>
      </c>
      <c r="R51" s="334">
        <f t="shared" si="61"/>
        <v>0</v>
      </c>
      <c r="S51" s="334">
        <f t="shared" si="61"/>
        <v>0</v>
      </c>
      <c r="T51" s="334">
        <f t="shared" si="61"/>
        <v>0</v>
      </c>
      <c r="U51" s="334">
        <f t="shared" si="61"/>
        <v>0</v>
      </c>
      <c r="V51" s="334">
        <f t="shared" si="61"/>
        <v>0</v>
      </c>
      <c r="W51" s="334">
        <f t="shared" si="61"/>
        <v>0</v>
      </c>
      <c r="X51" s="334">
        <f t="shared" si="61"/>
        <v>0</v>
      </c>
      <c r="Y51" s="334">
        <f t="shared" si="61"/>
        <v>0</v>
      </c>
      <c r="Z51" s="335">
        <v>0.1</v>
      </c>
      <c r="AA51" s="335">
        <v>0.0</v>
      </c>
      <c r="AB51" s="335">
        <v>0.0</v>
      </c>
      <c r="AC51" s="335">
        <v>0.0</v>
      </c>
      <c r="AD51" s="335">
        <v>0.0</v>
      </c>
      <c r="AE51" s="335">
        <v>0.0</v>
      </c>
      <c r="AF51" s="335">
        <v>0.0</v>
      </c>
      <c r="AG51" s="335">
        <v>0.0</v>
      </c>
      <c r="AH51" s="335">
        <v>-0.05</v>
      </c>
      <c r="AI51" s="335">
        <v>0.0</v>
      </c>
      <c r="AJ51" s="335">
        <v>0.0</v>
      </c>
      <c r="AK51" s="335">
        <v>0.005</v>
      </c>
      <c r="AL51" s="335">
        <v>0.01</v>
      </c>
      <c r="AM51" s="335">
        <v>0.05</v>
      </c>
      <c r="AN51" s="335">
        <v>0.005</v>
      </c>
      <c r="AO51" s="335">
        <v>0.005</v>
      </c>
      <c r="AP51" s="335">
        <v>0.005</v>
      </c>
      <c r="AQ51" s="335">
        <v>0.005</v>
      </c>
      <c r="AR51" s="335">
        <v>0.005</v>
      </c>
      <c r="AS51" s="335">
        <v>0.005</v>
      </c>
      <c r="AT51" s="335">
        <v>0.005</v>
      </c>
      <c r="AU51" s="335">
        <v>0.005</v>
      </c>
      <c r="AV51" s="335">
        <v>0.005</v>
      </c>
      <c r="AW51" s="335">
        <v>0.005</v>
      </c>
      <c r="AX51" s="335">
        <v>0.01</v>
      </c>
      <c r="AY51" s="335">
        <v>0.005</v>
      </c>
      <c r="AZ51" s="335">
        <v>0.005</v>
      </c>
      <c r="BA51" s="335">
        <v>0.005</v>
      </c>
      <c r="BB51" s="335">
        <v>0.005</v>
      </c>
      <c r="BC51" s="335">
        <v>0.005</v>
      </c>
      <c r="BD51" s="335">
        <v>0.005</v>
      </c>
      <c r="BE51" s="335">
        <v>0.005</v>
      </c>
      <c r="BF51" s="335">
        <v>0.005</v>
      </c>
      <c r="BG51" s="335">
        <v>0.005</v>
      </c>
      <c r="BH51" s="335">
        <v>0.005</v>
      </c>
      <c r="BI51" s="335">
        <v>0.005</v>
      </c>
      <c r="BJ51" s="335">
        <v>-0.05</v>
      </c>
      <c r="BK51" s="335">
        <v>0.005</v>
      </c>
      <c r="BL51" s="335">
        <v>0.005</v>
      </c>
      <c r="BM51" s="335">
        <v>0.005</v>
      </c>
      <c r="BN51" s="335">
        <v>0.005</v>
      </c>
      <c r="BO51" s="335">
        <v>0.005</v>
      </c>
      <c r="BP51" s="335">
        <v>0.005</v>
      </c>
      <c r="BQ51" s="335">
        <v>0.005</v>
      </c>
      <c r="BR51" s="335">
        <v>0.005</v>
      </c>
      <c r="BS51" s="335">
        <v>0.005</v>
      </c>
      <c r="BT51" s="335">
        <v>0.005</v>
      </c>
      <c r="BU51" s="335">
        <v>0.005</v>
      </c>
      <c r="BV51" s="335">
        <v>-0.1</v>
      </c>
      <c r="BW51" s="335">
        <v>0.005</v>
      </c>
      <c r="BX51" s="335">
        <v>0.005</v>
      </c>
      <c r="BY51" s="335">
        <v>0.005</v>
      </c>
      <c r="BZ51" s="335">
        <v>0.005</v>
      </c>
      <c r="CA51" s="335">
        <v>0.005</v>
      </c>
      <c r="CB51" s="335">
        <v>0.005</v>
      </c>
      <c r="CC51" s="335">
        <v>0.005</v>
      </c>
      <c r="CD51" s="335">
        <v>0.005</v>
      </c>
      <c r="CE51" s="335">
        <v>0.005</v>
      </c>
      <c r="CF51" s="335">
        <v>0.005</v>
      </c>
      <c r="CG51" s="335">
        <v>0.005</v>
      </c>
      <c r="CH51" s="335">
        <v>0.005</v>
      </c>
      <c r="CI51" s="335"/>
      <c r="CJ51" s="335"/>
      <c r="CK51" s="335"/>
      <c r="CL51" s="335"/>
      <c r="CM51" s="335"/>
      <c r="CN51" s="335"/>
      <c r="CO51" s="335"/>
      <c r="CP51" s="335"/>
    </row>
    <row r="52" ht="15.75" customHeight="1">
      <c r="A52" s="324" t="s">
        <v>96</v>
      </c>
      <c r="B52" s="332"/>
      <c r="C52" s="332"/>
      <c r="D52" s="333">
        <f t="shared" ref="D52:Y52" si="62">D44/C44-1</f>
        <v>0</v>
      </c>
      <c r="E52" s="333">
        <f t="shared" si="62"/>
        <v>0</v>
      </c>
      <c r="F52" s="333">
        <f t="shared" si="62"/>
        <v>0</v>
      </c>
      <c r="G52" s="333">
        <f t="shared" si="62"/>
        <v>0</v>
      </c>
      <c r="H52" s="333">
        <f t="shared" si="62"/>
        <v>0</v>
      </c>
      <c r="I52" s="333">
        <f t="shared" si="62"/>
        <v>0</v>
      </c>
      <c r="J52" s="333">
        <f t="shared" si="62"/>
        <v>0</v>
      </c>
      <c r="K52" s="334">
        <f t="shared" si="62"/>
        <v>0</v>
      </c>
      <c r="L52" s="334">
        <f t="shared" si="62"/>
        <v>0</v>
      </c>
      <c r="M52" s="334">
        <f t="shared" si="62"/>
        <v>0</v>
      </c>
      <c r="N52" s="334">
        <f t="shared" si="62"/>
        <v>0</v>
      </c>
      <c r="O52" s="334">
        <f t="shared" si="62"/>
        <v>0</v>
      </c>
      <c r="P52" s="334">
        <f t="shared" si="62"/>
        <v>0</v>
      </c>
      <c r="Q52" s="334">
        <f t="shared" si="62"/>
        <v>0</v>
      </c>
      <c r="R52" s="334">
        <f t="shared" si="62"/>
        <v>0</v>
      </c>
      <c r="S52" s="334">
        <f t="shared" si="62"/>
        <v>0</v>
      </c>
      <c r="T52" s="334">
        <f t="shared" si="62"/>
        <v>0</v>
      </c>
      <c r="U52" s="334">
        <f t="shared" si="62"/>
        <v>0</v>
      </c>
      <c r="V52" s="334">
        <f t="shared" si="62"/>
        <v>0</v>
      </c>
      <c r="W52" s="334">
        <f t="shared" si="62"/>
        <v>0</v>
      </c>
      <c r="X52" s="334">
        <f t="shared" si="62"/>
        <v>0</v>
      </c>
      <c r="Y52" s="334">
        <f t="shared" si="62"/>
        <v>0</v>
      </c>
      <c r="Z52" s="335">
        <v>0.1</v>
      </c>
      <c r="AA52" s="335">
        <v>0.0</v>
      </c>
      <c r="AB52" s="335">
        <v>0.0</v>
      </c>
      <c r="AC52" s="335">
        <v>0.0</v>
      </c>
      <c r="AD52" s="335">
        <v>0.0</v>
      </c>
      <c r="AE52" s="335">
        <v>0.0</v>
      </c>
      <c r="AF52" s="335">
        <v>0.0</v>
      </c>
      <c r="AG52" s="335">
        <v>0.0</v>
      </c>
      <c r="AH52" s="335">
        <v>0.0</v>
      </c>
      <c r="AI52" s="335">
        <v>0.0</v>
      </c>
      <c r="AJ52" s="335">
        <v>0.0</v>
      </c>
      <c r="AK52" s="335">
        <v>0.0</v>
      </c>
      <c r="AL52" s="335">
        <v>0.0</v>
      </c>
      <c r="AM52" s="335">
        <v>0.0</v>
      </c>
      <c r="AN52" s="335">
        <v>0.0</v>
      </c>
      <c r="AO52" s="335">
        <v>0.0</v>
      </c>
      <c r="AP52" s="335">
        <v>0.0</v>
      </c>
      <c r="AQ52" s="335">
        <v>0.0</v>
      </c>
      <c r="AR52" s="335">
        <v>0.0</v>
      </c>
      <c r="AS52" s="335">
        <v>0.0</v>
      </c>
      <c r="AT52" s="335">
        <v>0.0</v>
      </c>
      <c r="AU52" s="335">
        <v>0.0</v>
      </c>
      <c r="AV52" s="335">
        <v>0.0</v>
      </c>
      <c r="AW52" s="335">
        <v>0.0</v>
      </c>
      <c r="AX52" s="335">
        <v>0.0</v>
      </c>
      <c r="AY52" s="335">
        <v>0.0</v>
      </c>
      <c r="AZ52" s="335">
        <v>0.0</v>
      </c>
      <c r="BA52" s="335">
        <v>0.0</v>
      </c>
      <c r="BB52" s="335">
        <v>0.0</v>
      </c>
      <c r="BC52" s="335">
        <v>0.0</v>
      </c>
      <c r="BD52" s="335">
        <v>0.0</v>
      </c>
      <c r="BE52" s="335">
        <v>0.0</v>
      </c>
      <c r="BF52" s="335">
        <v>0.0</v>
      </c>
      <c r="BG52" s="335">
        <v>0.0</v>
      </c>
      <c r="BH52" s="335">
        <v>0.0</v>
      </c>
      <c r="BI52" s="335">
        <v>0.0</v>
      </c>
      <c r="BJ52" s="335">
        <v>0.0</v>
      </c>
      <c r="BK52" s="335">
        <v>0.0</v>
      </c>
      <c r="BL52" s="335">
        <v>0.0</v>
      </c>
      <c r="BM52" s="335">
        <v>0.0</v>
      </c>
      <c r="BN52" s="335">
        <v>0.0</v>
      </c>
      <c r="BO52" s="335">
        <v>0.0</v>
      </c>
      <c r="BP52" s="335">
        <v>0.0</v>
      </c>
      <c r="BQ52" s="335">
        <v>0.0</v>
      </c>
      <c r="BR52" s="335">
        <v>0.0</v>
      </c>
      <c r="BS52" s="335">
        <v>0.0</v>
      </c>
      <c r="BT52" s="335">
        <v>0.0</v>
      </c>
      <c r="BU52" s="335">
        <v>0.0</v>
      </c>
      <c r="BV52" s="335">
        <v>0.0</v>
      </c>
      <c r="BW52" s="335">
        <v>0.0</v>
      </c>
      <c r="BX52" s="335">
        <v>0.0</v>
      </c>
      <c r="BY52" s="335">
        <v>0.0</v>
      </c>
      <c r="BZ52" s="335">
        <v>0.0</v>
      </c>
      <c r="CA52" s="335">
        <v>0.0</v>
      </c>
      <c r="CB52" s="335">
        <v>0.0</v>
      </c>
      <c r="CC52" s="335">
        <v>0.0</v>
      </c>
      <c r="CD52" s="335">
        <v>0.0</v>
      </c>
      <c r="CE52" s="335">
        <v>0.0</v>
      </c>
      <c r="CF52" s="335">
        <v>0.0</v>
      </c>
      <c r="CG52" s="335">
        <v>0.0</v>
      </c>
      <c r="CH52" s="335">
        <v>0.0</v>
      </c>
      <c r="CI52" s="335"/>
      <c r="CJ52" s="335"/>
      <c r="CK52" s="335"/>
      <c r="CL52" s="335"/>
      <c r="CM52" s="335"/>
      <c r="CN52" s="335"/>
      <c r="CO52" s="335"/>
      <c r="CP52" s="335"/>
    </row>
    <row r="53" ht="15.75" customHeight="1">
      <c r="A53" s="327" t="s">
        <v>598</v>
      </c>
      <c r="B53" s="336"/>
      <c r="C53" s="336"/>
      <c r="D53" s="337">
        <f t="shared" ref="D53:CH53" si="63">D45/C45-1</f>
        <v>0</v>
      </c>
      <c r="E53" s="337">
        <f t="shared" si="63"/>
        <v>0</v>
      </c>
      <c r="F53" s="337">
        <f t="shared" si="63"/>
        <v>0</v>
      </c>
      <c r="G53" s="337">
        <f t="shared" si="63"/>
        <v>0</v>
      </c>
      <c r="H53" s="337">
        <f t="shared" si="63"/>
        <v>0</v>
      </c>
      <c r="I53" s="337">
        <f t="shared" si="63"/>
        <v>0</v>
      </c>
      <c r="J53" s="337">
        <f t="shared" si="63"/>
        <v>0</v>
      </c>
      <c r="K53" s="337">
        <f t="shared" si="63"/>
        <v>0</v>
      </c>
      <c r="L53" s="337">
        <f t="shared" si="63"/>
        <v>0</v>
      </c>
      <c r="M53" s="337">
        <f t="shared" si="63"/>
        <v>0</v>
      </c>
      <c r="N53" s="337">
        <f t="shared" si="63"/>
        <v>0</v>
      </c>
      <c r="O53" s="337">
        <f t="shared" si="63"/>
        <v>0</v>
      </c>
      <c r="P53" s="337">
        <f t="shared" si="63"/>
        <v>0</v>
      </c>
      <c r="Q53" s="337">
        <f t="shared" si="63"/>
        <v>0</v>
      </c>
      <c r="R53" s="337">
        <f t="shared" si="63"/>
        <v>0</v>
      </c>
      <c r="S53" s="337">
        <f t="shared" si="63"/>
        <v>0</v>
      </c>
      <c r="T53" s="337">
        <f t="shared" si="63"/>
        <v>0</v>
      </c>
      <c r="U53" s="337">
        <f t="shared" si="63"/>
        <v>0</v>
      </c>
      <c r="V53" s="337">
        <f t="shared" si="63"/>
        <v>0</v>
      </c>
      <c r="W53" s="337">
        <f t="shared" si="63"/>
        <v>0</v>
      </c>
      <c r="X53" s="337">
        <f t="shared" si="63"/>
        <v>0</v>
      </c>
      <c r="Y53" s="337">
        <f t="shared" si="63"/>
        <v>0</v>
      </c>
      <c r="Z53" s="337">
        <f t="shared" si="63"/>
        <v>0.1</v>
      </c>
      <c r="AA53" s="337">
        <f t="shared" si="63"/>
        <v>0</v>
      </c>
      <c r="AB53" s="337">
        <f t="shared" si="63"/>
        <v>0</v>
      </c>
      <c r="AC53" s="337">
        <f t="shared" si="63"/>
        <v>0</v>
      </c>
      <c r="AD53" s="337">
        <f t="shared" si="63"/>
        <v>0</v>
      </c>
      <c r="AE53" s="337">
        <f t="shared" si="63"/>
        <v>0</v>
      </c>
      <c r="AF53" s="337">
        <f t="shared" si="63"/>
        <v>0</v>
      </c>
      <c r="AG53" s="337">
        <f t="shared" si="63"/>
        <v>0</v>
      </c>
      <c r="AH53" s="337">
        <f t="shared" si="63"/>
        <v>-0.04</v>
      </c>
      <c r="AI53" s="337">
        <f t="shared" si="63"/>
        <v>0</v>
      </c>
      <c r="AJ53" s="337">
        <f t="shared" si="63"/>
        <v>0</v>
      </c>
      <c r="AK53" s="337">
        <f t="shared" si="63"/>
        <v>0.004131944444</v>
      </c>
      <c r="AL53" s="337">
        <f t="shared" si="63"/>
        <v>-0.1969583146</v>
      </c>
      <c r="AM53" s="337">
        <f t="shared" si="63"/>
        <v>-0.01847333993</v>
      </c>
      <c r="AN53" s="337">
        <f t="shared" si="63"/>
        <v>0.003903227514</v>
      </c>
      <c r="AO53" s="337">
        <f t="shared" si="63"/>
        <v>0.003907491822</v>
      </c>
      <c r="AP53" s="337">
        <f t="shared" si="63"/>
        <v>0.003911744172</v>
      </c>
      <c r="AQ53" s="337">
        <f t="shared" si="63"/>
        <v>0.003915984563</v>
      </c>
      <c r="AR53" s="337">
        <f t="shared" si="63"/>
        <v>0.003920212993</v>
      </c>
      <c r="AS53" s="337">
        <f t="shared" si="63"/>
        <v>0.003924429458</v>
      </c>
      <c r="AT53" s="337">
        <f t="shared" si="63"/>
        <v>0.003928633959</v>
      </c>
      <c r="AU53" s="337">
        <f t="shared" si="63"/>
        <v>0.003932826493</v>
      </c>
      <c r="AV53" s="337">
        <f t="shared" si="63"/>
        <v>0.00393700706</v>
      </c>
      <c r="AW53" s="337">
        <f t="shared" si="63"/>
        <v>0.003941175658</v>
      </c>
      <c r="AX53" s="337">
        <f t="shared" si="63"/>
        <v>0.007890664578</v>
      </c>
      <c r="AY53" s="337">
        <f t="shared" si="63"/>
        <v>0.003953589166</v>
      </c>
      <c r="AZ53" s="337">
        <f t="shared" si="63"/>
        <v>0.003957709953</v>
      </c>
      <c r="BA53" s="337">
        <f t="shared" si="63"/>
        <v>0.003961818773</v>
      </c>
      <c r="BB53" s="337">
        <f t="shared" si="63"/>
        <v>0.003965915628</v>
      </c>
      <c r="BC53" s="337">
        <f t="shared" si="63"/>
        <v>0.003970000519</v>
      </c>
      <c r="BD53" s="337">
        <f t="shared" si="63"/>
        <v>0.003974073448</v>
      </c>
      <c r="BE53" s="337">
        <f t="shared" si="63"/>
        <v>0.003978134417</v>
      </c>
      <c r="BF53" s="337">
        <f t="shared" si="63"/>
        <v>0.003982183428</v>
      </c>
      <c r="BG53" s="337">
        <f t="shared" si="63"/>
        <v>0.003986220484</v>
      </c>
      <c r="BH53" s="337">
        <f t="shared" si="63"/>
        <v>0.003990245587</v>
      </c>
      <c r="BI53" s="337">
        <f t="shared" si="63"/>
        <v>0.003994258742</v>
      </c>
      <c r="BJ53" s="337">
        <f t="shared" si="63"/>
        <v>-0.03998259951</v>
      </c>
      <c r="BK53" s="337">
        <f t="shared" si="63"/>
        <v>0.003956539696</v>
      </c>
      <c r="BL53" s="337">
        <f t="shared" si="63"/>
        <v>0.003960651917</v>
      </c>
      <c r="BM53" s="337">
        <f t="shared" si="63"/>
        <v>0.003964752174</v>
      </c>
      <c r="BN53" s="337">
        <f t="shared" si="63"/>
        <v>0.003968840466</v>
      </c>
      <c r="BO53" s="337">
        <f t="shared" si="63"/>
        <v>0.003972916795</v>
      </c>
      <c r="BP53" s="337">
        <f t="shared" si="63"/>
        <v>0.003976981164</v>
      </c>
      <c r="BQ53" s="337">
        <f t="shared" si="63"/>
        <v>0.003981033574</v>
      </c>
      <c r="BR53" s="337">
        <f t="shared" si="63"/>
        <v>0.003985074029</v>
      </c>
      <c r="BS53" s="337">
        <f t="shared" si="63"/>
        <v>0.00398910253</v>
      </c>
      <c r="BT53" s="337">
        <f t="shared" si="63"/>
        <v>0.003993119081</v>
      </c>
      <c r="BU53" s="337">
        <f t="shared" si="63"/>
        <v>0.003997123686</v>
      </c>
      <c r="BV53" s="337">
        <f t="shared" si="63"/>
        <v>-0.08002232694</v>
      </c>
      <c r="BW53" s="337">
        <f t="shared" si="63"/>
        <v>0.003914230549</v>
      </c>
      <c r="BX53" s="337">
        <f t="shared" si="63"/>
        <v>0.003918463931</v>
      </c>
      <c r="BY53" s="337">
        <f t="shared" si="63"/>
        <v>0.003922685349</v>
      </c>
      <c r="BZ53" s="337">
        <f t="shared" si="63"/>
        <v>0.003926894803</v>
      </c>
      <c r="CA53" s="337">
        <f t="shared" si="63"/>
        <v>0.003931092291</v>
      </c>
      <c r="CB53" s="337">
        <f t="shared" si="63"/>
        <v>0.003935277813</v>
      </c>
      <c r="CC53" s="337">
        <f t="shared" si="63"/>
        <v>0.003939451366</v>
      </c>
      <c r="CD53" s="337">
        <f t="shared" si="63"/>
        <v>0.003943612951</v>
      </c>
      <c r="CE53" s="337">
        <f t="shared" si="63"/>
        <v>0.003947762569</v>
      </c>
      <c r="CF53" s="337">
        <f t="shared" si="63"/>
        <v>0.003951900218</v>
      </c>
      <c r="CG53" s="337">
        <f t="shared" si="63"/>
        <v>0.003956025899</v>
      </c>
      <c r="CH53" s="337">
        <f t="shared" si="63"/>
        <v>0.003960139614</v>
      </c>
      <c r="CI53" s="338"/>
      <c r="CJ53" s="338"/>
      <c r="CK53" s="338"/>
      <c r="CL53" s="338"/>
      <c r="CM53" s="338"/>
      <c r="CN53" s="338"/>
      <c r="CO53" s="338"/>
      <c r="CP53" s="338"/>
    </row>
    <row r="54" ht="15.75" customHeight="1">
      <c r="A54" s="1"/>
      <c r="B54" s="317"/>
      <c r="C54" s="317"/>
      <c r="D54" s="317"/>
      <c r="E54" s="317"/>
      <c r="F54" s="317"/>
      <c r="G54" s="317"/>
      <c r="H54" s="317"/>
      <c r="I54" s="317"/>
      <c r="J54" s="317"/>
      <c r="K54" s="317"/>
      <c r="L54" s="317"/>
      <c r="M54" s="317"/>
      <c r="N54" s="317"/>
      <c r="O54" s="317"/>
      <c r="P54" s="317"/>
      <c r="Q54" s="317"/>
      <c r="R54" s="318"/>
      <c r="S54" s="318"/>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318"/>
      <c r="AZ54" s="318"/>
      <c r="BA54" s="318"/>
      <c r="BB54" s="318"/>
      <c r="BC54" s="318"/>
      <c r="BD54" s="318"/>
      <c r="BE54" s="318"/>
      <c r="BF54" s="318"/>
      <c r="BG54" s="318"/>
      <c r="BH54" s="318"/>
      <c r="BI54" s="318"/>
      <c r="BJ54" s="318"/>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row>
    <row r="55" ht="15.75" hidden="1" customHeight="1">
      <c r="A55" s="1" t="s">
        <v>47</v>
      </c>
      <c r="B55" s="312"/>
      <c r="C55" s="312">
        <v>60.0</v>
      </c>
      <c r="D55" s="312">
        <v>60.0</v>
      </c>
      <c r="E55" s="312">
        <v>60.0</v>
      </c>
      <c r="F55" s="312">
        <v>60.0</v>
      </c>
      <c r="G55" s="312">
        <v>60.0</v>
      </c>
      <c r="H55" s="312">
        <v>60.0</v>
      </c>
      <c r="I55" s="312">
        <v>60.0</v>
      </c>
      <c r="J55" s="312">
        <v>60.0</v>
      </c>
      <c r="K55" s="312">
        <v>60.0</v>
      </c>
      <c r="L55" s="312">
        <v>60.0</v>
      </c>
      <c r="M55" s="312">
        <v>60.0</v>
      </c>
      <c r="N55" s="312">
        <v>60.0</v>
      </c>
      <c r="O55" s="312">
        <v>60.0</v>
      </c>
      <c r="P55" s="312">
        <v>60.0</v>
      </c>
      <c r="Q55" s="312">
        <v>60.0</v>
      </c>
      <c r="R55" s="312">
        <v>60.0</v>
      </c>
      <c r="S55" s="312">
        <v>60.0</v>
      </c>
      <c r="T55" s="312">
        <v>60.0</v>
      </c>
      <c r="U55" s="312">
        <v>60.0</v>
      </c>
      <c r="V55" s="312">
        <v>60.0</v>
      </c>
      <c r="W55" s="312">
        <v>60.0</v>
      </c>
      <c r="X55" s="312">
        <v>60.0</v>
      </c>
      <c r="Y55" s="339">
        <v>60.0</v>
      </c>
      <c r="Z55" s="339">
        <v>60.0</v>
      </c>
      <c r="AA55" s="339">
        <v>60.0</v>
      </c>
      <c r="AB55" s="339">
        <v>60.0</v>
      </c>
      <c r="AC55" s="339">
        <v>60.0</v>
      </c>
      <c r="AD55" s="339">
        <v>60.0</v>
      </c>
      <c r="AE55" s="339">
        <v>60.0</v>
      </c>
      <c r="AF55" s="339">
        <v>60.0</v>
      </c>
      <c r="AG55" s="339">
        <v>60.0</v>
      </c>
      <c r="AH55" s="339">
        <v>60.0</v>
      </c>
      <c r="AI55" s="339">
        <v>60.0</v>
      </c>
      <c r="AJ55" s="339">
        <v>60.0</v>
      </c>
      <c r="AK55" s="339">
        <v>60.0</v>
      </c>
      <c r="AL55" s="339">
        <v>60.0</v>
      </c>
      <c r="AM55" s="339">
        <v>60.0</v>
      </c>
      <c r="AN55" s="339">
        <v>60.0</v>
      </c>
      <c r="AO55" s="339">
        <v>60.0</v>
      </c>
      <c r="AP55" s="339">
        <v>60.0</v>
      </c>
      <c r="AQ55" s="339">
        <v>60.0</v>
      </c>
      <c r="AR55" s="339">
        <v>60.0</v>
      </c>
      <c r="AS55" s="339">
        <v>60.0</v>
      </c>
      <c r="AT55" s="339">
        <v>60.0</v>
      </c>
      <c r="AU55" s="339">
        <v>60.0</v>
      </c>
      <c r="AV55" s="339">
        <v>60.0</v>
      </c>
      <c r="AW55" s="339">
        <v>60.0</v>
      </c>
      <c r="AX55" s="339">
        <v>60.0</v>
      </c>
      <c r="AY55" s="339">
        <v>60.0</v>
      </c>
      <c r="AZ55" s="339">
        <v>60.0</v>
      </c>
      <c r="BA55" s="339">
        <v>60.0</v>
      </c>
      <c r="BB55" s="339">
        <v>60.0</v>
      </c>
      <c r="BC55" s="339">
        <v>60.0</v>
      </c>
      <c r="BD55" s="339">
        <v>60.0</v>
      </c>
      <c r="BE55" s="339">
        <v>60.0</v>
      </c>
      <c r="BF55" s="339">
        <v>60.0</v>
      </c>
      <c r="BG55" s="339">
        <v>60.0</v>
      </c>
      <c r="BH55" s="339">
        <v>60.0</v>
      </c>
      <c r="BI55" s="339">
        <v>60.0</v>
      </c>
      <c r="BJ55" s="339">
        <v>60.0</v>
      </c>
      <c r="BK55" s="339">
        <v>60.0</v>
      </c>
      <c r="BL55" s="339">
        <v>60.0</v>
      </c>
      <c r="BM55" s="339">
        <v>60.0</v>
      </c>
      <c r="BN55" s="339">
        <v>60.0</v>
      </c>
      <c r="BO55" s="339">
        <v>60.0</v>
      </c>
      <c r="BP55" s="339">
        <v>60.0</v>
      </c>
      <c r="BQ55" s="339">
        <v>60.0</v>
      </c>
      <c r="BR55" s="339">
        <v>60.0</v>
      </c>
      <c r="BS55" s="339">
        <v>60.0</v>
      </c>
      <c r="BT55" s="339">
        <v>60.0</v>
      </c>
      <c r="BU55" s="339">
        <v>60.0</v>
      </c>
      <c r="BV55" s="339">
        <v>60.0</v>
      </c>
      <c r="BW55" s="339">
        <v>60.0</v>
      </c>
      <c r="BX55" s="339">
        <v>60.0</v>
      </c>
      <c r="BY55" s="339">
        <v>60.0</v>
      </c>
      <c r="BZ55" s="339">
        <v>60.0</v>
      </c>
      <c r="CA55" s="339">
        <v>60.0</v>
      </c>
      <c r="CB55" s="339">
        <v>60.0</v>
      </c>
      <c r="CC55" s="339">
        <v>60.0</v>
      </c>
      <c r="CD55" s="339">
        <v>60.0</v>
      </c>
      <c r="CE55" s="339">
        <v>60.0</v>
      </c>
      <c r="CF55" s="339">
        <v>60.0</v>
      </c>
      <c r="CG55" s="339">
        <v>60.0</v>
      </c>
      <c r="CH55" s="339">
        <v>60.0</v>
      </c>
      <c r="CI55" s="1"/>
      <c r="CJ55" s="1"/>
      <c r="CK55" s="1"/>
      <c r="CL55" s="1"/>
      <c r="CM55" s="1"/>
      <c r="CN55" s="1"/>
      <c r="CO55" s="1"/>
      <c r="CP55" s="1"/>
    </row>
    <row r="56" ht="15.75" hidden="1" customHeight="1">
      <c r="A56" s="1" t="s">
        <v>85</v>
      </c>
      <c r="B56" s="312"/>
      <c r="C56" s="312">
        <v>72.0</v>
      </c>
      <c r="D56" s="312">
        <v>72.0</v>
      </c>
      <c r="E56" s="312">
        <v>72.0</v>
      </c>
      <c r="F56" s="312">
        <v>72.0</v>
      </c>
      <c r="G56" s="312">
        <v>72.0</v>
      </c>
      <c r="H56" s="312">
        <v>72.0</v>
      </c>
      <c r="I56" s="312">
        <v>72.0</v>
      </c>
      <c r="J56" s="312">
        <v>72.0</v>
      </c>
      <c r="K56" s="312">
        <v>72.0</v>
      </c>
      <c r="L56" s="312">
        <v>72.0</v>
      </c>
      <c r="M56" s="312">
        <v>72.0</v>
      </c>
      <c r="N56" s="312">
        <v>72.0</v>
      </c>
      <c r="O56" s="312">
        <v>72.0</v>
      </c>
      <c r="P56" s="312">
        <v>72.0</v>
      </c>
      <c r="Q56" s="312">
        <v>72.0</v>
      </c>
      <c r="R56" s="312">
        <v>72.0</v>
      </c>
      <c r="S56" s="312">
        <v>72.0</v>
      </c>
      <c r="T56" s="312">
        <v>72.0</v>
      </c>
      <c r="U56" s="312">
        <v>72.0</v>
      </c>
      <c r="V56" s="312">
        <v>72.0</v>
      </c>
      <c r="W56" s="312">
        <v>72.0</v>
      </c>
      <c r="X56" s="312">
        <v>72.0</v>
      </c>
      <c r="Y56" s="339">
        <v>72.0</v>
      </c>
      <c r="Z56" s="339">
        <v>72.0</v>
      </c>
      <c r="AA56" s="339">
        <v>72.0</v>
      </c>
      <c r="AB56" s="339">
        <v>72.0</v>
      </c>
      <c r="AC56" s="339">
        <v>72.0</v>
      </c>
      <c r="AD56" s="339">
        <v>72.0</v>
      </c>
      <c r="AE56" s="339">
        <v>72.0</v>
      </c>
      <c r="AF56" s="339">
        <v>72.0</v>
      </c>
      <c r="AG56" s="339">
        <v>72.0</v>
      </c>
      <c r="AH56" s="339">
        <v>72.0</v>
      </c>
      <c r="AI56" s="339">
        <v>72.0</v>
      </c>
      <c r="AJ56" s="339">
        <v>72.0</v>
      </c>
      <c r="AK56" s="339">
        <v>72.0</v>
      </c>
      <c r="AL56" s="339">
        <v>72.0</v>
      </c>
      <c r="AM56" s="339">
        <v>72.0</v>
      </c>
      <c r="AN56" s="339">
        <v>72.0</v>
      </c>
      <c r="AO56" s="339">
        <v>72.0</v>
      </c>
      <c r="AP56" s="339">
        <v>72.0</v>
      </c>
      <c r="AQ56" s="339">
        <v>72.0</v>
      </c>
      <c r="AR56" s="339">
        <v>72.0</v>
      </c>
      <c r="AS56" s="339">
        <v>72.0</v>
      </c>
      <c r="AT56" s="339">
        <v>72.0</v>
      </c>
      <c r="AU56" s="339">
        <v>72.0</v>
      </c>
      <c r="AV56" s="339">
        <v>72.0</v>
      </c>
      <c r="AW56" s="339">
        <v>72.0</v>
      </c>
      <c r="AX56" s="339">
        <v>72.0</v>
      </c>
      <c r="AY56" s="339">
        <v>72.0</v>
      </c>
      <c r="AZ56" s="339">
        <v>72.0</v>
      </c>
      <c r="BA56" s="339">
        <v>72.0</v>
      </c>
      <c r="BB56" s="339">
        <v>72.0</v>
      </c>
      <c r="BC56" s="339">
        <v>72.0</v>
      </c>
      <c r="BD56" s="339">
        <v>72.0</v>
      </c>
      <c r="BE56" s="339">
        <v>72.0</v>
      </c>
      <c r="BF56" s="339">
        <v>72.0</v>
      </c>
      <c r="BG56" s="339">
        <v>72.0</v>
      </c>
      <c r="BH56" s="339">
        <v>72.0</v>
      </c>
      <c r="BI56" s="339">
        <v>72.0</v>
      </c>
      <c r="BJ56" s="339">
        <v>72.0</v>
      </c>
      <c r="BK56" s="339">
        <v>72.0</v>
      </c>
      <c r="BL56" s="339">
        <v>72.0</v>
      </c>
      <c r="BM56" s="339">
        <v>72.0</v>
      </c>
      <c r="BN56" s="339">
        <v>72.0</v>
      </c>
      <c r="BO56" s="339">
        <v>72.0</v>
      </c>
      <c r="BP56" s="339">
        <v>72.0</v>
      </c>
      <c r="BQ56" s="339">
        <v>72.0</v>
      </c>
      <c r="BR56" s="339">
        <v>72.0</v>
      </c>
      <c r="BS56" s="339">
        <v>72.0</v>
      </c>
      <c r="BT56" s="339">
        <v>72.0</v>
      </c>
      <c r="BU56" s="339">
        <v>72.0</v>
      </c>
      <c r="BV56" s="339">
        <v>72.0</v>
      </c>
      <c r="BW56" s="339">
        <v>72.0</v>
      </c>
      <c r="BX56" s="339">
        <v>72.0</v>
      </c>
      <c r="BY56" s="339">
        <v>72.0</v>
      </c>
      <c r="BZ56" s="339">
        <v>72.0</v>
      </c>
      <c r="CA56" s="339">
        <v>72.0</v>
      </c>
      <c r="CB56" s="339">
        <v>72.0</v>
      </c>
      <c r="CC56" s="339">
        <v>72.0</v>
      </c>
      <c r="CD56" s="339">
        <v>72.0</v>
      </c>
      <c r="CE56" s="339">
        <v>72.0</v>
      </c>
      <c r="CF56" s="339">
        <v>72.0</v>
      </c>
      <c r="CG56" s="339">
        <v>72.0</v>
      </c>
      <c r="CH56" s="339">
        <v>72.0</v>
      </c>
      <c r="CI56" s="1"/>
      <c r="CJ56" s="1"/>
      <c r="CK56" s="1"/>
      <c r="CL56" s="1"/>
      <c r="CM56" s="1"/>
      <c r="CN56" s="1"/>
      <c r="CO56" s="1"/>
      <c r="CP56" s="1"/>
    </row>
    <row r="57" ht="15.75" hidden="1" customHeight="1">
      <c r="A57" s="1" t="s">
        <v>130</v>
      </c>
      <c r="B57" s="320"/>
      <c r="C57" s="320">
        <v>50.0</v>
      </c>
      <c r="D57" s="320">
        <v>50.0</v>
      </c>
      <c r="E57" s="320">
        <v>50.0</v>
      </c>
      <c r="F57" s="320">
        <v>50.0</v>
      </c>
      <c r="G57" s="320">
        <v>50.0</v>
      </c>
      <c r="H57" s="320">
        <v>50.0</v>
      </c>
      <c r="I57" s="320">
        <v>50.0</v>
      </c>
      <c r="J57" s="320">
        <v>50.0</v>
      </c>
      <c r="K57" s="320">
        <v>50.0</v>
      </c>
      <c r="L57" s="320">
        <v>50.0</v>
      </c>
      <c r="M57" s="320">
        <v>50.0</v>
      </c>
      <c r="N57" s="320">
        <v>50.0</v>
      </c>
      <c r="O57" s="320">
        <v>50.0</v>
      </c>
      <c r="P57" s="320">
        <v>50.0</v>
      </c>
      <c r="Q57" s="320">
        <v>50.0</v>
      </c>
      <c r="R57" s="320">
        <v>50.0</v>
      </c>
      <c r="S57" s="320">
        <v>50.0</v>
      </c>
      <c r="T57" s="320">
        <v>50.0</v>
      </c>
      <c r="U57" s="320">
        <v>50.0</v>
      </c>
      <c r="V57" s="320">
        <v>50.0</v>
      </c>
      <c r="W57" s="320">
        <v>50.0</v>
      </c>
      <c r="X57" s="320">
        <v>50.0</v>
      </c>
      <c r="Y57" s="340">
        <v>50.0</v>
      </c>
      <c r="Z57" s="340">
        <v>50.0</v>
      </c>
      <c r="AA57" s="340">
        <v>50.0</v>
      </c>
      <c r="AB57" s="340">
        <v>50.0</v>
      </c>
      <c r="AC57" s="340">
        <v>50.0</v>
      </c>
      <c r="AD57" s="340">
        <v>50.0</v>
      </c>
      <c r="AE57" s="340">
        <v>50.0</v>
      </c>
      <c r="AF57" s="340">
        <v>50.0</v>
      </c>
      <c r="AG57" s="340">
        <v>50.0</v>
      </c>
      <c r="AH57" s="340">
        <v>50.0</v>
      </c>
      <c r="AI57" s="340">
        <v>50.0</v>
      </c>
      <c r="AJ57" s="340">
        <v>50.0</v>
      </c>
      <c r="AK57" s="340">
        <v>50.0</v>
      </c>
      <c r="AL57" s="340">
        <v>50.0</v>
      </c>
      <c r="AM57" s="340">
        <v>50.0</v>
      </c>
      <c r="AN57" s="340">
        <v>50.0</v>
      </c>
      <c r="AO57" s="340">
        <v>50.0</v>
      </c>
      <c r="AP57" s="340">
        <v>50.0</v>
      </c>
      <c r="AQ57" s="340">
        <v>50.0</v>
      </c>
      <c r="AR57" s="340">
        <v>50.0</v>
      </c>
      <c r="AS57" s="340">
        <v>50.0</v>
      </c>
      <c r="AT57" s="340">
        <v>50.0</v>
      </c>
      <c r="AU57" s="340">
        <v>50.0</v>
      </c>
      <c r="AV57" s="340">
        <v>50.0</v>
      </c>
      <c r="AW57" s="340">
        <v>50.0</v>
      </c>
      <c r="AX57" s="340">
        <v>50.0</v>
      </c>
      <c r="AY57" s="340">
        <v>50.0</v>
      </c>
      <c r="AZ57" s="340">
        <v>50.0</v>
      </c>
      <c r="BA57" s="340">
        <v>50.0</v>
      </c>
      <c r="BB57" s="340">
        <v>50.0</v>
      </c>
      <c r="BC57" s="340">
        <v>50.0</v>
      </c>
      <c r="BD57" s="340">
        <v>50.0</v>
      </c>
      <c r="BE57" s="340">
        <v>50.0</v>
      </c>
      <c r="BF57" s="340">
        <v>50.0</v>
      </c>
      <c r="BG57" s="340">
        <v>50.0</v>
      </c>
      <c r="BH57" s="340">
        <v>50.0</v>
      </c>
      <c r="BI57" s="340">
        <v>50.0</v>
      </c>
      <c r="BJ57" s="340">
        <v>50.0</v>
      </c>
      <c r="BK57" s="340">
        <v>50.0</v>
      </c>
      <c r="BL57" s="340">
        <v>50.0</v>
      </c>
      <c r="BM57" s="340">
        <v>50.0</v>
      </c>
      <c r="BN57" s="340">
        <v>50.0</v>
      </c>
      <c r="BO57" s="340">
        <v>50.0</v>
      </c>
      <c r="BP57" s="340">
        <v>50.0</v>
      </c>
      <c r="BQ57" s="340">
        <v>50.0</v>
      </c>
      <c r="BR57" s="340">
        <v>50.0</v>
      </c>
      <c r="BS57" s="340">
        <v>50.0</v>
      </c>
      <c r="BT57" s="340">
        <v>50.0</v>
      </c>
      <c r="BU57" s="340">
        <v>50.0</v>
      </c>
      <c r="BV57" s="340">
        <v>50.0</v>
      </c>
      <c r="BW57" s="340">
        <v>50.0</v>
      </c>
      <c r="BX57" s="340">
        <v>50.0</v>
      </c>
      <c r="BY57" s="340">
        <v>50.0</v>
      </c>
      <c r="BZ57" s="340">
        <v>50.0</v>
      </c>
      <c r="CA57" s="340">
        <v>50.0</v>
      </c>
      <c r="CB57" s="340">
        <v>50.0</v>
      </c>
      <c r="CC57" s="340">
        <v>50.0</v>
      </c>
      <c r="CD57" s="340">
        <v>50.0</v>
      </c>
      <c r="CE57" s="340">
        <v>50.0</v>
      </c>
      <c r="CF57" s="340">
        <v>50.0</v>
      </c>
      <c r="CG57" s="340">
        <v>50.0</v>
      </c>
      <c r="CH57" s="340">
        <v>50.0</v>
      </c>
      <c r="CI57" s="1"/>
      <c r="CJ57" s="1"/>
      <c r="CK57" s="1"/>
      <c r="CL57" s="1"/>
      <c r="CM57" s="1"/>
      <c r="CN57" s="1"/>
      <c r="CO57" s="1"/>
      <c r="CP57" s="1"/>
    </row>
    <row r="58" ht="15.75" hidden="1" customHeight="1">
      <c r="A58" s="1" t="s">
        <v>89</v>
      </c>
      <c r="B58" s="312"/>
      <c r="C58" s="312">
        <v>43.0</v>
      </c>
      <c r="D58" s="312">
        <v>43.0</v>
      </c>
      <c r="E58" s="312">
        <v>43.0</v>
      </c>
      <c r="F58" s="312">
        <v>43.0</v>
      </c>
      <c r="G58" s="312">
        <v>43.0</v>
      </c>
      <c r="H58" s="312">
        <v>43.0</v>
      </c>
      <c r="I58" s="312">
        <v>43.0</v>
      </c>
      <c r="J58" s="312">
        <v>43.0</v>
      </c>
      <c r="K58" s="312">
        <v>43.0</v>
      </c>
      <c r="L58" s="312">
        <v>43.0</v>
      </c>
      <c r="M58" s="312">
        <v>43.0</v>
      </c>
      <c r="N58" s="312">
        <v>43.0</v>
      </c>
      <c r="O58" s="312">
        <v>43.0</v>
      </c>
      <c r="P58" s="312">
        <v>43.0</v>
      </c>
      <c r="Q58" s="312">
        <v>43.0</v>
      </c>
      <c r="R58" s="312">
        <v>43.0</v>
      </c>
      <c r="S58" s="312">
        <v>43.0</v>
      </c>
      <c r="T58" s="312">
        <v>43.0</v>
      </c>
      <c r="U58" s="312">
        <v>43.0</v>
      </c>
      <c r="V58" s="312">
        <v>43.0</v>
      </c>
      <c r="W58" s="312">
        <v>43.0</v>
      </c>
      <c r="X58" s="312">
        <v>43.0</v>
      </c>
      <c r="Y58" s="339">
        <v>43.0</v>
      </c>
      <c r="Z58" s="339">
        <v>43.0</v>
      </c>
      <c r="AA58" s="339">
        <v>43.0</v>
      </c>
      <c r="AB58" s="339">
        <v>43.0</v>
      </c>
      <c r="AC58" s="339">
        <v>43.0</v>
      </c>
      <c r="AD58" s="339">
        <v>43.0</v>
      </c>
      <c r="AE58" s="339">
        <v>43.0</v>
      </c>
      <c r="AF58" s="339">
        <v>43.0</v>
      </c>
      <c r="AG58" s="339">
        <v>43.0</v>
      </c>
      <c r="AH58" s="339">
        <v>43.0</v>
      </c>
      <c r="AI58" s="339">
        <v>43.0</v>
      </c>
      <c r="AJ58" s="339">
        <v>43.0</v>
      </c>
      <c r="AK58" s="339">
        <v>43.0</v>
      </c>
      <c r="AL58" s="339">
        <v>43.0</v>
      </c>
      <c r="AM58" s="339">
        <v>43.0</v>
      </c>
      <c r="AN58" s="339">
        <v>43.0</v>
      </c>
      <c r="AO58" s="339">
        <v>43.0</v>
      </c>
      <c r="AP58" s="339">
        <v>43.0</v>
      </c>
      <c r="AQ58" s="339">
        <v>43.0</v>
      </c>
      <c r="AR58" s="339">
        <v>43.0</v>
      </c>
      <c r="AS58" s="339">
        <v>43.0</v>
      </c>
      <c r="AT58" s="339">
        <v>43.0</v>
      </c>
      <c r="AU58" s="339">
        <v>43.0</v>
      </c>
      <c r="AV58" s="339">
        <v>43.0</v>
      </c>
      <c r="AW58" s="339">
        <v>43.0</v>
      </c>
      <c r="AX58" s="339">
        <v>43.0</v>
      </c>
      <c r="AY58" s="339">
        <v>43.0</v>
      </c>
      <c r="AZ58" s="339">
        <v>43.0</v>
      </c>
      <c r="BA58" s="339">
        <v>43.0</v>
      </c>
      <c r="BB58" s="339">
        <v>43.0</v>
      </c>
      <c r="BC58" s="339">
        <v>43.0</v>
      </c>
      <c r="BD58" s="339">
        <v>43.0</v>
      </c>
      <c r="BE58" s="339">
        <v>43.0</v>
      </c>
      <c r="BF58" s="339">
        <v>43.0</v>
      </c>
      <c r="BG58" s="339">
        <v>43.0</v>
      </c>
      <c r="BH58" s="339">
        <v>43.0</v>
      </c>
      <c r="BI58" s="339">
        <v>43.0</v>
      </c>
      <c r="BJ58" s="339">
        <v>43.0</v>
      </c>
      <c r="BK58" s="339">
        <v>43.0</v>
      </c>
      <c r="BL58" s="339">
        <v>43.0</v>
      </c>
      <c r="BM58" s="339">
        <v>43.0</v>
      </c>
      <c r="BN58" s="339">
        <v>43.0</v>
      </c>
      <c r="BO58" s="339">
        <v>43.0</v>
      </c>
      <c r="BP58" s="339">
        <v>43.0</v>
      </c>
      <c r="BQ58" s="339">
        <v>43.0</v>
      </c>
      <c r="BR58" s="339">
        <v>43.0</v>
      </c>
      <c r="BS58" s="339">
        <v>43.0</v>
      </c>
      <c r="BT58" s="339">
        <v>43.0</v>
      </c>
      <c r="BU58" s="339">
        <v>43.0</v>
      </c>
      <c r="BV58" s="339">
        <v>43.0</v>
      </c>
      <c r="BW58" s="339">
        <v>43.0</v>
      </c>
      <c r="BX58" s="339">
        <v>43.0</v>
      </c>
      <c r="BY58" s="339">
        <v>43.0</v>
      </c>
      <c r="BZ58" s="339">
        <v>43.0</v>
      </c>
      <c r="CA58" s="339">
        <v>43.0</v>
      </c>
      <c r="CB58" s="339">
        <v>43.0</v>
      </c>
      <c r="CC58" s="339">
        <v>43.0</v>
      </c>
      <c r="CD58" s="339">
        <v>43.0</v>
      </c>
      <c r="CE58" s="339">
        <v>43.0</v>
      </c>
      <c r="CF58" s="339">
        <v>43.0</v>
      </c>
      <c r="CG58" s="339">
        <v>43.0</v>
      </c>
      <c r="CH58" s="339">
        <v>43.0</v>
      </c>
      <c r="CI58" s="1"/>
      <c r="CJ58" s="1"/>
      <c r="CK58" s="1"/>
      <c r="CL58" s="1"/>
      <c r="CM58" s="1"/>
      <c r="CN58" s="1"/>
      <c r="CO58" s="1"/>
      <c r="CP58" s="1"/>
    </row>
    <row r="59" ht="15.75" hidden="1" customHeight="1">
      <c r="A59" s="1" t="s">
        <v>94</v>
      </c>
      <c r="B59" s="312"/>
      <c r="C59" s="312">
        <v>60.0</v>
      </c>
      <c r="D59" s="312">
        <v>60.0</v>
      </c>
      <c r="E59" s="312">
        <v>60.0</v>
      </c>
      <c r="F59" s="312">
        <v>60.0</v>
      </c>
      <c r="G59" s="312">
        <v>60.0</v>
      </c>
      <c r="H59" s="312">
        <v>60.0</v>
      </c>
      <c r="I59" s="312">
        <v>60.0</v>
      </c>
      <c r="J59" s="312">
        <v>60.0</v>
      </c>
      <c r="K59" s="312">
        <v>60.0</v>
      </c>
      <c r="L59" s="312">
        <v>60.0</v>
      </c>
      <c r="M59" s="312">
        <v>60.0</v>
      </c>
      <c r="N59" s="312">
        <v>60.0</v>
      </c>
      <c r="O59" s="312">
        <v>60.0</v>
      </c>
      <c r="P59" s="312">
        <v>60.0</v>
      </c>
      <c r="Q59" s="312">
        <v>60.0</v>
      </c>
      <c r="R59" s="312">
        <v>60.0</v>
      </c>
      <c r="S59" s="312">
        <v>60.0</v>
      </c>
      <c r="T59" s="312">
        <v>60.0</v>
      </c>
      <c r="U59" s="312">
        <v>60.0</v>
      </c>
      <c r="V59" s="312">
        <v>60.0</v>
      </c>
      <c r="W59" s="312">
        <v>60.0</v>
      </c>
      <c r="X59" s="312">
        <v>60.0</v>
      </c>
      <c r="Y59" s="339">
        <v>60.0</v>
      </c>
      <c r="Z59" s="339">
        <v>60.0</v>
      </c>
      <c r="AA59" s="339">
        <v>60.0</v>
      </c>
      <c r="AB59" s="339">
        <v>60.0</v>
      </c>
      <c r="AC59" s="339">
        <v>60.0</v>
      </c>
      <c r="AD59" s="339">
        <v>60.0</v>
      </c>
      <c r="AE59" s="339">
        <v>60.0</v>
      </c>
      <c r="AF59" s="339">
        <v>60.0</v>
      </c>
      <c r="AG59" s="339">
        <v>60.0</v>
      </c>
      <c r="AH59" s="339">
        <v>60.0</v>
      </c>
      <c r="AI59" s="339">
        <v>60.0</v>
      </c>
      <c r="AJ59" s="339">
        <v>60.0</v>
      </c>
      <c r="AK59" s="339">
        <v>60.0</v>
      </c>
      <c r="AL59" s="339">
        <v>60.0</v>
      </c>
      <c r="AM59" s="339">
        <v>60.0</v>
      </c>
      <c r="AN59" s="339">
        <v>60.0</v>
      </c>
      <c r="AO59" s="339">
        <v>60.0</v>
      </c>
      <c r="AP59" s="339">
        <v>60.0</v>
      </c>
      <c r="AQ59" s="339">
        <v>60.0</v>
      </c>
      <c r="AR59" s="339">
        <v>60.0</v>
      </c>
      <c r="AS59" s="339">
        <v>60.0</v>
      </c>
      <c r="AT59" s="339">
        <v>60.0</v>
      </c>
      <c r="AU59" s="339">
        <v>60.0</v>
      </c>
      <c r="AV59" s="339">
        <v>60.0</v>
      </c>
      <c r="AW59" s="339">
        <v>60.0</v>
      </c>
      <c r="AX59" s="339">
        <v>60.0</v>
      </c>
      <c r="AY59" s="339">
        <v>60.0</v>
      </c>
      <c r="AZ59" s="339">
        <v>60.0</v>
      </c>
      <c r="BA59" s="339">
        <v>60.0</v>
      </c>
      <c r="BB59" s="339">
        <v>60.0</v>
      </c>
      <c r="BC59" s="339">
        <v>60.0</v>
      </c>
      <c r="BD59" s="339">
        <v>60.0</v>
      </c>
      <c r="BE59" s="339">
        <v>60.0</v>
      </c>
      <c r="BF59" s="339">
        <v>60.0</v>
      </c>
      <c r="BG59" s="339">
        <v>60.0</v>
      </c>
      <c r="BH59" s="339">
        <v>60.0</v>
      </c>
      <c r="BI59" s="339">
        <v>60.0</v>
      </c>
      <c r="BJ59" s="339">
        <v>60.0</v>
      </c>
      <c r="BK59" s="339">
        <v>60.0</v>
      </c>
      <c r="BL59" s="339">
        <v>60.0</v>
      </c>
      <c r="BM59" s="339">
        <v>60.0</v>
      </c>
      <c r="BN59" s="339">
        <v>60.0</v>
      </c>
      <c r="BO59" s="339">
        <v>60.0</v>
      </c>
      <c r="BP59" s="339">
        <v>60.0</v>
      </c>
      <c r="BQ59" s="339">
        <v>60.0</v>
      </c>
      <c r="BR59" s="339">
        <v>60.0</v>
      </c>
      <c r="BS59" s="339">
        <v>60.0</v>
      </c>
      <c r="BT59" s="339">
        <v>60.0</v>
      </c>
      <c r="BU59" s="339">
        <v>60.0</v>
      </c>
      <c r="BV59" s="339">
        <v>60.0</v>
      </c>
      <c r="BW59" s="339">
        <v>60.0</v>
      </c>
      <c r="BX59" s="339">
        <v>60.0</v>
      </c>
      <c r="BY59" s="339">
        <v>60.0</v>
      </c>
      <c r="BZ59" s="339">
        <v>60.0</v>
      </c>
      <c r="CA59" s="339">
        <v>60.0</v>
      </c>
      <c r="CB59" s="339">
        <v>60.0</v>
      </c>
      <c r="CC59" s="339">
        <v>60.0</v>
      </c>
      <c r="CD59" s="339">
        <v>60.0</v>
      </c>
      <c r="CE59" s="339">
        <v>60.0</v>
      </c>
      <c r="CF59" s="339">
        <v>60.0</v>
      </c>
      <c r="CG59" s="339">
        <v>60.0</v>
      </c>
      <c r="CH59" s="339">
        <v>60.0</v>
      </c>
      <c r="CI59" s="1"/>
      <c r="CJ59" s="1"/>
      <c r="CK59" s="1"/>
      <c r="CL59" s="1"/>
      <c r="CM59" s="1"/>
      <c r="CN59" s="1"/>
      <c r="CO59" s="1"/>
      <c r="CP59" s="1"/>
    </row>
    <row r="60" ht="15.75" hidden="1" customHeight="1">
      <c r="A60" s="1" t="s">
        <v>96</v>
      </c>
      <c r="B60" s="312"/>
      <c r="C60" s="312">
        <v>55.0</v>
      </c>
      <c r="D60" s="312">
        <v>55.0</v>
      </c>
      <c r="E60" s="312">
        <v>55.0</v>
      </c>
      <c r="F60" s="312">
        <v>55.0</v>
      </c>
      <c r="G60" s="312">
        <v>55.0</v>
      </c>
      <c r="H60" s="312">
        <v>55.0</v>
      </c>
      <c r="I60" s="312">
        <v>55.0</v>
      </c>
      <c r="J60" s="312">
        <v>55.0</v>
      </c>
      <c r="K60" s="312">
        <v>55.0</v>
      </c>
      <c r="L60" s="312">
        <v>55.0</v>
      </c>
      <c r="M60" s="312">
        <v>55.0</v>
      </c>
      <c r="N60" s="312">
        <v>55.0</v>
      </c>
      <c r="O60" s="312">
        <v>55.0</v>
      </c>
      <c r="P60" s="312">
        <v>55.0</v>
      </c>
      <c r="Q60" s="312">
        <v>55.0</v>
      </c>
      <c r="R60" s="312">
        <v>55.0</v>
      </c>
      <c r="S60" s="312">
        <v>55.0</v>
      </c>
      <c r="T60" s="312">
        <v>55.0</v>
      </c>
      <c r="U60" s="312">
        <v>55.0</v>
      </c>
      <c r="V60" s="312">
        <v>55.0</v>
      </c>
      <c r="W60" s="312">
        <v>55.0</v>
      </c>
      <c r="X60" s="312">
        <v>55.0</v>
      </c>
      <c r="Y60" s="339">
        <v>55.0</v>
      </c>
      <c r="Z60" s="339">
        <v>55.0</v>
      </c>
      <c r="AA60" s="339">
        <v>55.0</v>
      </c>
      <c r="AB60" s="339">
        <v>55.0</v>
      </c>
      <c r="AC60" s="339">
        <v>55.0</v>
      </c>
      <c r="AD60" s="339">
        <v>55.0</v>
      </c>
      <c r="AE60" s="339">
        <v>55.0</v>
      </c>
      <c r="AF60" s="339">
        <v>55.0</v>
      </c>
      <c r="AG60" s="339">
        <v>55.0</v>
      </c>
      <c r="AH60" s="339">
        <v>55.0</v>
      </c>
      <c r="AI60" s="339">
        <v>55.0</v>
      </c>
      <c r="AJ60" s="339">
        <v>55.0</v>
      </c>
      <c r="AK60" s="339">
        <v>55.0</v>
      </c>
      <c r="AL60" s="339">
        <v>55.0</v>
      </c>
      <c r="AM60" s="339">
        <v>55.0</v>
      </c>
      <c r="AN60" s="339">
        <v>55.0</v>
      </c>
      <c r="AO60" s="339">
        <v>55.0</v>
      </c>
      <c r="AP60" s="339">
        <v>55.0</v>
      </c>
      <c r="AQ60" s="339">
        <v>55.0</v>
      </c>
      <c r="AR60" s="339">
        <v>55.0</v>
      </c>
      <c r="AS60" s="339">
        <v>55.0</v>
      </c>
      <c r="AT60" s="339">
        <v>55.0</v>
      </c>
      <c r="AU60" s="339">
        <v>55.0</v>
      </c>
      <c r="AV60" s="339">
        <v>55.0</v>
      </c>
      <c r="AW60" s="339">
        <v>55.0</v>
      </c>
      <c r="AX60" s="339">
        <v>55.0</v>
      </c>
      <c r="AY60" s="339">
        <v>55.0</v>
      </c>
      <c r="AZ60" s="339">
        <v>55.0</v>
      </c>
      <c r="BA60" s="339">
        <v>55.0</v>
      </c>
      <c r="BB60" s="339">
        <v>55.0</v>
      </c>
      <c r="BC60" s="339">
        <v>55.0</v>
      </c>
      <c r="BD60" s="339">
        <v>55.0</v>
      </c>
      <c r="BE60" s="339">
        <v>55.0</v>
      </c>
      <c r="BF60" s="339">
        <v>55.0</v>
      </c>
      <c r="BG60" s="339">
        <v>55.0</v>
      </c>
      <c r="BH60" s="339">
        <v>55.0</v>
      </c>
      <c r="BI60" s="339">
        <v>55.0</v>
      </c>
      <c r="BJ60" s="339">
        <v>55.0</v>
      </c>
      <c r="BK60" s="339">
        <v>55.0</v>
      </c>
      <c r="BL60" s="339">
        <v>55.0</v>
      </c>
      <c r="BM60" s="339">
        <v>55.0</v>
      </c>
      <c r="BN60" s="339">
        <v>55.0</v>
      </c>
      <c r="BO60" s="339">
        <v>55.0</v>
      </c>
      <c r="BP60" s="339">
        <v>55.0</v>
      </c>
      <c r="BQ60" s="339">
        <v>55.0</v>
      </c>
      <c r="BR60" s="339">
        <v>55.0</v>
      </c>
      <c r="BS60" s="339">
        <v>55.0</v>
      </c>
      <c r="BT60" s="339">
        <v>55.0</v>
      </c>
      <c r="BU60" s="339">
        <v>55.0</v>
      </c>
      <c r="BV60" s="339">
        <v>55.0</v>
      </c>
      <c r="BW60" s="339">
        <v>55.0</v>
      </c>
      <c r="BX60" s="339">
        <v>55.0</v>
      </c>
      <c r="BY60" s="339">
        <v>55.0</v>
      </c>
      <c r="BZ60" s="339">
        <v>55.0</v>
      </c>
      <c r="CA60" s="339">
        <v>55.0</v>
      </c>
      <c r="CB60" s="339">
        <v>55.0</v>
      </c>
      <c r="CC60" s="339">
        <v>55.0</v>
      </c>
      <c r="CD60" s="339">
        <v>55.0</v>
      </c>
      <c r="CE60" s="339">
        <v>55.0</v>
      </c>
      <c r="CF60" s="339">
        <v>55.0</v>
      </c>
      <c r="CG60" s="339">
        <v>55.0</v>
      </c>
      <c r="CH60" s="339">
        <v>55.0</v>
      </c>
      <c r="CI60" s="1"/>
      <c r="CJ60" s="1"/>
      <c r="CK60" s="1"/>
      <c r="CL60" s="1"/>
      <c r="CM60" s="1"/>
      <c r="CN60" s="1"/>
      <c r="CO60" s="1"/>
      <c r="CP60" s="1"/>
    </row>
    <row r="61" ht="15.75" hidden="1" customHeight="1">
      <c r="A61" s="119" t="s">
        <v>599</v>
      </c>
      <c r="B61" s="341"/>
      <c r="C61" s="341">
        <f t="shared" ref="C61:CH61" si="64">SUMPRODUCT(C55:C60,C38:C43)/SUM(C38:C43)</f>
        <v>56</v>
      </c>
      <c r="D61" s="341">
        <f t="shared" si="64"/>
        <v>56</v>
      </c>
      <c r="E61" s="341">
        <f t="shared" si="64"/>
        <v>56</v>
      </c>
      <c r="F61" s="341">
        <f t="shared" si="64"/>
        <v>56</v>
      </c>
      <c r="G61" s="341">
        <f t="shared" si="64"/>
        <v>56</v>
      </c>
      <c r="H61" s="341">
        <f t="shared" si="64"/>
        <v>56</v>
      </c>
      <c r="I61" s="341">
        <f t="shared" si="64"/>
        <v>56</v>
      </c>
      <c r="J61" s="341">
        <f t="shared" si="64"/>
        <v>56</v>
      </c>
      <c r="K61" s="341">
        <f t="shared" si="64"/>
        <v>56</v>
      </c>
      <c r="L61" s="341">
        <f t="shared" si="64"/>
        <v>56</v>
      </c>
      <c r="M61" s="341">
        <f t="shared" si="64"/>
        <v>56</v>
      </c>
      <c r="N61" s="341">
        <f t="shared" si="64"/>
        <v>56</v>
      </c>
      <c r="O61" s="341">
        <f t="shared" si="64"/>
        <v>56</v>
      </c>
      <c r="P61" s="341">
        <f t="shared" si="64"/>
        <v>56</v>
      </c>
      <c r="Q61" s="341">
        <f t="shared" si="64"/>
        <v>56</v>
      </c>
      <c r="R61" s="341">
        <f t="shared" si="64"/>
        <v>56</v>
      </c>
      <c r="S61" s="341">
        <f t="shared" si="64"/>
        <v>56</v>
      </c>
      <c r="T61" s="341">
        <f t="shared" si="64"/>
        <v>56</v>
      </c>
      <c r="U61" s="341">
        <f t="shared" si="64"/>
        <v>56</v>
      </c>
      <c r="V61" s="341">
        <f t="shared" si="64"/>
        <v>56</v>
      </c>
      <c r="W61" s="341">
        <f t="shared" si="64"/>
        <v>56</v>
      </c>
      <c r="X61" s="341">
        <f t="shared" si="64"/>
        <v>56</v>
      </c>
      <c r="Y61" s="341">
        <f t="shared" si="64"/>
        <v>56</v>
      </c>
      <c r="Z61" s="341">
        <f t="shared" si="64"/>
        <v>56</v>
      </c>
      <c r="AA61" s="341">
        <f t="shared" si="64"/>
        <v>56</v>
      </c>
      <c r="AB61" s="341">
        <f t="shared" si="64"/>
        <v>56</v>
      </c>
      <c r="AC61" s="341">
        <f t="shared" si="64"/>
        <v>56</v>
      </c>
      <c r="AD61" s="341">
        <f t="shared" si="64"/>
        <v>56</v>
      </c>
      <c r="AE61" s="341">
        <f t="shared" si="64"/>
        <v>56</v>
      </c>
      <c r="AF61" s="341">
        <f t="shared" si="64"/>
        <v>56</v>
      </c>
      <c r="AG61" s="341">
        <f t="shared" si="64"/>
        <v>56</v>
      </c>
      <c r="AH61" s="341">
        <f t="shared" si="64"/>
        <v>56.03361345</v>
      </c>
      <c r="AI61" s="341">
        <f t="shared" si="64"/>
        <v>56.03361345</v>
      </c>
      <c r="AJ61" s="341">
        <f t="shared" si="64"/>
        <v>56.03361345</v>
      </c>
      <c r="AK61" s="341">
        <f t="shared" si="64"/>
        <v>56.03361345</v>
      </c>
      <c r="AL61" s="341">
        <f t="shared" si="64"/>
        <v>55.949676</v>
      </c>
      <c r="AM61" s="341">
        <f t="shared" si="64"/>
        <v>55.92394366</v>
      </c>
      <c r="AN61" s="341">
        <f t="shared" si="64"/>
        <v>55.92394366</v>
      </c>
      <c r="AO61" s="341">
        <f t="shared" si="64"/>
        <v>55.92394366</v>
      </c>
      <c r="AP61" s="341">
        <f t="shared" si="64"/>
        <v>55.92394366</v>
      </c>
      <c r="AQ61" s="341">
        <f t="shared" si="64"/>
        <v>55.92394366</v>
      </c>
      <c r="AR61" s="341">
        <f t="shared" si="64"/>
        <v>55.92394366</v>
      </c>
      <c r="AS61" s="341">
        <f t="shared" si="64"/>
        <v>55.92394366</v>
      </c>
      <c r="AT61" s="341">
        <f t="shared" si="64"/>
        <v>55.92394366</v>
      </c>
      <c r="AU61" s="341">
        <f t="shared" si="64"/>
        <v>55.92394366</v>
      </c>
      <c r="AV61" s="341">
        <f t="shared" si="64"/>
        <v>55.92394366</v>
      </c>
      <c r="AW61" s="341">
        <f t="shared" si="64"/>
        <v>55.92394366</v>
      </c>
      <c r="AX61" s="341">
        <f t="shared" si="64"/>
        <v>55.92394366</v>
      </c>
      <c r="AY61" s="341">
        <f t="shared" si="64"/>
        <v>55.92394366</v>
      </c>
      <c r="AZ61" s="341">
        <f t="shared" si="64"/>
        <v>55.92394366</v>
      </c>
      <c r="BA61" s="341">
        <f t="shared" si="64"/>
        <v>55.92394366</v>
      </c>
      <c r="BB61" s="341">
        <f t="shared" si="64"/>
        <v>55.92394366</v>
      </c>
      <c r="BC61" s="341">
        <f t="shared" si="64"/>
        <v>55.92394366</v>
      </c>
      <c r="BD61" s="341">
        <f t="shared" si="64"/>
        <v>55.92394366</v>
      </c>
      <c r="BE61" s="341">
        <f t="shared" si="64"/>
        <v>55.92394366</v>
      </c>
      <c r="BF61" s="341">
        <f t="shared" si="64"/>
        <v>55.92394366</v>
      </c>
      <c r="BG61" s="341">
        <f t="shared" si="64"/>
        <v>55.92394366</v>
      </c>
      <c r="BH61" s="341">
        <f t="shared" si="64"/>
        <v>55.92394366</v>
      </c>
      <c r="BI61" s="341">
        <f t="shared" si="64"/>
        <v>55.92394366</v>
      </c>
      <c r="BJ61" s="341">
        <f t="shared" si="64"/>
        <v>55.92394366</v>
      </c>
      <c r="BK61" s="341">
        <f t="shared" si="64"/>
        <v>55.92394366</v>
      </c>
      <c r="BL61" s="341">
        <f t="shared" si="64"/>
        <v>55.92394366</v>
      </c>
      <c r="BM61" s="341">
        <f t="shared" si="64"/>
        <v>55.92394366</v>
      </c>
      <c r="BN61" s="341">
        <f t="shared" si="64"/>
        <v>55.92394366</v>
      </c>
      <c r="BO61" s="341">
        <f t="shared" si="64"/>
        <v>55.92394366</v>
      </c>
      <c r="BP61" s="341">
        <f t="shared" si="64"/>
        <v>55.92394366</v>
      </c>
      <c r="BQ61" s="341">
        <f t="shared" si="64"/>
        <v>55.92394366</v>
      </c>
      <c r="BR61" s="341">
        <f t="shared" si="64"/>
        <v>55.92394366</v>
      </c>
      <c r="BS61" s="341">
        <f t="shared" si="64"/>
        <v>55.92394366</v>
      </c>
      <c r="BT61" s="341">
        <f t="shared" si="64"/>
        <v>55.92394366</v>
      </c>
      <c r="BU61" s="341">
        <f t="shared" si="64"/>
        <v>55.92394366</v>
      </c>
      <c r="BV61" s="341">
        <f t="shared" si="64"/>
        <v>55.92394366</v>
      </c>
      <c r="BW61" s="341">
        <f t="shared" si="64"/>
        <v>55.92394366</v>
      </c>
      <c r="BX61" s="341">
        <f t="shared" si="64"/>
        <v>55.92394366</v>
      </c>
      <c r="BY61" s="341">
        <f t="shared" si="64"/>
        <v>55.92394366</v>
      </c>
      <c r="BZ61" s="341">
        <f t="shared" si="64"/>
        <v>55.92394366</v>
      </c>
      <c r="CA61" s="341">
        <f t="shared" si="64"/>
        <v>55.92394366</v>
      </c>
      <c r="CB61" s="341">
        <f t="shared" si="64"/>
        <v>55.92394366</v>
      </c>
      <c r="CC61" s="341">
        <f t="shared" si="64"/>
        <v>55.92394366</v>
      </c>
      <c r="CD61" s="341">
        <f t="shared" si="64"/>
        <v>55.92394366</v>
      </c>
      <c r="CE61" s="341">
        <f t="shared" si="64"/>
        <v>55.92394366</v>
      </c>
      <c r="CF61" s="341">
        <f t="shared" si="64"/>
        <v>55.92394366</v>
      </c>
      <c r="CG61" s="341">
        <f t="shared" si="64"/>
        <v>55.92394366</v>
      </c>
      <c r="CH61" s="341">
        <f t="shared" si="64"/>
        <v>55.92394366</v>
      </c>
      <c r="CI61" s="1"/>
      <c r="CJ61" s="1"/>
      <c r="CK61" s="1"/>
      <c r="CL61" s="1"/>
      <c r="CM61" s="1"/>
      <c r="CN61" s="1"/>
      <c r="CO61" s="1"/>
      <c r="CP61" s="1"/>
    </row>
    <row r="62" ht="15.75" customHeight="1">
      <c r="A62" s="1"/>
      <c r="B62" s="317"/>
      <c r="C62" s="317"/>
      <c r="D62" s="317"/>
      <c r="E62" s="317"/>
      <c r="F62" s="317"/>
      <c r="G62" s="317"/>
      <c r="H62" s="317"/>
      <c r="I62" s="317"/>
      <c r="J62" s="317"/>
      <c r="K62" s="317"/>
      <c r="L62" s="317"/>
      <c r="M62" s="317"/>
      <c r="N62" s="317"/>
      <c r="O62" s="317"/>
      <c r="P62" s="317"/>
      <c r="Q62" s="317"/>
      <c r="R62" s="318"/>
      <c r="S62" s="318"/>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318"/>
      <c r="AZ62" s="318"/>
      <c r="BA62" s="318"/>
      <c r="BB62" s="318"/>
      <c r="BC62" s="318"/>
      <c r="BD62" s="318"/>
      <c r="BE62" s="318"/>
      <c r="BF62" s="318"/>
      <c r="BG62" s="318"/>
      <c r="BH62" s="318"/>
      <c r="BI62" s="318"/>
      <c r="BJ62" s="318"/>
      <c r="BK62" s="318"/>
      <c r="BL62" s="318"/>
      <c r="BM62" s="318"/>
      <c r="BN62" s="318"/>
      <c r="BO62" s="318"/>
      <c r="BP62" s="318"/>
      <c r="BQ62" s="318"/>
      <c r="BR62" s="318"/>
      <c r="BS62" s="318"/>
      <c r="BT62" s="318"/>
      <c r="BU62" s="318"/>
      <c r="BV62" s="318"/>
      <c r="BW62" s="318"/>
      <c r="BX62" s="318"/>
      <c r="BY62" s="318"/>
      <c r="BZ62" s="318"/>
      <c r="CA62" s="318"/>
      <c r="CB62" s="318"/>
      <c r="CC62" s="318"/>
      <c r="CD62" s="318"/>
      <c r="CE62" s="318"/>
      <c r="CF62" s="318"/>
      <c r="CG62" s="318"/>
      <c r="CH62" s="318"/>
      <c r="CI62" s="1"/>
      <c r="CJ62" s="1"/>
      <c r="CK62" s="1"/>
      <c r="CL62" s="1"/>
      <c r="CM62" s="1"/>
      <c r="CN62" s="1"/>
      <c r="CO62" s="1"/>
      <c r="CP62" s="1"/>
    </row>
    <row r="63" ht="15.75" customHeight="1">
      <c r="A63" s="1" t="s">
        <v>129</v>
      </c>
      <c r="B63" s="317"/>
      <c r="C63" s="317">
        <f t="shared" ref="C63:Y63" si="65">IFERROR(C72/C39,0)</f>
        <v>0.5</v>
      </c>
      <c r="D63" s="317">
        <f t="shared" si="65"/>
        <v>0.5</v>
      </c>
      <c r="E63" s="317">
        <f t="shared" si="65"/>
        <v>0.5</v>
      </c>
      <c r="F63" s="317">
        <f t="shared" si="65"/>
        <v>0.5</v>
      </c>
      <c r="G63" s="317">
        <f t="shared" si="65"/>
        <v>0.5</v>
      </c>
      <c r="H63" s="317">
        <f t="shared" si="65"/>
        <v>0.5</v>
      </c>
      <c r="I63" s="317">
        <f t="shared" si="65"/>
        <v>0.5</v>
      </c>
      <c r="J63" s="317">
        <f t="shared" si="65"/>
        <v>0.5</v>
      </c>
      <c r="K63" s="317">
        <f t="shared" si="65"/>
        <v>0.5</v>
      </c>
      <c r="L63" s="317">
        <f t="shared" si="65"/>
        <v>0.5</v>
      </c>
      <c r="M63" s="317">
        <f t="shared" si="65"/>
        <v>0.5</v>
      </c>
      <c r="N63" s="317">
        <f t="shared" si="65"/>
        <v>0.5</v>
      </c>
      <c r="O63" s="317">
        <f t="shared" si="65"/>
        <v>0.5</v>
      </c>
      <c r="P63" s="317">
        <f t="shared" si="65"/>
        <v>0.5</v>
      </c>
      <c r="Q63" s="317">
        <f t="shared" si="65"/>
        <v>0.5</v>
      </c>
      <c r="R63" s="317">
        <f t="shared" si="65"/>
        <v>0.5</v>
      </c>
      <c r="S63" s="317">
        <f t="shared" si="65"/>
        <v>0.5</v>
      </c>
      <c r="T63" s="317">
        <f t="shared" si="65"/>
        <v>0.5</v>
      </c>
      <c r="U63" s="317">
        <f t="shared" si="65"/>
        <v>0.5</v>
      </c>
      <c r="V63" s="317">
        <f t="shared" si="65"/>
        <v>0.5</v>
      </c>
      <c r="W63" s="317">
        <f t="shared" si="65"/>
        <v>0.5</v>
      </c>
      <c r="X63" s="317">
        <f t="shared" si="65"/>
        <v>0.5</v>
      </c>
      <c r="Y63" s="317">
        <f t="shared" si="65"/>
        <v>0.5</v>
      </c>
      <c r="Z63" s="342">
        <v>0.6</v>
      </c>
      <c r="AA63" s="342">
        <v>0.6</v>
      </c>
      <c r="AB63" s="342">
        <v>0.6</v>
      </c>
      <c r="AC63" s="342">
        <v>0.6</v>
      </c>
      <c r="AD63" s="342">
        <v>0.6</v>
      </c>
      <c r="AE63" s="342">
        <v>0.6</v>
      </c>
      <c r="AF63" s="342">
        <v>0.6</v>
      </c>
      <c r="AG63" s="342">
        <v>0.6</v>
      </c>
      <c r="AH63" s="342">
        <v>0.6</v>
      </c>
      <c r="AI63" s="342">
        <v>0.6</v>
      </c>
      <c r="AJ63" s="342">
        <v>0.6</v>
      </c>
      <c r="AK63" s="342">
        <v>0.6</v>
      </c>
      <c r="AL63" s="342">
        <v>0.6</v>
      </c>
      <c r="AM63" s="342">
        <v>0.6</v>
      </c>
      <c r="AN63" s="342">
        <v>0.6</v>
      </c>
      <c r="AO63" s="342">
        <v>0.6</v>
      </c>
      <c r="AP63" s="342">
        <v>0.6</v>
      </c>
      <c r="AQ63" s="342">
        <v>0.6</v>
      </c>
      <c r="AR63" s="342">
        <v>0.6</v>
      </c>
      <c r="AS63" s="342">
        <v>0.6</v>
      </c>
      <c r="AT63" s="342">
        <v>0.6</v>
      </c>
      <c r="AU63" s="342">
        <v>0.6</v>
      </c>
      <c r="AV63" s="342">
        <v>0.6</v>
      </c>
      <c r="AW63" s="342">
        <v>0.6</v>
      </c>
      <c r="AX63" s="342">
        <v>0.6</v>
      </c>
      <c r="AY63" s="342">
        <v>0.6</v>
      </c>
      <c r="AZ63" s="342">
        <v>0.6</v>
      </c>
      <c r="BA63" s="342">
        <v>0.6</v>
      </c>
      <c r="BB63" s="342">
        <v>0.6</v>
      </c>
      <c r="BC63" s="342">
        <v>0.6</v>
      </c>
      <c r="BD63" s="342">
        <v>0.6</v>
      </c>
      <c r="BE63" s="342">
        <v>0.6</v>
      </c>
      <c r="BF63" s="342">
        <v>0.6</v>
      </c>
      <c r="BG63" s="342">
        <v>0.6</v>
      </c>
      <c r="BH63" s="342">
        <v>0.6</v>
      </c>
      <c r="BI63" s="342">
        <v>0.6</v>
      </c>
      <c r="BJ63" s="342">
        <v>0.6</v>
      </c>
      <c r="BK63" s="342">
        <v>0.6</v>
      </c>
      <c r="BL63" s="342">
        <v>0.6</v>
      </c>
      <c r="BM63" s="342">
        <v>0.6</v>
      </c>
      <c r="BN63" s="342">
        <v>0.6</v>
      </c>
      <c r="BO63" s="342">
        <v>0.6</v>
      </c>
      <c r="BP63" s="342">
        <v>0.6</v>
      </c>
      <c r="BQ63" s="342">
        <v>0.6</v>
      </c>
      <c r="BR63" s="342">
        <v>0.6</v>
      </c>
      <c r="BS63" s="342">
        <v>0.6</v>
      </c>
      <c r="BT63" s="342">
        <v>0.6</v>
      </c>
      <c r="BU63" s="342">
        <v>0.6</v>
      </c>
      <c r="BV63" s="342">
        <v>0.6</v>
      </c>
      <c r="BW63" s="342">
        <v>0.6</v>
      </c>
      <c r="BX63" s="342">
        <v>0.6</v>
      </c>
      <c r="BY63" s="342">
        <v>0.6</v>
      </c>
      <c r="BZ63" s="342">
        <v>0.6</v>
      </c>
      <c r="CA63" s="342">
        <v>0.6</v>
      </c>
      <c r="CB63" s="342">
        <v>0.6</v>
      </c>
      <c r="CC63" s="342">
        <v>0.6</v>
      </c>
      <c r="CD63" s="342">
        <v>0.6</v>
      </c>
      <c r="CE63" s="342">
        <v>0.6</v>
      </c>
      <c r="CF63" s="342">
        <v>0.6</v>
      </c>
      <c r="CG63" s="342">
        <v>0.6</v>
      </c>
      <c r="CH63" s="342">
        <v>0.6</v>
      </c>
      <c r="CI63" s="1"/>
      <c r="CJ63" s="1"/>
      <c r="CK63" s="1"/>
      <c r="CL63" s="1"/>
      <c r="CM63" s="1"/>
      <c r="CN63" s="1"/>
      <c r="CO63" s="1"/>
      <c r="CP63" s="1"/>
    </row>
    <row r="64" ht="15.75" customHeight="1">
      <c r="A64" s="1" t="s">
        <v>85</v>
      </c>
      <c r="B64" s="317"/>
      <c r="C64" s="317">
        <f t="shared" ref="C64:Y64" si="66">IFERROR(C73/C40,0)</f>
        <v>0.5</v>
      </c>
      <c r="D64" s="317">
        <f t="shared" si="66"/>
        <v>0.5</v>
      </c>
      <c r="E64" s="317">
        <f t="shared" si="66"/>
        <v>0.5</v>
      </c>
      <c r="F64" s="317">
        <f t="shared" si="66"/>
        <v>0.5</v>
      </c>
      <c r="G64" s="317">
        <f t="shared" si="66"/>
        <v>0.5</v>
      </c>
      <c r="H64" s="317">
        <f t="shared" si="66"/>
        <v>0.5</v>
      </c>
      <c r="I64" s="317">
        <f t="shared" si="66"/>
        <v>0.5</v>
      </c>
      <c r="J64" s="317">
        <f t="shared" si="66"/>
        <v>0.5</v>
      </c>
      <c r="K64" s="317">
        <f t="shared" si="66"/>
        <v>0.5</v>
      </c>
      <c r="L64" s="317">
        <f t="shared" si="66"/>
        <v>0.5</v>
      </c>
      <c r="M64" s="317">
        <f t="shared" si="66"/>
        <v>0.5</v>
      </c>
      <c r="N64" s="317">
        <f t="shared" si="66"/>
        <v>0.5</v>
      </c>
      <c r="O64" s="317">
        <f t="shared" si="66"/>
        <v>0.5</v>
      </c>
      <c r="P64" s="317">
        <f t="shared" si="66"/>
        <v>0.5</v>
      </c>
      <c r="Q64" s="317">
        <f t="shared" si="66"/>
        <v>0.5</v>
      </c>
      <c r="R64" s="317">
        <f t="shared" si="66"/>
        <v>0.5</v>
      </c>
      <c r="S64" s="317">
        <f t="shared" si="66"/>
        <v>0.5</v>
      </c>
      <c r="T64" s="317">
        <f t="shared" si="66"/>
        <v>0.5</v>
      </c>
      <c r="U64" s="317">
        <f t="shared" si="66"/>
        <v>0.5</v>
      </c>
      <c r="V64" s="317">
        <f t="shared" si="66"/>
        <v>0.5</v>
      </c>
      <c r="W64" s="317">
        <f t="shared" si="66"/>
        <v>0.5</v>
      </c>
      <c r="X64" s="317">
        <f t="shared" si="66"/>
        <v>0.5</v>
      </c>
      <c r="Y64" s="317">
        <f t="shared" si="66"/>
        <v>0.5</v>
      </c>
      <c r="Z64" s="342">
        <v>0.6</v>
      </c>
      <c r="AA64" s="342">
        <v>0.6</v>
      </c>
      <c r="AB64" s="342">
        <v>0.6</v>
      </c>
      <c r="AC64" s="342">
        <v>0.6</v>
      </c>
      <c r="AD64" s="342">
        <v>0.6</v>
      </c>
      <c r="AE64" s="342">
        <v>0.6</v>
      </c>
      <c r="AF64" s="342">
        <v>0.6</v>
      </c>
      <c r="AG64" s="342">
        <v>0.6</v>
      </c>
      <c r="AH64" s="342">
        <v>0.6</v>
      </c>
      <c r="AI64" s="342">
        <v>0.6</v>
      </c>
      <c r="AJ64" s="342">
        <v>0.6</v>
      </c>
      <c r="AK64" s="342">
        <v>0.6</v>
      </c>
      <c r="AL64" s="342">
        <v>0.6</v>
      </c>
      <c r="AM64" s="342">
        <v>0.6</v>
      </c>
      <c r="AN64" s="342">
        <v>0.6</v>
      </c>
      <c r="AO64" s="342">
        <v>0.6</v>
      </c>
      <c r="AP64" s="342">
        <v>0.6</v>
      </c>
      <c r="AQ64" s="342">
        <v>0.6</v>
      </c>
      <c r="AR64" s="342">
        <v>0.6</v>
      </c>
      <c r="AS64" s="342">
        <v>0.6</v>
      </c>
      <c r="AT64" s="342">
        <v>0.6</v>
      </c>
      <c r="AU64" s="342">
        <v>0.6</v>
      </c>
      <c r="AV64" s="342">
        <v>0.6</v>
      </c>
      <c r="AW64" s="342">
        <v>0.6</v>
      </c>
      <c r="AX64" s="342">
        <v>0.6</v>
      </c>
      <c r="AY64" s="342">
        <v>0.6</v>
      </c>
      <c r="AZ64" s="342">
        <v>0.6</v>
      </c>
      <c r="BA64" s="342">
        <v>0.6</v>
      </c>
      <c r="BB64" s="342">
        <v>0.6</v>
      </c>
      <c r="BC64" s="342">
        <v>0.6</v>
      </c>
      <c r="BD64" s="342">
        <v>0.6</v>
      </c>
      <c r="BE64" s="342">
        <v>0.6</v>
      </c>
      <c r="BF64" s="342">
        <v>0.6</v>
      </c>
      <c r="BG64" s="342">
        <v>0.6</v>
      </c>
      <c r="BH64" s="342">
        <v>0.6</v>
      </c>
      <c r="BI64" s="342">
        <v>0.6</v>
      </c>
      <c r="BJ64" s="342">
        <v>0.6</v>
      </c>
      <c r="BK64" s="342">
        <v>0.6</v>
      </c>
      <c r="BL64" s="342">
        <v>0.6</v>
      </c>
      <c r="BM64" s="342">
        <v>0.6</v>
      </c>
      <c r="BN64" s="342">
        <v>0.6</v>
      </c>
      <c r="BO64" s="342">
        <v>0.6</v>
      </c>
      <c r="BP64" s="342">
        <v>0.6</v>
      </c>
      <c r="BQ64" s="342">
        <v>0.6</v>
      </c>
      <c r="BR64" s="342">
        <v>0.6</v>
      </c>
      <c r="BS64" s="342">
        <v>0.6</v>
      </c>
      <c r="BT64" s="342">
        <v>0.6</v>
      </c>
      <c r="BU64" s="342">
        <v>0.6</v>
      </c>
      <c r="BV64" s="342">
        <v>0.6</v>
      </c>
      <c r="BW64" s="342">
        <v>0.6</v>
      </c>
      <c r="BX64" s="342">
        <v>0.6</v>
      </c>
      <c r="BY64" s="342">
        <v>0.6</v>
      </c>
      <c r="BZ64" s="342">
        <v>0.6</v>
      </c>
      <c r="CA64" s="342">
        <v>0.6</v>
      </c>
      <c r="CB64" s="342">
        <v>0.6</v>
      </c>
      <c r="CC64" s="342">
        <v>0.6</v>
      </c>
      <c r="CD64" s="342">
        <v>0.6</v>
      </c>
      <c r="CE64" s="342">
        <v>0.6</v>
      </c>
      <c r="CF64" s="342">
        <v>0.6</v>
      </c>
      <c r="CG64" s="342">
        <v>0.6</v>
      </c>
      <c r="CH64" s="342">
        <v>0.6</v>
      </c>
      <c r="CI64" s="1"/>
      <c r="CJ64" s="1"/>
      <c r="CK64" s="1"/>
      <c r="CL64" s="1"/>
      <c r="CM64" s="1"/>
      <c r="CN64" s="1"/>
      <c r="CO64" s="1"/>
      <c r="CP64" s="1"/>
    </row>
    <row r="65" ht="15.75" customHeight="1">
      <c r="A65" s="1" t="s">
        <v>130</v>
      </c>
      <c r="B65" s="317"/>
      <c r="C65" s="317">
        <f t="shared" ref="C65:Y65" si="67">IFERROR(C74/C41,0)</f>
        <v>0.5</v>
      </c>
      <c r="D65" s="317">
        <f t="shared" si="67"/>
        <v>0.5</v>
      </c>
      <c r="E65" s="317">
        <f t="shared" si="67"/>
        <v>0.5</v>
      </c>
      <c r="F65" s="317">
        <f t="shared" si="67"/>
        <v>0.5</v>
      </c>
      <c r="G65" s="317">
        <f t="shared" si="67"/>
        <v>0.5</v>
      </c>
      <c r="H65" s="317">
        <f t="shared" si="67"/>
        <v>0.5</v>
      </c>
      <c r="I65" s="317">
        <f t="shared" si="67"/>
        <v>0.5</v>
      </c>
      <c r="J65" s="317">
        <f t="shared" si="67"/>
        <v>0.5</v>
      </c>
      <c r="K65" s="317">
        <f t="shared" si="67"/>
        <v>0.5</v>
      </c>
      <c r="L65" s="317">
        <f t="shared" si="67"/>
        <v>0.5</v>
      </c>
      <c r="M65" s="317">
        <f t="shared" si="67"/>
        <v>0.5</v>
      </c>
      <c r="N65" s="317">
        <f t="shared" si="67"/>
        <v>0.5</v>
      </c>
      <c r="O65" s="317">
        <f t="shared" si="67"/>
        <v>0.5</v>
      </c>
      <c r="P65" s="317">
        <f t="shared" si="67"/>
        <v>0.5</v>
      </c>
      <c r="Q65" s="317">
        <f t="shared" si="67"/>
        <v>0.5</v>
      </c>
      <c r="R65" s="317">
        <f t="shared" si="67"/>
        <v>0.5</v>
      </c>
      <c r="S65" s="317">
        <f t="shared" si="67"/>
        <v>0.5</v>
      </c>
      <c r="T65" s="317">
        <f t="shared" si="67"/>
        <v>0.5</v>
      </c>
      <c r="U65" s="317">
        <f t="shared" si="67"/>
        <v>0.5</v>
      </c>
      <c r="V65" s="317">
        <f t="shared" si="67"/>
        <v>0.5</v>
      </c>
      <c r="W65" s="317">
        <f t="shared" si="67"/>
        <v>0.5</v>
      </c>
      <c r="X65" s="317">
        <f t="shared" si="67"/>
        <v>0.5</v>
      </c>
      <c r="Y65" s="317">
        <f t="shared" si="67"/>
        <v>0.5</v>
      </c>
      <c r="Z65" s="342">
        <v>0.6</v>
      </c>
      <c r="AA65" s="342">
        <v>0.6</v>
      </c>
      <c r="AB65" s="342">
        <v>0.6</v>
      </c>
      <c r="AC65" s="342">
        <v>0.6</v>
      </c>
      <c r="AD65" s="342">
        <v>0.6</v>
      </c>
      <c r="AE65" s="342">
        <v>0.6</v>
      </c>
      <c r="AF65" s="342">
        <v>0.6</v>
      </c>
      <c r="AG65" s="342">
        <v>0.6</v>
      </c>
      <c r="AH65" s="342">
        <v>0.6</v>
      </c>
      <c r="AI65" s="342">
        <v>0.6</v>
      </c>
      <c r="AJ65" s="342">
        <v>0.6</v>
      </c>
      <c r="AK65" s="342">
        <v>0.6</v>
      </c>
      <c r="AL65" s="342">
        <v>0.6</v>
      </c>
      <c r="AM65" s="342">
        <v>0.6</v>
      </c>
      <c r="AN65" s="342">
        <v>0.6</v>
      </c>
      <c r="AO65" s="342">
        <v>0.6</v>
      </c>
      <c r="AP65" s="342">
        <v>0.6</v>
      </c>
      <c r="AQ65" s="342">
        <v>0.6</v>
      </c>
      <c r="AR65" s="342">
        <v>0.6</v>
      </c>
      <c r="AS65" s="342">
        <v>0.6</v>
      </c>
      <c r="AT65" s="342">
        <v>0.6</v>
      </c>
      <c r="AU65" s="342">
        <v>0.6</v>
      </c>
      <c r="AV65" s="342">
        <v>0.6</v>
      </c>
      <c r="AW65" s="342">
        <v>0.6</v>
      </c>
      <c r="AX65" s="342">
        <v>0.6</v>
      </c>
      <c r="AY65" s="342">
        <v>0.6</v>
      </c>
      <c r="AZ65" s="342">
        <v>0.6</v>
      </c>
      <c r="BA65" s="342">
        <v>0.6</v>
      </c>
      <c r="BB65" s="342">
        <v>0.6</v>
      </c>
      <c r="BC65" s="342">
        <v>0.6</v>
      </c>
      <c r="BD65" s="342">
        <v>0.6</v>
      </c>
      <c r="BE65" s="342">
        <v>0.6</v>
      </c>
      <c r="BF65" s="342">
        <v>0.6</v>
      </c>
      <c r="BG65" s="342">
        <v>0.6</v>
      </c>
      <c r="BH65" s="342">
        <v>0.6</v>
      </c>
      <c r="BI65" s="342">
        <v>0.6</v>
      </c>
      <c r="BJ65" s="342">
        <v>0.6</v>
      </c>
      <c r="BK65" s="342">
        <v>0.6</v>
      </c>
      <c r="BL65" s="342">
        <v>0.6</v>
      </c>
      <c r="BM65" s="342">
        <v>0.6</v>
      </c>
      <c r="BN65" s="342">
        <v>0.6</v>
      </c>
      <c r="BO65" s="342">
        <v>0.6</v>
      </c>
      <c r="BP65" s="342">
        <v>0.6</v>
      </c>
      <c r="BQ65" s="342">
        <v>0.6</v>
      </c>
      <c r="BR65" s="342">
        <v>0.6</v>
      </c>
      <c r="BS65" s="342">
        <v>0.6</v>
      </c>
      <c r="BT65" s="342">
        <v>0.6</v>
      </c>
      <c r="BU65" s="342">
        <v>0.6</v>
      </c>
      <c r="BV65" s="342">
        <v>0.6</v>
      </c>
      <c r="BW65" s="342">
        <v>0.6</v>
      </c>
      <c r="BX65" s="342">
        <v>0.6</v>
      </c>
      <c r="BY65" s="342">
        <v>0.6</v>
      </c>
      <c r="BZ65" s="342">
        <v>0.6</v>
      </c>
      <c r="CA65" s="342">
        <v>0.6</v>
      </c>
      <c r="CB65" s="342">
        <v>0.6</v>
      </c>
      <c r="CC65" s="342">
        <v>0.6</v>
      </c>
      <c r="CD65" s="342">
        <v>0.6</v>
      </c>
      <c r="CE65" s="342">
        <v>0.6</v>
      </c>
      <c r="CF65" s="342">
        <v>0.6</v>
      </c>
      <c r="CG65" s="342">
        <v>0.6</v>
      </c>
      <c r="CH65" s="342">
        <v>0.6</v>
      </c>
      <c r="CI65" s="1"/>
      <c r="CJ65" s="1"/>
      <c r="CK65" s="1"/>
      <c r="CL65" s="1"/>
      <c r="CM65" s="1"/>
      <c r="CN65" s="1"/>
      <c r="CO65" s="1"/>
      <c r="CP65" s="1"/>
    </row>
    <row r="66" ht="15.75" customHeight="1">
      <c r="A66" s="1" t="s">
        <v>89</v>
      </c>
      <c r="B66" s="317"/>
      <c r="C66" s="317">
        <f t="shared" ref="C66:Y66" si="68">IFERROR(C75/C42,0)</f>
        <v>0.5</v>
      </c>
      <c r="D66" s="317">
        <f t="shared" si="68"/>
        <v>0.5</v>
      </c>
      <c r="E66" s="317">
        <f t="shared" si="68"/>
        <v>0.5</v>
      </c>
      <c r="F66" s="317">
        <f t="shared" si="68"/>
        <v>0.5</v>
      </c>
      <c r="G66" s="317">
        <f t="shared" si="68"/>
        <v>0.5</v>
      </c>
      <c r="H66" s="317">
        <f t="shared" si="68"/>
        <v>0.5</v>
      </c>
      <c r="I66" s="317">
        <f t="shared" si="68"/>
        <v>0.5</v>
      </c>
      <c r="J66" s="317">
        <f t="shared" si="68"/>
        <v>0.5</v>
      </c>
      <c r="K66" s="317">
        <f t="shared" si="68"/>
        <v>0.5</v>
      </c>
      <c r="L66" s="317">
        <f t="shared" si="68"/>
        <v>0.5</v>
      </c>
      <c r="M66" s="317">
        <f t="shared" si="68"/>
        <v>0.5</v>
      </c>
      <c r="N66" s="317">
        <f t="shared" si="68"/>
        <v>0.5</v>
      </c>
      <c r="O66" s="317">
        <f t="shared" si="68"/>
        <v>0.5</v>
      </c>
      <c r="P66" s="317">
        <f t="shared" si="68"/>
        <v>0.5</v>
      </c>
      <c r="Q66" s="317">
        <f t="shared" si="68"/>
        <v>0.5</v>
      </c>
      <c r="R66" s="317">
        <f t="shared" si="68"/>
        <v>0.5</v>
      </c>
      <c r="S66" s="317">
        <f t="shared" si="68"/>
        <v>0.5</v>
      </c>
      <c r="T66" s="317">
        <f t="shared" si="68"/>
        <v>0.5</v>
      </c>
      <c r="U66" s="317">
        <f t="shared" si="68"/>
        <v>0.5</v>
      </c>
      <c r="V66" s="317">
        <f t="shared" si="68"/>
        <v>0.5</v>
      </c>
      <c r="W66" s="317">
        <f t="shared" si="68"/>
        <v>0.5</v>
      </c>
      <c r="X66" s="317">
        <f t="shared" si="68"/>
        <v>0.5</v>
      </c>
      <c r="Y66" s="317">
        <f t="shared" si="68"/>
        <v>0.5</v>
      </c>
      <c r="Z66" s="342">
        <v>0.6</v>
      </c>
      <c r="AA66" s="342">
        <v>0.6</v>
      </c>
      <c r="AB66" s="342">
        <v>0.6</v>
      </c>
      <c r="AC66" s="342">
        <v>0.6</v>
      </c>
      <c r="AD66" s="342">
        <v>0.6</v>
      </c>
      <c r="AE66" s="342">
        <v>0.6</v>
      </c>
      <c r="AF66" s="342">
        <v>0.6</v>
      </c>
      <c r="AG66" s="342">
        <v>0.6</v>
      </c>
      <c r="AH66" s="342">
        <v>0.6</v>
      </c>
      <c r="AI66" s="342">
        <v>0.6</v>
      </c>
      <c r="AJ66" s="342">
        <v>0.6</v>
      </c>
      <c r="AK66" s="342">
        <v>0.6</v>
      </c>
      <c r="AL66" s="342">
        <v>0.6</v>
      </c>
      <c r="AM66" s="342">
        <v>0.6</v>
      </c>
      <c r="AN66" s="342">
        <v>0.6</v>
      </c>
      <c r="AO66" s="342">
        <v>0.6</v>
      </c>
      <c r="AP66" s="342">
        <v>0.6</v>
      </c>
      <c r="AQ66" s="342">
        <v>0.6</v>
      </c>
      <c r="AR66" s="342">
        <v>0.6</v>
      </c>
      <c r="AS66" s="342">
        <v>0.6</v>
      </c>
      <c r="AT66" s="342">
        <v>0.6</v>
      </c>
      <c r="AU66" s="342">
        <v>0.6</v>
      </c>
      <c r="AV66" s="342">
        <v>0.6</v>
      </c>
      <c r="AW66" s="342">
        <v>0.6</v>
      </c>
      <c r="AX66" s="342">
        <v>0.6</v>
      </c>
      <c r="AY66" s="342">
        <v>0.6</v>
      </c>
      <c r="AZ66" s="342">
        <v>0.6</v>
      </c>
      <c r="BA66" s="342">
        <v>0.6</v>
      </c>
      <c r="BB66" s="342">
        <v>0.6</v>
      </c>
      <c r="BC66" s="342">
        <v>0.6</v>
      </c>
      <c r="BD66" s="342">
        <v>0.6</v>
      </c>
      <c r="BE66" s="342">
        <v>0.6</v>
      </c>
      <c r="BF66" s="342">
        <v>0.6</v>
      </c>
      <c r="BG66" s="342">
        <v>0.6</v>
      </c>
      <c r="BH66" s="342">
        <v>0.6</v>
      </c>
      <c r="BI66" s="342">
        <v>0.6</v>
      </c>
      <c r="BJ66" s="342">
        <v>0.6</v>
      </c>
      <c r="BK66" s="342">
        <v>0.6</v>
      </c>
      <c r="BL66" s="342">
        <v>0.6</v>
      </c>
      <c r="BM66" s="342">
        <v>0.6</v>
      </c>
      <c r="BN66" s="342">
        <v>0.6</v>
      </c>
      <c r="BO66" s="342">
        <v>0.6</v>
      </c>
      <c r="BP66" s="342">
        <v>0.6</v>
      </c>
      <c r="BQ66" s="342">
        <v>0.6</v>
      </c>
      <c r="BR66" s="342">
        <v>0.6</v>
      </c>
      <c r="BS66" s="342">
        <v>0.6</v>
      </c>
      <c r="BT66" s="342">
        <v>0.6</v>
      </c>
      <c r="BU66" s="342">
        <v>0.6</v>
      </c>
      <c r="BV66" s="342">
        <v>0.6</v>
      </c>
      <c r="BW66" s="342">
        <v>0.6</v>
      </c>
      <c r="BX66" s="342">
        <v>0.6</v>
      </c>
      <c r="BY66" s="342">
        <v>0.6</v>
      </c>
      <c r="BZ66" s="342">
        <v>0.6</v>
      </c>
      <c r="CA66" s="342">
        <v>0.6</v>
      </c>
      <c r="CB66" s="342">
        <v>0.6</v>
      </c>
      <c r="CC66" s="342">
        <v>0.6</v>
      </c>
      <c r="CD66" s="342">
        <v>0.6</v>
      </c>
      <c r="CE66" s="342">
        <v>0.6</v>
      </c>
      <c r="CF66" s="342">
        <v>0.6</v>
      </c>
      <c r="CG66" s="342">
        <v>0.6</v>
      </c>
      <c r="CH66" s="342">
        <v>0.6</v>
      </c>
      <c r="CI66" s="1"/>
      <c r="CJ66" s="1"/>
      <c r="CK66" s="1"/>
      <c r="CL66" s="1"/>
      <c r="CM66" s="1"/>
      <c r="CN66" s="1"/>
      <c r="CO66" s="1"/>
      <c r="CP66" s="1"/>
    </row>
    <row r="67" ht="15.75" customHeight="1">
      <c r="A67" s="1" t="s">
        <v>94</v>
      </c>
      <c r="B67" s="317"/>
      <c r="C67" s="317">
        <f t="shared" ref="C67:Y67" si="69">IFERROR(C76/C43,0)</f>
        <v>0.5</v>
      </c>
      <c r="D67" s="317">
        <f t="shared" si="69"/>
        <v>0.5</v>
      </c>
      <c r="E67" s="317">
        <f t="shared" si="69"/>
        <v>0.5</v>
      </c>
      <c r="F67" s="317">
        <f t="shared" si="69"/>
        <v>0.5</v>
      </c>
      <c r="G67" s="317">
        <f t="shared" si="69"/>
        <v>0.5</v>
      </c>
      <c r="H67" s="317">
        <f t="shared" si="69"/>
        <v>0.5</v>
      </c>
      <c r="I67" s="317">
        <f t="shared" si="69"/>
        <v>0.5</v>
      </c>
      <c r="J67" s="317">
        <f t="shared" si="69"/>
        <v>0.5</v>
      </c>
      <c r="K67" s="317">
        <f t="shared" si="69"/>
        <v>0.5</v>
      </c>
      <c r="L67" s="317">
        <f t="shared" si="69"/>
        <v>0.5</v>
      </c>
      <c r="M67" s="317">
        <f t="shared" si="69"/>
        <v>0.5</v>
      </c>
      <c r="N67" s="317">
        <f t="shared" si="69"/>
        <v>0.5</v>
      </c>
      <c r="O67" s="317">
        <f t="shared" si="69"/>
        <v>0.5</v>
      </c>
      <c r="P67" s="317">
        <f t="shared" si="69"/>
        <v>0.5</v>
      </c>
      <c r="Q67" s="317">
        <f t="shared" si="69"/>
        <v>0.5</v>
      </c>
      <c r="R67" s="317">
        <f t="shared" si="69"/>
        <v>0.5</v>
      </c>
      <c r="S67" s="317">
        <f t="shared" si="69"/>
        <v>0.5</v>
      </c>
      <c r="T67" s="317">
        <f t="shared" si="69"/>
        <v>0.5</v>
      </c>
      <c r="U67" s="317">
        <f t="shared" si="69"/>
        <v>0.5</v>
      </c>
      <c r="V67" s="317">
        <f t="shared" si="69"/>
        <v>0.5</v>
      </c>
      <c r="W67" s="317">
        <f t="shared" si="69"/>
        <v>0.5</v>
      </c>
      <c r="X67" s="317">
        <f t="shared" si="69"/>
        <v>0.5</v>
      </c>
      <c r="Y67" s="317">
        <f t="shared" si="69"/>
        <v>0.5</v>
      </c>
      <c r="Z67" s="342">
        <v>0.6</v>
      </c>
      <c r="AA67" s="342">
        <v>0.6</v>
      </c>
      <c r="AB67" s="342">
        <v>0.6</v>
      </c>
      <c r="AC67" s="342">
        <v>0.6</v>
      </c>
      <c r="AD67" s="342">
        <v>0.6</v>
      </c>
      <c r="AE67" s="342">
        <v>0.6</v>
      </c>
      <c r="AF67" s="342">
        <v>0.6</v>
      </c>
      <c r="AG67" s="342">
        <v>0.6</v>
      </c>
      <c r="AH67" s="342">
        <v>0.6</v>
      </c>
      <c r="AI67" s="342">
        <v>0.6</v>
      </c>
      <c r="AJ67" s="342">
        <v>0.6</v>
      </c>
      <c r="AK67" s="342">
        <v>0.6</v>
      </c>
      <c r="AL67" s="342">
        <v>0.6</v>
      </c>
      <c r="AM67" s="342">
        <v>0.6</v>
      </c>
      <c r="AN67" s="342">
        <v>0.6</v>
      </c>
      <c r="AO67" s="342">
        <v>0.6</v>
      </c>
      <c r="AP67" s="342">
        <v>0.6</v>
      </c>
      <c r="AQ67" s="342">
        <v>0.6</v>
      </c>
      <c r="AR67" s="342">
        <v>0.6</v>
      </c>
      <c r="AS67" s="342">
        <v>0.6</v>
      </c>
      <c r="AT67" s="342">
        <v>0.6</v>
      </c>
      <c r="AU67" s="342">
        <v>0.6</v>
      </c>
      <c r="AV67" s="342">
        <v>0.6</v>
      </c>
      <c r="AW67" s="342">
        <v>0.6</v>
      </c>
      <c r="AX67" s="342">
        <v>0.6</v>
      </c>
      <c r="AY67" s="342">
        <v>0.6</v>
      </c>
      <c r="AZ67" s="342">
        <v>0.6</v>
      </c>
      <c r="BA67" s="342">
        <v>0.6</v>
      </c>
      <c r="BB67" s="342">
        <v>0.6</v>
      </c>
      <c r="BC67" s="342">
        <v>0.6</v>
      </c>
      <c r="BD67" s="342">
        <v>0.6</v>
      </c>
      <c r="BE67" s="342">
        <v>0.6</v>
      </c>
      <c r="BF67" s="342">
        <v>0.6</v>
      </c>
      <c r="BG67" s="342">
        <v>0.6</v>
      </c>
      <c r="BH67" s="342">
        <v>0.6</v>
      </c>
      <c r="BI67" s="342">
        <v>0.6</v>
      </c>
      <c r="BJ67" s="342">
        <v>0.6</v>
      </c>
      <c r="BK67" s="342">
        <v>0.6</v>
      </c>
      <c r="BL67" s="342">
        <v>0.6</v>
      </c>
      <c r="BM67" s="342">
        <v>0.6</v>
      </c>
      <c r="BN67" s="342">
        <v>0.6</v>
      </c>
      <c r="BO67" s="342">
        <v>0.6</v>
      </c>
      <c r="BP67" s="342">
        <v>0.6</v>
      </c>
      <c r="BQ67" s="342">
        <v>0.6</v>
      </c>
      <c r="BR67" s="342">
        <v>0.6</v>
      </c>
      <c r="BS67" s="342">
        <v>0.6</v>
      </c>
      <c r="BT67" s="342">
        <v>0.6</v>
      </c>
      <c r="BU67" s="342">
        <v>0.6</v>
      </c>
      <c r="BV67" s="342">
        <v>0.6</v>
      </c>
      <c r="BW67" s="342">
        <v>0.6</v>
      </c>
      <c r="BX67" s="342">
        <v>0.6</v>
      </c>
      <c r="BY67" s="342">
        <v>0.6</v>
      </c>
      <c r="BZ67" s="342">
        <v>0.6</v>
      </c>
      <c r="CA67" s="342">
        <v>0.6</v>
      </c>
      <c r="CB67" s="342">
        <v>0.6</v>
      </c>
      <c r="CC67" s="342">
        <v>0.6</v>
      </c>
      <c r="CD67" s="342">
        <v>0.6</v>
      </c>
      <c r="CE67" s="342">
        <v>0.6</v>
      </c>
      <c r="CF67" s="342">
        <v>0.6</v>
      </c>
      <c r="CG67" s="342">
        <v>0.6</v>
      </c>
      <c r="CH67" s="342">
        <v>0.6</v>
      </c>
      <c r="CI67" s="1"/>
      <c r="CJ67" s="1"/>
      <c r="CK67" s="1"/>
      <c r="CL67" s="1"/>
      <c r="CM67" s="1"/>
      <c r="CN67" s="1"/>
      <c r="CO67" s="1"/>
      <c r="CP67" s="1"/>
    </row>
    <row r="68" ht="15.75" customHeight="1">
      <c r="A68" s="1" t="s">
        <v>96</v>
      </c>
      <c r="B68" s="317"/>
      <c r="C68" s="317">
        <f t="shared" ref="C68:Y68" si="70">IFERROR(C77/C44,0)</f>
        <v>0.5</v>
      </c>
      <c r="D68" s="317">
        <f t="shared" si="70"/>
        <v>0.5</v>
      </c>
      <c r="E68" s="317">
        <f t="shared" si="70"/>
        <v>0.5</v>
      </c>
      <c r="F68" s="317">
        <f t="shared" si="70"/>
        <v>0.5</v>
      </c>
      <c r="G68" s="317">
        <f t="shared" si="70"/>
        <v>0.5</v>
      </c>
      <c r="H68" s="317">
        <f t="shared" si="70"/>
        <v>0.5</v>
      </c>
      <c r="I68" s="317">
        <f t="shared" si="70"/>
        <v>0.5</v>
      </c>
      <c r="J68" s="317">
        <f t="shared" si="70"/>
        <v>0.5</v>
      </c>
      <c r="K68" s="317">
        <f t="shared" si="70"/>
        <v>0.5</v>
      </c>
      <c r="L68" s="317">
        <f t="shared" si="70"/>
        <v>0.5</v>
      </c>
      <c r="M68" s="317">
        <f t="shared" si="70"/>
        <v>0.5</v>
      </c>
      <c r="N68" s="317">
        <f t="shared" si="70"/>
        <v>0.5</v>
      </c>
      <c r="O68" s="317">
        <f t="shared" si="70"/>
        <v>0.5</v>
      </c>
      <c r="P68" s="317">
        <f t="shared" si="70"/>
        <v>0.5</v>
      </c>
      <c r="Q68" s="317">
        <f t="shared" si="70"/>
        <v>0.5</v>
      </c>
      <c r="R68" s="317">
        <f t="shared" si="70"/>
        <v>0.5</v>
      </c>
      <c r="S68" s="317">
        <f t="shared" si="70"/>
        <v>0.5</v>
      </c>
      <c r="T68" s="317">
        <f t="shared" si="70"/>
        <v>0.5</v>
      </c>
      <c r="U68" s="317">
        <f t="shared" si="70"/>
        <v>0.5</v>
      </c>
      <c r="V68" s="317">
        <f t="shared" si="70"/>
        <v>0.5</v>
      </c>
      <c r="W68" s="317">
        <f t="shared" si="70"/>
        <v>0.5</v>
      </c>
      <c r="X68" s="317">
        <f t="shared" si="70"/>
        <v>0.5</v>
      </c>
      <c r="Y68" s="317">
        <f t="shared" si="70"/>
        <v>0.5</v>
      </c>
      <c r="Z68" s="342">
        <v>0.6</v>
      </c>
      <c r="AA68" s="342">
        <v>0.6</v>
      </c>
      <c r="AB68" s="342">
        <v>0.6</v>
      </c>
      <c r="AC68" s="342">
        <v>0.6</v>
      </c>
      <c r="AD68" s="342">
        <v>0.6</v>
      </c>
      <c r="AE68" s="342">
        <v>0.6</v>
      </c>
      <c r="AF68" s="342">
        <v>0.6</v>
      </c>
      <c r="AG68" s="342">
        <v>0.6</v>
      </c>
      <c r="AH68" s="342">
        <v>0.6</v>
      </c>
      <c r="AI68" s="342">
        <v>0.6</v>
      </c>
      <c r="AJ68" s="342">
        <v>0.6</v>
      </c>
      <c r="AK68" s="342">
        <v>0.6</v>
      </c>
      <c r="AL68" s="342">
        <v>0.6</v>
      </c>
      <c r="AM68" s="342">
        <v>0.6</v>
      </c>
      <c r="AN68" s="342">
        <v>0.6</v>
      </c>
      <c r="AO68" s="342">
        <v>0.6</v>
      </c>
      <c r="AP68" s="342">
        <v>0.6</v>
      </c>
      <c r="AQ68" s="342">
        <v>0.6</v>
      </c>
      <c r="AR68" s="342">
        <v>0.6</v>
      </c>
      <c r="AS68" s="342">
        <v>0.6</v>
      </c>
      <c r="AT68" s="342">
        <v>0.6</v>
      </c>
      <c r="AU68" s="342">
        <v>0.6</v>
      </c>
      <c r="AV68" s="342">
        <v>0.6</v>
      </c>
      <c r="AW68" s="342">
        <v>0.6</v>
      </c>
      <c r="AX68" s="342">
        <v>0.6</v>
      </c>
      <c r="AY68" s="342">
        <v>0.6</v>
      </c>
      <c r="AZ68" s="342">
        <v>0.6</v>
      </c>
      <c r="BA68" s="342">
        <v>0.6</v>
      </c>
      <c r="BB68" s="342">
        <v>0.6</v>
      </c>
      <c r="BC68" s="342">
        <v>0.6</v>
      </c>
      <c r="BD68" s="342">
        <v>0.6</v>
      </c>
      <c r="BE68" s="342">
        <v>0.6</v>
      </c>
      <c r="BF68" s="342">
        <v>0.6</v>
      </c>
      <c r="BG68" s="342">
        <v>0.6</v>
      </c>
      <c r="BH68" s="342">
        <v>0.6</v>
      </c>
      <c r="BI68" s="342">
        <v>0.6</v>
      </c>
      <c r="BJ68" s="342">
        <v>0.6</v>
      </c>
      <c r="BK68" s="342">
        <v>0.6</v>
      </c>
      <c r="BL68" s="342">
        <v>0.6</v>
      </c>
      <c r="BM68" s="342">
        <v>0.6</v>
      </c>
      <c r="BN68" s="342">
        <v>0.6</v>
      </c>
      <c r="BO68" s="342">
        <v>0.6</v>
      </c>
      <c r="BP68" s="342">
        <v>0.6</v>
      </c>
      <c r="BQ68" s="342">
        <v>0.6</v>
      </c>
      <c r="BR68" s="342">
        <v>0.6</v>
      </c>
      <c r="BS68" s="342">
        <v>0.6</v>
      </c>
      <c r="BT68" s="342">
        <v>0.6</v>
      </c>
      <c r="BU68" s="342">
        <v>0.6</v>
      </c>
      <c r="BV68" s="342">
        <v>0.6</v>
      </c>
      <c r="BW68" s="342">
        <v>0.6</v>
      </c>
      <c r="BX68" s="342">
        <v>0.6</v>
      </c>
      <c r="BY68" s="342">
        <v>0.6</v>
      </c>
      <c r="BZ68" s="342">
        <v>0.6</v>
      </c>
      <c r="CA68" s="342">
        <v>0.6</v>
      </c>
      <c r="CB68" s="342">
        <v>0.6</v>
      </c>
      <c r="CC68" s="342">
        <v>0.6</v>
      </c>
      <c r="CD68" s="342">
        <v>0.6</v>
      </c>
      <c r="CE68" s="342">
        <v>0.6</v>
      </c>
      <c r="CF68" s="342">
        <v>0.6</v>
      </c>
      <c r="CG68" s="342">
        <v>0.6</v>
      </c>
      <c r="CH68" s="342">
        <v>0.6</v>
      </c>
      <c r="CI68" s="1"/>
      <c r="CJ68" s="1"/>
      <c r="CK68" s="1"/>
      <c r="CL68" s="1"/>
      <c r="CM68" s="1"/>
      <c r="CN68" s="1"/>
      <c r="CO68" s="1"/>
      <c r="CP68" s="1"/>
    </row>
    <row r="69" ht="15.75" customHeight="1">
      <c r="A69" s="119" t="s">
        <v>600</v>
      </c>
      <c r="B69" s="319"/>
      <c r="C69" s="319">
        <f t="shared" ref="C69:CH69" si="71">SUMPRODUCT(C63:C68,C39:C44)/SUM(C39:C44)</f>
        <v>0.5</v>
      </c>
      <c r="D69" s="319">
        <f t="shared" si="71"/>
        <v>0.5</v>
      </c>
      <c r="E69" s="319">
        <f t="shared" si="71"/>
        <v>0.5</v>
      </c>
      <c r="F69" s="319">
        <f t="shared" si="71"/>
        <v>0.5</v>
      </c>
      <c r="G69" s="319">
        <f t="shared" si="71"/>
        <v>0.5</v>
      </c>
      <c r="H69" s="319">
        <f t="shared" si="71"/>
        <v>0.5</v>
      </c>
      <c r="I69" s="319">
        <f t="shared" si="71"/>
        <v>0.5</v>
      </c>
      <c r="J69" s="319">
        <f t="shared" si="71"/>
        <v>0.5</v>
      </c>
      <c r="K69" s="319">
        <f t="shared" si="71"/>
        <v>0.5</v>
      </c>
      <c r="L69" s="319">
        <f t="shared" si="71"/>
        <v>0.5</v>
      </c>
      <c r="M69" s="319">
        <f t="shared" si="71"/>
        <v>0.5</v>
      </c>
      <c r="N69" s="319">
        <f t="shared" si="71"/>
        <v>0.5</v>
      </c>
      <c r="O69" s="319">
        <f t="shared" si="71"/>
        <v>0.5</v>
      </c>
      <c r="P69" s="319">
        <f t="shared" si="71"/>
        <v>0.5</v>
      </c>
      <c r="Q69" s="319">
        <f t="shared" si="71"/>
        <v>0.5</v>
      </c>
      <c r="R69" s="319">
        <f t="shared" si="71"/>
        <v>0.5</v>
      </c>
      <c r="S69" s="319">
        <f t="shared" si="71"/>
        <v>0.5</v>
      </c>
      <c r="T69" s="319">
        <f t="shared" si="71"/>
        <v>0.5</v>
      </c>
      <c r="U69" s="319">
        <f t="shared" si="71"/>
        <v>0.5</v>
      </c>
      <c r="V69" s="319">
        <f t="shared" si="71"/>
        <v>0.5</v>
      </c>
      <c r="W69" s="319">
        <f t="shared" si="71"/>
        <v>0.5</v>
      </c>
      <c r="X69" s="319">
        <f t="shared" si="71"/>
        <v>0.5</v>
      </c>
      <c r="Y69" s="319">
        <f t="shared" si="71"/>
        <v>0.5</v>
      </c>
      <c r="Z69" s="319">
        <f t="shared" si="71"/>
        <v>0.6</v>
      </c>
      <c r="AA69" s="319">
        <f t="shared" si="71"/>
        <v>0.6</v>
      </c>
      <c r="AB69" s="319">
        <f t="shared" si="71"/>
        <v>0.6</v>
      </c>
      <c r="AC69" s="319">
        <f t="shared" si="71"/>
        <v>0.6</v>
      </c>
      <c r="AD69" s="319">
        <f t="shared" si="71"/>
        <v>0.6</v>
      </c>
      <c r="AE69" s="319">
        <f t="shared" si="71"/>
        <v>0.6</v>
      </c>
      <c r="AF69" s="319">
        <f t="shared" si="71"/>
        <v>0.6</v>
      </c>
      <c r="AG69" s="319">
        <f t="shared" si="71"/>
        <v>0.6</v>
      </c>
      <c r="AH69" s="319">
        <f t="shared" si="71"/>
        <v>0.6</v>
      </c>
      <c r="AI69" s="319">
        <f t="shared" si="71"/>
        <v>0.6</v>
      </c>
      <c r="AJ69" s="319">
        <f t="shared" si="71"/>
        <v>0.6</v>
      </c>
      <c r="AK69" s="319">
        <f t="shared" si="71"/>
        <v>0.6</v>
      </c>
      <c r="AL69" s="319">
        <f t="shared" si="71"/>
        <v>0.6</v>
      </c>
      <c r="AM69" s="319">
        <f t="shared" si="71"/>
        <v>0.6</v>
      </c>
      <c r="AN69" s="319">
        <f t="shared" si="71"/>
        <v>0.6</v>
      </c>
      <c r="AO69" s="319">
        <f t="shared" si="71"/>
        <v>0.6</v>
      </c>
      <c r="AP69" s="319">
        <f t="shared" si="71"/>
        <v>0.6</v>
      </c>
      <c r="AQ69" s="319">
        <f t="shared" si="71"/>
        <v>0.6</v>
      </c>
      <c r="AR69" s="319">
        <f t="shared" si="71"/>
        <v>0.6</v>
      </c>
      <c r="AS69" s="319">
        <f t="shared" si="71"/>
        <v>0.6</v>
      </c>
      <c r="AT69" s="319">
        <f t="shared" si="71"/>
        <v>0.6</v>
      </c>
      <c r="AU69" s="319">
        <f t="shared" si="71"/>
        <v>0.6</v>
      </c>
      <c r="AV69" s="319">
        <f t="shared" si="71"/>
        <v>0.6</v>
      </c>
      <c r="AW69" s="319">
        <f t="shared" si="71"/>
        <v>0.6</v>
      </c>
      <c r="AX69" s="319">
        <f t="shared" si="71"/>
        <v>0.6</v>
      </c>
      <c r="AY69" s="319">
        <f t="shared" si="71"/>
        <v>0.6</v>
      </c>
      <c r="AZ69" s="319">
        <f t="shared" si="71"/>
        <v>0.6</v>
      </c>
      <c r="BA69" s="319">
        <f t="shared" si="71"/>
        <v>0.6</v>
      </c>
      <c r="BB69" s="319">
        <f t="shared" si="71"/>
        <v>0.6</v>
      </c>
      <c r="BC69" s="319">
        <f t="shared" si="71"/>
        <v>0.6</v>
      </c>
      <c r="BD69" s="319">
        <f t="shared" si="71"/>
        <v>0.6</v>
      </c>
      <c r="BE69" s="319">
        <f t="shared" si="71"/>
        <v>0.6</v>
      </c>
      <c r="BF69" s="319">
        <f t="shared" si="71"/>
        <v>0.6</v>
      </c>
      <c r="BG69" s="319">
        <f t="shared" si="71"/>
        <v>0.6</v>
      </c>
      <c r="BH69" s="319">
        <f t="shared" si="71"/>
        <v>0.6</v>
      </c>
      <c r="BI69" s="319">
        <f t="shared" si="71"/>
        <v>0.6</v>
      </c>
      <c r="BJ69" s="319">
        <f t="shared" si="71"/>
        <v>0.6</v>
      </c>
      <c r="BK69" s="319">
        <f t="shared" si="71"/>
        <v>0.6</v>
      </c>
      <c r="BL69" s="319">
        <f t="shared" si="71"/>
        <v>0.6</v>
      </c>
      <c r="BM69" s="319">
        <f t="shared" si="71"/>
        <v>0.6</v>
      </c>
      <c r="BN69" s="319">
        <f t="shared" si="71"/>
        <v>0.6</v>
      </c>
      <c r="BO69" s="319">
        <f t="shared" si="71"/>
        <v>0.6</v>
      </c>
      <c r="BP69" s="319">
        <f t="shared" si="71"/>
        <v>0.6</v>
      </c>
      <c r="BQ69" s="319">
        <f t="shared" si="71"/>
        <v>0.6</v>
      </c>
      <c r="BR69" s="319">
        <f t="shared" si="71"/>
        <v>0.6</v>
      </c>
      <c r="BS69" s="319">
        <f t="shared" si="71"/>
        <v>0.6</v>
      </c>
      <c r="BT69" s="319">
        <f t="shared" si="71"/>
        <v>0.6</v>
      </c>
      <c r="BU69" s="319">
        <f t="shared" si="71"/>
        <v>0.6</v>
      </c>
      <c r="BV69" s="319">
        <f t="shared" si="71"/>
        <v>0.6</v>
      </c>
      <c r="BW69" s="319">
        <f t="shared" si="71"/>
        <v>0.6</v>
      </c>
      <c r="BX69" s="319">
        <f t="shared" si="71"/>
        <v>0.6</v>
      </c>
      <c r="BY69" s="319">
        <f t="shared" si="71"/>
        <v>0.6</v>
      </c>
      <c r="BZ69" s="319">
        <f t="shared" si="71"/>
        <v>0.6</v>
      </c>
      <c r="CA69" s="319">
        <f t="shared" si="71"/>
        <v>0.6</v>
      </c>
      <c r="CB69" s="319">
        <f t="shared" si="71"/>
        <v>0.6</v>
      </c>
      <c r="CC69" s="319">
        <f t="shared" si="71"/>
        <v>0.6</v>
      </c>
      <c r="CD69" s="319">
        <f t="shared" si="71"/>
        <v>0.6</v>
      </c>
      <c r="CE69" s="319">
        <f t="shared" si="71"/>
        <v>0.6</v>
      </c>
      <c r="CF69" s="319">
        <f t="shared" si="71"/>
        <v>0.6</v>
      </c>
      <c r="CG69" s="319">
        <f t="shared" si="71"/>
        <v>0.6</v>
      </c>
      <c r="CH69" s="319">
        <f t="shared" si="71"/>
        <v>0.6</v>
      </c>
      <c r="CI69" s="10"/>
      <c r="CJ69" s="10"/>
      <c r="CK69" s="10"/>
      <c r="CL69" s="10"/>
      <c r="CM69" s="10"/>
      <c r="CN69" s="10"/>
      <c r="CO69" s="10"/>
      <c r="CP69" s="10"/>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row>
    <row r="72" ht="15.75" customHeight="1">
      <c r="A72" s="343" t="s">
        <v>129</v>
      </c>
      <c r="B72" s="344"/>
      <c r="C72" s="344">
        <v>15.0</v>
      </c>
      <c r="D72" s="344">
        <v>15.0</v>
      </c>
      <c r="E72" s="344">
        <v>15.0</v>
      </c>
      <c r="F72" s="344">
        <v>15.0</v>
      </c>
      <c r="G72" s="344">
        <v>15.0</v>
      </c>
      <c r="H72" s="344">
        <v>15.0</v>
      </c>
      <c r="I72" s="344">
        <v>15.0</v>
      </c>
      <c r="J72" s="344">
        <v>15.0</v>
      </c>
      <c r="K72" s="344">
        <v>15.0</v>
      </c>
      <c r="L72" s="344">
        <v>15.0</v>
      </c>
      <c r="M72" s="344">
        <v>15.0</v>
      </c>
      <c r="N72" s="344">
        <v>15.0</v>
      </c>
      <c r="O72" s="344">
        <v>15.0</v>
      </c>
      <c r="P72" s="344">
        <v>15.0</v>
      </c>
      <c r="Q72" s="344">
        <v>15.0</v>
      </c>
      <c r="R72" s="344">
        <v>15.0</v>
      </c>
      <c r="S72" s="344">
        <v>15.0</v>
      </c>
      <c r="T72" s="344">
        <v>15.0</v>
      </c>
      <c r="U72" s="344">
        <v>15.0</v>
      </c>
      <c r="V72" s="344">
        <v>15.0</v>
      </c>
      <c r="W72" s="344">
        <v>15.0</v>
      </c>
      <c r="X72" s="344">
        <v>15.0</v>
      </c>
      <c r="Y72" s="344">
        <v>15.0</v>
      </c>
      <c r="Z72" s="345">
        <f t="shared" ref="Z72:CH72" si="72">Y39*Z63</f>
        <v>18</v>
      </c>
      <c r="AA72" s="345">
        <f t="shared" si="72"/>
        <v>19.8</v>
      </c>
      <c r="AB72" s="345">
        <f t="shared" si="72"/>
        <v>19.8</v>
      </c>
      <c r="AC72" s="345">
        <f t="shared" si="72"/>
        <v>19.8</v>
      </c>
      <c r="AD72" s="345">
        <f t="shared" si="72"/>
        <v>19.8</v>
      </c>
      <c r="AE72" s="345">
        <f t="shared" si="72"/>
        <v>19.8</v>
      </c>
      <c r="AF72" s="345">
        <f t="shared" si="72"/>
        <v>19.8</v>
      </c>
      <c r="AG72" s="345">
        <f t="shared" si="72"/>
        <v>19.8</v>
      </c>
      <c r="AH72" s="345">
        <f t="shared" si="72"/>
        <v>19.8</v>
      </c>
      <c r="AI72" s="345">
        <f t="shared" si="72"/>
        <v>19.008</v>
      </c>
      <c r="AJ72" s="345">
        <f t="shared" si="72"/>
        <v>19.008</v>
      </c>
      <c r="AK72" s="345">
        <f t="shared" si="72"/>
        <v>19.008</v>
      </c>
      <c r="AL72" s="345">
        <f t="shared" si="72"/>
        <v>19.10304</v>
      </c>
      <c r="AM72" s="345">
        <f t="shared" si="72"/>
        <v>13.372128</v>
      </c>
      <c r="AN72" s="345">
        <f t="shared" si="72"/>
        <v>12.7035216</v>
      </c>
      <c r="AO72" s="345">
        <f t="shared" si="72"/>
        <v>12.76703921</v>
      </c>
      <c r="AP72" s="345">
        <f t="shared" si="72"/>
        <v>12.8308744</v>
      </c>
      <c r="AQ72" s="345">
        <f t="shared" si="72"/>
        <v>12.89502878</v>
      </c>
      <c r="AR72" s="345">
        <f t="shared" si="72"/>
        <v>12.95950392</v>
      </c>
      <c r="AS72" s="345">
        <f t="shared" si="72"/>
        <v>13.02430144</v>
      </c>
      <c r="AT72" s="345">
        <f t="shared" si="72"/>
        <v>13.08942295</v>
      </c>
      <c r="AU72" s="345">
        <f t="shared" si="72"/>
        <v>13.15487006</v>
      </c>
      <c r="AV72" s="345">
        <f t="shared" si="72"/>
        <v>13.22064441</v>
      </c>
      <c r="AW72" s="345">
        <f t="shared" si="72"/>
        <v>13.28674763</v>
      </c>
      <c r="AX72" s="345">
        <f t="shared" si="72"/>
        <v>13.35318137</v>
      </c>
      <c r="AY72" s="345">
        <f t="shared" si="72"/>
        <v>13.48671319</v>
      </c>
      <c r="AZ72" s="345">
        <f t="shared" si="72"/>
        <v>13.55414675</v>
      </c>
      <c r="BA72" s="345">
        <f t="shared" si="72"/>
        <v>13.62191749</v>
      </c>
      <c r="BB72" s="345">
        <f t="shared" si="72"/>
        <v>13.69002707</v>
      </c>
      <c r="BC72" s="345">
        <f t="shared" si="72"/>
        <v>13.75847721</v>
      </c>
      <c r="BD72" s="345">
        <f t="shared" si="72"/>
        <v>13.82726959</v>
      </c>
      <c r="BE72" s="345">
        <f t="shared" si="72"/>
        <v>13.89640594</v>
      </c>
      <c r="BF72" s="345">
        <f t="shared" si="72"/>
        <v>13.96588797</v>
      </c>
      <c r="BG72" s="345">
        <f t="shared" si="72"/>
        <v>14.03571741</v>
      </c>
      <c r="BH72" s="345">
        <f t="shared" si="72"/>
        <v>14.105896</v>
      </c>
      <c r="BI72" s="345">
        <f t="shared" si="72"/>
        <v>14.17642548</v>
      </c>
      <c r="BJ72" s="345">
        <f t="shared" si="72"/>
        <v>14.24730761</v>
      </c>
      <c r="BK72" s="345">
        <f t="shared" si="72"/>
        <v>13.53494223</v>
      </c>
      <c r="BL72" s="345">
        <f t="shared" si="72"/>
        <v>13.60261694</v>
      </c>
      <c r="BM72" s="345">
        <f t="shared" si="72"/>
        <v>13.67063002</v>
      </c>
      <c r="BN72" s="345">
        <f t="shared" si="72"/>
        <v>13.73898317</v>
      </c>
      <c r="BO72" s="345">
        <f t="shared" si="72"/>
        <v>13.80767809</v>
      </c>
      <c r="BP72" s="345">
        <f t="shared" si="72"/>
        <v>13.87671648</v>
      </c>
      <c r="BQ72" s="345">
        <f t="shared" si="72"/>
        <v>13.94610006</v>
      </c>
      <c r="BR72" s="345">
        <f t="shared" si="72"/>
        <v>14.01583056</v>
      </c>
      <c r="BS72" s="345">
        <f t="shared" si="72"/>
        <v>14.08590971</v>
      </c>
      <c r="BT72" s="345">
        <f t="shared" si="72"/>
        <v>14.15633926</v>
      </c>
      <c r="BU72" s="345">
        <f t="shared" si="72"/>
        <v>14.22712096</v>
      </c>
      <c r="BV72" s="345">
        <f t="shared" si="72"/>
        <v>14.29825656</v>
      </c>
      <c r="BW72" s="345">
        <f t="shared" si="72"/>
        <v>12.86843091</v>
      </c>
      <c r="BX72" s="345">
        <f t="shared" si="72"/>
        <v>12.93277306</v>
      </c>
      <c r="BY72" s="345">
        <f t="shared" si="72"/>
        <v>12.99743693</v>
      </c>
      <c r="BZ72" s="345">
        <f t="shared" si="72"/>
        <v>13.06242411</v>
      </c>
      <c r="CA72" s="345">
        <f t="shared" si="72"/>
        <v>13.12773623</v>
      </c>
      <c r="CB72" s="345">
        <f t="shared" si="72"/>
        <v>13.19337491</v>
      </c>
      <c r="CC72" s="345">
        <f t="shared" si="72"/>
        <v>13.25934179</v>
      </c>
      <c r="CD72" s="345">
        <f t="shared" si="72"/>
        <v>13.3256385</v>
      </c>
      <c r="CE72" s="345">
        <f t="shared" si="72"/>
        <v>13.39226669</v>
      </c>
      <c r="CF72" s="345">
        <f t="shared" si="72"/>
        <v>13.45922802</v>
      </c>
      <c r="CG72" s="345">
        <f t="shared" si="72"/>
        <v>13.52652416</v>
      </c>
      <c r="CH72" s="345">
        <f t="shared" si="72"/>
        <v>13.59415678</v>
      </c>
      <c r="CI72" s="343"/>
      <c r="CJ72" s="343"/>
      <c r="CK72" s="343"/>
      <c r="CL72" s="343"/>
      <c r="CM72" s="343"/>
      <c r="CN72" s="343"/>
      <c r="CO72" s="343"/>
      <c r="CP72" s="343"/>
    </row>
    <row r="73" ht="15.75" customHeight="1">
      <c r="A73" s="343" t="s">
        <v>85</v>
      </c>
      <c r="B73" s="344"/>
      <c r="C73" s="344">
        <v>15.0</v>
      </c>
      <c r="D73" s="344">
        <v>15.0</v>
      </c>
      <c r="E73" s="344">
        <v>15.0</v>
      </c>
      <c r="F73" s="344">
        <v>15.0</v>
      </c>
      <c r="G73" s="344">
        <v>15.0</v>
      </c>
      <c r="H73" s="344">
        <v>15.0</v>
      </c>
      <c r="I73" s="344">
        <v>15.0</v>
      </c>
      <c r="J73" s="344">
        <v>15.0</v>
      </c>
      <c r="K73" s="344">
        <v>15.0</v>
      </c>
      <c r="L73" s="344">
        <v>15.0</v>
      </c>
      <c r="M73" s="344">
        <v>15.0</v>
      </c>
      <c r="N73" s="344">
        <v>15.0</v>
      </c>
      <c r="O73" s="344">
        <v>15.0</v>
      </c>
      <c r="P73" s="344">
        <v>15.0</v>
      </c>
      <c r="Q73" s="344">
        <v>15.0</v>
      </c>
      <c r="R73" s="344">
        <v>15.0</v>
      </c>
      <c r="S73" s="344">
        <v>15.0</v>
      </c>
      <c r="T73" s="344">
        <v>15.0</v>
      </c>
      <c r="U73" s="344">
        <v>15.0</v>
      </c>
      <c r="V73" s="344">
        <v>15.0</v>
      </c>
      <c r="W73" s="344">
        <v>15.0</v>
      </c>
      <c r="X73" s="344">
        <v>15.0</v>
      </c>
      <c r="Y73" s="344">
        <v>15.0</v>
      </c>
      <c r="Z73" s="345">
        <f t="shared" ref="Z73:CH73" si="73">Y40*Z64</f>
        <v>18</v>
      </c>
      <c r="AA73" s="345">
        <f t="shared" si="73"/>
        <v>19.8</v>
      </c>
      <c r="AB73" s="345">
        <f t="shared" si="73"/>
        <v>19.8</v>
      </c>
      <c r="AC73" s="345">
        <f t="shared" si="73"/>
        <v>19.8</v>
      </c>
      <c r="AD73" s="345">
        <f t="shared" si="73"/>
        <v>19.8</v>
      </c>
      <c r="AE73" s="345">
        <f t="shared" si="73"/>
        <v>19.8</v>
      </c>
      <c r="AF73" s="345">
        <f t="shared" si="73"/>
        <v>19.8</v>
      </c>
      <c r="AG73" s="345">
        <f t="shared" si="73"/>
        <v>19.8</v>
      </c>
      <c r="AH73" s="345">
        <f t="shared" si="73"/>
        <v>19.8</v>
      </c>
      <c r="AI73" s="345">
        <f t="shared" si="73"/>
        <v>18.81</v>
      </c>
      <c r="AJ73" s="345">
        <f t="shared" si="73"/>
        <v>18.81</v>
      </c>
      <c r="AK73" s="345">
        <f t="shared" si="73"/>
        <v>18.81</v>
      </c>
      <c r="AL73" s="345">
        <f t="shared" si="73"/>
        <v>18.90405</v>
      </c>
      <c r="AM73" s="345">
        <f t="shared" si="73"/>
        <v>13.232835</v>
      </c>
      <c r="AN73" s="345">
        <f t="shared" si="73"/>
        <v>12.57119325</v>
      </c>
      <c r="AO73" s="345">
        <f t="shared" si="73"/>
        <v>12.63404922</v>
      </c>
      <c r="AP73" s="345">
        <f t="shared" si="73"/>
        <v>12.69721946</v>
      </c>
      <c r="AQ73" s="345">
        <f t="shared" si="73"/>
        <v>12.76070556</v>
      </c>
      <c r="AR73" s="345">
        <f t="shared" si="73"/>
        <v>12.82450909</v>
      </c>
      <c r="AS73" s="345">
        <f t="shared" si="73"/>
        <v>12.88863163</v>
      </c>
      <c r="AT73" s="345">
        <f t="shared" si="73"/>
        <v>12.95307479</v>
      </c>
      <c r="AU73" s="345">
        <f t="shared" si="73"/>
        <v>13.01784016</v>
      </c>
      <c r="AV73" s="345">
        <f t="shared" si="73"/>
        <v>13.08292937</v>
      </c>
      <c r="AW73" s="345">
        <f t="shared" si="73"/>
        <v>13.14834401</v>
      </c>
      <c r="AX73" s="345">
        <f t="shared" si="73"/>
        <v>13.21408573</v>
      </c>
      <c r="AY73" s="345">
        <f t="shared" si="73"/>
        <v>13.34622659</v>
      </c>
      <c r="AZ73" s="345">
        <f t="shared" si="73"/>
        <v>13.41295772</v>
      </c>
      <c r="BA73" s="345">
        <f t="shared" si="73"/>
        <v>13.48002251</v>
      </c>
      <c r="BB73" s="345">
        <f t="shared" si="73"/>
        <v>13.54742262</v>
      </c>
      <c r="BC73" s="345">
        <f t="shared" si="73"/>
        <v>13.61515974</v>
      </c>
      <c r="BD73" s="345">
        <f t="shared" si="73"/>
        <v>13.68323554</v>
      </c>
      <c r="BE73" s="345">
        <f t="shared" si="73"/>
        <v>13.75165171</v>
      </c>
      <c r="BF73" s="345">
        <f t="shared" si="73"/>
        <v>13.82040997</v>
      </c>
      <c r="BG73" s="345">
        <f t="shared" si="73"/>
        <v>13.88951202</v>
      </c>
      <c r="BH73" s="345">
        <f t="shared" si="73"/>
        <v>13.95895958</v>
      </c>
      <c r="BI73" s="345">
        <f t="shared" si="73"/>
        <v>14.02875438</v>
      </c>
      <c r="BJ73" s="345">
        <f t="shared" si="73"/>
        <v>14.09889815</v>
      </c>
      <c r="BK73" s="345">
        <f t="shared" si="73"/>
        <v>13.39395324</v>
      </c>
      <c r="BL73" s="345">
        <f t="shared" si="73"/>
        <v>13.46092301</v>
      </c>
      <c r="BM73" s="345">
        <f t="shared" si="73"/>
        <v>13.52822763</v>
      </c>
      <c r="BN73" s="345">
        <f t="shared" si="73"/>
        <v>13.59586876</v>
      </c>
      <c r="BO73" s="345">
        <f t="shared" si="73"/>
        <v>13.66384811</v>
      </c>
      <c r="BP73" s="345">
        <f t="shared" si="73"/>
        <v>13.73216735</v>
      </c>
      <c r="BQ73" s="345">
        <f t="shared" si="73"/>
        <v>13.80082818</v>
      </c>
      <c r="BR73" s="345">
        <f t="shared" si="73"/>
        <v>13.86983233</v>
      </c>
      <c r="BS73" s="345">
        <f t="shared" si="73"/>
        <v>13.93918149</v>
      </c>
      <c r="BT73" s="345">
        <f t="shared" si="73"/>
        <v>14.00887739</v>
      </c>
      <c r="BU73" s="345">
        <f t="shared" si="73"/>
        <v>14.07892178</v>
      </c>
      <c r="BV73" s="345">
        <f t="shared" si="73"/>
        <v>14.14931639</v>
      </c>
      <c r="BW73" s="345">
        <f t="shared" si="73"/>
        <v>12.73438475</v>
      </c>
      <c r="BX73" s="345">
        <f t="shared" si="73"/>
        <v>12.79805668</v>
      </c>
      <c r="BY73" s="345">
        <f t="shared" si="73"/>
        <v>12.86204696</v>
      </c>
      <c r="BZ73" s="345">
        <f t="shared" si="73"/>
        <v>12.92635719</v>
      </c>
      <c r="CA73" s="345">
        <f t="shared" si="73"/>
        <v>12.99098898</v>
      </c>
      <c r="CB73" s="345">
        <f t="shared" si="73"/>
        <v>13.05594392</v>
      </c>
      <c r="CC73" s="345">
        <f t="shared" si="73"/>
        <v>13.12122364</v>
      </c>
      <c r="CD73" s="345">
        <f t="shared" si="73"/>
        <v>13.18682976</v>
      </c>
      <c r="CE73" s="345">
        <f t="shared" si="73"/>
        <v>13.25276391</v>
      </c>
      <c r="CF73" s="345">
        <f t="shared" si="73"/>
        <v>13.31902773</v>
      </c>
      <c r="CG73" s="345">
        <f t="shared" si="73"/>
        <v>13.38562287</v>
      </c>
      <c r="CH73" s="345">
        <f t="shared" si="73"/>
        <v>13.45255098</v>
      </c>
      <c r="CI73" s="343"/>
      <c r="CJ73" s="343"/>
      <c r="CK73" s="343"/>
      <c r="CL73" s="343"/>
      <c r="CM73" s="343"/>
      <c r="CN73" s="343"/>
      <c r="CO73" s="343"/>
      <c r="CP73" s="343"/>
    </row>
    <row r="74" ht="15.75" customHeight="1">
      <c r="A74" s="343" t="s">
        <v>130</v>
      </c>
      <c r="B74" s="344"/>
      <c r="C74" s="344">
        <v>15.0</v>
      </c>
      <c r="D74" s="344">
        <v>15.0</v>
      </c>
      <c r="E74" s="344">
        <v>15.0</v>
      </c>
      <c r="F74" s="344">
        <v>15.0</v>
      </c>
      <c r="G74" s="344">
        <v>15.0</v>
      </c>
      <c r="H74" s="344">
        <v>15.0</v>
      </c>
      <c r="I74" s="344">
        <v>15.0</v>
      </c>
      <c r="J74" s="344">
        <v>15.0</v>
      </c>
      <c r="K74" s="344">
        <v>15.0</v>
      </c>
      <c r="L74" s="344">
        <v>15.0</v>
      </c>
      <c r="M74" s="344">
        <v>15.0</v>
      </c>
      <c r="N74" s="344">
        <v>15.0</v>
      </c>
      <c r="O74" s="344">
        <v>15.0</v>
      </c>
      <c r="P74" s="344">
        <v>15.0</v>
      </c>
      <c r="Q74" s="344">
        <v>15.0</v>
      </c>
      <c r="R74" s="344">
        <v>15.0</v>
      </c>
      <c r="S74" s="344">
        <v>15.0</v>
      </c>
      <c r="T74" s="344">
        <v>15.0</v>
      </c>
      <c r="U74" s="344">
        <v>15.0</v>
      </c>
      <c r="V74" s="344">
        <v>15.0</v>
      </c>
      <c r="W74" s="344">
        <v>15.0</v>
      </c>
      <c r="X74" s="344">
        <v>15.0</v>
      </c>
      <c r="Y74" s="344">
        <v>15.0</v>
      </c>
      <c r="Z74" s="345">
        <f t="shared" ref="Z74:CH74" si="74">Y41*Z65</f>
        <v>18</v>
      </c>
      <c r="AA74" s="345">
        <f t="shared" si="74"/>
        <v>19.8</v>
      </c>
      <c r="AB74" s="345">
        <f t="shared" si="74"/>
        <v>19.8</v>
      </c>
      <c r="AC74" s="345">
        <f t="shared" si="74"/>
        <v>19.8</v>
      </c>
      <c r="AD74" s="345">
        <f t="shared" si="74"/>
        <v>19.8</v>
      </c>
      <c r="AE74" s="345">
        <f t="shared" si="74"/>
        <v>19.8</v>
      </c>
      <c r="AF74" s="345">
        <f t="shared" si="74"/>
        <v>19.8</v>
      </c>
      <c r="AG74" s="345">
        <f t="shared" si="74"/>
        <v>19.8</v>
      </c>
      <c r="AH74" s="345">
        <f t="shared" si="74"/>
        <v>19.8</v>
      </c>
      <c r="AI74" s="345">
        <f t="shared" si="74"/>
        <v>18.81</v>
      </c>
      <c r="AJ74" s="345">
        <f t="shared" si="74"/>
        <v>18.81</v>
      </c>
      <c r="AK74" s="345">
        <f t="shared" si="74"/>
        <v>18.81</v>
      </c>
      <c r="AL74" s="345">
        <f t="shared" si="74"/>
        <v>18.90405</v>
      </c>
      <c r="AM74" s="345">
        <f t="shared" si="74"/>
        <v>13.232835</v>
      </c>
      <c r="AN74" s="345">
        <f t="shared" si="74"/>
        <v>12.57119325</v>
      </c>
      <c r="AO74" s="345">
        <f t="shared" si="74"/>
        <v>12.63404922</v>
      </c>
      <c r="AP74" s="345">
        <f t="shared" si="74"/>
        <v>12.69721946</v>
      </c>
      <c r="AQ74" s="345">
        <f t="shared" si="74"/>
        <v>12.76070556</v>
      </c>
      <c r="AR74" s="345">
        <f t="shared" si="74"/>
        <v>12.82450909</v>
      </c>
      <c r="AS74" s="345">
        <f t="shared" si="74"/>
        <v>12.88863163</v>
      </c>
      <c r="AT74" s="345">
        <f t="shared" si="74"/>
        <v>12.95307479</v>
      </c>
      <c r="AU74" s="345">
        <f t="shared" si="74"/>
        <v>13.01784016</v>
      </c>
      <c r="AV74" s="345">
        <f t="shared" si="74"/>
        <v>13.08292937</v>
      </c>
      <c r="AW74" s="345">
        <f t="shared" si="74"/>
        <v>13.14834401</v>
      </c>
      <c r="AX74" s="345">
        <f t="shared" si="74"/>
        <v>13.21408573</v>
      </c>
      <c r="AY74" s="345">
        <f t="shared" si="74"/>
        <v>13.34622659</v>
      </c>
      <c r="AZ74" s="345">
        <f t="shared" si="74"/>
        <v>13.41295772</v>
      </c>
      <c r="BA74" s="345">
        <f t="shared" si="74"/>
        <v>13.48002251</v>
      </c>
      <c r="BB74" s="345">
        <f t="shared" si="74"/>
        <v>13.54742262</v>
      </c>
      <c r="BC74" s="345">
        <f t="shared" si="74"/>
        <v>13.61515974</v>
      </c>
      <c r="BD74" s="345">
        <f t="shared" si="74"/>
        <v>13.68323554</v>
      </c>
      <c r="BE74" s="345">
        <f t="shared" si="74"/>
        <v>13.75165171</v>
      </c>
      <c r="BF74" s="345">
        <f t="shared" si="74"/>
        <v>13.82040997</v>
      </c>
      <c r="BG74" s="345">
        <f t="shared" si="74"/>
        <v>13.88951202</v>
      </c>
      <c r="BH74" s="345">
        <f t="shared" si="74"/>
        <v>13.95895958</v>
      </c>
      <c r="BI74" s="345">
        <f t="shared" si="74"/>
        <v>14.02875438</v>
      </c>
      <c r="BJ74" s="345">
        <f t="shared" si="74"/>
        <v>14.09889815</v>
      </c>
      <c r="BK74" s="345">
        <f t="shared" si="74"/>
        <v>13.39395324</v>
      </c>
      <c r="BL74" s="345">
        <f t="shared" si="74"/>
        <v>13.46092301</v>
      </c>
      <c r="BM74" s="345">
        <f t="shared" si="74"/>
        <v>13.52822763</v>
      </c>
      <c r="BN74" s="345">
        <f t="shared" si="74"/>
        <v>13.59586876</v>
      </c>
      <c r="BO74" s="345">
        <f t="shared" si="74"/>
        <v>13.66384811</v>
      </c>
      <c r="BP74" s="345">
        <f t="shared" si="74"/>
        <v>13.73216735</v>
      </c>
      <c r="BQ74" s="345">
        <f t="shared" si="74"/>
        <v>13.80082818</v>
      </c>
      <c r="BR74" s="345">
        <f t="shared" si="74"/>
        <v>13.86983233</v>
      </c>
      <c r="BS74" s="345">
        <f t="shared" si="74"/>
        <v>13.93918149</v>
      </c>
      <c r="BT74" s="345">
        <f t="shared" si="74"/>
        <v>14.00887739</v>
      </c>
      <c r="BU74" s="345">
        <f t="shared" si="74"/>
        <v>14.07892178</v>
      </c>
      <c r="BV74" s="345">
        <f t="shared" si="74"/>
        <v>14.14931639</v>
      </c>
      <c r="BW74" s="345">
        <f t="shared" si="74"/>
        <v>12.73438475</v>
      </c>
      <c r="BX74" s="345">
        <f t="shared" si="74"/>
        <v>12.79805668</v>
      </c>
      <c r="BY74" s="345">
        <f t="shared" si="74"/>
        <v>12.86204696</v>
      </c>
      <c r="BZ74" s="345">
        <f t="shared" si="74"/>
        <v>12.92635719</v>
      </c>
      <c r="CA74" s="345">
        <f t="shared" si="74"/>
        <v>12.99098898</v>
      </c>
      <c r="CB74" s="345">
        <f t="shared" si="74"/>
        <v>13.05594392</v>
      </c>
      <c r="CC74" s="345">
        <f t="shared" si="74"/>
        <v>13.12122364</v>
      </c>
      <c r="CD74" s="345">
        <f t="shared" si="74"/>
        <v>13.18682976</v>
      </c>
      <c r="CE74" s="345">
        <f t="shared" si="74"/>
        <v>13.25276391</v>
      </c>
      <c r="CF74" s="345">
        <f t="shared" si="74"/>
        <v>13.31902773</v>
      </c>
      <c r="CG74" s="345">
        <f t="shared" si="74"/>
        <v>13.38562287</v>
      </c>
      <c r="CH74" s="345">
        <f t="shared" si="74"/>
        <v>13.45255098</v>
      </c>
      <c r="CI74" s="343"/>
      <c r="CJ74" s="343"/>
      <c r="CK74" s="343"/>
      <c r="CL74" s="343"/>
      <c r="CM74" s="343"/>
      <c r="CN74" s="343"/>
      <c r="CO74" s="343"/>
      <c r="CP74" s="343"/>
    </row>
    <row r="75" ht="15.75" customHeight="1">
      <c r="A75" s="343" t="s">
        <v>89</v>
      </c>
      <c r="B75" s="344"/>
      <c r="C75" s="344">
        <v>15.0</v>
      </c>
      <c r="D75" s="344">
        <v>15.0</v>
      </c>
      <c r="E75" s="344">
        <v>15.0</v>
      </c>
      <c r="F75" s="344">
        <v>15.0</v>
      </c>
      <c r="G75" s="344">
        <v>15.0</v>
      </c>
      <c r="H75" s="344">
        <v>15.0</v>
      </c>
      <c r="I75" s="344">
        <v>15.0</v>
      </c>
      <c r="J75" s="344">
        <v>15.0</v>
      </c>
      <c r="K75" s="344">
        <v>15.0</v>
      </c>
      <c r="L75" s="344">
        <v>15.0</v>
      </c>
      <c r="M75" s="344">
        <v>15.0</v>
      </c>
      <c r="N75" s="344">
        <v>15.0</v>
      </c>
      <c r="O75" s="344">
        <v>15.0</v>
      </c>
      <c r="P75" s="344">
        <v>15.0</v>
      </c>
      <c r="Q75" s="344">
        <v>15.0</v>
      </c>
      <c r="R75" s="344">
        <v>15.0</v>
      </c>
      <c r="S75" s="344">
        <v>15.0</v>
      </c>
      <c r="T75" s="344">
        <v>15.0</v>
      </c>
      <c r="U75" s="344">
        <v>15.0</v>
      </c>
      <c r="V75" s="344">
        <v>15.0</v>
      </c>
      <c r="W75" s="344">
        <v>15.0</v>
      </c>
      <c r="X75" s="344">
        <v>15.0</v>
      </c>
      <c r="Y75" s="344">
        <v>15.0</v>
      </c>
      <c r="Z75" s="345">
        <f t="shared" ref="Z75:CH75" si="75">Y42*Z66</f>
        <v>18</v>
      </c>
      <c r="AA75" s="345">
        <f t="shared" si="75"/>
        <v>19.8</v>
      </c>
      <c r="AB75" s="345">
        <f t="shared" si="75"/>
        <v>19.8</v>
      </c>
      <c r="AC75" s="345">
        <f t="shared" si="75"/>
        <v>19.8</v>
      </c>
      <c r="AD75" s="345">
        <f t="shared" si="75"/>
        <v>19.8</v>
      </c>
      <c r="AE75" s="345">
        <f t="shared" si="75"/>
        <v>19.8</v>
      </c>
      <c r="AF75" s="345">
        <f t="shared" si="75"/>
        <v>19.8</v>
      </c>
      <c r="AG75" s="345">
        <f t="shared" si="75"/>
        <v>19.8</v>
      </c>
      <c r="AH75" s="345">
        <f t="shared" si="75"/>
        <v>19.8</v>
      </c>
      <c r="AI75" s="345">
        <f t="shared" si="75"/>
        <v>18.81</v>
      </c>
      <c r="AJ75" s="345">
        <f t="shared" si="75"/>
        <v>18.81</v>
      </c>
      <c r="AK75" s="345">
        <f t="shared" si="75"/>
        <v>18.81</v>
      </c>
      <c r="AL75" s="345">
        <f t="shared" si="75"/>
        <v>18.90405</v>
      </c>
      <c r="AM75" s="345">
        <f t="shared" si="75"/>
        <v>13.232835</v>
      </c>
      <c r="AN75" s="345">
        <f t="shared" si="75"/>
        <v>12.57119325</v>
      </c>
      <c r="AO75" s="345">
        <f t="shared" si="75"/>
        <v>12.63404922</v>
      </c>
      <c r="AP75" s="345">
        <f t="shared" si="75"/>
        <v>12.69721946</v>
      </c>
      <c r="AQ75" s="345">
        <f t="shared" si="75"/>
        <v>12.76070556</v>
      </c>
      <c r="AR75" s="345">
        <f t="shared" si="75"/>
        <v>12.82450909</v>
      </c>
      <c r="AS75" s="345">
        <f t="shared" si="75"/>
        <v>12.88863163</v>
      </c>
      <c r="AT75" s="345">
        <f t="shared" si="75"/>
        <v>12.95307479</v>
      </c>
      <c r="AU75" s="345">
        <f t="shared" si="75"/>
        <v>13.01784016</v>
      </c>
      <c r="AV75" s="345">
        <f t="shared" si="75"/>
        <v>13.08292937</v>
      </c>
      <c r="AW75" s="345">
        <f t="shared" si="75"/>
        <v>13.14834401</v>
      </c>
      <c r="AX75" s="345">
        <f t="shared" si="75"/>
        <v>13.21408573</v>
      </c>
      <c r="AY75" s="345">
        <f t="shared" si="75"/>
        <v>13.34622659</v>
      </c>
      <c r="AZ75" s="345">
        <f t="shared" si="75"/>
        <v>13.41295772</v>
      </c>
      <c r="BA75" s="345">
        <f t="shared" si="75"/>
        <v>13.48002251</v>
      </c>
      <c r="BB75" s="345">
        <f t="shared" si="75"/>
        <v>13.54742262</v>
      </c>
      <c r="BC75" s="345">
        <f t="shared" si="75"/>
        <v>13.61515974</v>
      </c>
      <c r="BD75" s="345">
        <f t="shared" si="75"/>
        <v>13.68323554</v>
      </c>
      <c r="BE75" s="345">
        <f t="shared" si="75"/>
        <v>13.75165171</v>
      </c>
      <c r="BF75" s="345">
        <f t="shared" si="75"/>
        <v>13.82040997</v>
      </c>
      <c r="BG75" s="345">
        <f t="shared" si="75"/>
        <v>13.88951202</v>
      </c>
      <c r="BH75" s="345">
        <f t="shared" si="75"/>
        <v>13.95895958</v>
      </c>
      <c r="BI75" s="345">
        <f t="shared" si="75"/>
        <v>14.02875438</v>
      </c>
      <c r="BJ75" s="345">
        <f t="shared" si="75"/>
        <v>14.09889815</v>
      </c>
      <c r="BK75" s="345">
        <f t="shared" si="75"/>
        <v>13.39395324</v>
      </c>
      <c r="BL75" s="345">
        <f t="shared" si="75"/>
        <v>13.46092301</v>
      </c>
      <c r="BM75" s="345">
        <f t="shared" si="75"/>
        <v>13.52822763</v>
      </c>
      <c r="BN75" s="345">
        <f t="shared" si="75"/>
        <v>13.59586876</v>
      </c>
      <c r="BO75" s="345">
        <f t="shared" si="75"/>
        <v>13.66384811</v>
      </c>
      <c r="BP75" s="345">
        <f t="shared" si="75"/>
        <v>13.73216735</v>
      </c>
      <c r="BQ75" s="345">
        <f t="shared" si="75"/>
        <v>13.80082818</v>
      </c>
      <c r="BR75" s="345">
        <f t="shared" si="75"/>
        <v>13.86983233</v>
      </c>
      <c r="BS75" s="345">
        <f t="shared" si="75"/>
        <v>13.93918149</v>
      </c>
      <c r="BT75" s="345">
        <f t="shared" si="75"/>
        <v>14.00887739</v>
      </c>
      <c r="BU75" s="345">
        <f t="shared" si="75"/>
        <v>14.07892178</v>
      </c>
      <c r="BV75" s="345">
        <f t="shared" si="75"/>
        <v>14.14931639</v>
      </c>
      <c r="BW75" s="345">
        <f t="shared" si="75"/>
        <v>12.73438475</v>
      </c>
      <c r="BX75" s="345">
        <f t="shared" si="75"/>
        <v>12.79805668</v>
      </c>
      <c r="BY75" s="345">
        <f t="shared" si="75"/>
        <v>12.86204696</v>
      </c>
      <c r="BZ75" s="345">
        <f t="shared" si="75"/>
        <v>12.92635719</v>
      </c>
      <c r="CA75" s="345">
        <f t="shared" si="75"/>
        <v>12.99098898</v>
      </c>
      <c r="CB75" s="345">
        <f t="shared" si="75"/>
        <v>13.05594392</v>
      </c>
      <c r="CC75" s="345">
        <f t="shared" si="75"/>
        <v>13.12122364</v>
      </c>
      <c r="CD75" s="345">
        <f t="shared" si="75"/>
        <v>13.18682976</v>
      </c>
      <c r="CE75" s="345">
        <f t="shared" si="75"/>
        <v>13.25276391</v>
      </c>
      <c r="CF75" s="345">
        <f t="shared" si="75"/>
        <v>13.31902773</v>
      </c>
      <c r="CG75" s="345">
        <f t="shared" si="75"/>
        <v>13.38562287</v>
      </c>
      <c r="CH75" s="345">
        <f t="shared" si="75"/>
        <v>13.45255098</v>
      </c>
      <c r="CI75" s="343"/>
      <c r="CJ75" s="343"/>
      <c r="CK75" s="343"/>
      <c r="CL75" s="343"/>
      <c r="CM75" s="343"/>
      <c r="CN75" s="343"/>
      <c r="CO75" s="343"/>
      <c r="CP75" s="343"/>
    </row>
    <row r="76" ht="15.75" customHeight="1">
      <c r="A76" s="343" t="s">
        <v>94</v>
      </c>
      <c r="B76" s="344"/>
      <c r="C76" s="344">
        <v>15.0</v>
      </c>
      <c r="D76" s="344">
        <v>15.0</v>
      </c>
      <c r="E76" s="344">
        <v>15.0</v>
      </c>
      <c r="F76" s="344">
        <v>15.0</v>
      </c>
      <c r="G76" s="344">
        <v>15.0</v>
      </c>
      <c r="H76" s="344">
        <v>15.0</v>
      </c>
      <c r="I76" s="344">
        <v>15.0</v>
      </c>
      <c r="J76" s="344">
        <v>15.0</v>
      </c>
      <c r="K76" s="344">
        <v>15.0</v>
      </c>
      <c r="L76" s="344">
        <v>15.0</v>
      </c>
      <c r="M76" s="344">
        <v>15.0</v>
      </c>
      <c r="N76" s="344">
        <v>15.0</v>
      </c>
      <c r="O76" s="344">
        <v>15.0</v>
      </c>
      <c r="P76" s="344">
        <v>15.0</v>
      </c>
      <c r="Q76" s="344">
        <v>15.0</v>
      </c>
      <c r="R76" s="344">
        <v>15.0</v>
      </c>
      <c r="S76" s="344">
        <v>15.0</v>
      </c>
      <c r="T76" s="344">
        <v>15.0</v>
      </c>
      <c r="U76" s="344">
        <v>15.0</v>
      </c>
      <c r="V76" s="344">
        <v>15.0</v>
      </c>
      <c r="W76" s="344">
        <v>15.0</v>
      </c>
      <c r="X76" s="344">
        <v>15.0</v>
      </c>
      <c r="Y76" s="344">
        <v>15.0</v>
      </c>
      <c r="Z76" s="345">
        <f t="shared" ref="Z76:CH76" si="76">Y43*Z67</f>
        <v>18</v>
      </c>
      <c r="AA76" s="345">
        <f t="shared" si="76"/>
        <v>19.8</v>
      </c>
      <c r="AB76" s="345">
        <f t="shared" si="76"/>
        <v>19.8</v>
      </c>
      <c r="AC76" s="345">
        <f t="shared" si="76"/>
        <v>19.8</v>
      </c>
      <c r="AD76" s="345">
        <f t="shared" si="76"/>
        <v>19.8</v>
      </c>
      <c r="AE76" s="345">
        <f t="shared" si="76"/>
        <v>19.8</v>
      </c>
      <c r="AF76" s="345">
        <f t="shared" si="76"/>
        <v>19.8</v>
      </c>
      <c r="AG76" s="345">
        <f t="shared" si="76"/>
        <v>19.8</v>
      </c>
      <c r="AH76" s="345">
        <f t="shared" si="76"/>
        <v>19.8</v>
      </c>
      <c r="AI76" s="345">
        <f t="shared" si="76"/>
        <v>18.81</v>
      </c>
      <c r="AJ76" s="345">
        <f t="shared" si="76"/>
        <v>18.81</v>
      </c>
      <c r="AK76" s="345">
        <f t="shared" si="76"/>
        <v>18.81</v>
      </c>
      <c r="AL76" s="345">
        <f t="shared" si="76"/>
        <v>18.90405</v>
      </c>
      <c r="AM76" s="345">
        <f t="shared" si="76"/>
        <v>19.0930905</v>
      </c>
      <c r="AN76" s="345">
        <f t="shared" si="76"/>
        <v>20.04774503</v>
      </c>
      <c r="AO76" s="345">
        <f t="shared" si="76"/>
        <v>20.14798375</v>
      </c>
      <c r="AP76" s="345">
        <f t="shared" si="76"/>
        <v>20.24872367</v>
      </c>
      <c r="AQ76" s="345">
        <f t="shared" si="76"/>
        <v>20.34996729</v>
      </c>
      <c r="AR76" s="345">
        <f t="shared" si="76"/>
        <v>20.45171712</v>
      </c>
      <c r="AS76" s="345">
        <f t="shared" si="76"/>
        <v>20.55397571</v>
      </c>
      <c r="AT76" s="345">
        <f t="shared" si="76"/>
        <v>20.65674559</v>
      </c>
      <c r="AU76" s="345">
        <f t="shared" si="76"/>
        <v>20.76002932</v>
      </c>
      <c r="AV76" s="345">
        <f t="shared" si="76"/>
        <v>20.86382946</v>
      </c>
      <c r="AW76" s="345">
        <f t="shared" si="76"/>
        <v>20.96814861</v>
      </c>
      <c r="AX76" s="345">
        <f t="shared" si="76"/>
        <v>21.07298935</v>
      </c>
      <c r="AY76" s="345">
        <f t="shared" si="76"/>
        <v>21.28371925</v>
      </c>
      <c r="AZ76" s="345">
        <f t="shared" si="76"/>
        <v>21.39013784</v>
      </c>
      <c r="BA76" s="345">
        <f t="shared" si="76"/>
        <v>21.49708853</v>
      </c>
      <c r="BB76" s="345">
        <f t="shared" si="76"/>
        <v>21.60457397</v>
      </c>
      <c r="BC76" s="345">
        <f t="shared" si="76"/>
        <v>21.71259684</v>
      </c>
      <c r="BD76" s="345">
        <f t="shared" si="76"/>
        <v>21.82115983</v>
      </c>
      <c r="BE76" s="345">
        <f t="shared" si="76"/>
        <v>21.93026563</v>
      </c>
      <c r="BF76" s="345">
        <f t="shared" si="76"/>
        <v>22.03991696</v>
      </c>
      <c r="BG76" s="345">
        <f t="shared" si="76"/>
        <v>22.15011654</v>
      </c>
      <c r="BH76" s="345">
        <f t="shared" si="76"/>
        <v>22.26086712</v>
      </c>
      <c r="BI76" s="345">
        <f t="shared" si="76"/>
        <v>22.37217146</v>
      </c>
      <c r="BJ76" s="345">
        <f t="shared" si="76"/>
        <v>22.48403232</v>
      </c>
      <c r="BK76" s="345">
        <f t="shared" si="76"/>
        <v>21.3598307</v>
      </c>
      <c r="BL76" s="345">
        <f t="shared" si="76"/>
        <v>21.46662985</v>
      </c>
      <c r="BM76" s="345">
        <f t="shared" si="76"/>
        <v>21.573963</v>
      </c>
      <c r="BN76" s="345">
        <f t="shared" si="76"/>
        <v>21.68183282</v>
      </c>
      <c r="BO76" s="345">
        <f t="shared" si="76"/>
        <v>21.79024198</v>
      </c>
      <c r="BP76" s="345">
        <f t="shared" si="76"/>
        <v>21.89919319</v>
      </c>
      <c r="BQ76" s="345">
        <f t="shared" si="76"/>
        <v>22.00868916</v>
      </c>
      <c r="BR76" s="345">
        <f t="shared" si="76"/>
        <v>22.1187326</v>
      </c>
      <c r="BS76" s="345">
        <f t="shared" si="76"/>
        <v>22.22932627</v>
      </c>
      <c r="BT76" s="345">
        <f t="shared" si="76"/>
        <v>22.3404729</v>
      </c>
      <c r="BU76" s="345">
        <f t="shared" si="76"/>
        <v>22.45217526</v>
      </c>
      <c r="BV76" s="345">
        <f t="shared" si="76"/>
        <v>22.56443614</v>
      </c>
      <c r="BW76" s="345">
        <f t="shared" si="76"/>
        <v>20.30799253</v>
      </c>
      <c r="BX76" s="345">
        <f t="shared" si="76"/>
        <v>20.40953249</v>
      </c>
      <c r="BY76" s="345">
        <f t="shared" si="76"/>
        <v>20.51158015</v>
      </c>
      <c r="BZ76" s="345">
        <f t="shared" si="76"/>
        <v>20.61413805</v>
      </c>
      <c r="CA76" s="345">
        <f t="shared" si="76"/>
        <v>20.71720874</v>
      </c>
      <c r="CB76" s="345">
        <f t="shared" si="76"/>
        <v>20.82079478</v>
      </c>
      <c r="CC76" s="345">
        <f t="shared" si="76"/>
        <v>20.92489876</v>
      </c>
      <c r="CD76" s="345">
        <f t="shared" si="76"/>
        <v>21.02952325</v>
      </c>
      <c r="CE76" s="345">
        <f t="shared" si="76"/>
        <v>21.13467087</v>
      </c>
      <c r="CF76" s="345">
        <f t="shared" si="76"/>
        <v>21.24034422</v>
      </c>
      <c r="CG76" s="345">
        <f t="shared" si="76"/>
        <v>21.34654594</v>
      </c>
      <c r="CH76" s="345">
        <f t="shared" si="76"/>
        <v>21.45327867</v>
      </c>
      <c r="CI76" s="343"/>
      <c r="CJ76" s="343"/>
      <c r="CK76" s="343"/>
      <c r="CL76" s="343"/>
      <c r="CM76" s="343"/>
      <c r="CN76" s="343"/>
      <c r="CO76" s="343"/>
      <c r="CP76" s="343"/>
    </row>
    <row r="77" ht="15.75" customHeight="1">
      <c r="A77" s="343" t="s">
        <v>96</v>
      </c>
      <c r="B77" s="344"/>
      <c r="C77" s="344">
        <v>15.0</v>
      </c>
      <c r="D77" s="344">
        <v>15.0</v>
      </c>
      <c r="E77" s="344">
        <v>15.0</v>
      </c>
      <c r="F77" s="344">
        <v>15.0</v>
      </c>
      <c r="G77" s="344">
        <v>15.0</v>
      </c>
      <c r="H77" s="344">
        <v>15.0</v>
      </c>
      <c r="I77" s="344">
        <v>15.0</v>
      </c>
      <c r="J77" s="344">
        <v>15.0</v>
      </c>
      <c r="K77" s="344">
        <v>15.0</v>
      </c>
      <c r="L77" s="344">
        <v>15.0</v>
      </c>
      <c r="M77" s="344">
        <v>15.0</v>
      </c>
      <c r="N77" s="344">
        <v>15.0</v>
      </c>
      <c r="O77" s="344">
        <v>15.0</v>
      </c>
      <c r="P77" s="344">
        <v>15.0</v>
      </c>
      <c r="Q77" s="344">
        <v>15.0</v>
      </c>
      <c r="R77" s="344">
        <v>15.0</v>
      </c>
      <c r="S77" s="344">
        <v>15.0</v>
      </c>
      <c r="T77" s="344">
        <v>15.0</v>
      </c>
      <c r="U77" s="344">
        <v>15.0</v>
      </c>
      <c r="V77" s="344">
        <v>15.0</v>
      </c>
      <c r="W77" s="344">
        <v>15.0</v>
      </c>
      <c r="X77" s="344">
        <v>15.0</v>
      </c>
      <c r="Y77" s="344">
        <v>15.0</v>
      </c>
      <c r="Z77" s="345">
        <f t="shared" ref="Z77:CH77" si="77">Y44*Z68</f>
        <v>18</v>
      </c>
      <c r="AA77" s="345">
        <f t="shared" si="77"/>
        <v>19.8</v>
      </c>
      <c r="AB77" s="345">
        <f t="shared" si="77"/>
        <v>19.8</v>
      </c>
      <c r="AC77" s="345">
        <f t="shared" si="77"/>
        <v>19.8</v>
      </c>
      <c r="AD77" s="345">
        <f t="shared" si="77"/>
        <v>19.8</v>
      </c>
      <c r="AE77" s="345">
        <f t="shared" si="77"/>
        <v>19.8</v>
      </c>
      <c r="AF77" s="345">
        <f t="shared" si="77"/>
        <v>19.8</v>
      </c>
      <c r="AG77" s="345">
        <f t="shared" si="77"/>
        <v>19.8</v>
      </c>
      <c r="AH77" s="345">
        <f t="shared" si="77"/>
        <v>19.8</v>
      </c>
      <c r="AI77" s="345">
        <f t="shared" si="77"/>
        <v>19.8</v>
      </c>
      <c r="AJ77" s="345">
        <f t="shared" si="77"/>
        <v>19.8</v>
      </c>
      <c r="AK77" s="345">
        <f t="shared" si="77"/>
        <v>19.8</v>
      </c>
      <c r="AL77" s="345">
        <f t="shared" si="77"/>
        <v>19.8</v>
      </c>
      <c r="AM77" s="345">
        <f t="shared" si="77"/>
        <v>19.8</v>
      </c>
      <c r="AN77" s="345">
        <f t="shared" si="77"/>
        <v>19.8</v>
      </c>
      <c r="AO77" s="345">
        <f t="shared" si="77"/>
        <v>19.8</v>
      </c>
      <c r="AP77" s="345">
        <f t="shared" si="77"/>
        <v>19.8</v>
      </c>
      <c r="AQ77" s="345">
        <f t="shared" si="77"/>
        <v>19.8</v>
      </c>
      <c r="AR77" s="345">
        <f t="shared" si="77"/>
        <v>19.8</v>
      </c>
      <c r="AS77" s="345">
        <f t="shared" si="77"/>
        <v>19.8</v>
      </c>
      <c r="AT77" s="345">
        <f t="shared" si="77"/>
        <v>19.8</v>
      </c>
      <c r="AU77" s="345">
        <f t="shared" si="77"/>
        <v>19.8</v>
      </c>
      <c r="AV77" s="345">
        <f t="shared" si="77"/>
        <v>19.8</v>
      </c>
      <c r="AW77" s="345">
        <f t="shared" si="77"/>
        <v>19.8</v>
      </c>
      <c r="AX77" s="345">
        <f t="shared" si="77"/>
        <v>19.8</v>
      </c>
      <c r="AY77" s="345">
        <f t="shared" si="77"/>
        <v>19.8</v>
      </c>
      <c r="AZ77" s="345">
        <f t="shared" si="77"/>
        <v>19.8</v>
      </c>
      <c r="BA77" s="345">
        <f t="shared" si="77"/>
        <v>19.8</v>
      </c>
      <c r="BB77" s="345">
        <f t="shared" si="77"/>
        <v>19.8</v>
      </c>
      <c r="BC77" s="345">
        <f t="shared" si="77"/>
        <v>19.8</v>
      </c>
      <c r="BD77" s="345">
        <f t="shared" si="77"/>
        <v>19.8</v>
      </c>
      <c r="BE77" s="345">
        <f t="shared" si="77"/>
        <v>19.8</v>
      </c>
      <c r="BF77" s="345">
        <f t="shared" si="77"/>
        <v>19.8</v>
      </c>
      <c r="BG77" s="345">
        <f t="shared" si="77"/>
        <v>19.8</v>
      </c>
      <c r="BH77" s="345">
        <f t="shared" si="77"/>
        <v>19.8</v>
      </c>
      <c r="BI77" s="345">
        <f t="shared" si="77"/>
        <v>19.8</v>
      </c>
      <c r="BJ77" s="345">
        <f t="shared" si="77"/>
        <v>19.8</v>
      </c>
      <c r="BK77" s="345">
        <f t="shared" si="77"/>
        <v>19.8</v>
      </c>
      <c r="BL77" s="345">
        <f t="shared" si="77"/>
        <v>19.8</v>
      </c>
      <c r="BM77" s="345">
        <f t="shared" si="77"/>
        <v>19.8</v>
      </c>
      <c r="BN77" s="345">
        <f t="shared" si="77"/>
        <v>19.8</v>
      </c>
      <c r="BO77" s="345">
        <f t="shared" si="77"/>
        <v>19.8</v>
      </c>
      <c r="BP77" s="345">
        <f t="shared" si="77"/>
        <v>19.8</v>
      </c>
      <c r="BQ77" s="345">
        <f t="shared" si="77"/>
        <v>19.8</v>
      </c>
      <c r="BR77" s="345">
        <f t="shared" si="77"/>
        <v>19.8</v>
      </c>
      <c r="BS77" s="345">
        <f t="shared" si="77"/>
        <v>19.8</v>
      </c>
      <c r="BT77" s="345">
        <f t="shared" si="77"/>
        <v>19.8</v>
      </c>
      <c r="BU77" s="345">
        <f t="shared" si="77"/>
        <v>19.8</v>
      </c>
      <c r="BV77" s="345">
        <f t="shared" si="77"/>
        <v>19.8</v>
      </c>
      <c r="BW77" s="345">
        <f t="shared" si="77"/>
        <v>19.8</v>
      </c>
      <c r="BX77" s="345">
        <f t="shared" si="77"/>
        <v>19.8</v>
      </c>
      <c r="BY77" s="345">
        <f t="shared" si="77"/>
        <v>19.8</v>
      </c>
      <c r="BZ77" s="345">
        <f t="shared" si="77"/>
        <v>19.8</v>
      </c>
      <c r="CA77" s="345">
        <f t="shared" si="77"/>
        <v>19.8</v>
      </c>
      <c r="CB77" s="345">
        <f t="shared" si="77"/>
        <v>19.8</v>
      </c>
      <c r="CC77" s="345">
        <f t="shared" si="77"/>
        <v>19.8</v>
      </c>
      <c r="CD77" s="345">
        <f t="shared" si="77"/>
        <v>19.8</v>
      </c>
      <c r="CE77" s="345">
        <f t="shared" si="77"/>
        <v>19.8</v>
      </c>
      <c r="CF77" s="345">
        <f t="shared" si="77"/>
        <v>19.8</v>
      </c>
      <c r="CG77" s="345">
        <f t="shared" si="77"/>
        <v>19.8</v>
      </c>
      <c r="CH77" s="345">
        <f t="shared" si="77"/>
        <v>19.8</v>
      </c>
      <c r="CI77" s="343"/>
      <c r="CJ77" s="343"/>
      <c r="CK77" s="343"/>
      <c r="CL77" s="343"/>
      <c r="CM77" s="343"/>
      <c r="CN77" s="343"/>
      <c r="CO77" s="343"/>
      <c r="CP77" s="343"/>
    </row>
    <row r="78" ht="15.75" customHeight="1">
      <c r="A78" s="346" t="s">
        <v>601</v>
      </c>
      <c r="B78" s="347"/>
      <c r="C78" s="347">
        <f t="shared" ref="C78:CH78" si="78">SUM(C72:C77)</f>
        <v>90</v>
      </c>
      <c r="D78" s="347">
        <f t="shared" si="78"/>
        <v>90</v>
      </c>
      <c r="E78" s="347">
        <f t="shared" si="78"/>
        <v>90</v>
      </c>
      <c r="F78" s="347">
        <f t="shared" si="78"/>
        <v>90</v>
      </c>
      <c r="G78" s="347">
        <f t="shared" si="78"/>
        <v>90</v>
      </c>
      <c r="H78" s="347">
        <f t="shared" si="78"/>
        <v>90</v>
      </c>
      <c r="I78" s="347">
        <f t="shared" si="78"/>
        <v>90</v>
      </c>
      <c r="J78" s="347">
        <f t="shared" si="78"/>
        <v>90</v>
      </c>
      <c r="K78" s="347">
        <f t="shared" si="78"/>
        <v>90</v>
      </c>
      <c r="L78" s="347">
        <f t="shared" si="78"/>
        <v>90</v>
      </c>
      <c r="M78" s="347">
        <f t="shared" si="78"/>
        <v>90</v>
      </c>
      <c r="N78" s="347">
        <f t="shared" si="78"/>
        <v>90</v>
      </c>
      <c r="O78" s="347">
        <f t="shared" si="78"/>
        <v>90</v>
      </c>
      <c r="P78" s="347">
        <f t="shared" si="78"/>
        <v>90</v>
      </c>
      <c r="Q78" s="347">
        <f t="shared" si="78"/>
        <v>90</v>
      </c>
      <c r="R78" s="347">
        <f t="shared" si="78"/>
        <v>90</v>
      </c>
      <c r="S78" s="347">
        <f t="shared" si="78"/>
        <v>90</v>
      </c>
      <c r="T78" s="347">
        <f t="shared" si="78"/>
        <v>90</v>
      </c>
      <c r="U78" s="347">
        <f t="shared" si="78"/>
        <v>90</v>
      </c>
      <c r="V78" s="347">
        <f t="shared" si="78"/>
        <v>90</v>
      </c>
      <c r="W78" s="347">
        <f t="shared" si="78"/>
        <v>90</v>
      </c>
      <c r="X78" s="347">
        <f t="shared" si="78"/>
        <v>90</v>
      </c>
      <c r="Y78" s="347">
        <f t="shared" si="78"/>
        <v>90</v>
      </c>
      <c r="Z78" s="347">
        <f t="shared" si="78"/>
        <v>108</v>
      </c>
      <c r="AA78" s="347">
        <f t="shared" si="78"/>
        <v>118.8</v>
      </c>
      <c r="AB78" s="347">
        <f t="shared" si="78"/>
        <v>118.8</v>
      </c>
      <c r="AC78" s="347">
        <f t="shared" si="78"/>
        <v>118.8</v>
      </c>
      <c r="AD78" s="347">
        <f t="shared" si="78"/>
        <v>118.8</v>
      </c>
      <c r="AE78" s="347">
        <f t="shared" si="78"/>
        <v>118.8</v>
      </c>
      <c r="AF78" s="347">
        <f t="shared" si="78"/>
        <v>118.8</v>
      </c>
      <c r="AG78" s="347">
        <f t="shared" si="78"/>
        <v>118.8</v>
      </c>
      <c r="AH78" s="347">
        <f t="shared" si="78"/>
        <v>118.8</v>
      </c>
      <c r="AI78" s="347">
        <f t="shared" si="78"/>
        <v>114.048</v>
      </c>
      <c r="AJ78" s="347">
        <f t="shared" si="78"/>
        <v>114.048</v>
      </c>
      <c r="AK78" s="347">
        <f t="shared" si="78"/>
        <v>114.048</v>
      </c>
      <c r="AL78" s="347">
        <f t="shared" si="78"/>
        <v>114.51924</v>
      </c>
      <c r="AM78" s="347">
        <f t="shared" si="78"/>
        <v>91.9637235</v>
      </c>
      <c r="AN78" s="347">
        <f t="shared" si="78"/>
        <v>90.26484638</v>
      </c>
      <c r="AO78" s="347">
        <f t="shared" si="78"/>
        <v>90.61717061</v>
      </c>
      <c r="AP78" s="347">
        <f t="shared" si="78"/>
        <v>90.97125646</v>
      </c>
      <c r="AQ78" s="347">
        <f t="shared" si="78"/>
        <v>91.32711274</v>
      </c>
      <c r="AR78" s="347">
        <f t="shared" si="78"/>
        <v>91.68474831</v>
      </c>
      <c r="AS78" s="347">
        <f t="shared" si="78"/>
        <v>92.04417205</v>
      </c>
      <c r="AT78" s="347">
        <f t="shared" si="78"/>
        <v>92.40539291</v>
      </c>
      <c r="AU78" s="347">
        <f t="shared" si="78"/>
        <v>92.76841987</v>
      </c>
      <c r="AV78" s="347">
        <f t="shared" si="78"/>
        <v>93.13326197</v>
      </c>
      <c r="AW78" s="347">
        <f t="shared" si="78"/>
        <v>93.49992828</v>
      </c>
      <c r="AX78" s="347">
        <f t="shared" si="78"/>
        <v>93.86842792</v>
      </c>
      <c r="AY78" s="347">
        <f t="shared" si="78"/>
        <v>94.6091122</v>
      </c>
      <c r="AZ78" s="347">
        <f t="shared" si="78"/>
        <v>94.98315776</v>
      </c>
      <c r="BA78" s="347">
        <f t="shared" si="78"/>
        <v>95.35907355</v>
      </c>
      <c r="BB78" s="347">
        <f t="shared" si="78"/>
        <v>95.73686892</v>
      </c>
      <c r="BC78" s="347">
        <f t="shared" si="78"/>
        <v>96.11655326</v>
      </c>
      <c r="BD78" s="347">
        <f t="shared" si="78"/>
        <v>96.49813603</v>
      </c>
      <c r="BE78" s="347">
        <f t="shared" si="78"/>
        <v>96.88162671</v>
      </c>
      <c r="BF78" s="347">
        <f t="shared" si="78"/>
        <v>97.26703484</v>
      </c>
      <c r="BG78" s="347">
        <f t="shared" si="78"/>
        <v>97.65437002</v>
      </c>
      <c r="BH78" s="347">
        <f t="shared" si="78"/>
        <v>98.04364187</v>
      </c>
      <c r="BI78" s="347">
        <f t="shared" si="78"/>
        <v>98.43486008</v>
      </c>
      <c r="BJ78" s="347">
        <f t="shared" si="78"/>
        <v>98.82803438</v>
      </c>
      <c r="BK78" s="347">
        <f t="shared" si="78"/>
        <v>94.87663266</v>
      </c>
      <c r="BL78" s="347">
        <f t="shared" si="78"/>
        <v>95.25201582</v>
      </c>
      <c r="BM78" s="347">
        <f t="shared" si="78"/>
        <v>95.6292759</v>
      </c>
      <c r="BN78" s="347">
        <f t="shared" si="78"/>
        <v>96.00842228</v>
      </c>
      <c r="BO78" s="347">
        <f t="shared" si="78"/>
        <v>96.38946439</v>
      </c>
      <c r="BP78" s="347">
        <f t="shared" si="78"/>
        <v>96.77241171</v>
      </c>
      <c r="BQ78" s="347">
        <f t="shared" si="78"/>
        <v>97.15727377</v>
      </c>
      <c r="BR78" s="347">
        <f t="shared" si="78"/>
        <v>97.54406014</v>
      </c>
      <c r="BS78" s="347">
        <f t="shared" si="78"/>
        <v>97.93278044</v>
      </c>
      <c r="BT78" s="347">
        <f t="shared" si="78"/>
        <v>98.32344435</v>
      </c>
      <c r="BU78" s="347">
        <f t="shared" si="78"/>
        <v>98.71606157</v>
      </c>
      <c r="BV78" s="347">
        <f t="shared" si="78"/>
        <v>99.11064187</v>
      </c>
      <c r="BW78" s="347">
        <f t="shared" si="78"/>
        <v>91.17957769</v>
      </c>
      <c r="BX78" s="347">
        <f t="shared" si="78"/>
        <v>91.53647558</v>
      </c>
      <c r="BY78" s="347">
        <f t="shared" si="78"/>
        <v>91.89515795</v>
      </c>
      <c r="BZ78" s="347">
        <f t="shared" si="78"/>
        <v>92.25563374</v>
      </c>
      <c r="CA78" s="347">
        <f t="shared" si="78"/>
        <v>92.61791191</v>
      </c>
      <c r="CB78" s="347">
        <f t="shared" si="78"/>
        <v>92.98200147</v>
      </c>
      <c r="CC78" s="347">
        <f t="shared" si="78"/>
        <v>93.34791148</v>
      </c>
      <c r="CD78" s="347">
        <f t="shared" si="78"/>
        <v>93.71565104</v>
      </c>
      <c r="CE78" s="347">
        <f t="shared" si="78"/>
        <v>94.08522929</v>
      </c>
      <c r="CF78" s="347">
        <f t="shared" si="78"/>
        <v>94.45665544</v>
      </c>
      <c r="CG78" s="347">
        <f t="shared" si="78"/>
        <v>94.82993872</v>
      </c>
      <c r="CH78" s="347">
        <f t="shared" si="78"/>
        <v>95.20508841</v>
      </c>
      <c r="CI78" s="343"/>
      <c r="CJ78" s="343"/>
      <c r="CK78" s="343"/>
      <c r="CL78" s="343"/>
      <c r="CM78" s="343"/>
      <c r="CN78" s="343"/>
      <c r="CO78" s="343"/>
      <c r="CP78" s="343"/>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f>SUM(AA78:AL78)/SUM(AA45:AL45)</f>
        <v>0.6116660276</v>
      </c>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row>
    <row r="80" ht="15.75" customHeight="1">
      <c r="A80" s="1" t="s">
        <v>129</v>
      </c>
      <c r="B80" s="317"/>
      <c r="C80" s="317">
        <f t="shared" ref="C80:C85" si="80">IFERROR(D88/#REF!,0)</f>
        <v>0</v>
      </c>
      <c r="D80" s="317">
        <f t="shared" ref="D80:Y80" si="79">IFERROR(E88/C72,0)</f>
        <v>0.3333333333</v>
      </c>
      <c r="E80" s="317">
        <f t="shared" si="79"/>
        <v>0.3333333333</v>
      </c>
      <c r="F80" s="317">
        <f t="shared" si="79"/>
        <v>0.3333333333</v>
      </c>
      <c r="G80" s="317">
        <f t="shared" si="79"/>
        <v>0.3333333333</v>
      </c>
      <c r="H80" s="317">
        <f t="shared" si="79"/>
        <v>0.3333333333</v>
      </c>
      <c r="I80" s="317">
        <f t="shared" si="79"/>
        <v>0.3333333333</v>
      </c>
      <c r="J80" s="317">
        <f t="shared" si="79"/>
        <v>0.3333333333</v>
      </c>
      <c r="K80" s="317">
        <f t="shared" si="79"/>
        <v>0.3333333333</v>
      </c>
      <c r="L80" s="317">
        <f t="shared" si="79"/>
        <v>0.3333333333</v>
      </c>
      <c r="M80" s="317">
        <f t="shared" si="79"/>
        <v>0.3333333333</v>
      </c>
      <c r="N80" s="317">
        <f t="shared" si="79"/>
        <v>0.3333333333</v>
      </c>
      <c r="O80" s="317">
        <f t="shared" si="79"/>
        <v>0.3333333333</v>
      </c>
      <c r="P80" s="317">
        <f t="shared" si="79"/>
        <v>0.3333333333</v>
      </c>
      <c r="Q80" s="317">
        <f t="shared" si="79"/>
        <v>0.3333333333</v>
      </c>
      <c r="R80" s="317">
        <f t="shared" si="79"/>
        <v>0.3333333333</v>
      </c>
      <c r="S80" s="317">
        <f t="shared" si="79"/>
        <v>0.3333333333</v>
      </c>
      <c r="T80" s="317">
        <f t="shared" si="79"/>
        <v>0.3333333333</v>
      </c>
      <c r="U80" s="317">
        <f t="shared" si="79"/>
        <v>0.3333333333</v>
      </c>
      <c r="V80" s="317">
        <f t="shared" si="79"/>
        <v>0.3333333333</v>
      </c>
      <c r="W80" s="317">
        <f t="shared" si="79"/>
        <v>0.3333333333</v>
      </c>
      <c r="X80" s="317">
        <f t="shared" si="79"/>
        <v>0.3333333333</v>
      </c>
      <c r="Y80" s="317">
        <f t="shared" si="79"/>
        <v>0.25</v>
      </c>
      <c r="Z80" s="318">
        <v>0.25</v>
      </c>
      <c r="AA80" s="318">
        <v>0.25</v>
      </c>
      <c r="AB80" s="318">
        <v>0.25</v>
      </c>
      <c r="AC80" s="318">
        <v>0.25</v>
      </c>
      <c r="AD80" s="318">
        <v>0.25</v>
      </c>
      <c r="AE80" s="318">
        <v>0.25</v>
      </c>
      <c r="AF80" s="318">
        <v>0.25</v>
      </c>
      <c r="AG80" s="318">
        <v>0.25</v>
      </c>
      <c r="AH80" s="318">
        <v>0.25</v>
      </c>
      <c r="AI80" s="318">
        <v>0.25</v>
      </c>
      <c r="AJ80" s="318">
        <v>0.25</v>
      </c>
      <c r="AK80" s="318">
        <v>0.25</v>
      </c>
      <c r="AL80" s="318">
        <v>0.25</v>
      </c>
      <c r="AM80" s="318">
        <v>0.25</v>
      </c>
      <c r="AN80" s="318">
        <v>0.25</v>
      </c>
      <c r="AO80" s="318">
        <v>0.25</v>
      </c>
      <c r="AP80" s="318">
        <v>0.25</v>
      </c>
      <c r="AQ80" s="318">
        <v>0.25</v>
      </c>
      <c r="AR80" s="318">
        <v>0.25</v>
      </c>
      <c r="AS80" s="318">
        <v>0.25</v>
      </c>
      <c r="AT80" s="318">
        <v>0.25</v>
      </c>
      <c r="AU80" s="318">
        <v>0.25</v>
      </c>
      <c r="AV80" s="318">
        <v>0.25</v>
      </c>
      <c r="AW80" s="318">
        <v>0.25</v>
      </c>
      <c r="AX80" s="318">
        <v>0.25</v>
      </c>
      <c r="AY80" s="318">
        <v>0.25</v>
      </c>
      <c r="AZ80" s="318">
        <v>0.25</v>
      </c>
      <c r="BA80" s="318">
        <v>0.25</v>
      </c>
      <c r="BB80" s="318">
        <v>0.25</v>
      </c>
      <c r="BC80" s="318">
        <v>0.25</v>
      </c>
      <c r="BD80" s="318">
        <v>0.25</v>
      </c>
      <c r="BE80" s="318">
        <v>0.25</v>
      </c>
      <c r="BF80" s="318">
        <v>0.25</v>
      </c>
      <c r="BG80" s="318">
        <v>0.25</v>
      </c>
      <c r="BH80" s="318">
        <v>0.25</v>
      </c>
      <c r="BI80" s="318">
        <v>0.25</v>
      </c>
      <c r="BJ80" s="318">
        <v>0.25</v>
      </c>
      <c r="BK80" s="318">
        <v>0.25</v>
      </c>
      <c r="BL80" s="318">
        <v>0.25</v>
      </c>
      <c r="BM80" s="318">
        <v>0.25</v>
      </c>
      <c r="BN80" s="318">
        <v>0.25</v>
      </c>
      <c r="BO80" s="318">
        <v>0.25</v>
      </c>
      <c r="BP80" s="318">
        <v>0.25</v>
      </c>
      <c r="BQ80" s="318">
        <v>0.25</v>
      </c>
      <c r="BR80" s="318">
        <v>0.25</v>
      </c>
      <c r="BS80" s="318">
        <v>0.25</v>
      </c>
      <c r="BT80" s="318">
        <v>0.25</v>
      </c>
      <c r="BU80" s="318">
        <v>0.25</v>
      </c>
      <c r="BV80" s="318">
        <v>0.25</v>
      </c>
      <c r="BW80" s="318">
        <v>0.25</v>
      </c>
      <c r="BX80" s="318">
        <v>0.25</v>
      </c>
      <c r="BY80" s="318">
        <v>0.25</v>
      </c>
      <c r="BZ80" s="318">
        <v>0.25</v>
      </c>
      <c r="CA80" s="318">
        <v>0.25</v>
      </c>
      <c r="CB80" s="318">
        <v>0.25</v>
      </c>
      <c r="CC80" s="318">
        <v>0.25</v>
      </c>
      <c r="CD80" s="318">
        <v>0.25</v>
      </c>
      <c r="CE80" s="318">
        <v>0.25</v>
      </c>
      <c r="CF80" s="318">
        <v>0.25</v>
      </c>
      <c r="CG80" s="318">
        <v>0.25</v>
      </c>
      <c r="CH80" s="318">
        <v>0.25</v>
      </c>
      <c r="CI80" s="1"/>
      <c r="CJ80" s="1"/>
      <c r="CK80" s="1"/>
      <c r="CL80" s="1"/>
      <c r="CM80" s="1"/>
      <c r="CN80" s="1"/>
      <c r="CO80" s="1"/>
      <c r="CP80" s="1"/>
    </row>
    <row r="81" ht="15.75" customHeight="1">
      <c r="A81" s="1" t="s">
        <v>85</v>
      </c>
      <c r="B81" s="317"/>
      <c r="C81" s="317">
        <f t="shared" si="80"/>
        <v>0</v>
      </c>
      <c r="D81" s="317">
        <f t="shared" ref="D81:Y81" si="81">IFERROR(E89/C73,0)</f>
        <v>0.3333333333</v>
      </c>
      <c r="E81" s="317">
        <f t="shared" si="81"/>
        <v>0.3333333333</v>
      </c>
      <c r="F81" s="317">
        <f t="shared" si="81"/>
        <v>0.3333333333</v>
      </c>
      <c r="G81" s="317">
        <f t="shared" si="81"/>
        <v>0.3333333333</v>
      </c>
      <c r="H81" s="317">
        <f t="shared" si="81"/>
        <v>0.3333333333</v>
      </c>
      <c r="I81" s="317">
        <f t="shared" si="81"/>
        <v>0.3333333333</v>
      </c>
      <c r="J81" s="317">
        <f t="shared" si="81"/>
        <v>0.3333333333</v>
      </c>
      <c r="K81" s="317">
        <f t="shared" si="81"/>
        <v>0.3333333333</v>
      </c>
      <c r="L81" s="317">
        <f t="shared" si="81"/>
        <v>0.3333333333</v>
      </c>
      <c r="M81" s="317">
        <f t="shared" si="81"/>
        <v>0.3333333333</v>
      </c>
      <c r="N81" s="317">
        <f t="shared" si="81"/>
        <v>0.3333333333</v>
      </c>
      <c r="O81" s="317">
        <f t="shared" si="81"/>
        <v>0.3333333333</v>
      </c>
      <c r="P81" s="317">
        <f t="shared" si="81"/>
        <v>0.3333333333</v>
      </c>
      <c r="Q81" s="317">
        <f t="shared" si="81"/>
        <v>0.3333333333</v>
      </c>
      <c r="R81" s="317">
        <f t="shared" si="81"/>
        <v>0.3333333333</v>
      </c>
      <c r="S81" s="317">
        <f t="shared" si="81"/>
        <v>0.3333333333</v>
      </c>
      <c r="T81" s="317">
        <f t="shared" si="81"/>
        <v>0.3333333333</v>
      </c>
      <c r="U81" s="317">
        <f t="shared" si="81"/>
        <v>0.3333333333</v>
      </c>
      <c r="V81" s="317">
        <f t="shared" si="81"/>
        <v>0.3333333333</v>
      </c>
      <c r="W81" s="317">
        <f t="shared" si="81"/>
        <v>0.3333333333</v>
      </c>
      <c r="X81" s="317">
        <f t="shared" si="81"/>
        <v>0.3333333333</v>
      </c>
      <c r="Y81" s="317">
        <f t="shared" si="81"/>
        <v>0.25</v>
      </c>
      <c r="Z81" s="318">
        <v>0.25</v>
      </c>
      <c r="AA81" s="318">
        <v>0.25</v>
      </c>
      <c r="AB81" s="318">
        <v>0.25</v>
      </c>
      <c r="AC81" s="318">
        <v>0.25</v>
      </c>
      <c r="AD81" s="318">
        <v>0.25</v>
      </c>
      <c r="AE81" s="318">
        <v>0.25</v>
      </c>
      <c r="AF81" s="318">
        <v>0.25</v>
      </c>
      <c r="AG81" s="318">
        <v>0.25</v>
      </c>
      <c r="AH81" s="318">
        <v>0.25</v>
      </c>
      <c r="AI81" s="318">
        <v>0.25</v>
      </c>
      <c r="AJ81" s="318">
        <v>0.25</v>
      </c>
      <c r="AK81" s="318">
        <v>0.25</v>
      </c>
      <c r="AL81" s="318">
        <v>0.25</v>
      </c>
      <c r="AM81" s="318">
        <v>0.25</v>
      </c>
      <c r="AN81" s="318">
        <v>0.25</v>
      </c>
      <c r="AO81" s="318">
        <v>0.25</v>
      </c>
      <c r="AP81" s="318">
        <v>0.25</v>
      </c>
      <c r="AQ81" s="318">
        <v>0.25</v>
      </c>
      <c r="AR81" s="318">
        <v>0.25</v>
      </c>
      <c r="AS81" s="318">
        <v>0.25</v>
      </c>
      <c r="AT81" s="318">
        <v>0.25</v>
      </c>
      <c r="AU81" s="318">
        <v>0.25</v>
      </c>
      <c r="AV81" s="318">
        <v>0.25</v>
      </c>
      <c r="AW81" s="318">
        <v>0.25</v>
      </c>
      <c r="AX81" s="318">
        <v>0.25</v>
      </c>
      <c r="AY81" s="318">
        <v>0.25</v>
      </c>
      <c r="AZ81" s="318">
        <v>0.25</v>
      </c>
      <c r="BA81" s="318">
        <v>0.25</v>
      </c>
      <c r="BB81" s="318">
        <v>0.25</v>
      </c>
      <c r="BC81" s="318">
        <v>0.25</v>
      </c>
      <c r="BD81" s="318">
        <v>0.25</v>
      </c>
      <c r="BE81" s="318">
        <v>0.25</v>
      </c>
      <c r="BF81" s="318">
        <v>0.25</v>
      </c>
      <c r="BG81" s="318">
        <v>0.25</v>
      </c>
      <c r="BH81" s="318">
        <v>0.25</v>
      </c>
      <c r="BI81" s="318">
        <v>0.25</v>
      </c>
      <c r="BJ81" s="318">
        <v>0.25</v>
      </c>
      <c r="BK81" s="318">
        <v>0.25</v>
      </c>
      <c r="BL81" s="318">
        <v>0.25</v>
      </c>
      <c r="BM81" s="318">
        <v>0.25</v>
      </c>
      <c r="BN81" s="318">
        <v>0.25</v>
      </c>
      <c r="BO81" s="318">
        <v>0.25</v>
      </c>
      <c r="BP81" s="318">
        <v>0.25</v>
      </c>
      <c r="BQ81" s="318">
        <v>0.25</v>
      </c>
      <c r="BR81" s="318">
        <v>0.25</v>
      </c>
      <c r="BS81" s="318">
        <v>0.25</v>
      </c>
      <c r="BT81" s="318">
        <v>0.25</v>
      </c>
      <c r="BU81" s="318">
        <v>0.25</v>
      </c>
      <c r="BV81" s="318">
        <v>0.25</v>
      </c>
      <c r="BW81" s="318">
        <v>0.25</v>
      </c>
      <c r="BX81" s="318">
        <v>0.25</v>
      </c>
      <c r="BY81" s="318">
        <v>0.25</v>
      </c>
      <c r="BZ81" s="318">
        <v>0.25</v>
      </c>
      <c r="CA81" s="318">
        <v>0.25</v>
      </c>
      <c r="CB81" s="318">
        <v>0.25</v>
      </c>
      <c r="CC81" s="318">
        <v>0.25</v>
      </c>
      <c r="CD81" s="318">
        <v>0.25</v>
      </c>
      <c r="CE81" s="318">
        <v>0.25</v>
      </c>
      <c r="CF81" s="318">
        <v>0.25</v>
      </c>
      <c r="CG81" s="318">
        <v>0.25</v>
      </c>
      <c r="CH81" s="318">
        <v>0.25</v>
      </c>
      <c r="CI81" s="1"/>
      <c r="CJ81" s="1"/>
      <c r="CK81" s="1"/>
      <c r="CL81" s="1"/>
      <c r="CM81" s="1"/>
      <c r="CN81" s="1"/>
      <c r="CO81" s="1"/>
      <c r="CP81" s="1"/>
    </row>
    <row r="82" ht="15.75" customHeight="1">
      <c r="A82" s="1" t="s">
        <v>130</v>
      </c>
      <c r="B82" s="317"/>
      <c r="C82" s="317">
        <f t="shared" si="80"/>
        <v>0</v>
      </c>
      <c r="D82" s="317">
        <f t="shared" ref="D82:Y82" si="82">IFERROR(E90/C74,0)</f>
        <v>0.3333333333</v>
      </c>
      <c r="E82" s="317">
        <f t="shared" si="82"/>
        <v>0.3333333333</v>
      </c>
      <c r="F82" s="317">
        <f t="shared" si="82"/>
        <v>0.3333333333</v>
      </c>
      <c r="G82" s="317">
        <f t="shared" si="82"/>
        <v>0.3333333333</v>
      </c>
      <c r="H82" s="317">
        <f t="shared" si="82"/>
        <v>0.3333333333</v>
      </c>
      <c r="I82" s="317">
        <f t="shared" si="82"/>
        <v>0.3333333333</v>
      </c>
      <c r="J82" s="317">
        <f t="shared" si="82"/>
        <v>0.3333333333</v>
      </c>
      <c r="K82" s="317">
        <f t="shared" si="82"/>
        <v>0.3333333333</v>
      </c>
      <c r="L82" s="317">
        <f t="shared" si="82"/>
        <v>0.3333333333</v>
      </c>
      <c r="M82" s="317">
        <f t="shared" si="82"/>
        <v>0.3333333333</v>
      </c>
      <c r="N82" s="317">
        <f t="shared" si="82"/>
        <v>0.3333333333</v>
      </c>
      <c r="O82" s="317">
        <f t="shared" si="82"/>
        <v>0.3333333333</v>
      </c>
      <c r="P82" s="317">
        <f t="shared" si="82"/>
        <v>0.3333333333</v>
      </c>
      <c r="Q82" s="317">
        <f t="shared" si="82"/>
        <v>0.3333333333</v>
      </c>
      <c r="R82" s="317">
        <f t="shared" si="82"/>
        <v>0.3333333333</v>
      </c>
      <c r="S82" s="317">
        <f t="shared" si="82"/>
        <v>0.3333333333</v>
      </c>
      <c r="T82" s="317">
        <f t="shared" si="82"/>
        <v>0.3333333333</v>
      </c>
      <c r="U82" s="317">
        <f t="shared" si="82"/>
        <v>0.3333333333</v>
      </c>
      <c r="V82" s="317">
        <f t="shared" si="82"/>
        <v>0.3333333333</v>
      </c>
      <c r="W82" s="317">
        <f t="shared" si="82"/>
        <v>0.3333333333</v>
      </c>
      <c r="X82" s="317">
        <f t="shared" si="82"/>
        <v>0.3333333333</v>
      </c>
      <c r="Y82" s="317">
        <f t="shared" si="82"/>
        <v>0.25</v>
      </c>
      <c r="Z82" s="318">
        <v>0.25</v>
      </c>
      <c r="AA82" s="318">
        <v>0.25</v>
      </c>
      <c r="AB82" s="318">
        <v>0.25</v>
      </c>
      <c r="AC82" s="318">
        <v>0.25</v>
      </c>
      <c r="AD82" s="318">
        <v>0.25</v>
      </c>
      <c r="AE82" s="318">
        <v>0.25</v>
      </c>
      <c r="AF82" s="318">
        <v>0.25</v>
      </c>
      <c r="AG82" s="318">
        <v>0.25</v>
      </c>
      <c r="AH82" s="318">
        <v>0.25</v>
      </c>
      <c r="AI82" s="318">
        <v>0.25</v>
      </c>
      <c r="AJ82" s="318">
        <v>0.25</v>
      </c>
      <c r="AK82" s="318">
        <v>0.25</v>
      </c>
      <c r="AL82" s="318">
        <v>0.25</v>
      </c>
      <c r="AM82" s="318">
        <v>0.25</v>
      </c>
      <c r="AN82" s="318">
        <v>0.25</v>
      </c>
      <c r="AO82" s="318">
        <v>0.25</v>
      </c>
      <c r="AP82" s="318">
        <v>0.25</v>
      </c>
      <c r="AQ82" s="318">
        <v>0.25</v>
      </c>
      <c r="AR82" s="318">
        <v>0.25</v>
      </c>
      <c r="AS82" s="318">
        <v>0.25</v>
      </c>
      <c r="AT82" s="318">
        <v>0.25</v>
      </c>
      <c r="AU82" s="318">
        <v>0.25</v>
      </c>
      <c r="AV82" s="318">
        <v>0.25</v>
      </c>
      <c r="AW82" s="318">
        <v>0.25</v>
      </c>
      <c r="AX82" s="318">
        <v>0.25</v>
      </c>
      <c r="AY82" s="318">
        <v>0.25</v>
      </c>
      <c r="AZ82" s="318">
        <v>0.25</v>
      </c>
      <c r="BA82" s="318">
        <v>0.25</v>
      </c>
      <c r="BB82" s="318">
        <v>0.25</v>
      </c>
      <c r="BC82" s="318">
        <v>0.25</v>
      </c>
      <c r="BD82" s="318">
        <v>0.25</v>
      </c>
      <c r="BE82" s="318">
        <v>0.25</v>
      </c>
      <c r="BF82" s="318">
        <v>0.25</v>
      </c>
      <c r="BG82" s="318">
        <v>0.25</v>
      </c>
      <c r="BH82" s="318">
        <v>0.25</v>
      </c>
      <c r="BI82" s="318">
        <v>0.25</v>
      </c>
      <c r="BJ82" s="318">
        <v>0.25</v>
      </c>
      <c r="BK82" s="318">
        <v>0.25</v>
      </c>
      <c r="BL82" s="318">
        <v>0.25</v>
      </c>
      <c r="BM82" s="318">
        <v>0.25</v>
      </c>
      <c r="BN82" s="318">
        <v>0.25</v>
      </c>
      <c r="BO82" s="318">
        <v>0.25</v>
      </c>
      <c r="BP82" s="318">
        <v>0.25</v>
      </c>
      <c r="BQ82" s="318">
        <v>0.25</v>
      </c>
      <c r="BR82" s="318">
        <v>0.25</v>
      </c>
      <c r="BS82" s="318">
        <v>0.25</v>
      </c>
      <c r="BT82" s="318">
        <v>0.25</v>
      </c>
      <c r="BU82" s="318">
        <v>0.25</v>
      </c>
      <c r="BV82" s="318">
        <v>0.25</v>
      </c>
      <c r="BW82" s="318">
        <v>0.25</v>
      </c>
      <c r="BX82" s="318">
        <v>0.25</v>
      </c>
      <c r="BY82" s="318">
        <v>0.25</v>
      </c>
      <c r="BZ82" s="318">
        <v>0.25</v>
      </c>
      <c r="CA82" s="318">
        <v>0.25</v>
      </c>
      <c r="CB82" s="318">
        <v>0.25</v>
      </c>
      <c r="CC82" s="318">
        <v>0.25</v>
      </c>
      <c r="CD82" s="318">
        <v>0.25</v>
      </c>
      <c r="CE82" s="318">
        <v>0.25</v>
      </c>
      <c r="CF82" s="318">
        <v>0.25</v>
      </c>
      <c r="CG82" s="318">
        <v>0.25</v>
      </c>
      <c r="CH82" s="318">
        <v>0.25</v>
      </c>
      <c r="CI82" s="1"/>
      <c r="CJ82" s="1"/>
      <c r="CK82" s="1"/>
      <c r="CL82" s="1"/>
      <c r="CM82" s="1"/>
      <c r="CN82" s="1"/>
      <c r="CO82" s="1"/>
      <c r="CP82" s="1"/>
    </row>
    <row r="83" ht="15.75" customHeight="1">
      <c r="A83" s="1" t="s">
        <v>89</v>
      </c>
      <c r="B83" s="317"/>
      <c r="C83" s="317">
        <f t="shared" si="80"/>
        <v>0</v>
      </c>
      <c r="D83" s="317">
        <f t="shared" ref="D83:Y83" si="83">IFERROR(E91/C75,0)</f>
        <v>0.3333333333</v>
      </c>
      <c r="E83" s="317">
        <f t="shared" si="83"/>
        <v>0.3333333333</v>
      </c>
      <c r="F83" s="317">
        <f t="shared" si="83"/>
        <v>0.3333333333</v>
      </c>
      <c r="G83" s="317">
        <f t="shared" si="83"/>
        <v>0.3333333333</v>
      </c>
      <c r="H83" s="317">
        <f t="shared" si="83"/>
        <v>0.3333333333</v>
      </c>
      <c r="I83" s="317">
        <f t="shared" si="83"/>
        <v>0.3333333333</v>
      </c>
      <c r="J83" s="317">
        <f t="shared" si="83"/>
        <v>0.3333333333</v>
      </c>
      <c r="K83" s="317">
        <f t="shared" si="83"/>
        <v>0.3333333333</v>
      </c>
      <c r="L83" s="317">
        <f t="shared" si="83"/>
        <v>0.3333333333</v>
      </c>
      <c r="M83" s="317">
        <f t="shared" si="83"/>
        <v>0.3333333333</v>
      </c>
      <c r="N83" s="317">
        <f t="shared" si="83"/>
        <v>0.3333333333</v>
      </c>
      <c r="O83" s="317">
        <f t="shared" si="83"/>
        <v>0.3333333333</v>
      </c>
      <c r="P83" s="317">
        <f t="shared" si="83"/>
        <v>0.3333333333</v>
      </c>
      <c r="Q83" s="317">
        <f t="shared" si="83"/>
        <v>0.3333333333</v>
      </c>
      <c r="R83" s="317">
        <f t="shared" si="83"/>
        <v>0.3333333333</v>
      </c>
      <c r="S83" s="317">
        <f t="shared" si="83"/>
        <v>0.3333333333</v>
      </c>
      <c r="T83" s="317">
        <f t="shared" si="83"/>
        <v>0.3333333333</v>
      </c>
      <c r="U83" s="317">
        <f t="shared" si="83"/>
        <v>0.3333333333</v>
      </c>
      <c r="V83" s="317">
        <f t="shared" si="83"/>
        <v>0.3333333333</v>
      </c>
      <c r="W83" s="317">
        <f t="shared" si="83"/>
        <v>0.3333333333</v>
      </c>
      <c r="X83" s="317">
        <f t="shared" si="83"/>
        <v>0.3333333333</v>
      </c>
      <c r="Y83" s="317">
        <f t="shared" si="83"/>
        <v>0.25</v>
      </c>
      <c r="Z83" s="318">
        <v>0.25</v>
      </c>
      <c r="AA83" s="318">
        <v>0.25</v>
      </c>
      <c r="AB83" s="318">
        <v>0.25</v>
      </c>
      <c r="AC83" s="318">
        <v>0.25</v>
      </c>
      <c r="AD83" s="318">
        <v>0.25</v>
      </c>
      <c r="AE83" s="318">
        <v>0.25</v>
      </c>
      <c r="AF83" s="318">
        <v>0.25</v>
      </c>
      <c r="AG83" s="318">
        <v>0.25</v>
      </c>
      <c r="AH83" s="318">
        <v>0.25</v>
      </c>
      <c r="AI83" s="318">
        <v>0.25</v>
      </c>
      <c r="AJ83" s="318">
        <v>0.25</v>
      </c>
      <c r="AK83" s="318">
        <v>0.25</v>
      </c>
      <c r="AL83" s="318">
        <v>0.25</v>
      </c>
      <c r="AM83" s="318">
        <v>0.25</v>
      </c>
      <c r="AN83" s="318">
        <v>0.25</v>
      </c>
      <c r="AO83" s="318">
        <v>0.25</v>
      </c>
      <c r="AP83" s="318">
        <v>0.25</v>
      </c>
      <c r="AQ83" s="318">
        <v>0.25</v>
      </c>
      <c r="AR83" s="318">
        <v>0.25</v>
      </c>
      <c r="AS83" s="318">
        <v>0.25</v>
      </c>
      <c r="AT83" s="318">
        <v>0.25</v>
      </c>
      <c r="AU83" s="318">
        <v>0.25</v>
      </c>
      <c r="AV83" s="318">
        <v>0.25</v>
      </c>
      <c r="AW83" s="318">
        <v>0.25</v>
      </c>
      <c r="AX83" s="318">
        <v>0.25</v>
      </c>
      <c r="AY83" s="318">
        <v>0.25</v>
      </c>
      <c r="AZ83" s="318">
        <v>0.25</v>
      </c>
      <c r="BA83" s="318">
        <v>0.25</v>
      </c>
      <c r="BB83" s="318">
        <v>0.25</v>
      </c>
      <c r="BC83" s="318">
        <v>0.25</v>
      </c>
      <c r="BD83" s="318">
        <v>0.25</v>
      </c>
      <c r="BE83" s="318">
        <v>0.25</v>
      </c>
      <c r="BF83" s="318">
        <v>0.25</v>
      </c>
      <c r="BG83" s="318">
        <v>0.25</v>
      </c>
      <c r="BH83" s="318">
        <v>0.25</v>
      </c>
      <c r="BI83" s="318">
        <v>0.25</v>
      </c>
      <c r="BJ83" s="318">
        <v>0.25</v>
      </c>
      <c r="BK83" s="318">
        <v>0.25</v>
      </c>
      <c r="BL83" s="318">
        <v>0.25</v>
      </c>
      <c r="BM83" s="318">
        <v>0.25</v>
      </c>
      <c r="BN83" s="318">
        <v>0.25</v>
      </c>
      <c r="BO83" s="318">
        <v>0.25</v>
      </c>
      <c r="BP83" s="318">
        <v>0.25</v>
      </c>
      <c r="BQ83" s="318">
        <v>0.25</v>
      </c>
      <c r="BR83" s="318">
        <v>0.25</v>
      </c>
      <c r="BS83" s="318">
        <v>0.25</v>
      </c>
      <c r="BT83" s="318">
        <v>0.25</v>
      </c>
      <c r="BU83" s="318">
        <v>0.25</v>
      </c>
      <c r="BV83" s="318">
        <v>0.25</v>
      </c>
      <c r="BW83" s="318">
        <v>0.25</v>
      </c>
      <c r="BX83" s="318">
        <v>0.25</v>
      </c>
      <c r="BY83" s="318">
        <v>0.25</v>
      </c>
      <c r="BZ83" s="318">
        <v>0.25</v>
      </c>
      <c r="CA83" s="318">
        <v>0.25</v>
      </c>
      <c r="CB83" s="318">
        <v>0.25</v>
      </c>
      <c r="CC83" s="318">
        <v>0.25</v>
      </c>
      <c r="CD83" s="318">
        <v>0.25</v>
      </c>
      <c r="CE83" s="318">
        <v>0.25</v>
      </c>
      <c r="CF83" s="318">
        <v>0.25</v>
      </c>
      <c r="CG83" s="318">
        <v>0.25</v>
      </c>
      <c r="CH83" s="318">
        <v>0.25</v>
      </c>
      <c r="CI83" s="1"/>
      <c r="CJ83" s="1"/>
      <c r="CK83" s="1"/>
      <c r="CL83" s="1"/>
      <c r="CM83" s="1"/>
      <c r="CN83" s="1"/>
      <c r="CO83" s="1"/>
      <c r="CP83" s="1"/>
    </row>
    <row r="84" ht="15.75" customHeight="1">
      <c r="A84" s="1" t="s">
        <v>94</v>
      </c>
      <c r="B84" s="317"/>
      <c r="C84" s="317">
        <f t="shared" si="80"/>
        <v>0</v>
      </c>
      <c r="D84" s="317">
        <f t="shared" ref="D84:Y84" si="84">IFERROR(E92/C76,0)</f>
        <v>0.3333333333</v>
      </c>
      <c r="E84" s="317">
        <f t="shared" si="84"/>
        <v>0.3333333333</v>
      </c>
      <c r="F84" s="317">
        <f t="shared" si="84"/>
        <v>0.3333333333</v>
      </c>
      <c r="G84" s="317">
        <f t="shared" si="84"/>
        <v>0.3333333333</v>
      </c>
      <c r="H84" s="317">
        <f t="shared" si="84"/>
        <v>0.3333333333</v>
      </c>
      <c r="I84" s="317">
        <f t="shared" si="84"/>
        <v>0.3333333333</v>
      </c>
      <c r="J84" s="317">
        <f t="shared" si="84"/>
        <v>0.3333333333</v>
      </c>
      <c r="K84" s="317">
        <f t="shared" si="84"/>
        <v>0.3333333333</v>
      </c>
      <c r="L84" s="317">
        <f t="shared" si="84"/>
        <v>0.3333333333</v>
      </c>
      <c r="M84" s="317">
        <f t="shared" si="84"/>
        <v>0.3333333333</v>
      </c>
      <c r="N84" s="317">
        <f t="shared" si="84"/>
        <v>0.3333333333</v>
      </c>
      <c r="O84" s="317">
        <f t="shared" si="84"/>
        <v>0.3333333333</v>
      </c>
      <c r="P84" s="317">
        <f t="shared" si="84"/>
        <v>0.3333333333</v>
      </c>
      <c r="Q84" s="317">
        <f t="shared" si="84"/>
        <v>0.3333333333</v>
      </c>
      <c r="R84" s="317">
        <f t="shared" si="84"/>
        <v>0.3333333333</v>
      </c>
      <c r="S84" s="317">
        <f t="shared" si="84"/>
        <v>0.3333333333</v>
      </c>
      <c r="T84" s="317">
        <f t="shared" si="84"/>
        <v>0.3333333333</v>
      </c>
      <c r="U84" s="317">
        <f t="shared" si="84"/>
        <v>0.3333333333</v>
      </c>
      <c r="V84" s="317">
        <f t="shared" si="84"/>
        <v>0.3333333333</v>
      </c>
      <c r="W84" s="317">
        <f t="shared" si="84"/>
        <v>0.3333333333</v>
      </c>
      <c r="X84" s="317">
        <f t="shared" si="84"/>
        <v>0.3333333333</v>
      </c>
      <c r="Y84" s="317">
        <f t="shared" si="84"/>
        <v>0.25</v>
      </c>
      <c r="Z84" s="318">
        <v>0.25</v>
      </c>
      <c r="AA84" s="318">
        <v>0.25</v>
      </c>
      <c r="AB84" s="318">
        <v>0.25</v>
      </c>
      <c r="AC84" s="318">
        <v>0.25</v>
      </c>
      <c r="AD84" s="318">
        <v>0.25</v>
      </c>
      <c r="AE84" s="318">
        <v>0.25</v>
      </c>
      <c r="AF84" s="318">
        <v>0.25</v>
      </c>
      <c r="AG84" s="318">
        <v>0.25</v>
      </c>
      <c r="AH84" s="318">
        <v>0.25</v>
      </c>
      <c r="AI84" s="318">
        <v>0.25</v>
      </c>
      <c r="AJ84" s="318">
        <v>0.25</v>
      </c>
      <c r="AK84" s="318">
        <v>0.25</v>
      </c>
      <c r="AL84" s="318">
        <v>0.25</v>
      </c>
      <c r="AM84" s="318">
        <v>0.25</v>
      </c>
      <c r="AN84" s="318">
        <v>0.25</v>
      </c>
      <c r="AO84" s="318">
        <v>0.25</v>
      </c>
      <c r="AP84" s="318">
        <v>0.25</v>
      </c>
      <c r="AQ84" s="318">
        <v>0.25</v>
      </c>
      <c r="AR84" s="318">
        <v>0.25</v>
      </c>
      <c r="AS84" s="318">
        <v>0.25</v>
      </c>
      <c r="AT84" s="318">
        <v>0.25</v>
      </c>
      <c r="AU84" s="318">
        <v>0.25</v>
      </c>
      <c r="AV84" s="318">
        <v>0.25</v>
      </c>
      <c r="AW84" s="318">
        <v>0.25</v>
      </c>
      <c r="AX84" s="318">
        <v>0.25</v>
      </c>
      <c r="AY84" s="318">
        <v>0.25</v>
      </c>
      <c r="AZ84" s="318">
        <v>0.25</v>
      </c>
      <c r="BA84" s="318">
        <v>0.25</v>
      </c>
      <c r="BB84" s="318">
        <v>0.25</v>
      </c>
      <c r="BC84" s="318">
        <v>0.25</v>
      </c>
      <c r="BD84" s="318">
        <v>0.25</v>
      </c>
      <c r="BE84" s="318">
        <v>0.25</v>
      </c>
      <c r="BF84" s="318">
        <v>0.25</v>
      </c>
      <c r="BG84" s="318">
        <v>0.25</v>
      </c>
      <c r="BH84" s="318">
        <v>0.25</v>
      </c>
      <c r="BI84" s="318">
        <v>0.25</v>
      </c>
      <c r="BJ84" s="318">
        <v>0.25</v>
      </c>
      <c r="BK84" s="318">
        <v>0.25</v>
      </c>
      <c r="BL84" s="318">
        <v>0.25</v>
      </c>
      <c r="BM84" s="318">
        <v>0.25</v>
      </c>
      <c r="BN84" s="318">
        <v>0.25</v>
      </c>
      <c r="BO84" s="318">
        <v>0.25</v>
      </c>
      <c r="BP84" s="318">
        <v>0.25</v>
      </c>
      <c r="BQ84" s="318">
        <v>0.25</v>
      </c>
      <c r="BR84" s="318">
        <v>0.25</v>
      </c>
      <c r="BS84" s="318">
        <v>0.25</v>
      </c>
      <c r="BT84" s="318">
        <v>0.25</v>
      </c>
      <c r="BU84" s="318">
        <v>0.25</v>
      </c>
      <c r="BV84" s="318">
        <v>0.25</v>
      </c>
      <c r="BW84" s="318">
        <v>0.25</v>
      </c>
      <c r="BX84" s="318">
        <v>0.25</v>
      </c>
      <c r="BY84" s="318">
        <v>0.25</v>
      </c>
      <c r="BZ84" s="318">
        <v>0.25</v>
      </c>
      <c r="CA84" s="318">
        <v>0.25</v>
      </c>
      <c r="CB84" s="318">
        <v>0.25</v>
      </c>
      <c r="CC84" s="318">
        <v>0.25</v>
      </c>
      <c r="CD84" s="318">
        <v>0.25</v>
      </c>
      <c r="CE84" s="318">
        <v>0.25</v>
      </c>
      <c r="CF84" s="318">
        <v>0.25</v>
      </c>
      <c r="CG84" s="318">
        <v>0.25</v>
      </c>
      <c r="CH84" s="318">
        <v>0.25</v>
      </c>
      <c r="CI84" s="318"/>
      <c r="CJ84" s="1"/>
      <c r="CK84" s="1"/>
      <c r="CL84" s="1"/>
      <c r="CM84" s="1"/>
      <c r="CN84" s="1"/>
      <c r="CO84" s="1"/>
      <c r="CP84" s="1"/>
    </row>
    <row r="85" ht="15.75" customHeight="1">
      <c r="A85" s="1" t="s">
        <v>96</v>
      </c>
      <c r="B85" s="317"/>
      <c r="C85" s="317">
        <f t="shared" si="80"/>
        <v>0</v>
      </c>
      <c r="D85" s="317">
        <f t="shared" ref="D85:Y85" si="85">IFERROR(E93/C77,0)</f>
        <v>0.3333333333</v>
      </c>
      <c r="E85" s="317">
        <f t="shared" si="85"/>
        <v>0.3333333333</v>
      </c>
      <c r="F85" s="317">
        <f t="shared" si="85"/>
        <v>0.3333333333</v>
      </c>
      <c r="G85" s="317">
        <f t="shared" si="85"/>
        <v>0.3333333333</v>
      </c>
      <c r="H85" s="317">
        <f t="shared" si="85"/>
        <v>0.3333333333</v>
      </c>
      <c r="I85" s="317">
        <f t="shared" si="85"/>
        <v>0.3333333333</v>
      </c>
      <c r="J85" s="317">
        <f t="shared" si="85"/>
        <v>0.3333333333</v>
      </c>
      <c r="K85" s="317">
        <f t="shared" si="85"/>
        <v>0.3333333333</v>
      </c>
      <c r="L85" s="317">
        <f t="shared" si="85"/>
        <v>0.3333333333</v>
      </c>
      <c r="M85" s="317">
        <f t="shared" si="85"/>
        <v>0.3333333333</v>
      </c>
      <c r="N85" s="317">
        <f t="shared" si="85"/>
        <v>0.3333333333</v>
      </c>
      <c r="O85" s="317">
        <f t="shared" si="85"/>
        <v>0.3333333333</v>
      </c>
      <c r="P85" s="317">
        <f t="shared" si="85"/>
        <v>0.3333333333</v>
      </c>
      <c r="Q85" s="317">
        <f t="shared" si="85"/>
        <v>0.3333333333</v>
      </c>
      <c r="R85" s="317">
        <f t="shared" si="85"/>
        <v>0.3333333333</v>
      </c>
      <c r="S85" s="317">
        <f t="shared" si="85"/>
        <v>0.3333333333</v>
      </c>
      <c r="T85" s="317">
        <f t="shared" si="85"/>
        <v>0.3333333333</v>
      </c>
      <c r="U85" s="317">
        <f t="shared" si="85"/>
        <v>0.3333333333</v>
      </c>
      <c r="V85" s="317">
        <f t="shared" si="85"/>
        <v>0.3333333333</v>
      </c>
      <c r="W85" s="317">
        <f t="shared" si="85"/>
        <v>0.3333333333</v>
      </c>
      <c r="X85" s="317">
        <f t="shared" si="85"/>
        <v>0.3333333333</v>
      </c>
      <c r="Y85" s="317">
        <f t="shared" si="85"/>
        <v>0.25</v>
      </c>
      <c r="Z85" s="318">
        <v>0.25</v>
      </c>
      <c r="AA85" s="318">
        <v>0.25</v>
      </c>
      <c r="AB85" s="318">
        <v>0.25</v>
      </c>
      <c r="AC85" s="318">
        <v>0.25</v>
      </c>
      <c r="AD85" s="318">
        <v>0.25</v>
      </c>
      <c r="AE85" s="318">
        <v>0.25</v>
      </c>
      <c r="AF85" s="318">
        <v>0.25</v>
      </c>
      <c r="AG85" s="318">
        <v>0.25</v>
      </c>
      <c r="AH85" s="318">
        <v>0.25</v>
      </c>
      <c r="AI85" s="318">
        <v>0.25</v>
      </c>
      <c r="AJ85" s="318">
        <v>0.25</v>
      </c>
      <c r="AK85" s="318">
        <v>0.25</v>
      </c>
      <c r="AL85" s="318">
        <v>0.25</v>
      </c>
      <c r="AM85" s="318">
        <v>0.25</v>
      </c>
      <c r="AN85" s="318">
        <v>0.25</v>
      </c>
      <c r="AO85" s="318">
        <v>0.25</v>
      </c>
      <c r="AP85" s="318">
        <v>0.25</v>
      </c>
      <c r="AQ85" s="318">
        <v>0.25</v>
      </c>
      <c r="AR85" s="318">
        <v>0.25</v>
      </c>
      <c r="AS85" s="318">
        <v>0.25</v>
      </c>
      <c r="AT85" s="318">
        <v>0.25</v>
      </c>
      <c r="AU85" s="318">
        <v>0.25</v>
      </c>
      <c r="AV85" s="318">
        <v>0.25</v>
      </c>
      <c r="AW85" s="318">
        <v>0.25</v>
      </c>
      <c r="AX85" s="318">
        <v>0.25</v>
      </c>
      <c r="AY85" s="318">
        <v>0.25</v>
      </c>
      <c r="AZ85" s="318">
        <v>0.25</v>
      </c>
      <c r="BA85" s="318">
        <v>0.25</v>
      </c>
      <c r="BB85" s="318">
        <v>0.25</v>
      </c>
      <c r="BC85" s="318">
        <v>0.25</v>
      </c>
      <c r="BD85" s="318">
        <v>0.25</v>
      </c>
      <c r="BE85" s="318">
        <v>0.25</v>
      </c>
      <c r="BF85" s="318">
        <v>0.25</v>
      </c>
      <c r="BG85" s="318">
        <v>0.25</v>
      </c>
      <c r="BH85" s="318">
        <v>0.25</v>
      </c>
      <c r="BI85" s="318">
        <v>0.25</v>
      </c>
      <c r="BJ85" s="318">
        <v>0.25</v>
      </c>
      <c r="BK85" s="318">
        <v>0.25</v>
      </c>
      <c r="BL85" s="318">
        <v>0.25</v>
      </c>
      <c r="BM85" s="318">
        <v>0.25</v>
      </c>
      <c r="BN85" s="318">
        <v>0.25</v>
      </c>
      <c r="BO85" s="318">
        <v>0.25</v>
      </c>
      <c r="BP85" s="318">
        <v>0.25</v>
      </c>
      <c r="BQ85" s="318">
        <v>0.25</v>
      </c>
      <c r="BR85" s="318">
        <v>0.25</v>
      </c>
      <c r="BS85" s="318">
        <v>0.25</v>
      </c>
      <c r="BT85" s="318">
        <v>0.25</v>
      </c>
      <c r="BU85" s="318">
        <v>0.25</v>
      </c>
      <c r="BV85" s="318">
        <v>0.25</v>
      </c>
      <c r="BW85" s="318">
        <v>0.25</v>
      </c>
      <c r="BX85" s="318">
        <v>0.25</v>
      </c>
      <c r="BY85" s="318">
        <v>0.25</v>
      </c>
      <c r="BZ85" s="318">
        <v>0.25</v>
      </c>
      <c r="CA85" s="318">
        <v>0.25</v>
      </c>
      <c r="CB85" s="318">
        <v>0.25</v>
      </c>
      <c r="CC85" s="318">
        <v>0.25</v>
      </c>
      <c r="CD85" s="318">
        <v>0.25</v>
      </c>
      <c r="CE85" s="318">
        <v>0.25</v>
      </c>
      <c r="CF85" s="318">
        <v>0.25</v>
      </c>
      <c r="CG85" s="318">
        <v>0.25</v>
      </c>
      <c r="CH85" s="318">
        <v>0.25</v>
      </c>
      <c r="CI85" s="1"/>
      <c r="CJ85" s="1"/>
      <c r="CK85" s="1"/>
      <c r="CL85" s="1"/>
      <c r="CM85" s="1"/>
      <c r="CN85" s="1"/>
      <c r="CO85" s="1"/>
      <c r="CP85" s="1"/>
    </row>
    <row r="86" ht="15.75" customHeight="1">
      <c r="A86" s="119" t="s">
        <v>602</v>
      </c>
      <c r="B86" s="319"/>
      <c r="C86" s="319"/>
      <c r="D86" s="319">
        <f t="shared" ref="D86:U86" si="86">IFERROR(E94/C78,0)</f>
        <v>0.3333333333</v>
      </c>
      <c r="E86" s="319">
        <f t="shared" si="86"/>
        <v>0.3333333333</v>
      </c>
      <c r="F86" s="319">
        <f t="shared" si="86"/>
        <v>0.3333333333</v>
      </c>
      <c r="G86" s="319">
        <f t="shared" si="86"/>
        <v>0.3333333333</v>
      </c>
      <c r="H86" s="319">
        <f t="shared" si="86"/>
        <v>0.3333333333</v>
      </c>
      <c r="I86" s="319">
        <f t="shared" si="86"/>
        <v>0.3333333333</v>
      </c>
      <c r="J86" s="319">
        <f t="shared" si="86"/>
        <v>0.3333333333</v>
      </c>
      <c r="K86" s="319">
        <f t="shared" si="86"/>
        <v>0.3333333333</v>
      </c>
      <c r="L86" s="319">
        <f t="shared" si="86"/>
        <v>0.3333333333</v>
      </c>
      <c r="M86" s="319">
        <f t="shared" si="86"/>
        <v>0.3333333333</v>
      </c>
      <c r="N86" s="319">
        <f t="shared" si="86"/>
        <v>0.3333333333</v>
      </c>
      <c r="O86" s="319">
        <f t="shared" si="86"/>
        <v>0.3333333333</v>
      </c>
      <c r="P86" s="319">
        <f t="shared" si="86"/>
        <v>0.3333333333</v>
      </c>
      <c r="Q86" s="319">
        <f t="shared" si="86"/>
        <v>0.3333333333</v>
      </c>
      <c r="R86" s="319">
        <f t="shared" si="86"/>
        <v>0.3333333333</v>
      </c>
      <c r="S86" s="319">
        <f t="shared" si="86"/>
        <v>0.3333333333</v>
      </c>
      <c r="T86" s="319">
        <f t="shared" si="86"/>
        <v>0.3333333333</v>
      </c>
      <c r="U86" s="319">
        <f t="shared" si="86"/>
        <v>0.3333333333</v>
      </c>
      <c r="V86" s="319">
        <f t="shared" ref="V86:CH86" si="87">SUMPRODUCT(V80:V85,V72:V77)/SUM(V72:V77)</f>
        <v>0.3333333333</v>
      </c>
      <c r="W86" s="319">
        <f t="shared" si="87"/>
        <v>0.3333333333</v>
      </c>
      <c r="X86" s="319">
        <f t="shared" si="87"/>
        <v>0.3333333333</v>
      </c>
      <c r="Y86" s="319">
        <f t="shared" si="87"/>
        <v>0.25</v>
      </c>
      <c r="Z86" s="319">
        <f t="shared" si="87"/>
        <v>0.25</v>
      </c>
      <c r="AA86" s="319">
        <f t="shared" si="87"/>
        <v>0.25</v>
      </c>
      <c r="AB86" s="319">
        <f t="shared" si="87"/>
        <v>0.25</v>
      </c>
      <c r="AC86" s="319">
        <f t="shared" si="87"/>
        <v>0.25</v>
      </c>
      <c r="AD86" s="319">
        <f t="shared" si="87"/>
        <v>0.25</v>
      </c>
      <c r="AE86" s="319">
        <f t="shared" si="87"/>
        <v>0.25</v>
      </c>
      <c r="AF86" s="319">
        <f t="shared" si="87"/>
        <v>0.25</v>
      </c>
      <c r="AG86" s="319">
        <f t="shared" si="87"/>
        <v>0.25</v>
      </c>
      <c r="AH86" s="319">
        <f t="shared" si="87"/>
        <v>0.25</v>
      </c>
      <c r="AI86" s="319">
        <f t="shared" si="87"/>
        <v>0.25</v>
      </c>
      <c r="AJ86" s="319">
        <f t="shared" si="87"/>
        <v>0.25</v>
      </c>
      <c r="AK86" s="319">
        <f t="shared" si="87"/>
        <v>0.25</v>
      </c>
      <c r="AL86" s="319">
        <f t="shared" si="87"/>
        <v>0.25</v>
      </c>
      <c r="AM86" s="319">
        <f t="shared" si="87"/>
        <v>0.25</v>
      </c>
      <c r="AN86" s="319">
        <f t="shared" si="87"/>
        <v>0.25</v>
      </c>
      <c r="AO86" s="319">
        <f t="shared" si="87"/>
        <v>0.25</v>
      </c>
      <c r="AP86" s="319">
        <f t="shared" si="87"/>
        <v>0.25</v>
      </c>
      <c r="AQ86" s="319">
        <f t="shared" si="87"/>
        <v>0.25</v>
      </c>
      <c r="AR86" s="319">
        <f t="shared" si="87"/>
        <v>0.25</v>
      </c>
      <c r="AS86" s="319">
        <f t="shared" si="87"/>
        <v>0.25</v>
      </c>
      <c r="AT86" s="319">
        <f t="shared" si="87"/>
        <v>0.25</v>
      </c>
      <c r="AU86" s="319">
        <f t="shared" si="87"/>
        <v>0.25</v>
      </c>
      <c r="AV86" s="319">
        <f t="shared" si="87"/>
        <v>0.25</v>
      </c>
      <c r="AW86" s="319">
        <f t="shared" si="87"/>
        <v>0.25</v>
      </c>
      <c r="AX86" s="319">
        <f t="shared" si="87"/>
        <v>0.25</v>
      </c>
      <c r="AY86" s="319">
        <f t="shared" si="87"/>
        <v>0.25</v>
      </c>
      <c r="AZ86" s="319">
        <f t="shared" si="87"/>
        <v>0.25</v>
      </c>
      <c r="BA86" s="319">
        <f t="shared" si="87"/>
        <v>0.25</v>
      </c>
      <c r="BB86" s="319">
        <f t="shared" si="87"/>
        <v>0.25</v>
      </c>
      <c r="BC86" s="319">
        <f t="shared" si="87"/>
        <v>0.25</v>
      </c>
      <c r="BD86" s="319">
        <f t="shared" si="87"/>
        <v>0.25</v>
      </c>
      <c r="BE86" s="319">
        <f t="shared" si="87"/>
        <v>0.25</v>
      </c>
      <c r="BF86" s="319">
        <f t="shared" si="87"/>
        <v>0.25</v>
      </c>
      <c r="BG86" s="319">
        <f t="shared" si="87"/>
        <v>0.25</v>
      </c>
      <c r="BH86" s="319">
        <f t="shared" si="87"/>
        <v>0.25</v>
      </c>
      <c r="BI86" s="319">
        <f t="shared" si="87"/>
        <v>0.25</v>
      </c>
      <c r="BJ86" s="319">
        <f t="shared" si="87"/>
        <v>0.25</v>
      </c>
      <c r="BK86" s="319">
        <f t="shared" si="87"/>
        <v>0.25</v>
      </c>
      <c r="BL86" s="319">
        <f t="shared" si="87"/>
        <v>0.25</v>
      </c>
      <c r="BM86" s="319">
        <f t="shared" si="87"/>
        <v>0.25</v>
      </c>
      <c r="BN86" s="319">
        <f t="shared" si="87"/>
        <v>0.25</v>
      </c>
      <c r="BO86" s="319">
        <f t="shared" si="87"/>
        <v>0.25</v>
      </c>
      <c r="BP86" s="319">
        <f t="shared" si="87"/>
        <v>0.25</v>
      </c>
      <c r="BQ86" s="319">
        <f t="shared" si="87"/>
        <v>0.25</v>
      </c>
      <c r="BR86" s="319">
        <f t="shared" si="87"/>
        <v>0.25</v>
      </c>
      <c r="BS86" s="319">
        <f t="shared" si="87"/>
        <v>0.25</v>
      </c>
      <c r="BT86" s="319">
        <f t="shared" si="87"/>
        <v>0.25</v>
      </c>
      <c r="BU86" s="319">
        <f t="shared" si="87"/>
        <v>0.25</v>
      </c>
      <c r="BV86" s="319">
        <f t="shared" si="87"/>
        <v>0.25</v>
      </c>
      <c r="BW86" s="319">
        <f t="shared" si="87"/>
        <v>0.25</v>
      </c>
      <c r="BX86" s="319">
        <f t="shared" si="87"/>
        <v>0.25</v>
      </c>
      <c r="BY86" s="319">
        <f t="shared" si="87"/>
        <v>0.25</v>
      </c>
      <c r="BZ86" s="319">
        <f t="shared" si="87"/>
        <v>0.25</v>
      </c>
      <c r="CA86" s="319">
        <f t="shared" si="87"/>
        <v>0.25</v>
      </c>
      <c r="CB86" s="319">
        <f t="shared" si="87"/>
        <v>0.25</v>
      </c>
      <c r="CC86" s="319">
        <f t="shared" si="87"/>
        <v>0.25</v>
      </c>
      <c r="CD86" s="319">
        <f t="shared" si="87"/>
        <v>0.25</v>
      </c>
      <c r="CE86" s="319">
        <f t="shared" si="87"/>
        <v>0.25</v>
      </c>
      <c r="CF86" s="319">
        <f t="shared" si="87"/>
        <v>0.25</v>
      </c>
      <c r="CG86" s="319">
        <f t="shared" si="87"/>
        <v>0.25</v>
      </c>
      <c r="CH86" s="319">
        <f t="shared" si="87"/>
        <v>0.25</v>
      </c>
      <c r="CI86" s="1"/>
      <c r="CJ86" s="1"/>
      <c r="CK86" s="1"/>
      <c r="CL86" s="1"/>
      <c r="CM86" s="1"/>
      <c r="CN86" s="1"/>
      <c r="CO86" s="1"/>
      <c r="CP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row>
    <row r="88" ht="15.75" customHeight="1">
      <c r="A88" s="343" t="s">
        <v>129</v>
      </c>
      <c r="B88" s="348"/>
      <c r="C88" s="348">
        <v>5.0</v>
      </c>
      <c r="D88" s="348">
        <v>5.0</v>
      </c>
      <c r="E88" s="348">
        <v>5.0</v>
      </c>
      <c r="F88" s="348">
        <v>5.0</v>
      </c>
      <c r="G88" s="348">
        <v>5.0</v>
      </c>
      <c r="H88" s="348">
        <v>5.0</v>
      </c>
      <c r="I88" s="348">
        <v>5.0</v>
      </c>
      <c r="J88" s="348">
        <v>5.0</v>
      </c>
      <c r="K88" s="348">
        <v>5.0</v>
      </c>
      <c r="L88" s="348">
        <v>5.0</v>
      </c>
      <c r="M88" s="348">
        <v>5.0</v>
      </c>
      <c r="N88" s="348">
        <v>5.0</v>
      </c>
      <c r="O88" s="348">
        <v>5.0</v>
      </c>
      <c r="P88" s="348">
        <v>5.0</v>
      </c>
      <c r="Q88" s="348">
        <v>5.0</v>
      </c>
      <c r="R88" s="348">
        <v>5.0</v>
      </c>
      <c r="S88" s="348">
        <v>5.0</v>
      </c>
      <c r="T88" s="348">
        <v>5.0</v>
      </c>
      <c r="U88" s="348">
        <v>5.0</v>
      </c>
      <c r="V88" s="348">
        <v>5.0</v>
      </c>
      <c r="W88" s="348">
        <v>5.0</v>
      </c>
      <c r="X88" s="348">
        <v>5.0</v>
      </c>
      <c r="Y88" s="348">
        <v>5.0</v>
      </c>
      <c r="Z88" s="345">
        <f t="shared" ref="Z88:CH88" si="88">Y72*Z80</f>
        <v>3.75</v>
      </c>
      <c r="AA88" s="345">
        <f t="shared" si="88"/>
        <v>4.5</v>
      </c>
      <c r="AB88" s="345">
        <f t="shared" si="88"/>
        <v>4.95</v>
      </c>
      <c r="AC88" s="345">
        <f t="shared" si="88"/>
        <v>4.95</v>
      </c>
      <c r="AD88" s="345">
        <f t="shared" si="88"/>
        <v>4.95</v>
      </c>
      <c r="AE88" s="345">
        <f t="shared" si="88"/>
        <v>4.95</v>
      </c>
      <c r="AF88" s="345">
        <f t="shared" si="88"/>
        <v>4.95</v>
      </c>
      <c r="AG88" s="345">
        <f t="shared" si="88"/>
        <v>4.95</v>
      </c>
      <c r="AH88" s="345">
        <f t="shared" si="88"/>
        <v>4.95</v>
      </c>
      <c r="AI88" s="345">
        <f t="shared" si="88"/>
        <v>4.95</v>
      </c>
      <c r="AJ88" s="345">
        <f t="shared" si="88"/>
        <v>4.752</v>
      </c>
      <c r="AK88" s="345">
        <f t="shared" si="88"/>
        <v>4.752</v>
      </c>
      <c r="AL88" s="345">
        <f t="shared" si="88"/>
        <v>4.752</v>
      </c>
      <c r="AM88" s="345">
        <f t="shared" si="88"/>
        <v>4.77576</v>
      </c>
      <c r="AN88" s="345">
        <f t="shared" si="88"/>
        <v>3.343032</v>
      </c>
      <c r="AO88" s="345">
        <f t="shared" si="88"/>
        <v>3.1758804</v>
      </c>
      <c r="AP88" s="345">
        <f t="shared" si="88"/>
        <v>3.191759802</v>
      </c>
      <c r="AQ88" s="345">
        <f t="shared" si="88"/>
        <v>3.207718601</v>
      </c>
      <c r="AR88" s="345">
        <f t="shared" si="88"/>
        <v>3.223757194</v>
      </c>
      <c r="AS88" s="345">
        <f t="shared" si="88"/>
        <v>3.23987598</v>
      </c>
      <c r="AT88" s="345">
        <f t="shared" si="88"/>
        <v>3.25607536</v>
      </c>
      <c r="AU88" s="345">
        <f t="shared" si="88"/>
        <v>3.272355737</v>
      </c>
      <c r="AV88" s="345">
        <f t="shared" si="88"/>
        <v>3.288717515</v>
      </c>
      <c r="AW88" s="345">
        <f t="shared" si="88"/>
        <v>3.305161103</v>
      </c>
      <c r="AX88" s="345">
        <f t="shared" si="88"/>
        <v>3.321686908</v>
      </c>
      <c r="AY88" s="345">
        <f t="shared" si="88"/>
        <v>3.338295343</v>
      </c>
      <c r="AZ88" s="345">
        <f t="shared" si="88"/>
        <v>3.371678296</v>
      </c>
      <c r="BA88" s="345">
        <f t="shared" si="88"/>
        <v>3.388536688</v>
      </c>
      <c r="BB88" s="345">
        <f t="shared" si="88"/>
        <v>3.405479371</v>
      </c>
      <c r="BC88" s="345">
        <f t="shared" si="88"/>
        <v>3.422506768</v>
      </c>
      <c r="BD88" s="345">
        <f t="shared" si="88"/>
        <v>3.439619302</v>
      </c>
      <c r="BE88" s="345">
        <f t="shared" si="88"/>
        <v>3.456817399</v>
      </c>
      <c r="BF88" s="345">
        <f t="shared" si="88"/>
        <v>3.474101486</v>
      </c>
      <c r="BG88" s="345">
        <f t="shared" si="88"/>
        <v>3.491471993</v>
      </c>
      <c r="BH88" s="345">
        <f t="shared" si="88"/>
        <v>3.508929353</v>
      </c>
      <c r="BI88" s="345">
        <f t="shared" si="88"/>
        <v>3.526474</v>
      </c>
      <c r="BJ88" s="345">
        <f t="shared" si="88"/>
        <v>3.54410637</v>
      </c>
      <c r="BK88" s="345">
        <f t="shared" si="88"/>
        <v>3.561826902</v>
      </c>
      <c r="BL88" s="345">
        <f t="shared" si="88"/>
        <v>3.383735556</v>
      </c>
      <c r="BM88" s="345">
        <f t="shared" si="88"/>
        <v>3.400654234</v>
      </c>
      <c r="BN88" s="345">
        <f t="shared" si="88"/>
        <v>3.417657505</v>
      </c>
      <c r="BO88" s="345">
        <f t="shared" si="88"/>
        <v>3.434745793</v>
      </c>
      <c r="BP88" s="345">
        <f t="shared" si="88"/>
        <v>3.451919522</v>
      </c>
      <c r="BQ88" s="345">
        <f t="shared" si="88"/>
        <v>3.46917912</v>
      </c>
      <c r="BR88" s="345">
        <f t="shared" si="88"/>
        <v>3.486525015</v>
      </c>
      <c r="BS88" s="345">
        <f t="shared" si="88"/>
        <v>3.50395764</v>
      </c>
      <c r="BT88" s="345">
        <f t="shared" si="88"/>
        <v>3.521477428</v>
      </c>
      <c r="BU88" s="345">
        <f t="shared" si="88"/>
        <v>3.539084816</v>
      </c>
      <c r="BV88" s="345">
        <f t="shared" si="88"/>
        <v>3.55678024</v>
      </c>
      <c r="BW88" s="345">
        <f t="shared" si="88"/>
        <v>3.574564141</v>
      </c>
      <c r="BX88" s="345">
        <f t="shared" si="88"/>
        <v>3.217107727</v>
      </c>
      <c r="BY88" s="345">
        <f t="shared" si="88"/>
        <v>3.233193265</v>
      </c>
      <c r="BZ88" s="345">
        <f t="shared" si="88"/>
        <v>3.249359232</v>
      </c>
      <c r="CA88" s="345">
        <f t="shared" si="88"/>
        <v>3.265606028</v>
      </c>
      <c r="CB88" s="345">
        <f t="shared" si="88"/>
        <v>3.281934058</v>
      </c>
      <c r="CC88" s="345">
        <f t="shared" si="88"/>
        <v>3.298343728</v>
      </c>
      <c r="CD88" s="345">
        <f t="shared" si="88"/>
        <v>3.314835447</v>
      </c>
      <c r="CE88" s="345">
        <f t="shared" si="88"/>
        <v>3.331409624</v>
      </c>
      <c r="CF88" s="345">
        <f t="shared" si="88"/>
        <v>3.348066672</v>
      </c>
      <c r="CG88" s="345">
        <f t="shared" si="88"/>
        <v>3.364807006</v>
      </c>
      <c r="CH88" s="345">
        <f t="shared" si="88"/>
        <v>3.381631041</v>
      </c>
      <c r="CI88" s="343"/>
      <c r="CJ88" s="343"/>
      <c r="CK88" s="343"/>
      <c r="CL88" s="343"/>
      <c r="CM88" s="343"/>
      <c r="CN88" s="343"/>
      <c r="CO88" s="343"/>
      <c r="CP88" s="343"/>
    </row>
    <row r="89" ht="15.75" customHeight="1">
      <c r="A89" s="343" t="s">
        <v>85</v>
      </c>
      <c r="B89" s="348"/>
      <c r="C89" s="348">
        <v>5.0</v>
      </c>
      <c r="D89" s="348">
        <v>5.0</v>
      </c>
      <c r="E89" s="348">
        <v>5.0</v>
      </c>
      <c r="F89" s="348">
        <v>5.0</v>
      </c>
      <c r="G89" s="348">
        <v>5.0</v>
      </c>
      <c r="H89" s="348">
        <v>5.0</v>
      </c>
      <c r="I89" s="348">
        <v>5.0</v>
      </c>
      <c r="J89" s="348">
        <v>5.0</v>
      </c>
      <c r="K89" s="348">
        <v>5.0</v>
      </c>
      <c r="L89" s="348">
        <v>5.0</v>
      </c>
      <c r="M89" s="348">
        <v>5.0</v>
      </c>
      <c r="N89" s="348">
        <v>5.0</v>
      </c>
      <c r="O89" s="348">
        <v>5.0</v>
      </c>
      <c r="P89" s="348">
        <v>5.0</v>
      </c>
      <c r="Q89" s="348">
        <v>5.0</v>
      </c>
      <c r="R89" s="348">
        <v>5.0</v>
      </c>
      <c r="S89" s="348">
        <v>5.0</v>
      </c>
      <c r="T89" s="348">
        <v>5.0</v>
      </c>
      <c r="U89" s="348">
        <v>5.0</v>
      </c>
      <c r="V89" s="348">
        <v>5.0</v>
      </c>
      <c r="W89" s="348">
        <v>5.0</v>
      </c>
      <c r="X89" s="348">
        <v>5.0</v>
      </c>
      <c r="Y89" s="348">
        <v>5.0</v>
      </c>
      <c r="Z89" s="345">
        <f t="shared" ref="Z89:CH89" si="89">Y73*Z81</f>
        <v>3.75</v>
      </c>
      <c r="AA89" s="345">
        <f t="shared" si="89"/>
        <v>4.5</v>
      </c>
      <c r="AB89" s="345">
        <f t="shared" si="89"/>
        <v>4.95</v>
      </c>
      <c r="AC89" s="345">
        <f t="shared" si="89"/>
        <v>4.95</v>
      </c>
      <c r="AD89" s="345">
        <f t="shared" si="89"/>
        <v>4.95</v>
      </c>
      <c r="AE89" s="345">
        <f t="shared" si="89"/>
        <v>4.95</v>
      </c>
      <c r="AF89" s="345">
        <f t="shared" si="89"/>
        <v>4.95</v>
      </c>
      <c r="AG89" s="345">
        <f t="shared" si="89"/>
        <v>4.95</v>
      </c>
      <c r="AH89" s="345">
        <f t="shared" si="89"/>
        <v>4.95</v>
      </c>
      <c r="AI89" s="345">
        <f t="shared" si="89"/>
        <v>4.95</v>
      </c>
      <c r="AJ89" s="345">
        <f t="shared" si="89"/>
        <v>4.7025</v>
      </c>
      <c r="AK89" s="345">
        <f t="shared" si="89"/>
        <v>4.7025</v>
      </c>
      <c r="AL89" s="345">
        <f t="shared" si="89"/>
        <v>4.7025</v>
      </c>
      <c r="AM89" s="345">
        <f t="shared" si="89"/>
        <v>4.7260125</v>
      </c>
      <c r="AN89" s="345">
        <f t="shared" si="89"/>
        <v>3.30820875</v>
      </c>
      <c r="AO89" s="345">
        <f t="shared" si="89"/>
        <v>3.142798313</v>
      </c>
      <c r="AP89" s="345">
        <f t="shared" si="89"/>
        <v>3.158512304</v>
      </c>
      <c r="AQ89" s="345">
        <f t="shared" si="89"/>
        <v>3.174304866</v>
      </c>
      <c r="AR89" s="345">
        <f t="shared" si="89"/>
        <v>3.19017639</v>
      </c>
      <c r="AS89" s="345">
        <f t="shared" si="89"/>
        <v>3.206127272</v>
      </c>
      <c r="AT89" s="345">
        <f t="shared" si="89"/>
        <v>3.222157908</v>
      </c>
      <c r="AU89" s="345">
        <f t="shared" si="89"/>
        <v>3.238268698</v>
      </c>
      <c r="AV89" s="345">
        <f t="shared" si="89"/>
        <v>3.254460041</v>
      </c>
      <c r="AW89" s="345">
        <f t="shared" si="89"/>
        <v>3.270732341</v>
      </c>
      <c r="AX89" s="345">
        <f t="shared" si="89"/>
        <v>3.287086003</v>
      </c>
      <c r="AY89" s="345">
        <f t="shared" si="89"/>
        <v>3.303521433</v>
      </c>
      <c r="AZ89" s="345">
        <f t="shared" si="89"/>
        <v>3.336556648</v>
      </c>
      <c r="BA89" s="345">
        <f t="shared" si="89"/>
        <v>3.353239431</v>
      </c>
      <c r="BB89" s="345">
        <f t="shared" si="89"/>
        <v>3.370005628</v>
      </c>
      <c r="BC89" s="345">
        <f t="shared" si="89"/>
        <v>3.386855656</v>
      </c>
      <c r="BD89" s="345">
        <f t="shared" si="89"/>
        <v>3.403789934</v>
      </c>
      <c r="BE89" s="345">
        <f t="shared" si="89"/>
        <v>3.420808884</v>
      </c>
      <c r="BF89" s="345">
        <f t="shared" si="89"/>
        <v>3.437912928</v>
      </c>
      <c r="BG89" s="345">
        <f t="shared" si="89"/>
        <v>3.455102493</v>
      </c>
      <c r="BH89" s="345">
        <f t="shared" si="89"/>
        <v>3.472378006</v>
      </c>
      <c r="BI89" s="345">
        <f t="shared" si="89"/>
        <v>3.489739896</v>
      </c>
      <c r="BJ89" s="345">
        <f t="shared" si="89"/>
        <v>3.507188595</v>
      </c>
      <c r="BK89" s="345">
        <f t="shared" si="89"/>
        <v>3.524724538</v>
      </c>
      <c r="BL89" s="345">
        <f t="shared" si="89"/>
        <v>3.348488311</v>
      </c>
      <c r="BM89" s="345">
        <f t="shared" si="89"/>
        <v>3.365230753</v>
      </c>
      <c r="BN89" s="345">
        <f t="shared" si="89"/>
        <v>3.382056906</v>
      </c>
      <c r="BO89" s="345">
        <f t="shared" si="89"/>
        <v>3.398967191</v>
      </c>
      <c r="BP89" s="345">
        <f t="shared" si="89"/>
        <v>3.415962027</v>
      </c>
      <c r="BQ89" s="345">
        <f t="shared" si="89"/>
        <v>3.433041837</v>
      </c>
      <c r="BR89" s="345">
        <f t="shared" si="89"/>
        <v>3.450207046</v>
      </c>
      <c r="BS89" s="345">
        <f t="shared" si="89"/>
        <v>3.467458081</v>
      </c>
      <c r="BT89" s="345">
        <f t="shared" si="89"/>
        <v>3.484795372</v>
      </c>
      <c r="BU89" s="345">
        <f t="shared" si="89"/>
        <v>3.502219349</v>
      </c>
      <c r="BV89" s="345">
        <f t="shared" si="89"/>
        <v>3.519730445</v>
      </c>
      <c r="BW89" s="345">
        <f t="shared" si="89"/>
        <v>3.537329098</v>
      </c>
      <c r="BX89" s="345">
        <f t="shared" si="89"/>
        <v>3.183596188</v>
      </c>
      <c r="BY89" s="345">
        <f t="shared" si="89"/>
        <v>3.199514169</v>
      </c>
      <c r="BZ89" s="345">
        <f t="shared" si="89"/>
        <v>3.21551174</v>
      </c>
      <c r="CA89" s="345">
        <f t="shared" si="89"/>
        <v>3.231589298</v>
      </c>
      <c r="CB89" s="345">
        <f t="shared" si="89"/>
        <v>3.247747245</v>
      </c>
      <c r="CC89" s="345">
        <f t="shared" si="89"/>
        <v>3.263985981</v>
      </c>
      <c r="CD89" s="345">
        <f t="shared" si="89"/>
        <v>3.280305911</v>
      </c>
      <c r="CE89" s="345">
        <f t="shared" si="89"/>
        <v>3.296707441</v>
      </c>
      <c r="CF89" s="345">
        <f t="shared" si="89"/>
        <v>3.313190978</v>
      </c>
      <c r="CG89" s="345">
        <f t="shared" si="89"/>
        <v>3.329756933</v>
      </c>
      <c r="CH89" s="345">
        <f t="shared" si="89"/>
        <v>3.346405717</v>
      </c>
      <c r="CI89" s="343"/>
      <c r="CJ89" s="343"/>
      <c r="CK89" s="343"/>
      <c r="CL89" s="343"/>
      <c r="CM89" s="343"/>
      <c r="CN89" s="343"/>
      <c r="CO89" s="343"/>
      <c r="CP89" s="343"/>
    </row>
    <row r="90" ht="15.75" customHeight="1">
      <c r="A90" s="343" t="s">
        <v>130</v>
      </c>
      <c r="B90" s="348"/>
      <c r="C90" s="348">
        <v>5.0</v>
      </c>
      <c r="D90" s="348">
        <v>5.0</v>
      </c>
      <c r="E90" s="348">
        <v>5.0</v>
      </c>
      <c r="F90" s="348">
        <v>5.0</v>
      </c>
      <c r="G90" s="348">
        <v>5.0</v>
      </c>
      <c r="H90" s="348">
        <v>5.0</v>
      </c>
      <c r="I90" s="348">
        <v>5.0</v>
      </c>
      <c r="J90" s="348">
        <v>5.0</v>
      </c>
      <c r="K90" s="348">
        <v>5.0</v>
      </c>
      <c r="L90" s="348">
        <v>5.0</v>
      </c>
      <c r="M90" s="348">
        <v>5.0</v>
      </c>
      <c r="N90" s="348">
        <v>5.0</v>
      </c>
      <c r="O90" s="348">
        <v>5.0</v>
      </c>
      <c r="P90" s="348">
        <v>5.0</v>
      </c>
      <c r="Q90" s="348">
        <v>5.0</v>
      </c>
      <c r="R90" s="348">
        <v>5.0</v>
      </c>
      <c r="S90" s="348">
        <v>5.0</v>
      </c>
      <c r="T90" s="348">
        <v>5.0</v>
      </c>
      <c r="U90" s="348">
        <v>5.0</v>
      </c>
      <c r="V90" s="348">
        <v>5.0</v>
      </c>
      <c r="W90" s="348">
        <v>5.0</v>
      </c>
      <c r="X90" s="348">
        <v>5.0</v>
      </c>
      <c r="Y90" s="348">
        <v>5.0</v>
      </c>
      <c r="Z90" s="345">
        <f t="shared" ref="Z90:CH90" si="90">Y74*Z82</f>
        <v>3.75</v>
      </c>
      <c r="AA90" s="345">
        <f t="shared" si="90"/>
        <v>4.5</v>
      </c>
      <c r="AB90" s="345">
        <f t="shared" si="90"/>
        <v>4.95</v>
      </c>
      <c r="AC90" s="345">
        <f t="shared" si="90"/>
        <v>4.95</v>
      </c>
      <c r="AD90" s="345">
        <f t="shared" si="90"/>
        <v>4.95</v>
      </c>
      <c r="AE90" s="345">
        <f t="shared" si="90"/>
        <v>4.95</v>
      </c>
      <c r="AF90" s="345">
        <f t="shared" si="90"/>
        <v>4.95</v>
      </c>
      <c r="AG90" s="345">
        <f t="shared" si="90"/>
        <v>4.95</v>
      </c>
      <c r="AH90" s="345">
        <f t="shared" si="90"/>
        <v>4.95</v>
      </c>
      <c r="AI90" s="345">
        <f t="shared" si="90"/>
        <v>4.95</v>
      </c>
      <c r="AJ90" s="345">
        <f t="shared" si="90"/>
        <v>4.7025</v>
      </c>
      <c r="AK90" s="345">
        <f t="shared" si="90"/>
        <v>4.7025</v>
      </c>
      <c r="AL90" s="345">
        <f t="shared" si="90"/>
        <v>4.7025</v>
      </c>
      <c r="AM90" s="345">
        <f t="shared" si="90"/>
        <v>4.7260125</v>
      </c>
      <c r="AN90" s="345">
        <f t="shared" si="90"/>
        <v>3.30820875</v>
      </c>
      <c r="AO90" s="345">
        <f t="shared" si="90"/>
        <v>3.142798313</v>
      </c>
      <c r="AP90" s="345">
        <f t="shared" si="90"/>
        <v>3.158512304</v>
      </c>
      <c r="AQ90" s="345">
        <f t="shared" si="90"/>
        <v>3.174304866</v>
      </c>
      <c r="AR90" s="345">
        <f t="shared" si="90"/>
        <v>3.19017639</v>
      </c>
      <c r="AS90" s="345">
        <f t="shared" si="90"/>
        <v>3.206127272</v>
      </c>
      <c r="AT90" s="345">
        <f t="shared" si="90"/>
        <v>3.222157908</v>
      </c>
      <c r="AU90" s="345">
        <f t="shared" si="90"/>
        <v>3.238268698</v>
      </c>
      <c r="AV90" s="345">
        <f t="shared" si="90"/>
        <v>3.254460041</v>
      </c>
      <c r="AW90" s="345">
        <f t="shared" si="90"/>
        <v>3.270732341</v>
      </c>
      <c r="AX90" s="345">
        <f t="shared" si="90"/>
        <v>3.287086003</v>
      </c>
      <c r="AY90" s="345">
        <f t="shared" si="90"/>
        <v>3.303521433</v>
      </c>
      <c r="AZ90" s="345">
        <f t="shared" si="90"/>
        <v>3.336556648</v>
      </c>
      <c r="BA90" s="345">
        <f t="shared" si="90"/>
        <v>3.353239431</v>
      </c>
      <c r="BB90" s="345">
        <f t="shared" si="90"/>
        <v>3.370005628</v>
      </c>
      <c r="BC90" s="345">
        <f t="shared" si="90"/>
        <v>3.386855656</v>
      </c>
      <c r="BD90" s="345">
        <f t="shared" si="90"/>
        <v>3.403789934</v>
      </c>
      <c r="BE90" s="345">
        <f t="shared" si="90"/>
        <v>3.420808884</v>
      </c>
      <c r="BF90" s="345">
        <f t="shared" si="90"/>
        <v>3.437912928</v>
      </c>
      <c r="BG90" s="345">
        <f t="shared" si="90"/>
        <v>3.455102493</v>
      </c>
      <c r="BH90" s="345">
        <f t="shared" si="90"/>
        <v>3.472378006</v>
      </c>
      <c r="BI90" s="345">
        <f t="shared" si="90"/>
        <v>3.489739896</v>
      </c>
      <c r="BJ90" s="345">
        <f t="shared" si="90"/>
        <v>3.507188595</v>
      </c>
      <c r="BK90" s="345">
        <f t="shared" si="90"/>
        <v>3.524724538</v>
      </c>
      <c r="BL90" s="345">
        <f t="shared" si="90"/>
        <v>3.348488311</v>
      </c>
      <c r="BM90" s="345">
        <f t="shared" si="90"/>
        <v>3.365230753</v>
      </c>
      <c r="BN90" s="345">
        <f t="shared" si="90"/>
        <v>3.382056906</v>
      </c>
      <c r="BO90" s="345">
        <f t="shared" si="90"/>
        <v>3.398967191</v>
      </c>
      <c r="BP90" s="345">
        <f t="shared" si="90"/>
        <v>3.415962027</v>
      </c>
      <c r="BQ90" s="345">
        <f t="shared" si="90"/>
        <v>3.433041837</v>
      </c>
      <c r="BR90" s="345">
        <f t="shared" si="90"/>
        <v>3.450207046</v>
      </c>
      <c r="BS90" s="345">
        <f t="shared" si="90"/>
        <v>3.467458081</v>
      </c>
      <c r="BT90" s="345">
        <f t="shared" si="90"/>
        <v>3.484795372</v>
      </c>
      <c r="BU90" s="345">
        <f t="shared" si="90"/>
        <v>3.502219349</v>
      </c>
      <c r="BV90" s="345">
        <f t="shared" si="90"/>
        <v>3.519730445</v>
      </c>
      <c r="BW90" s="345">
        <f t="shared" si="90"/>
        <v>3.537329098</v>
      </c>
      <c r="BX90" s="345">
        <f t="shared" si="90"/>
        <v>3.183596188</v>
      </c>
      <c r="BY90" s="345">
        <f t="shared" si="90"/>
        <v>3.199514169</v>
      </c>
      <c r="BZ90" s="345">
        <f t="shared" si="90"/>
        <v>3.21551174</v>
      </c>
      <c r="CA90" s="345">
        <f t="shared" si="90"/>
        <v>3.231589298</v>
      </c>
      <c r="CB90" s="345">
        <f t="shared" si="90"/>
        <v>3.247747245</v>
      </c>
      <c r="CC90" s="345">
        <f t="shared" si="90"/>
        <v>3.263985981</v>
      </c>
      <c r="CD90" s="345">
        <f t="shared" si="90"/>
        <v>3.280305911</v>
      </c>
      <c r="CE90" s="345">
        <f t="shared" si="90"/>
        <v>3.296707441</v>
      </c>
      <c r="CF90" s="345">
        <f t="shared" si="90"/>
        <v>3.313190978</v>
      </c>
      <c r="CG90" s="345">
        <f t="shared" si="90"/>
        <v>3.329756933</v>
      </c>
      <c r="CH90" s="345">
        <f t="shared" si="90"/>
        <v>3.346405717</v>
      </c>
      <c r="CI90" s="343"/>
      <c r="CJ90" s="343"/>
      <c r="CK90" s="343"/>
      <c r="CL90" s="343"/>
      <c r="CM90" s="343"/>
      <c r="CN90" s="343"/>
      <c r="CO90" s="343"/>
      <c r="CP90" s="343"/>
    </row>
    <row r="91" ht="15.75" customHeight="1">
      <c r="A91" s="343" t="s">
        <v>89</v>
      </c>
      <c r="B91" s="348"/>
      <c r="C91" s="348">
        <v>5.0</v>
      </c>
      <c r="D91" s="348">
        <v>5.0</v>
      </c>
      <c r="E91" s="348">
        <v>5.0</v>
      </c>
      <c r="F91" s="348">
        <v>5.0</v>
      </c>
      <c r="G91" s="348">
        <v>5.0</v>
      </c>
      <c r="H91" s="348">
        <v>5.0</v>
      </c>
      <c r="I91" s="348">
        <v>5.0</v>
      </c>
      <c r="J91" s="348">
        <v>5.0</v>
      </c>
      <c r="K91" s="348">
        <v>5.0</v>
      </c>
      <c r="L91" s="348">
        <v>5.0</v>
      </c>
      <c r="M91" s="348">
        <v>5.0</v>
      </c>
      <c r="N91" s="348">
        <v>5.0</v>
      </c>
      <c r="O91" s="348">
        <v>5.0</v>
      </c>
      <c r="P91" s="348">
        <v>5.0</v>
      </c>
      <c r="Q91" s="348">
        <v>5.0</v>
      </c>
      <c r="R91" s="348">
        <v>5.0</v>
      </c>
      <c r="S91" s="348">
        <v>5.0</v>
      </c>
      <c r="T91" s="348">
        <v>5.0</v>
      </c>
      <c r="U91" s="348">
        <v>5.0</v>
      </c>
      <c r="V91" s="348">
        <v>5.0</v>
      </c>
      <c r="W91" s="348">
        <v>5.0</v>
      </c>
      <c r="X91" s="348">
        <v>5.0</v>
      </c>
      <c r="Y91" s="348">
        <v>5.0</v>
      </c>
      <c r="Z91" s="345">
        <f t="shared" ref="Z91:CH91" si="91">Y75*Z83</f>
        <v>3.75</v>
      </c>
      <c r="AA91" s="345">
        <f t="shared" si="91"/>
        <v>4.5</v>
      </c>
      <c r="AB91" s="345">
        <f t="shared" si="91"/>
        <v>4.95</v>
      </c>
      <c r="AC91" s="345">
        <f t="shared" si="91"/>
        <v>4.95</v>
      </c>
      <c r="AD91" s="345">
        <f t="shared" si="91"/>
        <v>4.95</v>
      </c>
      <c r="AE91" s="345">
        <f t="shared" si="91"/>
        <v>4.95</v>
      </c>
      <c r="AF91" s="345">
        <f t="shared" si="91"/>
        <v>4.95</v>
      </c>
      <c r="AG91" s="345">
        <f t="shared" si="91"/>
        <v>4.95</v>
      </c>
      <c r="AH91" s="345">
        <f t="shared" si="91"/>
        <v>4.95</v>
      </c>
      <c r="AI91" s="345">
        <f t="shared" si="91"/>
        <v>4.95</v>
      </c>
      <c r="AJ91" s="345">
        <f t="shared" si="91"/>
        <v>4.7025</v>
      </c>
      <c r="AK91" s="345">
        <f t="shared" si="91"/>
        <v>4.7025</v>
      </c>
      <c r="AL91" s="345">
        <f t="shared" si="91"/>
        <v>4.7025</v>
      </c>
      <c r="AM91" s="345">
        <f t="shared" si="91"/>
        <v>4.7260125</v>
      </c>
      <c r="AN91" s="345">
        <f t="shared" si="91"/>
        <v>3.30820875</v>
      </c>
      <c r="AO91" s="345">
        <f t="shared" si="91"/>
        <v>3.142798313</v>
      </c>
      <c r="AP91" s="345">
        <f t="shared" si="91"/>
        <v>3.158512304</v>
      </c>
      <c r="AQ91" s="345">
        <f t="shared" si="91"/>
        <v>3.174304866</v>
      </c>
      <c r="AR91" s="345">
        <f t="shared" si="91"/>
        <v>3.19017639</v>
      </c>
      <c r="AS91" s="345">
        <f t="shared" si="91"/>
        <v>3.206127272</v>
      </c>
      <c r="AT91" s="345">
        <f t="shared" si="91"/>
        <v>3.222157908</v>
      </c>
      <c r="AU91" s="345">
        <f t="shared" si="91"/>
        <v>3.238268698</v>
      </c>
      <c r="AV91" s="345">
        <f t="shared" si="91"/>
        <v>3.254460041</v>
      </c>
      <c r="AW91" s="345">
        <f t="shared" si="91"/>
        <v>3.270732341</v>
      </c>
      <c r="AX91" s="345">
        <f t="shared" si="91"/>
        <v>3.287086003</v>
      </c>
      <c r="AY91" s="345">
        <f t="shared" si="91"/>
        <v>3.303521433</v>
      </c>
      <c r="AZ91" s="345">
        <f t="shared" si="91"/>
        <v>3.336556648</v>
      </c>
      <c r="BA91" s="345">
        <f t="shared" si="91"/>
        <v>3.353239431</v>
      </c>
      <c r="BB91" s="345">
        <f t="shared" si="91"/>
        <v>3.370005628</v>
      </c>
      <c r="BC91" s="345">
        <f t="shared" si="91"/>
        <v>3.386855656</v>
      </c>
      <c r="BD91" s="345">
        <f t="shared" si="91"/>
        <v>3.403789934</v>
      </c>
      <c r="BE91" s="345">
        <f t="shared" si="91"/>
        <v>3.420808884</v>
      </c>
      <c r="BF91" s="345">
        <f t="shared" si="91"/>
        <v>3.437912928</v>
      </c>
      <c r="BG91" s="345">
        <f t="shared" si="91"/>
        <v>3.455102493</v>
      </c>
      <c r="BH91" s="345">
        <f t="shared" si="91"/>
        <v>3.472378006</v>
      </c>
      <c r="BI91" s="345">
        <f t="shared" si="91"/>
        <v>3.489739896</v>
      </c>
      <c r="BJ91" s="345">
        <f t="shared" si="91"/>
        <v>3.507188595</v>
      </c>
      <c r="BK91" s="345">
        <f t="shared" si="91"/>
        <v>3.524724538</v>
      </c>
      <c r="BL91" s="345">
        <f t="shared" si="91"/>
        <v>3.348488311</v>
      </c>
      <c r="BM91" s="345">
        <f t="shared" si="91"/>
        <v>3.365230753</v>
      </c>
      <c r="BN91" s="345">
        <f t="shared" si="91"/>
        <v>3.382056906</v>
      </c>
      <c r="BO91" s="345">
        <f t="shared" si="91"/>
        <v>3.398967191</v>
      </c>
      <c r="BP91" s="345">
        <f t="shared" si="91"/>
        <v>3.415962027</v>
      </c>
      <c r="BQ91" s="345">
        <f t="shared" si="91"/>
        <v>3.433041837</v>
      </c>
      <c r="BR91" s="345">
        <f t="shared" si="91"/>
        <v>3.450207046</v>
      </c>
      <c r="BS91" s="345">
        <f t="shared" si="91"/>
        <v>3.467458081</v>
      </c>
      <c r="BT91" s="345">
        <f t="shared" si="91"/>
        <v>3.484795372</v>
      </c>
      <c r="BU91" s="345">
        <f t="shared" si="91"/>
        <v>3.502219349</v>
      </c>
      <c r="BV91" s="345">
        <f t="shared" si="91"/>
        <v>3.519730445</v>
      </c>
      <c r="BW91" s="345">
        <f t="shared" si="91"/>
        <v>3.537329098</v>
      </c>
      <c r="BX91" s="345">
        <f t="shared" si="91"/>
        <v>3.183596188</v>
      </c>
      <c r="BY91" s="345">
        <f t="shared" si="91"/>
        <v>3.199514169</v>
      </c>
      <c r="BZ91" s="345">
        <f t="shared" si="91"/>
        <v>3.21551174</v>
      </c>
      <c r="CA91" s="345">
        <f t="shared" si="91"/>
        <v>3.231589298</v>
      </c>
      <c r="CB91" s="345">
        <f t="shared" si="91"/>
        <v>3.247747245</v>
      </c>
      <c r="CC91" s="345">
        <f t="shared" si="91"/>
        <v>3.263985981</v>
      </c>
      <c r="CD91" s="345">
        <f t="shared" si="91"/>
        <v>3.280305911</v>
      </c>
      <c r="CE91" s="345">
        <f t="shared" si="91"/>
        <v>3.296707441</v>
      </c>
      <c r="CF91" s="345">
        <f t="shared" si="91"/>
        <v>3.313190978</v>
      </c>
      <c r="CG91" s="345">
        <f t="shared" si="91"/>
        <v>3.329756933</v>
      </c>
      <c r="CH91" s="345">
        <f t="shared" si="91"/>
        <v>3.346405717</v>
      </c>
      <c r="CI91" s="343"/>
      <c r="CJ91" s="343"/>
      <c r="CK91" s="343"/>
      <c r="CL91" s="343"/>
      <c r="CM91" s="343"/>
      <c r="CN91" s="343"/>
      <c r="CO91" s="343"/>
      <c r="CP91" s="343"/>
    </row>
    <row r="92" ht="15.75" customHeight="1">
      <c r="A92" s="343" t="s">
        <v>94</v>
      </c>
      <c r="B92" s="348"/>
      <c r="C92" s="348">
        <v>5.0</v>
      </c>
      <c r="D92" s="348">
        <v>5.0</v>
      </c>
      <c r="E92" s="348">
        <v>5.0</v>
      </c>
      <c r="F92" s="348">
        <v>5.0</v>
      </c>
      <c r="G92" s="348">
        <v>5.0</v>
      </c>
      <c r="H92" s="348">
        <v>5.0</v>
      </c>
      <c r="I92" s="348">
        <v>5.0</v>
      </c>
      <c r="J92" s="348">
        <v>5.0</v>
      </c>
      <c r="K92" s="348">
        <v>5.0</v>
      </c>
      <c r="L92" s="348">
        <v>5.0</v>
      </c>
      <c r="M92" s="348">
        <v>5.0</v>
      </c>
      <c r="N92" s="348">
        <v>5.0</v>
      </c>
      <c r="O92" s="348">
        <v>5.0</v>
      </c>
      <c r="P92" s="348">
        <v>5.0</v>
      </c>
      <c r="Q92" s="348">
        <v>5.0</v>
      </c>
      <c r="R92" s="348">
        <v>5.0</v>
      </c>
      <c r="S92" s="348">
        <v>5.0</v>
      </c>
      <c r="T92" s="348">
        <v>5.0</v>
      </c>
      <c r="U92" s="348">
        <v>5.0</v>
      </c>
      <c r="V92" s="348">
        <v>5.0</v>
      </c>
      <c r="W92" s="348">
        <v>5.0</v>
      </c>
      <c r="X92" s="348">
        <v>5.0</v>
      </c>
      <c r="Y92" s="348">
        <v>5.0</v>
      </c>
      <c r="Z92" s="345">
        <f t="shared" ref="Z92:CH92" si="92">Y76*Z84</f>
        <v>3.75</v>
      </c>
      <c r="AA92" s="345">
        <f t="shared" si="92"/>
        <v>4.5</v>
      </c>
      <c r="AB92" s="345">
        <f t="shared" si="92"/>
        <v>4.95</v>
      </c>
      <c r="AC92" s="345">
        <f t="shared" si="92"/>
        <v>4.95</v>
      </c>
      <c r="AD92" s="345">
        <f t="shared" si="92"/>
        <v>4.95</v>
      </c>
      <c r="AE92" s="345">
        <f t="shared" si="92"/>
        <v>4.95</v>
      </c>
      <c r="AF92" s="345">
        <f t="shared" si="92"/>
        <v>4.95</v>
      </c>
      <c r="AG92" s="345">
        <f t="shared" si="92"/>
        <v>4.95</v>
      </c>
      <c r="AH92" s="345">
        <f t="shared" si="92"/>
        <v>4.95</v>
      </c>
      <c r="AI92" s="345">
        <f t="shared" si="92"/>
        <v>4.95</v>
      </c>
      <c r="AJ92" s="345">
        <f t="shared" si="92"/>
        <v>4.7025</v>
      </c>
      <c r="AK92" s="345">
        <f t="shared" si="92"/>
        <v>4.7025</v>
      </c>
      <c r="AL92" s="345">
        <f t="shared" si="92"/>
        <v>4.7025</v>
      </c>
      <c r="AM92" s="345">
        <f t="shared" si="92"/>
        <v>4.7260125</v>
      </c>
      <c r="AN92" s="345">
        <f t="shared" si="92"/>
        <v>4.773272625</v>
      </c>
      <c r="AO92" s="345">
        <f t="shared" si="92"/>
        <v>5.011936256</v>
      </c>
      <c r="AP92" s="345">
        <f t="shared" si="92"/>
        <v>5.036995938</v>
      </c>
      <c r="AQ92" s="345">
        <f t="shared" si="92"/>
        <v>5.062180917</v>
      </c>
      <c r="AR92" s="345">
        <f t="shared" si="92"/>
        <v>5.087491822</v>
      </c>
      <c r="AS92" s="345">
        <f t="shared" si="92"/>
        <v>5.112929281</v>
      </c>
      <c r="AT92" s="345">
        <f t="shared" si="92"/>
        <v>5.138493927</v>
      </c>
      <c r="AU92" s="345">
        <f t="shared" si="92"/>
        <v>5.164186397</v>
      </c>
      <c r="AV92" s="345">
        <f t="shared" si="92"/>
        <v>5.190007329</v>
      </c>
      <c r="AW92" s="345">
        <f t="shared" si="92"/>
        <v>5.215957366</v>
      </c>
      <c r="AX92" s="345">
        <f t="shared" si="92"/>
        <v>5.242037152</v>
      </c>
      <c r="AY92" s="345">
        <f t="shared" si="92"/>
        <v>5.268247338</v>
      </c>
      <c r="AZ92" s="345">
        <f t="shared" si="92"/>
        <v>5.320929812</v>
      </c>
      <c r="BA92" s="345">
        <f t="shared" si="92"/>
        <v>5.347534461</v>
      </c>
      <c r="BB92" s="345">
        <f t="shared" si="92"/>
        <v>5.374272133</v>
      </c>
      <c r="BC92" s="345">
        <f t="shared" si="92"/>
        <v>5.401143494</v>
      </c>
      <c r="BD92" s="345">
        <f t="shared" si="92"/>
        <v>5.428149211</v>
      </c>
      <c r="BE92" s="345">
        <f t="shared" si="92"/>
        <v>5.455289957</v>
      </c>
      <c r="BF92" s="345">
        <f t="shared" si="92"/>
        <v>5.482566407</v>
      </c>
      <c r="BG92" s="345">
        <f t="shared" si="92"/>
        <v>5.509979239</v>
      </c>
      <c r="BH92" s="345">
        <f t="shared" si="92"/>
        <v>5.537529135</v>
      </c>
      <c r="BI92" s="345">
        <f t="shared" si="92"/>
        <v>5.565216781</v>
      </c>
      <c r="BJ92" s="345">
        <f t="shared" si="92"/>
        <v>5.593042865</v>
      </c>
      <c r="BK92" s="345">
        <f t="shared" si="92"/>
        <v>5.621008079</v>
      </c>
      <c r="BL92" s="345">
        <f t="shared" si="92"/>
        <v>5.339957675</v>
      </c>
      <c r="BM92" s="345">
        <f t="shared" si="92"/>
        <v>5.366657463</v>
      </c>
      <c r="BN92" s="345">
        <f t="shared" si="92"/>
        <v>5.393490751</v>
      </c>
      <c r="BO92" s="345">
        <f t="shared" si="92"/>
        <v>5.420458205</v>
      </c>
      <c r="BP92" s="345">
        <f t="shared" si="92"/>
        <v>5.447560496</v>
      </c>
      <c r="BQ92" s="345">
        <f t="shared" si="92"/>
        <v>5.474798298</v>
      </c>
      <c r="BR92" s="345">
        <f t="shared" si="92"/>
        <v>5.50217229</v>
      </c>
      <c r="BS92" s="345">
        <f t="shared" si="92"/>
        <v>5.529683151</v>
      </c>
      <c r="BT92" s="345">
        <f t="shared" si="92"/>
        <v>5.557331567</v>
      </c>
      <c r="BU92" s="345">
        <f t="shared" si="92"/>
        <v>5.585118225</v>
      </c>
      <c r="BV92" s="345">
        <f t="shared" si="92"/>
        <v>5.613043816</v>
      </c>
      <c r="BW92" s="345">
        <f t="shared" si="92"/>
        <v>5.641109035</v>
      </c>
      <c r="BX92" s="345">
        <f t="shared" si="92"/>
        <v>5.076998131</v>
      </c>
      <c r="BY92" s="345">
        <f t="shared" si="92"/>
        <v>5.102383122</v>
      </c>
      <c r="BZ92" s="345">
        <f t="shared" si="92"/>
        <v>5.127895038</v>
      </c>
      <c r="CA92" s="345">
        <f t="shared" si="92"/>
        <v>5.153534513</v>
      </c>
      <c r="CB92" s="345">
        <f t="shared" si="92"/>
        <v>5.179302185</v>
      </c>
      <c r="CC92" s="345">
        <f t="shared" si="92"/>
        <v>5.205198696</v>
      </c>
      <c r="CD92" s="345">
        <f t="shared" si="92"/>
        <v>5.23122469</v>
      </c>
      <c r="CE92" s="345">
        <f t="shared" si="92"/>
        <v>5.257380813</v>
      </c>
      <c r="CF92" s="345">
        <f t="shared" si="92"/>
        <v>5.283667717</v>
      </c>
      <c r="CG92" s="345">
        <f t="shared" si="92"/>
        <v>5.310086056</v>
      </c>
      <c r="CH92" s="345">
        <f t="shared" si="92"/>
        <v>5.336636486</v>
      </c>
      <c r="CI92" s="343"/>
      <c r="CJ92" s="343"/>
      <c r="CK92" s="343"/>
      <c r="CL92" s="343"/>
      <c r="CM92" s="343"/>
      <c r="CN92" s="343"/>
      <c r="CO92" s="343"/>
      <c r="CP92" s="343"/>
    </row>
    <row r="93" ht="15.75" customHeight="1">
      <c r="A93" s="343" t="s">
        <v>96</v>
      </c>
      <c r="B93" s="348"/>
      <c r="C93" s="348">
        <v>5.0</v>
      </c>
      <c r="D93" s="348">
        <v>5.0</v>
      </c>
      <c r="E93" s="348">
        <v>5.0</v>
      </c>
      <c r="F93" s="348">
        <v>5.0</v>
      </c>
      <c r="G93" s="348">
        <v>5.0</v>
      </c>
      <c r="H93" s="348">
        <v>5.0</v>
      </c>
      <c r="I93" s="348">
        <v>5.0</v>
      </c>
      <c r="J93" s="348">
        <v>5.0</v>
      </c>
      <c r="K93" s="348">
        <v>5.0</v>
      </c>
      <c r="L93" s="348">
        <v>5.0</v>
      </c>
      <c r="M93" s="348">
        <v>5.0</v>
      </c>
      <c r="N93" s="348">
        <v>5.0</v>
      </c>
      <c r="O93" s="348">
        <v>5.0</v>
      </c>
      <c r="P93" s="348">
        <v>5.0</v>
      </c>
      <c r="Q93" s="348">
        <v>5.0</v>
      </c>
      <c r="R93" s="348">
        <v>5.0</v>
      </c>
      <c r="S93" s="348">
        <v>5.0</v>
      </c>
      <c r="T93" s="348">
        <v>5.0</v>
      </c>
      <c r="U93" s="348">
        <v>5.0</v>
      </c>
      <c r="V93" s="348">
        <v>5.0</v>
      </c>
      <c r="W93" s="348">
        <v>5.0</v>
      </c>
      <c r="X93" s="348">
        <v>5.0</v>
      </c>
      <c r="Y93" s="348">
        <v>5.0</v>
      </c>
      <c r="Z93" s="345">
        <f t="shared" ref="Z93:CH93" si="93">Y77*Z85</f>
        <v>3.75</v>
      </c>
      <c r="AA93" s="345">
        <f t="shared" si="93"/>
        <v>4.5</v>
      </c>
      <c r="AB93" s="345">
        <f t="shared" si="93"/>
        <v>4.95</v>
      </c>
      <c r="AC93" s="345">
        <f t="shared" si="93"/>
        <v>4.95</v>
      </c>
      <c r="AD93" s="345">
        <f t="shared" si="93"/>
        <v>4.95</v>
      </c>
      <c r="AE93" s="345">
        <f t="shared" si="93"/>
        <v>4.95</v>
      </c>
      <c r="AF93" s="345">
        <f t="shared" si="93"/>
        <v>4.95</v>
      </c>
      <c r="AG93" s="345">
        <f t="shared" si="93"/>
        <v>4.95</v>
      </c>
      <c r="AH93" s="345">
        <f t="shared" si="93"/>
        <v>4.95</v>
      </c>
      <c r="AI93" s="345">
        <f t="shared" si="93"/>
        <v>4.95</v>
      </c>
      <c r="AJ93" s="345">
        <f t="shared" si="93"/>
        <v>4.95</v>
      </c>
      <c r="AK93" s="345">
        <f t="shared" si="93"/>
        <v>4.95</v>
      </c>
      <c r="AL93" s="345">
        <f t="shared" si="93"/>
        <v>4.95</v>
      </c>
      <c r="AM93" s="345">
        <f t="shared" si="93"/>
        <v>4.95</v>
      </c>
      <c r="AN93" s="345">
        <f t="shared" si="93"/>
        <v>4.95</v>
      </c>
      <c r="AO93" s="345">
        <f t="shared" si="93"/>
        <v>4.95</v>
      </c>
      <c r="AP93" s="345">
        <f t="shared" si="93"/>
        <v>4.95</v>
      </c>
      <c r="AQ93" s="345">
        <f t="shared" si="93"/>
        <v>4.95</v>
      </c>
      <c r="AR93" s="345">
        <f t="shared" si="93"/>
        <v>4.95</v>
      </c>
      <c r="AS93" s="345">
        <f t="shared" si="93"/>
        <v>4.95</v>
      </c>
      <c r="AT93" s="345">
        <f t="shared" si="93"/>
        <v>4.95</v>
      </c>
      <c r="AU93" s="345">
        <f t="shared" si="93"/>
        <v>4.95</v>
      </c>
      <c r="AV93" s="345">
        <f t="shared" si="93"/>
        <v>4.95</v>
      </c>
      <c r="AW93" s="345">
        <f t="shared" si="93"/>
        <v>4.95</v>
      </c>
      <c r="AX93" s="345">
        <f t="shared" si="93"/>
        <v>4.95</v>
      </c>
      <c r="AY93" s="345">
        <f t="shared" si="93"/>
        <v>4.95</v>
      </c>
      <c r="AZ93" s="345">
        <f t="shared" si="93"/>
        <v>4.95</v>
      </c>
      <c r="BA93" s="345">
        <f t="shared" si="93"/>
        <v>4.95</v>
      </c>
      <c r="BB93" s="345">
        <f t="shared" si="93"/>
        <v>4.95</v>
      </c>
      <c r="BC93" s="345">
        <f t="shared" si="93"/>
        <v>4.95</v>
      </c>
      <c r="BD93" s="345">
        <f t="shared" si="93"/>
        <v>4.95</v>
      </c>
      <c r="BE93" s="345">
        <f t="shared" si="93"/>
        <v>4.95</v>
      </c>
      <c r="BF93" s="345">
        <f t="shared" si="93"/>
        <v>4.95</v>
      </c>
      <c r="BG93" s="345">
        <f t="shared" si="93"/>
        <v>4.95</v>
      </c>
      <c r="BH93" s="345">
        <f t="shared" si="93"/>
        <v>4.95</v>
      </c>
      <c r="BI93" s="345">
        <f t="shared" si="93"/>
        <v>4.95</v>
      </c>
      <c r="BJ93" s="345">
        <f t="shared" si="93"/>
        <v>4.95</v>
      </c>
      <c r="BK93" s="345">
        <f t="shared" si="93"/>
        <v>4.95</v>
      </c>
      <c r="BL93" s="345">
        <f t="shared" si="93"/>
        <v>4.95</v>
      </c>
      <c r="BM93" s="345">
        <f t="shared" si="93"/>
        <v>4.95</v>
      </c>
      <c r="BN93" s="345">
        <f t="shared" si="93"/>
        <v>4.95</v>
      </c>
      <c r="BO93" s="345">
        <f t="shared" si="93"/>
        <v>4.95</v>
      </c>
      <c r="BP93" s="345">
        <f t="shared" si="93"/>
        <v>4.95</v>
      </c>
      <c r="BQ93" s="345">
        <f t="shared" si="93"/>
        <v>4.95</v>
      </c>
      <c r="BR93" s="345">
        <f t="shared" si="93"/>
        <v>4.95</v>
      </c>
      <c r="BS93" s="345">
        <f t="shared" si="93"/>
        <v>4.95</v>
      </c>
      <c r="BT93" s="345">
        <f t="shared" si="93"/>
        <v>4.95</v>
      </c>
      <c r="BU93" s="345">
        <f t="shared" si="93"/>
        <v>4.95</v>
      </c>
      <c r="BV93" s="345">
        <f t="shared" si="93"/>
        <v>4.95</v>
      </c>
      <c r="BW93" s="345">
        <f t="shared" si="93"/>
        <v>4.95</v>
      </c>
      <c r="BX93" s="345">
        <f t="shared" si="93"/>
        <v>4.95</v>
      </c>
      <c r="BY93" s="345">
        <f t="shared" si="93"/>
        <v>4.95</v>
      </c>
      <c r="BZ93" s="345">
        <f t="shared" si="93"/>
        <v>4.95</v>
      </c>
      <c r="CA93" s="345">
        <f t="shared" si="93"/>
        <v>4.95</v>
      </c>
      <c r="CB93" s="345">
        <f t="shared" si="93"/>
        <v>4.95</v>
      </c>
      <c r="CC93" s="345">
        <f t="shared" si="93"/>
        <v>4.95</v>
      </c>
      <c r="CD93" s="345">
        <f t="shared" si="93"/>
        <v>4.95</v>
      </c>
      <c r="CE93" s="345">
        <f t="shared" si="93"/>
        <v>4.95</v>
      </c>
      <c r="CF93" s="345">
        <f t="shared" si="93"/>
        <v>4.95</v>
      </c>
      <c r="CG93" s="345">
        <f t="shared" si="93"/>
        <v>4.95</v>
      </c>
      <c r="CH93" s="345">
        <f t="shared" si="93"/>
        <v>4.95</v>
      </c>
      <c r="CI93" s="343"/>
      <c r="CJ93" s="343"/>
      <c r="CK93" s="343"/>
      <c r="CL93" s="343"/>
      <c r="CM93" s="343"/>
      <c r="CN93" s="343"/>
      <c r="CO93" s="343"/>
      <c r="CP93" s="343"/>
    </row>
    <row r="94" ht="15.75" customHeight="1">
      <c r="A94" s="346" t="s">
        <v>603</v>
      </c>
      <c r="B94" s="347"/>
      <c r="C94" s="347">
        <f t="shared" ref="C94:CH94" si="94">SUM(C88:C93)</f>
        <v>30</v>
      </c>
      <c r="D94" s="347">
        <f t="shared" si="94"/>
        <v>30</v>
      </c>
      <c r="E94" s="347">
        <f t="shared" si="94"/>
        <v>30</v>
      </c>
      <c r="F94" s="347">
        <f t="shared" si="94"/>
        <v>30</v>
      </c>
      <c r="G94" s="347">
        <f t="shared" si="94"/>
        <v>30</v>
      </c>
      <c r="H94" s="347">
        <f t="shared" si="94"/>
        <v>30</v>
      </c>
      <c r="I94" s="347">
        <f t="shared" si="94"/>
        <v>30</v>
      </c>
      <c r="J94" s="347">
        <f t="shared" si="94"/>
        <v>30</v>
      </c>
      <c r="K94" s="347">
        <f t="shared" si="94"/>
        <v>30</v>
      </c>
      <c r="L94" s="347">
        <f t="shared" si="94"/>
        <v>30</v>
      </c>
      <c r="M94" s="347">
        <f t="shared" si="94"/>
        <v>30</v>
      </c>
      <c r="N94" s="347">
        <f t="shared" si="94"/>
        <v>30</v>
      </c>
      <c r="O94" s="347">
        <f t="shared" si="94"/>
        <v>30</v>
      </c>
      <c r="P94" s="347">
        <f t="shared" si="94"/>
        <v>30</v>
      </c>
      <c r="Q94" s="347">
        <f t="shared" si="94"/>
        <v>30</v>
      </c>
      <c r="R94" s="347">
        <f t="shared" si="94"/>
        <v>30</v>
      </c>
      <c r="S94" s="347">
        <f t="shared" si="94"/>
        <v>30</v>
      </c>
      <c r="T94" s="347">
        <f t="shared" si="94"/>
        <v>30</v>
      </c>
      <c r="U94" s="347">
        <f t="shared" si="94"/>
        <v>30</v>
      </c>
      <c r="V94" s="347">
        <f t="shared" si="94"/>
        <v>30</v>
      </c>
      <c r="W94" s="347">
        <f t="shared" si="94"/>
        <v>30</v>
      </c>
      <c r="X94" s="347">
        <f t="shared" si="94"/>
        <v>30</v>
      </c>
      <c r="Y94" s="347">
        <f t="shared" si="94"/>
        <v>30</v>
      </c>
      <c r="Z94" s="347">
        <f t="shared" si="94"/>
        <v>22.5</v>
      </c>
      <c r="AA94" s="347">
        <f t="shared" si="94"/>
        <v>27</v>
      </c>
      <c r="AB94" s="347">
        <f t="shared" si="94"/>
        <v>29.7</v>
      </c>
      <c r="AC94" s="347">
        <f t="shared" si="94"/>
        <v>29.7</v>
      </c>
      <c r="AD94" s="347">
        <f t="shared" si="94"/>
        <v>29.7</v>
      </c>
      <c r="AE94" s="347">
        <f t="shared" si="94"/>
        <v>29.7</v>
      </c>
      <c r="AF94" s="347">
        <f t="shared" si="94"/>
        <v>29.7</v>
      </c>
      <c r="AG94" s="347">
        <f t="shared" si="94"/>
        <v>29.7</v>
      </c>
      <c r="AH94" s="347">
        <f t="shared" si="94"/>
        <v>29.7</v>
      </c>
      <c r="AI94" s="347">
        <f t="shared" si="94"/>
        <v>29.7</v>
      </c>
      <c r="AJ94" s="347">
        <f t="shared" si="94"/>
        <v>28.512</v>
      </c>
      <c r="AK94" s="347">
        <f t="shared" si="94"/>
        <v>28.512</v>
      </c>
      <c r="AL94" s="347">
        <f t="shared" si="94"/>
        <v>28.512</v>
      </c>
      <c r="AM94" s="347">
        <f t="shared" si="94"/>
        <v>28.62981</v>
      </c>
      <c r="AN94" s="347">
        <f t="shared" si="94"/>
        <v>22.99093088</v>
      </c>
      <c r="AO94" s="347">
        <f t="shared" si="94"/>
        <v>22.56621159</v>
      </c>
      <c r="AP94" s="347">
        <f t="shared" si="94"/>
        <v>22.65429265</v>
      </c>
      <c r="AQ94" s="347">
        <f t="shared" si="94"/>
        <v>22.74281411</v>
      </c>
      <c r="AR94" s="347">
        <f t="shared" si="94"/>
        <v>22.83177819</v>
      </c>
      <c r="AS94" s="347">
        <f t="shared" si="94"/>
        <v>22.92118708</v>
      </c>
      <c r="AT94" s="347">
        <f t="shared" si="94"/>
        <v>23.01104301</v>
      </c>
      <c r="AU94" s="347">
        <f t="shared" si="94"/>
        <v>23.10134823</v>
      </c>
      <c r="AV94" s="347">
        <f t="shared" si="94"/>
        <v>23.19210497</v>
      </c>
      <c r="AW94" s="347">
        <f t="shared" si="94"/>
        <v>23.28331549</v>
      </c>
      <c r="AX94" s="347">
        <f t="shared" si="94"/>
        <v>23.37498207</v>
      </c>
      <c r="AY94" s="347">
        <f t="shared" si="94"/>
        <v>23.46710698</v>
      </c>
      <c r="AZ94" s="347">
        <f t="shared" si="94"/>
        <v>23.65227805</v>
      </c>
      <c r="BA94" s="347">
        <f t="shared" si="94"/>
        <v>23.74578944</v>
      </c>
      <c r="BB94" s="347">
        <f t="shared" si="94"/>
        <v>23.83976839</v>
      </c>
      <c r="BC94" s="347">
        <f t="shared" si="94"/>
        <v>23.93421723</v>
      </c>
      <c r="BD94" s="347">
        <f t="shared" si="94"/>
        <v>24.02913832</v>
      </c>
      <c r="BE94" s="347">
        <f t="shared" si="94"/>
        <v>24.12453401</v>
      </c>
      <c r="BF94" s="347">
        <f t="shared" si="94"/>
        <v>24.22040668</v>
      </c>
      <c r="BG94" s="347">
        <f t="shared" si="94"/>
        <v>24.31675871</v>
      </c>
      <c r="BH94" s="347">
        <f t="shared" si="94"/>
        <v>24.4135925</v>
      </c>
      <c r="BI94" s="347">
        <f t="shared" si="94"/>
        <v>24.51091047</v>
      </c>
      <c r="BJ94" s="347">
        <f t="shared" si="94"/>
        <v>24.60871502</v>
      </c>
      <c r="BK94" s="347">
        <f t="shared" si="94"/>
        <v>24.70700859</v>
      </c>
      <c r="BL94" s="347">
        <f t="shared" si="94"/>
        <v>23.71915816</v>
      </c>
      <c r="BM94" s="347">
        <f t="shared" si="94"/>
        <v>23.81300396</v>
      </c>
      <c r="BN94" s="347">
        <f t="shared" si="94"/>
        <v>23.90731898</v>
      </c>
      <c r="BO94" s="347">
        <f t="shared" si="94"/>
        <v>24.00210557</v>
      </c>
      <c r="BP94" s="347">
        <f t="shared" si="94"/>
        <v>24.0973661</v>
      </c>
      <c r="BQ94" s="347">
        <f t="shared" si="94"/>
        <v>24.19310293</v>
      </c>
      <c r="BR94" s="347">
        <f t="shared" si="94"/>
        <v>24.28931844</v>
      </c>
      <c r="BS94" s="347">
        <f t="shared" si="94"/>
        <v>24.38601504</v>
      </c>
      <c r="BT94" s="347">
        <f t="shared" si="94"/>
        <v>24.48319511</v>
      </c>
      <c r="BU94" s="347">
        <f t="shared" si="94"/>
        <v>24.58086109</v>
      </c>
      <c r="BV94" s="347">
        <f t="shared" si="94"/>
        <v>24.67901539</v>
      </c>
      <c r="BW94" s="347">
        <f t="shared" si="94"/>
        <v>24.77766047</v>
      </c>
      <c r="BX94" s="347">
        <f t="shared" si="94"/>
        <v>22.79489442</v>
      </c>
      <c r="BY94" s="347">
        <f t="shared" si="94"/>
        <v>22.88411889</v>
      </c>
      <c r="BZ94" s="347">
        <f t="shared" si="94"/>
        <v>22.97378949</v>
      </c>
      <c r="CA94" s="347">
        <f t="shared" si="94"/>
        <v>23.06390844</v>
      </c>
      <c r="CB94" s="347">
        <f t="shared" si="94"/>
        <v>23.15447798</v>
      </c>
      <c r="CC94" s="347">
        <f t="shared" si="94"/>
        <v>23.24550037</v>
      </c>
      <c r="CD94" s="347">
        <f t="shared" si="94"/>
        <v>23.33697787</v>
      </c>
      <c r="CE94" s="347">
        <f t="shared" si="94"/>
        <v>23.42891276</v>
      </c>
      <c r="CF94" s="347">
        <f t="shared" si="94"/>
        <v>23.52130732</v>
      </c>
      <c r="CG94" s="347">
        <f t="shared" si="94"/>
        <v>23.61416386</v>
      </c>
      <c r="CH94" s="347">
        <f t="shared" si="94"/>
        <v>23.70748468</v>
      </c>
      <c r="CI94" s="343"/>
      <c r="CJ94" s="343"/>
      <c r="CK94" s="343"/>
      <c r="CL94" s="343"/>
      <c r="CM94" s="343"/>
      <c r="CN94" s="343"/>
      <c r="CO94" s="343"/>
      <c r="CP94" s="343"/>
    </row>
    <row r="95" ht="15.75" customHeight="1">
      <c r="A95" s="1"/>
      <c r="B95" s="1"/>
      <c r="C95" s="1"/>
      <c r="D95" s="1"/>
      <c r="E95" s="1"/>
      <c r="F95" s="1"/>
      <c r="G95" s="1"/>
      <c r="H95" s="1"/>
      <c r="I95" s="1"/>
      <c r="J95" s="1"/>
      <c r="K95" s="1"/>
      <c r="L95" s="1"/>
      <c r="M95" s="1"/>
      <c r="N95" s="125"/>
      <c r="O95" s="125"/>
      <c r="P95" s="125"/>
      <c r="Q95" s="125"/>
      <c r="R95" s="125"/>
      <c r="S95" s="207"/>
      <c r="T95" s="125"/>
      <c r="U95" s="125"/>
      <c r="V95" s="125"/>
      <c r="W95" s="125"/>
      <c r="X95" s="125"/>
      <c r="Y95" s="125"/>
      <c r="Z95" s="1"/>
      <c r="AA95" s="1"/>
      <c r="AB95" s="1"/>
      <c r="AC95" s="1"/>
      <c r="AD95" s="125"/>
      <c r="AE95" s="1"/>
      <c r="AF95" s="1"/>
      <c r="AG95" s="1"/>
      <c r="AH95" s="125">
        <f>SUM(AE94:AH94)/SUM(AE78:AH78)</f>
        <v>0.25</v>
      </c>
      <c r="AI95" s="1"/>
      <c r="AJ95" s="1"/>
      <c r="AK95" s="125">
        <f>SUM(AB94:AL94)/SUM(AB78:AL78)</f>
        <v>0.2508307231</v>
      </c>
      <c r="AL95" s="125">
        <f>SUM(AI94:AL94)/SUM(AI78:AL78)</f>
        <v>0.2523434993</v>
      </c>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row>
    <row r="96" ht="15.75" customHeight="1">
      <c r="A96" s="1" t="s">
        <v>129</v>
      </c>
      <c r="B96" s="349"/>
      <c r="C96" s="349">
        <f t="shared" ref="C96:Y96" si="95">RANDBETWEEN(100000,500000)</f>
        <v>396523</v>
      </c>
      <c r="D96" s="349">
        <f t="shared" si="95"/>
        <v>231375</v>
      </c>
      <c r="E96" s="349">
        <f t="shared" si="95"/>
        <v>359628</v>
      </c>
      <c r="F96" s="349">
        <f t="shared" si="95"/>
        <v>131995</v>
      </c>
      <c r="G96" s="349">
        <f t="shared" si="95"/>
        <v>185429</v>
      </c>
      <c r="H96" s="349">
        <f t="shared" si="95"/>
        <v>393585</v>
      </c>
      <c r="I96" s="349">
        <f t="shared" si="95"/>
        <v>260021</v>
      </c>
      <c r="J96" s="349">
        <f t="shared" si="95"/>
        <v>356898</v>
      </c>
      <c r="K96" s="349">
        <f t="shared" si="95"/>
        <v>106285</v>
      </c>
      <c r="L96" s="349">
        <f t="shared" si="95"/>
        <v>206183</v>
      </c>
      <c r="M96" s="349">
        <f t="shared" si="95"/>
        <v>128711</v>
      </c>
      <c r="N96" s="349">
        <f t="shared" si="95"/>
        <v>442224</v>
      </c>
      <c r="O96" s="349">
        <f t="shared" si="95"/>
        <v>479498</v>
      </c>
      <c r="P96" s="349">
        <f t="shared" si="95"/>
        <v>206807</v>
      </c>
      <c r="Q96" s="349">
        <f t="shared" si="95"/>
        <v>328227</v>
      </c>
      <c r="R96" s="349">
        <f t="shared" si="95"/>
        <v>439553</v>
      </c>
      <c r="S96" s="349">
        <f t="shared" si="95"/>
        <v>149004</v>
      </c>
      <c r="T96" s="349">
        <f t="shared" si="95"/>
        <v>298345</v>
      </c>
      <c r="U96" s="349">
        <f t="shared" si="95"/>
        <v>108101</v>
      </c>
      <c r="V96" s="349">
        <f t="shared" si="95"/>
        <v>262590</v>
      </c>
      <c r="W96" s="349">
        <f t="shared" si="95"/>
        <v>441802</v>
      </c>
      <c r="X96" s="349">
        <f t="shared" si="95"/>
        <v>463831</v>
      </c>
      <c r="Y96" s="349">
        <f t="shared" si="95"/>
        <v>458258</v>
      </c>
      <c r="Z96" s="350">
        <v>165000.0</v>
      </c>
      <c r="AA96" s="350">
        <f t="shared" ref="AA96:CH96" si="96">Z96*(1+AA104)</f>
        <v>168300</v>
      </c>
      <c r="AB96" s="350">
        <f t="shared" si="96"/>
        <v>168300</v>
      </c>
      <c r="AC96" s="350">
        <f t="shared" si="96"/>
        <v>168300</v>
      </c>
      <c r="AD96" s="350">
        <f t="shared" si="96"/>
        <v>168300</v>
      </c>
      <c r="AE96" s="350">
        <f t="shared" si="96"/>
        <v>168300</v>
      </c>
      <c r="AF96" s="350">
        <f t="shared" si="96"/>
        <v>171666</v>
      </c>
      <c r="AG96" s="350">
        <f t="shared" si="96"/>
        <v>171666</v>
      </c>
      <c r="AH96" s="350">
        <f t="shared" si="96"/>
        <v>171666</v>
      </c>
      <c r="AI96" s="350">
        <f t="shared" si="96"/>
        <v>171666</v>
      </c>
      <c r="AJ96" s="350">
        <f t="shared" si="96"/>
        <v>171666</v>
      </c>
      <c r="AK96" s="350">
        <f t="shared" si="96"/>
        <v>171666</v>
      </c>
      <c r="AL96" s="350">
        <f t="shared" si="96"/>
        <v>171666</v>
      </c>
      <c r="AM96" s="350">
        <f t="shared" si="96"/>
        <v>172524.33</v>
      </c>
      <c r="AN96" s="350">
        <f t="shared" si="96"/>
        <v>172524.33</v>
      </c>
      <c r="AO96" s="350">
        <f t="shared" si="96"/>
        <v>172524.33</v>
      </c>
      <c r="AP96" s="350">
        <f t="shared" si="96"/>
        <v>172524.33</v>
      </c>
      <c r="AQ96" s="350">
        <f t="shared" si="96"/>
        <v>172524.33</v>
      </c>
      <c r="AR96" s="350">
        <f t="shared" si="96"/>
        <v>173386.9517</v>
      </c>
      <c r="AS96" s="350">
        <f t="shared" si="96"/>
        <v>173386.9517</v>
      </c>
      <c r="AT96" s="350">
        <f t="shared" si="96"/>
        <v>173386.9517</v>
      </c>
      <c r="AU96" s="350">
        <f t="shared" si="96"/>
        <v>173386.9517</v>
      </c>
      <c r="AV96" s="350">
        <f t="shared" si="96"/>
        <v>173386.9517</v>
      </c>
      <c r="AW96" s="350">
        <f t="shared" si="96"/>
        <v>173386.9517</v>
      </c>
      <c r="AX96" s="350">
        <f t="shared" si="96"/>
        <v>173386.9517</v>
      </c>
      <c r="AY96" s="350">
        <f t="shared" si="96"/>
        <v>174253.8864</v>
      </c>
      <c r="AZ96" s="350">
        <f t="shared" si="96"/>
        <v>174253.8864</v>
      </c>
      <c r="BA96" s="350">
        <f t="shared" si="96"/>
        <v>174253.8864</v>
      </c>
      <c r="BB96" s="350">
        <f t="shared" si="96"/>
        <v>174253.8864</v>
      </c>
      <c r="BC96" s="350">
        <f t="shared" si="96"/>
        <v>174253.8864</v>
      </c>
      <c r="BD96" s="350">
        <f t="shared" si="96"/>
        <v>174253.8864</v>
      </c>
      <c r="BE96" s="350">
        <f t="shared" si="96"/>
        <v>174253.8864</v>
      </c>
      <c r="BF96" s="350">
        <f t="shared" si="96"/>
        <v>174253.8864</v>
      </c>
      <c r="BG96" s="350">
        <f t="shared" si="96"/>
        <v>174253.8864</v>
      </c>
      <c r="BH96" s="350">
        <f t="shared" si="96"/>
        <v>174253.8864</v>
      </c>
      <c r="BI96" s="350">
        <f t="shared" si="96"/>
        <v>174253.8864</v>
      </c>
      <c r="BJ96" s="350">
        <f t="shared" si="96"/>
        <v>174253.8864</v>
      </c>
      <c r="BK96" s="350">
        <f t="shared" si="96"/>
        <v>177738.9641</v>
      </c>
      <c r="BL96" s="350">
        <f t="shared" si="96"/>
        <v>181293.7434</v>
      </c>
      <c r="BM96" s="350">
        <f t="shared" si="96"/>
        <v>181293.7434</v>
      </c>
      <c r="BN96" s="350">
        <f t="shared" si="96"/>
        <v>181293.7434</v>
      </c>
      <c r="BO96" s="350">
        <f t="shared" si="96"/>
        <v>181293.7434</v>
      </c>
      <c r="BP96" s="350">
        <f t="shared" si="96"/>
        <v>181293.7434</v>
      </c>
      <c r="BQ96" s="350">
        <f t="shared" si="96"/>
        <v>181293.7434</v>
      </c>
      <c r="BR96" s="350">
        <f t="shared" si="96"/>
        <v>181293.7434</v>
      </c>
      <c r="BS96" s="350">
        <f t="shared" si="96"/>
        <v>181293.7434</v>
      </c>
      <c r="BT96" s="350">
        <f t="shared" si="96"/>
        <v>181293.7434</v>
      </c>
      <c r="BU96" s="350">
        <f t="shared" si="96"/>
        <v>181293.7434</v>
      </c>
      <c r="BV96" s="350">
        <f t="shared" si="96"/>
        <v>181293.7434</v>
      </c>
      <c r="BW96" s="350">
        <f t="shared" si="96"/>
        <v>181293.7434</v>
      </c>
      <c r="BX96" s="350">
        <f t="shared" si="96"/>
        <v>181293.7434</v>
      </c>
      <c r="BY96" s="350">
        <f t="shared" si="96"/>
        <v>181293.7434</v>
      </c>
      <c r="BZ96" s="350">
        <f t="shared" si="96"/>
        <v>181293.7434</v>
      </c>
      <c r="CA96" s="350">
        <f t="shared" si="96"/>
        <v>181293.7434</v>
      </c>
      <c r="CB96" s="350">
        <f t="shared" si="96"/>
        <v>181293.7434</v>
      </c>
      <c r="CC96" s="350">
        <f t="shared" si="96"/>
        <v>181293.7434</v>
      </c>
      <c r="CD96" s="350">
        <f t="shared" si="96"/>
        <v>181293.7434</v>
      </c>
      <c r="CE96" s="350">
        <f t="shared" si="96"/>
        <v>181293.7434</v>
      </c>
      <c r="CF96" s="350">
        <f t="shared" si="96"/>
        <v>181293.7434</v>
      </c>
      <c r="CG96" s="350">
        <f t="shared" si="96"/>
        <v>181293.7434</v>
      </c>
      <c r="CH96" s="350">
        <f t="shared" si="96"/>
        <v>181293.7434</v>
      </c>
      <c r="CI96" s="1"/>
      <c r="CJ96" s="1"/>
      <c r="CK96" s="1"/>
      <c r="CL96" s="1">
        <f>2*3709200</f>
        <v>7418400</v>
      </c>
      <c r="CM96" s="1"/>
      <c r="CN96" s="1"/>
      <c r="CO96" s="1"/>
      <c r="CP96" s="1"/>
    </row>
    <row r="97" ht="15.75" customHeight="1">
      <c r="A97" s="1" t="s">
        <v>85</v>
      </c>
      <c r="B97" s="349"/>
      <c r="C97" s="349">
        <f t="shared" ref="C97:Y97" si="97">RANDBETWEEN(100000,500000)</f>
        <v>411233</v>
      </c>
      <c r="D97" s="349">
        <f t="shared" si="97"/>
        <v>304884</v>
      </c>
      <c r="E97" s="349">
        <f t="shared" si="97"/>
        <v>392192</v>
      </c>
      <c r="F97" s="349">
        <f t="shared" si="97"/>
        <v>197742</v>
      </c>
      <c r="G97" s="349">
        <f t="shared" si="97"/>
        <v>288261</v>
      </c>
      <c r="H97" s="349">
        <f t="shared" si="97"/>
        <v>491044</v>
      </c>
      <c r="I97" s="349">
        <f t="shared" si="97"/>
        <v>348728</v>
      </c>
      <c r="J97" s="349">
        <f t="shared" si="97"/>
        <v>353179</v>
      </c>
      <c r="K97" s="349">
        <f t="shared" si="97"/>
        <v>175657</v>
      </c>
      <c r="L97" s="349">
        <f t="shared" si="97"/>
        <v>387455</v>
      </c>
      <c r="M97" s="349">
        <f t="shared" si="97"/>
        <v>270211</v>
      </c>
      <c r="N97" s="349">
        <f t="shared" si="97"/>
        <v>292284</v>
      </c>
      <c r="O97" s="349">
        <f t="shared" si="97"/>
        <v>239719</v>
      </c>
      <c r="P97" s="349">
        <f t="shared" si="97"/>
        <v>419284</v>
      </c>
      <c r="Q97" s="349">
        <f t="shared" si="97"/>
        <v>496911</v>
      </c>
      <c r="R97" s="349">
        <f t="shared" si="97"/>
        <v>317089</v>
      </c>
      <c r="S97" s="349">
        <f t="shared" si="97"/>
        <v>304944</v>
      </c>
      <c r="T97" s="349">
        <f t="shared" si="97"/>
        <v>439741</v>
      </c>
      <c r="U97" s="349">
        <f t="shared" si="97"/>
        <v>481654</v>
      </c>
      <c r="V97" s="349">
        <f t="shared" si="97"/>
        <v>327002</v>
      </c>
      <c r="W97" s="349">
        <f t="shared" si="97"/>
        <v>373699</v>
      </c>
      <c r="X97" s="349">
        <f t="shared" si="97"/>
        <v>129983</v>
      </c>
      <c r="Y97" s="349">
        <f t="shared" si="97"/>
        <v>246044</v>
      </c>
      <c r="Z97" s="350">
        <v>125000.0</v>
      </c>
      <c r="AA97" s="350">
        <f t="shared" ref="AA97:CH97" si="98">Z97*(1+AA105)</f>
        <v>127500</v>
      </c>
      <c r="AB97" s="350">
        <f t="shared" si="98"/>
        <v>127500</v>
      </c>
      <c r="AC97" s="350">
        <f t="shared" si="98"/>
        <v>127500</v>
      </c>
      <c r="AD97" s="350">
        <f t="shared" si="98"/>
        <v>127500</v>
      </c>
      <c r="AE97" s="350">
        <f t="shared" si="98"/>
        <v>127500</v>
      </c>
      <c r="AF97" s="350">
        <f t="shared" si="98"/>
        <v>130050</v>
      </c>
      <c r="AG97" s="350">
        <f t="shared" si="98"/>
        <v>130050</v>
      </c>
      <c r="AH97" s="350">
        <f t="shared" si="98"/>
        <v>130050</v>
      </c>
      <c r="AI97" s="350">
        <f t="shared" si="98"/>
        <v>130050</v>
      </c>
      <c r="AJ97" s="350">
        <f t="shared" si="98"/>
        <v>130050</v>
      </c>
      <c r="AK97" s="350">
        <f t="shared" si="98"/>
        <v>130050</v>
      </c>
      <c r="AL97" s="350">
        <f t="shared" si="98"/>
        <v>130050</v>
      </c>
      <c r="AM97" s="350">
        <f t="shared" si="98"/>
        <v>130700.25</v>
      </c>
      <c r="AN97" s="350">
        <f t="shared" si="98"/>
        <v>130700.25</v>
      </c>
      <c r="AO97" s="350">
        <f t="shared" si="98"/>
        <v>130700.25</v>
      </c>
      <c r="AP97" s="350">
        <f t="shared" si="98"/>
        <v>130700.25</v>
      </c>
      <c r="AQ97" s="350">
        <f t="shared" si="98"/>
        <v>130700.25</v>
      </c>
      <c r="AR97" s="350">
        <f t="shared" si="98"/>
        <v>131353.7513</v>
      </c>
      <c r="AS97" s="350">
        <f t="shared" si="98"/>
        <v>131353.7513</v>
      </c>
      <c r="AT97" s="350">
        <f t="shared" si="98"/>
        <v>131353.7513</v>
      </c>
      <c r="AU97" s="350">
        <f t="shared" si="98"/>
        <v>131353.7513</v>
      </c>
      <c r="AV97" s="350">
        <f t="shared" si="98"/>
        <v>131353.7513</v>
      </c>
      <c r="AW97" s="350">
        <f t="shared" si="98"/>
        <v>131353.7513</v>
      </c>
      <c r="AX97" s="350">
        <f t="shared" si="98"/>
        <v>131353.7513</v>
      </c>
      <c r="AY97" s="350">
        <f t="shared" si="98"/>
        <v>132010.52</v>
      </c>
      <c r="AZ97" s="350">
        <f t="shared" si="98"/>
        <v>132010.52</v>
      </c>
      <c r="BA97" s="350">
        <f t="shared" si="98"/>
        <v>132010.52</v>
      </c>
      <c r="BB97" s="350">
        <f t="shared" si="98"/>
        <v>132010.52</v>
      </c>
      <c r="BC97" s="350">
        <f t="shared" si="98"/>
        <v>132010.52</v>
      </c>
      <c r="BD97" s="350">
        <f t="shared" si="98"/>
        <v>132010.52</v>
      </c>
      <c r="BE97" s="350">
        <f t="shared" si="98"/>
        <v>132010.52</v>
      </c>
      <c r="BF97" s="350">
        <f t="shared" si="98"/>
        <v>132010.52</v>
      </c>
      <c r="BG97" s="350">
        <f t="shared" si="98"/>
        <v>132010.52</v>
      </c>
      <c r="BH97" s="350">
        <f t="shared" si="98"/>
        <v>132010.52</v>
      </c>
      <c r="BI97" s="350">
        <f t="shared" si="98"/>
        <v>132010.52</v>
      </c>
      <c r="BJ97" s="350">
        <f t="shared" si="98"/>
        <v>132010.52</v>
      </c>
      <c r="BK97" s="350">
        <f t="shared" si="98"/>
        <v>134650.7304</v>
      </c>
      <c r="BL97" s="350">
        <f t="shared" si="98"/>
        <v>137343.745</v>
      </c>
      <c r="BM97" s="350">
        <f t="shared" si="98"/>
        <v>137343.745</v>
      </c>
      <c r="BN97" s="350">
        <f t="shared" si="98"/>
        <v>137343.745</v>
      </c>
      <c r="BO97" s="350">
        <f t="shared" si="98"/>
        <v>137343.745</v>
      </c>
      <c r="BP97" s="350">
        <f t="shared" si="98"/>
        <v>137343.745</v>
      </c>
      <c r="BQ97" s="350">
        <f t="shared" si="98"/>
        <v>137343.745</v>
      </c>
      <c r="BR97" s="350">
        <f t="shared" si="98"/>
        <v>137343.745</v>
      </c>
      <c r="BS97" s="350">
        <f t="shared" si="98"/>
        <v>137343.745</v>
      </c>
      <c r="BT97" s="350">
        <f t="shared" si="98"/>
        <v>137343.745</v>
      </c>
      <c r="BU97" s="350">
        <f t="shared" si="98"/>
        <v>137343.745</v>
      </c>
      <c r="BV97" s="350">
        <f t="shared" si="98"/>
        <v>137343.745</v>
      </c>
      <c r="BW97" s="350">
        <f t="shared" si="98"/>
        <v>137343.745</v>
      </c>
      <c r="BX97" s="350">
        <f t="shared" si="98"/>
        <v>137343.745</v>
      </c>
      <c r="BY97" s="350">
        <f t="shared" si="98"/>
        <v>137343.745</v>
      </c>
      <c r="BZ97" s="350">
        <f t="shared" si="98"/>
        <v>137343.745</v>
      </c>
      <c r="CA97" s="350">
        <f t="shared" si="98"/>
        <v>137343.745</v>
      </c>
      <c r="CB97" s="350">
        <f t="shared" si="98"/>
        <v>137343.745</v>
      </c>
      <c r="CC97" s="350">
        <f t="shared" si="98"/>
        <v>137343.745</v>
      </c>
      <c r="CD97" s="350">
        <f t="shared" si="98"/>
        <v>137343.745</v>
      </c>
      <c r="CE97" s="350">
        <f t="shared" si="98"/>
        <v>137343.745</v>
      </c>
      <c r="CF97" s="350">
        <f t="shared" si="98"/>
        <v>137343.745</v>
      </c>
      <c r="CG97" s="350">
        <f t="shared" si="98"/>
        <v>137343.745</v>
      </c>
      <c r="CH97" s="350">
        <f t="shared" si="98"/>
        <v>137343.745</v>
      </c>
      <c r="CI97" s="1"/>
      <c r="CJ97" s="1"/>
      <c r="CK97" s="1"/>
      <c r="CL97" s="1"/>
      <c r="CM97" s="1"/>
      <c r="CN97" s="1"/>
      <c r="CO97" s="1"/>
      <c r="CP97" s="1"/>
    </row>
    <row r="98" ht="15.75" customHeight="1">
      <c r="A98" s="1" t="s">
        <v>130</v>
      </c>
      <c r="B98" s="349"/>
      <c r="C98" s="349">
        <f t="shared" ref="C98:Y98" si="99">RANDBETWEEN(100000,500000)</f>
        <v>497988</v>
      </c>
      <c r="D98" s="349">
        <f t="shared" si="99"/>
        <v>234187</v>
      </c>
      <c r="E98" s="349">
        <f t="shared" si="99"/>
        <v>191904</v>
      </c>
      <c r="F98" s="349">
        <f t="shared" si="99"/>
        <v>206557</v>
      </c>
      <c r="G98" s="349">
        <f t="shared" si="99"/>
        <v>410700</v>
      </c>
      <c r="H98" s="349">
        <f t="shared" si="99"/>
        <v>115642</v>
      </c>
      <c r="I98" s="349">
        <f t="shared" si="99"/>
        <v>381396</v>
      </c>
      <c r="J98" s="349">
        <f t="shared" si="99"/>
        <v>154695</v>
      </c>
      <c r="K98" s="349">
        <f t="shared" si="99"/>
        <v>139901</v>
      </c>
      <c r="L98" s="349">
        <f t="shared" si="99"/>
        <v>414359</v>
      </c>
      <c r="M98" s="349">
        <f t="shared" si="99"/>
        <v>474415</v>
      </c>
      <c r="N98" s="349">
        <f t="shared" si="99"/>
        <v>335485</v>
      </c>
      <c r="O98" s="349">
        <f t="shared" si="99"/>
        <v>212819</v>
      </c>
      <c r="P98" s="349">
        <f t="shared" si="99"/>
        <v>451250</v>
      </c>
      <c r="Q98" s="349">
        <f t="shared" si="99"/>
        <v>493204</v>
      </c>
      <c r="R98" s="349">
        <f t="shared" si="99"/>
        <v>284410</v>
      </c>
      <c r="S98" s="349">
        <f t="shared" si="99"/>
        <v>194468</v>
      </c>
      <c r="T98" s="349">
        <f t="shared" si="99"/>
        <v>222217</v>
      </c>
      <c r="U98" s="349">
        <f t="shared" si="99"/>
        <v>179415</v>
      </c>
      <c r="V98" s="349">
        <f t="shared" si="99"/>
        <v>285607</v>
      </c>
      <c r="W98" s="349">
        <f t="shared" si="99"/>
        <v>415595</v>
      </c>
      <c r="X98" s="349">
        <f t="shared" si="99"/>
        <v>140953</v>
      </c>
      <c r="Y98" s="349">
        <f t="shared" si="99"/>
        <v>189550</v>
      </c>
      <c r="Z98" s="350">
        <f t="shared" ref="Z98:CH98" si="100">Y98*(1+Z106)</f>
        <v>189550</v>
      </c>
      <c r="AA98" s="350">
        <f t="shared" si="100"/>
        <v>193341</v>
      </c>
      <c r="AB98" s="350">
        <f t="shared" si="100"/>
        <v>193341</v>
      </c>
      <c r="AC98" s="350">
        <f t="shared" si="100"/>
        <v>193341</v>
      </c>
      <c r="AD98" s="350">
        <f t="shared" si="100"/>
        <v>193341</v>
      </c>
      <c r="AE98" s="350">
        <f t="shared" si="100"/>
        <v>193341</v>
      </c>
      <c r="AF98" s="350">
        <f t="shared" si="100"/>
        <v>197207.82</v>
      </c>
      <c r="AG98" s="350">
        <f t="shared" si="100"/>
        <v>197207.82</v>
      </c>
      <c r="AH98" s="350">
        <f t="shared" si="100"/>
        <v>197207.82</v>
      </c>
      <c r="AI98" s="350">
        <f t="shared" si="100"/>
        <v>197207.82</v>
      </c>
      <c r="AJ98" s="350">
        <f t="shared" si="100"/>
        <v>197207.82</v>
      </c>
      <c r="AK98" s="350">
        <f t="shared" si="100"/>
        <v>197207.82</v>
      </c>
      <c r="AL98" s="350">
        <f t="shared" si="100"/>
        <v>197207.82</v>
      </c>
      <c r="AM98" s="350">
        <f t="shared" si="100"/>
        <v>199179.8982</v>
      </c>
      <c r="AN98" s="350">
        <f t="shared" si="100"/>
        <v>199179.8982</v>
      </c>
      <c r="AO98" s="350">
        <f t="shared" si="100"/>
        <v>199179.8982</v>
      </c>
      <c r="AP98" s="350">
        <f t="shared" si="100"/>
        <v>199179.8982</v>
      </c>
      <c r="AQ98" s="350">
        <f t="shared" si="100"/>
        <v>199179.8982</v>
      </c>
      <c r="AR98" s="350">
        <f t="shared" si="100"/>
        <v>201171.6972</v>
      </c>
      <c r="AS98" s="350">
        <f t="shared" si="100"/>
        <v>201171.6972</v>
      </c>
      <c r="AT98" s="350">
        <f t="shared" si="100"/>
        <v>201171.6972</v>
      </c>
      <c r="AU98" s="350">
        <f t="shared" si="100"/>
        <v>201171.6972</v>
      </c>
      <c r="AV98" s="350">
        <f t="shared" si="100"/>
        <v>201171.6972</v>
      </c>
      <c r="AW98" s="350">
        <f t="shared" si="100"/>
        <v>201171.6972</v>
      </c>
      <c r="AX98" s="350">
        <f t="shared" si="100"/>
        <v>201171.6972</v>
      </c>
      <c r="AY98" s="350">
        <f t="shared" si="100"/>
        <v>202177.5557</v>
      </c>
      <c r="AZ98" s="350">
        <f t="shared" si="100"/>
        <v>202177.5557</v>
      </c>
      <c r="BA98" s="350">
        <f t="shared" si="100"/>
        <v>202177.5557</v>
      </c>
      <c r="BB98" s="350">
        <f t="shared" si="100"/>
        <v>202177.5557</v>
      </c>
      <c r="BC98" s="350">
        <f t="shared" si="100"/>
        <v>202177.5557</v>
      </c>
      <c r="BD98" s="350">
        <f t="shared" si="100"/>
        <v>202177.5557</v>
      </c>
      <c r="BE98" s="350">
        <f t="shared" si="100"/>
        <v>202177.5557</v>
      </c>
      <c r="BF98" s="350">
        <f t="shared" si="100"/>
        <v>202177.5557</v>
      </c>
      <c r="BG98" s="350">
        <f t="shared" si="100"/>
        <v>202177.5557</v>
      </c>
      <c r="BH98" s="350">
        <f t="shared" si="100"/>
        <v>202177.5557</v>
      </c>
      <c r="BI98" s="350">
        <f t="shared" si="100"/>
        <v>202177.5557</v>
      </c>
      <c r="BJ98" s="350">
        <f t="shared" si="100"/>
        <v>202177.5557</v>
      </c>
      <c r="BK98" s="350">
        <f t="shared" si="100"/>
        <v>212286.4335</v>
      </c>
      <c r="BL98" s="350">
        <f t="shared" si="100"/>
        <v>222900.7551</v>
      </c>
      <c r="BM98" s="350">
        <f t="shared" si="100"/>
        <v>222900.7551</v>
      </c>
      <c r="BN98" s="350">
        <f t="shared" si="100"/>
        <v>222900.7551</v>
      </c>
      <c r="BO98" s="350">
        <f t="shared" si="100"/>
        <v>222900.7551</v>
      </c>
      <c r="BP98" s="350">
        <f t="shared" si="100"/>
        <v>222900.7551</v>
      </c>
      <c r="BQ98" s="350">
        <f t="shared" si="100"/>
        <v>222900.7551</v>
      </c>
      <c r="BR98" s="350">
        <f t="shared" si="100"/>
        <v>222900.7551</v>
      </c>
      <c r="BS98" s="350">
        <f t="shared" si="100"/>
        <v>222900.7551</v>
      </c>
      <c r="BT98" s="350">
        <f t="shared" si="100"/>
        <v>222900.7551</v>
      </c>
      <c r="BU98" s="350">
        <f t="shared" si="100"/>
        <v>222900.7551</v>
      </c>
      <c r="BV98" s="350">
        <f t="shared" si="100"/>
        <v>222900.7551</v>
      </c>
      <c r="BW98" s="350">
        <f t="shared" si="100"/>
        <v>222900.7551</v>
      </c>
      <c r="BX98" s="350">
        <f t="shared" si="100"/>
        <v>222900.7551</v>
      </c>
      <c r="BY98" s="350">
        <f t="shared" si="100"/>
        <v>222900.7551</v>
      </c>
      <c r="BZ98" s="350">
        <f t="shared" si="100"/>
        <v>222900.7551</v>
      </c>
      <c r="CA98" s="350">
        <f t="shared" si="100"/>
        <v>222900.7551</v>
      </c>
      <c r="CB98" s="350">
        <f t="shared" si="100"/>
        <v>222900.7551</v>
      </c>
      <c r="CC98" s="350">
        <f t="shared" si="100"/>
        <v>222900.7551</v>
      </c>
      <c r="CD98" s="350">
        <f t="shared" si="100"/>
        <v>222900.7551</v>
      </c>
      <c r="CE98" s="350">
        <f t="shared" si="100"/>
        <v>222900.7551</v>
      </c>
      <c r="CF98" s="350">
        <f t="shared" si="100"/>
        <v>222900.7551</v>
      </c>
      <c r="CG98" s="350">
        <f t="shared" si="100"/>
        <v>222900.7551</v>
      </c>
      <c r="CH98" s="350">
        <f t="shared" si="100"/>
        <v>222900.7551</v>
      </c>
      <c r="CI98" s="1"/>
      <c r="CJ98" s="1"/>
      <c r="CK98" s="1"/>
      <c r="CL98" s="1"/>
      <c r="CM98" s="1"/>
      <c r="CN98" s="1"/>
      <c r="CO98" s="1"/>
      <c r="CP98" s="1"/>
    </row>
    <row r="99" ht="15.75" customHeight="1">
      <c r="A99" s="1" t="s">
        <v>89</v>
      </c>
      <c r="B99" s="349"/>
      <c r="C99" s="349">
        <f t="shared" ref="C99:Y99" si="101">RANDBETWEEN(100000,500000)</f>
        <v>291580</v>
      </c>
      <c r="D99" s="349">
        <f t="shared" si="101"/>
        <v>372012</v>
      </c>
      <c r="E99" s="349">
        <f t="shared" si="101"/>
        <v>278811</v>
      </c>
      <c r="F99" s="349">
        <f t="shared" si="101"/>
        <v>475487</v>
      </c>
      <c r="G99" s="349">
        <f t="shared" si="101"/>
        <v>342919</v>
      </c>
      <c r="H99" s="349">
        <f t="shared" si="101"/>
        <v>258019</v>
      </c>
      <c r="I99" s="349">
        <f t="shared" si="101"/>
        <v>364197</v>
      </c>
      <c r="J99" s="349">
        <f t="shared" si="101"/>
        <v>231346</v>
      </c>
      <c r="K99" s="349">
        <f t="shared" si="101"/>
        <v>358132</v>
      </c>
      <c r="L99" s="349">
        <f t="shared" si="101"/>
        <v>200143</v>
      </c>
      <c r="M99" s="349">
        <f t="shared" si="101"/>
        <v>445499</v>
      </c>
      <c r="N99" s="349">
        <f t="shared" si="101"/>
        <v>255251</v>
      </c>
      <c r="O99" s="349">
        <f t="shared" si="101"/>
        <v>208508</v>
      </c>
      <c r="P99" s="349">
        <f t="shared" si="101"/>
        <v>329458</v>
      </c>
      <c r="Q99" s="349">
        <f t="shared" si="101"/>
        <v>432189</v>
      </c>
      <c r="R99" s="349">
        <f t="shared" si="101"/>
        <v>424553</v>
      </c>
      <c r="S99" s="349">
        <f t="shared" si="101"/>
        <v>108659</v>
      </c>
      <c r="T99" s="349">
        <f t="shared" si="101"/>
        <v>465660</v>
      </c>
      <c r="U99" s="349">
        <f t="shared" si="101"/>
        <v>297991</v>
      </c>
      <c r="V99" s="349">
        <f t="shared" si="101"/>
        <v>223591</v>
      </c>
      <c r="W99" s="349">
        <f t="shared" si="101"/>
        <v>392857</v>
      </c>
      <c r="X99" s="349">
        <f t="shared" si="101"/>
        <v>268265</v>
      </c>
      <c r="Y99" s="349">
        <f t="shared" si="101"/>
        <v>325194</v>
      </c>
      <c r="Z99" s="350">
        <v>22500.0</v>
      </c>
      <c r="AA99" s="350">
        <f t="shared" ref="AA99:CH99" si="102">Z99*(1+AA107)</f>
        <v>22950</v>
      </c>
      <c r="AB99" s="350">
        <f t="shared" si="102"/>
        <v>22950</v>
      </c>
      <c r="AC99" s="350">
        <f t="shared" si="102"/>
        <v>22950</v>
      </c>
      <c r="AD99" s="350">
        <f t="shared" si="102"/>
        <v>22950</v>
      </c>
      <c r="AE99" s="350">
        <f t="shared" si="102"/>
        <v>22950</v>
      </c>
      <c r="AF99" s="350">
        <f t="shared" si="102"/>
        <v>23638.5</v>
      </c>
      <c r="AG99" s="350">
        <f t="shared" si="102"/>
        <v>23638.5</v>
      </c>
      <c r="AH99" s="350">
        <f t="shared" si="102"/>
        <v>23638.5</v>
      </c>
      <c r="AI99" s="350">
        <f t="shared" si="102"/>
        <v>23638.5</v>
      </c>
      <c r="AJ99" s="350">
        <f t="shared" si="102"/>
        <v>23638.5</v>
      </c>
      <c r="AK99" s="350">
        <f t="shared" si="102"/>
        <v>23638.5</v>
      </c>
      <c r="AL99" s="350">
        <f t="shared" si="102"/>
        <v>23638.5</v>
      </c>
      <c r="AM99" s="350">
        <f t="shared" si="102"/>
        <v>24584.04</v>
      </c>
      <c r="AN99" s="350">
        <f t="shared" si="102"/>
        <v>24584.04</v>
      </c>
      <c r="AO99" s="350">
        <f t="shared" si="102"/>
        <v>24584.04</v>
      </c>
      <c r="AP99" s="350">
        <f t="shared" si="102"/>
        <v>24584.04</v>
      </c>
      <c r="AQ99" s="350">
        <f t="shared" si="102"/>
        <v>24584.04</v>
      </c>
      <c r="AR99" s="350">
        <f t="shared" si="102"/>
        <v>24829.8804</v>
      </c>
      <c r="AS99" s="350">
        <f t="shared" si="102"/>
        <v>24829.8804</v>
      </c>
      <c r="AT99" s="350">
        <f t="shared" si="102"/>
        <v>24829.8804</v>
      </c>
      <c r="AU99" s="350">
        <f t="shared" si="102"/>
        <v>24829.8804</v>
      </c>
      <c r="AV99" s="350">
        <f t="shared" si="102"/>
        <v>24829.8804</v>
      </c>
      <c r="AW99" s="350">
        <f t="shared" si="102"/>
        <v>24829.8804</v>
      </c>
      <c r="AX99" s="350">
        <f t="shared" si="102"/>
        <v>24829.8804</v>
      </c>
      <c r="AY99" s="350">
        <f t="shared" si="102"/>
        <v>25574.77681</v>
      </c>
      <c r="AZ99" s="350">
        <f t="shared" si="102"/>
        <v>25574.77681</v>
      </c>
      <c r="BA99" s="350">
        <f t="shared" si="102"/>
        <v>25574.77681</v>
      </c>
      <c r="BB99" s="350">
        <f t="shared" si="102"/>
        <v>25574.77681</v>
      </c>
      <c r="BC99" s="350">
        <f t="shared" si="102"/>
        <v>25574.77681</v>
      </c>
      <c r="BD99" s="350">
        <f t="shared" si="102"/>
        <v>25574.77681</v>
      </c>
      <c r="BE99" s="350">
        <f t="shared" si="102"/>
        <v>25574.77681</v>
      </c>
      <c r="BF99" s="350">
        <f t="shared" si="102"/>
        <v>25574.77681</v>
      </c>
      <c r="BG99" s="350">
        <f t="shared" si="102"/>
        <v>25574.77681</v>
      </c>
      <c r="BH99" s="350">
        <f t="shared" si="102"/>
        <v>25574.77681</v>
      </c>
      <c r="BI99" s="350">
        <f t="shared" si="102"/>
        <v>25574.77681</v>
      </c>
      <c r="BJ99" s="350">
        <f t="shared" si="102"/>
        <v>25574.77681</v>
      </c>
      <c r="BK99" s="350">
        <f t="shared" si="102"/>
        <v>26853.51565</v>
      </c>
      <c r="BL99" s="350">
        <f t="shared" si="102"/>
        <v>28196.19144</v>
      </c>
      <c r="BM99" s="350">
        <f t="shared" si="102"/>
        <v>28196.19144</v>
      </c>
      <c r="BN99" s="350">
        <f t="shared" si="102"/>
        <v>28196.19144</v>
      </c>
      <c r="BO99" s="350">
        <f t="shared" si="102"/>
        <v>28196.19144</v>
      </c>
      <c r="BP99" s="350">
        <f t="shared" si="102"/>
        <v>28196.19144</v>
      </c>
      <c r="BQ99" s="350">
        <f t="shared" si="102"/>
        <v>28196.19144</v>
      </c>
      <c r="BR99" s="350">
        <f t="shared" si="102"/>
        <v>28196.19144</v>
      </c>
      <c r="BS99" s="350">
        <f t="shared" si="102"/>
        <v>28196.19144</v>
      </c>
      <c r="BT99" s="350">
        <f t="shared" si="102"/>
        <v>28196.19144</v>
      </c>
      <c r="BU99" s="350">
        <f t="shared" si="102"/>
        <v>28196.19144</v>
      </c>
      <c r="BV99" s="350">
        <f t="shared" si="102"/>
        <v>28196.19144</v>
      </c>
      <c r="BW99" s="350">
        <f t="shared" si="102"/>
        <v>28196.19144</v>
      </c>
      <c r="BX99" s="350">
        <f t="shared" si="102"/>
        <v>28196.19144</v>
      </c>
      <c r="BY99" s="350">
        <f t="shared" si="102"/>
        <v>28196.19144</v>
      </c>
      <c r="BZ99" s="350">
        <f t="shared" si="102"/>
        <v>28196.19144</v>
      </c>
      <c r="CA99" s="350">
        <f t="shared" si="102"/>
        <v>28196.19144</v>
      </c>
      <c r="CB99" s="350">
        <f t="shared" si="102"/>
        <v>28196.19144</v>
      </c>
      <c r="CC99" s="350">
        <f t="shared" si="102"/>
        <v>28196.19144</v>
      </c>
      <c r="CD99" s="350">
        <f t="shared" si="102"/>
        <v>28196.19144</v>
      </c>
      <c r="CE99" s="350">
        <f t="shared" si="102"/>
        <v>28196.19144</v>
      </c>
      <c r="CF99" s="350">
        <f t="shared" si="102"/>
        <v>28196.19144</v>
      </c>
      <c r="CG99" s="350">
        <f t="shared" si="102"/>
        <v>28196.19144</v>
      </c>
      <c r="CH99" s="350">
        <f t="shared" si="102"/>
        <v>28196.19144</v>
      </c>
      <c r="CI99" s="1"/>
      <c r="CJ99" s="1"/>
      <c r="CK99" s="1"/>
      <c r="CL99" s="1"/>
      <c r="CM99" s="1"/>
      <c r="CN99" s="1"/>
      <c r="CO99" s="1"/>
      <c r="CP99" s="1"/>
    </row>
    <row r="100" ht="15.75" customHeight="1">
      <c r="A100" s="1" t="s">
        <v>94</v>
      </c>
      <c r="B100" s="349"/>
      <c r="C100" s="349">
        <f t="shared" ref="C100:Y100" si="103">RANDBETWEEN(100000,500000)</f>
        <v>391841</v>
      </c>
      <c r="D100" s="349">
        <f t="shared" si="103"/>
        <v>362382</v>
      </c>
      <c r="E100" s="349">
        <f t="shared" si="103"/>
        <v>469073</v>
      </c>
      <c r="F100" s="349">
        <f t="shared" si="103"/>
        <v>189488</v>
      </c>
      <c r="G100" s="349">
        <f t="shared" si="103"/>
        <v>373283</v>
      </c>
      <c r="H100" s="349">
        <f t="shared" si="103"/>
        <v>449100</v>
      </c>
      <c r="I100" s="349">
        <f t="shared" si="103"/>
        <v>136137</v>
      </c>
      <c r="J100" s="349">
        <f t="shared" si="103"/>
        <v>345172</v>
      </c>
      <c r="K100" s="349">
        <f t="shared" si="103"/>
        <v>273611</v>
      </c>
      <c r="L100" s="349">
        <f t="shared" si="103"/>
        <v>150720</v>
      </c>
      <c r="M100" s="349">
        <f t="shared" si="103"/>
        <v>294603</v>
      </c>
      <c r="N100" s="349">
        <f t="shared" si="103"/>
        <v>393049</v>
      </c>
      <c r="O100" s="349">
        <f t="shared" si="103"/>
        <v>275586</v>
      </c>
      <c r="P100" s="349">
        <f t="shared" si="103"/>
        <v>232621</v>
      </c>
      <c r="Q100" s="349">
        <f t="shared" si="103"/>
        <v>256601</v>
      </c>
      <c r="R100" s="349">
        <f t="shared" si="103"/>
        <v>395774</v>
      </c>
      <c r="S100" s="349">
        <f t="shared" si="103"/>
        <v>458057</v>
      </c>
      <c r="T100" s="349">
        <f t="shared" si="103"/>
        <v>384341</v>
      </c>
      <c r="U100" s="349">
        <f t="shared" si="103"/>
        <v>299408</v>
      </c>
      <c r="V100" s="349">
        <f t="shared" si="103"/>
        <v>185686</v>
      </c>
      <c r="W100" s="349">
        <f t="shared" si="103"/>
        <v>319966</v>
      </c>
      <c r="X100" s="349">
        <f t="shared" si="103"/>
        <v>144475</v>
      </c>
      <c r="Y100" s="349">
        <f t="shared" si="103"/>
        <v>358700</v>
      </c>
      <c r="Z100" s="350">
        <v>15000.0</v>
      </c>
      <c r="AA100" s="350">
        <f t="shared" ref="AA100:CH100" si="104">Z100*(1+AA108)</f>
        <v>15300</v>
      </c>
      <c r="AB100" s="350">
        <f t="shared" si="104"/>
        <v>15300</v>
      </c>
      <c r="AC100" s="350">
        <f t="shared" si="104"/>
        <v>15300</v>
      </c>
      <c r="AD100" s="350">
        <f t="shared" si="104"/>
        <v>15300</v>
      </c>
      <c r="AE100" s="350">
        <f t="shared" si="104"/>
        <v>15300</v>
      </c>
      <c r="AF100" s="350">
        <f t="shared" si="104"/>
        <v>15606</v>
      </c>
      <c r="AG100" s="350">
        <f t="shared" si="104"/>
        <v>15606</v>
      </c>
      <c r="AH100" s="350">
        <f t="shared" si="104"/>
        <v>15606</v>
      </c>
      <c r="AI100" s="350">
        <f t="shared" si="104"/>
        <v>15606</v>
      </c>
      <c r="AJ100" s="350">
        <f t="shared" si="104"/>
        <v>15606</v>
      </c>
      <c r="AK100" s="350">
        <f t="shared" si="104"/>
        <v>15606</v>
      </c>
      <c r="AL100" s="350">
        <f t="shared" si="104"/>
        <v>15606</v>
      </c>
      <c r="AM100" s="350">
        <f t="shared" si="104"/>
        <v>15762.06</v>
      </c>
      <c r="AN100" s="350">
        <f t="shared" si="104"/>
        <v>15762.06</v>
      </c>
      <c r="AO100" s="350">
        <f t="shared" si="104"/>
        <v>15762.06</v>
      </c>
      <c r="AP100" s="350">
        <f t="shared" si="104"/>
        <v>15762.06</v>
      </c>
      <c r="AQ100" s="350">
        <f t="shared" si="104"/>
        <v>15762.06</v>
      </c>
      <c r="AR100" s="350">
        <f t="shared" si="104"/>
        <v>15919.6806</v>
      </c>
      <c r="AS100" s="350">
        <f t="shared" si="104"/>
        <v>15919.6806</v>
      </c>
      <c r="AT100" s="350">
        <f t="shared" si="104"/>
        <v>15919.6806</v>
      </c>
      <c r="AU100" s="350">
        <f t="shared" si="104"/>
        <v>15919.6806</v>
      </c>
      <c r="AV100" s="350">
        <f t="shared" si="104"/>
        <v>15919.6806</v>
      </c>
      <c r="AW100" s="350">
        <f t="shared" si="104"/>
        <v>15919.6806</v>
      </c>
      <c r="AX100" s="350">
        <f t="shared" si="104"/>
        <v>15919.6806</v>
      </c>
      <c r="AY100" s="350">
        <f t="shared" si="104"/>
        <v>16397.27102</v>
      </c>
      <c r="AZ100" s="350">
        <f t="shared" si="104"/>
        <v>16397.27102</v>
      </c>
      <c r="BA100" s="350">
        <f t="shared" si="104"/>
        <v>16397.27102</v>
      </c>
      <c r="BB100" s="350">
        <f t="shared" si="104"/>
        <v>16397.27102</v>
      </c>
      <c r="BC100" s="350">
        <f t="shared" si="104"/>
        <v>16397.27102</v>
      </c>
      <c r="BD100" s="350">
        <f t="shared" si="104"/>
        <v>16397.27102</v>
      </c>
      <c r="BE100" s="350">
        <f t="shared" si="104"/>
        <v>16397.27102</v>
      </c>
      <c r="BF100" s="350">
        <f t="shared" si="104"/>
        <v>16397.27102</v>
      </c>
      <c r="BG100" s="350">
        <f t="shared" si="104"/>
        <v>16397.27102</v>
      </c>
      <c r="BH100" s="350">
        <f t="shared" si="104"/>
        <v>16397.27102</v>
      </c>
      <c r="BI100" s="350">
        <f t="shared" si="104"/>
        <v>16397.27102</v>
      </c>
      <c r="BJ100" s="350">
        <f t="shared" si="104"/>
        <v>16397.27102</v>
      </c>
      <c r="BK100" s="350">
        <f t="shared" si="104"/>
        <v>17217.13457</v>
      </c>
      <c r="BL100" s="350">
        <f t="shared" si="104"/>
        <v>18077.9913</v>
      </c>
      <c r="BM100" s="350">
        <f t="shared" si="104"/>
        <v>18077.9913</v>
      </c>
      <c r="BN100" s="350">
        <f t="shared" si="104"/>
        <v>18077.9913</v>
      </c>
      <c r="BO100" s="350">
        <f t="shared" si="104"/>
        <v>18077.9913</v>
      </c>
      <c r="BP100" s="350">
        <f t="shared" si="104"/>
        <v>18077.9913</v>
      </c>
      <c r="BQ100" s="350">
        <f t="shared" si="104"/>
        <v>18077.9913</v>
      </c>
      <c r="BR100" s="350">
        <f t="shared" si="104"/>
        <v>18077.9913</v>
      </c>
      <c r="BS100" s="350">
        <f t="shared" si="104"/>
        <v>18077.9913</v>
      </c>
      <c r="BT100" s="350">
        <f t="shared" si="104"/>
        <v>18077.9913</v>
      </c>
      <c r="BU100" s="350">
        <f t="shared" si="104"/>
        <v>18077.9913</v>
      </c>
      <c r="BV100" s="350">
        <f t="shared" si="104"/>
        <v>18077.9913</v>
      </c>
      <c r="BW100" s="350">
        <f t="shared" si="104"/>
        <v>18077.9913</v>
      </c>
      <c r="BX100" s="350">
        <f t="shared" si="104"/>
        <v>18077.9913</v>
      </c>
      <c r="BY100" s="350">
        <f t="shared" si="104"/>
        <v>18077.9913</v>
      </c>
      <c r="BZ100" s="350">
        <f t="shared" si="104"/>
        <v>18077.9913</v>
      </c>
      <c r="CA100" s="350">
        <f t="shared" si="104"/>
        <v>18077.9913</v>
      </c>
      <c r="CB100" s="350">
        <f t="shared" si="104"/>
        <v>18077.9913</v>
      </c>
      <c r="CC100" s="350">
        <f t="shared" si="104"/>
        <v>18077.9913</v>
      </c>
      <c r="CD100" s="350">
        <f t="shared" si="104"/>
        <v>18077.9913</v>
      </c>
      <c r="CE100" s="350">
        <f t="shared" si="104"/>
        <v>18077.9913</v>
      </c>
      <c r="CF100" s="350">
        <f t="shared" si="104"/>
        <v>18077.9913</v>
      </c>
      <c r="CG100" s="350">
        <f t="shared" si="104"/>
        <v>18077.9913</v>
      </c>
      <c r="CH100" s="350">
        <f t="shared" si="104"/>
        <v>18077.9913</v>
      </c>
      <c r="CI100" s="1"/>
      <c r="CJ100" s="1"/>
      <c r="CK100" s="1"/>
      <c r="CL100" s="1"/>
      <c r="CM100" s="1"/>
      <c r="CN100" s="1"/>
      <c r="CO100" s="1"/>
      <c r="CP100" s="1"/>
    </row>
    <row r="101" ht="15.75" customHeight="1">
      <c r="A101" s="1" t="s">
        <v>96</v>
      </c>
      <c r="B101" s="349"/>
      <c r="C101" s="349">
        <f t="shared" ref="C101:Y101" si="105">RANDBETWEEN(100000,500000)</f>
        <v>141371</v>
      </c>
      <c r="D101" s="349">
        <f t="shared" si="105"/>
        <v>440218</v>
      </c>
      <c r="E101" s="349">
        <f t="shared" si="105"/>
        <v>214725</v>
      </c>
      <c r="F101" s="349">
        <f t="shared" si="105"/>
        <v>482049</v>
      </c>
      <c r="G101" s="349">
        <f t="shared" si="105"/>
        <v>175864</v>
      </c>
      <c r="H101" s="349">
        <f t="shared" si="105"/>
        <v>430131</v>
      </c>
      <c r="I101" s="349">
        <f t="shared" si="105"/>
        <v>100662</v>
      </c>
      <c r="J101" s="349">
        <f t="shared" si="105"/>
        <v>104992</v>
      </c>
      <c r="K101" s="349">
        <f t="shared" si="105"/>
        <v>431495</v>
      </c>
      <c r="L101" s="349">
        <f t="shared" si="105"/>
        <v>156783</v>
      </c>
      <c r="M101" s="349">
        <f t="shared" si="105"/>
        <v>253723</v>
      </c>
      <c r="N101" s="349">
        <f t="shared" si="105"/>
        <v>327733</v>
      </c>
      <c r="O101" s="349">
        <f t="shared" si="105"/>
        <v>161784</v>
      </c>
      <c r="P101" s="349">
        <f t="shared" si="105"/>
        <v>374718</v>
      </c>
      <c r="Q101" s="349">
        <f t="shared" si="105"/>
        <v>216152</v>
      </c>
      <c r="R101" s="349">
        <f t="shared" si="105"/>
        <v>165942</v>
      </c>
      <c r="S101" s="349">
        <f t="shared" si="105"/>
        <v>127283</v>
      </c>
      <c r="T101" s="349">
        <f t="shared" si="105"/>
        <v>169261</v>
      </c>
      <c r="U101" s="349">
        <f t="shared" si="105"/>
        <v>474856</v>
      </c>
      <c r="V101" s="349">
        <f t="shared" si="105"/>
        <v>290656</v>
      </c>
      <c r="W101" s="349">
        <f t="shared" si="105"/>
        <v>480415</v>
      </c>
      <c r="X101" s="349">
        <f t="shared" si="105"/>
        <v>199930</v>
      </c>
      <c r="Y101" s="349">
        <f t="shared" si="105"/>
        <v>398800</v>
      </c>
      <c r="Z101" s="350">
        <v>100000.0</v>
      </c>
      <c r="AA101" s="350">
        <f t="shared" ref="AA101:CH101" si="106">Z101*(1+AA109)</f>
        <v>100000</v>
      </c>
      <c r="AB101" s="350">
        <f t="shared" si="106"/>
        <v>100000</v>
      </c>
      <c r="AC101" s="350">
        <f t="shared" si="106"/>
        <v>100000</v>
      </c>
      <c r="AD101" s="350">
        <f t="shared" si="106"/>
        <v>100000</v>
      </c>
      <c r="AE101" s="350">
        <f t="shared" si="106"/>
        <v>100000</v>
      </c>
      <c r="AF101" s="350">
        <f t="shared" si="106"/>
        <v>100000</v>
      </c>
      <c r="AG101" s="350">
        <f t="shared" si="106"/>
        <v>100000</v>
      </c>
      <c r="AH101" s="350">
        <f t="shared" si="106"/>
        <v>100000</v>
      </c>
      <c r="AI101" s="350">
        <f t="shared" si="106"/>
        <v>100000</v>
      </c>
      <c r="AJ101" s="350">
        <f t="shared" si="106"/>
        <v>100000</v>
      </c>
      <c r="AK101" s="350">
        <f t="shared" si="106"/>
        <v>100000</v>
      </c>
      <c r="AL101" s="350">
        <f t="shared" si="106"/>
        <v>100000</v>
      </c>
      <c r="AM101" s="350">
        <f t="shared" si="106"/>
        <v>100000</v>
      </c>
      <c r="AN101" s="350">
        <f t="shared" si="106"/>
        <v>100000</v>
      </c>
      <c r="AO101" s="350">
        <f t="shared" si="106"/>
        <v>100000</v>
      </c>
      <c r="AP101" s="350">
        <f t="shared" si="106"/>
        <v>100000</v>
      </c>
      <c r="AQ101" s="350">
        <f t="shared" si="106"/>
        <v>100000</v>
      </c>
      <c r="AR101" s="350">
        <f t="shared" si="106"/>
        <v>100000</v>
      </c>
      <c r="AS101" s="350">
        <f t="shared" si="106"/>
        <v>100000</v>
      </c>
      <c r="AT101" s="350">
        <f t="shared" si="106"/>
        <v>100000</v>
      </c>
      <c r="AU101" s="350">
        <f t="shared" si="106"/>
        <v>100000</v>
      </c>
      <c r="AV101" s="350">
        <f t="shared" si="106"/>
        <v>100000</v>
      </c>
      <c r="AW101" s="350">
        <f t="shared" si="106"/>
        <v>100000</v>
      </c>
      <c r="AX101" s="350">
        <f t="shared" si="106"/>
        <v>100000</v>
      </c>
      <c r="AY101" s="350">
        <f t="shared" si="106"/>
        <v>100000</v>
      </c>
      <c r="AZ101" s="350">
        <f t="shared" si="106"/>
        <v>100000</v>
      </c>
      <c r="BA101" s="350">
        <f t="shared" si="106"/>
        <v>100000</v>
      </c>
      <c r="BB101" s="350">
        <f t="shared" si="106"/>
        <v>100000</v>
      </c>
      <c r="BC101" s="350">
        <f t="shared" si="106"/>
        <v>100000</v>
      </c>
      <c r="BD101" s="350">
        <f t="shared" si="106"/>
        <v>100000</v>
      </c>
      <c r="BE101" s="350">
        <f t="shared" si="106"/>
        <v>100000</v>
      </c>
      <c r="BF101" s="350">
        <f t="shared" si="106"/>
        <v>100000</v>
      </c>
      <c r="BG101" s="350">
        <f t="shared" si="106"/>
        <v>100000</v>
      </c>
      <c r="BH101" s="350">
        <f t="shared" si="106"/>
        <v>100000</v>
      </c>
      <c r="BI101" s="350">
        <f t="shared" si="106"/>
        <v>100000</v>
      </c>
      <c r="BJ101" s="350">
        <f t="shared" si="106"/>
        <v>100000</v>
      </c>
      <c r="BK101" s="350">
        <f t="shared" si="106"/>
        <v>100000</v>
      </c>
      <c r="BL101" s="350">
        <f t="shared" si="106"/>
        <v>100000</v>
      </c>
      <c r="BM101" s="350">
        <f t="shared" si="106"/>
        <v>100000</v>
      </c>
      <c r="BN101" s="350">
        <f t="shared" si="106"/>
        <v>100000</v>
      </c>
      <c r="BO101" s="350">
        <f t="shared" si="106"/>
        <v>100000</v>
      </c>
      <c r="BP101" s="350">
        <f t="shared" si="106"/>
        <v>100000</v>
      </c>
      <c r="BQ101" s="350">
        <f t="shared" si="106"/>
        <v>100000</v>
      </c>
      <c r="BR101" s="350">
        <f t="shared" si="106"/>
        <v>100000</v>
      </c>
      <c r="BS101" s="350">
        <f t="shared" si="106"/>
        <v>100000</v>
      </c>
      <c r="BT101" s="350">
        <f t="shared" si="106"/>
        <v>100000</v>
      </c>
      <c r="BU101" s="350">
        <f t="shared" si="106"/>
        <v>100000</v>
      </c>
      <c r="BV101" s="350">
        <f t="shared" si="106"/>
        <v>100000</v>
      </c>
      <c r="BW101" s="350">
        <f t="shared" si="106"/>
        <v>100000</v>
      </c>
      <c r="BX101" s="350">
        <f t="shared" si="106"/>
        <v>100000</v>
      </c>
      <c r="BY101" s="350">
        <f t="shared" si="106"/>
        <v>100000</v>
      </c>
      <c r="BZ101" s="350">
        <f t="shared" si="106"/>
        <v>100000</v>
      </c>
      <c r="CA101" s="350">
        <f t="shared" si="106"/>
        <v>100000</v>
      </c>
      <c r="CB101" s="350">
        <f t="shared" si="106"/>
        <v>100000</v>
      </c>
      <c r="CC101" s="350">
        <f t="shared" si="106"/>
        <v>100000</v>
      </c>
      <c r="CD101" s="350">
        <f t="shared" si="106"/>
        <v>100000</v>
      </c>
      <c r="CE101" s="350">
        <f t="shared" si="106"/>
        <v>100000</v>
      </c>
      <c r="CF101" s="350">
        <f t="shared" si="106"/>
        <v>100000</v>
      </c>
      <c r="CG101" s="350">
        <f t="shared" si="106"/>
        <v>100000</v>
      </c>
      <c r="CH101" s="350">
        <f t="shared" si="106"/>
        <v>100000</v>
      </c>
      <c r="CI101" s="1"/>
      <c r="CJ101" s="1"/>
      <c r="CK101" s="1"/>
      <c r="CL101" s="1"/>
      <c r="CM101" s="1"/>
      <c r="CN101" s="1"/>
      <c r="CO101" s="1"/>
      <c r="CP101" s="1"/>
    </row>
    <row r="102" ht="15.75" customHeight="1">
      <c r="A102" s="119" t="s">
        <v>604</v>
      </c>
      <c r="B102" s="351"/>
      <c r="C102" s="351">
        <f t="shared" ref="C102:CH102" si="107">SUMPRODUCT(C96:C101,C88:C93)/SUM(C88:C93)</f>
        <v>355089.3333</v>
      </c>
      <c r="D102" s="351">
        <f t="shared" si="107"/>
        <v>324176.3333</v>
      </c>
      <c r="E102" s="351">
        <f t="shared" si="107"/>
        <v>317722.1667</v>
      </c>
      <c r="F102" s="351">
        <f t="shared" si="107"/>
        <v>280553</v>
      </c>
      <c r="G102" s="351">
        <f t="shared" si="107"/>
        <v>296076</v>
      </c>
      <c r="H102" s="351">
        <f t="shared" si="107"/>
        <v>356253.5</v>
      </c>
      <c r="I102" s="351">
        <f t="shared" si="107"/>
        <v>265190.1667</v>
      </c>
      <c r="J102" s="351">
        <f t="shared" si="107"/>
        <v>257713.6667</v>
      </c>
      <c r="K102" s="351">
        <f t="shared" si="107"/>
        <v>247513.5</v>
      </c>
      <c r="L102" s="351">
        <f t="shared" si="107"/>
        <v>252607.1667</v>
      </c>
      <c r="M102" s="351">
        <f t="shared" si="107"/>
        <v>311193.6667</v>
      </c>
      <c r="N102" s="351">
        <f t="shared" si="107"/>
        <v>341004.3333</v>
      </c>
      <c r="O102" s="351">
        <f t="shared" si="107"/>
        <v>262985.6667</v>
      </c>
      <c r="P102" s="351">
        <f t="shared" si="107"/>
        <v>335689.6667</v>
      </c>
      <c r="Q102" s="351">
        <f t="shared" si="107"/>
        <v>370547.3333</v>
      </c>
      <c r="R102" s="351">
        <f t="shared" si="107"/>
        <v>337886.8333</v>
      </c>
      <c r="S102" s="351">
        <f t="shared" si="107"/>
        <v>223735.8333</v>
      </c>
      <c r="T102" s="351">
        <f t="shared" si="107"/>
        <v>329927.5</v>
      </c>
      <c r="U102" s="351">
        <f t="shared" si="107"/>
        <v>306904.1667</v>
      </c>
      <c r="V102" s="351">
        <f t="shared" si="107"/>
        <v>262522</v>
      </c>
      <c r="W102" s="351">
        <f t="shared" si="107"/>
        <v>404055.6667</v>
      </c>
      <c r="X102" s="351">
        <f t="shared" si="107"/>
        <v>224572.8333</v>
      </c>
      <c r="Y102" s="351">
        <f t="shared" si="107"/>
        <v>329424.3333</v>
      </c>
      <c r="Z102" s="351">
        <f t="shared" si="107"/>
        <v>102841.6667</v>
      </c>
      <c r="AA102" s="351">
        <f t="shared" si="107"/>
        <v>104565.1667</v>
      </c>
      <c r="AB102" s="351">
        <f t="shared" si="107"/>
        <v>104565.1667</v>
      </c>
      <c r="AC102" s="351">
        <f t="shared" si="107"/>
        <v>104565.1667</v>
      </c>
      <c r="AD102" s="351">
        <f t="shared" si="107"/>
        <v>104565.1667</v>
      </c>
      <c r="AE102" s="351">
        <f t="shared" si="107"/>
        <v>104565.1667</v>
      </c>
      <c r="AF102" s="351">
        <f t="shared" si="107"/>
        <v>106361.3867</v>
      </c>
      <c r="AG102" s="351">
        <f t="shared" si="107"/>
        <v>106361.3867</v>
      </c>
      <c r="AH102" s="351">
        <f t="shared" si="107"/>
        <v>106361.3867</v>
      </c>
      <c r="AI102" s="351">
        <f t="shared" si="107"/>
        <v>106361.3867</v>
      </c>
      <c r="AJ102" s="351">
        <f t="shared" si="107"/>
        <v>106419.5424</v>
      </c>
      <c r="AK102" s="351">
        <f t="shared" si="107"/>
        <v>106419.5424</v>
      </c>
      <c r="AL102" s="351">
        <f t="shared" si="107"/>
        <v>106419.5424</v>
      </c>
      <c r="AM102" s="351">
        <f t="shared" si="107"/>
        <v>107182.9911</v>
      </c>
      <c r="AN102" s="351">
        <f t="shared" si="107"/>
        <v>100893.37</v>
      </c>
      <c r="AO102" s="351">
        <f t="shared" si="107"/>
        <v>99082.84877</v>
      </c>
      <c r="AP102" s="351">
        <f t="shared" si="107"/>
        <v>99081.84678</v>
      </c>
      <c r="AQ102" s="351">
        <f t="shared" si="107"/>
        <v>99080.84759</v>
      </c>
      <c r="AR102" s="351">
        <f t="shared" si="107"/>
        <v>99640.73722</v>
      </c>
      <c r="AS102" s="351">
        <f t="shared" si="107"/>
        <v>99640.34929</v>
      </c>
      <c r="AT102" s="351">
        <f t="shared" si="107"/>
        <v>99639.96246</v>
      </c>
      <c r="AU102" s="351">
        <f t="shared" si="107"/>
        <v>99639.57673</v>
      </c>
      <c r="AV102" s="351">
        <f t="shared" si="107"/>
        <v>99639.1921</v>
      </c>
      <c r="AW102" s="351">
        <f t="shared" si="107"/>
        <v>99638.80856</v>
      </c>
      <c r="AX102" s="351">
        <f t="shared" si="107"/>
        <v>99638.42612</v>
      </c>
      <c r="AY102" s="351">
        <f t="shared" si="107"/>
        <v>100207.4995</v>
      </c>
      <c r="AZ102" s="351">
        <f t="shared" si="107"/>
        <v>100207.9338</v>
      </c>
      <c r="BA102" s="351">
        <f t="shared" si="107"/>
        <v>100208.1505</v>
      </c>
      <c r="BB102" s="351">
        <f t="shared" si="107"/>
        <v>100208.3666</v>
      </c>
      <c r="BC102" s="351">
        <f t="shared" si="107"/>
        <v>100208.582</v>
      </c>
      <c r="BD102" s="351">
        <f t="shared" si="107"/>
        <v>100208.7969</v>
      </c>
      <c r="BE102" s="351">
        <f t="shared" si="107"/>
        <v>100209.0111</v>
      </c>
      <c r="BF102" s="351">
        <f t="shared" si="107"/>
        <v>100209.2247</v>
      </c>
      <c r="BG102" s="351">
        <f t="shared" si="107"/>
        <v>100209.4376</v>
      </c>
      <c r="BH102" s="351">
        <f t="shared" si="107"/>
        <v>100209.65</v>
      </c>
      <c r="BI102" s="351">
        <f t="shared" si="107"/>
        <v>100209.8617</v>
      </c>
      <c r="BJ102" s="351">
        <f t="shared" si="107"/>
        <v>100210.0727</v>
      </c>
      <c r="BK102" s="351">
        <f t="shared" si="107"/>
        <v>102900.4481</v>
      </c>
      <c r="BL102" s="351">
        <f t="shared" si="107"/>
        <v>105639.285</v>
      </c>
      <c r="BM102" s="351">
        <f t="shared" si="107"/>
        <v>105645.1462</v>
      </c>
      <c r="BN102" s="351">
        <f t="shared" si="107"/>
        <v>105650.9903</v>
      </c>
      <c r="BO102" s="351">
        <f t="shared" si="107"/>
        <v>105656.8174</v>
      </c>
      <c r="BP102" s="351">
        <f t="shared" si="107"/>
        <v>105662.6274</v>
      </c>
      <c r="BQ102" s="351">
        <f t="shared" si="107"/>
        <v>105668.4204</v>
      </c>
      <c r="BR102" s="351">
        <f t="shared" si="107"/>
        <v>105674.1963</v>
      </c>
      <c r="BS102" s="351">
        <f t="shared" si="107"/>
        <v>105679.9552</v>
      </c>
      <c r="BT102" s="351">
        <f t="shared" si="107"/>
        <v>105685.6971</v>
      </c>
      <c r="BU102" s="351">
        <f t="shared" si="107"/>
        <v>105691.4219</v>
      </c>
      <c r="BV102" s="351">
        <f t="shared" si="107"/>
        <v>105697.1297</v>
      </c>
      <c r="BW102" s="351">
        <f t="shared" si="107"/>
        <v>105702.8204</v>
      </c>
      <c r="BX102" s="351">
        <f t="shared" si="107"/>
        <v>105578.9815</v>
      </c>
      <c r="BY102" s="351">
        <f t="shared" si="107"/>
        <v>105585.0153</v>
      </c>
      <c r="BZ102" s="351">
        <f t="shared" si="107"/>
        <v>105591.0322</v>
      </c>
      <c r="CA102" s="351">
        <f t="shared" si="107"/>
        <v>105597.0319</v>
      </c>
      <c r="CB102" s="351">
        <f t="shared" si="107"/>
        <v>105603.0146</v>
      </c>
      <c r="CC102" s="351">
        <f t="shared" si="107"/>
        <v>105608.9803</v>
      </c>
      <c r="CD102" s="351">
        <f t="shared" si="107"/>
        <v>105614.9289</v>
      </c>
      <c r="CE102" s="351">
        <f t="shared" si="107"/>
        <v>105620.8604</v>
      </c>
      <c r="CF102" s="351">
        <f t="shared" si="107"/>
        <v>105626.7749</v>
      </c>
      <c r="CG102" s="351">
        <f t="shared" si="107"/>
        <v>105632.6723</v>
      </c>
      <c r="CH102" s="351">
        <f t="shared" si="107"/>
        <v>105638.5527</v>
      </c>
      <c r="CI102" s="1"/>
      <c r="CJ102" s="1"/>
      <c r="CK102" s="1"/>
      <c r="CL102" s="1"/>
      <c r="CM102" s="1"/>
      <c r="CN102" s="1"/>
      <c r="CO102" s="1"/>
      <c r="CP102" s="1"/>
    </row>
    <row r="103" ht="15.75" customHeight="1">
      <c r="A103" s="1"/>
      <c r="B103" s="1"/>
      <c r="C103" s="1"/>
      <c r="D103" s="1"/>
      <c r="E103" s="1"/>
      <c r="F103" s="1"/>
      <c r="G103" s="1"/>
      <c r="H103" s="1"/>
      <c r="I103" s="1"/>
      <c r="J103" s="1"/>
      <c r="K103" s="1"/>
      <c r="L103" s="1"/>
      <c r="M103" s="1"/>
      <c r="N103" s="1"/>
      <c r="O103" s="323"/>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row>
    <row r="104" ht="15.75" customHeight="1">
      <c r="A104" s="1" t="s">
        <v>129</v>
      </c>
      <c r="B104" s="123"/>
      <c r="C104" s="123"/>
      <c r="D104" s="317">
        <f t="shared" ref="D104:Y104" si="108">D96/C96-1</f>
        <v>-0.4164903423</v>
      </c>
      <c r="E104" s="317">
        <f t="shared" si="108"/>
        <v>0.5543079417</v>
      </c>
      <c r="F104" s="317">
        <f t="shared" si="108"/>
        <v>-0.6329679558</v>
      </c>
      <c r="G104" s="317">
        <f t="shared" si="108"/>
        <v>0.4048183643</v>
      </c>
      <c r="H104" s="317">
        <f t="shared" si="108"/>
        <v>1.122564432</v>
      </c>
      <c r="I104" s="317">
        <f t="shared" si="108"/>
        <v>-0.3393523635</v>
      </c>
      <c r="J104" s="317">
        <f t="shared" si="108"/>
        <v>0.3725737537</v>
      </c>
      <c r="K104" s="317">
        <f t="shared" si="108"/>
        <v>-0.7021978268</v>
      </c>
      <c r="L104" s="317">
        <f t="shared" si="108"/>
        <v>0.9399068542</v>
      </c>
      <c r="M104" s="317">
        <f t="shared" si="108"/>
        <v>-0.375743878</v>
      </c>
      <c r="N104" s="317">
        <f t="shared" si="108"/>
        <v>2.435790259</v>
      </c>
      <c r="O104" s="317">
        <f t="shared" si="108"/>
        <v>0.08428760085</v>
      </c>
      <c r="P104" s="317">
        <f t="shared" si="108"/>
        <v>-0.5687010165</v>
      </c>
      <c r="Q104" s="317">
        <f t="shared" si="108"/>
        <v>0.5871174573</v>
      </c>
      <c r="R104" s="317">
        <f t="shared" si="108"/>
        <v>0.3391738035</v>
      </c>
      <c r="S104" s="317">
        <f t="shared" si="108"/>
        <v>-0.6610101626</v>
      </c>
      <c r="T104" s="317">
        <f t="shared" si="108"/>
        <v>1.002261684</v>
      </c>
      <c r="U104" s="317">
        <f t="shared" si="108"/>
        <v>-0.6376644489</v>
      </c>
      <c r="V104" s="317">
        <f t="shared" si="108"/>
        <v>1.429117214</v>
      </c>
      <c r="W104" s="317">
        <f t="shared" si="108"/>
        <v>0.6824783884</v>
      </c>
      <c r="X104" s="317">
        <f t="shared" si="108"/>
        <v>0.04986170275</v>
      </c>
      <c r="Y104" s="317">
        <f t="shared" si="108"/>
        <v>-0.01201515207</v>
      </c>
      <c r="Z104" s="352">
        <v>0.0</v>
      </c>
      <c r="AA104" s="353">
        <v>0.02</v>
      </c>
      <c r="AB104" s="353">
        <v>0.0</v>
      </c>
      <c r="AC104" s="353">
        <v>0.0</v>
      </c>
      <c r="AD104" s="353">
        <v>0.0</v>
      </c>
      <c r="AE104" s="353">
        <v>0.0</v>
      </c>
      <c r="AF104" s="353">
        <v>0.02</v>
      </c>
      <c r="AG104" s="353">
        <v>0.0</v>
      </c>
      <c r="AH104" s="353">
        <v>0.0</v>
      </c>
      <c r="AI104" s="353">
        <v>0.0</v>
      </c>
      <c r="AJ104" s="353">
        <v>0.0</v>
      </c>
      <c r="AK104" s="353">
        <v>0.0</v>
      </c>
      <c r="AL104" s="353">
        <v>0.0</v>
      </c>
      <c r="AM104" s="354">
        <v>0.005</v>
      </c>
      <c r="AN104" s="353">
        <v>0.0</v>
      </c>
      <c r="AO104" s="353">
        <v>0.0</v>
      </c>
      <c r="AP104" s="353">
        <v>0.0</v>
      </c>
      <c r="AQ104" s="353">
        <v>0.0</v>
      </c>
      <c r="AR104" s="354">
        <v>0.005</v>
      </c>
      <c r="AS104" s="353">
        <v>0.0</v>
      </c>
      <c r="AT104" s="353">
        <v>0.0</v>
      </c>
      <c r="AU104" s="353">
        <v>0.0</v>
      </c>
      <c r="AV104" s="353">
        <v>0.0</v>
      </c>
      <c r="AW104" s="353">
        <v>0.0</v>
      </c>
      <c r="AX104" s="353">
        <v>0.0</v>
      </c>
      <c r="AY104" s="354">
        <v>0.005</v>
      </c>
      <c r="AZ104" s="353">
        <v>0.0</v>
      </c>
      <c r="BA104" s="353">
        <v>0.0</v>
      </c>
      <c r="BB104" s="353">
        <v>0.0</v>
      </c>
      <c r="BC104" s="353">
        <v>0.0</v>
      </c>
      <c r="BD104" s="353">
        <v>0.0</v>
      </c>
      <c r="BE104" s="353">
        <v>0.0</v>
      </c>
      <c r="BF104" s="353">
        <v>0.0</v>
      </c>
      <c r="BG104" s="353">
        <v>0.0</v>
      </c>
      <c r="BH104" s="353">
        <v>0.0</v>
      </c>
      <c r="BI104" s="353">
        <v>0.0</v>
      </c>
      <c r="BJ104" s="353">
        <v>0.0</v>
      </c>
      <c r="BK104" s="354">
        <v>0.02</v>
      </c>
      <c r="BL104" s="354">
        <v>0.02</v>
      </c>
      <c r="BM104" s="353">
        <v>0.0</v>
      </c>
      <c r="BN104" s="353">
        <v>0.0</v>
      </c>
      <c r="BO104" s="353">
        <v>0.0</v>
      </c>
      <c r="BP104" s="353">
        <v>0.0</v>
      </c>
      <c r="BQ104" s="353">
        <v>0.0</v>
      </c>
      <c r="BR104" s="353">
        <v>0.0</v>
      </c>
      <c r="BS104" s="353">
        <v>0.0</v>
      </c>
      <c r="BT104" s="353">
        <v>0.0</v>
      </c>
      <c r="BU104" s="353">
        <v>0.0</v>
      </c>
      <c r="BV104" s="353">
        <v>0.0</v>
      </c>
      <c r="BW104" s="354">
        <v>0.0</v>
      </c>
      <c r="BX104" s="353">
        <v>0.0</v>
      </c>
      <c r="BY104" s="353">
        <v>0.0</v>
      </c>
      <c r="BZ104" s="353">
        <v>0.0</v>
      </c>
      <c r="CA104" s="353">
        <v>0.0</v>
      </c>
      <c r="CB104" s="353">
        <v>0.0</v>
      </c>
      <c r="CC104" s="353">
        <v>0.0</v>
      </c>
      <c r="CD104" s="353">
        <v>0.0</v>
      </c>
      <c r="CE104" s="353">
        <v>0.0</v>
      </c>
      <c r="CF104" s="353">
        <v>0.0</v>
      </c>
      <c r="CG104" s="353">
        <v>0.0</v>
      </c>
      <c r="CH104" s="353">
        <v>0.0</v>
      </c>
      <c r="CI104" s="1"/>
      <c r="CJ104" s="1"/>
      <c r="CK104" s="1"/>
      <c r="CL104" s="1"/>
      <c r="CM104" s="1"/>
      <c r="CN104" s="1"/>
      <c r="CO104" s="1"/>
      <c r="CP104" s="1"/>
    </row>
    <row r="105" ht="15.75" customHeight="1">
      <c r="A105" s="1" t="s">
        <v>85</v>
      </c>
      <c r="B105" s="123"/>
      <c r="C105" s="123"/>
      <c r="D105" s="317">
        <f t="shared" ref="D105:Y105" si="109">D97/C97-1</f>
        <v>-0.2586100824</v>
      </c>
      <c r="E105" s="317">
        <f t="shared" si="109"/>
        <v>0.2863646502</v>
      </c>
      <c r="F105" s="317">
        <f t="shared" si="109"/>
        <v>-0.495803076</v>
      </c>
      <c r="G105" s="317">
        <f t="shared" si="109"/>
        <v>0.4577631459</v>
      </c>
      <c r="H105" s="317">
        <f t="shared" si="109"/>
        <v>0.7034701191</v>
      </c>
      <c r="I105" s="317">
        <f t="shared" si="109"/>
        <v>-0.2898233152</v>
      </c>
      <c r="J105" s="317">
        <f t="shared" si="109"/>
        <v>0.01276352917</v>
      </c>
      <c r="K105" s="317">
        <f t="shared" si="109"/>
        <v>-0.5026403042</v>
      </c>
      <c r="L105" s="317">
        <f t="shared" si="109"/>
        <v>1.205747565</v>
      </c>
      <c r="M105" s="317">
        <f t="shared" si="109"/>
        <v>-0.302600302</v>
      </c>
      <c r="N105" s="317">
        <f t="shared" si="109"/>
        <v>0.08168801418</v>
      </c>
      <c r="O105" s="317">
        <f t="shared" si="109"/>
        <v>-0.1798422083</v>
      </c>
      <c r="P105" s="317">
        <f t="shared" si="109"/>
        <v>0.7490645297</v>
      </c>
      <c r="Q105" s="355">
        <f t="shared" si="109"/>
        <v>0.1851418132</v>
      </c>
      <c r="R105" s="317">
        <f t="shared" si="109"/>
        <v>-0.3618796927</v>
      </c>
      <c r="S105" s="317">
        <f t="shared" si="109"/>
        <v>-0.03830154941</v>
      </c>
      <c r="T105" s="317">
        <f t="shared" si="109"/>
        <v>0.4420385382</v>
      </c>
      <c r="U105" s="317">
        <f t="shared" si="109"/>
        <v>0.09531292283</v>
      </c>
      <c r="V105" s="317">
        <f t="shared" si="109"/>
        <v>-0.3210852604</v>
      </c>
      <c r="W105" s="317">
        <f t="shared" si="109"/>
        <v>0.1428034079</v>
      </c>
      <c r="X105" s="317">
        <f t="shared" si="109"/>
        <v>-0.6521719352</v>
      </c>
      <c r="Y105" s="317">
        <f t="shared" si="109"/>
        <v>0.8928936861</v>
      </c>
      <c r="Z105" s="352">
        <v>0.0</v>
      </c>
      <c r="AA105" s="353">
        <v>0.02</v>
      </c>
      <c r="AB105" s="354">
        <v>0.0</v>
      </c>
      <c r="AC105" s="354">
        <v>0.0</v>
      </c>
      <c r="AD105" s="354">
        <v>0.0</v>
      </c>
      <c r="AE105" s="354">
        <v>0.0</v>
      </c>
      <c r="AF105" s="353">
        <v>0.02</v>
      </c>
      <c r="AG105" s="354">
        <v>0.0</v>
      </c>
      <c r="AH105" s="354">
        <v>0.0</v>
      </c>
      <c r="AI105" s="354">
        <v>0.0</v>
      </c>
      <c r="AJ105" s="354">
        <v>0.0</v>
      </c>
      <c r="AK105" s="354">
        <v>0.0</v>
      </c>
      <c r="AL105" s="354">
        <v>0.0</v>
      </c>
      <c r="AM105" s="354">
        <v>0.005</v>
      </c>
      <c r="AN105" s="354">
        <v>0.0</v>
      </c>
      <c r="AO105" s="354">
        <v>0.0</v>
      </c>
      <c r="AP105" s="354">
        <v>0.0</v>
      </c>
      <c r="AQ105" s="354">
        <v>0.0</v>
      </c>
      <c r="AR105" s="354">
        <v>0.005</v>
      </c>
      <c r="AS105" s="354">
        <v>0.0</v>
      </c>
      <c r="AT105" s="354">
        <v>0.0</v>
      </c>
      <c r="AU105" s="354">
        <v>0.0</v>
      </c>
      <c r="AV105" s="354">
        <v>0.0</v>
      </c>
      <c r="AW105" s="354">
        <v>0.0</v>
      </c>
      <c r="AX105" s="354">
        <v>0.0</v>
      </c>
      <c r="AY105" s="354">
        <v>0.005</v>
      </c>
      <c r="AZ105" s="354">
        <v>0.0</v>
      </c>
      <c r="BA105" s="354">
        <v>0.0</v>
      </c>
      <c r="BB105" s="354">
        <v>0.0</v>
      </c>
      <c r="BC105" s="354">
        <v>0.0</v>
      </c>
      <c r="BD105" s="354">
        <v>0.0</v>
      </c>
      <c r="BE105" s="354">
        <v>0.0</v>
      </c>
      <c r="BF105" s="354">
        <v>0.0</v>
      </c>
      <c r="BG105" s="354">
        <v>0.0</v>
      </c>
      <c r="BH105" s="354">
        <v>0.0</v>
      </c>
      <c r="BI105" s="354">
        <v>0.0</v>
      </c>
      <c r="BJ105" s="354">
        <v>0.0</v>
      </c>
      <c r="BK105" s="354">
        <v>0.02</v>
      </c>
      <c r="BL105" s="354">
        <v>0.02</v>
      </c>
      <c r="BM105" s="354">
        <v>0.0</v>
      </c>
      <c r="BN105" s="354">
        <v>0.0</v>
      </c>
      <c r="BO105" s="354">
        <v>0.0</v>
      </c>
      <c r="BP105" s="354">
        <v>0.0</v>
      </c>
      <c r="BQ105" s="354">
        <v>0.0</v>
      </c>
      <c r="BR105" s="354">
        <v>0.0</v>
      </c>
      <c r="BS105" s="354">
        <v>0.0</v>
      </c>
      <c r="BT105" s="354">
        <v>0.0</v>
      </c>
      <c r="BU105" s="354">
        <v>0.0</v>
      </c>
      <c r="BV105" s="354">
        <v>0.0</v>
      </c>
      <c r="BW105" s="354">
        <v>0.0</v>
      </c>
      <c r="BX105" s="354">
        <v>0.0</v>
      </c>
      <c r="BY105" s="354">
        <v>0.0</v>
      </c>
      <c r="BZ105" s="354">
        <v>0.0</v>
      </c>
      <c r="CA105" s="354">
        <v>0.0</v>
      </c>
      <c r="CB105" s="354">
        <v>0.0</v>
      </c>
      <c r="CC105" s="354">
        <v>0.0</v>
      </c>
      <c r="CD105" s="354">
        <v>0.0</v>
      </c>
      <c r="CE105" s="354">
        <v>0.0</v>
      </c>
      <c r="CF105" s="354">
        <v>0.0</v>
      </c>
      <c r="CG105" s="354">
        <v>0.0</v>
      </c>
      <c r="CH105" s="354">
        <v>0.0</v>
      </c>
      <c r="CI105" s="1"/>
      <c r="CJ105" s="1"/>
      <c r="CK105" s="1"/>
      <c r="CL105" s="1"/>
      <c r="CM105" s="1"/>
      <c r="CN105" s="1"/>
      <c r="CO105" s="1"/>
      <c r="CP105" s="1"/>
    </row>
    <row r="106" ht="15.75" customHeight="1">
      <c r="A106" s="1" t="s">
        <v>130</v>
      </c>
      <c r="B106" s="123"/>
      <c r="C106" s="123"/>
      <c r="D106" s="317">
        <f t="shared" ref="D106:Y106" si="110">D98/C98-1</f>
        <v>-0.5297336482</v>
      </c>
      <c r="E106" s="317">
        <f t="shared" si="110"/>
        <v>-0.1805522937</v>
      </c>
      <c r="F106" s="317">
        <f t="shared" si="110"/>
        <v>0.07635588628</v>
      </c>
      <c r="G106" s="317">
        <f t="shared" si="110"/>
        <v>0.9883131533</v>
      </c>
      <c r="H106" s="317">
        <f t="shared" si="110"/>
        <v>-0.7184270757</v>
      </c>
      <c r="I106" s="317">
        <f t="shared" si="110"/>
        <v>2.298075094</v>
      </c>
      <c r="J106" s="317">
        <f t="shared" si="110"/>
        <v>-0.5943979486</v>
      </c>
      <c r="K106" s="317">
        <f t="shared" si="110"/>
        <v>-0.09563334303</v>
      </c>
      <c r="L106" s="317">
        <f t="shared" si="110"/>
        <v>1.96180156</v>
      </c>
      <c r="M106" s="317">
        <f t="shared" si="110"/>
        <v>0.1449371197</v>
      </c>
      <c r="N106" s="317">
        <f t="shared" si="110"/>
        <v>-0.2928448721</v>
      </c>
      <c r="O106" s="317">
        <f t="shared" si="110"/>
        <v>-0.3656378079</v>
      </c>
      <c r="P106" s="317">
        <f t="shared" si="110"/>
        <v>1.120346398</v>
      </c>
      <c r="Q106" s="317">
        <f t="shared" si="110"/>
        <v>0.09297285319</v>
      </c>
      <c r="R106" s="317">
        <f t="shared" si="110"/>
        <v>-0.4233420654</v>
      </c>
      <c r="S106" s="317">
        <f t="shared" si="110"/>
        <v>-0.3162406385</v>
      </c>
      <c r="T106" s="317">
        <f t="shared" si="110"/>
        <v>0.1426918568</v>
      </c>
      <c r="U106" s="317">
        <f t="shared" si="110"/>
        <v>-0.1926135264</v>
      </c>
      <c r="V106" s="317">
        <f t="shared" si="110"/>
        <v>0.5918791628</v>
      </c>
      <c r="W106" s="317">
        <f t="shared" si="110"/>
        <v>0.4551289009</v>
      </c>
      <c r="X106" s="317">
        <f t="shared" si="110"/>
        <v>-0.6608404817</v>
      </c>
      <c r="Y106" s="317">
        <f t="shared" si="110"/>
        <v>0.3447744993</v>
      </c>
      <c r="Z106" s="352">
        <v>0.0</v>
      </c>
      <c r="AA106" s="353">
        <v>0.02</v>
      </c>
      <c r="AB106" s="354">
        <v>0.0</v>
      </c>
      <c r="AC106" s="354">
        <v>0.0</v>
      </c>
      <c r="AD106" s="354">
        <v>0.0</v>
      </c>
      <c r="AE106" s="354">
        <v>0.0</v>
      </c>
      <c r="AF106" s="353">
        <v>0.02</v>
      </c>
      <c r="AG106" s="354">
        <v>0.0</v>
      </c>
      <c r="AH106" s="354">
        <v>0.0</v>
      </c>
      <c r="AI106" s="354">
        <v>0.0</v>
      </c>
      <c r="AJ106" s="354">
        <v>0.0</v>
      </c>
      <c r="AK106" s="354">
        <v>0.0</v>
      </c>
      <c r="AL106" s="354">
        <v>0.0</v>
      </c>
      <c r="AM106" s="354">
        <v>0.01</v>
      </c>
      <c r="AN106" s="354">
        <v>0.0</v>
      </c>
      <c r="AO106" s="354">
        <v>0.0</v>
      </c>
      <c r="AP106" s="354">
        <v>0.0</v>
      </c>
      <c r="AQ106" s="354">
        <v>0.0</v>
      </c>
      <c r="AR106" s="354">
        <v>0.01</v>
      </c>
      <c r="AS106" s="354">
        <v>0.0</v>
      </c>
      <c r="AT106" s="354">
        <v>0.0</v>
      </c>
      <c r="AU106" s="354">
        <v>0.0</v>
      </c>
      <c r="AV106" s="354">
        <v>0.0</v>
      </c>
      <c r="AW106" s="354">
        <v>0.0</v>
      </c>
      <c r="AX106" s="354">
        <v>0.0</v>
      </c>
      <c r="AY106" s="354">
        <v>0.005</v>
      </c>
      <c r="AZ106" s="354">
        <v>0.0</v>
      </c>
      <c r="BA106" s="354">
        <v>0.0</v>
      </c>
      <c r="BB106" s="354">
        <v>0.0</v>
      </c>
      <c r="BC106" s="354">
        <v>0.0</v>
      </c>
      <c r="BD106" s="354">
        <v>0.0</v>
      </c>
      <c r="BE106" s="354">
        <v>0.0</v>
      </c>
      <c r="BF106" s="354">
        <v>0.0</v>
      </c>
      <c r="BG106" s="354">
        <v>0.0</v>
      </c>
      <c r="BH106" s="354">
        <v>0.0</v>
      </c>
      <c r="BI106" s="354">
        <v>0.0</v>
      </c>
      <c r="BJ106" s="354">
        <v>0.0</v>
      </c>
      <c r="BK106" s="354">
        <v>0.05</v>
      </c>
      <c r="BL106" s="354">
        <v>0.05</v>
      </c>
      <c r="BM106" s="354">
        <v>0.0</v>
      </c>
      <c r="BN106" s="354">
        <v>0.0</v>
      </c>
      <c r="BO106" s="354">
        <v>0.0</v>
      </c>
      <c r="BP106" s="354">
        <v>0.0</v>
      </c>
      <c r="BQ106" s="354">
        <v>0.0</v>
      </c>
      <c r="BR106" s="354">
        <v>0.0</v>
      </c>
      <c r="BS106" s="354">
        <v>0.0</v>
      </c>
      <c r="BT106" s="354">
        <v>0.0</v>
      </c>
      <c r="BU106" s="354">
        <v>0.0</v>
      </c>
      <c r="BV106" s="354">
        <v>0.0</v>
      </c>
      <c r="BW106" s="354">
        <v>0.0</v>
      </c>
      <c r="BX106" s="354">
        <v>0.0</v>
      </c>
      <c r="BY106" s="354">
        <v>0.0</v>
      </c>
      <c r="BZ106" s="354">
        <v>0.0</v>
      </c>
      <c r="CA106" s="354">
        <v>0.0</v>
      </c>
      <c r="CB106" s="354">
        <v>0.0</v>
      </c>
      <c r="CC106" s="354">
        <v>0.0</v>
      </c>
      <c r="CD106" s="354">
        <v>0.0</v>
      </c>
      <c r="CE106" s="354">
        <v>0.0</v>
      </c>
      <c r="CF106" s="354">
        <v>0.0</v>
      </c>
      <c r="CG106" s="354">
        <v>0.0</v>
      </c>
      <c r="CH106" s="354">
        <v>0.0</v>
      </c>
      <c r="CI106" s="1"/>
      <c r="CJ106" s="1"/>
      <c r="CK106" s="1"/>
      <c r="CL106" s="1"/>
      <c r="CM106" s="1"/>
      <c r="CN106" s="1"/>
      <c r="CO106" s="1"/>
      <c r="CP106" s="1"/>
    </row>
    <row r="107" ht="15.75" customHeight="1">
      <c r="A107" s="1" t="s">
        <v>89</v>
      </c>
      <c r="B107" s="123"/>
      <c r="C107" s="123"/>
      <c r="D107" s="317">
        <f t="shared" ref="D107:Y107" si="111">D99/C99-1</f>
        <v>0.2758488237</v>
      </c>
      <c r="E107" s="317">
        <f t="shared" si="111"/>
        <v>-0.2505322409</v>
      </c>
      <c r="F107" s="317">
        <f t="shared" si="111"/>
        <v>0.7054097579</v>
      </c>
      <c r="G107" s="317">
        <f t="shared" si="111"/>
        <v>-0.2788046782</v>
      </c>
      <c r="H107" s="317">
        <f t="shared" si="111"/>
        <v>-0.2475803324</v>
      </c>
      <c r="I107" s="317">
        <f t="shared" si="111"/>
        <v>0.4115123305</v>
      </c>
      <c r="J107" s="317">
        <f t="shared" si="111"/>
        <v>-0.3647778537</v>
      </c>
      <c r="K107" s="317">
        <f t="shared" si="111"/>
        <v>0.5480362747</v>
      </c>
      <c r="L107" s="317">
        <f t="shared" si="111"/>
        <v>-0.4411473982</v>
      </c>
      <c r="M107" s="317">
        <f t="shared" si="111"/>
        <v>1.225903479</v>
      </c>
      <c r="N107" s="317">
        <f t="shared" si="111"/>
        <v>-0.4270447296</v>
      </c>
      <c r="O107" s="317">
        <f t="shared" si="111"/>
        <v>-0.1831256293</v>
      </c>
      <c r="P107" s="355">
        <f t="shared" si="111"/>
        <v>0.5800736662</v>
      </c>
      <c r="Q107" s="317">
        <f t="shared" si="111"/>
        <v>0.3118181984</v>
      </c>
      <c r="R107" s="317">
        <f t="shared" si="111"/>
        <v>-0.01766819609</v>
      </c>
      <c r="S107" s="317">
        <f t="shared" si="111"/>
        <v>-0.7440625788</v>
      </c>
      <c r="T107" s="317">
        <f t="shared" si="111"/>
        <v>3.285517076</v>
      </c>
      <c r="U107" s="317">
        <f t="shared" si="111"/>
        <v>-0.3600674312</v>
      </c>
      <c r="V107" s="317">
        <f t="shared" si="111"/>
        <v>-0.24967197</v>
      </c>
      <c r="W107" s="317">
        <f t="shared" si="111"/>
        <v>0.7570340488</v>
      </c>
      <c r="X107" s="317">
        <f t="shared" si="111"/>
        <v>-0.3171433881</v>
      </c>
      <c r="Y107" s="317">
        <f t="shared" si="111"/>
        <v>0.2122118055</v>
      </c>
      <c r="Z107" s="352">
        <v>0.0</v>
      </c>
      <c r="AA107" s="353">
        <v>0.02</v>
      </c>
      <c r="AB107" s="354">
        <v>0.0</v>
      </c>
      <c r="AC107" s="354">
        <v>0.0</v>
      </c>
      <c r="AD107" s="354">
        <v>0.0</v>
      </c>
      <c r="AE107" s="354">
        <v>0.0</v>
      </c>
      <c r="AF107" s="353">
        <v>0.03</v>
      </c>
      <c r="AG107" s="354">
        <v>0.0</v>
      </c>
      <c r="AH107" s="354">
        <v>0.0</v>
      </c>
      <c r="AI107" s="354">
        <v>0.0</v>
      </c>
      <c r="AJ107" s="354">
        <v>0.0</v>
      </c>
      <c r="AK107" s="354">
        <v>0.0</v>
      </c>
      <c r="AL107" s="354">
        <v>0.0</v>
      </c>
      <c r="AM107" s="354">
        <v>0.04</v>
      </c>
      <c r="AN107" s="354">
        <v>0.0</v>
      </c>
      <c r="AO107" s="354">
        <v>0.0</v>
      </c>
      <c r="AP107" s="354">
        <v>0.0</v>
      </c>
      <c r="AQ107" s="354">
        <v>0.0</v>
      </c>
      <c r="AR107" s="354">
        <v>0.01</v>
      </c>
      <c r="AS107" s="354">
        <v>0.0</v>
      </c>
      <c r="AT107" s="354">
        <v>0.0</v>
      </c>
      <c r="AU107" s="354">
        <v>0.0</v>
      </c>
      <c r="AV107" s="354">
        <v>0.0</v>
      </c>
      <c r="AW107" s="354">
        <v>0.0</v>
      </c>
      <c r="AX107" s="354">
        <v>0.0</v>
      </c>
      <c r="AY107" s="354">
        <v>0.03</v>
      </c>
      <c r="AZ107" s="354">
        <v>0.0</v>
      </c>
      <c r="BA107" s="354">
        <v>0.0</v>
      </c>
      <c r="BB107" s="354">
        <v>0.0</v>
      </c>
      <c r="BC107" s="354">
        <v>0.0</v>
      </c>
      <c r="BD107" s="354">
        <v>0.0</v>
      </c>
      <c r="BE107" s="354">
        <v>0.0</v>
      </c>
      <c r="BF107" s="354">
        <v>0.0</v>
      </c>
      <c r="BG107" s="354">
        <v>0.0</v>
      </c>
      <c r="BH107" s="354">
        <v>0.0</v>
      </c>
      <c r="BI107" s="354">
        <v>0.0</v>
      </c>
      <c r="BJ107" s="354">
        <v>0.0</v>
      </c>
      <c r="BK107" s="354">
        <v>0.05</v>
      </c>
      <c r="BL107" s="354">
        <v>0.05</v>
      </c>
      <c r="BM107" s="354">
        <v>0.0</v>
      </c>
      <c r="BN107" s="354">
        <v>0.0</v>
      </c>
      <c r="BO107" s="354">
        <v>0.0</v>
      </c>
      <c r="BP107" s="354">
        <v>0.0</v>
      </c>
      <c r="BQ107" s="354">
        <v>0.0</v>
      </c>
      <c r="BR107" s="354">
        <v>0.0</v>
      </c>
      <c r="BS107" s="354">
        <v>0.0</v>
      </c>
      <c r="BT107" s="354">
        <v>0.0</v>
      </c>
      <c r="BU107" s="354">
        <v>0.0</v>
      </c>
      <c r="BV107" s="354">
        <v>0.0</v>
      </c>
      <c r="BW107" s="354">
        <v>0.0</v>
      </c>
      <c r="BX107" s="354">
        <v>0.0</v>
      </c>
      <c r="BY107" s="354">
        <v>0.0</v>
      </c>
      <c r="BZ107" s="354">
        <v>0.0</v>
      </c>
      <c r="CA107" s="354">
        <v>0.0</v>
      </c>
      <c r="CB107" s="354">
        <v>0.0</v>
      </c>
      <c r="CC107" s="354">
        <v>0.0</v>
      </c>
      <c r="CD107" s="354">
        <v>0.0</v>
      </c>
      <c r="CE107" s="354">
        <v>0.0</v>
      </c>
      <c r="CF107" s="354">
        <v>0.0</v>
      </c>
      <c r="CG107" s="354">
        <v>0.0</v>
      </c>
      <c r="CH107" s="354">
        <v>0.0</v>
      </c>
      <c r="CI107" s="1"/>
      <c r="CJ107" s="1"/>
      <c r="CK107" s="1"/>
      <c r="CL107" s="1"/>
      <c r="CM107" s="1"/>
      <c r="CN107" s="1"/>
      <c r="CO107" s="1"/>
      <c r="CP107" s="1"/>
    </row>
    <row r="108" ht="15.75" customHeight="1">
      <c r="A108" s="1" t="s">
        <v>94</v>
      </c>
      <c r="B108" s="123"/>
      <c r="C108" s="123"/>
      <c r="D108" s="355">
        <f t="shared" ref="D108:Y108" si="112">D100/C100-1</f>
        <v>-0.07518100454</v>
      </c>
      <c r="E108" s="355">
        <f t="shared" si="112"/>
        <v>0.2944158374</v>
      </c>
      <c r="F108" s="355">
        <f t="shared" si="112"/>
        <v>-0.5960372906</v>
      </c>
      <c r="G108" s="355">
        <f t="shared" si="112"/>
        <v>0.9699558811</v>
      </c>
      <c r="H108" s="355">
        <f t="shared" si="112"/>
        <v>0.2031086334</v>
      </c>
      <c r="I108" s="355">
        <f t="shared" si="112"/>
        <v>-0.6968670675</v>
      </c>
      <c r="J108" s="355">
        <f t="shared" si="112"/>
        <v>1.535475293</v>
      </c>
      <c r="K108" s="355">
        <f t="shared" si="112"/>
        <v>-0.207319829</v>
      </c>
      <c r="L108" s="355">
        <f t="shared" si="112"/>
        <v>-0.449144954</v>
      </c>
      <c r="M108" s="355">
        <f t="shared" si="112"/>
        <v>0.9546377389</v>
      </c>
      <c r="N108" s="317">
        <f t="shared" si="112"/>
        <v>0.334164961</v>
      </c>
      <c r="O108" s="317">
        <f t="shared" si="112"/>
        <v>-0.2988507794</v>
      </c>
      <c r="P108" s="317">
        <f t="shared" si="112"/>
        <v>-0.1559041461</v>
      </c>
      <c r="Q108" s="317">
        <f t="shared" si="112"/>
        <v>0.1030861358</v>
      </c>
      <c r="R108" s="317">
        <f t="shared" si="112"/>
        <v>0.54237123</v>
      </c>
      <c r="S108" s="317">
        <f t="shared" si="112"/>
        <v>0.1573701153</v>
      </c>
      <c r="T108" s="317">
        <f t="shared" si="112"/>
        <v>-0.1609319364</v>
      </c>
      <c r="U108" s="317">
        <f t="shared" si="112"/>
        <v>-0.2209834496</v>
      </c>
      <c r="V108" s="317">
        <f t="shared" si="112"/>
        <v>-0.3798228504</v>
      </c>
      <c r="W108" s="317">
        <f t="shared" si="112"/>
        <v>0.7231562961</v>
      </c>
      <c r="X108" s="317">
        <f t="shared" si="112"/>
        <v>-0.5484676497</v>
      </c>
      <c r="Y108" s="317">
        <f t="shared" si="112"/>
        <v>1.482782488</v>
      </c>
      <c r="Z108" s="352">
        <v>0.0</v>
      </c>
      <c r="AA108" s="353">
        <v>0.02</v>
      </c>
      <c r="AB108" s="354">
        <v>0.0</v>
      </c>
      <c r="AC108" s="354">
        <v>0.0</v>
      </c>
      <c r="AD108" s="354">
        <v>0.0</v>
      </c>
      <c r="AE108" s="354">
        <v>0.0</v>
      </c>
      <c r="AF108" s="353">
        <v>0.02</v>
      </c>
      <c r="AG108" s="354">
        <v>0.0</v>
      </c>
      <c r="AH108" s="354">
        <v>0.0</v>
      </c>
      <c r="AI108" s="354">
        <v>0.0</v>
      </c>
      <c r="AJ108" s="354">
        <v>0.0</v>
      </c>
      <c r="AK108" s="354">
        <v>0.0</v>
      </c>
      <c r="AL108" s="354">
        <v>0.0</v>
      </c>
      <c r="AM108" s="354">
        <v>0.01</v>
      </c>
      <c r="AN108" s="354">
        <v>0.0</v>
      </c>
      <c r="AO108" s="354">
        <v>0.0</v>
      </c>
      <c r="AP108" s="354">
        <v>0.0</v>
      </c>
      <c r="AQ108" s="354">
        <v>0.0</v>
      </c>
      <c r="AR108" s="354">
        <v>0.01</v>
      </c>
      <c r="AS108" s="354">
        <v>0.0</v>
      </c>
      <c r="AT108" s="354">
        <v>0.0</v>
      </c>
      <c r="AU108" s="354">
        <v>0.0</v>
      </c>
      <c r="AV108" s="354">
        <v>0.0</v>
      </c>
      <c r="AW108" s="354">
        <v>0.0</v>
      </c>
      <c r="AX108" s="354">
        <v>0.0</v>
      </c>
      <c r="AY108" s="354">
        <v>0.03</v>
      </c>
      <c r="AZ108" s="354">
        <v>0.0</v>
      </c>
      <c r="BA108" s="354">
        <v>0.0</v>
      </c>
      <c r="BB108" s="354">
        <v>0.0</v>
      </c>
      <c r="BC108" s="354">
        <v>0.0</v>
      </c>
      <c r="BD108" s="354">
        <v>0.0</v>
      </c>
      <c r="BE108" s="354">
        <v>0.0</v>
      </c>
      <c r="BF108" s="354">
        <v>0.0</v>
      </c>
      <c r="BG108" s="354">
        <v>0.0</v>
      </c>
      <c r="BH108" s="354">
        <v>0.0</v>
      </c>
      <c r="BI108" s="354">
        <v>0.0</v>
      </c>
      <c r="BJ108" s="354">
        <v>0.0</v>
      </c>
      <c r="BK108" s="354">
        <v>0.05</v>
      </c>
      <c r="BL108" s="354">
        <v>0.05</v>
      </c>
      <c r="BM108" s="354">
        <v>0.0</v>
      </c>
      <c r="BN108" s="354">
        <v>0.0</v>
      </c>
      <c r="BO108" s="354">
        <v>0.0</v>
      </c>
      <c r="BP108" s="354">
        <v>0.0</v>
      </c>
      <c r="BQ108" s="354">
        <v>0.0</v>
      </c>
      <c r="BR108" s="354">
        <v>0.0</v>
      </c>
      <c r="BS108" s="354">
        <v>0.0</v>
      </c>
      <c r="BT108" s="354">
        <v>0.0</v>
      </c>
      <c r="BU108" s="354">
        <v>0.0</v>
      </c>
      <c r="BV108" s="354">
        <v>0.0</v>
      </c>
      <c r="BW108" s="354">
        <v>0.0</v>
      </c>
      <c r="BX108" s="354">
        <v>0.0</v>
      </c>
      <c r="BY108" s="354">
        <v>0.0</v>
      </c>
      <c r="BZ108" s="354">
        <v>0.0</v>
      </c>
      <c r="CA108" s="354">
        <v>0.0</v>
      </c>
      <c r="CB108" s="354">
        <v>0.0</v>
      </c>
      <c r="CC108" s="354">
        <v>0.0</v>
      </c>
      <c r="CD108" s="354">
        <v>0.0</v>
      </c>
      <c r="CE108" s="354">
        <v>0.0</v>
      </c>
      <c r="CF108" s="354">
        <v>0.0</v>
      </c>
      <c r="CG108" s="354">
        <v>0.0</v>
      </c>
      <c r="CH108" s="354">
        <v>0.0</v>
      </c>
      <c r="CI108" s="1"/>
      <c r="CJ108" s="1"/>
      <c r="CK108" s="1"/>
      <c r="CL108" s="1"/>
      <c r="CM108" s="1"/>
      <c r="CN108" s="1"/>
      <c r="CO108" s="1"/>
      <c r="CP108" s="1"/>
    </row>
    <row r="109" ht="15.75" customHeight="1">
      <c r="A109" s="1" t="s">
        <v>96</v>
      </c>
      <c r="B109" s="123"/>
      <c r="C109" s="123"/>
      <c r="D109" s="355">
        <f t="shared" ref="D109:Y109" si="113">D101/C101-1</f>
        <v>2.113920111</v>
      </c>
      <c r="E109" s="355">
        <f t="shared" si="113"/>
        <v>-0.5122303041</v>
      </c>
      <c r="F109" s="355">
        <f t="shared" si="113"/>
        <v>1.244959832</v>
      </c>
      <c r="G109" s="355">
        <f t="shared" si="113"/>
        <v>-0.6351740176</v>
      </c>
      <c r="H109" s="355">
        <f t="shared" si="113"/>
        <v>1.445816085</v>
      </c>
      <c r="I109" s="355">
        <f t="shared" si="113"/>
        <v>-0.765973622</v>
      </c>
      <c r="J109" s="355">
        <f t="shared" si="113"/>
        <v>0.04301523912</v>
      </c>
      <c r="K109" s="355">
        <f t="shared" si="113"/>
        <v>3.109789317</v>
      </c>
      <c r="L109" s="355">
        <f t="shared" si="113"/>
        <v>-0.6366516414</v>
      </c>
      <c r="M109" s="317">
        <f t="shared" si="113"/>
        <v>0.6183068317</v>
      </c>
      <c r="N109" s="317">
        <f t="shared" si="113"/>
        <v>0.2916960622</v>
      </c>
      <c r="O109" s="317">
        <f t="shared" si="113"/>
        <v>-0.5063542579</v>
      </c>
      <c r="P109" s="355">
        <f t="shared" si="113"/>
        <v>1.31616229</v>
      </c>
      <c r="Q109" s="317">
        <f t="shared" si="113"/>
        <v>-0.4231608837</v>
      </c>
      <c r="R109" s="317">
        <f t="shared" si="113"/>
        <v>-0.2322902402</v>
      </c>
      <c r="S109" s="317">
        <f t="shared" si="113"/>
        <v>-0.2329669403</v>
      </c>
      <c r="T109" s="317">
        <f t="shared" si="113"/>
        <v>0.3298005232</v>
      </c>
      <c r="U109" s="317">
        <f t="shared" si="113"/>
        <v>1.805466114</v>
      </c>
      <c r="V109" s="317">
        <f t="shared" si="113"/>
        <v>-0.3879070708</v>
      </c>
      <c r="W109" s="317">
        <f t="shared" si="113"/>
        <v>0.6528645547</v>
      </c>
      <c r="X109" s="317">
        <f t="shared" si="113"/>
        <v>-0.5838389726</v>
      </c>
      <c r="Y109" s="317">
        <f t="shared" si="113"/>
        <v>0.9946981444</v>
      </c>
      <c r="Z109" s="352">
        <v>0.0</v>
      </c>
      <c r="AA109" s="352">
        <v>0.0</v>
      </c>
      <c r="AB109" s="352">
        <v>0.0</v>
      </c>
      <c r="AC109" s="352">
        <v>0.0</v>
      </c>
      <c r="AD109" s="352">
        <v>0.0</v>
      </c>
      <c r="AE109" s="352">
        <v>0.0</v>
      </c>
      <c r="AF109" s="352">
        <v>0.0</v>
      </c>
      <c r="AG109" s="354">
        <v>0.0</v>
      </c>
      <c r="AH109" s="354">
        <v>0.0</v>
      </c>
      <c r="AI109" s="354">
        <v>0.0</v>
      </c>
      <c r="AJ109" s="354">
        <v>0.0</v>
      </c>
      <c r="AK109" s="354">
        <v>0.0</v>
      </c>
      <c r="AL109" s="354">
        <v>0.0</v>
      </c>
      <c r="AM109" s="352">
        <f>AL109</f>
        <v>0</v>
      </c>
      <c r="AN109" s="354">
        <v>0.0</v>
      </c>
      <c r="AO109" s="354">
        <v>0.0</v>
      </c>
      <c r="AP109" s="354">
        <v>0.0</v>
      </c>
      <c r="AQ109" s="354">
        <v>0.0</v>
      </c>
      <c r="AR109" s="354">
        <v>0.0</v>
      </c>
      <c r="AS109" s="354">
        <v>0.0</v>
      </c>
      <c r="AT109" s="354">
        <v>0.0</v>
      </c>
      <c r="AU109" s="354">
        <v>0.0</v>
      </c>
      <c r="AV109" s="354">
        <v>0.0</v>
      </c>
      <c r="AW109" s="354">
        <v>0.0</v>
      </c>
      <c r="AX109" s="352">
        <f t="shared" ref="AX109:CH109" si="114">AW109</f>
        <v>0</v>
      </c>
      <c r="AY109" s="352">
        <f t="shared" si="114"/>
        <v>0</v>
      </c>
      <c r="AZ109" s="352">
        <f t="shared" si="114"/>
        <v>0</v>
      </c>
      <c r="BA109" s="352">
        <f t="shared" si="114"/>
        <v>0</v>
      </c>
      <c r="BB109" s="352">
        <f t="shared" si="114"/>
        <v>0</v>
      </c>
      <c r="BC109" s="352">
        <f t="shared" si="114"/>
        <v>0</v>
      </c>
      <c r="BD109" s="352">
        <f t="shared" si="114"/>
        <v>0</v>
      </c>
      <c r="BE109" s="352">
        <f t="shared" si="114"/>
        <v>0</v>
      </c>
      <c r="BF109" s="352">
        <f t="shared" si="114"/>
        <v>0</v>
      </c>
      <c r="BG109" s="352">
        <f t="shared" si="114"/>
        <v>0</v>
      </c>
      <c r="BH109" s="352">
        <f t="shared" si="114"/>
        <v>0</v>
      </c>
      <c r="BI109" s="352">
        <f t="shared" si="114"/>
        <v>0</v>
      </c>
      <c r="BJ109" s="352">
        <f t="shared" si="114"/>
        <v>0</v>
      </c>
      <c r="BK109" s="352">
        <f t="shared" si="114"/>
        <v>0</v>
      </c>
      <c r="BL109" s="352">
        <f t="shared" si="114"/>
        <v>0</v>
      </c>
      <c r="BM109" s="352">
        <f t="shared" si="114"/>
        <v>0</v>
      </c>
      <c r="BN109" s="352">
        <f t="shared" si="114"/>
        <v>0</v>
      </c>
      <c r="BO109" s="352">
        <f t="shared" si="114"/>
        <v>0</v>
      </c>
      <c r="BP109" s="352">
        <f t="shared" si="114"/>
        <v>0</v>
      </c>
      <c r="BQ109" s="352">
        <f t="shared" si="114"/>
        <v>0</v>
      </c>
      <c r="BR109" s="352">
        <f t="shared" si="114"/>
        <v>0</v>
      </c>
      <c r="BS109" s="352">
        <f t="shared" si="114"/>
        <v>0</v>
      </c>
      <c r="BT109" s="352">
        <f t="shared" si="114"/>
        <v>0</v>
      </c>
      <c r="BU109" s="352">
        <f t="shared" si="114"/>
        <v>0</v>
      </c>
      <c r="BV109" s="352">
        <f t="shared" si="114"/>
        <v>0</v>
      </c>
      <c r="BW109" s="352">
        <f t="shared" si="114"/>
        <v>0</v>
      </c>
      <c r="BX109" s="352">
        <f t="shared" si="114"/>
        <v>0</v>
      </c>
      <c r="BY109" s="352">
        <f t="shared" si="114"/>
        <v>0</v>
      </c>
      <c r="BZ109" s="352">
        <f t="shared" si="114"/>
        <v>0</v>
      </c>
      <c r="CA109" s="352">
        <f t="shared" si="114"/>
        <v>0</v>
      </c>
      <c r="CB109" s="352">
        <f t="shared" si="114"/>
        <v>0</v>
      </c>
      <c r="CC109" s="352">
        <f t="shared" si="114"/>
        <v>0</v>
      </c>
      <c r="CD109" s="352">
        <f t="shared" si="114"/>
        <v>0</v>
      </c>
      <c r="CE109" s="352">
        <f t="shared" si="114"/>
        <v>0</v>
      </c>
      <c r="CF109" s="352">
        <f t="shared" si="114"/>
        <v>0</v>
      </c>
      <c r="CG109" s="352">
        <f t="shared" si="114"/>
        <v>0</v>
      </c>
      <c r="CH109" s="352">
        <f t="shared" si="114"/>
        <v>0</v>
      </c>
      <c r="CI109" s="1"/>
      <c r="CJ109" s="1"/>
      <c r="CK109" s="1"/>
      <c r="CL109" s="1"/>
      <c r="CM109" s="1"/>
      <c r="CN109" s="1"/>
      <c r="CO109" s="1"/>
      <c r="CP109" s="1"/>
    </row>
    <row r="110" ht="15.75" customHeight="1">
      <c r="A110" s="119" t="s">
        <v>605</v>
      </c>
      <c r="B110" s="124"/>
      <c r="C110" s="124"/>
      <c r="D110" s="319">
        <f t="shared" ref="D110:Q110" si="115">D102/C102-1</f>
        <v>-0.08705696595</v>
      </c>
      <c r="E110" s="319">
        <f t="shared" si="115"/>
        <v>-0.01990943201</v>
      </c>
      <c r="F110" s="319">
        <f t="shared" si="115"/>
        <v>-0.1169863817</v>
      </c>
      <c r="G110" s="319">
        <f t="shared" si="115"/>
        <v>0.05533000895</v>
      </c>
      <c r="H110" s="319">
        <f t="shared" si="115"/>
        <v>0.203250179</v>
      </c>
      <c r="I110" s="319">
        <f t="shared" si="115"/>
        <v>-0.255613863</v>
      </c>
      <c r="J110" s="319">
        <f t="shared" si="115"/>
        <v>-0.02819297598</v>
      </c>
      <c r="K110" s="319">
        <f t="shared" si="115"/>
        <v>-0.03957945575</v>
      </c>
      <c r="L110" s="319">
        <f t="shared" si="115"/>
        <v>0.02057934887</v>
      </c>
      <c r="M110" s="319">
        <f t="shared" si="115"/>
        <v>0.2319273074</v>
      </c>
      <c r="N110" s="319">
        <f t="shared" si="115"/>
        <v>0.09579458022</v>
      </c>
      <c r="O110" s="319">
        <f t="shared" si="115"/>
        <v>-0.2287908365</v>
      </c>
      <c r="P110" s="319">
        <f t="shared" si="115"/>
        <v>0.2764561313</v>
      </c>
      <c r="Q110" s="319">
        <f t="shared" si="115"/>
        <v>0.1038389624</v>
      </c>
      <c r="R110" s="319">
        <v>0.0</v>
      </c>
      <c r="S110" s="319">
        <v>0.0</v>
      </c>
      <c r="T110" s="319">
        <f t="shared" ref="T110:CH110" si="116">T102/S102-1</f>
        <v>0.4746296786</v>
      </c>
      <c r="U110" s="319">
        <f t="shared" si="116"/>
        <v>-0.06978300788</v>
      </c>
      <c r="V110" s="319">
        <f t="shared" si="116"/>
        <v>-0.1446124605</v>
      </c>
      <c r="W110" s="319">
        <f t="shared" si="116"/>
        <v>0.5391306887</v>
      </c>
      <c r="X110" s="319">
        <f t="shared" si="116"/>
        <v>-0.4442032327</v>
      </c>
      <c r="Y110" s="319">
        <f t="shared" si="116"/>
        <v>0.4668930718</v>
      </c>
      <c r="Z110" s="319">
        <f t="shared" si="116"/>
        <v>-0.6878139947</v>
      </c>
      <c r="AA110" s="319">
        <f t="shared" si="116"/>
        <v>0.01675877157</v>
      </c>
      <c r="AB110" s="319">
        <f t="shared" si="116"/>
        <v>0</v>
      </c>
      <c r="AC110" s="319">
        <f t="shared" si="116"/>
        <v>0</v>
      </c>
      <c r="AD110" s="319">
        <f t="shared" si="116"/>
        <v>0</v>
      </c>
      <c r="AE110" s="319">
        <f t="shared" si="116"/>
        <v>0</v>
      </c>
      <c r="AF110" s="319">
        <f t="shared" si="116"/>
        <v>0.01717799586</v>
      </c>
      <c r="AG110" s="319">
        <f t="shared" si="116"/>
        <v>0</v>
      </c>
      <c r="AH110" s="319">
        <f t="shared" si="116"/>
        <v>0</v>
      </c>
      <c r="AI110" s="319">
        <f t="shared" si="116"/>
        <v>0</v>
      </c>
      <c r="AJ110" s="319">
        <f t="shared" si="116"/>
        <v>0.000546774504</v>
      </c>
      <c r="AK110" s="319">
        <f t="shared" si="116"/>
        <v>0</v>
      </c>
      <c r="AL110" s="319">
        <f t="shared" si="116"/>
        <v>0</v>
      </c>
      <c r="AM110" s="319">
        <f t="shared" si="116"/>
        <v>0.00717395268</v>
      </c>
      <c r="AN110" s="319">
        <f t="shared" si="116"/>
        <v>-0.05868114986</v>
      </c>
      <c r="AO110" s="319">
        <f t="shared" si="116"/>
        <v>-0.01794489755</v>
      </c>
      <c r="AP110" s="319">
        <f t="shared" si="116"/>
        <v>-0.00001011270095</v>
      </c>
      <c r="AQ110" s="319">
        <f t="shared" si="116"/>
        <v>-0.00001008444664</v>
      </c>
      <c r="AR110" s="319">
        <f t="shared" si="116"/>
        <v>0.005650836089</v>
      </c>
      <c r="AS110" s="319">
        <f t="shared" si="116"/>
        <v>-0.000003893259861</v>
      </c>
      <c r="AT110" s="319">
        <f t="shared" si="116"/>
        <v>-0.000003882259642</v>
      </c>
      <c r="AU110" s="319">
        <f t="shared" si="116"/>
        <v>-0.000003871257896</v>
      </c>
      <c r="AV110" s="319">
        <f t="shared" si="116"/>
        <v>-0.000003860254905</v>
      </c>
      <c r="AW110" s="319">
        <f t="shared" si="116"/>
        <v>-0.000003849250948</v>
      </c>
      <c r="AX110" s="319">
        <f t="shared" si="116"/>
        <v>-0.000003838246304</v>
      </c>
      <c r="AY110" s="319">
        <f t="shared" si="116"/>
        <v>0.005711384617</v>
      </c>
      <c r="AZ110" s="319">
        <f t="shared" si="116"/>
        <v>0.000004333602209</v>
      </c>
      <c r="BA110" s="319">
        <f t="shared" si="116"/>
        <v>0.000002162775696</v>
      </c>
      <c r="BB110" s="319">
        <f t="shared" si="116"/>
        <v>0.000002156490489</v>
      </c>
      <c r="BC110" s="319">
        <f t="shared" si="116"/>
        <v>0.000002150205936</v>
      </c>
      <c r="BD110" s="319">
        <f t="shared" si="116"/>
        <v>0.000002143922188</v>
      </c>
      <c r="BE110" s="319">
        <f t="shared" si="116"/>
        <v>0.000002137639396</v>
      </c>
      <c r="BF110" s="319">
        <f t="shared" si="116"/>
        <v>0.000002131357711</v>
      </c>
      <c r="BG110" s="319">
        <f t="shared" si="116"/>
        <v>0.000002125077281</v>
      </c>
      <c r="BH110" s="319">
        <f t="shared" si="116"/>
        <v>0.000002118798256</v>
      </c>
      <c r="BI110" s="319">
        <f t="shared" si="116"/>
        <v>0.000002112520783</v>
      </c>
      <c r="BJ110" s="319">
        <f t="shared" si="116"/>
        <v>0.000002106245008</v>
      </c>
      <c r="BK110" s="319">
        <f t="shared" si="116"/>
        <v>0.02684735525</v>
      </c>
      <c r="BL110" s="319">
        <f t="shared" si="116"/>
        <v>0.02661637451</v>
      </c>
      <c r="BM110" s="319">
        <f t="shared" si="116"/>
        <v>0.00005548295841</v>
      </c>
      <c r="BN110" s="319">
        <f t="shared" si="116"/>
        <v>0.00005531844602</v>
      </c>
      <c r="BO110" s="319">
        <f t="shared" si="116"/>
        <v>0.00005515397933</v>
      </c>
      <c r="BP110" s="319">
        <f t="shared" si="116"/>
        <v>0.00005498956215</v>
      </c>
      <c r="BQ110" s="319">
        <f t="shared" si="116"/>
        <v>0.00005482519827</v>
      </c>
      <c r="BR110" s="319">
        <f t="shared" si="116"/>
        <v>0.00005466089143</v>
      </c>
      <c r="BS110" s="319">
        <f t="shared" si="116"/>
        <v>0.00005449664537</v>
      </c>
      <c r="BT110" s="319">
        <f t="shared" si="116"/>
        <v>0.00005433246381</v>
      </c>
      <c r="BU110" s="319">
        <f t="shared" si="116"/>
        <v>0.00005416835041</v>
      </c>
      <c r="BV110" s="319">
        <f t="shared" si="116"/>
        <v>0.00005400430885</v>
      </c>
      <c r="BW110" s="319">
        <f t="shared" si="116"/>
        <v>0.00005384034275</v>
      </c>
      <c r="BX110" s="319">
        <f t="shared" si="116"/>
        <v>-0.001171576725</v>
      </c>
      <c r="BY110" s="319">
        <f t="shared" si="116"/>
        <v>0.00005715029265</v>
      </c>
      <c r="BZ110" s="319">
        <f t="shared" si="116"/>
        <v>0.00005698553748</v>
      </c>
      <c r="CA110" s="319">
        <f t="shared" si="116"/>
        <v>0.00005682078809</v>
      </c>
      <c r="CB110" s="319">
        <f t="shared" si="116"/>
        <v>0.00005665604855</v>
      </c>
      <c r="CC110" s="319">
        <f t="shared" si="116"/>
        <v>0.00005649132288</v>
      </c>
      <c r="CD110" s="319">
        <f t="shared" si="116"/>
        <v>0.00005632661507</v>
      </c>
      <c r="CE110" s="319">
        <f t="shared" si="116"/>
        <v>0.00005616192913</v>
      </c>
      <c r="CF110" s="319">
        <f t="shared" si="116"/>
        <v>0.00005599726899</v>
      </c>
      <c r="CG110" s="319">
        <f t="shared" si="116"/>
        <v>0.00005583263859</v>
      </c>
      <c r="CH110" s="319">
        <f t="shared" si="116"/>
        <v>0.00005566804185</v>
      </c>
      <c r="CI110" s="1"/>
      <c r="CJ110" s="1"/>
      <c r="CK110" s="1"/>
      <c r="CL110" s="1"/>
      <c r="CM110" s="1"/>
      <c r="CN110" s="1"/>
      <c r="CO110" s="1"/>
      <c r="CP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row>
    <row r="112" ht="15.75" customHeight="1">
      <c r="A112" s="137" t="s">
        <v>129</v>
      </c>
      <c r="B112" s="356"/>
      <c r="C112" s="356">
        <v>605000.0</v>
      </c>
      <c r="D112" s="356">
        <v>761250.0</v>
      </c>
      <c r="E112" s="356">
        <v>801000.0</v>
      </c>
      <c r="F112" s="356">
        <v>612250.0</v>
      </c>
      <c r="G112" s="356">
        <v>245000.0</v>
      </c>
      <c r="H112" s="356">
        <v>804000.0</v>
      </c>
      <c r="I112" s="356">
        <v>432000.0</v>
      </c>
      <c r="J112" s="356">
        <v>1591750.0</v>
      </c>
      <c r="K112" s="356">
        <v>260000.0</v>
      </c>
      <c r="L112" s="356">
        <v>455000.0</v>
      </c>
      <c r="M112" s="356">
        <v>120000.0</v>
      </c>
      <c r="N112" s="356">
        <v>0.0</v>
      </c>
      <c r="O112" s="356">
        <f t="shared" ref="O112:CH112" si="117">O88*O96</f>
        <v>2397490</v>
      </c>
      <c r="P112" s="356">
        <f t="shared" si="117"/>
        <v>1034035</v>
      </c>
      <c r="Q112" s="356">
        <f t="shared" si="117"/>
        <v>1641135</v>
      </c>
      <c r="R112" s="356">
        <f t="shared" si="117"/>
        <v>2197765</v>
      </c>
      <c r="S112" s="356">
        <f t="shared" si="117"/>
        <v>745020</v>
      </c>
      <c r="T112" s="356">
        <f t="shared" si="117"/>
        <v>1491725</v>
      </c>
      <c r="U112" s="356">
        <f t="shared" si="117"/>
        <v>540505</v>
      </c>
      <c r="V112" s="356">
        <f t="shared" si="117"/>
        <v>1312950</v>
      </c>
      <c r="W112" s="356">
        <f t="shared" si="117"/>
        <v>2209010</v>
      </c>
      <c r="X112" s="356">
        <f t="shared" si="117"/>
        <v>2319155</v>
      </c>
      <c r="Y112" s="356">
        <f t="shared" si="117"/>
        <v>2291290</v>
      </c>
      <c r="Z112" s="356">
        <f t="shared" si="117"/>
        <v>618750</v>
      </c>
      <c r="AA112" s="356">
        <f t="shared" si="117"/>
        <v>757350</v>
      </c>
      <c r="AB112" s="356">
        <f t="shared" si="117"/>
        <v>833085</v>
      </c>
      <c r="AC112" s="356">
        <f t="shared" si="117"/>
        <v>833085</v>
      </c>
      <c r="AD112" s="356">
        <f t="shared" si="117"/>
        <v>833085</v>
      </c>
      <c r="AE112" s="356">
        <f t="shared" si="117"/>
        <v>833085</v>
      </c>
      <c r="AF112" s="356">
        <f t="shared" si="117"/>
        <v>849746.7</v>
      </c>
      <c r="AG112" s="356">
        <f t="shared" si="117"/>
        <v>849746.7</v>
      </c>
      <c r="AH112" s="356">
        <f t="shared" si="117"/>
        <v>849746.7</v>
      </c>
      <c r="AI112" s="356">
        <f t="shared" si="117"/>
        <v>849746.7</v>
      </c>
      <c r="AJ112" s="356">
        <f t="shared" si="117"/>
        <v>815756.832</v>
      </c>
      <c r="AK112" s="356">
        <f t="shared" si="117"/>
        <v>815756.832</v>
      </c>
      <c r="AL112" s="356">
        <f t="shared" si="117"/>
        <v>815756.832</v>
      </c>
      <c r="AM112" s="356">
        <f t="shared" si="117"/>
        <v>823934.7942</v>
      </c>
      <c r="AN112" s="356">
        <f t="shared" si="117"/>
        <v>576754.356</v>
      </c>
      <c r="AO112" s="356">
        <f t="shared" si="117"/>
        <v>547916.6382</v>
      </c>
      <c r="AP112" s="356">
        <f t="shared" si="117"/>
        <v>550656.2214</v>
      </c>
      <c r="AQ112" s="356">
        <f t="shared" si="117"/>
        <v>553409.5025</v>
      </c>
      <c r="AR112" s="356">
        <f t="shared" si="117"/>
        <v>558957.4327</v>
      </c>
      <c r="AS112" s="356">
        <f t="shared" si="117"/>
        <v>561752.2199</v>
      </c>
      <c r="AT112" s="356">
        <f t="shared" si="117"/>
        <v>564560.981</v>
      </c>
      <c r="AU112" s="356">
        <f t="shared" si="117"/>
        <v>567383.7859</v>
      </c>
      <c r="AV112" s="356">
        <f t="shared" si="117"/>
        <v>570220.7048</v>
      </c>
      <c r="AW112" s="356">
        <f t="shared" si="117"/>
        <v>573071.8084</v>
      </c>
      <c r="AX112" s="356">
        <f t="shared" si="117"/>
        <v>575937.1674</v>
      </c>
      <c r="AY112" s="356">
        <f t="shared" si="117"/>
        <v>581710.9375</v>
      </c>
      <c r="AZ112" s="356">
        <f t="shared" si="117"/>
        <v>587528.0469</v>
      </c>
      <c r="BA112" s="356">
        <f t="shared" si="117"/>
        <v>590465.6871</v>
      </c>
      <c r="BB112" s="356">
        <f t="shared" si="117"/>
        <v>593418.0155</v>
      </c>
      <c r="BC112" s="356">
        <f t="shared" si="117"/>
        <v>596385.1056</v>
      </c>
      <c r="BD112" s="356">
        <f t="shared" si="117"/>
        <v>599367.0311</v>
      </c>
      <c r="BE112" s="356">
        <f t="shared" si="117"/>
        <v>602363.8663</v>
      </c>
      <c r="BF112" s="356">
        <f t="shared" si="117"/>
        <v>605375.6856</v>
      </c>
      <c r="BG112" s="356">
        <f t="shared" si="117"/>
        <v>608402.5641</v>
      </c>
      <c r="BH112" s="356">
        <f t="shared" si="117"/>
        <v>611444.5769</v>
      </c>
      <c r="BI112" s="356">
        <f t="shared" si="117"/>
        <v>614501.7998</v>
      </c>
      <c r="BJ112" s="356">
        <f t="shared" si="117"/>
        <v>617574.3088</v>
      </c>
      <c r="BK112" s="356">
        <f t="shared" si="117"/>
        <v>633075.4239</v>
      </c>
      <c r="BL112" s="356">
        <f t="shared" si="117"/>
        <v>613450.0858</v>
      </c>
      <c r="BM112" s="356">
        <f t="shared" si="117"/>
        <v>616517.3362</v>
      </c>
      <c r="BN112" s="356">
        <f t="shared" si="117"/>
        <v>619599.9229</v>
      </c>
      <c r="BO112" s="356">
        <f t="shared" si="117"/>
        <v>622697.9225</v>
      </c>
      <c r="BP112" s="356">
        <f t="shared" si="117"/>
        <v>625811.4121</v>
      </c>
      <c r="BQ112" s="356">
        <f t="shared" si="117"/>
        <v>628940.4692</v>
      </c>
      <c r="BR112" s="356">
        <f t="shared" si="117"/>
        <v>632085.1715</v>
      </c>
      <c r="BS112" s="356">
        <f t="shared" si="117"/>
        <v>635245.5974</v>
      </c>
      <c r="BT112" s="356">
        <f t="shared" si="117"/>
        <v>638421.8254</v>
      </c>
      <c r="BU112" s="356">
        <f t="shared" si="117"/>
        <v>641613.9345</v>
      </c>
      <c r="BV112" s="356">
        <f t="shared" si="117"/>
        <v>644822.0042</v>
      </c>
      <c r="BW112" s="356">
        <f t="shared" si="117"/>
        <v>648046.1142</v>
      </c>
      <c r="BX112" s="356">
        <f t="shared" si="117"/>
        <v>583241.5028</v>
      </c>
      <c r="BY112" s="356">
        <f t="shared" si="117"/>
        <v>586157.7103</v>
      </c>
      <c r="BZ112" s="356">
        <f t="shared" si="117"/>
        <v>589088.4988</v>
      </c>
      <c r="CA112" s="356">
        <f t="shared" si="117"/>
        <v>592033.9413</v>
      </c>
      <c r="CB112" s="356">
        <f t="shared" si="117"/>
        <v>594994.111</v>
      </c>
      <c r="CC112" s="356">
        <f t="shared" si="117"/>
        <v>597969.0816</v>
      </c>
      <c r="CD112" s="356">
        <f t="shared" si="117"/>
        <v>600958.927</v>
      </c>
      <c r="CE112" s="356">
        <f t="shared" si="117"/>
        <v>603963.7216</v>
      </c>
      <c r="CF112" s="356">
        <f t="shared" si="117"/>
        <v>606983.5402</v>
      </c>
      <c r="CG112" s="356">
        <f t="shared" si="117"/>
        <v>610018.4579</v>
      </c>
      <c r="CH112" s="356">
        <f t="shared" si="117"/>
        <v>613068.5502</v>
      </c>
      <c r="CI112" s="1"/>
      <c r="CJ112" s="1"/>
      <c r="CK112" s="1"/>
      <c r="CL112" s="1"/>
      <c r="CM112" s="1"/>
      <c r="CN112" s="1"/>
      <c r="CO112" s="1"/>
      <c r="CP112" s="1"/>
    </row>
    <row r="113" ht="15.75" customHeight="1">
      <c r="A113" s="137" t="s">
        <v>85</v>
      </c>
      <c r="B113" s="356"/>
      <c r="C113" s="356">
        <v>0.0</v>
      </c>
      <c r="D113" s="356">
        <v>195000.0</v>
      </c>
      <c r="E113" s="356">
        <v>233000.0</v>
      </c>
      <c r="F113" s="356">
        <v>496500.0</v>
      </c>
      <c r="G113" s="356">
        <v>159250.0</v>
      </c>
      <c r="H113" s="356">
        <v>528250.0</v>
      </c>
      <c r="I113" s="356">
        <v>188500.0</v>
      </c>
      <c r="J113" s="356">
        <v>356750.0</v>
      </c>
      <c r="K113" s="356">
        <v>317500.0</v>
      </c>
      <c r="L113" s="356">
        <v>368500.0</v>
      </c>
      <c r="M113" s="356">
        <v>382500.0</v>
      </c>
      <c r="N113" s="356">
        <v>0.0</v>
      </c>
      <c r="O113" s="356">
        <f t="shared" ref="O113:CH113" si="118">O89*O97</f>
        <v>1198595</v>
      </c>
      <c r="P113" s="356">
        <f t="shared" si="118"/>
        <v>2096420</v>
      </c>
      <c r="Q113" s="356">
        <f t="shared" si="118"/>
        <v>2484555</v>
      </c>
      <c r="R113" s="356">
        <f t="shared" si="118"/>
        <v>1585445</v>
      </c>
      <c r="S113" s="356">
        <f t="shared" si="118"/>
        <v>1524720</v>
      </c>
      <c r="T113" s="356">
        <f t="shared" si="118"/>
        <v>2198705</v>
      </c>
      <c r="U113" s="356">
        <f t="shared" si="118"/>
        <v>2408270</v>
      </c>
      <c r="V113" s="356">
        <f t="shared" si="118"/>
        <v>1635010</v>
      </c>
      <c r="W113" s="356">
        <f t="shared" si="118"/>
        <v>1868495</v>
      </c>
      <c r="X113" s="356">
        <f t="shared" si="118"/>
        <v>649915</v>
      </c>
      <c r="Y113" s="356">
        <f t="shared" si="118"/>
        <v>1230220</v>
      </c>
      <c r="Z113" s="356">
        <f t="shared" si="118"/>
        <v>468750</v>
      </c>
      <c r="AA113" s="356">
        <f t="shared" si="118"/>
        <v>573750</v>
      </c>
      <c r="AB113" s="356">
        <f t="shared" si="118"/>
        <v>631125</v>
      </c>
      <c r="AC113" s="356">
        <f t="shared" si="118"/>
        <v>631125</v>
      </c>
      <c r="AD113" s="356">
        <f t="shared" si="118"/>
        <v>631125</v>
      </c>
      <c r="AE113" s="356">
        <f t="shared" si="118"/>
        <v>631125</v>
      </c>
      <c r="AF113" s="356">
        <f t="shared" si="118"/>
        <v>643747.5</v>
      </c>
      <c r="AG113" s="356">
        <f t="shared" si="118"/>
        <v>643747.5</v>
      </c>
      <c r="AH113" s="356">
        <f t="shared" si="118"/>
        <v>643747.5</v>
      </c>
      <c r="AI113" s="356">
        <f t="shared" si="118"/>
        <v>643747.5</v>
      </c>
      <c r="AJ113" s="356">
        <f t="shared" si="118"/>
        <v>611560.125</v>
      </c>
      <c r="AK113" s="356">
        <f t="shared" si="118"/>
        <v>611560.125</v>
      </c>
      <c r="AL113" s="356">
        <f t="shared" si="118"/>
        <v>611560.125</v>
      </c>
      <c r="AM113" s="356">
        <f t="shared" si="118"/>
        <v>617691.0153</v>
      </c>
      <c r="AN113" s="356">
        <f t="shared" si="118"/>
        <v>432383.7107</v>
      </c>
      <c r="AO113" s="356">
        <f t="shared" si="118"/>
        <v>410764.5251</v>
      </c>
      <c r="AP113" s="356">
        <f t="shared" si="118"/>
        <v>412818.3478</v>
      </c>
      <c r="AQ113" s="356">
        <f t="shared" si="118"/>
        <v>414882.4395</v>
      </c>
      <c r="AR113" s="356">
        <f t="shared" si="118"/>
        <v>419041.636</v>
      </c>
      <c r="AS113" s="356">
        <f t="shared" si="118"/>
        <v>421136.8441</v>
      </c>
      <c r="AT113" s="356">
        <f t="shared" si="118"/>
        <v>423242.5284</v>
      </c>
      <c r="AU113" s="356">
        <f t="shared" si="118"/>
        <v>425358.741</v>
      </c>
      <c r="AV113" s="356">
        <f t="shared" si="118"/>
        <v>427485.5347</v>
      </c>
      <c r="AW113" s="356">
        <f t="shared" si="118"/>
        <v>429622.9624</v>
      </c>
      <c r="AX113" s="356">
        <f t="shared" si="118"/>
        <v>431771.0772</v>
      </c>
      <c r="AY113" s="356">
        <f t="shared" si="118"/>
        <v>436099.5822</v>
      </c>
      <c r="AZ113" s="356">
        <f t="shared" si="118"/>
        <v>440460.5781</v>
      </c>
      <c r="BA113" s="356">
        <f t="shared" si="118"/>
        <v>442662.881</v>
      </c>
      <c r="BB113" s="356">
        <f t="shared" si="118"/>
        <v>444876.1954</v>
      </c>
      <c r="BC113" s="356">
        <f t="shared" si="118"/>
        <v>447100.5763</v>
      </c>
      <c r="BD113" s="356">
        <f t="shared" si="118"/>
        <v>449336.0792</v>
      </c>
      <c r="BE113" s="356">
        <f t="shared" si="118"/>
        <v>451582.7596</v>
      </c>
      <c r="BF113" s="356">
        <f t="shared" si="118"/>
        <v>453840.6734</v>
      </c>
      <c r="BG113" s="356">
        <f t="shared" si="118"/>
        <v>456109.8768</v>
      </c>
      <c r="BH113" s="356">
        <f t="shared" si="118"/>
        <v>458390.4262</v>
      </c>
      <c r="BI113" s="356">
        <f t="shared" si="118"/>
        <v>460682.3783</v>
      </c>
      <c r="BJ113" s="356">
        <f t="shared" si="118"/>
        <v>462985.7902</v>
      </c>
      <c r="BK113" s="356">
        <f t="shared" si="118"/>
        <v>474606.7335</v>
      </c>
      <c r="BL113" s="356">
        <f t="shared" si="118"/>
        <v>459893.9248</v>
      </c>
      <c r="BM113" s="356">
        <f t="shared" si="118"/>
        <v>462193.3944</v>
      </c>
      <c r="BN113" s="356">
        <f t="shared" si="118"/>
        <v>464504.3614</v>
      </c>
      <c r="BO113" s="356">
        <f t="shared" si="118"/>
        <v>466826.8832</v>
      </c>
      <c r="BP113" s="356">
        <f t="shared" si="118"/>
        <v>469161.0176</v>
      </c>
      <c r="BQ113" s="356">
        <f t="shared" si="118"/>
        <v>471506.8227</v>
      </c>
      <c r="BR113" s="356">
        <f t="shared" si="118"/>
        <v>473864.3568</v>
      </c>
      <c r="BS113" s="356">
        <f t="shared" si="118"/>
        <v>476233.6786</v>
      </c>
      <c r="BT113" s="356">
        <f t="shared" si="118"/>
        <v>478614.847</v>
      </c>
      <c r="BU113" s="356">
        <f t="shared" si="118"/>
        <v>481007.9212</v>
      </c>
      <c r="BV113" s="356">
        <f t="shared" si="118"/>
        <v>483412.9608</v>
      </c>
      <c r="BW113" s="356">
        <f t="shared" si="118"/>
        <v>485830.0256</v>
      </c>
      <c r="BX113" s="356">
        <f t="shared" si="118"/>
        <v>437247.0231</v>
      </c>
      <c r="BY113" s="356">
        <f t="shared" si="118"/>
        <v>439433.2582</v>
      </c>
      <c r="BZ113" s="356">
        <f t="shared" si="118"/>
        <v>441630.4245</v>
      </c>
      <c r="CA113" s="356">
        <f t="shared" si="118"/>
        <v>443838.5766</v>
      </c>
      <c r="CB113" s="356">
        <f t="shared" si="118"/>
        <v>446057.7695</v>
      </c>
      <c r="CC113" s="356">
        <f t="shared" si="118"/>
        <v>448288.0583</v>
      </c>
      <c r="CD113" s="356">
        <f t="shared" si="118"/>
        <v>450529.4986</v>
      </c>
      <c r="CE113" s="356">
        <f t="shared" si="118"/>
        <v>452782.1461</v>
      </c>
      <c r="CF113" s="356">
        <f t="shared" si="118"/>
        <v>455046.0568</v>
      </c>
      <c r="CG113" s="356">
        <f t="shared" si="118"/>
        <v>457321.2871</v>
      </c>
      <c r="CH113" s="356">
        <f t="shared" si="118"/>
        <v>459607.8936</v>
      </c>
      <c r="CI113" s="1"/>
      <c r="CJ113" s="1"/>
      <c r="CK113" s="1"/>
      <c r="CL113" s="1"/>
      <c r="CM113" s="1"/>
      <c r="CN113" s="1"/>
      <c r="CO113" s="1"/>
      <c r="CP113" s="1"/>
    </row>
    <row r="114" ht="15.75" customHeight="1">
      <c r="A114" s="137" t="s">
        <v>130</v>
      </c>
      <c r="B114" s="356"/>
      <c r="C114" s="356">
        <v>122000.0</v>
      </c>
      <c r="D114" s="356">
        <v>148000.0</v>
      </c>
      <c r="E114" s="356">
        <v>253500.0</v>
      </c>
      <c r="F114" s="356">
        <v>131500.0</v>
      </c>
      <c r="G114" s="356">
        <v>30000.0</v>
      </c>
      <c r="H114" s="356">
        <v>303750.0</v>
      </c>
      <c r="I114" s="356">
        <v>139500.0</v>
      </c>
      <c r="J114" s="356">
        <v>312000.0</v>
      </c>
      <c r="K114" s="356">
        <v>134000.0</v>
      </c>
      <c r="L114" s="356">
        <v>115000.0</v>
      </c>
      <c r="M114" s="356">
        <v>70000.0</v>
      </c>
      <c r="N114" s="356">
        <v>0.0</v>
      </c>
      <c r="O114" s="356">
        <f t="shared" ref="O114:R114" si="119">O90*O98</f>
        <v>1064095</v>
      </c>
      <c r="P114" s="356">
        <f t="shared" si="119"/>
        <v>2256250</v>
      </c>
      <c r="Q114" s="356">
        <f t="shared" si="119"/>
        <v>2466020</v>
      </c>
      <c r="R114" s="356">
        <f t="shared" si="119"/>
        <v>1422050</v>
      </c>
      <c r="S114" s="356">
        <v>345000.0</v>
      </c>
      <c r="T114" s="356">
        <f t="shared" ref="T114:CH114" si="120">T90*T98</f>
        <v>1111085</v>
      </c>
      <c r="U114" s="356">
        <f t="shared" si="120"/>
        <v>897075</v>
      </c>
      <c r="V114" s="356">
        <f t="shared" si="120"/>
        <v>1428035</v>
      </c>
      <c r="W114" s="356">
        <f t="shared" si="120"/>
        <v>2077975</v>
      </c>
      <c r="X114" s="356">
        <f t="shared" si="120"/>
        <v>704765</v>
      </c>
      <c r="Y114" s="356">
        <f t="shared" si="120"/>
        <v>947750</v>
      </c>
      <c r="Z114" s="356">
        <f t="shared" si="120"/>
        <v>710812.5</v>
      </c>
      <c r="AA114" s="356">
        <f t="shared" si="120"/>
        <v>870034.5</v>
      </c>
      <c r="AB114" s="356">
        <f t="shared" si="120"/>
        <v>957037.95</v>
      </c>
      <c r="AC114" s="356">
        <f t="shared" si="120"/>
        <v>957037.95</v>
      </c>
      <c r="AD114" s="356">
        <f t="shared" si="120"/>
        <v>957037.95</v>
      </c>
      <c r="AE114" s="356">
        <f t="shared" si="120"/>
        <v>957037.95</v>
      </c>
      <c r="AF114" s="356">
        <f t="shared" si="120"/>
        <v>976178.709</v>
      </c>
      <c r="AG114" s="356">
        <f t="shared" si="120"/>
        <v>976178.709</v>
      </c>
      <c r="AH114" s="356">
        <f t="shared" si="120"/>
        <v>976178.709</v>
      </c>
      <c r="AI114" s="356">
        <f t="shared" si="120"/>
        <v>976178.709</v>
      </c>
      <c r="AJ114" s="356">
        <f t="shared" si="120"/>
        <v>927369.7736</v>
      </c>
      <c r="AK114" s="356">
        <f t="shared" si="120"/>
        <v>927369.7736</v>
      </c>
      <c r="AL114" s="356">
        <f t="shared" si="120"/>
        <v>927369.7736</v>
      </c>
      <c r="AM114" s="356">
        <f t="shared" si="120"/>
        <v>941326.6886</v>
      </c>
      <c r="AN114" s="356">
        <f t="shared" si="120"/>
        <v>658928.682</v>
      </c>
      <c r="AO114" s="356">
        <f t="shared" si="120"/>
        <v>625982.2479</v>
      </c>
      <c r="AP114" s="356">
        <f t="shared" si="120"/>
        <v>629112.1592</v>
      </c>
      <c r="AQ114" s="356">
        <f t="shared" si="120"/>
        <v>632257.72</v>
      </c>
      <c r="AR114" s="356">
        <f t="shared" si="120"/>
        <v>641773.1987</v>
      </c>
      <c r="AS114" s="356">
        <f t="shared" si="120"/>
        <v>644982.0647</v>
      </c>
      <c r="AT114" s="356">
        <f t="shared" si="120"/>
        <v>648206.975</v>
      </c>
      <c r="AU114" s="356">
        <f t="shared" si="120"/>
        <v>651448.0099</v>
      </c>
      <c r="AV114" s="356">
        <f t="shared" si="120"/>
        <v>654705.2499</v>
      </c>
      <c r="AW114" s="356">
        <f t="shared" si="120"/>
        <v>657978.7762</v>
      </c>
      <c r="AX114" s="356">
        <f t="shared" si="120"/>
        <v>661268.67</v>
      </c>
      <c r="AY114" s="356">
        <f t="shared" si="120"/>
        <v>667897.8885</v>
      </c>
      <c r="AZ114" s="356">
        <f t="shared" si="120"/>
        <v>674576.8673</v>
      </c>
      <c r="BA114" s="356">
        <f t="shared" si="120"/>
        <v>677949.7517</v>
      </c>
      <c r="BB114" s="356">
        <f t="shared" si="120"/>
        <v>681339.5004</v>
      </c>
      <c r="BC114" s="356">
        <f t="shared" si="120"/>
        <v>684746.1979</v>
      </c>
      <c r="BD114" s="356">
        <f t="shared" si="120"/>
        <v>688169.9289</v>
      </c>
      <c r="BE114" s="356">
        <f t="shared" si="120"/>
        <v>691610.7786</v>
      </c>
      <c r="BF114" s="356">
        <f t="shared" si="120"/>
        <v>695068.8325</v>
      </c>
      <c r="BG114" s="356">
        <f t="shared" si="120"/>
        <v>698544.1766</v>
      </c>
      <c r="BH114" s="356">
        <f t="shared" si="120"/>
        <v>702036.8975</v>
      </c>
      <c r="BI114" s="356">
        <f t="shared" si="120"/>
        <v>705547.082</v>
      </c>
      <c r="BJ114" s="356">
        <f t="shared" si="120"/>
        <v>709074.8174</v>
      </c>
      <c r="BK114" s="356">
        <f t="shared" si="120"/>
        <v>748251.2011</v>
      </c>
      <c r="BL114" s="356">
        <f t="shared" si="120"/>
        <v>746380.5731</v>
      </c>
      <c r="BM114" s="356">
        <f t="shared" si="120"/>
        <v>750112.4759</v>
      </c>
      <c r="BN114" s="356">
        <f t="shared" si="120"/>
        <v>753863.0383</v>
      </c>
      <c r="BO114" s="356">
        <f t="shared" si="120"/>
        <v>757632.3535</v>
      </c>
      <c r="BP114" s="356">
        <f t="shared" si="120"/>
        <v>761420.5153</v>
      </c>
      <c r="BQ114" s="356">
        <f t="shared" si="120"/>
        <v>765227.6178</v>
      </c>
      <c r="BR114" s="356">
        <f t="shared" si="120"/>
        <v>769053.7559</v>
      </c>
      <c r="BS114" s="356">
        <f t="shared" si="120"/>
        <v>772899.0247</v>
      </c>
      <c r="BT114" s="356">
        <f t="shared" si="120"/>
        <v>776763.5198</v>
      </c>
      <c r="BU114" s="356">
        <f t="shared" si="120"/>
        <v>780647.3374</v>
      </c>
      <c r="BV114" s="356">
        <f t="shared" si="120"/>
        <v>784550.5741</v>
      </c>
      <c r="BW114" s="356">
        <f t="shared" si="120"/>
        <v>788473.327</v>
      </c>
      <c r="BX114" s="356">
        <f t="shared" si="120"/>
        <v>709625.9943</v>
      </c>
      <c r="BY114" s="356">
        <f t="shared" si="120"/>
        <v>713174.1243</v>
      </c>
      <c r="BZ114" s="356">
        <f t="shared" si="120"/>
        <v>716739.9949</v>
      </c>
      <c r="CA114" s="356">
        <f t="shared" si="120"/>
        <v>720323.6949</v>
      </c>
      <c r="CB114" s="356">
        <f t="shared" si="120"/>
        <v>723925.3133</v>
      </c>
      <c r="CC114" s="356">
        <f t="shared" si="120"/>
        <v>727544.9399</v>
      </c>
      <c r="CD114" s="356">
        <f t="shared" si="120"/>
        <v>731182.6646</v>
      </c>
      <c r="CE114" s="356">
        <f t="shared" si="120"/>
        <v>734838.5779</v>
      </c>
      <c r="CF114" s="356">
        <f t="shared" si="120"/>
        <v>738512.7708</v>
      </c>
      <c r="CG114" s="356">
        <f t="shared" si="120"/>
        <v>742205.3347</v>
      </c>
      <c r="CH114" s="356">
        <f t="shared" si="120"/>
        <v>745916.3613</v>
      </c>
      <c r="CI114" s="1"/>
      <c r="CJ114" s="1"/>
      <c r="CK114" s="1"/>
      <c r="CL114" s="1"/>
      <c r="CM114" s="1"/>
      <c r="CN114" s="1"/>
      <c r="CO114" s="1"/>
      <c r="CP114" s="1"/>
    </row>
    <row r="115" ht="15.75" customHeight="1">
      <c r="A115" s="137" t="s">
        <v>89</v>
      </c>
      <c r="B115" s="356"/>
      <c r="C115" s="356">
        <v>0.0</v>
      </c>
      <c r="D115" s="356">
        <v>0.0</v>
      </c>
      <c r="E115" s="356">
        <v>0.0</v>
      </c>
      <c r="F115" s="356">
        <v>0.0</v>
      </c>
      <c r="G115" s="356">
        <v>0.0</v>
      </c>
      <c r="H115" s="356">
        <v>0.0</v>
      </c>
      <c r="I115" s="356">
        <v>20500.0</v>
      </c>
      <c r="J115" s="356">
        <v>0.0</v>
      </c>
      <c r="K115" s="356">
        <v>0.0</v>
      </c>
      <c r="L115" s="356">
        <v>28000.0</v>
      </c>
      <c r="M115" s="356">
        <v>23000.0</v>
      </c>
      <c r="N115" s="356">
        <v>0.0</v>
      </c>
      <c r="O115" s="356">
        <f t="shared" ref="O115:R115" si="121">O91*O99</f>
        <v>1042540</v>
      </c>
      <c r="P115" s="356">
        <f t="shared" si="121"/>
        <v>1647290</v>
      </c>
      <c r="Q115" s="356">
        <f t="shared" si="121"/>
        <v>2160945</v>
      </c>
      <c r="R115" s="356">
        <f t="shared" si="121"/>
        <v>2122765</v>
      </c>
      <c r="S115" s="356">
        <v>25000.0</v>
      </c>
      <c r="T115" s="356">
        <f t="shared" ref="T115:CH115" si="122">T91*T99</f>
        <v>2328300</v>
      </c>
      <c r="U115" s="356">
        <f t="shared" si="122"/>
        <v>1489955</v>
      </c>
      <c r="V115" s="356">
        <f t="shared" si="122"/>
        <v>1117955</v>
      </c>
      <c r="W115" s="356">
        <f t="shared" si="122"/>
        <v>1964285</v>
      </c>
      <c r="X115" s="356">
        <f t="shared" si="122"/>
        <v>1341325</v>
      </c>
      <c r="Y115" s="356">
        <f t="shared" si="122"/>
        <v>1625970</v>
      </c>
      <c r="Z115" s="356">
        <f t="shared" si="122"/>
        <v>84375</v>
      </c>
      <c r="AA115" s="356">
        <f t="shared" si="122"/>
        <v>103275</v>
      </c>
      <c r="AB115" s="356">
        <f t="shared" si="122"/>
        <v>113602.5</v>
      </c>
      <c r="AC115" s="356">
        <f t="shared" si="122"/>
        <v>113602.5</v>
      </c>
      <c r="AD115" s="356">
        <f t="shared" si="122"/>
        <v>113602.5</v>
      </c>
      <c r="AE115" s="356">
        <f t="shared" si="122"/>
        <v>113602.5</v>
      </c>
      <c r="AF115" s="356">
        <f t="shared" si="122"/>
        <v>117010.575</v>
      </c>
      <c r="AG115" s="356">
        <f t="shared" si="122"/>
        <v>117010.575</v>
      </c>
      <c r="AH115" s="356">
        <f t="shared" si="122"/>
        <v>117010.575</v>
      </c>
      <c r="AI115" s="356">
        <f t="shared" si="122"/>
        <v>117010.575</v>
      </c>
      <c r="AJ115" s="356">
        <f t="shared" si="122"/>
        <v>111160.0463</v>
      </c>
      <c r="AK115" s="356">
        <f t="shared" si="122"/>
        <v>111160.0463</v>
      </c>
      <c r="AL115" s="356">
        <f t="shared" si="122"/>
        <v>111160.0463</v>
      </c>
      <c r="AM115" s="356">
        <f t="shared" si="122"/>
        <v>116184.4803</v>
      </c>
      <c r="AN115" s="356">
        <f t="shared" si="122"/>
        <v>81329.13624</v>
      </c>
      <c r="AO115" s="356">
        <f t="shared" si="122"/>
        <v>77262.67943</v>
      </c>
      <c r="AP115" s="356">
        <f t="shared" si="122"/>
        <v>77648.99282</v>
      </c>
      <c r="AQ115" s="356">
        <f t="shared" si="122"/>
        <v>78037.23779</v>
      </c>
      <c r="AR115" s="356">
        <f t="shared" si="122"/>
        <v>79211.69822</v>
      </c>
      <c r="AS115" s="356">
        <f t="shared" si="122"/>
        <v>79607.75671</v>
      </c>
      <c r="AT115" s="356">
        <f t="shared" si="122"/>
        <v>80005.79549</v>
      </c>
      <c r="AU115" s="356">
        <f t="shared" si="122"/>
        <v>80405.82447</v>
      </c>
      <c r="AV115" s="356">
        <f t="shared" si="122"/>
        <v>80807.85359</v>
      </c>
      <c r="AW115" s="356">
        <f t="shared" si="122"/>
        <v>81211.89286</v>
      </c>
      <c r="AX115" s="356">
        <f t="shared" si="122"/>
        <v>81617.95232</v>
      </c>
      <c r="AY115" s="356">
        <f t="shared" si="122"/>
        <v>84486.82335</v>
      </c>
      <c r="AZ115" s="356">
        <f t="shared" si="122"/>
        <v>85331.69158</v>
      </c>
      <c r="BA115" s="356">
        <f t="shared" si="122"/>
        <v>85758.35004</v>
      </c>
      <c r="BB115" s="356">
        <f t="shared" si="122"/>
        <v>86187.14179</v>
      </c>
      <c r="BC115" s="356">
        <f t="shared" si="122"/>
        <v>86618.0775</v>
      </c>
      <c r="BD115" s="356">
        <f t="shared" si="122"/>
        <v>87051.16789</v>
      </c>
      <c r="BE115" s="356">
        <f t="shared" si="122"/>
        <v>87486.42372</v>
      </c>
      <c r="BF115" s="356">
        <f t="shared" si="122"/>
        <v>87923.85584</v>
      </c>
      <c r="BG115" s="356">
        <f t="shared" si="122"/>
        <v>88363.47512</v>
      </c>
      <c r="BH115" s="356">
        <f t="shared" si="122"/>
        <v>88805.2925</v>
      </c>
      <c r="BI115" s="356">
        <f t="shared" si="122"/>
        <v>89249.31896</v>
      </c>
      <c r="BJ115" s="356">
        <f t="shared" si="122"/>
        <v>89695.56556</v>
      </c>
      <c r="BK115" s="356">
        <f t="shared" si="122"/>
        <v>94651.24555</v>
      </c>
      <c r="BL115" s="356">
        <f t="shared" si="122"/>
        <v>94414.61744</v>
      </c>
      <c r="BM115" s="356">
        <f t="shared" si="122"/>
        <v>94886.69053</v>
      </c>
      <c r="BN115" s="356">
        <f t="shared" si="122"/>
        <v>95361.12398</v>
      </c>
      <c r="BO115" s="356">
        <f t="shared" si="122"/>
        <v>95837.9296</v>
      </c>
      <c r="BP115" s="356">
        <f t="shared" si="122"/>
        <v>96317.11925</v>
      </c>
      <c r="BQ115" s="356">
        <f t="shared" si="122"/>
        <v>96798.70484</v>
      </c>
      <c r="BR115" s="356">
        <f t="shared" si="122"/>
        <v>97282.69837</v>
      </c>
      <c r="BS115" s="356">
        <f t="shared" si="122"/>
        <v>97769.11186</v>
      </c>
      <c r="BT115" s="356">
        <f t="shared" si="122"/>
        <v>98257.95742</v>
      </c>
      <c r="BU115" s="356">
        <f t="shared" si="122"/>
        <v>98749.2472</v>
      </c>
      <c r="BV115" s="356">
        <f t="shared" si="122"/>
        <v>99242.99344</v>
      </c>
      <c r="BW115" s="356">
        <f t="shared" si="122"/>
        <v>99739.20841</v>
      </c>
      <c r="BX115" s="356">
        <f t="shared" si="122"/>
        <v>89765.28757</v>
      </c>
      <c r="BY115" s="356">
        <f t="shared" si="122"/>
        <v>90214.11401</v>
      </c>
      <c r="BZ115" s="356">
        <f t="shared" si="122"/>
        <v>90665.18458</v>
      </c>
      <c r="CA115" s="356">
        <f t="shared" si="122"/>
        <v>91118.5105</v>
      </c>
      <c r="CB115" s="356">
        <f t="shared" si="122"/>
        <v>91574.10305</v>
      </c>
      <c r="CC115" s="356">
        <f t="shared" si="122"/>
        <v>92031.97357</v>
      </c>
      <c r="CD115" s="356">
        <f t="shared" si="122"/>
        <v>92492.13343</v>
      </c>
      <c r="CE115" s="356">
        <f t="shared" si="122"/>
        <v>92954.5941</v>
      </c>
      <c r="CF115" s="356">
        <f t="shared" si="122"/>
        <v>93419.36707</v>
      </c>
      <c r="CG115" s="356">
        <f t="shared" si="122"/>
        <v>93886.46391</v>
      </c>
      <c r="CH115" s="356">
        <f t="shared" si="122"/>
        <v>94355.89623</v>
      </c>
      <c r="CI115" s="1"/>
      <c r="CJ115" s="1"/>
      <c r="CK115" s="1"/>
      <c r="CL115" s="1"/>
      <c r="CM115" s="1"/>
      <c r="CN115" s="1"/>
      <c r="CO115" s="1"/>
      <c r="CP115" s="1"/>
    </row>
    <row r="116" ht="15.75" customHeight="1">
      <c r="A116" s="137" t="s">
        <v>94</v>
      </c>
      <c r="B116" s="356"/>
      <c r="C116" s="356">
        <f t="shared" ref="C116:M116" si="123">C92*C100</f>
        <v>1959205</v>
      </c>
      <c r="D116" s="356">
        <f t="shared" si="123"/>
        <v>1811910</v>
      </c>
      <c r="E116" s="356">
        <f t="shared" si="123"/>
        <v>2345365</v>
      </c>
      <c r="F116" s="356">
        <f t="shared" si="123"/>
        <v>947440</v>
      </c>
      <c r="G116" s="356">
        <f t="shared" si="123"/>
        <v>1866415</v>
      </c>
      <c r="H116" s="356">
        <f t="shared" si="123"/>
        <v>2245500</v>
      </c>
      <c r="I116" s="356">
        <f t="shared" si="123"/>
        <v>680685</v>
      </c>
      <c r="J116" s="356">
        <f t="shared" si="123"/>
        <v>1725860</v>
      </c>
      <c r="K116" s="356">
        <f t="shared" si="123"/>
        <v>1368055</v>
      </c>
      <c r="L116" s="356">
        <f t="shared" si="123"/>
        <v>753600</v>
      </c>
      <c r="M116" s="356">
        <f t="shared" si="123"/>
        <v>1473015</v>
      </c>
      <c r="N116" s="356">
        <v>0.0</v>
      </c>
      <c r="O116" s="356">
        <f t="shared" ref="O116:CH116" si="124">O92*O100</f>
        <v>1377930</v>
      </c>
      <c r="P116" s="356">
        <f t="shared" si="124"/>
        <v>1163105</v>
      </c>
      <c r="Q116" s="356">
        <f t="shared" si="124"/>
        <v>1283005</v>
      </c>
      <c r="R116" s="356">
        <f t="shared" si="124"/>
        <v>1978870</v>
      </c>
      <c r="S116" s="356">
        <f t="shared" si="124"/>
        <v>2290285</v>
      </c>
      <c r="T116" s="356">
        <f t="shared" si="124"/>
        <v>1921705</v>
      </c>
      <c r="U116" s="356">
        <f t="shared" si="124"/>
        <v>1497040</v>
      </c>
      <c r="V116" s="356">
        <f t="shared" si="124"/>
        <v>928430</v>
      </c>
      <c r="W116" s="356">
        <f t="shared" si="124"/>
        <v>1599830</v>
      </c>
      <c r="X116" s="356">
        <f t="shared" si="124"/>
        <v>722375</v>
      </c>
      <c r="Y116" s="356">
        <f t="shared" si="124"/>
        <v>1793500</v>
      </c>
      <c r="Z116" s="356">
        <f t="shared" si="124"/>
        <v>56250</v>
      </c>
      <c r="AA116" s="356">
        <f t="shared" si="124"/>
        <v>68850</v>
      </c>
      <c r="AB116" s="356">
        <f t="shared" si="124"/>
        <v>75735</v>
      </c>
      <c r="AC116" s="356">
        <f t="shared" si="124"/>
        <v>75735</v>
      </c>
      <c r="AD116" s="356">
        <f t="shared" si="124"/>
        <v>75735</v>
      </c>
      <c r="AE116" s="356">
        <f t="shared" si="124"/>
        <v>75735</v>
      </c>
      <c r="AF116" s="356">
        <f t="shared" si="124"/>
        <v>77249.7</v>
      </c>
      <c r="AG116" s="356">
        <f t="shared" si="124"/>
        <v>77249.7</v>
      </c>
      <c r="AH116" s="356">
        <f t="shared" si="124"/>
        <v>77249.7</v>
      </c>
      <c r="AI116" s="356">
        <f t="shared" si="124"/>
        <v>77249.7</v>
      </c>
      <c r="AJ116" s="356">
        <f t="shared" si="124"/>
        <v>73387.215</v>
      </c>
      <c r="AK116" s="356">
        <f t="shared" si="124"/>
        <v>73387.215</v>
      </c>
      <c r="AL116" s="356">
        <f t="shared" si="124"/>
        <v>73387.215</v>
      </c>
      <c r="AM116" s="356">
        <f t="shared" si="124"/>
        <v>74491.69259</v>
      </c>
      <c r="AN116" s="356">
        <f t="shared" si="124"/>
        <v>75236.60951</v>
      </c>
      <c r="AO116" s="356">
        <f t="shared" si="124"/>
        <v>78998.43999</v>
      </c>
      <c r="AP116" s="356">
        <f t="shared" si="124"/>
        <v>79393.43219</v>
      </c>
      <c r="AQ116" s="356">
        <f t="shared" si="124"/>
        <v>79790.39935</v>
      </c>
      <c r="AR116" s="356">
        <f t="shared" si="124"/>
        <v>80991.24486</v>
      </c>
      <c r="AS116" s="356">
        <f t="shared" si="124"/>
        <v>81396.20108</v>
      </c>
      <c r="AT116" s="356">
        <f t="shared" si="124"/>
        <v>81803.18209</v>
      </c>
      <c r="AU116" s="356">
        <f t="shared" si="124"/>
        <v>82212.198</v>
      </c>
      <c r="AV116" s="356">
        <f t="shared" si="124"/>
        <v>82623.25899</v>
      </c>
      <c r="AW116" s="356">
        <f t="shared" si="124"/>
        <v>83036.37528</v>
      </c>
      <c r="AX116" s="356">
        <f t="shared" si="124"/>
        <v>83451.55716</v>
      </c>
      <c r="AY116" s="356">
        <f t="shared" si="124"/>
        <v>86384.87939</v>
      </c>
      <c r="AZ116" s="356">
        <f t="shared" si="124"/>
        <v>87248.72819</v>
      </c>
      <c r="BA116" s="356">
        <f t="shared" si="124"/>
        <v>87684.97183</v>
      </c>
      <c r="BB116" s="356">
        <f t="shared" si="124"/>
        <v>88123.39669</v>
      </c>
      <c r="BC116" s="356">
        <f t="shared" si="124"/>
        <v>88564.01367</v>
      </c>
      <c r="BD116" s="356">
        <f t="shared" si="124"/>
        <v>89006.83374</v>
      </c>
      <c r="BE116" s="356">
        <f t="shared" si="124"/>
        <v>89451.86791</v>
      </c>
      <c r="BF116" s="356">
        <f t="shared" si="124"/>
        <v>89899.12725</v>
      </c>
      <c r="BG116" s="356">
        <f t="shared" si="124"/>
        <v>90348.62288</v>
      </c>
      <c r="BH116" s="356">
        <f t="shared" si="124"/>
        <v>90800.366</v>
      </c>
      <c r="BI116" s="356">
        <f t="shared" si="124"/>
        <v>91254.36783</v>
      </c>
      <c r="BJ116" s="356">
        <f t="shared" si="124"/>
        <v>91710.63967</v>
      </c>
      <c r="BK116" s="356">
        <f t="shared" si="124"/>
        <v>96777.65251</v>
      </c>
      <c r="BL116" s="356">
        <f t="shared" si="124"/>
        <v>96535.70838</v>
      </c>
      <c r="BM116" s="356">
        <f t="shared" si="124"/>
        <v>97018.38692</v>
      </c>
      <c r="BN116" s="356">
        <f t="shared" si="124"/>
        <v>97503.47885</v>
      </c>
      <c r="BO116" s="356">
        <f t="shared" si="124"/>
        <v>97990.99625</v>
      </c>
      <c r="BP116" s="356">
        <f t="shared" si="124"/>
        <v>98480.95123</v>
      </c>
      <c r="BQ116" s="356">
        <f t="shared" si="124"/>
        <v>98973.35599</v>
      </c>
      <c r="BR116" s="356">
        <f t="shared" si="124"/>
        <v>99468.22277</v>
      </c>
      <c r="BS116" s="356">
        <f t="shared" si="124"/>
        <v>99965.56388</v>
      </c>
      <c r="BT116" s="356">
        <f t="shared" si="124"/>
        <v>100465.3917</v>
      </c>
      <c r="BU116" s="356">
        <f t="shared" si="124"/>
        <v>100967.7187</v>
      </c>
      <c r="BV116" s="356">
        <f t="shared" si="124"/>
        <v>101472.5573</v>
      </c>
      <c r="BW116" s="356">
        <f t="shared" si="124"/>
        <v>101979.92</v>
      </c>
      <c r="BX116" s="356">
        <f t="shared" si="124"/>
        <v>91781.92803</v>
      </c>
      <c r="BY116" s="356">
        <f t="shared" si="124"/>
        <v>92240.83767</v>
      </c>
      <c r="BZ116" s="356">
        <f t="shared" si="124"/>
        <v>92702.04186</v>
      </c>
      <c r="CA116" s="356">
        <f t="shared" si="124"/>
        <v>93165.55207</v>
      </c>
      <c r="CB116" s="356">
        <f t="shared" si="124"/>
        <v>93631.37983</v>
      </c>
      <c r="CC116" s="356">
        <f t="shared" si="124"/>
        <v>94099.53673</v>
      </c>
      <c r="CD116" s="356">
        <f t="shared" si="124"/>
        <v>94570.03441</v>
      </c>
      <c r="CE116" s="356">
        <f t="shared" si="124"/>
        <v>95042.88459</v>
      </c>
      <c r="CF116" s="356">
        <f t="shared" si="124"/>
        <v>95518.09901</v>
      </c>
      <c r="CG116" s="356">
        <f t="shared" si="124"/>
        <v>95995.6895</v>
      </c>
      <c r="CH116" s="356">
        <f t="shared" si="124"/>
        <v>96475.66795</v>
      </c>
      <c r="CI116" s="1"/>
      <c r="CJ116" s="1"/>
      <c r="CK116" s="1"/>
      <c r="CL116" s="1"/>
      <c r="CM116" s="1"/>
      <c r="CN116" s="1"/>
      <c r="CO116" s="1"/>
      <c r="CP116" s="1"/>
    </row>
    <row r="117" ht="15.75" customHeight="1">
      <c r="A117" s="137" t="s">
        <v>96</v>
      </c>
      <c r="B117" s="356"/>
      <c r="C117" s="356">
        <v>0.0</v>
      </c>
      <c r="D117" s="356">
        <v>0.0</v>
      </c>
      <c r="E117" s="356">
        <v>0.0</v>
      </c>
      <c r="F117" s="356">
        <v>0.0</v>
      </c>
      <c r="G117" s="356">
        <v>0.0</v>
      </c>
      <c r="H117" s="356">
        <v>0.0</v>
      </c>
      <c r="I117" s="356">
        <v>0.0</v>
      </c>
      <c r="J117" s="356">
        <v>0.0</v>
      </c>
      <c r="K117" s="356">
        <v>0.0</v>
      </c>
      <c r="L117" s="356">
        <v>75000.0</v>
      </c>
      <c r="M117" s="356">
        <v>100000.0</v>
      </c>
      <c r="N117" s="356">
        <v>0.0</v>
      </c>
      <c r="O117" s="356">
        <f t="shared" ref="O117:CH117" si="125">O93*O101</f>
        <v>808920</v>
      </c>
      <c r="P117" s="356">
        <f t="shared" si="125"/>
        <v>1873590</v>
      </c>
      <c r="Q117" s="356">
        <f t="shared" si="125"/>
        <v>1080760</v>
      </c>
      <c r="R117" s="356">
        <f t="shared" si="125"/>
        <v>829710</v>
      </c>
      <c r="S117" s="356">
        <f t="shared" si="125"/>
        <v>636415</v>
      </c>
      <c r="T117" s="356">
        <f t="shared" si="125"/>
        <v>846305</v>
      </c>
      <c r="U117" s="356">
        <f t="shared" si="125"/>
        <v>2374280</v>
      </c>
      <c r="V117" s="356">
        <f t="shared" si="125"/>
        <v>1453280</v>
      </c>
      <c r="W117" s="356">
        <f t="shared" si="125"/>
        <v>2402075</v>
      </c>
      <c r="X117" s="356">
        <f t="shared" si="125"/>
        <v>999650</v>
      </c>
      <c r="Y117" s="356">
        <f t="shared" si="125"/>
        <v>1994000</v>
      </c>
      <c r="Z117" s="356">
        <f t="shared" si="125"/>
        <v>375000</v>
      </c>
      <c r="AA117" s="356">
        <f t="shared" si="125"/>
        <v>450000</v>
      </c>
      <c r="AB117" s="356">
        <f t="shared" si="125"/>
        <v>495000</v>
      </c>
      <c r="AC117" s="356">
        <f t="shared" si="125"/>
        <v>495000</v>
      </c>
      <c r="AD117" s="356">
        <f t="shared" si="125"/>
        <v>495000</v>
      </c>
      <c r="AE117" s="356">
        <f t="shared" si="125"/>
        <v>495000</v>
      </c>
      <c r="AF117" s="356">
        <f t="shared" si="125"/>
        <v>495000</v>
      </c>
      <c r="AG117" s="356">
        <f t="shared" si="125"/>
        <v>495000</v>
      </c>
      <c r="AH117" s="356">
        <f t="shared" si="125"/>
        <v>495000</v>
      </c>
      <c r="AI117" s="356">
        <f t="shared" si="125"/>
        <v>495000</v>
      </c>
      <c r="AJ117" s="356">
        <f t="shared" si="125"/>
        <v>495000</v>
      </c>
      <c r="AK117" s="356">
        <f t="shared" si="125"/>
        <v>495000</v>
      </c>
      <c r="AL117" s="356">
        <f t="shared" si="125"/>
        <v>495000</v>
      </c>
      <c r="AM117" s="356">
        <f t="shared" si="125"/>
        <v>495000</v>
      </c>
      <c r="AN117" s="356">
        <f t="shared" si="125"/>
        <v>495000</v>
      </c>
      <c r="AO117" s="356">
        <f t="shared" si="125"/>
        <v>495000</v>
      </c>
      <c r="AP117" s="356">
        <f t="shared" si="125"/>
        <v>495000</v>
      </c>
      <c r="AQ117" s="356">
        <f t="shared" si="125"/>
        <v>495000</v>
      </c>
      <c r="AR117" s="356">
        <f t="shared" si="125"/>
        <v>495000</v>
      </c>
      <c r="AS117" s="356">
        <f t="shared" si="125"/>
        <v>495000</v>
      </c>
      <c r="AT117" s="356">
        <f t="shared" si="125"/>
        <v>495000</v>
      </c>
      <c r="AU117" s="356">
        <f t="shared" si="125"/>
        <v>495000</v>
      </c>
      <c r="AV117" s="356">
        <f t="shared" si="125"/>
        <v>495000</v>
      </c>
      <c r="AW117" s="356">
        <f t="shared" si="125"/>
        <v>495000</v>
      </c>
      <c r="AX117" s="356">
        <f t="shared" si="125"/>
        <v>495000</v>
      </c>
      <c r="AY117" s="356">
        <f t="shared" si="125"/>
        <v>495000</v>
      </c>
      <c r="AZ117" s="356">
        <f t="shared" si="125"/>
        <v>495000</v>
      </c>
      <c r="BA117" s="356">
        <f t="shared" si="125"/>
        <v>495000</v>
      </c>
      <c r="BB117" s="356">
        <f t="shared" si="125"/>
        <v>495000</v>
      </c>
      <c r="BC117" s="356">
        <f t="shared" si="125"/>
        <v>495000</v>
      </c>
      <c r="BD117" s="356">
        <f t="shared" si="125"/>
        <v>495000</v>
      </c>
      <c r="BE117" s="356">
        <f t="shared" si="125"/>
        <v>495000</v>
      </c>
      <c r="BF117" s="356">
        <f t="shared" si="125"/>
        <v>495000</v>
      </c>
      <c r="BG117" s="356">
        <f t="shared" si="125"/>
        <v>495000</v>
      </c>
      <c r="BH117" s="356">
        <f t="shared" si="125"/>
        <v>495000</v>
      </c>
      <c r="BI117" s="356">
        <f t="shared" si="125"/>
        <v>495000</v>
      </c>
      <c r="BJ117" s="356">
        <f t="shared" si="125"/>
        <v>495000</v>
      </c>
      <c r="BK117" s="356">
        <f t="shared" si="125"/>
        <v>495000</v>
      </c>
      <c r="BL117" s="356">
        <f t="shared" si="125"/>
        <v>495000</v>
      </c>
      <c r="BM117" s="356">
        <f t="shared" si="125"/>
        <v>495000</v>
      </c>
      <c r="BN117" s="356">
        <f t="shared" si="125"/>
        <v>495000</v>
      </c>
      <c r="BO117" s="356">
        <f t="shared" si="125"/>
        <v>495000</v>
      </c>
      <c r="BP117" s="356">
        <f t="shared" si="125"/>
        <v>495000</v>
      </c>
      <c r="BQ117" s="356">
        <f t="shared" si="125"/>
        <v>495000</v>
      </c>
      <c r="BR117" s="356">
        <f t="shared" si="125"/>
        <v>495000</v>
      </c>
      <c r="BS117" s="356">
        <f t="shared" si="125"/>
        <v>495000</v>
      </c>
      <c r="BT117" s="356">
        <f t="shared" si="125"/>
        <v>495000</v>
      </c>
      <c r="BU117" s="356">
        <f t="shared" si="125"/>
        <v>495000</v>
      </c>
      <c r="BV117" s="356">
        <f t="shared" si="125"/>
        <v>495000</v>
      </c>
      <c r="BW117" s="356">
        <f t="shared" si="125"/>
        <v>495000</v>
      </c>
      <c r="BX117" s="356">
        <f t="shared" si="125"/>
        <v>495000</v>
      </c>
      <c r="BY117" s="356">
        <f t="shared" si="125"/>
        <v>495000</v>
      </c>
      <c r="BZ117" s="356">
        <f t="shared" si="125"/>
        <v>495000</v>
      </c>
      <c r="CA117" s="356">
        <f t="shared" si="125"/>
        <v>495000</v>
      </c>
      <c r="CB117" s="356">
        <f t="shared" si="125"/>
        <v>495000</v>
      </c>
      <c r="CC117" s="356">
        <f t="shared" si="125"/>
        <v>495000</v>
      </c>
      <c r="CD117" s="356">
        <f t="shared" si="125"/>
        <v>495000</v>
      </c>
      <c r="CE117" s="356">
        <f t="shared" si="125"/>
        <v>495000</v>
      </c>
      <c r="CF117" s="356">
        <f t="shared" si="125"/>
        <v>495000</v>
      </c>
      <c r="CG117" s="356">
        <f t="shared" si="125"/>
        <v>495000</v>
      </c>
      <c r="CH117" s="356">
        <f t="shared" si="125"/>
        <v>495000</v>
      </c>
      <c r="CI117" s="1"/>
      <c r="CJ117" s="1"/>
      <c r="CK117" s="1"/>
      <c r="CL117" s="1"/>
      <c r="CM117" s="1"/>
      <c r="CN117" s="1"/>
      <c r="CO117" s="1"/>
      <c r="CP117" s="1"/>
    </row>
    <row r="118" ht="15.75" customHeight="1">
      <c r="A118" s="357" t="s">
        <v>606</v>
      </c>
      <c r="B118" s="351"/>
      <c r="C118" s="351">
        <v>727000.0</v>
      </c>
      <c r="D118" s="351">
        <v>1104250.0</v>
      </c>
      <c r="E118" s="351">
        <v>1287500.0</v>
      </c>
      <c r="F118" s="351">
        <v>1240250.0</v>
      </c>
      <c r="G118" s="351">
        <v>434250.0</v>
      </c>
      <c r="H118" s="351">
        <v>1636000.0</v>
      </c>
      <c r="I118" s="351">
        <v>780500.0</v>
      </c>
      <c r="J118" s="351">
        <v>2260500.0</v>
      </c>
      <c r="K118" s="351">
        <v>711500.0</v>
      </c>
      <c r="L118" s="351">
        <v>1041500.0</v>
      </c>
      <c r="M118" s="351">
        <v>695500.0</v>
      </c>
      <c r="N118" s="351">
        <v>0.0</v>
      </c>
      <c r="O118" s="351">
        <f t="shared" ref="O118:CH118" si="126">SUM(O112:O117)</f>
        <v>7889570</v>
      </c>
      <c r="P118" s="351">
        <f t="shared" si="126"/>
        <v>10070690</v>
      </c>
      <c r="Q118" s="351">
        <f t="shared" si="126"/>
        <v>11116420</v>
      </c>
      <c r="R118" s="351">
        <f t="shared" si="126"/>
        <v>10136605</v>
      </c>
      <c r="S118" s="351">
        <f t="shared" si="126"/>
        <v>5566440</v>
      </c>
      <c r="T118" s="351">
        <f t="shared" si="126"/>
        <v>9897825</v>
      </c>
      <c r="U118" s="351">
        <f t="shared" si="126"/>
        <v>9207125</v>
      </c>
      <c r="V118" s="351">
        <f t="shared" si="126"/>
        <v>7875660</v>
      </c>
      <c r="W118" s="351">
        <f t="shared" si="126"/>
        <v>12121670</v>
      </c>
      <c r="X118" s="351">
        <f t="shared" si="126"/>
        <v>6737185</v>
      </c>
      <c r="Y118" s="351">
        <f t="shared" si="126"/>
        <v>9882730</v>
      </c>
      <c r="Z118" s="351">
        <f t="shared" si="126"/>
        <v>2313937.5</v>
      </c>
      <c r="AA118" s="351">
        <f t="shared" si="126"/>
        <v>2823259.5</v>
      </c>
      <c r="AB118" s="351">
        <f t="shared" si="126"/>
        <v>3105585.45</v>
      </c>
      <c r="AC118" s="351">
        <f t="shared" si="126"/>
        <v>3105585.45</v>
      </c>
      <c r="AD118" s="351">
        <f t="shared" si="126"/>
        <v>3105585.45</v>
      </c>
      <c r="AE118" s="351">
        <f t="shared" si="126"/>
        <v>3105585.45</v>
      </c>
      <c r="AF118" s="351">
        <f t="shared" si="126"/>
        <v>3158933.184</v>
      </c>
      <c r="AG118" s="351">
        <f t="shared" si="126"/>
        <v>3158933.184</v>
      </c>
      <c r="AH118" s="351">
        <f t="shared" si="126"/>
        <v>3158933.184</v>
      </c>
      <c r="AI118" s="351">
        <f t="shared" si="126"/>
        <v>3158933.184</v>
      </c>
      <c r="AJ118" s="351">
        <f t="shared" si="126"/>
        <v>3034233.992</v>
      </c>
      <c r="AK118" s="351">
        <f t="shared" si="126"/>
        <v>3034233.992</v>
      </c>
      <c r="AL118" s="351">
        <f t="shared" si="126"/>
        <v>3034233.992</v>
      </c>
      <c r="AM118" s="351">
        <f t="shared" si="126"/>
        <v>3068628.671</v>
      </c>
      <c r="AN118" s="351">
        <f t="shared" si="126"/>
        <v>2319632.494</v>
      </c>
      <c r="AO118" s="351">
        <f t="shared" si="126"/>
        <v>2235924.531</v>
      </c>
      <c r="AP118" s="351">
        <f t="shared" si="126"/>
        <v>2244629.153</v>
      </c>
      <c r="AQ118" s="351">
        <f t="shared" si="126"/>
        <v>2253377.299</v>
      </c>
      <c r="AR118" s="351">
        <f t="shared" si="126"/>
        <v>2274975.21</v>
      </c>
      <c r="AS118" s="351">
        <f t="shared" si="126"/>
        <v>2283875.086</v>
      </c>
      <c r="AT118" s="351">
        <f t="shared" si="126"/>
        <v>2292819.462</v>
      </c>
      <c r="AU118" s="351">
        <f t="shared" si="126"/>
        <v>2301808.559</v>
      </c>
      <c r="AV118" s="351">
        <f t="shared" si="126"/>
        <v>2310842.602</v>
      </c>
      <c r="AW118" s="351">
        <f t="shared" si="126"/>
        <v>2319921.815</v>
      </c>
      <c r="AX118" s="351">
        <f t="shared" si="126"/>
        <v>2329046.424</v>
      </c>
      <c r="AY118" s="351">
        <f t="shared" si="126"/>
        <v>2351580.111</v>
      </c>
      <c r="AZ118" s="351">
        <f t="shared" si="126"/>
        <v>2370145.912</v>
      </c>
      <c r="BA118" s="351">
        <f t="shared" si="126"/>
        <v>2379521.642</v>
      </c>
      <c r="BB118" s="351">
        <f t="shared" si="126"/>
        <v>2388944.25</v>
      </c>
      <c r="BC118" s="351">
        <f t="shared" si="126"/>
        <v>2398413.971</v>
      </c>
      <c r="BD118" s="351">
        <f t="shared" si="126"/>
        <v>2407931.041</v>
      </c>
      <c r="BE118" s="351">
        <f t="shared" si="126"/>
        <v>2417495.696</v>
      </c>
      <c r="BF118" s="351">
        <f t="shared" si="126"/>
        <v>2427108.175</v>
      </c>
      <c r="BG118" s="351">
        <f t="shared" si="126"/>
        <v>2436768.715</v>
      </c>
      <c r="BH118" s="351">
        <f t="shared" si="126"/>
        <v>2446477.559</v>
      </c>
      <c r="BI118" s="351">
        <f t="shared" si="126"/>
        <v>2456234.947</v>
      </c>
      <c r="BJ118" s="351">
        <f t="shared" si="126"/>
        <v>2466041.122</v>
      </c>
      <c r="BK118" s="351">
        <f t="shared" si="126"/>
        <v>2542362.257</v>
      </c>
      <c r="BL118" s="351">
        <f t="shared" si="126"/>
        <v>2505674.909</v>
      </c>
      <c r="BM118" s="351">
        <f t="shared" si="126"/>
        <v>2515728.284</v>
      </c>
      <c r="BN118" s="351">
        <f t="shared" si="126"/>
        <v>2525831.925</v>
      </c>
      <c r="BO118" s="351">
        <f t="shared" si="126"/>
        <v>2535986.085</v>
      </c>
      <c r="BP118" s="351">
        <f t="shared" si="126"/>
        <v>2546191.015</v>
      </c>
      <c r="BQ118" s="351">
        <f t="shared" si="126"/>
        <v>2556446.971</v>
      </c>
      <c r="BR118" s="351">
        <f t="shared" si="126"/>
        <v>2566754.205</v>
      </c>
      <c r="BS118" s="351">
        <f t="shared" si="126"/>
        <v>2577112.976</v>
      </c>
      <c r="BT118" s="351">
        <f t="shared" si="126"/>
        <v>2587523.541</v>
      </c>
      <c r="BU118" s="351">
        <f t="shared" si="126"/>
        <v>2597986.159</v>
      </c>
      <c r="BV118" s="351">
        <f t="shared" si="126"/>
        <v>2608501.09</v>
      </c>
      <c r="BW118" s="351">
        <f t="shared" si="126"/>
        <v>2619068.595</v>
      </c>
      <c r="BX118" s="351">
        <f t="shared" si="126"/>
        <v>2406661.736</v>
      </c>
      <c r="BY118" s="351">
        <f t="shared" si="126"/>
        <v>2416220.044</v>
      </c>
      <c r="BZ118" s="351">
        <f t="shared" si="126"/>
        <v>2425826.145</v>
      </c>
      <c r="CA118" s="351">
        <f t="shared" si="126"/>
        <v>2435480.275</v>
      </c>
      <c r="CB118" s="351">
        <f t="shared" si="126"/>
        <v>2445182.677</v>
      </c>
      <c r="CC118" s="351">
        <f t="shared" si="126"/>
        <v>2454933.59</v>
      </c>
      <c r="CD118" s="351">
        <f t="shared" si="126"/>
        <v>2464733.258</v>
      </c>
      <c r="CE118" s="351">
        <f t="shared" si="126"/>
        <v>2474581.924</v>
      </c>
      <c r="CF118" s="351">
        <f t="shared" si="126"/>
        <v>2484479.834</v>
      </c>
      <c r="CG118" s="351">
        <f t="shared" si="126"/>
        <v>2494427.233</v>
      </c>
      <c r="CH118" s="351">
        <f t="shared" si="126"/>
        <v>2504424.369</v>
      </c>
      <c r="CI118" s="1"/>
      <c r="CJ118" s="1"/>
      <c r="CK118" s="1"/>
      <c r="CL118" s="1"/>
      <c r="CM118" s="1"/>
      <c r="CN118" s="1"/>
      <c r="CO118" s="1"/>
      <c r="CP118" s="1"/>
    </row>
    <row r="119" ht="15.75" customHeight="1">
      <c r="A119" s="1"/>
      <c r="B119" s="356"/>
      <c r="C119" s="356"/>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v>948000.0</v>
      </c>
      <c r="Z119" s="356"/>
      <c r="AA119" s="356"/>
      <c r="AB119" s="356"/>
      <c r="AC119" s="356"/>
      <c r="AD119" s="356"/>
      <c r="AE119" s="356"/>
      <c r="AF119" s="356"/>
      <c r="AG119" s="356"/>
      <c r="AH119" s="356"/>
      <c r="AI119" s="356"/>
      <c r="AJ119" s="356"/>
      <c r="AK119" s="356"/>
      <c r="AL119" s="356"/>
      <c r="AM119" s="356"/>
      <c r="AN119" s="356"/>
      <c r="AO119" s="356"/>
      <c r="AP119" s="356"/>
      <c r="AQ119" s="356"/>
      <c r="AR119" s="356"/>
      <c r="AS119" s="356"/>
      <c r="AT119" s="356"/>
      <c r="AU119" s="356"/>
      <c r="AV119" s="356"/>
      <c r="AW119" s="356"/>
      <c r="AX119" s="356"/>
      <c r="AY119" s="356"/>
      <c r="AZ119" s="356"/>
      <c r="BA119" s="356"/>
      <c r="BB119" s="356"/>
      <c r="BC119" s="356"/>
      <c r="BD119" s="356"/>
      <c r="BE119" s="356"/>
      <c r="BF119" s="356"/>
      <c r="BG119" s="356"/>
      <c r="BH119" s="356"/>
      <c r="BI119" s="356"/>
      <c r="BJ119" s="356"/>
      <c r="BK119" s="356"/>
      <c r="BL119" s="356"/>
      <c r="BM119" s="356"/>
      <c r="BN119" s="356"/>
      <c r="BO119" s="356"/>
      <c r="BP119" s="356"/>
      <c r="BQ119" s="356"/>
      <c r="BR119" s="356"/>
      <c r="BS119" s="356"/>
      <c r="BT119" s="356"/>
      <c r="BU119" s="356"/>
      <c r="BV119" s="356"/>
      <c r="BW119" s="356"/>
      <c r="BX119" s="356"/>
      <c r="BY119" s="356"/>
      <c r="BZ119" s="356"/>
      <c r="CA119" s="356"/>
      <c r="CB119" s="356"/>
      <c r="CC119" s="356"/>
      <c r="CD119" s="356"/>
      <c r="CE119" s="356"/>
      <c r="CF119" s="356"/>
      <c r="CG119" s="356"/>
      <c r="CH119" s="356"/>
      <c r="CI119" s="1"/>
      <c r="CJ119" s="1"/>
      <c r="CK119" s="1"/>
      <c r="CL119" s="1"/>
      <c r="CM119" s="1"/>
      <c r="CN119" s="1"/>
      <c r="CO119" s="1"/>
      <c r="CP119" s="1"/>
    </row>
    <row r="120" ht="15.75" customHeight="1">
      <c r="A120" s="1" t="s">
        <v>129</v>
      </c>
      <c r="B120" s="356"/>
      <c r="C120" s="356">
        <f t="shared" ref="C120:CH120" si="127">C112/12</f>
        <v>50416.66667</v>
      </c>
      <c r="D120" s="356">
        <f t="shared" si="127"/>
        <v>63437.5</v>
      </c>
      <c r="E120" s="356">
        <f t="shared" si="127"/>
        <v>66750</v>
      </c>
      <c r="F120" s="356">
        <f t="shared" si="127"/>
        <v>51020.83333</v>
      </c>
      <c r="G120" s="356">
        <f t="shared" si="127"/>
        <v>20416.66667</v>
      </c>
      <c r="H120" s="356">
        <f t="shared" si="127"/>
        <v>67000</v>
      </c>
      <c r="I120" s="356">
        <f t="shared" si="127"/>
        <v>36000</v>
      </c>
      <c r="J120" s="356">
        <f t="shared" si="127"/>
        <v>132645.8333</v>
      </c>
      <c r="K120" s="356">
        <f t="shared" si="127"/>
        <v>21666.66667</v>
      </c>
      <c r="L120" s="356">
        <f t="shared" si="127"/>
        <v>37916.66667</v>
      </c>
      <c r="M120" s="356">
        <f t="shared" si="127"/>
        <v>10000</v>
      </c>
      <c r="N120" s="356">
        <f t="shared" si="127"/>
        <v>0</v>
      </c>
      <c r="O120" s="356">
        <f t="shared" si="127"/>
        <v>199790.8333</v>
      </c>
      <c r="P120" s="356">
        <f t="shared" si="127"/>
        <v>86169.58333</v>
      </c>
      <c r="Q120" s="356">
        <f t="shared" si="127"/>
        <v>136761.25</v>
      </c>
      <c r="R120" s="356">
        <f t="shared" si="127"/>
        <v>183147.0833</v>
      </c>
      <c r="S120" s="356">
        <f t="shared" si="127"/>
        <v>62085</v>
      </c>
      <c r="T120" s="356">
        <f t="shared" si="127"/>
        <v>124310.4167</v>
      </c>
      <c r="U120" s="356">
        <f t="shared" si="127"/>
        <v>45042.08333</v>
      </c>
      <c r="V120" s="356">
        <f t="shared" si="127"/>
        <v>109412.5</v>
      </c>
      <c r="W120" s="356">
        <f t="shared" si="127"/>
        <v>184084.1667</v>
      </c>
      <c r="X120" s="356">
        <f t="shared" si="127"/>
        <v>193262.9167</v>
      </c>
      <c r="Y120" s="356">
        <f t="shared" si="127"/>
        <v>190940.8333</v>
      </c>
      <c r="Z120" s="356">
        <f t="shared" si="127"/>
        <v>51562.5</v>
      </c>
      <c r="AA120" s="356">
        <f t="shared" si="127"/>
        <v>63112.5</v>
      </c>
      <c r="AB120" s="356">
        <f t="shared" si="127"/>
        <v>69423.75</v>
      </c>
      <c r="AC120" s="356">
        <f t="shared" si="127"/>
        <v>69423.75</v>
      </c>
      <c r="AD120" s="356">
        <f t="shared" si="127"/>
        <v>69423.75</v>
      </c>
      <c r="AE120" s="356">
        <f t="shared" si="127"/>
        <v>69423.75</v>
      </c>
      <c r="AF120" s="356">
        <f t="shared" si="127"/>
        <v>70812.225</v>
      </c>
      <c r="AG120" s="356">
        <f t="shared" si="127"/>
        <v>70812.225</v>
      </c>
      <c r="AH120" s="356">
        <f t="shared" si="127"/>
        <v>70812.225</v>
      </c>
      <c r="AI120" s="356">
        <f t="shared" si="127"/>
        <v>70812.225</v>
      </c>
      <c r="AJ120" s="356">
        <f t="shared" si="127"/>
        <v>67979.736</v>
      </c>
      <c r="AK120" s="356">
        <f t="shared" si="127"/>
        <v>67979.736</v>
      </c>
      <c r="AL120" s="356">
        <f t="shared" si="127"/>
        <v>67979.736</v>
      </c>
      <c r="AM120" s="356">
        <f t="shared" si="127"/>
        <v>68661.23285</v>
      </c>
      <c r="AN120" s="356">
        <f t="shared" si="127"/>
        <v>48062.863</v>
      </c>
      <c r="AO120" s="356">
        <f t="shared" si="127"/>
        <v>45659.71985</v>
      </c>
      <c r="AP120" s="356">
        <f t="shared" si="127"/>
        <v>45888.01845</v>
      </c>
      <c r="AQ120" s="356">
        <f t="shared" si="127"/>
        <v>46117.45854</v>
      </c>
      <c r="AR120" s="356">
        <f t="shared" si="127"/>
        <v>46579.78606</v>
      </c>
      <c r="AS120" s="356">
        <f t="shared" si="127"/>
        <v>46812.68499</v>
      </c>
      <c r="AT120" s="356">
        <f t="shared" si="127"/>
        <v>47046.74842</v>
      </c>
      <c r="AU120" s="356">
        <f t="shared" si="127"/>
        <v>47281.98216</v>
      </c>
      <c r="AV120" s="356">
        <f t="shared" si="127"/>
        <v>47518.39207</v>
      </c>
      <c r="AW120" s="356">
        <f t="shared" si="127"/>
        <v>47755.98403</v>
      </c>
      <c r="AX120" s="356">
        <f t="shared" si="127"/>
        <v>47994.76395</v>
      </c>
      <c r="AY120" s="356">
        <f t="shared" si="127"/>
        <v>48475.91146</v>
      </c>
      <c r="AZ120" s="356">
        <f t="shared" si="127"/>
        <v>48960.67057</v>
      </c>
      <c r="BA120" s="356">
        <f t="shared" si="127"/>
        <v>49205.47393</v>
      </c>
      <c r="BB120" s="356">
        <f t="shared" si="127"/>
        <v>49451.5013</v>
      </c>
      <c r="BC120" s="356">
        <f t="shared" si="127"/>
        <v>49698.7588</v>
      </c>
      <c r="BD120" s="356">
        <f t="shared" si="127"/>
        <v>49947.2526</v>
      </c>
      <c r="BE120" s="356">
        <f t="shared" si="127"/>
        <v>50196.98886</v>
      </c>
      <c r="BF120" s="356">
        <f t="shared" si="127"/>
        <v>50447.9738</v>
      </c>
      <c r="BG120" s="356">
        <f t="shared" si="127"/>
        <v>50700.21367</v>
      </c>
      <c r="BH120" s="356">
        <f t="shared" si="127"/>
        <v>50953.71474</v>
      </c>
      <c r="BI120" s="356">
        <f t="shared" si="127"/>
        <v>51208.48331</v>
      </c>
      <c r="BJ120" s="356">
        <f t="shared" si="127"/>
        <v>51464.52573</v>
      </c>
      <c r="BK120" s="356">
        <f t="shared" si="127"/>
        <v>52756.28533</v>
      </c>
      <c r="BL120" s="356">
        <f t="shared" si="127"/>
        <v>51120.84048</v>
      </c>
      <c r="BM120" s="356">
        <f t="shared" si="127"/>
        <v>51376.44468</v>
      </c>
      <c r="BN120" s="356">
        <f t="shared" si="127"/>
        <v>51633.32691</v>
      </c>
      <c r="BO120" s="356">
        <f t="shared" si="127"/>
        <v>51891.49354</v>
      </c>
      <c r="BP120" s="356">
        <f t="shared" si="127"/>
        <v>52150.95101</v>
      </c>
      <c r="BQ120" s="356">
        <f t="shared" si="127"/>
        <v>52411.70576</v>
      </c>
      <c r="BR120" s="356">
        <f t="shared" si="127"/>
        <v>52673.76429</v>
      </c>
      <c r="BS120" s="356">
        <f t="shared" si="127"/>
        <v>52937.13311</v>
      </c>
      <c r="BT120" s="356">
        <f t="shared" si="127"/>
        <v>53201.81878</v>
      </c>
      <c r="BU120" s="356">
        <f t="shared" si="127"/>
        <v>53467.82787</v>
      </c>
      <c r="BV120" s="356">
        <f t="shared" si="127"/>
        <v>53735.16701</v>
      </c>
      <c r="BW120" s="356">
        <f t="shared" si="127"/>
        <v>54003.84285</v>
      </c>
      <c r="BX120" s="356">
        <f t="shared" si="127"/>
        <v>48603.45856</v>
      </c>
      <c r="BY120" s="356">
        <f t="shared" si="127"/>
        <v>48846.47586</v>
      </c>
      <c r="BZ120" s="356">
        <f t="shared" si="127"/>
        <v>49090.70824</v>
      </c>
      <c r="CA120" s="356">
        <f t="shared" si="127"/>
        <v>49336.16178</v>
      </c>
      <c r="CB120" s="356">
        <f t="shared" si="127"/>
        <v>49582.84259</v>
      </c>
      <c r="CC120" s="356">
        <f t="shared" si="127"/>
        <v>49830.7568</v>
      </c>
      <c r="CD120" s="356">
        <f t="shared" si="127"/>
        <v>50079.91058</v>
      </c>
      <c r="CE120" s="356">
        <f t="shared" si="127"/>
        <v>50330.31014</v>
      </c>
      <c r="CF120" s="356">
        <f t="shared" si="127"/>
        <v>50581.96169</v>
      </c>
      <c r="CG120" s="356">
        <f t="shared" si="127"/>
        <v>50834.87149</v>
      </c>
      <c r="CH120" s="356">
        <f t="shared" si="127"/>
        <v>51089.04585</v>
      </c>
      <c r="CI120" s="1"/>
      <c r="CJ120" s="1"/>
      <c r="CK120" s="1"/>
      <c r="CL120" s="1"/>
      <c r="CM120" s="1"/>
      <c r="CN120" s="1"/>
      <c r="CO120" s="1"/>
      <c r="CP120" s="1"/>
    </row>
    <row r="121" ht="15.75" customHeight="1">
      <c r="A121" s="1" t="s">
        <v>85</v>
      </c>
      <c r="B121" s="356"/>
      <c r="C121" s="356">
        <f t="shared" ref="C121:CH121" si="128">C113/12</f>
        <v>0</v>
      </c>
      <c r="D121" s="356">
        <f t="shared" si="128"/>
        <v>16250</v>
      </c>
      <c r="E121" s="356">
        <f t="shared" si="128"/>
        <v>19416.66667</v>
      </c>
      <c r="F121" s="356">
        <f t="shared" si="128"/>
        <v>41375</v>
      </c>
      <c r="G121" s="356">
        <f t="shared" si="128"/>
        <v>13270.83333</v>
      </c>
      <c r="H121" s="356">
        <f t="shared" si="128"/>
        <v>44020.83333</v>
      </c>
      <c r="I121" s="356">
        <f t="shared" si="128"/>
        <v>15708.33333</v>
      </c>
      <c r="J121" s="356">
        <f t="shared" si="128"/>
        <v>29729.16667</v>
      </c>
      <c r="K121" s="356">
        <f t="shared" si="128"/>
        <v>26458.33333</v>
      </c>
      <c r="L121" s="356">
        <f t="shared" si="128"/>
        <v>30708.33333</v>
      </c>
      <c r="M121" s="356">
        <f t="shared" si="128"/>
        <v>31875</v>
      </c>
      <c r="N121" s="356">
        <f t="shared" si="128"/>
        <v>0</v>
      </c>
      <c r="O121" s="356">
        <f t="shared" si="128"/>
        <v>99882.91667</v>
      </c>
      <c r="P121" s="356">
        <f t="shared" si="128"/>
        <v>174701.6667</v>
      </c>
      <c r="Q121" s="356">
        <f t="shared" si="128"/>
        <v>207046.25</v>
      </c>
      <c r="R121" s="356">
        <f t="shared" si="128"/>
        <v>132120.4167</v>
      </c>
      <c r="S121" s="356">
        <f t="shared" si="128"/>
        <v>127060</v>
      </c>
      <c r="T121" s="356">
        <f t="shared" si="128"/>
        <v>183225.4167</v>
      </c>
      <c r="U121" s="356">
        <f t="shared" si="128"/>
        <v>200689.1667</v>
      </c>
      <c r="V121" s="356">
        <f t="shared" si="128"/>
        <v>136250.8333</v>
      </c>
      <c r="W121" s="356">
        <f t="shared" si="128"/>
        <v>155707.9167</v>
      </c>
      <c r="X121" s="356">
        <f t="shared" si="128"/>
        <v>54159.58333</v>
      </c>
      <c r="Y121" s="356">
        <f t="shared" si="128"/>
        <v>102518.3333</v>
      </c>
      <c r="Z121" s="356">
        <f t="shared" si="128"/>
        <v>39062.5</v>
      </c>
      <c r="AA121" s="356">
        <f t="shared" si="128"/>
        <v>47812.5</v>
      </c>
      <c r="AB121" s="356">
        <f t="shared" si="128"/>
        <v>52593.75</v>
      </c>
      <c r="AC121" s="356">
        <f t="shared" si="128"/>
        <v>52593.75</v>
      </c>
      <c r="AD121" s="356">
        <f t="shared" si="128"/>
        <v>52593.75</v>
      </c>
      <c r="AE121" s="356">
        <f t="shared" si="128"/>
        <v>52593.75</v>
      </c>
      <c r="AF121" s="356">
        <f t="shared" si="128"/>
        <v>53645.625</v>
      </c>
      <c r="AG121" s="356">
        <f t="shared" si="128"/>
        <v>53645.625</v>
      </c>
      <c r="AH121" s="356">
        <f t="shared" si="128"/>
        <v>53645.625</v>
      </c>
      <c r="AI121" s="356">
        <f t="shared" si="128"/>
        <v>53645.625</v>
      </c>
      <c r="AJ121" s="356">
        <f t="shared" si="128"/>
        <v>50963.34375</v>
      </c>
      <c r="AK121" s="356">
        <f t="shared" si="128"/>
        <v>50963.34375</v>
      </c>
      <c r="AL121" s="356">
        <f t="shared" si="128"/>
        <v>50963.34375</v>
      </c>
      <c r="AM121" s="356">
        <f t="shared" si="128"/>
        <v>51474.25127</v>
      </c>
      <c r="AN121" s="356">
        <f t="shared" si="128"/>
        <v>36031.97589</v>
      </c>
      <c r="AO121" s="356">
        <f t="shared" si="128"/>
        <v>34230.3771</v>
      </c>
      <c r="AP121" s="356">
        <f t="shared" si="128"/>
        <v>34401.52898</v>
      </c>
      <c r="AQ121" s="356">
        <f t="shared" si="128"/>
        <v>34573.53663</v>
      </c>
      <c r="AR121" s="356">
        <f t="shared" si="128"/>
        <v>34920.13633</v>
      </c>
      <c r="AS121" s="356">
        <f t="shared" si="128"/>
        <v>35094.73701</v>
      </c>
      <c r="AT121" s="356">
        <f t="shared" si="128"/>
        <v>35270.2107</v>
      </c>
      <c r="AU121" s="356">
        <f t="shared" si="128"/>
        <v>35446.56175</v>
      </c>
      <c r="AV121" s="356">
        <f t="shared" si="128"/>
        <v>35623.79456</v>
      </c>
      <c r="AW121" s="356">
        <f t="shared" si="128"/>
        <v>35801.91353</v>
      </c>
      <c r="AX121" s="356">
        <f t="shared" si="128"/>
        <v>35980.9231</v>
      </c>
      <c r="AY121" s="356">
        <f t="shared" si="128"/>
        <v>36341.63185</v>
      </c>
      <c r="AZ121" s="356">
        <f t="shared" si="128"/>
        <v>36705.04817</v>
      </c>
      <c r="BA121" s="356">
        <f t="shared" si="128"/>
        <v>36888.57341</v>
      </c>
      <c r="BB121" s="356">
        <f t="shared" si="128"/>
        <v>37073.01628</v>
      </c>
      <c r="BC121" s="356">
        <f t="shared" si="128"/>
        <v>37258.38136</v>
      </c>
      <c r="BD121" s="356">
        <f t="shared" si="128"/>
        <v>37444.67327</v>
      </c>
      <c r="BE121" s="356">
        <f t="shared" si="128"/>
        <v>37631.89663</v>
      </c>
      <c r="BF121" s="356">
        <f t="shared" si="128"/>
        <v>37820.05612</v>
      </c>
      <c r="BG121" s="356">
        <f t="shared" si="128"/>
        <v>38009.1564</v>
      </c>
      <c r="BH121" s="356">
        <f t="shared" si="128"/>
        <v>38199.20218</v>
      </c>
      <c r="BI121" s="356">
        <f t="shared" si="128"/>
        <v>38390.19819</v>
      </c>
      <c r="BJ121" s="356">
        <f t="shared" si="128"/>
        <v>38582.14918</v>
      </c>
      <c r="BK121" s="356">
        <f t="shared" si="128"/>
        <v>39550.56113</v>
      </c>
      <c r="BL121" s="356">
        <f t="shared" si="128"/>
        <v>38324.49373</v>
      </c>
      <c r="BM121" s="356">
        <f t="shared" si="128"/>
        <v>38516.1162</v>
      </c>
      <c r="BN121" s="356">
        <f t="shared" si="128"/>
        <v>38708.69678</v>
      </c>
      <c r="BO121" s="356">
        <f t="shared" si="128"/>
        <v>38902.24027</v>
      </c>
      <c r="BP121" s="356">
        <f t="shared" si="128"/>
        <v>39096.75147</v>
      </c>
      <c r="BQ121" s="356">
        <f t="shared" si="128"/>
        <v>39292.23522</v>
      </c>
      <c r="BR121" s="356">
        <f t="shared" si="128"/>
        <v>39488.6964</v>
      </c>
      <c r="BS121" s="356">
        <f t="shared" si="128"/>
        <v>39686.13988</v>
      </c>
      <c r="BT121" s="356">
        <f t="shared" si="128"/>
        <v>39884.57058</v>
      </c>
      <c r="BU121" s="356">
        <f t="shared" si="128"/>
        <v>40083.99343</v>
      </c>
      <c r="BV121" s="356">
        <f t="shared" si="128"/>
        <v>40284.4134</v>
      </c>
      <c r="BW121" s="356">
        <f t="shared" si="128"/>
        <v>40485.83547</v>
      </c>
      <c r="BX121" s="356">
        <f t="shared" si="128"/>
        <v>36437.25192</v>
      </c>
      <c r="BY121" s="356">
        <f t="shared" si="128"/>
        <v>36619.43818</v>
      </c>
      <c r="BZ121" s="356">
        <f t="shared" si="128"/>
        <v>36802.53537</v>
      </c>
      <c r="CA121" s="356">
        <f t="shared" si="128"/>
        <v>36986.54805</v>
      </c>
      <c r="CB121" s="356">
        <f t="shared" si="128"/>
        <v>37171.48079</v>
      </c>
      <c r="CC121" s="356">
        <f t="shared" si="128"/>
        <v>37357.33819</v>
      </c>
      <c r="CD121" s="356">
        <f t="shared" si="128"/>
        <v>37544.12488</v>
      </c>
      <c r="CE121" s="356">
        <f t="shared" si="128"/>
        <v>37731.84551</v>
      </c>
      <c r="CF121" s="356">
        <f t="shared" si="128"/>
        <v>37920.50474</v>
      </c>
      <c r="CG121" s="356">
        <f t="shared" si="128"/>
        <v>38110.10726</v>
      </c>
      <c r="CH121" s="356">
        <f t="shared" si="128"/>
        <v>38300.6578</v>
      </c>
      <c r="CI121" s="1"/>
      <c r="CJ121" s="1"/>
      <c r="CK121" s="1"/>
      <c r="CL121" s="1"/>
      <c r="CM121" s="1"/>
      <c r="CN121" s="1"/>
      <c r="CO121" s="1"/>
      <c r="CP121" s="1"/>
    </row>
    <row r="122" ht="15.75" customHeight="1">
      <c r="A122" s="1" t="s">
        <v>130</v>
      </c>
      <c r="B122" s="356"/>
      <c r="C122" s="356">
        <f t="shared" ref="C122:CH122" si="129">C114/12</f>
        <v>10166.66667</v>
      </c>
      <c r="D122" s="356">
        <f t="shared" si="129"/>
        <v>12333.33333</v>
      </c>
      <c r="E122" s="356">
        <f t="shared" si="129"/>
        <v>21125</v>
      </c>
      <c r="F122" s="356">
        <f t="shared" si="129"/>
        <v>10958.33333</v>
      </c>
      <c r="G122" s="356">
        <f t="shared" si="129"/>
        <v>2500</v>
      </c>
      <c r="H122" s="356">
        <f t="shared" si="129"/>
        <v>25312.5</v>
      </c>
      <c r="I122" s="356">
        <f t="shared" si="129"/>
        <v>11625</v>
      </c>
      <c r="J122" s="356">
        <f t="shared" si="129"/>
        <v>26000</v>
      </c>
      <c r="K122" s="356">
        <f t="shared" si="129"/>
        <v>11166.66667</v>
      </c>
      <c r="L122" s="356">
        <f t="shared" si="129"/>
        <v>9583.333333</v>
      </c>
      <c r="M122" s="356">
        <f t="shared" si="129"/>
        <v>5833.333333</v>
      </c>
      <c r="N122" s="356">
        <f t="shared" si="129"/>
        <v>0</v>
      </c>
      <c r="O122" s="356">
        <f t="shared" si="129"/>
        <v>88674.58333</v>
      </c>
      <c r="P122" s="356">
        <f t="shared" si="129"/>
        <v>188020.8333</v>
      </c>
      <c r="Q122" s="356">
        <f t="shared" si="129"/>
        <v>205501.6667</v>
      </c>
      <c r="R122" s="356">
        <f t="shared" si="129"/>
        <v>118504.1667</v>
      </c>
      <c r="S122" s="356">
        <f t="shared" si="129"/>
        <v>28750</v>
      </c>
      <c r="T122" s="356">
        <f t="shared" si="129"/>
        <v>92590.41667</v>
      </c>
      <c r="U122" s="356">
        <f t="shared" si="129"/>
        <v>74756.25</v>
      </c>
      <c r="V122" s="356">
        <f t="shared" si="129"/>
        <v>119002.9167</v>
      </c>
      <c r="W122" s="356">
        <f t="shared" si="129"/>
        <v>173164.5833</v>
      </c>
      <c r="X122" s="356">
        <f t="shared" si="129"/>
        <v>58730.41667</v>
      </c>
      <c r="Y122" s="356">
        <f t="shared" si="129"/>
        <v>78979.16667</v>
      </c>
      <c r="Z122" s="356">
        <f t="shared" si="129"/>
        <v>59234.375</v>
      </c>
      <c r="AA122" s="356">
        <f t="shared" si="129"/>
        <v>72502.875</v>
      </c>
      <c r="AB122" s="356">
        <f t="shared" si="129"/>
        <v>79753.1625</v>
      </c>
      <c r="AC122" s="356">
        <f t="shared" si="129"/>
        <v>79753.1625</v>
      </c>
      <c r="AD122" s="356">
        <f t="shared" si="129"/>
        <v>79753.1625</v>
      </c>
      <c r="AE122" s="356">
        <f t="shared" si="129"/>
        <v>79753.1625</v>
      </c>
      <c r="AF122" s="356">
        <f t="shared" si="129"/>
        <v>81348.22575</v>
      </c>
      <c r="AG122" s="356">
        <f t="shared" si="129"/>
        <v>81348.22575</v>
      </c>
      <c r="AH122" s="356">
        <f t="shared" si="129"/>
        <v>81348.22575</v>
      </c>
      <c r="AI122" s="356">
        <f t="shared" si="129"/>
        <v>81348.22575</v>
      </c>
      <c r="AJ122" s="356">
        <f t="shared" si="129"/>
        <v>77280.81446</v>
      </c>
      <c r="AK122" s="356">
        <f t="shared" si="129"/>
        <v>77280.81446</v>
      </c>
      <c r="AL122" s="356">
        <f t="shared" si="129"/>
        <v>77280.81446</v>
      </c>
      <c r="AM122" s="356">
        <f t="shared" si="129"/>
        <v>78443.89072</v>
      </c>
      <c r="AN122" s="356">
        <f t="shared" si="129"/>
        <v>54910.7235</v>
      </c>
      <c r="AO122" s="356">
        <f t="shared" si="129"/>
        <v>52165.18733</v>
      </c>
      <c r="AP122" s="356">
        <f t="shared" si="129"/>
        <v>52426.01327</v>
      </c>
      <c r="AQ122" s="356">
        <f t="shared" si="129"/>
        <v>52688.14333</v>
      </c>
      <c r="AR122" s="356">
        <f t="shared" si="129"/>
        <v>53481.09989</v>
      </c>
      <c r="AS122" s="356">
        <f t="shared" si="129"/>
        <v>53748.50539</v>
      </c>
      <c r="AT122" s="356">
        <f t="shared" si="129"/>
        <v>54017.24792</v>
      </c>
      <c r="AU122" s="356">
        <f t="shared" si="129"/>
        <v>54287.33415</v>
      </c>
      <c r="AV122" s="356">
        <f t="shared" si="129"/>
        <v>54558.77083</v>
      </c>
      <c r="AW122" s="356">
        <f t="shared" si="129"/>
        <v>54831.56468</v>
      </c>
      <c r="AX122" s="356">
        <f t="shared" si="129"/>
        <v>55105.7225</v>
      </c>
      <c r="AY122" s="356">
        <f t="shared" si="129"/>
        <v>55658.15737</v>
      </c>
      <c r="AZ122" s="356">
        <f t="shared" si="129"/>
        <v>56214.73895</v>
      </c>
      <c r="BA122" s="356">
        <f t="shared" si="129"/>
        <v>56495.81264</v>
      </c>
      <c r="BB122" s="356">
        <f t="shared" si="129"/>
        <v>56778.2917</v>
      </c>
      <c r="BC122" s="356">
        <f t="shared" si="129"/>
        <v>57062.18316</v>
      </c>
      <c r="BD122" s="356">
        <f t="shared" si="129"/>
        <v>57347.49408</v>
      </c>
      <c r="BE122" s="356">
        <f t="shared" si="129"/>
        <v>57634.23155</v>
      </c>
      <c r="BF122" s="356">
        <f t="shared" si="129"/>
        <v>57922.40271</v>
      </c>
      <c r="BG122" s="356">
        <f t="shared" si="129"/>
        <v>58212.01472</v>
      </c>
      <c r="BH122" s="356">
        <f t="shared" si="129"/>
        <v>58503.07479</v>
      </c>
      <c r="BI122" s="356">
        <f t="shared" si="129"/>
        <v>58795.59017</v>
      </c>
      <c r="BJ122" s="356">
        <f t="shared" si="129"/>
        <v>59089.56812</v>
      </c>
      <c r="BK122" s="356">
        <f t="shared" si="129"/>
        <v>62354.26676</v>
      </c>
      <c r="BL122" s="356">
        <f t="shared" si="129"/>
        <v>62198.38109</v>
      </c>
      <c r="BM122" s="356">
        <f t="shared" si="129"/>
        <v>62509.37299</v>
      </c>
      <c r="BN122" s="356">
        <f t="shared" si="129"/>
        <v>62821.91986</v>
      </c>
      <c r="BO122" s="356">
        <f t="shared" si="129"/>
        <v>63136.02946</v>
      </c>
      <c r="BP122" s="356">
        <f t="shared" si="129"/>
        <v>63451.70961</v>
      </c>
      <c r="BQ122" s="356">
        <f t="shared" si="129"/>
        <v>63768.96815</v>
      </c>
      <c r="BR122" s="356">
        <f t="shared" si="129"/>
        <v>64087.81299</v>
      </c>
      <c r="BS122" s="356">
        <f t="shared" si="129"/>
        <v>64408.25206</v>
      </c>
      <c r="BT122" s="356">
        <f t="shared" si="129"/>
        <v>64730.29332</v>
      </c>
      <c r="BU122" s="356">
        <f t="shared" si="129"/>
        <v>65053.94479</v>
      </c>
      <c r="BV122" s="356">
        <f t="shared" si="129"/>
        <v>65379.21451</v>
      </c>
      <c r="BW122" s="356">
        <f t="shared" si="129"/>
        <v>65706.11058</v>
      </c>
      <c r="BX122" s="356">
        <f t="shared" si="129"/>
        <v>59135.49952</v>
      </c>
      <c r="BY122" s="356">
        <f t="shared" si="129"/>
        <v>59431.17702</v>
      </c>
      <c r="BZ122" s="356">
        <f t="shared" si="129"/>
        <v>59728.33291</v>
      </c>
      <c r="CA122" s="356">
        <f t="shared" si="129"/>
        <v>60026.97457</v>
      </c>
      <c r="CB122" s="356">
        <f t="shared" si="129"/>
        <v>60327.10944</v>
      </c>
      <c r="CC122" s="356">
        <f t="shared" si="129"/>
        <v>60628.74499</v>
      </c>
      <c r="CD122" s="356">
        <f t="shared" si="129"/>
        <v>60931.88872</v>
      </c>
      <c r="CE122" s="356">
        <f t="shared" si="129"/>
        <v>61236.54816</v>
      </c>
      <c r="CF122" s="356">
        <f t="shared" si="129"/>
        <v>61542.7309</v>
      </c>
      <c r="CG122" s="356">
        <f t="shared" si="129"/>
        <v>61850.44456</v>
      </c>
      <c r="CH122" s="356">
        <f t="shared" si="129"/>
        <v>62159.69678</v>
      </c>
      <c r="CI122" s="1"/>
      <c r="CJ122" s="1"/>
      <c r="CK122" s="1"/>
      <c r="CL122" s="1"/>
      <c r="CM122" s="1"/>
      <c r="CN122" s="1"/>
      <c r="CO122" s="1"/>
      <c r="CP122" s="1"/>
    </row>
    <row r="123" ht="15.75" customHeight="1">
      <c r="A123" s="1" t="s">
        <v>89</v>
      </c>
      <c r="B123" s="356"/>
      <c r="C123" s="356">
        <f t="shared" ref="C123:CH123" si="130">C115/3</f>
        <v>0</v>
      </c>
      <c r="D123" s="356">
        <f t="shared" si="130"/>
        <v>0</v>
      </c>
      <c r="E123" s="356">
        <f t="shared" si="130"/>
        <v>0</v>
      </c>
      <c r="F123" s="356">
        <f t="shared" si="130"/>
        <v>0</v>
      </c>
      <c r="G123" s="356">
        <f t="shared" si="130"/>
        <v>0</v>
      </c>
      <c r="H123" s="356">
        <f t="shared" si="130"/>
        <v>0</v>
      </c>
      <c r="I123" s="356">
        <f t="shared" si="130"/>
        <v>6833.333333</v>
      </c>
      <c r="J123" s="356">
        <f t="shared" si="130"/>
        <v>0</v>
      </c>
      <c r="K123" s="356">
        <f t="shared" si="130"/>
        <v>0</v>
      </c>
      <c r="L123" s="356">
        <f t="shared" si="130"/>
        <v>9333.333333</v>
      </c>
      <c r="M123" s="356">
        <f t="shared" si="130"/>
        <v>7666.666667</v>
      </c>
      <c r="N123" s="356">
        <f t="shared" si="130"/>
        <v>0</v>
      </c>
      <c r="O123" s="356">
        <f t="shared" si="130"/>
        <v>347513.3333</v>
      </c>
      <c r="P123" s="356">
        <f t="shared" si="130"/>
        <v>549096.6667</v>
      </c>
      <c r="Q123" s="356">
        <f t="shared" si="130"/>
        <v>720315</v>
      </c>
      <c r="R123" s="356">
        <f t="shared" si="130"/>
        <v>707588.3333</v>
      </c>
      <c r="S123" s="356">
        <f t="shared" si="130"/>
        <v>8333.333333</v>
      </c>
      <c r="T123" s="356">
        <f t="shared" si="130"/>
        <v>776100</v>
      </c>
      <c r="U123" s="356">
        <f t="shared" si="130"/>
        <v>496651.6667</v>
      </c>
      <c r="V123" s="356">
        <f t="shared" si="130"/>
        <v>372651.6667</v>
      </c>
      <c r="W123" s="356">
        <f t="shared" si="130"/>
        <v>654761.6667</v>
      </c>
      <c r="X123" s="356">
        <f t="shared" si="130"/>
        <v>447108.3333</v>
      </c>
      <c r="Y123" s="356">
        <f t="shared" si="130"/>
        <v>541990</v>
      </c>
      <c r="Z123" s="356">
        <f t="shared" si="130"/>
        <v>28125</v>
      </c>
      <c r="AA123" s="356">
        <f t="shared" si="130"/>
        <v>34425</v>
      </c>
      <c r="AB123" s="356">
        <f t="shared" si="130"/>
        <v>37867.5</v>
      </c>
      <c r="AC123" s="356">
        <f t="shared" si="130"/>
        <v>37867.5</v>
      </c>
      <c r="AD123" s="356">
        <f t="shared" si="130"/>
        <v>37867.5</v>
      </c>
      <c r="AE123" s="356">
        <f t="shared" si="130"/>
        <v>37867.5</v>
      </c>
      <c r="AF123" s="356">
        <f t="shared" si="130"/>
        <v>39003.525</v>
      </c>
      <c r="AG123" s="356">
        <f t="shared" si="130"/>
        <v>39003.525</v>
      </c>
      <c r="AH123" s="356">
        <f t="shared" si="130"/>
        <v>39003.525</v>
      </c>
      <c r="AI123" s="356">
        <f t="shared" si="130"/>
        <v>39003.525</v>
      </c>
      <c r="AJ123" s="356">
        <f t="shared" si="130"/>
        <v>37053.34875</v>
      </c>
      <c r="AK123" s="356">
        <f t="shared" si="130"/>
        <v>37053.34875</v>
      </c>
      <c r="AL123" s="356">
        <f t="shared" si="130"/>
        <v>37053.34875</v>
      </c>
      <c r="AM123" s="356">
        <f t="shared" si="130"/>
        <v>38728.16011</v>
      </c>
      <c r="AN123" s="356">
        <f t="shared" si="130"/>
        <v>27109.71208</v>
      </c>
      <c r="AO123" s="356">
        <f t="shared" si="130"/>
        <v>25754.22648</v>
      </c>
      <c r="AP123" s="356">
        <f t="shared" si="130"/>
        <v>25882.99761</v>
      </c>
      <c r="AQ123" s="356">
        <f t="shared" si="130"/>
        <v>26012.4126</v>
      </c>
      <c r="AR123" s="356">
        <f t="shared" si="130"/>
        <v>26403.89941</v>
      </c>
      <c r="AS123" s="356">
        <f t="shared" si="130"/>
        <v>26535.9189</v>
      </c>
      <c r="AT123" s="356">
        <f t="shared" si="130"/>
        <v>26668.5985</v>
      </c>
      <c r="AU123" s="356">
        <f t="shared" si="130"/>
        <v>26801.94149</v>
      </c>
      <c r="AV123" s="356">
        <f t="shared" si="130"/>
        <v>26935.9512</v>
      </c>
      <c r="AW123" s="356">
        <f t="shared" si="130"/>
        <v>27070.63095</v>
      </c>
      <c r="AX123" s="356">
        <f t="shared" si="130"/>
        <v>27205.98411</v>
      </c>
      <c r="AY123" s="356">
        <f t="shared" si="130"/>
        <v>28162.27445</v>
      </c>
      <c r="AZ123" s="356">
        <f t="shared" si="130"/>
        <v>28443.89719</v>
      </c>
      <c r="BA123" s="356">
        <f t="shared" si="130"/>
        <v>28586.11668</v>
      </c>
      <c r="BB123" s="356">
        <f t="shared" si="130"/>
        <v>28729.04726</v>
      </c>
      <c r="BC123" s="356">
        <f t="shared" si="130"/>
        <v>28872.6925</v>
      </c>
      <c r="BD123" s="356">
        <f t="shared" si="130"/>
        <v>29017.05596</v>
      </c>
      <c r="BE123" s="356">
        <f t="shared" si="130"/>
        <v>29162.14124</v>
      </c>
      <c r="BF123" s="356">
        <f t="shared" si="130"/>
        <v>29307.95195</v>
      </c>
      <c r="BG123" s="356">
        <f t="shared" si="130"/>
        <v>29454.49171</v>
      </c>
      <c r="BH123" s="356">
        <f t="shared" si="130"/>
        <v>29601.76417</v>
      </c>
      <c r="BI123" s="356">
        <f t="shared" si="130"/>
        <v>29749.77299</v>
      </c>
      <c r="BJ123" s="356">
        <f t="shared" si="130"/>
        <v>29898.52185</v>
      </c>
      <c r="BK123" s="356">
        <f t="shared" si="130"/>
        <v>31550.41518</v>
      </c>
      <c r="BL123" s="356">
        <f t="shared" si="130"/>
        <v>31471.53915</v>
      </c>
      <c r="BM123" s="356">
        <f t="shared" si="130"/>
        <v>31628.89684</v>
      </c>
      <c r="BN123" s="356">
        <f t="shared" si="130"/>
        <v>31787.04133</v>
      </c>
      <c r="BO123" s="356">
        <f t="shared" si="130"/>
        <v>31945.97653</v>
      </c>
      <c r="BP123" s="356">
        <f t="shared" si="130"/>
        <v>32105.70642</v>
      </c>
      <c r="BQ123" s="356">
        <f t="shared" si="130"/>
        <v>32266.23495</v>
      </c>
      <c r="BR123" s="356">
        <f t="shared" si="130"/>
        <v>32427.56612</v>
      </c>
      <c r="BS123" s="356">
        <f t="shared" si="130"/>
        <v>32589.70395</v>
      </c>
      <c r="BT123" s="356">
        <f t="shared" si="130"/>
        <v>32752.65247</v>
      </c>
      <c r="BU123" s="356">
        <f t="shared" si="130"/>
        <v>32916.41573</v>
      </c>
      <c r="BV123" s="356">
        <f t="shared" si="130"/>
        <v>33080.99781</v>
      </c>
      <c r="BW123" s="356">
        <f t="shared" si="130"/>
        <v>33246.4028</v>
      </c>
      <c r="BX123" s="356">
        <f t="shared" si="130"/>
        <v>29921.76252</v>
      </c>
      <c r="BY123" s="356">
        <f t="shared" si="130"/>
        <v>30071.37134</v>
      </c>
      <c r="BZ123" s="356">
        <f t="shared" si="130"/>
        <v>30221.72819</v>
      </c>
      <c r="CA123" s="356">
        <f t="shared" si="130"/>
        <v>30372.83683</v>
      </c>
      <c r="CB123" s="356">
        <f t="shared" si="130"/>
        <v>30524.70102</v>
      </c>
      <c r="CC123" s="356">
        <f t="shared" si="130"/>
        <v>30677.32452</v>
      </c>
      <c r="CD123" s="356">
        <f t="shared" si="130"/>
        <v>30830.71114</v>
      </c>
      <c r="CE123" s="356">
        <f t="shared" si="130"/>
        <v>30984.8647</v>
      </c>
      <c r="CF123" s="356">
        <f t="shared" si="130"/>
        <v>31139.78902</v>
      </c>
      <c r="CG123" s="356">
        <f t="shared" si="130"/>
        <v>31295.48797</v>
      </c>
      <c r="CH123" s="356">
        <f t="shared" si="130"/>
        <v>31451.96541</v>
      </c>
      <c r="CI123" s="1"/>
      <c r="CJ123" s="1"/>
      <c r="CK123" s="1"/>
      <c r="CL123" s="1"/>
      <c r="CM123" s="1"/>
      <c r="CN123" s="1"/>
      <c r="CO123" s="1"/>
      <c r="CP123" s="1"/>
    </row>
    <row r="124" ht="15.75" customHeight="1">
      <c r="A124" s="1" t="s">
        <v>94</v>
      </c>
      <c r="B124" s="356"/>
      <c r="C124" s="356">
        <f t="shared" ref="C124:CH124" si="131">C116/3</f>
        <v>653068.3333</v>
      </c>
      <c r="D124" s="356">
        <f t="shared" si="131"/>
        <v>603970</v>
      </c>
      <c r="E124" s="356">
        <f t="shared" si="131"/>
        <v>781788.3333</v>
      </c>
      <c r="F124" s="356">
        <f t="shared" si="131"/>
        <v>315813.3333</v>
      </c>
      <c r="G124" s="356">
        <f t="shared" si="131"/>
        <v>622138.3333</v>
      </c>
      <c r="H124" s="356">
        <f t="shared" si="131"/>
        <v>748500</v>
      </c>
      <c r="I124" s="356">
        <f t="shared" si="131"/>
        <v>226895</v>
      </c>
      <c r="J124" s="356">
        <f t="shared" si="131"/>
        <v>575286.6667</v>
      </c>
      <c r="K124" s="356">
        <f t="shared" si="131"/>
        <v>456018.3333</v>
      </c>
      <c r="L124" s="356">
        <f t="shared" si="131"/>
        <v>251200</v>
      </c>
      <c r="M124" s="356">
        <f t="shared" si="131"/>
        <v>491005</v>
      </c>
      <c r="N124" s="356">
        <f t="shared" si="131"/>
        <v>0</v>
      </c>
      <c r="O124" s="356">
        <f t="shared" si="131"/>
        <v>459310</v>
      </c>
      <c r="P124" s="356">
        <f t="shared" si="131"/>
        <v>387701.6667</v>
      </c>
      <c r="Q124" s="356">
        <f t="shared" si="131"/>
        <v>427668.3333</v>
      </c>
      <c r="R124" s="356">
        <f t="shared" si="131"/>
        <v>659623.3333</v>
      </c>
      <c r="S124" s="356">
        <f t="shared" si="131"/>
        <v>763428.3333</v>
      </c>
      <c r="T124" s="356">
        <f t="shared" si="131"/>
        <v>640568.3333</v>
      </c>
      <c r="U124" s="356">
        <f t="shared" si="131"/>
        <v>499013.3333</v>
      </c>
      <c r="V124" s="356">
        <f t="shared" si="131"/>
        <v>309476.6667</v>
      </c>
      <c r="W124" s="356">
        <f t="shared" si="131"/>
        <v>533276.6667</v>
      </c>
      <c r="X124" s="356">
        <f t="shared" si="131"/>
        <v>240791.6667</v>
      </c>
      <c r="Y124" s="356">
        <f t="shared" si="131"/>
        <v>597833.3333</v>
      </c>
      <c r="Z124" s="356">
        <f t="shared" si="131"/>
        <v>18750</v>
      </c>
      <c r="AA124" s="356">
        <f t="shared" si="131"/>
        <v>22950</v>
      </c>
      <c r="AB124" s="356">
        <f t="shared" si="131"/>
        <v>25245</v>
      </c>
      <c r="AC124" s="356">
        <f t="shared" si="131"/>
        <v>25245</v>
      </c>
      <c r="AD124" s="356">
        <f t="shared" si="131"/>
        <v>25245</v>
      </c>
      <c r="AE124" s="356">
        <f t="shared" si="131"/>
        <v>25245</v>
      </c>
      <c r="AF124" s="356">
        <f t="shared" si="131"/>
        <v>25749.9</v>
      </c>
      <c r="AG124" s="356">
        <f t="shared" si="131"/>
        <v>25749.9</v>
      </c>
      <c r="AH124" s="356">
        <f t="shared" si="131"/>
        <v>25749.9</v>
      </c>
      <c r="AI124" s="356">
        <f t="shared" si="131"/>
        <v>25749.9</v>
      </c>
      <c r="AJ124" s="356">
        <f t="shared" si="131"/>
        <v>24462.405</v>
      </c>
      <c r="AK124" s="356">
        <f t="shared" si="131"/>
        <v>24462.405</v>
      </c>
      <c r="AL124" s="356">
        <f t="shared" si="131"/>
        <v>24462.405</v>
      </c>
      <c r="AM124" s="356">
        <f t="shared" si="131"/>
        <v>24830.5642</v>
      </c>
      <c r="AN124" s="356">
        <f t="shared" si="131"/>
        <v>25078.86984</v>
      </c>
      <c r="AO124" s="356">
        <f t="shared" si="131"/>
        <v>26332.81333</v>
      </c>
      <c r="AP124" s="356">
        <f t="shared" si="131"/>
        <v>26464.4774</v>
      </c>
      <c r="AQ124" s="356">
        <f t="shared" si="131"/>
        <v>26596.79978</v>
      </c>
      <c r="AR124" s="356">
        <f t="shared" si="131"/>
        <v>26997.08162</v>
      </c>
      <c r="AS124" s="356">
        <f t="shared" si="131"/>
        <v>27132.06703</v>
      </c>
      <c r="AT124" s="356">
        <f t="shared" si="131"/>
        <v>27267.72736</v>
      </c>
      <c r="AU124" s="356">
        <f t="shared" si="131"/>
        <v>27404.066</v>
      </c>
      <c r="AV124" s="356">
        <f t="shared" si="131"/>
        <v>27541.08633</v>
      </c>
      <c r="AW124" s="356">
        <f t="shared" si="131"/>
        <v>27678.79176</v>
      </c>
      <c r="AX124" s="356">
        <f t="shared" si="131"/>
        <v>27817.18572</v>
      </c>
      <c r="AY124" s="356">
        <f t="shared" si="131"/>
        <v>28794.9598</v>
      </c>
      <c r="AZ124" s="356">
        <f t="shared" si="131"/>
        <v>29082.9094</v>
      </c>
      <c r="BA124" s="356">
        <f t="shared" si="131"/>
        <v>29228.32394</v>
      </c>
      <c r="BB124" s="356">
        <f t="shared" si="131"/>
        <v>29374.46556</v>
      </c>
      <c r="BC124" s="356">
        <f t="shared" si="131"/>
        <v>29521.33789</v>
      </c>
      <c r="BD124" s="356">
        <f t="shared" si="131"/>
        <v>29668.94458</v>
      </c>
      <c r="BE124" s="356">
        <f t="shared" si="131"/>
        <v>29817.2893</v>
      </c>
      <c r="BF124" s="356">
        <f t="shared" si="131"/>
        <v>29966.37575</v>
      </c>
      <c r="BG124" s="356">
        <f t="shared" si="131"/>
        <v>30116.20763</v>
      </c>
      <c r="BH124" s="356">
        <f t="shared" si="131"/>
        <v>30266.78867</v>
      </c>
      <c r="BI124" s="356">
        <f t="shared" si="131"/>
        <v>30418.12261</v>
      </c>
      <c r="BJ124" s="356">
        <f t="shared" si="131"/>
        <v>30570.21322</v>
      </c>
      <c r="BK124" s="356">
        <f t="shared" si="131"/>
        <v>32259.2175</v>
      </c>
      <c r="BL124" s="356">
        <f t="shared" si="131"/>
        <v>32178.56946</v>
      </c>
      <c r="BM124" s="356">
        <f t="shared" si="131"/>
        <v>32339.46231</v>
      </c>
      <c r="BN124" s="356">
        <f t="shared" si="131"/>
        <v>32501.15962</v>
      </c>
      <c r="BO124" s="356">
        <f t="shared" si="131"/>
        <v>32663.66542</v>
      </c>
      <c r="BP124" s="356">
        <f t="shared" si="131"/>
        <v>32826.98374</v>
      </c>
      <c r="BQ124" s="356">
        <f t="shared" si="131"/>
        <v>32991.11866</v>
      </c>
      <c r="BR124" s="356">
        <f t="shared" si="131"/>
        <v>33156.07426</v>
      </c>
      <c r="BS124" s="356">
        <f t="shared" si="131"/>
        <v>33321.85463</v>
      </c>
      <c r="BT124" s="356">
        <f t="shared" si="131"/>
        <v>33488.4639</v>
      </c>
      <c r="BU124" s="356">
        <f t="shared" si="131"/>
        <v>33655.90622</v>
      </c>
      <c r="BV124" s="356">
        <f t="shared" si="131"/>
        <v>33824.18575</v>
      </c>
      <c r="BW124" s="356">
        <f t="shared" si="131"/>
        <v>33993.30668</v>
      </c>
      <c r="BX124" s="356">
        <f t="shared" si="131"/>
        <v>30593.97601</v>
      </c>
      <c r="BY124" s="356">
        <f t="shared" si="131"/>
        <v>30746.94589</v>
      </c>
      <c r="BZ124" s="356">
        <f t="shared" si="131"/>
        <v>30900.68062</v>
      </c>
      <c r="CA124" s="356">
        <f t="shared" si="131"/>
        <v>31055.18402</v>
      </c>
      <c r="CB124" s="356">
        <f t="shared" si="131"/>
        <v>31210.45994</v>
      </c>
      <c r="CC124" s="356">
        <f t="shared" si="131"/>
        <v>31366.51224</v>
      </c>
      <c r="CD124" s="356">
        <f t="shared" si="131"/>
        <v>31523.3448</v>
      </c>
      <c r="CE124" s="356">
        <f t="shared" si="131"/>
        <v>31680.96153</v>
      </c>
      <c r="CF124" s="356">
        <f t="shared" si="131"/>
        <v>31839.36634</v>
      </c>
      <c r="CG124" s="356">
        <f t="shared" si="131"/>
        <v>31998.56317</v>
      </c>
      <c r="CH124" s="356">
        <f t="shared" si="131"/>
        <v>32158.55598</v>
      </c>
      <c r="CI124" s="1"/>
      <c r="CJ124" s="1"/>
      <c r="CK124" s="1"/>
      <c r="CL124" s="1"/>
      <c r="CM124" s="1"/>
      <c r="CN124" s="1"/>
      <c r="CO124" s="1"/>
      <c r="CP124" s="1"/>
    </row>
    <row r="125" ht="15.75" customHeight="1">
      <c r="A125" s="1" t="s">
        <v>96</v>
      </c>
      <c r="B125" s="356"/>
      <c r="C125" s="356">
        <f t="shared" ref="C125:T125" si="132">C117/2</f>
        <v>0</v>
      </c>
      <c r="D125" s="356">
        <f t="shared" si="132"/>
        <v>0</v>
      </c>
      <c r="E125" s="356">
        <f t="shared" si="132"/>
        <v>0</v>
      </c>
      <c r="F125" s="356">
        <f t="shared" si="132"/>
        <v>0</v>
      </c>
      <c r="G125" s="356">
        <f t="shared" si="132"/>
        <v>0</v>
      </c>
      <c r="H125" s="356">
        <f t="shared" si="132"/>
        <v>0</v>
      </c>
      <c r="I125" s="356">
        <f t="shared" si="132"/>
        <v>0</v>
      </c>
      <c r="J125" s="356">
        <f t="shared" si="132"/>
        <v>0</v>
      </c>
      <c r="K125" s="356">
        <f t="shared" si="132"/>
        <v>0</v>
      </c>
      <c r="L125" s="356">
        <f t="shared" si="132"/>
        <v>37500</v>
      </c>
      <c r="M125" s="356">
        <f t="shared" si="132"/>
        <v>50000</v>
      </c>
      <c r="N125" s="356">
        <f t="shared" si="132"/>
        <v>0</v>
      </c>
      <c r="O125" s="356">
        <f t="shared" si="132"/>
        <v>404460</v>
      </c>
      <c r="P125" s="356">
        <f t="shared" si="132"/>
        <v>936795</v>
      </c>
      <c r="Q125" s="356">
        <f t="shared" si="132"/>
        <v>540380</v>
      </c>
      <c r="R125" s="356">
        <f t="shared" si="132"/>
        <v>414855</v>
      </c>
      <c r="S125" s="356">
        <f t="shared" si="132"/>
        <v>318207.5</v>
      </c>
      <c r="T125" s="356">
        <f t="shared" si="132"/>
        <v>423152.5</v>
      </c>
      <c r="U125" s="356">
        <v>50000.0</v>
      </c>
      <c r="V125" s="356">
        <f t="shared" ref="V125:CH125" si="133">V117/2</f>
        <v>726640</v>
      </c>
      <c r="W125" s="356">
        <f t="shared" si="133"/>
        <v>1201037.5</v>
      </c>
      <c r="X125" s="356">
        <f t="shared" si="133"/>
        <v>499825</v>
      </c>
      <c r="Y125" s="356">
        <f t="shared" si="133"/>
        <v>997000</v>
      </c>
      <c r="Z125" s="356">
        <f t="shared" si="133"/>
        <v>187500</v>
      </c>
      <c r="AA125" s="356">
        <f t="shared" si="133"/>
        <v>225000</v>
      </c>
      <c r="AB125" s="356">
        <f t="shared" si="133"/>
        <v>247500</v>
      </c>
      <c r="AC125" s="356">
        <f t="shared" si="133"/>
        <v>247500</v>
      </c>
      <c r="AD125" s="356">
        <f t="shared" si="133"/>
        <v>247500</v>
      </c>
      <c r="AE125" s="356">
        <f t="shared" si="133"/>
        <v>247500</v>
      </c>
      <c r="AF125" s="356">
        <f t="shared" si="133"/>
        <v>247500</v>
      </c>
      <c r="AG125" s="356">
        <f t="shared" si="133"/>
        <v>247500</v>
      </c>
      <c r="AH125" s="356">
        <f t="shared" si="133"/>
        <v>247500</v>
      </c>
      <c r="AI125" s="356">
        <f t="shared" si="133"/>
        <v>247500</v>
      </c>
      <c r="AJ125" s="356">
        <f t="shared" si="133"/>
        <v>247500</v>
      </c>
      <c r="AK125" s="356">
        <f t="shared" si="133"/>
        <v>247500</v>
      </c>
      <c r="AL125" s="356">
        <f t="shared" si="133"/>
        <v>247500</v>
      </c>
      <c r="AM125" s="356">
        <f t="shared" si="133"/>
        <v>247500</v>
      </c>
      <c r="AN125" s="356">
        <f t="shared" si="133"/>
        <v>247500</v>
      </c>
      <c r="AO125" s="356">
        <f t="shared" si="133"/>
        <v>247500</v>
      </c>
      <c r="AP125" s="356">
        <f t="shared" si="133"/>
        <v>247500</v>
      </c>
      <c r="AQ125" s="356">
        <f t="shared" si="133"/>
        <v>247500</v>
      </c>
      <c r="AR125" s="356">
        <f t="shared" si="133"/>
        <v>247500</v>
      </c>
      <c r="AS125" s="356">
        <f t="shared" si="133"/>
        <v>247500</v>
      </c>
      <c r="AT125" s="356">
        <f t="shared" si="133"/>
        <v>247500</v>
      </c>
      <c r="AU125" s="356">
        <f t="shared" si="133"/>
        <v>247500</v>
      </c>
      <c r="AV125" s="356">
        <f t="shared" si="133"/>
        <v>247500</v>
      </c>
      <c r="AW125" s="356">
        <f t="shared" si="133"/>
        <v>247500</v>
      </c>
      <c r="AX125" s="356">
        <f t="shared" si="133"/>
        <v>247500</v>
      </c>
      <c r="AY125" s="356">
        <f t="shared" si="133"/>
        <v>247500</v>
      </c>
      <c r="AZ125" s="356">
        <f t="shared" si="133"/>
        <v>247500</v>
      </c>
      <c r="BA125" s="356">
        <f t="shared" si="133"/>
        <v>247500</v>
      </c>
      <c r="BB125" s="356">
        <f t="shared" si="133"/>
        <v>247500</v>
      </c>
      <c r="BC125" s="356">
        <f t="shared" si="133"/>
        <v>247500</v>
      </c>
      <c r="BD125" s="356">
        <f t="shared" si="133"/>
        <v>247500</v>
      </c>
      <c r="BE125" s="356">
        <f t="shared" si="133"/>
        <v>247500</v>
      </c>
      <c r="BF125" s="356">
        <f t="shared" si="133"/>
        <v>247500</v>
      </c>
      <c r="BG125" s="356">
        <f t="shared" si="133"/>
        <v>247500</v>
      </c>
      <c r="BH125" s="356">
        <f t="shared" si="133"/>
        <v>247500</v>
      </c>
      <c r="BI125" s="356">
        <f t="shared" si="133"/>
        <v>247500</v>
      </c>
      <c r="BJ125" s="356">
        <f t="shared" si="133"/>
        <v>247500</v>
      </c>
      <c r="BK125" s="356">
        <f t="shared" si="133"/>
        <v>247500</v>
      </c>
      <c r="BL125" s="356">
        <f t="shared" si="133"/>
        <v>247500</v>
      </c>
      <c r="BM125" s="356">
        <f t="shared" si="133"/>
        <v>247500</v>
      </c>
      <c r="BN125" s="356">
        <f t="shared" si="133"/>
        <v>247500</v>
      </c>
      <c r="BO125" s="356">
        <f t="shared" si="133"/>
        <v>247500</v>
      </c>
      <c r="BP125" s="356">
        <f t="shared" si="133"/>
        <v>247500</v>
      </c>
      <c r="BQ125" s="356">
        <f t="shared" si="133"/>
        <v>247500</v>
      </c>
      <c r="BR125" s="356">
        <f t="shared" si="133"/>
        <v>247500</v>
      </c>
      <c r="BS125" s="356">
        <f t="shared" si="133"/>
        <v>247500</v>
      </c>
      <c r="BT125" s="356">
        <f t="shared" si="133"/>
        <v>247500</v>
      </c>
      <c r="BU125" s="356">
        <f t="shared" si="133"/>
        <v>247500</v>
      </c>
      <c r="BV125" s="356">
        <f t="shared" si="133"/>
        <v>247500</v>
      </c>
      <c r="BW125" s="356">
        <f t="shared" si="133"/>
        <v>247500</v>
      </c>
      <c r="BX125" s="356">
        <f t="shared" si="133"/>
        <v>247500</v>
      </c>
      <c r="BY125" s="356">
        <f t="shared" si="133"/>
        <v>247500</v>
      </c>
      <c r="BZ125" s="356">
        <f t="shared" si="133"/>
        <v>247500</v>
      </c>
      <c r="CA125" s="356">
        <f t="shared" si="133"/>
        <v>247500</v>
      </c>
      <c r="CB125" s="356">
        <f t="shared" si="133"/>
        <v>247500</v>
      </c>
      <c r="CC125" s="356">
        <f t="shared" si="133"/>
        <v>247500</v>
      </c>
      <c r="CD125" s="356">
        <f t="shared" si="133"/>
        <v>247500</v>
      </c>
      <c r="CE125" s="356">
        <f t="shared" si="133"/>
        <v>247500</v>
      </c>
      <c r="CF125" s="356">
        <f t="shared" si="133"/>
        <v>247500</v>
      </c>
      <c r="CG125" s="356">
        <f t="shared" si="133"/>
        <v>247500</v>
      </c>
      <c r="CH125" s="356">
        <f t="shared" si="133"/>
        <v>247500</v>
      </c>
      <c r="CI125" s="1"/>
      <c r="CJ125" s="1"/>
      <c r="CK125" s="1"/>
      <c r="CL125" s="1"/>
      <c r="CM125" s="1"/>
      <c r="CN125" s="1"/>
      <c r="CO125" s="1"/>
      <c r="CP125" s="1"/>
    </row>
    <row r="126" ht="15.75" customHeight="1">
      <c r="A126" s="119" t="s">
        <v>607</v>
      </c>
      <c r="B126" s="351"/>
      <c r="C126" s="351">
        <f t="shared" ref="C126:CH126" si="134">SUM(C120:C125)</f>
        <v>713651.6667</v>
      </c>
      <c r="D126" s="351">
        <f t="shared" si="134"/>
        <v>695990.8333</v>
      </c>
      <c r="E126" s="351">
        <f t="shared" si="134"/>
        <v>889080</v>
      </c>
      <c r="F126" s="351">
        <f t="shared" si="134"/>
        <v>419167.5</v>
      </c>
      <c r="G126" s="351">
        <f t="shared" si="134"/>
        <v>658325.8333</v>
      </c>
      <c r="H126" s="351">
        <f t="shared" si="134"/>
        <v>884833.3333</v>
      </c>
      <c r="I126" s="351">
        <f t="shared" si="134"/>
        <v>297061.6667</v>
      </c>
      <c r="J126" s="351">
        <f t="shared" si="134"/>
        <v>763661.6667</v>
      </c>
      <c r="K126" s="351">
        <f t="shared" si="134"/>
        <v>515310</v>
      </c>
      <c r="L126" s="351">
        <f t="shared" si="134"/>
        <v>376241.6667</v>
      </c>
      <c r="M126" s="351">
        <f t="shared" si="134"/>
        <v>596380</v>
      </c>
      <c r="N126" s="351">
        <f t="shared" si="134"/>
        <v>0</v>
      </c>
      <c r="O126" s="351">
        <f t="shared" si="134"/>
        <v>1599631.667</v>
      </c>
      <c r="P126" s="351">
        <f t="shared" si="134"/>
        <v>2322485.417</v>
      </c>
      <c r="Q126" s="351">
        <f t="shared" si="134"/>
        <v>2237672.5</v>
      </c>
      <c r="R126" s="351">
        <f t="shared" si="134"/>
        <v>2215838.333</v>
      </c>
      <c r="S126" s="351">
        <f t="shared" si="134"/>
        <v>1307864.167</v>
      </c>
      <c r="T126" s="351">
        <f t="shared" si="134"/>
        <v>2239947.083</v>
      </c>
      <c r="U126" s="351">
        <f t="shared" si="134"/>
        <v>1366152.5</v>
      </c>
      <c r="V126" s="351">
        <f t="shared" si="134"/>
        <v>1773434.583</v>
      </c>
      <c r="W126" s="351">
        <f t="shared" si="134"/>
        <v>2902032.5</v>
      </c>
      <c r="X126" s="351">
        <f t="shared" si="134"/>
        <v>1493877.917</v>
      </c>
      <c r="Y126" s="351">
        <f t="shared" si="134"/>
        <v>2509261.667</v>
      </c>
      <c r="Z126" s="351">
        <f t="shared" si="134"/>
        <v>384234.375</v>
      </c>
      <c r="AA126" s="351">
        <f t="shared" si="134"/>
        <v>465802.875</v>
      </c>
      <c r="AB126" s="351">
        <f t="shared" si="134"/>
        <v>512383.1625</v>
      </c>
      <c r="AC126" s="351">
        <f t="shared" si="134"/>
        <v>512383.1625</v>
      </c>
      <c r="AD126" s="351">
        <f t="shared" si="134"/>
        <v>512383.1625</v>
      </c>
      <c r="AE126" s="351">
        <f t="shared" si="134"/>
        <v>512383.1625</v>
      </c>
      <c r="AF126" s="351">
        <f t="shared" si="134"/>
        <v>518059.5008</v>
      </c>
      <c r="AG126" s="351">
        <f t="shared" si="134"/>
        <v>518059.5008</v>
      </c>
      <c r="AH126" s="351">
        <f t="shared" si="134"/>
        <v>518059.5008</v>
      </c>
      <c r="AI126" s="351">
        <f t="shared" si="134"/>
        <v>518059.5008</v>
      </c>
      <c r="AJ126" s="351">
        <f t="shared" si="134"/>
        <v>505239.648</v>
      </c>
      <c r="AK126" s="351">
        <f t="shared" si="134"/>
        <v>505239.648</v>
      </c>
      <c r="AL126" s="351">
        <f t="shared" si="134"/>
        <v>505239.648</v>
      </c>
      <c r="AM126" s="351">
        <f t="shared" si="134"/>
        <v>509638.0992</v>
      </c>
      <c r="AN126" s="351">
        <f t="shared" si="134"/>
        <v>438694.1443</v>
      </c>
      <c r="AO126" s="351">
        <f t="shared" si="134"/>
        <v>431642.3241</v>
      </c>
      <c r="AP126" s="351">
        <f t="shared" si="134"/>
        <v>432563.0357</v>
      </c>
      <c r="AQ126" s="351">
        <f t="shared" si="134"/>
        <v>433488.3509</v>
      </c>
      <c r="AR126" s="351">
        <f t="shared" si="134"/>
        <v>435882.0033</v>
      </c>
      <c r="AS126" s="351">
        <f t="shared" si="134"/>
        <v>436823.9133</v>
      </c>
      <c r="AT126" s="351">
        <f t="shared" si="134"/>
        <v>437770.5329</v>
      </c>
      <c r="AU126" s="351">
        <f t="shared" si="134"/>
        <v>438721.8856</v>
      </c>
      <c r="AV126" s="351">
        <f t="shared" si="134"/>
        <v>439677.995</v>
      </c>
      <c r="AW126" s="351">
        <f t="shared" si="134"/>
        <v>440638.885</v>
      </c>
      <c r="AX126" s="351">
        <f t="shared" si="134"/>
        <v>441604.5794</v>
      </c>
      <c r="AY126" s="351">
        <f t="shared" si="134"/>
        <v>444932.9349</v>
      </c>
      <c r="AZ126" s="351">
        <f t="shared" si="134"/>
        <v>446907.2643</v>
      </c>
      <c r="BA126" s="351">
        <f t="shared" si="134"/>
        <v>447904.3006</v>
      </c>
      <c r="BB126" s="351">
        <f t="shared" si="134"/>
        <v>448906.3221</v>
      </c>
      <c r="BC126" s="351">
        <f t="shared" si="134"/>
        <v>449913.3537</v>
      </c>
      <c r="BD126" s="351">
        <f t="shared" si="134"/>
        <v>450925.4205</v>
      </c>
      <c r="BE126" s="351">
        <f t="shared" si="134"/>
        <v>451942.5476</v>
      </c>
      <c r="BF126" s="351">
        <f t="shared" si="134"/>
        <v>452964.7603</v>
      </c>
      <c r="BG126" s="351">
        <f t="shared" si="134"/>
        <v>453992.0841</v>
      </c>
      <c r="BH126" s="351">
        <f t="shared" si="134"/>
        <v>455024.5445</v>
      </c>
      <c r="BI126" s="351">
        <f t="shared" si="134"/>
        <v>456062.1673</v>
      </c>
      <c r="BJ126" s="351">
        <f t="shared" si="134"/>
        <v>457104.9781</v>
      </c>
      <c r="BK126" s="351">
        <f t="shared" si="134"/>
        <v>465970.7459</v>
      </c>
      <c r="BL126" s="351">
        <f t="shared" si="134"/>
        <v>462793.8239</v>
      </c>
      <c r="BM126" s="351">
        <f t="shared" si="134"/>
        <v>463870.293</v>
      </c>
      <c r="BN126" s="351">
        <f t="shared" si="134"/>
        <v>464952.1445</v>
      </c>
      <c r="BO126" s="351">
        <f t="shared" si="134"/>
        <v>466039.4052</v>
      </c>
      <c r="BP126" s="351">
        <f t="shared" si="134"/>
        <v>467132.1022</v>
      </c>
      <c r="BQ126" s="351">
        <f t="shared" si="134"/>
        <v>468230.2628</v>
      </c>
      <c r="BR126" s="351">
        <f t="shared" si="134"/>
        <v>469333.9141</v>
      </c>
      <c r="BS126" s="351">
        <f t="shared" si="134"/>
        <v>470443.0836</v>
      </c>
      <c r="BT126" s="351">
        <f t="shared" si="134"/>
        <v>471557.7991</v>
      </c>
      <c r="BU126" s="351">
        <f t="shared" si="134"/>
        <v>472678.088</v>
      </c>
      <c r="BV126" s="351">
        <f t="shared" si="134"/>
        <v>473803.9785</v>
      </c>
      <c r="BW126" s="351">
        <f t="shared" si="134"/>
        <v>474935.4984</v>
      </c>
      <c r="BX126" s="351">
        <f t="shared" si="134"/>
        <v>452191.9485</v>
      </c>
      <c r="BY126" s="351">
        <f t="shared" si="134"/>
        <v>453215.4083</v>
      </c>
      <c r="BZ126" s="351">
        <f t="shared" si="134"/>
        <v>454243.9853</v>
      </c>
      <c r="CA126" s="351">
        <f t="shared" si="134"/>
        <v>455277.7053</v>
      </c>
      <c r="CB126" s="351">
        <f t="shared" si="134"/>
        <v>456316.5938</v>
      </c>
      <c r="CC126" s="351">
        <f t="shared" si="134"/>
        <v>457360.6768</v>
      </c>
      <c r="CD126" s="351">
        <f t="shared" si="134"/>
        <v>458409.9801</v>
      </c>
      <c r="CE126" s="351">
        <f t="shared" si="134"/>
        <v>459464.53</v>
      </c>
      <c r="CF126" s="351">
        <f t="shared" si="134"/>
        <v>460524.3527</v>
      </c>
      <c r="CG126" s="351">
        <f t="shared" si="134"/>
        <v>461589.4744</v>
      </c>
      <c r="CH126" s="351">
        <f t="shared" si="134"/>
        <v>462659.9218</v>
      </c>
      <c r="CI126" s="1"/>
      <c r="CJ126" s="1"/>
      <c r="CK126" s="1"/>
      <c r="CL126" s="1"/>
      <c r="CM126" s="1"/>
      <c r="CN126" s="1"/>
      <c r="CO126" s="1"/>
      <c r="CP126" s="1"/>
    </row>
    <row r="127" ht="15.75" customHeight="1">
      <c r="A127" s="1"/>
      <c r="B127" s="356"/>
      <c r="C127" s="356"/>
      <c r="D127" s="356"/>
      <c r="E127" s="356"/>
      <c r="F127" s="356"/>
      <c r="G127" s="356"/>
      <c r="H127" s="356"/>
      <c r="I127" s="356"/>
      <c r="J127" s="356"/>
      <c r="K127" s="356"/>
      <c r="L127" s="356"/>
      <c r="M127" s="356"/>
      <c r="N127" s="356"/>
      <c r="O127" s="356"/>
      <c r="P127" s="356"/>
      <c r="Q127" s="356"/>
      <c r="R127" s="356"/>
      <c r="S127" s="356"/>
      <c r="T127" s="356"/>
      <c r="U127" s="356"/>
      <c r="V127" s="356"/>
      <c r="W127" s="356"/>
      <c r="X127" s="356"/>
      <c r="Y127" s="356"/>
      <c r="Z127" s="356"/>
      <c r="AA127" s="356"/>
      <c r="AB127" s="356"/>
      <c r="AC127" s="356"/>
      <c r="AD127" s="356"/>
      <c r="AE127" s="356"/>
      <c r="AF127" s="356"/>
      <c r="AG127" s="356"/>
      <c r="AH127" s="356"/>
      <c r="AI127" s="356"/>
      <c r="AJ127" s="356"/>
      <c r="AK127" s="356"/>
      <c r="AL127" s="356"/>
      <c r="AM127" s="356"/>
      <c r="AN127" s="356"/>
      <c r="AO127" s="356"/>
      <c r="AP127" s="356"/>
      <c r="AQ127" s="356"/>
      <c r="AR127" s="356"/>
      <c r="AS127" s="356"/>
      <c r="AT127" s="356"/>
      <c r="AU127" s="356"/>
      <c r="AV127" s="356"/>
      <c r="AW127" s="356"/>
      <c r="AX127" s="356"/>
      <c r="AY127" s="356"/>
      <c r="AZ127" s="356"/>
      <c r="BA127" s="356"/>
      <c r="BB127" s="356"/>
      <c r="BC127" s="356"/>
      <c r="BD127" s="356"/>
      <c r="BE127" s="356"/>
      <c r="BF127" s="356"/>
      <c r="BG127" s="356"/>
      <c r="BH127" s="356"/>
      <c r="BI127" s="356"/>
      <c r="BJ127" s="356"/>
      <c r="BK127" s="356"/>
      <c r="BL127" s="356"/>
      <c r="BM127" s="356"/>
      <c r="BN127" s="356"/>
      <c r="BO127" s="356"/>
      <c r="BP127" s="356"/>
      <c r="BQ127" s="356"/>
      <c r="BR127" s="356"/>
      <c r="BS127" s="356"/>
      <c r="BT127" s="356"/>
      <c r="BU127" s="356"/>
      <c r="BV127" s="356"/>
      <c r="BW127" s="356"/>
      <c r="BX127" s="356"/>
      <c r="BY127" s="356"/>
      <c r="BZ127" s="356"/>
      <c r="CA127" s="356"/>
      <c r="CB127" s="356"/>
      <c r="CC127" s="356"/>
      <c r="CD127" s="356"/>
      <c r="CE127" s="356"/>
      <c r="CF127" s="356"/>
      <c r="CG127" s="356"/>
      <c r="CH127" s="356"/>
      <c r="CI127" s="1"/>
      <c r="CJ127" s="1"/>
      <c r="CK127" s="1"/>
      <c r="CL127" s="1"/>
      <c r="CM127" s="1"/>
      <c r="CN127" s="1"/>
      <c r="CO127" s="1"/>
      <c r="CP127" s="1"/>
    </row>
    <row r="128" ht="15.75" customHeight="1">
      <c r="CI128" s="137"/>
      <c r="CJ128" s="137"/>
      <c r="CK128" s="137"/>
      <c r="CL128" s="137"/>
      <c r="CM128" s="137"/>
      <c r="CN128" s="137"/>
      <c r="CO128" s="137"/>
      <c r="CP128" s="137"/>
    </row>
    <row r="129" ht="15.75"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c r="AH129" s="137"/>
      <c r="AI129" s="137"/>
      <c r="AJ129" s="137"/>
      <c r="AK129" s="137"/>
      <c r="AL129" s="137"/>
      <c r="AM129" s="137"/>
      <c r="AN129" s="137"/>
      <c r="AO129" s="137"/>
      <c r="AP129" s="137"/>
      <c r="AQ129" s="137"/>
      <c r="AR129" s="137"/>
      <c r="AS129" s="137"/>
      <c r="AT129" s="137"/>
      <c r="AU129" s="137"/>
      <c r="AV129" s="137"/>
      <c r="AW129" s="137"/>
      <c r="AX129" s="137"/>
      <c r="AY129" s="137"/>
      <c r="AZ129" s="137"/>
      <c r="BA129" s="137"/>
      <c r="BB129" s="137"/>
      <c r="BC129" s="137"/>
      <c r="BD129" s="137"/>
      <c r="BE129" s="137"/>
      <c r="BF129" s="137"/>
      <c r="BG129" s="137"/>
      <c r="BH129" s="137"/>
      <c r="BI129" s="137"/>
      <c r="BJ129" s="137"/>
      <c r="BK129" s="137"/>
      <c r="BL129" s="137"/>
      <c r="BM129" s="137"/>
      <c r="BN129" s="137"/>
      <c r="BO129" s="137"/>
      <c r="BP129" s="137"/>
      <c r="BQ129" s="137"/>
      <c r="BR129" s="137"/>
      <c r="BS129" s="137"/>
      <c r="BT129" s="137"/>
      <c r="BU129" s="137"/>
      <c r="BV129" s="137"/>
      <c r="BW129" s="137"/>
      <c r="BX129" s="137"/>
      <c r="BY129" s="137"/>
      <c r="BZ129" s="137"/>
      <c r="CA129" s="137"/>
      <c r="CB129" s="137"/>
      <c r="CC129" s="137"/>
      <c r="CD129" s="137"/>
      <c r="CE129" s="137"/>
      <c r="CF129" s="137"/>
      <c r="CG129" s="137"/>
      <c r="CH129" s="137"/>
      <c r="CI129" s="137"/>
      <c r="CJ129" s="137"/>
      <c r="CK129" s="137"/>
      <c r="CL129" s="137"/>
      <c r="CM129" s="137"/>
      <c r="CN129" s="137"/>
      <c r="CO129" s="137"/>
      <c r="CP129" s="137"/>
    </row>
    <row r="130" ht="15.75" customHeight="1">
      <c r="A130" s="1" t="s">
        <v>608</v>
      </c>
      <c r="C130" s="131">
        <f>SUM(Retention!C40:C42)</f>
        <v>506481</v>
      </c>
      <c r="D130" s="131">
        <f>SUM(Retention!D40:D42)</f>
        <v>669957</v>
      </c>
      <c r="E130" s="131">
        <f>SUM(Retention!E40:E42)</f>
        <v>615637</v>
      </c>
      <c r="F130" s="131">
        <f>SUM(Retention!F40:F42)</f>
        <v>730962</v>
      </c>
      <c r="G130" s="131">
        <f>SUM(Retention!G40:G42)</f>
        <v>688107</v>
      </c>
      <c r="H130" s="131">
        <f>SUM(Retention!H40:H42)</f>
        <v>658349</v>
      </c>
      <c r="I130" s="131">
        <f>SUM(Retention!I40:I42)</f>
        <v>614622</v>
      </c>
      <c r="J130" s="131">
        <f>SUM(Retention!J40:J42)</f>
        <v>517106</v>
      </c>
      <c r="K130" s="131">
        <f>SUM(Retention!K40:K42)</f>
        <v>623678</v>
      </c>
      <c r="L130" s="131">
        <f>SUM(Retention!L40:L42)</f>
        <v>652010</v>
      </c>
      <c r="M130" s="131">
        <f>SUM(Retention!M40:M42)</f>
        <v>653878</v>
      </c>
      <c r="N130" s="131">
        <f>SUM(Retention!N40:N42)</f>
        <v>615206</v>
      </c>
      <c r="O130" s="131">
        <f>SUM(Retention!O40:O42)</f>
        <v>650347</v>
      </c>
      <c r="P130" s="131">
        <f>SUM(Retention!P40:P42)</f>
        <v>616339</v>
      </c>
      <c r="Q130" s="131">
        <f>SUM(Retention!Q40:Q42)</f>
        <v>573909</v>
      </c>
      <c r="R130" s="131">
        <f>SUM(Retention!R40:R42)</f>
        <v>638648</v>
      </c>
      <c r="S130" s="131">
        <f>SUM(Retention!S40:S42)</f>
        <v>681657</v>
      </c>
      <c r="T130" s="131">
        <f>SUM(Retention!T40:T42)</f>
        <v>538063</v>
      </c>
      <c r="U130" s="131">
        <f>SUM(Retention!U40:U42)</f>
        <v>595144</v>
      </c>
      <c r="V130" s="131">
        <f>SUM(Retention!V40:V42)</f>
        <v>761651</v>
      </c>
      <c r="W130" s="131">
        <f>SUM(Retention!W40:W42)</f>
        <v>763440</v>
      </c>
      <c r="X130" s="131">
        <f>SUM(Retention!X40:X42)</f>
        <v>622766</v>
      </c>
      <c r="Y130" s="131">
        <f>SUM(Retention!Y40:Y42)</f>
        <v>684121</v>
      </c>
      <c r="Z130" s="131">
        <f>SUM(Retention!Z40:Z42)</f>
        <v>822672.0033</v>
      </c>
      <c r="AA130" s="131">
        <f>SUM(Retention!AA40:AA42)</f>
        <v>987803.318</v>
      </c>
      <c r="AB130" s="131">
        <f>SUM(Retention!AB40:AB42)</f>
        <v>1171565.992</v>
      </c>
      <c r="AC130" s="131">
        <f>SUM(Retention!AC40:AC42)</f>
        <v>1358347.594</v>
      </c>
      <c r="AD130" s="131">
        <f>SUM(Retention!AD40:AD42)</f>
        <v>1545746.705</v>
      </c>
      <c r="AE130" s="131">
        <f>SUM(Retention!AE40:AE42)</f>
        <v>1732672.816</v>
      </c>
      <c r="AF130" s="131">
        <f>SUM(Retention!AF40:AF42)</f>
        <v>1918149.755</v>
      </c>
      <c r="AG130" s="131">
        <f>SUM(Retention!AG40:AG42)</f>
        <v>2101775.456</v>
      </c>
      <c r="AH130" s="131">
        <f>SUM(Retention!AH40:AH42)</f>
        <v>2279814.96</v>
      </c>
      <c r="AI130" s="131">
        <f>SUM(Retention!AI40:AI42)</f>
        <v>2456578.81</v>
      </c>
      <c r="AJ130" s="131">
        <f>SUM(Retention!AJ40:AJ42)</f>
        <v>2617945.847</v>
      </c>
      <c r="AK130" s="131">
        <f>SUM(Retention!AK40:AK42)</f>
        <v>2779499.749</v>
      </c>
      <c r="AL130" s="131">
        <f>SUM(Retention!AL40:AL42)</f>
        <v>2941417.788</v>
      </c>
      <c r="AM130" s="131">
        <f>SUM(Retention!AM40:AM42)</f>
        <v>3055961.813</v>
      </c>
      <c r="AN130" s="131">
        <f>SUM(Retention!AN40:AN42)</f>
        <v>3123239.308</v>
      </c>
      <c r="AO130" s="131">
        <f>SUM(Retention!AO40:AO42)</f>
        <v>3181760.009</v>
      </c>
      <c r="AP130" s="131">
        <f>SUM(Retention!AP40:AP42)</f>
        <v>3238991.875</v>
      </c>
      <c r="AQ130" s="131">
        <f>SUM(Retention!AQ40:AQ42)</f>
        <v>3295012.695</v>
      </c>
      <c r="AR130" s="131">
        <f>SUM(Retention!AR40:AR42)</f>
        <v>3350759.659</v>
      </c>
      <c r="AS130" s="131">
        <f>SUM(Retention!AS40:AS42)</f>
        <v>3405401.928</v>
      </c>
      <c r="AT130" s="131">
        <f>SUM(Retention!AT40:AT42)</f>
        <v>3459008.752</v>
      </c>
      <c r="AU130" s="131">
        <f>SUM(Retention!AU40:AU42)</f>
        <v>3511646.138</v>
      </c>
      <c r="AV130" s="131">
        <f>SUM(Retention!AV40:AV42)</f>
        <v>3563377.012</v>
      </c>
      <c r="AW130" s="131">
        <f>SUM(Retention!AW40:AW42)</f>
        <v>3614261.372</v>
      </c>
      <c r="AX130" s="131">
        <f>SUM(Retention!AX40:AX42)</f>
        <v>3664356.434</v>
      </c>
      <c r="AY130" s="131">
        <f>SUM(Retention!AY40:AY42)</f>
        <v>3745877.774</v>
      </c>
      <c r="AZ130" s="131">
        <f>SUM(Retention!AZ40:AZ42)</f>
        <v>3826446.382</v>
      </c>
      <c r="BA130" s="131">
        <f>SUM(Retention!BA40:BA42)</f>
        <v>3905471.049</v>
      </c>
      <c r="BB130" s="131">
        <f>SUM(Retention!BB40:BB42)</f>
        <v>3983029.885</v>
      </c>
      <c r="BC130" s="131">
        <f>SUM(Retention!BC40:BC42)</f>
        <v>4059197.988</v>
      </c>
      <c r="BD130" s="131">
        <f>SUM(Retention!BD40:BD42)</f>
        <v>4134047.565</v>
      </c>
      <c r="BE130" s="131">
        <f>SUM(Retention!BE40:BE42)</f>
        <v>4207648.053</v>
      </c>
      <c r="BF130" s="131">
        <f>SUM(Retention!BF40:BF42)</f>
        <v>4280066.234</v>
      </c>
      <c r="BG130" s="131">
        <f>SUM(Retention!BG40:BG42)</f>
        <v>4351366.343</v>
      </c>
      <c r="BH130" s="131">
        <f>SUM(Retention!BH40:BH42)</f>
        <v>4421610.175</v>
      </c>
      <c r="BI130" s="131">
        <f>SUM(Retention!BI40:BI42)</f>
        <v>4490857.184</v>
      </c>
      <c r="BJ130" s="131">
        <f>SUM(Retention!BJ40:BJ42)</f>
        <v>4559164.583</v>
      </c>
      <c r="BK130" s="131">
        <f>SUM(Retention!BK40:BK42)</f>
        <v>4639032.99</v>
      </c>
      <c r="BL130" s="131">
        <f>SUM(Retention!BL40:BL42)</f>
        <v>4714502.379</v>
      </c>
      <c r="BM130" s="131">
        <f>SUM(Retention!BM40:BM42)</f>
        <v>4780899.251</v>
      </c>
      <c r="BN130" s="131">
        <f>SUM(Retention!BN40:BN42)</f>
        <v>4846855.602</v>
      </c>
      <c r="BO130" s="131">
        <f>SUM(Retention!BO40:BO42)</f>
        <v>4912417.195</v>
      </c>
      <c r="BP130" s="131">
        <f>SUM(Retention!BP40:BP42)</f>
        <v>4977628.624</v>
      </c>
      <c r="BQ130" s="131">
        <f>SUM(Retention!BQ40:BQ42)</f>
        <v>5042533.382</v>
      </c>
      <c r="BR130" s="131">
        <f>SUM(Retention!BR40:BR42)</f>
        <v>5107173.917</v>
      </c>
      <c r="BS130" s="131">
        <f>SUM(Retention!BS40:BS42)</f>
        <v>5171591.69</v>
      </c>
      <c r="BT130" s="131">
        <f>SUM(Retention!BT40:BT42)</f>
        <v>5235827.234</v>
      </c>
      <c r="BU130" s="131">
        <f>SUM(Retention!BU40:BU42)</f>
        <v>5299920.203</v>
      </c>
      <c r="BV130" s="131">
        <f>SUM(Retention!BV40:BV42)</f>
        <v>5363909.434</v>
      </c>
      <c r="BW130" s="131">
        <f>SUM(Retention!BW40:BW42)</f>
        <v>5434994.242</v>
      </c>
      <c r="BX130" s="131">
        <f>SUM(Retention!BX40:BX42)</f>
        <v>5489185.157</v>
      </c>
      <c r="BY130" s="131">
        <f>SUM(Retention!BY40:BY42)</f>
        <v>5533937.281</v>
      </c>
      <c r="BZ130" s="131">
        <f>SUM(Retention!BZ40:BZ42)</f>
        <v>5578189.702</v>
      </c>
      <c r="CA130" s="131">
        <f>SUM(Retention!CA40:CA42)</f>
        <v>5621988.85</v>
      </c>
      <c r="CB130" s="131">
        <f>SUM(Retention!CB40:CB42)</f>
        <v>5665379.225</v>
      </c>
      <c r="CC130" s="131">
        <f>SUM(Retention!CC40:CC42)</f>
        <v>5708403.48</v>
      </c>
      <c r="CD130" s="131">
        <f>SUM(Retention!CD40:CD42)</f>
        <v>5751102.501</v>
      </c>
      <c r="CE130" s="131">
        <f>SUM(Retention!CE40:CE42)</f>
        <v>5793515.483</v>
      </c>
      <c r="CF130" s="131">
        <f>SUM(Retention!CF40:CF42)</f>
        <v>5835680.005</v>
      </c>
      <c r="CG130" s="131">
        <f>SUM(Retention!CG40:CG42)</f>
        <v>5877632.096</v>
      </c>
      <c r="CH130" s="131">
        <f>SUM(Retention!CH40:CH42)</f>
        <v>5919406.308</v>
      </c>
      <c r="CI130" s="1"/>
      <c r="CJ130" s="1"/>
      <c r="CK130" s="1"/>
      <c r="CL130" s="1"/>
      <c r="CM130" s="1"/>
      <c r="CN130" s="1"/>
      <c r="CO130" s="1"/>
      <c r="CP130" s="1"/>
    </row>
    <row r="131" ht="15.75" customHeight="1">
      <c r="A131" s="129"/>
      <c r="B131" s="30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row>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7.43"/>
    <col customWidth="1" min="2" max="2" width="38.29"/>
  </cols>
  <sheetData>
    <row r="1">
      <c r="A1" s="358" t="s">
        <v>609</v>
      </c>
      <c r="B1" s="359"/>
      <c r="C1" s="360"/>
      <c r="D1" s="360"/>
      <c r="E1" s="92">
        <v>44562.0</v>
      </c>
      <c r="F1" s="93">
        <v>44593.0</v>
      </c>
      <c r="G1" s="93">
        <v>44621.0</v>
      </c>
      <c r="H1" s="93">
        <v>44652.0</v>
      </c>
      <c r="I1" s="93">
        <v>44682.0</v>
      </c>
      <c r="J1" s="93">
        <v>44713.0</v>
      </c>
      <c r="K1" s="93">
        <v>44743.0</v>
      </c>
      <c r="L1" s="93">
        <v>44774.0</v>
      </c>
      <c r="M1" s="95">
        <v>44805.0</v>
      </c>
      <c r="N1" s="95">
        <v>44835.0</v>
      </c>
      <c r="O1" s="95">
        <v>44866.0</v>
      </c>
      <c r="P1" s="95">
        <v>44896.0</v>
      </c>
      <c r="Q1" s="150">
        <v>44927.0</v>
      </c>
      <c r="R1" s="97">
        <v>44958.0</v>
      </c>
      <c r="S1" s="97">
        <v>44986.0</v>
      </c>
      <c r="T1" s="97">
        <v>45017.0</v>
      </c>
      <c r="U1" s="98">
        <v>45047.0</v>
      </c>
      <c r="V1" s="98">
        <v>45078.0</v>
      </c>
      <c r="W1" s="98">
        <v>45108.0</v>
      </c>
      <c r="X1" s="98">
        <v>45139.0</v>
      </c>
      <c r="Y1" s="98">
        <v>45170.0</v>
      </c>
      <c r="Z1" s="98">
        <v>45200.0</v>
      </c>
      <c r="AA1" s="98">
        <v>45231.0</v>
      </c>
      <c r="AB1" s="99">
        <v>45261.0</v>
      </c>
      <c r="AC1" s="100">
        <v>45292.0</v>
      </c>
      <c r="AD1" s="98">
        <v>45323.0</v>
      </c>
      <c r="AE1" s="98">
        <v>45352.0</v>
      </c>
      <c r="AF1" s="98">
        <v>45383.0</v>
      </c>
      <c r="AG1" s="98">
        <v>45413.0</v>
      </c>
      <c r="AH1" s="98">
        <v>45444.0</v>
      </c>
      <c r="AI1" s="98">
        <v>45474.0</v>
      </c>
      <c r="AJ1" s="98">
        <v>45505.0</v>
      </c>
      <c r="AK1" s="98">
        <v>45536.0</v>
      </c>
      <c r="AL1" s="98">
        <v>45566.0</v>
      </c>
      <c r="AM1" s="98">
        <v>45597.0</v>
      </c>
      <c r="AN1" s="99">
        <v>45627.0</v>
      </c>
      <c r="AO1" s="100">
        <v>45658.0</v>
      </c>
      <c r="AP1" s="98">
        <v>45689.0</v>
      </c>
      <c r="AQ1" s="98">
        <v>45717.0</v>
      </c>
      <c r="AR1" s="98">
        <v>45748.0</v>
      </c>
      <c r="AS1" s="98">
        <v>45778.0</v>
      </c>
      <c r="AT1" s="98">
        <v>45809.0</v>
      </c>
      <c r="AU1" s="98">
        <v>45839.0</v>
      </c>
      <c r="AV1" s="98">
        <v>45870.0</v>
      </c>
      <c r="AW1" s="98">
        <v>45901.0</v>
      </c>
      <c r="AX1" s="98">
        <v>45931.0</v>
      </c>
      <c r="AY1" s="98">
        <v>45962.0</v>
      </c>
      <c r="AZ1" s="99">
        <v>45992.0</v>
      </c>
      <c r="BA1" s="100">
        <v>46023.0</v>
      </c>
      <c r="BB1" s="98">
        <v>46054.0</v>
      </c>
      <c r="BC1" s="98">
        <v>46082.0</v>
      </c>
      <c r="BD1" s="98">
        <v>46113.0</v>
      </c>
      <c r="BE1" s="98">
        <v>46143.0</v>
      </c>
      <c r="BF1" s="98">
        <v>46174.0</v>
      </c>
      <c r="BG1" s="98">
        <v>46204.0</v>
      </c>
      <c r="BH1" s="98">
        <v>46235.0</v>
      </c>
      <c r="BI1" s="98">
        <v>46266.0</v>
      </c>
      <c r="BJ1" s="98">
        <v>46296.0</v>
      </c>
      <c r="BK1" s="98">
        <v>46327.0</v>
      </c>
      <c r="BL1" s="99">
        <v>46357.0</v>
      </c>
      <c r="BM1" s="100">
        <v>46388.0</v>
      </c>
      <c r="BN1" s="98">
        <v>46419.0</v>
      </c>
      <c r="BO1" s="98">
        <v>46447.0</v>
      </c>
      <c r="BP1" s="98">
        <v>46478.0</v>
      </c>
      <c r="BQ1" s="98">
        <v>46508.0</v>
      </c>
      <c r="BR1" s="98">
        <v>46539.0</v>
      </c>
      <c r="BS1" s="98">
        <v>46569.0</v>
      </c>
      <c r="BT1" s="98">
        <v>46600.0</v>
      </c>
      <c r="BU1" s="98">
        <v>46631.0</v>
      </c>
      <c r="BV1" s="98">
        <v>46661.0</v>
      </c>
      <c r="BW1" s="98">
        <v>46692.0</v>
      </c>
      <c r="BX1" s="99">
        <v>46722.0</v>
      </c>
    </row>
    <row r="2">
      <c r="A2" s="1" t="s">
        <v>610</v>
      </c>
      <c r="B2" s="198">
        <v>1.0E7</v>
      </c>
      <c r="C2" s="137"/>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c r="A3" s="1" t="s">
        <v>611</v>
      </c>
      <c r="B3" s="202">
        <v>0.55</v>
      </c>
      <c r="C3" s="130"/>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c r="A4" s="1" t="s">
        <v>612</v>
      </c>
      <c r="B4" s="198">
        <f>B2*B3</f>
        <v>5500000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c r="A5" s="1" t="s">
        <v>613</v>
      </c>
      <c r="B5" s="198">
        <f>B4/12</f>
        <v>458333.3333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row>
    <row r="6">
      <c r="A6" s="1" t="s">
        <v>614</v>
      </c>
      <c r="B6" s="201">
        <v>36.0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row>
    <row r="7">
      <c r="A7" s="1" t="s">
        <v>615</v>
      </c>
      <c r="B7" s="201">
        <v>81.0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row>
    <row r="9">
      <c r="A9" s="359" t="s">
        <v>616</v>
      </c>
      <c r="B9" s="1"/>
      <c r="C9" s="1"/>
      <c r="D9" s="1"/>
      <c r="E9" s="1"/>
      <c r="F9" s="1"/>
      <c r="G9" s="1"/>
      <c r="H9" s="1"/>
      <c r="I9" s="361"/>
      <c r="J9" s="361"/>
      <c r="K9" s="361"/>
      <c r="L9" s="361"/>
      <c r="M9" s="361"/>
      <c r="N9" s="361"/>
      <c r="O9" s="361"/>
      <c r="P9" s="361"/>
      <c r="Q9" s="361"/>
      <c r="R9" s="361"/>
      <c r="S9" s="361"/>
      <c r="T9" s="361"/>
      <c r="U9" s="361"/>
      <c r="V9" s="361"/>
      <c r="W9" s="361"/>
      <c r="X9" s="1"/>
      <c r="Y9" s="362"/>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row>
    <row r="10">
      <c r="A10" s="1"/>
      <c r="B10" s="1"/>
      <c r="C10" s="1"/>
      <c r="D10" s="1"/>
      <c r="E10" s="1"/>
      <c r="F10" s="1"/>
      <c r="G10" s="1"/>
      <c r="H10" s="1"/>
      <c r="I10" s="1"/>
      <c r="J10" s="1"/>
      <c r="K10" s="1"/>
      <c r="L10" s="1"/>
      <c r="M10" s="1"/>
      <c r="N10" s="1"/>
      <c r="O10" s="1"/>
      <c r="P10" s="1"/>
      <c r="Q10" s="1"/>
      <c r="R10" s="1"/>
      <c r="S10" s="1"/>
      <c r="T10" s="1"/>
      <c r="U10" s="1"/>
      <c r="V10" s="1"/>
      <c r="W10" s="1"/>
      <c r="X10" s="137"/>
      <c r="Y10" s="137"/>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row>
    <row r="11">
      <c r="A11" s="1"/>
      <c r="B11" s="1"/>
      <c r="C11" s="1"/>
      <c r="D11" s="1"/>
      <c r="E11" s="1"/>
      <c r="F11" s="1"/>
      <c r="G11" s="1"/>
      <c r="H11" s="1"/>
      <c r="I11" s="198"/>
      <c r="J11" s="363"/>
      <c r="K11" s="363"/>
      <c r="L11" s="363"/>
      <c r="M11" s="363"/>
      <c r="N11" s="363"/>
      <c r="O11" s="363"/>
      <c r="P11" s="363"/>
      <c r="Q11" s="363"/>
      <c r="R11" s="363"/>
      <c r="S11" s="363"/>
      <c r="T11" s="363"/>
      <c r="U11" s="363"/>
      <c r="V11" s="363"/>
      <c r="W11" s="364"/>
      <c r="X11" s="363"/>
      <c r="Y11" s="363"/>
      <c r="Z11" s="363"/>
      <c r="AA11" s="363"/>
      <c r="AB11" s="363"/>
      <c r="AC11" s="363"/>
      <c r="AD11" s="363"/>
      <c r="AE11" s="363"/>
      <c r="AF11" s="363"/>
      <c r="AG11" s="363"/>
      <c r="AH11" s="363"/>
      <c r="AI11" s="363"/>
      <c r="AJ11" s="363"/>
      <c r="AK11" s="363"/>
      <c r="AL11" s="363"/>
      <c r="AM11" s="363"/>
      <c r="AN11" s="363"/>
      <c r="AO11" s="363"/>
      <c r="AP11" s="363"/>
      <c r="AQ11" s="363"/>
      <c r="AR11" s="363"/>
      <c r="AS11" s="363"/>
      <c r="AT11" s="363"/>
      <c r="AU11" s="363"/>
      <c r="AV11" s="363"/>
      <c r="AW11" s="363"/>
      <c r="AX11" s="363"/>
      <c r="AY11" s="363"/>
      <c r="AZ11" s="363"/>
      <c r="BA11" s="363"/>
      <c r="BB11" s="363"/>
      <c r="BC11" s="363"/>
      <c r="BD11" s="363"/>
      <c r="BE11" s="363"/>
      <c r="BF11" s="363"/>
      <c r="BG11" s="363"/>
      <c r="BH11" s="363"/>
      <c r="BI11" s="363"/>
      <c r="BJ11" s="363"/>
      <c r="BK11" s="363"/>
      <c r="BL11" s="363"/>
      <c r="BM11" s="363"/>
      <c r="BN11" s="363"/>
      <c r="BO11" s="363"/>
      <c r="BP11" s="363"/>
      <c r="BQ11" s="363"/>
      <c r="BR11" s="363"/>
      <c r="BS11" s="363"/>
      <c r="BT11" s="363"/>
      <c r="BU11" s="363"/>
      <c r="BV11" s="363"/>
      <c r="BW11" s="363"/>
      <c r="BX11" s="363"/>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row>
    <row r="13">
      <c r="A13" s="4" t="s">
        <v>617</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row>
    <row r="14">
      <c r="A14" s="1" t="s">
        <v>618</v>
      </c>
      <c r="B14" s="1"/>
      <c r="C14" s="1"/>
      <c r="D14" s="1"/>
      <c r="E14" s="365">
        <v>10.0</v>
      </c>
      <c r="F14" s="365">
        <v>10.0</v>
      </c>
      <c r="G14" s="365">
        <v>10.0</v>
      </c>
      <c r="H14" s="365">
        <v>10.0</v>
      </c>
      <c r="I14" s="365">
        <v>10.0</v>
      </c>
      <c r="J14" s="365">
        <v>10.0</v>
      </c>
      <c r="K14" s="365">
        <v>10.0</v>
      </c>
      <c r="L14" s="365">
        <v>10.0</v>
      </c>
      <c r="M14" s="365">
        <v>10.0</v>
      </c>
      <c r="N14" s="365">
        <v>10.0</v>
      </c>
      <c r="O14" s="365">
        <v>10.0</v>
      </c>
      <c r="P14" s="366">
        <f t="shared" ref="P14:BX14" si="1">O14*(1+P15)</f>
        <v>14</v>
      </c>
      <c r="Q14" s="366">
        <f t="shared" si="1"/>
        <v>16.1</v>
      </c>
      <c r="R14" s="366">
        <f t="shared" si="1"/>
        <v>16.261</v>
      </c>
      <c r="S14" s="366">
        <f t="shared" si="1"/>
        <v>16.42361</v>
      </c>
      <c r="T14" s="366">
        <f t="shared" si="1"/>
        <v>16.5878461</v>
      </c>
      <c r="U14" s="366">
        <f t="shared" si="1"/>
        <v>16.75372456</v>
      </c>
      <c r="V14" s="366">
        <f t="shared" si="1"/>
        <v>16.92126181</v>
      </c>
      <c r="W14" s="366">
        <f t="shared" si="1"/>
        <v>17.09047442</v>
      </c>
      <c r="X14" s="366">
        <f t="shared" si="1"/>
        <v>17.26137917</v>
      </c>
      <c r="Y14" s="366">
        <f t="shared" si="1"/>
        <v>17.43399296</v>
      </c>
      <c r="Z14" s="366">
        <f t="shared" si="1"/>
        <v>17.60833289</v>
      </c>
      <c r="AA14" s="366">
        <f t="shared" si="1"/>
        <v>17.78441622</v>
      </c>
      <c r="AB14" s="366">
        <f t="shared" si="1"/>
        <v>17.96226038</v>
      </c>
      <c r="AC14" s="366">
        <f t="shared" si="1"/>
        <v>17.9981849</v>
      </c>
      <c r="AD14" s="366">
        <f t="shared" si="1"/>
        <v>18.03418127</v>
      </c>
      <c r="AE14" s="366">
        <f t="shared" si="1"/>
        <v>18.07024963</v>
      </c>
      <c r="AF14" s="366">
        <f t="shared" si="1"/>
        <v>18.10639013</v>
      </c>
      <c r="AG14" s="366">
        <f t="shared" si="1"/>
        <v>18.14260291</v>
      </c>
      <c r="AH14" s="366">
        <f t="shared" si="1"/>
        <v>18.17888812</v>
      </c>
      <c r="AI14" s="366">
        <f t="shared" si="1"/>
        <v>18.2152459</v>
      </c>
      <c r="AJ14" s="366">
        <f t="shared" si="1"/>
        <v>18.25167639</v>
      </c>
      <c r="AK14" s="366">
        <f t="shared" si="1"/>
        <v>18.28817974</v>
      </c>
      <c r="AL14" s="366">
        <f t="shared" si="1"/>
        <v>18.3247561</v>
      </c>
      <c r="AM14" s="366">
        <f t="shared" si="1"/>
        <v>18.36140561</v>
      </c>
      <c r="AN14" s="366">
        <f t="shared" si="1"/>
        <v>18.39812842</v>
      </c>
      <c r="AO14" s="366">
        <f t="shared" si="1"/>
        <v>18.43492468</v>
      </c>
      <c r="AP14" s="366">
        <f t="shared" si="1"/>
        <v>18.47179453</v>
      </c>
      <c r="AQ14" s="366">
        <f t="shared" si="1"/>
        <v>18.50873812</v>
      </c>
      <c r="AR14" s="366">
        <f t="shared" si="1"/>
        <v>18.5457556</v>
      </c>
      <c r="AS14" s="366">
        <f t="shared" si="1"/>
        <v>18.58284711</v>
      </c>
      <c r="AT14" s="366">
        <f t="shared" si="1"/>
        <v>18.6200128</v>
      </c>
      <c r="AU14" s="366">
        <f t="shared" si="1"/>
        <v>18.65725283</v>
      </c>
      <c r="AV14" s="366">
        <f t="shared" si="1"/>
        <v>18.69456733</v>
      </c>
      <c r="AW14" s="366">
        <f t="shared" si="1"/>
        <v>18.73195647</v>
      </c>
      <c r="AX14" s="366">
        <f t="shared" si="1"/>
        <v>18.76942038</v>
      </c>
      <c r="AY14" s="366">
        <f t="shared" si="1"/>
        <v>18.80695922</v>
      </c>
      <c r="AZ14" s="366">
        <f t="shared" si="1"/>
        <v>18.84457314</v>
      </c>
      <c r="BA14" s="366">
        <f t="shared" si="1"/>
        <v>16.96011582</v>
      </c>
      <c r="BB14" s="366">
        <f t="shared" si="1"/>
        <v>16.99403606</v>
      </c>
      <c r="BC14" s="366">
        <f t="shared" si="1"/>
        <v>17.02802413</v>
      </c>
      <c r="BD14" s="366">
        <f t="shared" si="1"/>
        <v>17.06208018</v>
      </c>
      <c r="BE14" s="366">
        <f t="shared" si="1"/>
        <v>17.09620434</v>
      </c>
      <c r="BF14" s="366">
        <f t="shared" si="1"/>
        <v>17.13039675</v>
      </c>
      <c r="BG14" s="366">
        <f t="shared" si="1"/>
        <v>17.16465754</v>
      </c>
      <c r="BH14" s="366">
        <f t="shared" si="1"/>
        <v>17.19898685</v>
      </c>
      <c r="BI14" s="366">
        <f t="shared" si="1"/>
        <v>17.23338483</v>
      </c>
      <c r="BJ14" s="366">
        <f t="shared" si="1"/>
        <v>17.2678516</v>
      </c>
      <c r="BK14" s="366">
        <f t="shared" si="1"/>
        <v>17.3023873</v>
      </c>
      <c r="BL14" s="366">
        <f t="shared" si="1"/>
        <v>17.33699208</v>
      </c>
      <c r="BM14" s="366">
        <f t="shared" si="1"/>
        <v>15.60329287</v>
      </c>
      <c r="BN14" s="366">
        <f t="shared" si="1"/>
        <v>15.63449945</v>
      </c>
      <c r="BO14" s="366">
        <f t="shared" si="1"/>
        <v>15.66576845</v>
      </c>
      <c r="BP14" s="366">
        <f t="shared" si="1"/>
        <v>15.69709999</v>
      </c>
      <c r="BQ14" s="366">
        <f t="shared" si="1"/>
        <v>15.72849419</v>
      </c>
      <c r="BR14" s="366">
        <f t="shared" si="1"/>
        <v>15.75995118</v>
      </c>
      <c r="BS14" s="366">
        <f t="shared" si="1"/>
        <v>15.79147108</v>
      </c>
      <c r="BT14" s="366">
        <f t="shared" si="1"/>
        <v>15.82305402</v>
      </c>
      <c r="BU14" s="366">
        <f t="shared" si="1"/>
        <v>15.85470013</v>
      </c>
      <c r="BV14" s="366">
        <f t="shared" si="1"/>
        <v>15.88640953</v>
      </c>
      <c r="BW14" s="366">
        <f t="shared" si="1"/>
        <v>15.91818235</v>
      </c>
      <c r="BX14" s="366">
        <f t="shared" si="1"/>
        <v>15.95001871</v>
      </c>
    </row>
    <row r="15">
      <c r="A15" s="1" t="s">
        <v>619</v>
      </c>
      <c r="B15" s="1"/>
      <c r="C15" s="1"/>
      <c r="D15" s="1"/>
      <c r="E15" s="123"/>
      <c r="F15" s="130">
        <f t="shared" ref="F15:N15" si="2">F14/E14-1</f>
        <v>0</v>
      </c>
      <c r="G15" s="130">
        <f t="shared" si="2"/>
        <v>0</v>
      </c>
      <c r="H15" s="130">
        <f t="shared" si="2"/>
        <v>0</v>
      </c>
      <c r="I15" s="130">
        <f t="shared" si="2"/>
        <v>0</v>
      </c>
      <c r="J15" s="130">
        <f t="shared" si="2"/>
        <v>0</v>
      </c>
      <c r="K15" s="130">
        <f t="shared" si="2"/>
        <v>0</v>
      </c>
      <c r="L15" s="130">
        <f t="shared" si="2"/>
        <v>0</v>
      </c>
      <c r="M15" s="130">
        <f t="shared" si="2"/>
        <v>0</v>
      </c>
      <c r="N15" s="130">
        <f t="shared" si="2"/>
        <v>0</v>
      </c>
      <c r="O15" s="197">
        <v>0.05</v>
      </c>
      <c r="P15" s="197">
        <v>0.4</v>
      </c>
      <c r="Q15" s="197">
        <v>0.15</v>
      </c>
      <c r="R15" s="197">
        <v>0.01</v>
      </c>
      <c r="S15" s="197">
        <v>0.01</v>
      </c>
      <c r="T15" s="197">
        <v>0.01</v>
      </c>
      <c r="U15" s="197">
        <v>0.01</v>
      </c>
      <c r="V15" s="197">
        <v>0.01</v>
      </c>
      <c r="W15" s="197">
        <v>0.01</v>
      </c>
      <c r="X15" s="197">
        <v>0.01</v>
      </c>
      <c r="Y15" s="197">
        <v>0.01</v>
      </c>
      <c r="Z15" s="197">
        <v>0.01</v>
      </c>
      <c r="AA15" s="197">
        <v>0.01</v>
      </c>
      <c r="AB15" s="197">
        <v>0.01</v>
      </c>
      <c r="AC15" s="367">
        <v>0.002</v>
      </c>
      <c r="AD15" s="367">
        <v>0.002</v>
      </c>
      <c r="AE15" s="367">
        <v>0.002</v>
      </c>
      <c r="AF15" s="367">
        <v>0.002</v>
      </c>
      <c r="AG15" s="367">
        <v>0.002</v>
      </c>
      <c r="AH15" s="367">
        <v>0.002</v>
      </c>
      <c r="AI15" s="367">
        <v>0.002</v>
      </c>
      <c r="AJ15" s="367">
        <v>0.002</v>
      </c>
      <c r="AK15" s="367">
        <v>0.002</v>
      </c>
      <c r="AL15" s="367">
        <v>0.002</v>
      </c>
      <c r="AM15" s="367">
        <v>0.002</v>
      </c>
      <c r="AN15" s="367">
        <v>0.002</v>
      </c>
      <c r="AO15" s="367">
        <v>0.002</v>
      </c>
      <c r="AP15" s="367">
        <v>0.002</v>
      </c>
      <c r="AQ15" s="367">
        <v>0.002</v>
      </c>
      <c r="AR15" s="367">
        <v>0.002</v>
      </c>
      <c r="AS15" s="367">
        <v>0.002</v>
      </c>
      <c r="AT15" s="367">
        <v>0.002</v>
      </c>
      <c r="AU15" s="367">
        <v>0.002</v>
      </c>
      <c r="AV15" s="367">
        <v>0.002</v>
      </c>
      <c r="AW15" s="367">
        <v>0.002</v>
      </c>
      <c r="AX15" s="367">
        <v>0.002</v>
      </c>
      <c r="AY15" s="367">
        <v>0.002</v>
      </c>
      <c r="AZ15" s="367">
        <v>0.002</v>
      </c>
      <c r="BA15" s="367">
        <v>-0.1</v>
      </c>
      <c r="BB15" s="367">
        <v>0.002</v>
      </c>
      <c r="BC15" s="367">
        <v>0.002</v>
      </c>
      <c r="BD15" s="367">
        <v>0.002</v>
      </c>
      <c r="BE15" s="367">
        <v>0.002</v>
      </c>
      <c r="BF15" s="367">
        <v>0.002</v>
      </c>
      <c r="BG15" s="367">
        <v>0.002</v>
      </c>
      <c r="BH15" s="367">
        <v>0.002</v>
      </c>
      <c r="BI15" s="367">
        <v>0.002</v>
      </c>
      <c r="BJ15" s="367">
        <v>0.002</v>
      </c>
      <c r="BK15" s="367">
        <v>0.002</v>
      </c>
      <c r="BL15" s="367">
        <v>0.002</v>
      </c>
      <c r="BM15" s="367">
        <v>-0.1</v>
      </c>
      <c r="BN15" s="367">
        <v>0.002</v>
      </c>
      <c r="BO15" s="367">
        <v>0.002</v>
      </c>
      <c r="BP15" s="367">
        <v>0.002</v>
      </c>
      <c r="BQ15" s="367">
        <v>0.002</v>
      </c>
      <c r="BR15" s="367">
        <v>0.002</v>
      </c>
      <c r="BS15" s="367">
        <v>0.002</v>
      </c>
      <c r="BT15" s="367">
        <v>0.002</v>
      </c>
      <c r="BU15" s="367">
        <v>0.002</v>
      </c>
      <c r="BV15" s="367">
        <v>0.002</v>
      </c>
      <c r="BW15" s="367">
        <v>0.002</v>
      </c>
      <c r="BX15" s="367">
        <v>0.002</v>
      </c>
    </row>
    <row r="16">
      <c r="A16" s="1" t="s">
        <v>620</v>
      </c>
      <c r="B16" s="1"/>
      <c r="C16" s="1"/>
      <c r="D16" s="1"/>
      <c r="E16" s="123"/>
      <c r="F16" s="130">
        <f t="shared" ref="F16:N16" si="3">F17/E14</f>
        <v>0.5</v>
      </c>
      <c r="G16" s="130">
        <f t="shared" si="3"/>
        <v>0.5</v>
      </c>
      <c r="H16" s="130">
        <f t="shared" si="3"/>
        <v>0.5</v>
      </c>
      <c r="I16" s="130">
        <f t="shared" si="3"/>
        <v>0.5</v>
      </c>
      <c r="J16" s="130">
        <f t="shared" si="3"/>
        <v>0.5</v>
      </c>
      <c r="K16" s="130">
        <f t="shared" si="3"/>
        <v>0.5</v>
      </c>
      <c r="L16" s="130">
        <f t="shared" si="3"/>
        <v>0.5</v>
      </c>
      <c r="M16" s="130">
        <f t="shared" si="3"/>
        <v>0.5</v>
      </c>
      <c r="N16" s="130">
        <f t="shared" si="3"/>
        <v>0.5</v>
      </c>
      <c r="O16" s="197">
        <v>0.4</v>
      </c>
      <c r="P16" s="197">
        <v>0.4</v>
      </c>
      <c r="Q16" s="197">
        <v>0.4</v>
      </c>
      <c r="R16" s="197">
        <v>0.4</v>
      </c>
      <c r="S16" s="197">
        <v>0.4</v>
      </c>
      <c r="T16" s="197">
        <v>0.4</v>
      </c>
      <c r="U16" s="197">
        <v>0.4</v>
      </c>
      <c r="V16" s="197">
        <v>0.4</v>
      </c>
      <c r="W16" s="197">
        <v>0.4</v>
      </c>
      <c r="X16" s="197">
        <v>0.4</v>
      </c>
      <c r="Y16" s="197">
        <v>0.4</v>
      </c>
      <c r="Z16" s="197">
        <v>0.4</v>
      </c>
      <c r="AA16" s="197">
        <v>0.4</v>
      </c>
      <c r="AB16" s="197">
        <v>0.4</v>
      </c>
      <c r="AC16" s="197">
        <v>0.5</v>
      </c>
      <c r="AD16" s="197">
        <v>0.5</v>
      </c>
      <c r="AE16" s="197">
        <v>0.5</v>
      </c>
      <c r="AF16" s="197">
        <v>0.5</v>
      </c>
      <c r="AG16" s="197">
        <v>0.5</v>
      </c>
      <c r="AH16" s="197">
        <v>0.5</v>
      </c>
      <c r="AI16" s="197">
        <v>0.5</v>
      </c>
      <c r="AJ16" s="197">
        <v>0.5</v>
      </c>
      <c r="AK16" s="197">
        <v>0.5</v>
      </c>
      <c r="AL16" s="197">
        <v>0.5</v>
      </c>
      <c r="AM16" s="197">
        <v>0.5</v>
      </c>
      <c r="AN16" s="197">
        <v>0.5</v>
      </c>
      <c r="AO16" s="197">
        <v>0.5</v>
      </c>
      <c r="AP16" s="197">
        <v>0.5</v>
      </c>
      <c r="AQ16" s="197">
        <v>0.5</v>
      </c>
      <c r="AR16" s="197">
        <v>0.5</v>
      </c>
      <c r="AS16" s="197">
        <v>0.5</v>
      </c>
      <c r="AT16" s="197">
        <v>0.5</v>
      </c>
      <c r="AU16" s="197">
        <v>0.5</v>
      </c>
      <c r="AV16" s="197">
        <v>0.5</v>
      </c>
      <c r="AW16" s="197">
        <v>0.5</v>
      </c>
      <c r="AX16" s="197">
        <v>0.5</v>
      </c>
      <c r="AY16" s="197">
        <v>0.5</v>
      </c>
      <c r="AZ16" s="197">
        <v>0.5</v>
      </c>
      <c r="BA16" s="197">
        <v>0.5</v>
      </c>
      <c r="BB16" s="197">
        <v>0.5</v>
      </c>
      <c r="BC16" s="197">
        <v>0.5</v>
      </c>
      <c r="BD16" s="197">
        <v>0.5</v>
      </c>
      <c r="BE16" s="197">
        <v>0.5</v>
      </c>
      <c r="BF16" s="197">
        <v>0.5</v>
      </c>
      <c r="BG16" s="197">
        <v>0.5</v>
      </c>
      <c r="BH16" s="197">
        <v>0.5</v>
      </c>
      <c r="BI16" s="197">
        <v>0.5</v>
      </c>
      <c r="BJ16" s="197">
        <v>0.5</v>
      </c>
      <c r="BK16" s="197">
        <v>0.5</v>
      </c>
      <c r="BL16" s="197">
        <v>0.5</v>
      </c>
      <c r="BM16" s="197">
        <v>0.5</v>
      </c>
      <c r="BN16" s="197">
        <v>0.5</v>
      </c>
      <c r="BO16" s="197">
        <v>0.5</v>
      </c>
      <c r="BP16" s="197">
        <v>0.5</v>
      </c>
      <c r="BQ16" s="197">
        <v>0.5</v>
      </c>
      <c r="BR16" s="197">
        <v>0.5</v>
      </c>
      <c r="BS16" s="197">
        <v>0.5</v>
      </c>
      <c r="BT16" s="197">
        <v>0.5</v>
      </c>
      <c r="BU16" s="197">
        <v>0.5</v>
      </c>
      <c r="BV16" s="197">
        <v>0.5</v>
      </c>
      <c r="BW16" s="197">
        <v>0.5</v>
      </c>
      <c r="BX16" s="197">
        <v>0.5</v>
      </c>
    </row>
    <row r="17">
      <c r="A17" s="1" t="s">
        <v>621</v>
      </c>
      <c r="B17" s="1"/>
      <c r="C17" s="1"/>
      <c r="D17" s="1"/>
      <c r="E17" s="365">
        <v>5.0</v>
      </c>
      <c r="F17" s="365">
        <v>5.0</v>
      </c>
      <c r="G17" s="365">
        <v>5.0</v>
      </c>
      <c r="H17" s="365">
        <v>5.0</v>
      </c>
      <c r="I17" s="365">
        <v>5.0</v>
      </c>
      <c r="J17" s="365">
        <v>5.0</v>
      </c>
      <c r="K17" s="365">
        <v>5.0</v>
      </c>
      <c r="L17" s="365">
        <v>5.0</v>
      </c>
      <c r="M17" s="365">
        <v>5.0</v>
      </c>
      <c r="N17" s="365">
        <v>5.0</v>
      </c>
      <c r="O17" s="365">
        <v>5.0</v>
      </c>
      <c r="P17" s="366">
        <f t="shared" ref="P17:BX17" si="4">O14*P16</f>
        <v>4</v>
      </c>
      <c r="Q17" s="366">
        <f t="shared" si="4"/>
        <v>5.6</v>
      </c>
      <c r="R17" s="366">
        <f t="shared" si="4"/>
        <v>6.44</v>
      </c>
      <c r="S17" s="366">
        <f t="shared" si="4"/>
        <v>6.5044</v>
      </c>
      <c r="T17" s="366">
        <f t="shared" si="4"/>
        <v>6.569444</v>
      </c>
      <c r="U17" s="366">
        <f t="shared" si="4"/>
        <v>6.63513844</v>
      </c>
      <c r="V17" s="366">
        <f t="shared" si="4"/>
        <v>6.701489824</v>
      </c>
      <c r="W17" s="366">
        <f t="shared" si="4"/>
        <v>6.768504723</v>
      </c>
      <c r="X17" s="366">
        <f t="shared" si="4"/>
        <v>6.83618977</v>
      </c>
      <c r="Y17" s="366">
        <f t="shared" si="4"/>
        <v>6.904551668</v>
      </c>
      <c r="Z17" s="366">
        <f t="shared" si="4"/>
        <v>6.973597184</v>
      </c>
      <c r="AA17" s="366">
        <f t="shared" si="4"/>
        <v>7.043333156</v>
      </c>
      <c r="AB17" s="366">
        <f t="shared" si="4"/>
        <v>7.113766488</v>
      </c>
      <c r="AC17" s="366">
        <f t="shared" si="4"/>
        <v>8.981130191</v>
      </c>
      <c r="AD17" s="366">
        <f t="shared" si="4"/>
        <v>8.999092451</v>
      </c>
      <c r="AE17" s="366">
        <f t="shared" si="4"/>
        <v>9.017090636</v>
      </c>
      <c r="AF17" s="366">
        <f t="shared" si="4"/>
        <v>9.035124817</v>
      </c>
      <c r="AG17" s="366">
        <f t="shared" si="4"/>
        <v>9.053195067</v>
      </c>
      <c r="AH17" s="366">
        <f t="shared" si="4"/>
        <v>9.071301457</v>
      </c>
      <c r="AI17" s="366">
        <f t="shared" si="4"/>
        <v>9.08944406</v>
      </c>
      <c r="AJ17" s="366">
        <f t="shared" si="4"/>
        <v>9.107622948</v>
      </c>
      <c r="AK17" s="366">
        <f t="shared" si="4"/>
        <v>9.125838194</v>
      </c>
      <c r="AL17" s="366">
        <f t="shared" si="4"/>
        <v>9.14408987</v>
      </c>
      <c r="AM17" s="366">
        <f t="shared" si="4"/>
        <v>9.16237805</v>
      </c>
      <c r="AN17" s="366">
        <f t="shared" si="4"/>
        <v>9.180702806</v>
      </c>
      <c r="AO17" s="366">
        <f t="shared" si="4"/>
        <v>9.199064212</v>
      </c>
      <c r="AP17" s="366">
        <f t="shared" si="4"/>
        <v>9.21746234</v>
      </c>
      <c r="AQ17" s="366">
        <f t="shared" si="4"/>
        <v>9.235897265</v>
      </c>
      <c r="AR17" s="366">
        <f t="shared" si="4"/>
        <v>9.254369059</v>
      </c>
      <c r="AS17" s="366">
        <f t="shared" si="4"/>
        <v>9.272877798</v>
      </c>
      <c r="AT17" s="366">
        <f t="shared" si="4"/>
        <v>9.291423553</v>
      </c>
      <c r="AU17" s="366">
        <f t="shared" si="4"/>
        <v>9.3100064</v>
      </c>
      <c r="AV17" s="366">
        <f t="shared" si="4"/>
        <v>9.328626413</v>
      </c>
      <c r="AW17" s="366">
        <f t="shared" si="4"/>
        <v>9.347283666</v>
      </c>
      <c r="AX17" s="366">
        <f t="shared" si="4"/>
        <v>9.365978233</v>
      </c>
      <c r="AY17" s="366">
        <f t="shared" si="4"/>
        <v>9.38471019</v>
      </c>
      <c r="AZ17" s="366">
        <f t="shared" si="4"/>
        <v>9.40347961</v>
      </c>
      <c r="BA17" s="366">
        <f t="shared" si="4"/>
        <v>9.422286569</v>
      </c>
      <c r="BB17" s="366">
        <f t="shared" si="4"/>
        <v>8.480057912</v>
      </c>
      <c r="BC17" s="366">
        <f t="shared" si="4"/>
        <v>8.497018028</v>
      </c>
      <c r="BD17" s="366">
        <f t="shared" si="4"/>
        <v>8.514012064</v>
      </c>
      <c r="BE17" s="366">
        <f t="shared" si="4"/>
        <v>8.531040088</v>
      </c>
      <c r="BF17" s="366">
        <f t="shared" si="4"/>
        <v>8.548102168</v>
      </c>
      <c r="BG17" s="366">
        <f t="shared" si="4"/>
        <v>8.565198373</v>
      </c>
      <c r="BH17" s="366">
        <f t="shared" si="4"/>
        <v>8.58232877</v>
      </c>
      <c r="BI17" s="366">
        <f t="shared" si="4"/>
        <v>8.599493427</v>
      </c>
      <c r="BJ17" s="366">
        <f t="shared" si="4"/>
        <v>8.616692414</v>
      </c>
      <c r="BK17" s="366">
        <f t="shared" si="4"/>
        <v>8.633925799</v>
      </c>
      <c r="BL17" s="366">
        <f t="shared" si="4"/>
        <v>8.65119365</v>
      </c>
      <c r="BM17" s="366">
        <f t="shared" si="4"/>
        <v>8.668496038</v>
      </c>
      <c r="BN17" s="366">
        <f t="shared" si="4"/>
        <v>7.801646434</v>
      </c>
      <c r="BO17" s="366">
        <f t="shared" si="4"/>
        <v>7.817249727</v>
      </c>
      <c r="BP17" s="366">
        <f t="shared" si="4"/>
        <v>7.832884226</v>
      </c>
      <c r="BQ17" s="366">
        <f t="shared" si="4"/>
        <v>7.848549995</v>
      </c>
      <c r="BR17" s="366">
        <f t="shared" si="4"/>
        <v>7.864247095</v>
      </c>
      <c r="BS17" s="366">
        <f t="shared" si="4"/>
        <v>7.879975589</v>
      </c>
      <c r="BT17" s="366">
        <f t="shared" si="4"/>
        <v>7.89573554</v>
      </c>
      <c r="BU17" s="366">
        <f t="shared" si="4"/>
        <v>7.911527011</v>
      </c>
      <c r="BV17" s="366">
        <f t="shared" si="4"/>
        <v>7.927350065</v>
      </c>
      <c r="BW17" s="366">
        <f t="shared" si="4"/>
        <v>7.943204765</v>
      </c>
      <c r="BX17" s="366">
        <f t="shared" si="4"/>
        <v>7.959091175</v>
      </c>
    </row>
    <row r="18">
      <c r="A18" s="1" t="s">
        <v>622</v>
      </c>
      <c r="B18" s="1"/>
      <c r="C18" s="1"/>
      <c r="D18" s="1"/>
      <c r="E18" s="1"/>
      <c r="F18" s="130">
        <f t="shared" ref="F18:N18" si="5">F19/E17</f>
        <v>1.2</v>
      </c>
      <c r="G18" s="130">
        <f t="shared" si="5"/>
        <v>1.6</v>
      </c>
      <c r="H18" s="130">
        <f t="shared" si="5"/>
        <v>4</v>
      </c>
      <c r="I18" s="130">
        <f t="shared" si="5"/>
        <v>1.4</v>
      </c>
      <c r="J18" s="130">
        <f t="shared" si="5"/>
        <v>1.2</v>
      </c>
      <c r="K18" s="130">
        <f t="shared" si="5"/>
        <v>2.4</v>
      </c>
      <c r="L18" s="130">
        <f t="shared" si="5"/>
        <v>2</v>
      </c>
      <c r="M18" s="130">
        <f t="shared" si="5"/>
        <v>1.2</v>
      </c>
      <c r="N18" s="130">
        <f t="shared" si="5"/>
        <v>0.8</v>
      </c>
      <c r="O18" s="197">
        <v>0.7</v>
      </c>
      <c r="P18" s="197">
        <v>0.8</v>
      </c>
      <c r="Q18" s="197">
        <v>0.8</v>
      </c>
      <c r="R18" s="197">
        <v>0.7</v>
      </c>
      <c r="S18" s="197">
        <v>0.7</v>
      </c>
      <c r="T18" s="197">
        <v>0.7</v>
      </c>
      <c r="U18" s="197">
        <v>0.7</v>
      </c>
      <c r="V18" s="197">
        <v>0.7</v>
      </c>
      <c r="W18" s="197">
        <v>0.7</v>
      </c>
      <c r="X18" s="197">
        <v>0.7</v>
      </c>
      <c r="Y18" s="197">
        <v>0.7</v>
      </c>
      <c r="Z18" s="197">
        <v>0.7</v>
      </c>
      <c r="AA18" s="197">
        <v>0.7</v>
      </c>
      <c r="AB18" s="197">
        <v>0.7</v>
      </c>
      <c r="AC18" s="197">
        <v>0.5</v>
      </c>
      <c r="AD18" s="197">
        <v>0.5</v>
      </c>
      <c r="AE18" s="197">
        <v>0.5</v>
      </c>
      <c r="AF18" s="197">
        <v>0.5</v>
      </c>
      <c r="AG18" s="197">
        <v>0.5</v>
      </c>
      <c r="AH18" s="197">
        <v>0.5</v>
      </c>
      <c r="AI18" s="197">
        <v>0.5</v>
      </c>
      <c r="AJ18" s="197">
        <v>0.5</v>
      </c>
      <c r="AK18" s="197">
        <v>0.5</v>
      </c>
      <c r="AL18" s="197">
        <v>0.5</v>
      </c>
      <c r="AM18" s="197">
        <v>0.5</v>
      </c>
      <c r="AN18" s="197">
        <v>0.5</v>
      </c>
      <c r="AO18" s="197">
        <v>0.5</v>
      </c>
      <c r="AP18" s="197">
        <v>0.5</v>
      </c>
      <c r="AQ18" s="197">
        <v>0.5</v>
      </c>
      <c r="AR18" s="197">
        <v>0.5</v>
      </c>
      <c r="AS18" s="197">
        <v>0.5</v>
      </c>
      <c r="AT18" s="197">
        <v>0.5</v>
      </c>
      <c r="AU18" s="197">
        <v>0.5</v>
      </c>
      <c r="AV18" s="197">
        <v>0.5</v>
      </c>
      <c r="AW18" s="197">
        <v>0.5</v>
      </c>
      <c r="AX18" s="197">
        <v>0.5</v>
      </c>
      <c r="AY18" s="197">
        <v>0.5</v>
      </c>
      <c r="AZ18" s="197">
        <v>0.5</v>
      </c>
      <c r="BA18" s="197">
        <v>0.5</v>
      </c>
      <c r="BB18" s="197">
        <v>0.5</v>
      </c>
      <c r="BC18" s="197">
        <v>0.5</v>
      </c>
      <c r="BD18" s="197">
        <v>0.5</v>
      </c>
      <c r="BE18" s="197">
        <v>0.5</v>
      </c>
      <c r="BF18" s="197">
        <v>0.5</v>
      </c>
      <c r="BG18" s="197">
        <v>0.5</v>
      </c>
      <c r="BH18" s="197">
        <v>0.5</v>
      </c>
      <c r="BI18" s="197">
        <v>0.5</v>
      </c>
      <c r="BJ18" s="197">
        <v>0.5</v>
      </c>
      <c r="BK18" s="197">
        <v>0.5</v>
      </c>
      <c r="BL18" s="197">
        <v>0.5</v>
      </c>
      <c r="BM18" s="197">
        <v>0.5</v>
      </c>
      <c r="BN18" s="197">
        <v>0.5</v>
      </c>
      <c r="BO18" s="197">
        <v>0.5</v>
      </c>
      <c r="BP18" s="197">
        <v>0.5</v>
      </c>
      <c r="BQ18" s="197">
        <v>0.5</v>
      </c>
      <c r="BR18" s="197">
        <v>0.5</v>
      </c>
      <c r="BS18" s="197">
        <v>0.5</v>
      </c>
      <c r="BT18" s="197">
        <v>0.5</v>
      </c>
      <c r="BU18" s="197">
        <v>0.5</v>
      </c>
      <c r="BV18" s="197">
        <v>0.5</v>
      </c>
      <c r="BW18" s="197">
        <v>0.5</v>
      </c>
      <c r="BX18" s="197">
        <v>0.5</v>
      </c>
    </row>
    <row r="19">
      <c r="A19" s="1" t="s">
        <v>91</v>
      </c>
      <c r="B19" s="1"/>
      <c r="C19" s="1"/>
      <c r="D19" s="1"/>
      <c r="E19" s="1">
        <v>1.0</v>
      </c>
      <c r="F19" s="1">
        <v>6.0</v>
      </c>
      <c r="G19" s="1">
        <v>8.0</v>
      </c>
      <c r="H19" s="1">
        <v>20.0</v>
      </c>
      <c r="I19" s="5">
        <v>7.0</v>
      </c>
      <c r="J19" s="5">
        <v>6.0</v>
      </c>
      <c r="K19" s="5">
        <v>12.0</v>
      </c>
      <c r="L19" s="5">
        <v>10.0</v>
      </c>
      <c r="M19" s="368">
        <v>6.0</v>
      </c>
      <c r="N19" s="368">
        <v>4.0</v>
      </c>
      <c r="O19" s="368">
        <v>8.0</v>
      </c>
      <c r="P19" s="366">
        <f t="shared" ref="P19:BX19" si="6">O17*P18</f>
        <v>4</v>
      </c>
      <c r="Q19" s="366">
        <f t="shared" si="6"/>
        <v>3.2</v>
      </c>
      <c r="R19" s="366">
        <f t="shared" si="6"/>
        <v>3.92</v>
      </c>
      <c r="S19" s="366">
        <f t="shared" si="6"/>
        <v>4.508</v>
      </c>
      <c r="T19" s="366">
        <f t="shared" si="6"/>
        <v>4.55308</v>
      </c>
      <c r="U19" s="366">
        <f t="shared" si="6"/>
        <v>4.5986108</v>
      </c>
      <c r="V19" s="366">
        <f t="shared" si="6"/>
        <v>4.644596908</v>
      </c>
      <c r="W19" s="366">
        <f t="shared" si="6"/>
        <v>4.691042877</v>
      </c>
      <c r="X19" s="366">
        <f t="shared" si="6"/>
        <v>4.737953306</v>
      </c>
      <c r="Y19" s="366">
        <f t="shared" si="6"/>
        <v>4.785332839</v>
      </c>
      <c r="Z19" s="366">
        <f t="shared" si="6"/>
        <v>4.833186167</v>
      </c>
      <c r="AA19" s="366">
        <f t="shared" si="6"/>
        <v>4.881518029</v>
      </c>
      <c r="AB19" s="366">
        <f t="shared" si="6"/>
        <v>4.930333209</v>
      </c>
      <c r="AC19" s="366">
        <f t="shared" si="6"/>
        <v>3.556883244</v>
      </c>
      <c r="AD19" s="366">
        <f t="shared" si="6"/>
        <v>4.490565095</v>
      </c>
      <c r="AE19" s="366">
        <f t="shared" si="6"/>
        <v>4.499546226</v>
      </c>
      <c r="AF19" s="366">
        <f t="shared" si="6"/>
        <v>4.508545318</v>
      </c>
      <c r="AG19" s="366">
        <f t="shared" si="6"/>
        <v>4.517562409</v>
      </c>
      <c r="AH19" s="366">
        <f t="shared" si="6"/>
        <v>4.526597533</v>
      </c>
      <c r="AI19" s="366">
        <f t="shared" si="6"/>
        <v>4.535650728</v>
      </c>
      <c r="AJ19" s="366">
        <f t="shared" si="6"/>
        <v>4.54472203</v>
      </c>
      <c r="AK19" s="366">
        <f t="shared" si="6"/>
        <v>4.553811474</v>
      </c>
      <c r="AL19" s="366">
        <f t="shared" si="6"/>
        <v>4.562919097</v>
      </c>
      <c r="AM19" s="366">
        <f t="shared" si="6"/>
        <v>4.572044935</v>
      </c>
      <c r="AN19" s="366">
        <f t="shared" si="6"/>
        <v>4.581189025</v>
      </c>
      <c r="AO19" s="366">
        <f t="shared" si="6"/>
        <v>4.590351403</v>
      </c>
      <c r="AP19" s="366">
        <f t="shared" si="6"/>
        <v>4.599532106</v>
      </c>
      <c r="AQ19" s="366">
        <f t="shared" si="6"/>
        <v>4.60873117</v>
      </c>
      <c r="AR19" s="366">
        <f t="shared" si="6"/>
        <v>4.617948632</v>
      </c>
      <c r="AS19" s="366">
        <f t="shared" si="6"/>
        <v>4.62718453</v>
      </c>
      <c r="AT19" s="366">
        <f t="shared" si="6"/>
        <v>4.636438899</v>
      </c>
      <c r="AU19" s="366">
        <f t="shared" si="6"/>
        <v>4.645711777</v>
      </c>
      <c r="AV19" s="366">
        <f t="shared" si="6"/>
        <v>4.6550032</v>
      </c>
      <c r="AW19" s="366">
        <f t="shared" si="6"/>
        <v>4.664313207</v>
      </c>
      <c r="AX19" s="366">
        <f t="shared" si="6"/>
        <v>4.673641833</v>
      </c>
      <c r="AY19" s="366">
        <f t="shared" si="6"/>
        <v>4.682989117</v>
      </c>
      <c r="AZ19" s="366">
        <f t="shared" si="6"/>
        <v>4.692355095</v>
      </c>
      <c r="BA19" s="366">
        <f t="shared" si="6"/>
        <v>4.701739805</v>
      </c>
      <c r="BB19" s="366">
        <f t="shared" si="6"/>
        <v>4.711143285</v>
      </c>
      <c r="BC19" s="366">
        <f t="shared" si="6"/>
        <v>4.240028956</v>
      </c>
      <c r="BD19" s="366">
        <f t="shared" si="6"/>
        <v>4.248509014</v>
      </c>
      <c r="BE19" s="366">
        <f t="shared" si="6"/>
        <v>4.257006032</v>
      </c>
      <c r="BF19" s="366">
        <f t="shared" si="6"/>
        <v>4.265520044</v>
      </c>
      <c r="BG19" s="366">
        <f t="shared" si="6"/>
        <v>4.274051084</v>
      </c>
      <c r="BH19" s="366">
        <f t="shared" si="6"/>
        <v>4.282599186</v>
      </c>
      <c r="BI19" s="366">
        <f t="shared" si="6"/>
        <v>4.291164385</v>
      </c>
      <c r="BJ19" s="366">
        <f t="shared" si="6"/>
        <v>4.299746714</v>
      </c>
      <c r="BK19" s="366">
        <f t="shared" si="6"/>
        <v>4.308346207</v>
      </c>
      <c r="BL19" s="366">
        <f t="shared" si="6"/>
        <v>4.316962899</v>
      </c>
      <c r="BM19" s="366">
        <f t="shared" si="6"/>
        <v>4.325596825</v>
      </c>
      <c r="BN19" s="366">
        <f t="shared" si="6"/>
        <v>4.334248019</v>
      </c>
      <c r="BO19" s="366">
        <f t="shared" si="6"/>
        <v>3.900823217</v>
      </c>
      <c r="BP19" s="366">
        <f t="shared" si="6"/>
        <v>3.908624863</v>
      </c>
      <c r="BQ19" s="366">
        <f t="shared" si="6"/>
        <v>3.916442113</v>
      </c>
      <c r="BR19" s="366">
        <f t="shared" si="6"/>
        <v>3.924274997</v>
      </c>
      <c r="BS19" s="366">
        <f t="shared" si="6"/>
        <v>3.932123547</v>
      </c>
      <c r="BT19" s="366">
        <f t="shared" si="6"/>
        <v>3.939987794</v>
      </c>
      <c r="BU19" s="366">
        <f t="shared" si="6"/>
        <v>3.94786777</v>
      </c>
      <c r="BV19" s="366">
        <f t="shared" si="6"/>
        <v>3.955763506</v>
      </c>
      <c r="BW19" s="366">
        <f t="shared" si="6"/>
        <v>3.963675033</v>
      </c>
      <c r="BX19" s="366">
        <f t="shared" si="6"/>
        <v>3.971602383</v>
      </c>
    </row>
    <row r="20">
      <c r="A20" s="1" t="s">
        <v>623</v>
      </c>
      <c r="B20" s="1"/>
      <c r="C20" s="1"/>
      <c r="D20" s="1"/>
      <c r="E20" s="264">
        <v>50000.0</v>
      </c>
      <c r="F20" s="264">
        <v>50000.0</v>
      </c>
      <c r="G20" s="264">
        <v>50000.0</v>
      </c>
      <c r="H20" s="264">
        <v>50000.0</v>
      </c>
      <c r="I20" s="264">
        <v>50000.0</v>
      </c>
      <c r="J20" s="264">
        <v>50000.0</v>
      </c>
      <c r="K20" s="264">
        <v>50000.0</v>
      </c>
      <c r="L20" s="264">
        <v>50000.0</v>
      </c>
      <c r="M20" s="264">
        <v>50000.0</v>
      </c>
      <c r="N20" s="264">
        <v>50000.0</v>
      </c>
      <c r="O20" s="264">
        <v>50000.0</v>
      </c>
      <c r="P20" s="137">
        <f t="shared" ref="P20:BX20" si="7">O20*(1+P21)</f>
        <v>70000</v>
      </c>
      <c r="Q20" s="137">
        <f t="shared" si="7"/>
        <v>98000</v>
      </c>
      <c r="R20" s="137">
        <f t="shared" si="7"/>
        <v>117600</v>
      </c>
      <c r="S20" s="137">
        <f t="shared" si="7"/>
        <v>141120</v>
      </c>
      <c r="T20" s="137">
        <f t="shared" si="7"/>
        <v>169344</v>
      </c>
      <c r="U20" s="137">
        <f t="shared" si="7"/>
        <v>176117.76</v>
      </c>
      <c r="V20" s="137">
        <f t="shared" si="7"/>
        <v>177878.9376</v>
      </c>
      <c r="W20" s="137">
        <f t="shared" si="7"/>
        <v>179657.727</v>
      </c>
      <c r="X20" s="137">
        <f t="shared" si="7"/>
        <v>181454.3042</v>
      </c>
      <c r="Y20" s="137">
        <f t="shared" si="7"/>
        <v>190527.0195</v>
      </c>
      <c r="Z20" s="137">
        <f t="shared" si="7"/>
        <v>192432.2897</v>
      </c>
      <c r="AA20" s="137">
        <f t="shared" si="7"/>
        <v>194356.6125</v>
      </c>
      <c r="AB20" s="137">
        <f t="shared" si="7"/>
        <v>196300.1787</v>
      </c>
      <c r="AC20" s="137">
        <f t="shared" si="7"/>
        <v>198263.1805</v>
      </c>
      <c r="AD20" s="137">
        <f t="shared" si="7"/>
        <v>200245.8123</v>
      </c>
      <c r="AE20" s="137">
        <f t="shared" si="7"/>
        <v>202248.2704</v>
      </c>
      <c r="AF20" s="137">
        <f t="shared" si="7"/>
        <v>204270.7531</v>
      </c>
      <c r="AG20" s="137">
        <f t="shared" si="7"/>
        <v>206313.4606</v>
      </c>
      <c r="AH20" s="137">
        <f t="shared" si="7"/>
        <v>208376.5952</v>
      </c>
      <c r="AI20" s="137">
        <f t="shared" si="7"/>
        <v>210460.3612</v>
      </c>
      <c r="AJ20" s="137">
        <f t="shared" si="7"/>
        <v>212564.9648</v>
      </c>
      <c r="AK20" s="137">
        <f t="shared" si="7"/>
        <v>214690.6144</v>
      </c>
      <c r="AL20" s="137">
        <f t="shared" si="7"/>
        <v>216837.5206</v>
      </c>
      <c r="AM20" s="137">
        <f t="shared" si="7"/>
        <v>219005.8958</v>
      </c>
      <c r="AN20" s="137">
        <f t="shared" si="7"/>
        <v>221195.9547</v>
      </c>
      <c r="AO20" s="137">
        <f t="shared" si="7"/>
        <v>223407.9143</v>
      </c>
      <c r="AP20" s="137">
        <f t="shared" si="7"/>
        <v>225641.9934</v>
      </c>
      <c r="AQ20" s="137">
        <f t="shared" si="7"/>
        <v>227898.4134</v>
      </c>
      <c r="AR20" s="137">
        <f t="shared" si="7"/>
        <v>230177.3975</v>
      </c>
      <c r="AS20" s="137">
        <f t="shared" si="7"/>
        <v>232479.1715</v>
      </c>
      <c r="AT20" s="137">
        <f t="shared" si="7"/>
        <v>234803.9632</v>
      </c>
      <c r="AU20" s="137">
        <f t="shared" si="7"/>
        <v>237152.0028</v>
      </c>
      <c r="AV20" s="137">
        <f t="shared" si="7"/>
        <v>239523.5229</v>
      </c>
      <c r="AW20" s="137">
        <f t="shared" si="7"/>
        <v>241918.7581</v>
      </c>
      <c r="AX20" s="137">
        <f t="shared" si="7"/>
        <v>244337.9457</v>
      </c>
      <c r="AY20" s="137">
        <f t="shared" si="7"/>
        <v>246781.3251</v>
      </c>
      <c r="AZ20" s="137">
        <f t="shared" si="7"/>
        <v>249249.1384</v>
      </c>
      <c r="BA20" s="137">
        <f t="shared" si="7"/>
        <v>251741.6298</v>
      </c>
      <c r="BB20" s="137">
        <f t="shared" si="7"/>
        <v>254259.0461</v>
      </c>
      <c r="BC20" s="137">
        <f t="shared" si="7"/>
        <v>256801.6365</v>
      </c>
      <c r="BD20" s="137">
        <f t="shared" si="7"/>
        <v>259369.6529</v>
      </c>
      <c r="BE20" s="137">
        <f t="shared" si="7"/>
        <v>261963.3494</v>
      </c>
      <c r="BF20" s="137">
        <f t="shared" si="7"/>
        <v>264582.9829</v>
      </c>
      <c r="BG20" s="137">
        <f t="shared" si="7"/>
        <v>267228.8127</v>
      </c>
      <c r="BH20" s="137">
        <f t="shared" si="7"/>
        <v>269901.1009</v>
      </c>
      <c r="BI20" s="137">
        <f t="shared" si="7"/>
        <v>272600.1119</v>
      </c>
      <c r="BJ20" s="137">
        <f t="shared" si="7"/>
        <v>275326.113</v>
      </c>
      <c r="BK20" s="137">
        <f t="shared" si="7"/>
        <v>278079.3741</v>
      </c>
      <c r="BL20" s="137">
        <f t="shared" si="7"/>
        <v>280860.1679</v>
      </c>
      <c r="BM20" s="137">
        <f t="shared" si="7"/>
        <v>283668.7695</v>
      </c>
      <c r="BN20" s="137">
        <f t="shared" si="7"/>
        <v>286505.4572</v>
      </c>
      <c r="BO20" s="137">
        <f t="shared" si="7"/>
        <v>289370.5118</v>
      </c>
      <c r="BP20" s="137">
        <f t="shared" si="7"/>
        <v>292264.2169</v>
      </c>
      <c r="BQ20" s="137">
        <f t="shared" si="7"/>
        <v>295186.8591</v>
      </c>
      <c r="BR20" s="137">
        <f t="shared" si="7"/>
        <v>298138.7277</v>
      </c>
      <c r="BS20" s="137">
        <f t="shared" si="7"/>
        <v>301120.115</v>
      </c>
      <c r="BT20" s="137">
        <f t="shared" si="7"/>
        <v>304131.3161</v>
      </c>
      <c r="BU20" s="137">
        <f t="shared" si="7"/>
        <v>307172.6293</v>
      </c>
      <c r="BV20" s="137">
        <f t="shared" si="7"/>
        <v>310244.3556</v>
      </c>
      <c r="BW20" s="137">
        <f t="shared" si="7"/>
        <v>313346.7991</v>
      </c>
      <c r="BX20" s="137">
        <f t="shared" si="7"/>
        <v>316480.2671</v>
      </c>
    </row>
    <row r="21" ht="15.75" customHeight="1">
      <c r="A21" s="1" t="s">
        <v>624</v>
      </c>
      <c r="B21" s="1"/>
      <c r="C21" s="1"/>
      <c r="D21" s="1"/>
      <c r="E21" s="1"/>
      <c r="F21" s="130">
        <f t="shared" ref="F21:O21" si="8">F20/E20-1</f>
        <v>0</v>
      </c>
      <c r="G21" s="130">
        <f t="shared" si="8"/>
        <v>0</v>
      </c>
      <c r="H21" s="130">
        <f t="shared" si="8"/>
        <v>0</v>
      </c>
      <c r="I21" s="130">
        <f t="shared" si="8"/>
        <v>0</v>
      </c>
      <c r="J21" s="130">
        <f t="shared" si="8"/>
        <v>0</v>
      </c>
      <c r="K21" s="130">
        <f t="shared" si="8"/>
        <v>0</v>
      </c>
      <c r="L21" s="130">
        <f t="shared" si="8"/>
        <v>0</v>
      </c>
      <c r="M21" s="130">
        <f t="shared" si="8"/>
        <v>0</v>
      </c>
      <c r="N21" s="130">
        <f t="shared" si="8"/>
        <v>0</v>
      </c>
      <c r="O21" s="130">
        <f t="shared" si="8"/>
        <v>0</v>
      </c>
      <c r="P21" s="252">
        <v>0.4</v>
      </c>
      <c r="Q21" s="252">
        <v>0.4</v>
      </c>
      <c r="R21" s="252">
        <v>0.2</v>
      </c>
      <c r="S21" s="252">
        <v>0.2</v>
      </c>
      <c r="T21" s="252">
        <v>0.2</v>
      </c>
      <c r="U21" s="252">
        <v>0.04</v>
      </c>
      <c r="V21" s="252">
        <v>0.01</v>
      </c>
      <c r="W21" s="252">
        <v>0.01</v>
      </c>
      <c r="X21" s="252">
        <v>0.01</v>
      </c>
      <c r="Y21" s="252">
        <v>0.05</v>
      </c>
      <c r="Z21" s="252">
        <v>0.01</v>
      </c>
      <c r="AA21" s="252">
        <v>0.01</v>
      </c>
      <c r="AB21" s="252">
        <v>0.01</v>
      </c>
      <c r="AC21" s="252">
        <v>0.01</v>
      </c>
      <c r="AD21" s="252">
        <v>0.01</v>
      </c>
      <c r="AE21" s="252">
        <v>0.01</v>
      </c>
      <c r="AF21" s="252">
        <v>0.01</v>
      </c>
      <c r="AG21" s="252">
        <v>0.01</v>
      </c>
      <c r="AH21" s="252">
        <v>0.01</v>
      </c>
      <c r="AI21" s="252">
        <v>0.01</v>
      </c>
      <c r="AJ21" s="252">
        <v>0.01</v>
      </c>
      <c r="AK21" s="252">
        <v>0.01</v>
      </c>
      <c r="AL21" s="252">
        <v>0.01</v>
      </c>
      <c r="AM21" s="252">
        <v>0.01</v>
      </c>
      <c r="AN21" s="252">
        <v>0.01</v>
      </c>
      <c r="AO21" s="252">
        <v>0.01</v>
      </c>
      <c r="AP21" s="252">
        <v>0.01</v>
      </c>
      <c r="AQ21" s="252">
        <v>0.01</v>
      </c>
      <c r="AR21" s="252">
        <v>0.01</v>
      </c>
      <c r="AS21" s="252">
        <v>0.01</v>
      </c>
      <c r="AT21" s="252">
        <v>0.01</v>
      </c>
      <c r="AU21" s="252">
        <v>0.01</v>
      </c>
      <c r="AV21" s="252">
        <v>0.01</v>
      </c>
      <c r="AW21" s="252">
        <v>0.01</v>
      </c>
      <c r="AX21" s="252">
        <v>0.01</v>
      </c>
      <c r="AY21" s="252">
        <v>0.01</v>
      </c>
      <c r="AZ21" s="252">
        <v>0.01</v>
      </c>
      <c r="BA21" s="252">
        <v>0.01</v>
      </c>
      <c r="BB21" s="252">
        <v>0.01</v>
      </c>
      <c r="BC21" s="252">
        <v>0.01</v>
      </c>
      <c r="BD21" s="252">
        <v>0.01</v>
      </c>
      <c r="BE21" s="252">
        <v>0.01</v>
      </c>
      <c r="BF21" s="252">
        <v>0.01</v>
      </c>
      <c r="BG21" s="252">
        <v>0.01</v>
      </c>
      <c r="BH21" s="252">
        <v>0.01</v>
      </c>
      <c r="BI21" s="252">
        <v>0.01</v>
      </c>
      <c r="BJ21" s="252">
        <v>0.01</v>
      </c>
      <c r="BK21" s="252">
        <v>0.01</v>
      </c>
      <c r="BL21" s="252">
        <v>0.01</v>
      </c>
      <c r="BM21" s="252">
        <v>0.01</v>
      </c>
      <c r="BN21" s="252">
        <v>0.01</v>
      </c>
      <c r="BO21" s="252">
        <v>0.01</v>
      </c>
      <c r="BP21" s="252">
        <v>0.01</v>
      </c>
      <c r="BQ21" s="252">
        <v>0.01</v>
      </c>
      <c r="BR21" s="252">
        <v>0.01</v>
      </c>
      <c r="BS21" s="252">
        <v>0.01</v>
      </c>
      <c r="BT21" s="252">
        <v>0.01</v>
      </c>
      <c r="BU21" s="252">
        <v>0.01</v>
      </c>
      <c r="BV21" s="252">
        <v>0.01</v>
      </c>
      <c r="BW21" s="252">
        <v>0.01</v>
      </c>
      <c r="BX21" s="252">
        <v>0.01</v>
      </c>
    </row>
    <row r="22" ht="15.75" customHeight="1">
      <c r="A22" s="119" t="s">
        <v>625</v>
      </c>
      <c r="B22" s="124"/>
      <c r="C22" s="124"/>
      <c r="D22" s="124"/>
      <c r="E22" s="357">
        <f t="shared" ref="E22:BX22" si="9">E20*E19</f>
        <v>50000</v>
      </c>
      <c r="F22" s="357">
        <f t="shared" si="9"/>
        <v>300000</v>
      </c>
      <c r="G22" s="357">
        <f t="shared" si="9"/>
        <v>400000</v>
      </c>
      <c r="H22" s="357">
        <f t="shared" si="9"/>
        <v>1000000</v>
      </c>
      <c r="I22" s="357">
        <f t="shared" si="9"/>
        <v>350000</v>
      </c>
      <c r="J22" s="357">
        <f t="shared" si="9"/>
        <v>300000</v>
      </c>
      <c r="K22" s="357">
        <f t="shared" si="9"/>
        <v>600000</v>
      </c>
      <c r="L22" s="357">
        <f t="shared" si="9"/>
        <v>500000</v>
      </c>
      <c r="M22" s="357">
        <f t="shared" si="9"/>
        <v>300000</v>
      </c>
      <c r="N22" s="357">
        <f t="shared" si="9"/>
        <v>200000</v>
      </c>
      <c r="O22" s="357">
        <f t="shared" si="9"/>
        <v>400000</v>
      </c>
      <c r="P22" s="357">
        <f t="shared" si="9"/>
        <v>280000</v>
      </c>
      <c r="Q22" s="357">
        <f t="shared" si="9"/>
        <v>313600</v>
      </c>
      <c r="R22" s="357">
        <f t="shared" si="9"/>
        <v>460992</v>
      </c>
      <c r="S22" s="357">
        <f t="shared" si="9"/>
        <v>636168.96</v>
      </c>
      <c r="T22" s="357">
        <f t="shared" si="9"/>
        <v>771036.7795</v>
      </c>
      <c r="U22" s="357">
        <f t="shared" si="9"/>
        <v>809897.0332</v>
      </c>
      <c r="V22" s="357">
        <f t="shared" si="9"/>
        <v>826175.9636</v>
      </c>
      <c r="W22" s="357">
        <f t="shared" si="9"/>
        <v>842782.1004</v>
      </c>
      <c r="X22" s="357">
        <f t="shared" si="9"/>
        <v>859722.0207</v>
      </c>
      <c r="Y22" s="357">
        <f t="shared" si="9"/>
        <v>911735.2029</v>
      </c>
      <c r="Z22" s="357">
        <f t="shared" si="9"/>
        <v>930061.0805</v>
      </c>
      <c r="AA22" s="357">
        <f t="shared" si="9"/>
        <v>948755.3082</v>
      </c>
      <c r="AB22" s="357">
        <f t="shared" si="9"/>
        <v>967825.2899</v>
      </c>
      <c r="AC22" s="357">
        <f t="shared" si="9"/>
        <v>705198.9845</v>
      </c>
      <c r="AD22" s="357">
        <f t="shared" si="9"/>
        <v>899216.855</v>
      </c>
      <c r="AE22" s="357">
        <f t="shared" si="9"/>
        <v>910025.4416</v>
      </c>
      <c r="AF22" s="357">
        <f t="shared" si="9"/>
        <v>920963.9475</v>
      </c>
      <c r="AG22" s="357">
        <f t="shared" si="9"/>
        <v>932033.9341</v>
      </c>
      <c r="AH22" s="357">
        <f t="shared" si="9"/>
        <v>943236.982</v>
      </c>
      <c r="AI22" s="357">
        <f t="shared" si="9"/>
        <v>954574.6905</v>
      </c>
      <c r="AJ22" s="357">
        <f t="shared" si="9"/>
        <v>966048.6783</v>
      </c>
      <c r="AK22" s="357">
        <f t="shared" si="9"/>
        <v>977660.5834</v>
      </c>
      <c r="AL22" s="357">
        <f t="shared" si="9"/>
        <v>989412.0636</v>
      </c>
      <c r="AM22" s="357">
        <f t="shared" si="9"/>
        <v>1001304.797</v>
      </c>
      <c r="AN22" s="357">
        <f t="shared" si="9"/>
        <v>1013340.48</v>
      </c>
      <c r="AO22" s="357">
        <f t="shared" si="9"/>
        <v>1025520.833</v>
      </c>
      <c r="AP22" s="357">
        <f t="shared" si="9"/>
        <v>1037847.593</v>
      </c>
      <c r="AQ22" s="357">
        <f t="shared" si="9"/>
        <v>1050322.521</v>
      </c>
      <c r="AR22" s="357">
        <f t="shared" si="9"/>
        <v>1062947.398</v>
      </c>
      <c r="AS22" s="357">
        <f t="shared" si="9"/>
        <v>1075724.026</v>
      </c>
      <c r="AT22" s="357">
        <f t="shared" si="9"/>
        <v>1088654.229</v>
      </c>
      <c r="AU22" s="357">
        <f t="shared" si="9"/>
        <v>1101739.852</v>
      </c>
      <c r="AV22" s="357">
        <f t="shared" si="9"/>
        <v>1114982.765</v>
      </c>
      <c r="AW22" s="357">
        <f t="shared" si="9"/>
        <v>1128384.858</v>
      </c>
      <c r="AX22" s="357">
        <f t="shared" si="9"/>
        <v>1141948.044</v>
      </c>
      <c r="AY22" s="357">
        <f t="shared" si="9"/>
        <v>1155674.26</v>
      </c>
      <c r="AZ22" s="357">
        <f t="shared" si="9"/>
        <v>1169565.464</v>
      </c>
      <c r="BA22" s="357">
        <f t="shared" si="9"/>
        <v>1183623.641</v>
      </c>
      <c r="BB22" s="357">
        <f t="shared" si="9"/>
        <v>1197850.797</v>
      </c>
      <c r="BC22" s="357">
        <f t="shared" si="9"/>
        <v>1088846.375</v>
      </c>
      <c r="BD22" s="357">
        <f t="shared" si="9"/>
        <v>1101934.308</v>
      </c>
      <c r="BE22" s="357">
        <f t="shared" si="9"/>
        <v>1115179.559</v>
      </c>
      <c r="BF22" s="357">
        <f t="shared" si="9"/>
        <v>1128584.017</v>
      </c>
      <c r="BG22" s="357">
        <f t="shared" si="9"/>
        <v>1142149.597</v>
      </c>
      <c r="BH22" s="357">
        <f t="shared" si="9"/>
        <v>1155878.235</v>
      </c>
      <c r="BI22" s="357">
        <f t="shared" si="9"/>
        <v>1169771.891</v>
      </c>
      <c r="BJ22" s="357">
        <f t="shared" si="9"/>
        <v>1183832.549</v>
      </c>
      <c r="BK22" s="357">
        <f t="shared" si="9"/>
        <v>1198062.217</v>
      </c>
      <c r="BL22" s="357">
        <f t="shared" si="9"/>
        <v>1212462.925</v>
      </c>
      <c r="BM22" s="357">
        <f t="shared" si="9"/>
        <v>1227036.729</v>
      </c>
      <c r="BN22" s="357">
        <f t="shared" si="9"/>
        <v>1241785.71</v>
      </c>
      <c r="BO22" s="357">
        <f t="shared" si="9"/>
        <v>1128783.211</v>
      </c>
      <c r="BP22" s="357">
        <f t="shared" si="9"/>
        <v>1142351.185</v>
      </c>
      <c r="BQ22" s="357">
        <f t="shared" si="9"/>
        <v>1156082.246</v>
      </c>
      <c r="BR22" s="357">
        <f t="shared" si="9"/>
        <v>1169978.355</v>
      </c>
      <c r="BS22" s="357">
        <f t="shared" si="9"/>
        <v>1184041.495</v>
      </c>
      <c r="BT22" s="357">
        <f t="shared" si="9"/>
        <v>1198273.673</v>
      </c>
      <c r="BU22" s="357">
        <f t="shared" si="9"/>
        <v>1212676.923</v>
      </c>
      <c r="BV22" s="357">
        <f t="shared" si="9"/>
        <v>1227253.3</v>
      </c>
      <c r="BW22" s="357">
        <f t="shared" si="9"/>
        <v>1242004.884</v>
      </c>
      <c r="BX22" s="357">
        <f t="shared" si="9"/>
        <v>1256933.783</v>
      </c>
    </row>
    <row r="23" ht="15.75" customHeight="1">
      <c r="A23" s="4"/>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row>
    <row r="24" ht="15.75" customHeight="1">
      <c r="A24" s="4" t="s">
        <v>626</v>
      </c>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row>
    <row r="25" ht="15.75" customHeight="1">
      <c r="A25" s="1" t="s">
        <v>627</v>
      </c>
      <c r="B25" s="1"/>
      <c r="C25" s="1"/>
      <c r="D25" s="1"/>
      <c r="E25" s="1"/>
      <c r="F25" s="1"/>
      <c r="G25" s="1"/>
      <c r="H25" s="1"/>
      <c r="I25" s="323">
        <v>21.0</v>
      </c>
      <c r="J25" s="323">
        <v>19.0</v>
      </c>
      <c r="K25" s="201">
        <v>16.0</v>
      </c>
      <c r="L25" s="363">
        <f t="shared" ref="L25:BX25" si="10">K25*(1+L26)</f>
        <v>16</v>
      </c>
      <c r="M25" s="363">
        <f t="shared" si="10"/>
        <v>16.08</v>
      </c>
      <c r="N25" s="363">
        <f t="shared" si="10"/>
        <v>16.1604</v>
      </c>
      <c r="O25" s="363">
        <f t="shared" si="10"/>
        <v>16.241202</v>
      </c>
      <c r="P25" s="363">
        <f t="shared" si="10"/>
        <v>16.32240801</v>
      </c>
      <c r="Q25" s="363">
        <f t="shared" si="10"/>
        <v>16.40402005</v>
      </c>
      <c r="R25" s="363">
        <f t="shared" si="10"/>
        <v>16.48604015</v>
      </c>
      <c r="S25" s="363">
        <f t="shared" si="10"/>
        <v>16.56847035</v>
      </c>
      <c r="T25" s="363">
        <f t="shared" si="10"/>
        <v>16.6513127</v>
      </c>
      <c r="U25" s="363">
        <f t="shared" si="10"/>
        <v>16.73456927</v>
      </c>
      <c r="V25" s="363">
        <f t="shared" si="10"/>
        <v>16.81824211</v>
      </c>
      <c r="W25" s="363">
        <f t="shared" si="10"/>
        <v>16.90233332</v>
      </c>
      <c r="X25" s="363">
        <f t="shared" si="10"/>
        <v>16.98684499</v>
      </c>
      <c r="Y25" s="363">
        <f t="shared" si="10"/>
        <v>17.07177921</v>
      </c>
      <c r="Z25" s="363">
        <f t="shared" si="10"/>
        <v>17.15713811</v>
      </c>
      <c r="AA25" s="363">
        <f t="shared" si="10"/>
        <v>17.2429238</v>
      </c>
      <c r="AB25" s="363">
        <f t="shared" si="10"/>
        <v>17.50156766</v>
      </c>
      <c r="AC25" s="363">
        <f t="shared" si="10"/>
        <v>17.5890755</v>
      </c>
      <c r="AD25" s="363">
        <f t="shared" si="10"/>
        <v>17.67702087</v>
      </c>
      <c r="AE25" s="363">
        <f t="shared" si="10"/>
        <v>17.76540598</v>
      </c>
      <c r="AF25" s="363">
        <f t="shared" si="10"/>
        <v>17.85423301</v>
      </c>
      <c r="AG25" s="363">
        <f t="shared" si="10"/>
        <v>17.94350417</v>
      </c>
      <c r="AH25" s="363">
        <f t="shared" si="10"/>
        <v>18.03322169</v>
      </c>
      <c r="AI25" s="363">
        <f t="shared" si="10"/>
        <v>18.1233878</v>
      </c>
      <c r="AJ25" s="363">
        <f t="shared" si="10"/>
        <v>18.21400474</v>
      </c>
      <c r="AK25" s="363">
        <f t="shared" si="10"/>
        <v>18.30507477</v>
      </c>
      <c r="AL25" s="363">
        <f t="shared" si="10"/>
        <v>18.39660014</v>
      </c>
      <c r="AM25" s="363">
        <f t="shared" si="10"/>
        <v>18.48858314</v>
      </c>
      <c r="AN25" s="363">
        <f t="shared" si="10"/>
        <v>18.58102606</v>
      </c>
      <c r="AO25" s="363">
        <f t="shared" si="10"/>
        <v>18.67393119</v>
      </c>
      <c r="AP25" s="363">
        <f t="shared" si="10"/>
        <v>18.71127905</v>
      </c>
      <c r="AQ25" s="363">
        <f t="shared" si="10"/>
        <v>18.74870161</v>
      </c>
      <c r="AR25" s="363">
        <f t="shared" si="10"/>
        <v>18.78619901</v>
      </c>
      <c r="AS25" s="363">
        <f t="shared" si="10"/>
        <v>18.82377141</v>
      </c>
      <c r="AT25" s="363">
        <f t="shared" si="10"/>
        <v>18.86141895</v>
      </c>
      <c r="AU25" s="363">
        <f t="shared" si="10"/>
        <v>18.89914179</v>
      </c>
      <c r="AV25" s="363">
        <f t="shared" si="10"/>
        <v>18.93694007</v>
      </c>
      <c r="AW25" s="363">
        <f t="shared" si="10"/>
        <v>18.97481395</v>
      </c>
      <c r="AX25" s="363">
        <f t="shared" si="10"/>
        <v>19.01276358</v>
      </c>
      <c r="AY25" s="363">
        <f t="shared" si="10"/>
        <v>19.05078911</v>
      </c>
      <c r="AZ25" s="363">
        <f t="shared" si="10"/>
        <v>19.08889069</v>
      </c>
      <c r="BA25" s="363">
        <f t="shared" si="10"/>
        <v>17.18000162</v>
      </c>
      <c r="BB25" s="363">
        <f t="shared" si="10"/>
        <v>17.22295162</v>
      </c>
      <c r="BC25" s="363">
        <f t="shared" si="10"/>
        <v>17.266009</v>
      </c>
      <c r="BD25" s="363">
        <f t="shared" si="10"/>
        <v>17.30917402</v>
      </c>
      <c r="BE25" s="363">
        <f t="shared" si="10"/>
        <v>17.35244696</v>
      </c>
      <c r="BF25" s="363">
        <f t="shared" si="10"/>
        <v>17.39582807</v>
      </c>
      <c r="BG25" s="363">
        <f t="shared" si="10"/>
        <v>17.43931765</v>
      </c>
      <c r="BH25" s="363">
        <f t="shared" si="10"/>
        <v>17.48291594</v>
      </c>
      <c r="BI25" s="363">
        <f t="shared" si="10"/>
        <v>17.52662323</v>
      </c>
      <c r="BJ25" s="363">
        <f t="shared" si="10"/>
        <v>17.57043979</v>
      </c>
      <c r="BK25" s="363">
        <f t="shared" si="10"/>
        <v>17.61436589</v>
      </c>
      <c r="BL25" s="363">
        <f t="shared" si="10"/>
        <v>17.6584018</v>
      </c>
      <c r="BM25" s="363">
        <f t="shared" si="10"/>
        <v>17.12864975</v>
      </c>
      <c r="BN25" s="363">
        <f t="shared" si="10"/>
        <v>16.61479025</v>
      </c>
      <c r="BO25" s="363">
        <f t="shared" si="10"/>
        <v>16.11634655</v>
      </c>
      <c r="BP25" s="363">
        <f t="shared" si="10"/>
        <v>15.63285615</v>
      </c>
      <c r="BQ25" s="363">
        <f t="shared" si="10"/>
        <v>15.16387047</v>
      </c>
      <c r="BR25" s="363">
        <f t="shared" si="10"/>
        <v>14.70895435</v>
      </c>
      <c r="BS25" s="363">
        <f t="shared" si="10"/>
        <v>14.26768572</v>
      </c>
      <c r="BT25" s="363">
        <f t="shared" si="10"/>
        <v>13.83965515</v>
      </c>
      <c r="BU25" s="363">
        <f t="shared" si="10"/>
        <v>13.4244655</v>
      </c>
      <c r="BV25" s="363">
        <f t="shared" si="10"/>
        <v>13.02173153</v>
      </c>
      <c r="BW25" s="363">
        <f t="shared" si="10"/>
        <v>12.63107958</v>
      </c>
      <c r="BX25" s="363">
        <f t="shared" si="10"/>
        <v>12.2521472</v>
      </c>
    </row>
    <row r="26" ht="15.75" customHeight="1">
      <c r="A26" s="1" t="s">
        <v>628</v>
      </c>
      <c r="B26" s="1"/>
      <c r="C26" s="1"/>
      <c r="D26" s="1"/>
      <c r="E26" s="1"/>
      <c r="F26" s="1"/>
      <c r="G26" s="1"/>
      <c r="H26" s="1"/>
      <c r="I26" s="1"/>
      <c r="J26" s="1"/>
      <c r="K26" s="1"/>
      <c r="L26" s="369"/>
      <c r="M26" s="369">
        <v>0.005</v>
      </c>
      <c r="N26" s="369">
        <f t="shared" ref="N26:AA26" si="11">M26</f>
        <v>0.005</v>
      </c>
      <c r="O26" s="234">
        <f t="shared" si="11"/>
        <v>0.005</v>
      </c>
      <c r="P26" s="234">
        <f t="shared" si="11"/>
        <v>0.005</v>
      </c>
      <c r="Q26" s="234">
        <f t="shared" si="11"/>
        <v>0.005</v>
      </c>
      <c r="R26" s="234">
        <f t="shared" si="11"/>
        <v>0.005</v>
      </c>
      <c r="S26" s="234">
        <f t="shared" si="11"/>
        <v>0.005</v>
      </c>
      <c r="T26" s="234">
        <f t="shared" si="11"/>
        <v>0.005</v>
      </c>
      <c r="U26" s="234">
        <f t="shared" si="11"/>
        <v>0.005</v>
      </c>
      <c r="V26" s="234">
        <f t="shared" si="11"/>
        <v>0.005</v>
      </c>
      <c r="W26" s="234">
        <f t="shared" si="11"/>
        <v>0.005</v>
      </c>
      <c r="X26" s="234">
        <f t="shared" si="11"/>
        <v>0.005</v>
      </c>
      <c r="Y26" s="234">
        <f t="shared" si="11"/>
        <v>0.005</v>
      </c>
      <c r="Z26" s="234">
        <f t="shared" si="11"/>
        <v>0.005</v>
      </c>
      <c r="AA26" s="234">
        <f t="shared" si="11"/>
        <v>0.005</v>
      </c>
      <c r="AB26" s="234">
        <v>0.015</v>
      </c>
      <c r="AC26" s="234">
        <v>0.005</v>
      </c>
      <c r="AD26" s="234">
        <f t="shared" ref="AD26:AN26" si="12">AC26</f>
        <v>0.005</v>
      </c>
      <c r="AE26" s="234">
        <f t="shared" si="12"/>
        <v>0.005</v>
      </c>
      <c r="AF26" s="234">
        <f t="shared" si="12"/>
        <v>0.005</v>
      </c>
      <c r="AG26" s="234">
        <f t="shared" si="12"/>
        <v>0.005</v>
      </c>
      <c r="AH26" s="234">
        <f t="shared" si="12"/>
        <v>0.005</v>
      </c>
      <c r="AI26" s="234">
        <f t="shared" si="12"/>
        <v>0.005</v>
      </c>
      <c r="AJ26" s="234">
        <f t="shared" si="12"/>
        <v>0.005</v>
      </c>
      <c r="AK26" s="234">
        <f t="shared" si="12"/>
        <v>0.005</v>
      </c>
      <c r="AL26" s="234">
        <f t="shared" si="12"/>
        <v>0.005</v>
      </c>
      <c r="AM26" s="234">
        <f t="shared" si="12"/>
        <v>0.005</v>
      </c>
      <c r="AN26" s="234">
        <f t="shared" si="12"/>
        <v>0.005</v>
      </c>
      <c r="AO26" s="234">
        <v>0.005</v>
      </c>
      <c r="AP26" s="234">
        <v>0.002</v>
      </c>
      <c r="AQ26" s="234">
        <f t="shared" ref="AQ26:AZ26" si="13">AP26</f>
        <v>0.002</v>
      </c>
      <c r="AR26" s="234">
        <f t="shared" si="13"/>
        <v>0.002</v>
      </c>
      <c r="AS26" s="234">
        <f t="shared" si="13"/>
        <v>0.002</v>
      </c>
      <c r="AT26" s="234">
        <f t="shared" si="13"/>
        <v>0.002</v>
      </c>
      <c r="AU26" s="234">
        <f t="shared" si="13"/>
        <v>0.002</v>
      </c>
      <c r="AV26" s="234">
        <f t="shared" si="13"/>
        <v>0.002</v>
      </c>
      <c r="AW26" s="234">
        <f t="shared" si="13"/>
        <v>0.002</v>
      </c>
      <c r="AX26" s="234">
        <f t="shared" si="13"/>
        <v>0.002</v>
      </c>
      <c r="AY26" s="234">
        <f t="shared" si="13"/>
        <v>0.002</v>
      </c>
      <c r="AZ26" s="234">
        <f t="shared" si="13"/>
        <v>0.002</v>
      </c>
      <c r="BA26" s="234">
        <v>-0.1</v>
      </c>
      <c r="BB26" s="234">
        <v>0.0025</v>
      </c>
      <c r="BC26" s="234">
        <f t="shared" ref="BC26:BL26" si="14">BB26</f>
        <v>0.0025</v>
      </c>
      <c r="BD26" s="234">
        <f t="shared" si="14"/>
        <v>0.0025</v>
      </c>
      <c r="BE26" s="234">
        <f t="shared" si="14"/>
        <v>0.0025</v>
      </c>
      <c r="BF26" s="234">
        <f t="shared" si="14"/>
        <v>0.0025</v>
      </c>
      <c r="BG26" s="234">
        <f t="shared" si="14"/>
        <v>0.0025</v>
      </c>
      <c r="BH26" s="234">
        <f t="shared" si="14"/>
        <v>0.0025</v>
      </c>
      <c r="BI26" s="234">
        <f t="shared" si="14"/>
        <v>0.0025</v>
      </c>
      <c r="BJ26" s="234">
        <f t="shared" si="14"/>
        <v>0.0025</v>
      </c>
      <c r="BK26" s="234">
        <f t="shared" si="14"/>
        <v>0.0025</v>
      </c>
      <c r="BL26" s="234">
        <f t="shared" si="14"/>
        <v>0.0025</v>
      </c>
      <c r="BM26" s="234">
        <v>-0.03</v>
      </c>
      <c r="BN26" s="234">
        <f t="shared" ref="BN26:BX26" si="15">BM26</f>
        <v>-0.03</v>
      </c>
      <c r="BO26" s="234">
        <f t="shared" si="15"/>
        <v>-0.03</v>
      </c>
      <c r="BP26" s="234">
        <f t="shared" si="15"/>
        <v>-0.03</v>
      </c>
      <c r="BQ26" s="234">
        <f t="shared" si="15"/>
        <v>-0.03</v>
      </c>
      <c r="BR26" s="234">
        <f t="shared" si="15"/>
        <v>-0.03</v>
      </c>
      <c r="BS26" s="234">
        <f t="shared" si="15"/>
        <v>-0.03</v>
      </c>
      <c r="BT26" s="234">
        <f t="shared" si="15"/>
        <v>-0.03</v>
      </c>
      <c r="BU26" s="234">
        <f t="shared" si="15"/>
        <v>-0.03</v>
      </c>
      <c r="BV26" s="234">
        <f t="shared" si="15"/>
        <v>-0.03</v>
      </c>
      <c r="BW26" s="234">
        <f t="shared" si="15"/>
        <v>-0.03</v>
      </c>
      <c r="BX26" s="234">
        <f t="shared" si="15"/>
        <v>-0.03</v>
      </c>
    </row>
    <row r="27" ht="15.75" customHeight="1">
      <c r="A27" s="1" t="s">
        <v>629</v>
      </c>
      <c r="B27" s="1"/>
      <c r="C27" s="1"/>
      <c r="D27" s="1"/>
      <c r="E27" s="1"/>
      <c r="F27" s="1"/>
      <c r="G27" s="1"/>
      <c r="H27" s="1"/>
      <c r="I27" s="1"/>
      <c r="J27" s="1"/>
      <c r="K27" s="1"/>
      <c r="L27" s="370">
        <v>0.01</v>
      </c>
      <c r="M27" s="370">
        <v>0.02</v>
      </c>
      <c r="N27" s="370">
        <v>0.03</v>
      </c>
      <c r="O27" s="367">
        <v>0.04</v>
      </c>
      <c r="P27" s="367">
        <v>0.12</v>
      </c>
      <c r="Q27" s="367">
        <v>0.12</v>
      </c>
      <c r="R27" s="367">
        <v>0.11</v>
      </c>
      <c r="S27" s="367">
        <v>0.11</v>
      </c>
      <c r="T27" s="367">
        <v>0.11</v>
      </c>
      <c r="U27" s="367">
        <v>0.11</v>
      </c>
      <c r="V27" s="367">
        <v>0.11</v>
      </c>
      <c r="W27" s="367">
        <v>0.11</v>
      </c>
      <c r="X27" s="367">
        <v>0.11</v>
      </c>
      <c r="Y27" s="367">
        <v>0.11</v>
      </c>
      <c r="Z27" s="367">
        <v>0.11</v>
      </c>
      <c r="AA27" s="367">
        <v>0.11</v>
      </c>
      <c r="AB27" s="367">
        <v>0.11</v>
      </c>
      <c r="AC27" s="367">
        <v>0.05</v>
      </c>
      <c r="AD27" s="367">
        <v>0.05</v>
      </c>
      <c r="AE27" s="367">
        <v>0.05</v>
      </c>
      <c r="AF27" s="367">
        <v>0.05</v>
      </c>
      <c r="AG27" s="367">
        <v>0.05</v>
      </c>
      <c r="AH27" s="367">
        <v>0.05</v>
      </c>
      <c r="AI27" s="367">
        <v>0.05</v>
      </c>
      <c r="AJ27" s="367">
        <v>0.05</v>
      </c>
      <c r="AK27" s="367">
        <v>0.05</v>
      </c>
      <c r="AL27" s="367">
        <v>0.05</v>
      </c>
      <c r="AM27" s="367">
        <v>0.05</v>
      </c>
      <c r="AN27" s="367">
        <v>0.05</v>
      </c>
      <c r="AO27" s="367">
        <v>0.05</v>
      </c>
      <c r="AP27" s="367">
        <v>0.05</v>
      </c>
      <c r="AQ27" s="367">
        <v>0.05</v>
      </c>
      <c r="AR27" s="367">
        <v>0.05</v>
      </c>
      <c r="AS27" s="367">
        <v>0.05</v>
      </c>
      <c r="AT27" s="367">
        <v>0.05</v>
      </c>
      <c r="AU27" s="367">
        <v>0.05</v>
      </c>
      <c r="AV27" s="367">
        <v>0.05</v>
      </c>
      <c r="AW27" s="367">
        <v>0.05</v>
      </c>
      <c r="AX27" s="367">
        <v>0.05</v>
      </c>
      <c r="AY27" s="367">
        <v>0.05</v>
      </c>
      <c r="AZ27" s="367">
        <v>0.05</v>
      </c>
      <c r="BA27" s="367">
        <v>0.06</v>
      </c>
      <c r="BB27" s="367">
        <f t="shared" ref="BB27:BL27" si="16">BA27</f>
        <v>0.06</v>
      </c>
      <c r="BC27" s="367">
        <f t="shared" si="16"/>
        <v>0.06</v>
      </c>
      <c r="BD27" s="367">
        <f t="shared" si="16"/>
        <v>0.06</v>
      </c>
      <c r="BE27" s="367">
        <f t="shared" si="16"/>
        <v>0.06</v>
      </c>
      <c r="BF27" s="367">
        <f t="shared" si="16"/>
        <v>0.06</v>
      </c>
      <c r="BG27" s="367">
        <f t="shared" si="16"/>
        <v>0.06</v>
      </c>
      <c r="BH27" s="367">
        <f t="shared" si="16"/>
        <v>0.06</v>
      </c>
      <c r="BI27" s="367">
        <f t="shared" si="16"/>
        <v>0.06</v>
      </c>
      <c r="BJ27" s="367">
        <f t="shared" si="16"/>
        <v>0.06</v>
      </c>
      <c r="BK27" s="367">
        <f t="shared" si="16"/>
        <v>0.06</v>
      </c>
      <c r="BL27" s="367">
        <f t="shared" si="16"/>
        <v>0.06</v>
      </c>
      <c r="BM27" s="367">
        <v>0.07</v>
      </c>
      <c r="BN27" s="367">
        <f t="shared" ref="BN27:BX27" si="17">BM27</f>
        <v>0.07</v>
      </c>
      <c r="BO27" s="367">
        <f t="shared" si="17"/>
        <v>0.07</v>
      </c>
      <c r="BP27" s="367">
        <f t="shared" si="17"/>
        <v>0.07</v>
      </c>
      <c r="BQ27" s="367">
        <f t="shared" si="17"/>
        <v>0.07</v>
      </c>
      <c r="BR27" s="367">
        <f t="shared" si="17"/>
        <v>0.07</v>
      </c>
      <c r="BS27" s="367">
        <f t="shared" si="17"/>
        <v>0.07</v>
      </c>
      <c r="BT27" s="367">
        <f t="shared" si="17"/>
        <v>0.07</v>
      </c>
      <c r="BU27" s="367">
        <f t="shared" si="17"/>
        <v>0.07</v>
      </c>
      <c r="BV27" s="367">
        <f t="shared" si="17"/>
        <v>0.07</v>
      </c>
      <c r="BW27" s="367">
        <f t="shared" si="17"/>
        <v>0.07</v>
      </c>
      <c r="BX27" s="367">
        <f t="shared" si="17"/>
        <v>0.07</v>
      </c>
    </row>
    <row r="28" ht="15.75" customHeight="1">
      <c r="A28" s="1" t="s">
        <v>630</v>
      </c>
      <c r="B28" s="1"/>
      <c r="C28" s="1"/>
      <c r="D28" s="1"/>
      <c r="E28" s="1"/>
      <c r="F28" s="1"/>
      <c r="G28" s="1"/>
      <c r="H28" s="1"/>
      <c r="I28" s="198">
        <v>66057.0</v>
      </c>
      <c r="J28" s="198">
        <v>134026.0</v>
      </c>
      <c r="K28" s="198">
        <v>101718.0</v>
      </c>
      <c r="L28" s="198">
        <f>K28*(1+L29)</f>
        <v>101718</v>
      </c>
      <c r="M28" s="198">
        <v>25000.0</v>
      </c>
      <c r="N28" s="198">
        <v>101718.0</v>
      </c>
      <c r="O28" s="198">
        <f t="shared" ref="O28:BX28" si="18">N28*(1+O29)</f>
        <v>101718</v>
      </c>
      <c r="P28" s="198">
        <f t="shared" si="18"/>
        <v>102735.18</v>
      </c>
      <c r="Q28" s="198">
        <f t="shared" si="18"/>
        <v>103762.5318</v>
      </c>
      <c r="R28" s="198">
        <f t="shared" si="18"/>
        <v>104800.1571</v>
      </c>
      <c r="S28" s="198">
        <f t="shared" si="18"/>
        <v>105848.1587</v>
      </c>
      <c r="T28" s="198">
        <f t="shared" si="18"/>
        <v>106906.6403</v>
      </c>
      <c r="U28" s="198">
        <f t="shared" si="18"/>
        <v>107975.7067</v>
      </c>
      <c r="V28" s="198">
        <f t="shared" si="18"/>
        <v>109055.4637</v>
      </c>
      <c r="W28" s="198">
        <f t="shared" si="18"/>
        <v>110146.0184</v>
      </c>
      <c r="X28" s="198">
        <f t="shared" si="18"/>
        <v>111247.4786</v>
      </c>
      <c r="Y28" s="198">
        <f t="shared" si="18"/>
        <v>116809.8525</v>
      </c>
      <c r="Z28" s="198">
        <f t="shared" si="18"/>
        <v>122650.3451</v>
      </c>
      <c r="AA28" s="198">
        <f t="shared" si="18"/>
        <v>128782.8624</v>
      </c>
      <c r="AB28" s="198">
        <f t="shared" si="18"/>
        <v>135222.0055</v>
      </c>
      <c r="AC28" s="198">
        <f t="shared" si="18"/>
        <v>136574.2255</v>
      </c>
      <c r="AD28" s="198">
        <f t="shared" si="18"/>
        <v>137939.9678</v>
      </c>
      <c r="AE28" s="198">
        <f t="shared" si="18"/>
        <v>139319.3675</v>
      </c>
      <c r="AF28" s="198">
        <f t="shared" si="18"/>
        <v>140712.5612</v>
      </c>
      <c r="AG28" s="198">
        <f t="shared" si="18"/>
        <v>142119.6868</v>
      </c>
      <c r="AH28" s="198">
        <f t="shared" si="18"/>
        <v>143540.8836</v>
      </c>
      <c r="AI28" s="198">
        <f t="shared" si="18"/>
        <v>144976.2925</v>
      </c>
      <c r="AJ28" s="198">
        <f t="shared" si="18"/>
        <v>146426.0554</v>
      </c>
      <c r="AK28" s="198">
        <f t="shared" si="18"/>
        <v>147890.316</v>
      </c>
      <c r="AL28" s="198">
        <f t="shared" si="18"/>
        <v>149369.2191</v>
      </c>
      <c r="AM28" s="198">
        <f t="shared" si="18"/>
        <v>150862.9113</v>
      </c>
      <c r="AN28" s="198">
        <f t="shared" si="18"/>
        <v>152371.5404</v>
      </c>
      <c r="AO28" s="198">
        <f t="shared" si="18"/>
        <v>153895.2558</v>
      </c>
      <c r="AP28" s="198">
        <f t="shared" si="18"/>
        <v>155434.2084</v>
      </c>
      <c r="AQ28" s="198">
        <f t="shared" si="18"/>
        <v>156988.5505</v>
      </c>
      <c r="AR28" s="198">
        <f t="shared" si="18"/>
        <v>158558.436</v>
      </c>
      <c r="AS28" s="198">
        <f t="shared" si="18"/>
        <v>160144.0203</v>
      </c>
      <c r="AT28" s="198">
        <f t="shared" si="18"/>
        <v>161745.4605</v>
      </c>
      <c r="AU28" s="198">
        <f t="shared" si="18"/>
        <v>163362.9151</v>
      </c>
      <c r="AV28" s="198">
        <f t="shared" si="18"/>
        <v>164996.5443</v>
      </c>
      <c r="AW28" s="198">
        <f t="shared" si="18"/>
        <v>166646.5097</v>
      </c>
      <c r="AX28" s="198">
        <f t="shared" si="18"/>
        <v>168312.9748</v>
      </c>
      <c r="AY28" s="198">
        <f t="shared" si="18"/>
        <v>169996.1046</v>
      </c>
      <c r="AZ28" s="198">
        <f t="shared" si="18"/>
        <v>171696.0656</v>
      </c>
      <c r="BA28" s="198">
        <f t="shared" si="18"/>
        <v>176846.9476</v>
      </c>
      <c r="BB28" s="198">
        <f t="shared" si="18"/>
        <v>182152.356</v>
      </c>
      <c r="BC28" s="198">
        <f t="shared" si="18"/>
        <v>187616.9267</v>
      </c>
      <c r="BD28" s="198">
        <f t="shared" si="18"/>
        <v>193245.4345</v>
      </c>
      <c r="BE28" s="198">
        <f t="shared" si="18"/>
        <v>199042.7975</v>
      </c>
      <c r="BF28" s="198">
        <f t="shared" si="18"/>
        <v>205014.0815</v>
      </c>
      <c r="BG28" s="198">
        <f t="shared" si="18"/>
        <v>211164.5039</v>
      </c>
      <c r="BH28" s="198">
        <f t="shared" si="18"/>
        <v>217499.439</v>
      </c>
      <c r="BI28" s="198">
        <f t="shared" si="18"/>
        <v>224024.4222</v>
      </c>
      <c r="BJ28" s="198">
        <f t="shared" si="18"/>
        <v>230745.1549</v>
      </c>
      <c r="BK28" s="198">
        <f t="shared" si="18"/>
        <v>237667.5095</v>
      </c>
      <c r="BL28" s="198">
        <f t="shared" si="18"/>
        <v>244797.5348</v>
      </c>
      <c r="BM28" s="198">
        <f t="shared" si="18"/>
        <v>245776.7249</v>
      </c>
      <c r="BN28" s="198">
        <f t="shared" si="18"/>
        <v>246759.8318</v>
      </c>
      <c r="BO28" s="198">
        <f t="shared" si="18"/>
        <v>247746.8712</v>
      </c>
      <c r="BP28" s="198">
        <f t="shared" si="18"/>
        <v>248737.8586</v>
      </c>
      <c r="BQ28" s="198">
        <f t="shared" si="18"/>
        <v>249732.8101</v>
      </c>
      <c r="BR28" s="198">
        <f t="shared" si="18"/>
        <v>250731.7413</v>
      </c>
      <c r="BS28" s="198">
        <f t="shared" si="18"/>
        <v>251734.6683</v>
      </c>
      <c r="BT28" s="198">
        <f t="shared" si="18"/>
        <v>252741.607</v>
      </c>
      <c r="BU28" s="198">
        <f t="shared" si="18"/>
        <v>253752.5734</v>
      </c>
      <c r="BV28" s="198">
        <f t="shared" si="18"/>
        <v>254767.5837</v>
      </c>
      <c r="BW28" s="198">
        <f t="shared" si="18"/>
        <v>255786.654</v>
      </c>
      <c r="BX28" s="198">
        <f t="shared" si="18"/>
        <v>256809.8006</v>
      </c>
    </row>
    <row r="29" ht="15.75" customHeight="1">
      <c r="A29" s="1" t="s">
        <v>624</v>
      </c>
      <c r="B29" s="1"/>
      <c r="C29" s="1"/>
      <c r="D29" s="1"/>
      <c r="E29" s="1"/>
      <c r="F29" s="1"/>
      <c r="G29" s="1"/>
      <c r="H29" s="1"/>
      <c r="I29" s="1"/>
      <c r="J29" s="1"/>
      <c r="K29" s="1"/>
      <c r="L29" s="367"/>
      <c r="M29" s="367">
        <v>0.01</v>
      </c>
      <c r="N29" s="367">
        <f>M29</f>
        <v>0.01</v>
      </c>
      <c r="O29" s="367">
        <v>0.0</v>
      </c>
      <c r="P29" s="367">
        <v>0.01</v>
      </c>
      <c r="Q29" s="367">
        <f t="shared" ref="Q29:X29" si="19">P29</f>
        <v>0.01</v>
      </c>
      <c r="R29" s="367">
        <f t="shared" si="19"/>
        <v>0.01</v>
      </c>
      <c r="S29" s="367">
        <f t="shared" si="19"/>
        <v>0.01</v>
      </c>
      <c r="T29" s="367">
        <f t="shared" si="19"/>
        <v>0.01</v>
      </c>
      <c r="U29" s="367">
        <f t="shared" si="19"/>
        <v>0.01</v>
      </c>
      <c r="V29" s="367">
        <f t="shared" si="19"/>
        <v>0.01</v>
      </c>
      <c r="W29" s="367">
        <f t="shared" si="19"/>
        <v>0.01</v>
      </c>
      <c r="X29" s="367">
        <f t="shared" si="19"/>
        <v>0.01</v>
      </c>
      <c r="Y29" s="367">
        <v>0.05</v>
      </c>
      <c r="Z29" s="367">
        <f t="shared" ref="Z29:AB29" si="20">Y29</f>
        <v>0.05</v>
      </c>
      <c r="AA29" s="367">
        <f t="shared" si="20"/>
        <v>0.05</v>
      </c>
      <c r="AB29" s="367">
        <f t="shared" si="20"/>
        <v>0.05</v>
      </c>
      <c r="AC29" s="367">
        <v>0.01</v>
      </c>
      <c r="AD29" s="367">
        <v>0.01</v>
      </c>
      <c r="AE29" s="367">
        <f t="shared" ref="AE29:AZ29" si="21">AD29</f>
        <v>0.01</v>
      </c>
      <c r="AF29" s="367">
        <f t="shared" si="21"/>
        <v>0.01</v>
      </c>
      <c r="AG29" s="367">
        <f t="shared" si="21"/>
        <v>0.01</v>
      </c>
      <c r="AH29" s="367">
        <f t="shared" si="21"/>
        <v>0.01</v>
      </c>
      <c r="AI29" s="367">
        <f t="shared" si="21"/>
        <v>0.01</v>
      </c>
      <c r="AJ29" s="367">
        <f t="shared" si="21"/>
        <v>0.01</v>
      </c>
      <c r="AK29" s="367">
        <f t="shared" si="21"/>
        <v>0.01</v>
      </c>
      <c r="AL29" s="367">
        <f t="shared" si="21"/>
        <v>0.01</v>
      </c>
      <c r="AM29" s="367">
        <f t="shared" si="21"/>
        <v>0.01</v>
      </c>
      <c r="AN29" s="367">
        <f t="shared" si="21"/>
        <v>0.01</v>
      </c>
      <c r="AO29" s="367">
        <f t="shared" si="21"/>
        <v>0.01</v>
      </c>
      <c r="AP29" s="367">
        <f t="shared" si="21"/>
        <v>0.01</v>
      </c>
      <c r="AQ29" s="367">
        <f t="shared" si="21"/>
        <v>0.01</v>
      </c>
      <c r="AR29" s="367">
        <f t="shared" si="21"/>
        <v>0.01</v>
      </c>
      <c r="AS29" s="367">
        <f t="shared" si="21"/>
        <v>0.01</v>
      </c>
      <c r="AT29" s="367">
        <f t="shared" si="21"/>
        <v>0.01</v>
      </c>
      <c r="AU29" s="367">
        <f t="shared" si="21"/>
        <v>0.01</v>
      </c>
      <c r="AV29" s="367">
        <f t="shared" si="21"/>
        <v>0.01</v>
      </c>
      <c r="AW29" s="367">
        <f t="shared" si="21"/>
        <v>0.01</v>
      </c>
      <c r="AX29" s="367">
        <f t="shared" si="21"/>
        <v>0.01</v>
      </c>
      <c r="AY29" s="367">
        <f t="shared" si="21"/>
        <v>0.01</v>
      </c>
      <c r="AZ29" s="367">
        <f t="shared" si="21"/>
        <v>0.01</v>
      </c>
      <c r="BA29" s="367">
        <v>0.03</v>
      </c>
      <c r="BB29" s="367">
        <f t="shared" ref="BB29:BL29" si="22">BA29</f>
        <v>0.03</v>
      </c>
      <c r="BC29" s="367">
        <f t="shared" si="22"/>
        <v>0.03</v>
      </c>
      <c r="BD29" s="367">
        <f t="shared" si="22"/>
        <v>0.03</v>
      </c>
      <c r="BE29" s="367">
        <f t="shared" si="22"/>
        <v>0.03</v>
      </c>
      <c r="BF29" s="367">
        <f t="shared" si="22"/>
        <v>0.03</v>
      </c>
      <c r="BG29" s="367">
        <f t="shared" si="22"/>
        <v>0.03</v>
      </c>
      <c r="BH29" s="367">
        <f t="shared" si="22"/>
        <v>0.03</v>
      </c>
      <c r="BI29" s="367">
        <f t="shared" si="22"/>
        <v>0.03</v>
      </c>
      <c r="BJ29" s="367">
        <f t="shared" si="22"/>
        <v>0.03</v>
      </c>
      <c r="BK29" s="367">
        <f t="shared" si="22"/>
        <v>0.03</v>
      </c>
      <c r="BL29" s="367">
        <f t="shared" si="22"/>
        <v>0.03</v>
      </c>
      <c r="BM29" s="367">
        <v>0.004</v>
      </c>
      <c r="BN29" s="367">
        <f t="shared" ref="BN29:BX29" si="23">BM29</f>
        <v>0.004</v>
      </c>
      <c r="BO29" s="367">
        <f t="shared" si="23"/>
        <v>0.004</v>
      </c>
      <c r="BP29" s="367">
        <f t="shared" si="23"/>
        <v>0.004</v>
      </c>
      <c r="BQ29" s="367">
        <f t="shared" si="23"/>
        <v>0.004</v>
      </c>
      <c r="BR29" s="367">
        <f t="shared" si="23"/>
        <v>0.004</v>
      </c>
      <c r="BS29" s="367">
        <f t="shared" si="23"/>
        <v>0.004</v>
      </c>
      <c r="BT29" s="367">
        <f t="shared" si="23"/>
        <v>0.004</v>
      </c>
      <c r="BU29" s="367">
        <f t="shared" si="23"/>
        <v>0.004</v>
      </c>
      <c r="BV29" s="367">
        <f t="shared" si="23"/>
        <v>0.004</v>
      </c>
      <c r="BW29" s="367">
        <f t="shared" si="23"/>
        <v>0.004</v>
      </c>
      <c r="BX29" s="367">
        <f t="shared" si="23"/>
        <v>0.004</v>
      </c>
    </row>
    <row r="30" ht="15.75" customHeight="1">
      <c r="A30" s="1" t="s">
        <v>631</v>
      </c>
      <c r="B30" s="1"/>
      <c r="C30" s="1"/>
      <c r="D30" s="1"/>
      <c r="E30" s="1"/>
      <c r="F30" s="1"/>
      <c r="G30" s="1"/>
      <c r="H30" s="1"/>
      <c r="I30" s="1"/>
      <c r="J30" s="1"/>
      <c r="K30" s="1"/>
      <c r="L30" s="363">
        <v>1.0</v>
      </c>
      <c r="M30" s="363">
        <v>1.0</v>
      </c>
      <c r="N30" s="363">
        <v>1.0</v>
      </c>
      <c r="O30" s="363">
        <f t="shared" ref="O30:BX30" si="24">O25*O27</f>
        <v>0.64964808</v>
      </c>
      <c r="P30" s="363">
        <f t="shared" si="24"/>
        <v>1.958688961</v>
      </c>
      <c r="Q30" s="363">
        <f t="shared" si="24"/>
        <v>1.968482406</v>
      </c>
      <c r="R30" s="363">
        <f t="shared" si="24"/>
        <v>1.813464417</v>
      </c>
      <c r="S30" s="363">
        <f t="shared" si="24"/>
        <v>1.822531739</v>
      </c>
      <c r="T30" s="363">
        <f t="shared" si="24"/>
        <v>1.831644397</v>
      </c>
      <c r="U30" s="363">
        <f t="shared" si="24"/>
        <v>1.840802619</v>
      </c>
      <c r="V30" s="363">
        <f t="shared" si="24"/>
        <v>1.850006632</v>
      </c>
      <c r="W30" s="363">
        <f t="shared" si="24"/>
        <v>1.859256666</v>
      </c>
      <c r="X30" s="363">
        <f t="shared" si="24"/>
        <v>1.868552949</v>
      </c>
      <c r="Y30" s="363">
        <f t="shared" si="24"/>
        <v>1.877895714</v>
      </c>
      <c r="Z30" s="363">
        <f t="shared" si="24"/>
        <v>1.887285192</v>
      </c>
      <c r="AA30" s="363">
        <f t="shared" si="24"/>
        <v>1.896721618</v>
      </c>
      <c r="AB30" s="363">
        <f t="shared" si="24"/>
        <v>1.925172442</v>
      </c>
      <c r="AC30" s="363">
        <f t="shared" si="24"/>
        <v>0.8794537748</v>
      </c>
      <c r="AD30" s="363">
        <f t="shared" si="24"/>
        <v>0.8838510437</v>
      </c>
      <c r="AE30" s="363">
        <f t="shared" si="24"/>
        <v>0.8882702989</v>
      </c>
      <c r="AF30" s="363">
        <f t="shared" si="24"/>
        <v>0.8927116504</v>
      </c>
      <c r="AG30" s="363">
        <f t="shared" si="24"/>
        <v>0.8971752087</v>
      </c>
      <c r="AH30" s="363">
        <f t="shared" si="24"/>
        <v>0.9016610847</v>
      </c>
      <c r="AI30" s="363">
        <f t="shared" si="24"/>
        <v>0.9061693901</v>
      </c>
      <c r="AJ30" s="363">
        <f t="shared" si="24"/>
        <v>0.9107002371</v>
      </c>
      <c r="AK30" s="363">
        <f t="shared" si="24"/>
        <v>0.9152537383</v>
      </c>
      <c r="AL30" s="363">
        <f t="shared" si="24"/>
        <v>0.919830007</v>
      </c>
      <c r="AM30" s="363">
        <f t="shared" si="24"/>
        <v>0.924429157</v>
      </c>
      <c r="AN30" s="363">
        <f t="shared" si="24"/>
        <v>0.9290513028</v>
      </c>
      <c r="AO30" s="363">
        <f t="shared" si="24"/>
        <v>0.9336965593</v>
      </c>
      <c r="AP30" s="363">
        <f t="shared" si="24"/>
        <v>0.9355639524</v>
      </c>
      <c r="AQ30" s="363">
        <f t="shared" si="24"/>
        <v>0.9374350803</v>
      </c>
      <c r="AR30" s="363">
        <f t="shared" si="24"/>
        <v>0.9393099505</v>
      </c>
      <c r="AS30" s="363">
        <f t="shared" si="24"/>
        <v>0.9411885704</v>
      </c>
      <c r="AT30" s="363">
        <f t="shared" si="24"/>
        <v>0.9430709475</v>
      </c>
      <c r="AU30" s="363">
        <f t="shared" si="24"/>
        <v>0.9449570894</v>
      </c>
      <c r="AV30" s="363">
        <f t="shared" si="24"/>
        <v>0.9468470036</v>
      </c>
      <c r="AW30" s="363">
        <f t="shared" si="24"/>
        <v>0.9487406976</v>
      </c>
      <c r="AX30" s="363">
        <f t="shared" si="24"/>
        <v>0.950638179</v>
      </c>
      <c r="AY30" s="363">
        <f t="shared" si="24"/>
        <v>0.9525394554</v>
      </c>
      <c r="AZ30" s="363">
        <f t="shared" si="24"/>
        <v>0.9544445343</v>
      </c>
      <c r="BA30" s="363">
        <f t="shared" si="24"/>
        <v>1.030800097</v>
      </c>
      <c r="BB30" s="363">
        <f t="shared" si="24"/>
        <v>1.033377097</v>
      </c>
      <c r="BC30" s="363">
        <f t="shared" si="24"/>
        <v>1.03596054</v>
      </c>
      <c r="BD30" s="363">
        <f t="shared" si="24"/>
        <v>1.038550441</v>
      </c>
      <c r="BE30" s="363">
        <f t="shared" si="24"/>
        <v>1.041146817</v>
      </c>
      <c r="BF30" s="363">
        <f t="shared" si="24"/>
        <v>1.043749684</v>
      </c>
      <c r="BG30" s="363">
        <f t="shared" si="24"/>
        <v>1.046359059</v>
      </c>
      <c r="BH30" s="363">
        <f t="shared" si="24"/>
        <v>1.048974956</v>
      </c>
      <c r="BI30" s="363">
        <f t="shared" si="24"/>
        <v>1.051597394</v>
      </c>
      <c r="BJ30" s="363">
        <f t="shared" si="24"/>
        <v>1.054226387</v>
      </c>
      <c r="BK30" s="363">
        <f t="shared" si="24"/>
        <v>1.056861953</v>
      </c>
      <c r="BL30" s="363">
        <f t="shared" si="24"/>
        <v>1.059504108</v>
      </c>
      <c r="BM30" s="363">
        <f t="shared" si="24"/>
        <v>1.199005482</v>
      </c>
      <c r="BN30" s="363">
        <f t="shared" si="24"/>
        <v>1.163035318</v>
      </c>
      <c r="BO30" s="363">
        <f t="shared" si="24"/>
        <v>1.128144258</v>
      </c>
      <c r="BP30" s="363">
        <f t="shared" si="24"/>
        <v>1.094299931</v>
      </c>
      <c r="BQ30" s="363">
        <f t="shared" si="24"/>
        <v>1.061470933</v>
      </c>
      <c r="BR30" s="363">
        <f t="shared" si="24"/>
        <v>1.029626805</v>
      </c>
      <c r="BS30" s="363">
        <f t="shared" si="24"/>
        <v>0.9987380005</v>
      </c>
      <c r="BT30" s="363">
        <f t="shared" si="24"/>
        <v>0.9687758605</v>
      </c>
      <c r="BU30" s="363">
        <f t="shared" si="24"/>
        <v>0.9397125847</v>
      </c>
      <c r="BV30" s="363">
        <f t="shared" si="24"/>
        <v>0.9115212072</v>
      </c>
      <c r="BW30" s="363">
        <f t="shared" si="24"/>
        <v>0.8841755709</v>
      </c>
      <c r="BX30" s="363">
        <f t="shared" si="24"/>
        <v>0.8576503038</v>
      </c>
    </row>
    <row r="31" ht="15.75" customHeight="1">
      <c r="A31" s="119" t="s">
        <v>632</v>
      </c>
      <c r="B31" s="119"/>
      <c r="C31" s="119"/>
      <c r="D31" s="119"/>
      <c r="E31" s="119"/>
      <c r="F31" s="119"/>
      <c r="G31" s="119"/>
      <c r="H31" s="119"/>
      <c r="I31" s="119"/>
      <c r="J31" s="371"/>
      <c r="K31" s="119"/>
      <c r="L31" s="371">
        <f t="shared" ref="L31:BX31" si="25">L30*L28</f>
        <v>101718</v>
      </c>
      <c r="M31" s="371">
        <f t="shared" si="25"/>
        <v>25000</v>
      </c>
      <c r="N31" s="371">
        <f t="shared" si="25"/>
        <v>101718</v>
      </c>
      <c r="O31" s="371">
        <f t="shared" si="25"/>
        <v>66080.9034</v>
      </c>
      <c r="P31" s="371">
        <f t="shared" si="25"/>
        <v>201226.263</v>
      </c>
      <c r="Q31" s="371">
        <f t="shared" si="25"/>
        <v>204254.7183</v>
      </c>
      <c r="R31" s="371">
        <f t="shared" si="25"/>
        <v>190051.3558</v>
      </c>
      <c r="S31" s="371">
        <f t="shared" si="25"/>
        <v>192911.6287</v>
      </c>
      <c r="T31" s="371">
        <f t="shared" si="25"/>
        <v>195814.9487</v>
      </c>
      <c r="U31" s="371">
        <f t="shared" si="25"/>
        <v>198761.9637</v>
      </c>
      <c r="V31" s="371">
        <f t="shared" si="25"/>
        <v>201753.3312</v>
      </c>
      <c r="W31" s="371">
        <f t="shared" si="25"/>
        <v>204789.7189</v>
      </c>
      <c r="X31" s="371">
        <f t="shared" si="25"/>
        <v>207871.8041</v>
      </c>
      <c r="Y31" s="371">
        <f t="shared" si="25"/>
        <v>219356.7213</v>
      </c>
      <c r="Z31" s="371">
        <f t="shared" si="25"/>
        <v>231476.1802</v>
      </c>
      <c r="AA31" s="371">
        <f t="shared" si="25"/>
        <v>244265.2391</v>
      </c>
      <c r="AB31" s="371">
        <f t="shared" si="25"/>
        <v>260325.6786</v>
      </c>
      <c r="AC31" s="371">
        <f t="shared" si="25"/>
        <v>120110.7182</v>
      </c>
      <c r="AD31" s="371">
        <f t="shared" si="25"/>
        <v>121918.3845</v>
      </c>
      <c r="AE31" s="371">
        <f t="shared" si="25"/>
        <v>123753.2562</v>
      </c>
      <c r="AF31" s="371">
        <f t="shared" si="25"/>
        <v>125615.7427</v>
      </c>
      <c r="AG31" s="371">
        <f t="shared" si="25"/>
        <v>127506.2596</v>
      </c>
      <c r="AH31" s="371">
        <f t="shared" si="25"/>
        <v>129425.2288</v>
      </c>
      <c r="AI31" s="371">
        <f t="shared" si="25"/>
        <v>131373.0785</v>
      </c>
      <c r="AJ31" s="371">
        <f t="shared" si="25"/>
        <v>133350.2434</v>
      </c>
      <c r="AK31" s="371">
        <f t="shared" si="25"/>
        <v>135357.1645</v>
      </c>
      <c r="AL31" s="371">
        <f t="shared" si="25"/>
        <v>137394.2899</v>
      </c>
      <c r="AM31" s="371">
        <f t="shared" si="25"/>
        <v>139462.0739</v>
      </c>
      <c r="AN31" s="371">
        <f t="shared" si="25"/>
        <v>141560.9781</v>
      </c>
      <c r="AO31" s="371">
        <f t="shared" si="25"/>
        <v>143691.4709</v>
      </c>
      <c r="AP31" s="371">
        <f t="shared" si="25"/>
        <v>145418.6423</v>
      </c>
      <c r="AQ31" s="371">
        <f t="shared" si="25"/>
        <v>147166.5744</v>
      </c>
      <c r="AR31" s="371">
        <f t="shared" si="25"/>
        <v>148935.5166</v>
      </c>
      <c r="AS31" s="371">
        <f t="shared" si="25"/>
        <v>150725.7215</v>
      </c>
      <c r="AT31" s="371">
        <f t="shared" si="25"/>
        <v>152537.4447</v>
      </c>
      <c r="AU31" s="371">
        <f t="shared" si="25"/>
        <v>154370.9448</v>
      </c>
      <c r="AV31" s="371">
        <f t="shared" si="25"/>
        <v>156226.4836</v>
      </c>
      <c r="AW31" s="371">
        <f t="shared" si="25"/>
        <v>158104.3259</v>
      </c>
      <c r="AX31" s="371">
        <f t="shared" si="25"/>
        <v>160004.7399</v>
      </c>
      <c r="AY31" s="371">
        <f t="shared" si="25"/>
        <v>161927.9969</v>
      </c>
      <c r="AZ31" s="371">
        <f t="shared" si="25"/>
        <v>163874.3714</v>
      </c>
      <c r="BA31" s="371">
        <f t="shared" si="25"/>
        <v>182293.8507</v>
      </c>
      <c r="BB31" s="371">
        <f t="shared" si="25"/>
        <v>188232.0729</v>
      </c>
      <c r="BC31" s="371">
        <f t="shared" si="25"/>
        <v>194363.7327</v>
      </c>
      <c r="BD31" s="371">
        <f t="shared" si="25"/>
        <v>200695.1313</v>
      </c>
      <c r="BE31" s="371">
        <f t="shared" si="25"/>
        <v>207232.7752</v>
      </c>
      <c r="BF31" s="371">
        <f t="shared" si="25"/>
        <v>213983.3828</v>
      </c>
      <c r="BG31" s="371">
        <f t="shared" si="25"/>
        <v>220953.8915</v>
      </c>
      <c r="BH31" s="371">
        <f t="shared" si="25"/>
        <v>228151.4646</v>
      </c>
      <c r="BI31" s="371">
        <f t="shared" si="25"/>
        <v>235583.4985</v>
      </c>
      <c r="BJ31" s="371">
        <f t="shared" si="25"/>
        <v>243257.631</v>
      </c>
      <c r="BK31" s="371">
        <f t="shared" si="25"/>
        <v>251181.7483</v>
      </c>
      <c r="BL31" s="371">
        <f t="shared" si="25"/>
        <v>259363.9938</v>
      </c>
      <c r="BM31" s="371">
        <f t="shared" si="25"/>
        <v>294687.6406</v>
      </c>
      <c r="BN31" s="371">
        <f t="shared" si="25"/>
        <v>286990.3994</v>
      </c>
      <c r="BO31" s="371">
        <f t="shared" si="25"/>
        <v>279494.2102</v>
      </c>
      <c r="BP31" s="371">
        <f t="shared" si="25"/>
        <v>272193.8214</v>
      </c>
      <c r="BQ31" s="371">
        <f t="shared" si="25"/>
        <v>265084.1188</v>
      </c>
      <c r="BR31" s="371">
        <f t="shared" si="25"/>
        <v>258160.1216</v>
      </c>
      <c r="BS31" s="371">
        <f t="shared" si="25"/>
        <v>251416.9793</v>
      </c>
      <c r="BT31" s="371">
        <f t="shared" si="25"/>
        <v>244849.9678</v>
      </c>
      <c r="BU31" s="371">
        <f t="shared" si="25"/>
        <v>238454.4866</v>
      </c>
      <c r="BV31" s="371">
        <f t="shared" si="25"/>
        <v>232226.0554</v>
      </c>
      <c r="BW31" s="371">
        <f t="shared" si="25"/>
        <v>226160.3108</v>
      </c>
      <c r="BX31" s="371">
        <f t="shared" si="25"/>
        <v>220253.0035</v>
      </c>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row>
    <row r="33" ht="15.75" customHeight="1">
      <c r="A33" s="4" t="s">
        <v>633</v>
      </c>
      <c r="B33" s="1"/>
      <c r="C33" s="1"/>
      <c r="D33" s="1"/>
      <c r="E33" s="1"/>
      <c r="F33" s="1"/>
      <c r="G33" s="1"/>
      <c r="H33" s="1"/>
      <c r="I33" s="1"/>
      <c r="J33" s="1"/>
      <c r="K33" s="1"/>
      <c r="L33" s="5"/>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row>
    <row r="34" ht="15.75" customHeight="1">
      <c r="A34" s="1" t="s">
        <v>634</v>
      </c>
      <c r="B34" s="1"/>
      <c r="C34" s="1"/>
      <c r="D34" s="1"/>
      <c r="E34" s="372">
        <v>2.0</v>
      </c>
      <c r="F34" s="372">
        <v>2.0</v>
      </c>
      <c r="G34" s="372">
        <v>2.0</v>
      </c>
      <c r="H34" s="372">
        <v>2.0</v>
      </c>
      <c r="I34" s="372">
        <v>2.0</v>
      </c>
      <c r="J34" s="372">
        <v>2.0</v>
      </c>
      <c r="K34" s="372">
        <v>2.0</v>
      </c>
      <c r="L34" s="372">
        <v>2.0</v>
      </c>
      <c r="M34" s="372">
        <v>2.0</v>
      </c>
      <c r="N34" s="372">
        <v>2.0</v>
      </c>
      <c r="O34" s="372">
        <v>2.0</v>
      </c>
      <c r="P34" s="363">
        <f t="shared" ref="P34:BX34" si="26">O34*(1+P35)</f>
        <v>0.32</v>
      </c>
      <c r="Q34" s="363">
        <f t="shared" si="26"/>
        <v>0.384</v>
      </c>
      <c r="R34" s="363">
        <f t="shared" si="26"/>
        <v>0.39168</v>
      </c>
      <c r="S34" s="363">
        <f t="shared" si="26"/>
        <v>0.3995136</v>
      </c>
      <c r="T34" s="363">
        <f t="shared" si="26"/>
        <v>0.407503872</v>
      </c>
      <c r="U34" s="363">
        <f t="shared" si="26"/>
        <v>0.4156539494</v>
      </c>
      <c r="V34" s="363">
        <f t="shared" si="26"/>
        <v>0.4239670284</v>
      </c>
      <c r="W34" s="363">
        <f t="shared" si="26"/>
        <v>0.432446369</v>
      </c>
      <c r="X34" s="363">
        <f t="shared" si="26"/>
        <v>0.4410952964</v>
      </c>
      <c r="Y34" s="363">
        <f t="shared" si="26"/>
        <v>0.4455062493</v>
      </c>
      <c r="Z34" s="363">
        <f t="shared" si="26"/>
        <v>0.4499613118</v>
      </c>
      <c r="AA34" s="363">
        <f t="shared" si="26"/>
        <v>0.454460925</v>
      </c>
      <c r="AB34" s="363">
        <f t="shared" si="26"/>
        <v>0.4590055342</v>
      </c>
      <c r="AC34" s="363">
        <f t="shared" si="26"/>
        <v>0.460153048</v>
      </c>
      <c r="AD34" s="363">
        <f t="shared" si="26"/>
        <v>0.4613034307</v>
      </c>
      <c r="AE34" s="363">
        <f t="shared" si="26"/>
        <v>0.4624566892</v>
      </c>
      <c r="AF34" s="363">
        <f t="shared" si="26"/>
        <v>0.463612831</v>
      </c>
      <c r="AG34" s="363">
        <f t="shared" si="26"/>
        <v>0.464771863</v>
      </c>
      <c r="AH34" s="363">
        <f t="shared" si="26"/>
        <v>0.4659337927</v>
      </c>
      <c r="AI34" s="363">
        <f t="shared" si="26"/>
        <v>0.4670986272</v>
      </c>
      <c r="AJ34" s="363">
        <f t="shared" si="26"/>
        <v>0.4682663737</v>
      </c>
      <c r="AK34" s="363">
        <f t="shared" si="26"/>
        <v>0.4694370397</v>
      </c>
      <c r="AL34" s="363">
        <f t="shared" si="26"/>
        <v>0.4706106323</v>
      </c>
      <c r="AM34" s="363">
        <f t="shared" si="26"/>
        <v>0.4717871589</v>
      </c>
      <c r="AN34" s="363">
        <f t="shared" si="26"/>
        <v>0.4729666268</v>
      </c>
      <c r="AO34" s="363">
        <f t="shared" si="26"/>
        <v>0.4741490433</v>
      </c>
      <c r="AP34" s="363">
        <f t="shared" si="26"/>
        <v>0.4753344159</v>
      </c>
      <c r="AQ34" s="363">
        <f t="shared" si="26"/>
        <v>0.476522752</v>
      </c>
      <c r="AR34" s="363">
        <f t="shared" si="26"/>
        <v>0.4777140588</v>
      </c>
      <c r="AS34" s="363">
        <f t="shared" si="26"/>
        <v>0.478908344</v>
      </c>
      <c r="AT34" s="363">
        <f t="shared" si="26"/>
        <v>0.4801056149</v>
      </c>
      <c r="AU34" s="363">
        <f t="shared" si="26"/>
        <v>0.4813058789</v>
      </c>
      <c r="AV34" s="363">
        <f t="shared" si="26"/>
        <v>0.4825091436</v>
      </c>
      <c r="AW34" s="363">
        <f t="shared" si="26"/>
        <v>0.4837154164</v>
      </c>
      <c r="AX34" s="363">
        <f t="shared" si="26"/>
        <v>0.484924705</v>
      </c>
      <c r="AY34" s="363">
        <f t="shared" si="26"/>
        <v>0.4861370168</v>
      </c>
      <c r="AZ34" s="363">
        <f t="shared" si="26"/>
        <v>0.4873523593</v>
      </c>
      <c r="BA34" s="363">
        <f t="shared" si="26"/>
        <v>0.4386171234</v>
      </c>
      <c r="BB34" s="363">
        <f t="shared" si="26"/>
        <v>0.4397136662</v>
      </c>
      <c r="BC34" s="363">
        <f t="shared" si="26"/>
        <v>0.4408129503</v>
      </c>
      <c r="BD34" s="363">
        <f t="shared" si="26"/>
        <v>0.4419149827</v>
      </c>
      <c r="BE34" s="363">
        <f t="shared" si="26"/>
        <v>0.4430197702</v>
      </c>
      <c r="BF34" s="363">
        <f t="shared" si="26"/>
        <v>0.4441273196</v>
      </c>
      <c r="BG34" s="363">
        <f t="shared" si="26"/>
        <v>0.4452376379</v>
      </c>
      <c r="BH34" s="363">
        <f t="shared" si="26"/>
        <v>0.446350732</v>
      </c>
      <c r="BI34" s="363">
        <f t="shared" si="26"/>
        <v>0.4474666088</v>
      </c>
      <c r="BJ34" s="363">
        <f t="shared" si="26"/>
        <v>0.4485852753</v>
      </c>
      <c r="BK34" s="363">
        <f t="shared" si="26"/>
        <v>0.4497067385</v>
      </c>
      <c r="BL34" s="363">
        <f t="shared" si="26"/>
        <v>0.4508310054</v>
      </c>
      <c r="BM34" s="363">
        <f t="shared" si="26"/>
        <v>0.4519580829</v>
      </c>
      <c r="BN34" s="363">
        <f t="shared" si="26"/>
        <v>0.4530879781</v>
      </c>
      <c r="BO34" s="363">
        <f t="shared" si="26"/>
        <v>0.454220698</v>
      </c>
      <c r="BP34" s="363">
        <f t="shared" si="26"/>
        <v>0.4553562498</v>
      </c>
      <c r="BQ34" s="363">
        <f t="shared" si="26"/>
        <v>0.4564946404</v>
      </c>
      <c r="BR34" s="363">
        <f t="shared" si="26"/>
        <v>0.457635877</v>
      </c>
      <c r="BS34" s="363">
        <f t="shared" si="26"/>
        <v>0.4587799667</v>
      </c>
      <c r="BT34" s="363">
        <f t="shared" si="26"/>
        <v>0.4599269166</v>
      </c>
      <c r="BU34" s="363">
        <f t="shared" si="26"/>
        <v>0.4610767339</v>
      </c>
      <c r="BV34" s="363">
        <f t="shared" si="26"/>
        <v>0.4622294257</v>
      </c>
      <c r="BW34" s="363">
        <f t="shared" si="26"/>
        <v>0.4633849993</v>
      </c>
      <c r="BX34" s="363">
        <f t="shared" si="26"/>
        <v>0.4645434618</v>
      </c>
    </row>
    <row r="35" ht="15.75" customHeight="1">
      <c r="A35" s="1" t="s">
        <v>635</v>
      </c>
      <c r="B35" s="1"/>
      <c r="C35" s="1"/>
      <c r="D35" s="1"/>
      <c r="E35" s="1"/>
      <c r="F35" s="1"/>
      <c r="G35" s="1"/>
      <c r="H35" s="1"/>
      <c r="I35" s="1"/>
      <c r="J35" s="1"/>
      <c r="K35" s="1"/>
      <c r="L35" s="5"/>
      <c r="M35" s="234"/>
      <c r="N35" s="234"/>
      <c r="O35" s="234">
        <v>0.02</v>
      </c>
      <c r="P35" s="234">
        <v>-0.84</v>
      </c>
      <c r="Q35" s="234">
        <v>0.2</v>
      </c>
      <c r="R35" s="234">
        <v>0.02</v>
      </c>
      <c r="S35" s="234">
        <v>0.02</v>
      </c>
      <c r="T35" s="234">
        <v>0.02</v>
      </c>
      <c r="U35" s="234">
        <v>0.02</v>
      </c>
      <c r="V35" s="234">
        <v>0.02</v>
      </c>
      <c r="W35" s="234">
        <v>0.02</v>
      </c>
      <c r="X35" s="234">
        <v>0.02</v>
      </c>
      <c r="Y35" s="234">
        <v>0.01</v>
      </c>
      <c r="Z35" s="234">
        <v>0.01</v>
      </c>
      <c r="AA35" s="234">
        <v>0.01</v>
      </c>
      <c r="AB35" s="234">
        <v>0.01</v>
      </c>
      <c r="AC35" s="234">
        <v>0.0025</v>
      </c>
      <c r="AD35" s="234">
        <v>0.0025</v>
      </c>
      <c r="AE35" s="234">
        <v>0.0025</v>
      </c>
      <c r="AF35" s="234">
        <v>0.0025</v>
      </c>
      <c r="AG35" s="234">
        <v>0.0025</v>
      </c>
      <c r="AH35" s="234">
        <v>0.0025</v>
      </c>
      <c r="AI35" s="234">
        <v>0.0025</v>
      </c>
      <c r="AJ35" s="234">
        <v>0.0025</v>
      </c>
      <c r="AK35" s="234">
        <v>0.0025</v>
      </c>
      <c r="AL35" s="234">
        <v>0.0025</v>
      </c>
      <c r="AM35" s="234">
        <v>0.0025</v>
      </c>
      <c r="AN35" s="234">
        <v>0.0025</v>
      </c>
      <c r="AO35" s="234">
        <v>0.0025</v>
      </c>
      <c r="AP35" s="234">
        <v>0.0025</v>
      </c>
      <c r="AQ35" s="234">
        <v>0.0025</v>
      </c>
      <c r="AR35" s="234">
        <v>0.0025</v>
      </c>
      <c r="AS35" s="234">
        <v>0.0025</v>
      </c>
      <c r="AT35" s="234">
        <v>0.0025</v>
      </c>
      <c r="AU35" s="234">
        <v>0.0025</v>
      </c>
      <c r="AV35" s="234">
        <v>0.0025</v>
      </c>
      <c r="AW35" s="234">
        <v>0.0025</v>
      </c>
      <c r="AX35" s="234">
        <v>0.0025</v>
      </c>
      <c r="AY35" s="234">
        <v>0.0025</v>
      </c>
      <c r="AZ35" s="234">
        <v>0.0025</v>
      </c>
      <c r="BA35" s="234">
        <v>-0.1</v>
      </c>
      <c r="BB35" s="234">
        <v>0.0025</v>
      </c>
      <c r="BC35" s="234">
        <v>0.0025</v>
      </c>
      <c r="BD35" s="234">
        <v>0.0025</v>
      </c>
      <c r="BE35" s="234">
        <v>0.0025</v>
      </c>
      <c r="BF35" s="234">
        <v>0.0025</v>
      </c>
      <c r="BG35" s="234">
        <v>0.0025</v>
      </c>
      <c r="BH35" s="234">
        <v>0.0025</v>
      </c>
      <c r="BI35" s="234">
        <v>0.0025</v>
      </c>
      <c r="BJ35" s="234">
        <v>0.0025</v>
      </c>
      <c r="BK35" s="234">
        <v>0.0025</v>
      </c>
      <c r="BL35" s="234">
        <v>0.0025</v>
      </c>
      <c r="BM35" s="234">
        <v>0.0025</v>
      </c>
      <c r="BN35" s="234">
        <v>0.0025</v>
      </c>
      <c r="BO35" s="234">
        <v>0.0025</v>
      </c>
      <c r="BP35" s="234">
        <v>0.0025</v>
      </c>
      <c r="BQ35" s="234">
        <v>0.0025</v>
      </c>
      <c r="BR35" s="234">
        <v>0.0025</v>
      </c>
      <c r="BS35" s="234">
        <v>0.0025</v>
      </c>
      <c r="BT35" s="234">
        <v>0.0025</v>
      </c>
      <c r="BU35" s="234">
        <v>0.0025</v>
      </c>
      <c r="BV35" s="234">
        <v>0.0025</v>
      </c>
      <c r="BW35" s="234">
        <v>0.0025</v>
      </c>
      <c r="BX35" s="234">
        <v>0.0025</v>
      </c>
    </row>
    <row r="36" ht="15.75" customHeight="1">
      <c r="A36" s="1" t="s">
        <v>636</v>
      </c>
      <c r="B36" s="1"/>
      <c r="C36" s="1"/>
      <c r="D36" s="1"/>
      <c r="E36" s="349">
        <v>200000.0</v>
      </c>
      <c r="F36" s="349">
        <v>200000.0</v>
      </c>
      <c r="G36" s="349">
        <v>200000.0</v>
      </c>
      <c r="H36" s="349">
        <v>200000.0</v>
      </c>
      <c r="I36" s="349">
        <v>200000.0</v>
      </c>
      <c r="J36" s="349">
        <v>200000.0</v>
      </c>
      <c r="K36" s="349">
        <v>200000.0</v>
      </c>
      <c r="L36" s="349">
        <v>200000.0</v>
      </c>
      <c r="M36" s="349">
        <v>200000.0</v>
      </c>
      <c r="N36" s="349">
        <f t="shared" ref="N36:BX36" si="27">M36*(1+N37)</f>
        <v>200500</v>
      </c>
      <c r="O36" s="198">
        <f t="shared" si="27"/>
        <v>201001.25</v>
      </c>
      <c r="P36" s="198">
        <f t="shared" si="27"/>
        <v>201503.7531</v>
      </c>
      <c r="Q36" s="198">
        <f t="shared" si="27"/>
        <v>202007.5125</v>
      </c>
      <c r="R36" s="198">
        <f t="shared" si="27"/>
        <v>202512.5313</v>
      </c>
      <c r="S36" s="198">
        <f t="shared" si="27"/>
        <v>203018.8126</v>
      </c>
      <c r="T36" s="198">
        <f t="shared" si="27"/>
        <v>203526.3596</v>
      </c>
      <c r="U36" s="198">
        <f t="shared" si="27"/>
        <v>211667.414</v>
      </c>
      <c r="V36" s="198">
        <f t="shared" si="27"/>
        <v>212196.5826</v>
      </c>
      <c r="W36" s="198">
        <f t="shared" si="27"/>
        <v>212727.074</v>
      </c>
      <c r="X36" s="198">
        <f t="shared" si="27"/>
        <v>213258.8917</v>
      </c>
      <c r="Y36" s="198">
        <f t="shared" si="27"/>
        <v>234584.7809</v>
      </c>
      <c r="Z36" s="198">
        <f t="shared" si="27"/>
        <v>255697.4112</v>
      </c>
      <c r="AA36" s="198">
        <f t="shared" si="27"/>
        <v>258254.3853</v>
      </c>
      <c r="AB36" s="198">
        <f t="shared" si="27"/>
        <v>260836.9291</v>
      </c>
      <c r="AC36" s="198">
        <f t="shared" si="27"/>
        <v>208669.5433</v>
      </c>
      <c r="AD36" s="198">
        <f t="shared" si="27"/>
        <v>208773.8781</v>
      </c>
      <c r="AE36" s="198">
        <f t="shared" si="27"/>
        <v>208878.265</v>
      </c>
      <c r="AF36" s="198">
        <f t="shared" si="27"/>
        <v>208982.7041</v>
      </c>
      <c r="AG36" s="198">
        <f t="shared" si="27"/>
        <v>209087.1955</v>
      </c>
      <c r="AH36" s="198">
        <f t="shared" si="27"/>
        <v>209191.7391</v>
      </c>
      <c r="AI36" s="198">
        <f t="shared" si="27"/>
        <v>209296.335</v>
      </c>
      <c r="AJ36" s="198">
        <f t="shared" si="27"/>
        <v>209400.9831</v>
      </c>
      <c r="AK36" s="198">
        <f t="shared" si="27"/>
        <v>209505.6836</v>
      </c>
      <c r="AL36" s="198">
        <f t="shared" si="27"/>
        <v>209610.4365</v>
      </c>
      <c r="AM36" s="198">
        <f t="shared" si="27"/>
        <v>209715.2417</v>
      </c>
      <c r="AN36" s="198">
        <f t="shared" si="27"/>
        <v>209820.0993</v>
      </c>
      <c r="AO36" s="198">
        <f t="shared" si="27"/>
        <v>210134.8295</v>
      </c>
      <c r="AP36" s="198">
        <f t="shared" si="27"/>
        <v>210450.0317</v>
      </c>
      <c r="AQ36" s="198">
        <f t="shared" si="27"/>
        <v>210765.7067</v>
      </c>
      <c r="AR36" s="198">
        <f t="shared" si="27"/>
        <v>211081.8553</v>
      </c>
      <c r="AS36" s="198">
        <f t="shared" si="27"/>
        <v>211398.4781</v>
      </c>
      <c r="AT36" s="198">
        <f t="shared" si="27"/>
        <v>211715.5758</v>
      </c>
      <c r="AU36" s="198">
        <f t="shared" si="27"/>
        <v>212033.1492</v>
      </c>
      <c r="AV36" s="198">
        <f t="shared" si="27"/>
        <v>212351.1989</v>
      </c>
      <c r="AW36" s="198">
        <f t="shared" si="27"/>
        <v>212669.7257</v>
      </c>
      <c r="AX36" s="198">
        <f t="shared" si="27"/>
        <v>212988.7303</v>
      </c>
      <c r="AY36" s="198">
        <f t="shared" si="27"/>
        <v>213308.2134</v>
      </c>
      <c r="AZ36" s="198">
        <f t="shared" si="27"/>
        <v>213628.1757</v>
      </c>
      <c r="BA36" s="198">
        <f t="shared" si="27"/>
        <v>213948.618</v>
      </c>
      <c r="BB36" s="198">
        <f t="shared" si="27"/>
        <v>214269.5409</v>
      </c>
      <c r="BC36" s="198">
        <f t="shared" si="27"/>
        <v>214590.9452</v>
      </c>
      <c r="BD36" s="198">
        <f t="shared" si="27"/>
        <v>214912.8316</v>
      </c>
      <c r="BE36" s="198">
        <f t="shared" si="27"/>
        <v>215235.2009</v>
      </c>
      <c r="BF36" s="198">
        <f t="shared" si="27"/>
        <v>215558.0537</v>
      </c>
      <c r="BG36" s="198">
        <f t="shared" si="27"/>
        <v>215881.3907</v>
      </c>
      <c r="BH36" s="198">
        <f t="shared" si="27"/>
        <v>216205.2128</v>
      </c>
      <c r="BI36" s="198">
        <f t="shared" si="27"/>
        <v>216529.5206</v>
      </c>
      <c r="BJ36" s="198">
        <f t="shared" si="27"/>
        <v>216854.3149</v>
      </c>
      <c r="BK36" s="198">
        <f t="shared" si="27"/>
        <v>217179.5964</v>
      </c>
      <c r="BL36" s="198">
        <f t="shared" si="27"/>
        <v>217505.3658</v>
      </c>
      <c r="BM36" s="198">
        <f t="shared" si="27"/>
        <v>217614.1185</v>
      </c>
      <c r="BN36" s="198">
        <f t="shared" si="27"/>
        <v>217722.9255</v>
      </c>
      <c r="BO36" s="198">
        <f t="shared" si="27"/>
        <v>217831.787</v>
      </c>
      <c r="BP36" s="198">
        <f t="shared" si="27"/>
        <v>217940.7029</v>
      </c>
      <c r="BQ36" s="198">
        <f t="shared" si="27"/>
        <v>218049.6732</v>
      </c>
      <c r="BR36" s="198">
        <f t="shared" si="27"/>
        <v>218158.6981</v>
      </c>
      <c r="BS36" s="198">
        <f t="shared" si="27"/>
        <v>218267.7774</v>
      </c>
      <c r="BT36" s="198">
        <f t="shared" si="27"/>
        <v>218376.9113</v>
      </c>
      <c r="BU36" s="198">
        <f t="shared" si="27"/>
        <v>218486.0998</v>
      </c>
      <c r="BV36" s="198">
        <f t="shared" si="27"/>
        <v>218595.3428</v>
      </c>
      <c r="BW36" s="198">
        <f t="shared" si="27"/>
        <v>218704.6405</v>
      </c>
      <c r="BX36" s="198">
        <f t="shared" si="27"/>
        <v>218813.9928</v>
      </c>
    </row>
    <row r="37" ht="15.75" customHeight="1">
      <c r="A37" s="1" t="s">
        <v>637</v>
      </c>
      <c r="B37" s="1"/>
      <c r="C37" s="1"/>
      <c r="D37" s="1"/>
      <c r="E37" s="1"/>
      <c r="F37" s="1"/>
      <c r="G37" s="1"/>
      <c r="H37" s="1"/>
      <c r="I37" s="1"/>
      <c r="J37" s="1"/>
      <c r="K37" s="1"/>
      <c r="L37" s="1"/>
      <c r="M37" s="369">
        <v>0.0</v>
      </c>
      <c r="N37" s="369">
        <v>0.0025</v>
      </c>
      <c r="O37" s="234">
        <f t="shared" ref="O37:P37" si="28">N37</f>
        <v>0.0025</v>
      </c>
      <c r="P37" s="234">
        <f t="shared" si="28"/>
        <v>0.0025</v>
      </c>
      <c r="Q37" s="234">
        <v>0.0025</v>
      </c>
      <c r="R37" s="234">
        <v>0.0025</v>
      </c>
      <c r="S37" s="234">
        <v>0.0025</v>
      </c>
      <c r="T37" s="234">
        <v>0.0025</v>
      </c>
      <c r="U37" s="234">
        <v>0.04</v>
      </c>
      <c r="V37" s="234">
        <v>0.0025</v>
      </c>
      <c r="W37" s="234">
        <v>0.0025</v>
      </c>
      <c r="X37" s="234">
        <v>0.0025</v>
      </c>
      <c r="Y37" s="234">
        <v>0.1</v>
      </c>
      <c r="Z37" s="234">
        <v>0.09</v>
      </c>
      <c r="AA37" s="234">
        <v>0.01</v>
      </c>
      <c r="AB37" s="234">
        <v>0.01</v>
      </c>
      <c r="AC37" s="234">
        <v>-0.2</v>
      </c>
      <c r="AD37" s="234">
        <v>5.0E-4</v>
      </c>
      <c r="AE37" s="234">
        <f t="shared" ref="AE37:AN37" si="29">AD37</f>
        <v>0.0005</v>
      </c>
      <c r="AF37" s="234">
        <f t="shared" si="29"/>
        <v>0.0005</v>
      </c>
      <c r="AG37" s="234">
        <f t="shared" si="29"/>
        <v>0.0005</v>
      </c>
      <c r="AH37" s="234">
        <f t="shared" si="29"/>
        <v>0.0005</v>
      </c>
      <c r="AI37" s="234">
        <f t="shared" si="29"/>
        <v>0.0005</v>
      </c>
      <c r="AJ37" s="234">
        <f t="shared" si="29"/>
        <v>0.0005</v>
      </c>
      <c r="AK37" s="234">
        <f t="shared" si="29"/>
        <v>0.0005</v>
      </c>
      <c r="AL37" s="234">
        <f t="shared" si="29"/>
        <v>0.0005</v>
      </c>
      <c r="AM37" s="234">
        <f t="shared" si="29"/>
        <v>0.0005</v>
      </c>
      <c r="AN37" s="234">
        <f t="shared" si="29"/>
        <v>0.0005</v>
      </c>
      <c r="AO37" s="234">
        <v>0.0015</v>
      </c>
      <c r="AP37" s="234">
        <f t="shared" ref="AP37:AZ37" si="30">AO37</f>
        <v>0.0015</v>
      </c>
      <c r="AQ37" s="234">
        <f t="shared" si="30"/>
        <v>0.0015</v>
      </c>
      <c r="AR37" s="234">
        <f t="shared" si="30"/>
        <v>0.0015</v>
      </c>
      <c r="AS37" s="234">
        <f t="shared" si="30"/>
        <v>0.0015</v>
      </c>
      <c r="AT37" s="234">
        <f t="shared" si="30"/>
        <v>0.0015</v>
      </c>
      <c r="AU37" s="234">
        <f t="shared" si="30"/>
        <v>0.0015</v>
      </c>
      <c r="AV37" s="234">
        <f t="shared" si="30"/>
        <v>0.0015</v>
      </c>
      <c r="AW37" s="234">
        <f t="shared" si="30"/>
        <v>0.0015</v>
      </c>
      <c r="AX37" s="234">
        <f t="shared" si="30"/>
        <v>0.0015</v>
      </c>
      <c r="AY37" s="234">
        <f t="shared" si="30"/>
        <v>0.0015</v>
      </c>
      <c r="AZ37" s="234">
        <f t="shared" si="30"/>
        <v>0.0015</v>
      </c>
      <c r="BA37" s="234">
        <v>0.0015</v>
      </c>
      <c r="BB37" s="234">
        <f t="shared" ref="BB37:BL37" si="31">BA37</f>
        <v>0.0015</v>
      </c>
      <c r="BC37" s="234">
        <f t="shared" si="31"/>
        <v>0.0015</v>
      </c>
      <c r="BD37" s="234">
        <f t="shared" si="31"/>
        <v>0.0015</v>
      </c>
      <c r="BE37" s="234">
        <f t="shared" si="31"/>
        <v>0.0015</v>
      </c>
      <c r="BF37" s="234">
        <f t="shared" si="31"/>
        <v>0.0015</v>
      </c>
      <c r="BG37" s="234">
        <f t="shared" si="31"/>
        <v>0.0015</v>
      </c>
      <c r="BH37" s="234">
        <f t="shared" si="31"/>
        <v>0.0015</v>
      </c>
      <c r="BI37" s="234">
        <f t="shared" si="31"/>
        <v>0.0015</v>
      </c>
      <c r="BJ37" s="234">
        <f t="shared" si="31"/>
        <v>0.0015</v>
      </c>
      <c r="BK37" s="234">
        <f t="shared" si="31"/>
        <v>0.0015</v>
      </c>
      <c r="BL37" s="234">
        <f t="shared" si="31"/>
        <v>0.0015</v>
      </c>
      <c r="BM37" s="234">
        <v>5.0E-4</v>
      </c>
      <c r="BN37" s="234">
        <f t="shared" ref="BN37:BX37" si="32">BM37</f>
        <v>0.0005</v>
      </c>
      <c r="BO37" s="234">
        <f t="shared" si="32"/>
        <v>0.0005</v>
      </c>
      <c r="BP37" s="234">
        <f t="shared" si="32"/>
        <v>0.0005</v>
      </c>
      <c r="BQ37" s="234">
        <f t="shared" si="32"/>
        <v>0.0005</v>
      </c>
      <c r="BR37" s="234">
        <f t="shared" si="32"/>
        <v>0.0005</v>
      </c>
      <c r="BS37" s="234">
        <f t="shared" si="32"/>
        <v>0.0005</v>
      </c>
      <c r="BT37" s="234">
        <f t="shared" si="32"/>
        <v>0.0005</v>
      </c>
      <c r="BU37" s="234">
        <f t="shared" si="32"/>
        <v>0.0005</v>
      </c>
      <c r="BV37" s="234">
        <f t="shared" si="32"/>
        <v>0.0005</v>
      </c>
      <c r="BW37" s="234">
        <f t="shared" si="32"/>
        <v>0.0005</v>
      </c>
      <c r="BX37" s="234">
        <f t="shared" si="32"/>
        <v>0.0005</v>
      </c>
    </row>
    <row r="38" ht="15.75" customHeight="1">
      <c r="A38" s="119" t="s">
        <v>638</v>
      </c>
      <c r="B38" s="119"/>
      <c r="C38" s="119"/>
      <c r="D38" s="119"/>
      <c r="E38" s="371">
        <f t="shared" ref="E38:BX38" si="33">E34*E36</f>
        <v>400000</v>
      </c>
      <c r="F38" s="371">
        <f t="shared" si="33"/>
        <v>400000</v>
      </c>
      <c r="G38" s="371">
        <f t="shared" si="33"/>
        <v>400000</v>
      </c>
      <c r="H38" s="371">
        <f t="shared" si="33"/>
        <v>400000</v>
      </c>
      <c r="I38" s="371">
        <f t="shared" si="33"/>
        <v>400000</v>
      </c>
      <c r="J38" s="371">
        <f t="shared" si="33"/>
        <v>400000</v>
      </c>
      <c r="K38" s="371">
        <f t="shared" si="33"/>
        <v>400000</v>
      </c>
      <c r="L38" s="371">
        <f t="shared" si="33"/>
        <v>400000</v>
      </c>
      <c r="M38" s="371">
        <f t="shared" si="33"/>
        <v>400000</v>
      </c>
      <c r="N38" s="371">
        <f t="shared" si="33"/>
        <v>401000</v>
      </c>
      <c r="O38" s="371">
        <f t="shared" si="33"/>
        <v>402002.5</v>
      </c>
      <c r="P38" s="371">
        <f t="shared" si="33"/>
        <v>64481.201</v>
      </c>
      <c r="Q38" s="371">
        <f t="shared" si="33"/>
        <v>77570.8848</v>
      </c>
      <c r="R38" s="371">
        <f t="shared" si="33"/>
        <v>79320.10826</v>
      </c>
      <c r="S38" s="371">
        <f t="shared" si="33"/>
        <v>81108.7767</v>
      </c>
      <c r="T38" s="371">
        <f t="shared" si="33"/>
        <v>82937.77961</v>
      </c>
      <c r="U38" s="371">
        <f t="shared" si="33"/>
        <v>87980.39661</v>
      </c>
      <c r="V38" s="371">
        <f t="shared" si="33"/>
        <v>89964.35455</v>
      </c>
      <c r="W38" s="371">
        <f t="shared" si="33"/>
        <v>91993.05075</v>
      </c>
      <c r="X38" s="371">
        <f t="shared" si="33"/>
        <v>94067.49404</v>
      </c>
      <c r="Y38" s="371">
        <f t="shared" si="33"/>
        <v>104508.9859</v>
      </c>
      <c r="Z38" s="371">
        <f t="shared" si="33"/>
        <v>115053.9426</v>
      </c>
      <c r="AA38" s="371">
        <f t="shared" si="33"/>
        <v>117366.5268</v>
      </c>
      <c r="AB38" s="371">
        <f t="shared" si="33"/>
        <v>119725.594</v>
      </c>
      <c r="AC38" s="371">
        <f t="shared" si="33"/>
        <v>96019.92638</v>
      </c>
      <c r="AD38" s="371">
        <f t="shared" si="33"/>
        <v>96308.10619</v>
      </c>
      <c r="AE38" s="371">
        <f t="shared" si="33"/>
        <v>96597.15089</v>
      </c>
      <c r="AF38" s="371">
        <f t="shared" si="33"/>
        <v>96887.06309</v>
      </c>
      <c r="AG38" s="371">
        <f t="shared" si="33"/>
        <v>97177.84539</v>
      </c>
      <c r="AH38" s="371">
        <f t="shared" si="33"/>
        <v>97469.5004</v>
      </c>
      <c r="AI38" s="371">
        <f t="shared" si="33"/>
        <v>97762.03073</v>
      </c>
      <c r="AJ38" s="371">
        <f t="shared" si="33"/>
        <v>98055.43903</v>
      </c>
      <c r="AK38" s="371">
        <f t="shared" si="33"/>
        <v>98349.72792</v>
      </c>
      <c r="AL38" s="371">
        <f t="shared" si="33"/>
        <v>98644.90004</v>
      </c>
      <c r="AM38" s="371">
        <f t="shared" si="33"/>
        <v>98940.95804</v>
      </c>
      <c r="AN38" s="371">
        <f t="shared" si="33"/>
        <v>99237.90459</v>
      </c>
      <c r="AO38" s="371">
        <f t="shared" si="33"/>
        <v>99635.22835</v>
      </c>
      <c r="AP38" s="371">
        <f t="shared" si="33"/>
        <v>100034.1429</v>
      </c>
      <c r="AQ38" s="371">
        <f t="shared" si="33"/>
        <v>100434.6546</v>
      </c>
      <c r="AR38" s="371">
        <f t="shared" si="33"/>
        <v>100836.7698</v>
      </c>
      <c r="AS38" s="371">
        <f t="shared" si="33"/>
        <v>101240.4951</v>
      </c>
      <c r="AT38" s="371">
        <f t="shared" si="33"/>
        <v>101645.8367</v>
      </c>
      <c r="AU38" s="371">
        <f t="shared" si="33"/>
        <v>102052.8012</v>
      </c>
      <c r="AV38" s="371">
        <f t="shared" si="33"/>
        <v>102461.3951</v>
      </c>
      <c r="AW38" s="371">
        <f t="shared" si="33"/>
        <v>102871.6249</v>
      </c>
      <c r="AX38" s="371">
        <f t="shared" si="33"/>
        <v>103283.4972</v>
      </c>
      <c r="AY38" s="371">
        <f t="shared" si="33"/>
        <v>103697.0185</v>
      </c>
      <c r="AZ38" s="371">
        <f t="shared" si="33"/>
        <v>104112.1954</v>
      </c>
      <c r="BA38" s="371">
        <f t="shared" si="33"/>
        <v>93841.52736</v>
      </c>
      <c r="BB38" s="371">
        <f t="shared" si="33"/>
        <v>94217.24537</v>
      </c>
      <c r="BC38" s="371">
        <f t="shared" si="33"/>
        <v>94594.46767</v>
      </c>
      <c r="BD38" s="371">
        <f t="shared" si="33"/>
        <v>94973.20027</v>
      </c>
      <c r="BE38" s="371">
        <f t="shared" si="33"/>
        <v>95353.44922</v>
      </c>
      <c r="BF38" s="371">
        <f t="shared" si="33"/>
        <v>95735.22059</v>
      </c>
      <c r="BG38" s="371">
        <f t="shared" si="33"/>
        <v>96118.52048</v>
      </c>
      <c r="BH38" s="371">
        <f t="shared" si="33"/>
        <v>96503.35501</v>
      </c>
      <c r="BI38" s="371">
        <f t="shared" si="33"/>
        <v>96889.73031</v>
      </c>
      <c r="BJ38" s="371">
        <f t="shared" si="33"/>
        <v>97277.65257</v>
      </c>
      <c r="BK38" s="371">
        <f t="shared" si="33"/>
        <v>97667.12797</v>
      </c>
      <c r="BL38" s="371">
        <f t="shared" si="33"/>
        <v>98058.16274</v>
      </c>
      <c r="BM38" s="371">
        <f t="shared" si="33"/>
        <v>98352.4598</v>
      </c>
      <c r="BN38" s="371">
        <f t="shared" si="33"/>
        <v>98647.64012</v>
      </c>
      <c r="BO38" s="371">
        <f t="shared" si="33"/>
        <v>98943.70635</v>
      </c>
      <c r="BP38" s="371">
        <f t="shared" si="33"/>
        <v>99240.66115</v>
      </c>
      <c r="BQ38" s="371">
        <f t="shared" si="33"/>
        <v>99538.50718</v>
      </c>
      <c r="BR38" s="371">
        <f t="shared" si="33"/>
        <v>99837.24713</v>
      </c>
      <c r="BS38" s="371">
        <f t="shared" si="33"/>
        <v>100136.8837</v>
      </c>
      <c r="BT38" s="371">
        <f t="shared" si="33"/>
        <v>100437.4195</v>
      </c>
      <c r="BU38" s="371">
        <f t="shared" si="33"/>
        <v>100738.8573</v>
      </c>
      <c r="BV38" s="371">
        <f t="shared" si="33"/>
        <v>101041.1998</v>
      </c>
      <c r="BW38" s="371">
        <f t="shared" si="33"/>
        <v>101344.4497</v>
      </c>
      <c r="BX38" s="371">
        <f t="shared" si="33"/>
        <v>101648.6097</v>
      </c>
    </row>
    <row r="39" ht="15.75" customHeight="1">
      <c r="A39" s="4"/>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row>
    <row r="40" ht="15.75" customHeight="1">
      <c r="A40" s="4" t="s">
        <v>639</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row>
    <row r="41" ht="15.75" customHeight="1">
      <c r="A41" s="1" t="s">
        <v>640</v>
      </c>
      <c r="B41" s="1"/>
      <c r="C41" s="1"/>
      <c r="D41" s="1"/>
      <c r="E41" s="363">
        <v>0.0</v>
      </c>
      <c r="F41" s="363">
        <v>0.0</v>
      </c>
      <c r="G41" s="363">
        <v>0.0</v>
      </c>
      <c r="H41" s="363">
        <v>0.0</v>
      </c>
      <c r="I41" s="363">
        <v>0.0</v>
      </c>
      <c r="J41" s="363">
        <v>0.0</v>
      </c>
      <c r="K41" s="363">
        <v>0.0</v>
      </c>
      <c r="L41" s="363">
        <v>0.0</v>
      </c>
      <c r="M41" s="363">
        <v>0.0</v>
      </c>
      <c r="N41" s="373">
        <v>1.0</v>
      </c>
      <c r="O41" s="363">
        <f t="shared" ref="O41:BX41" si="34">N41*(1+O42)</f>
        <v>1.02</v>
      </c>
      <c r="P41" s="363">
        <f t="shared" si="34"/>
        <v>1.0404</v>
      </c>
      <c r="Q41" s="363">
        <f t="shared" si="34"/>
        <v>1.3005</v>
      </c>
      <c r="R41" s="363">
        <f t="shared" si="34"/>
        <v>1.35252</v>
      </c>
      <c r="S41" s="363">
        <f t="shared" si="34"/>
        <v>1.4066208</v>
      </c>
      <c r="T41" s="363">
        <f t="shared" si="34"/>
        <v>1.462885632</v>
      </c>
      <c r="U41" s="363">
        <f t="shared" si="34"/>
        <v>1.492143345</v>
      </c>
      <c r="V41" s="363">
        <f t="shared" si="34"/>
        <v>1.521986212</v>
      </c>
      <c r="W41" s="363">
        <f t="shared" si="34"/>
        <v>1.552425936</v>
      </c>
      <c r="X41" s="363">
        <f t="shared" si="34"/>
        <v>1.55863564</v>
      </c>
      <c r="Y41" s="363">
        <f t="shared" si="34"/>
        <v>1.564870182</v>
      </c>
      <c r="Z41" s="363">
        <f t="shared" si="34"/>
        <v>1.571129663</v>
      </c>
      <c r="AA41" s="363">
        <f t="shared" si="34"/>
        <v>1.577414181</v>
      </c>
      <c r="AB41" s="363">
        <f t="shared" si="34"/>
        <v>1.602652808</v>
      </c>
      <c r="AC41" s="363">
        <f t="shared" si="34"/>
        <v>1.282122247</v>
      </c>
      <c r="AD41" s="363">
        <f t="shared" si="34"/>
        <v>1.287250736</v>
      </c>
      <c r="AE41" s="363">
        <f t="shared" si="34"/>
        <v>1.292399739</v>
      </c>
      <c r="AF41" s="363">
        <f t="shared" si="34"/>
        <v>1.297569338</v>
      </c>
      <c r="AG41" s="363">
        <f t="shared" si="34"/>
        <v>1.302759615</v>
      </c>
      <c r="AH41" s="363">
        <f t="shared" si="34"/>
        <v>1.307970653</v>
      </c>
      <c r="AI41" s="363">
        <f t="shared" si="34"/>
        <v>1.313202536</v>
      </c>
      <c r="AJ41" s="363">
        <f t="shared" si="34"/>
        <v>1.318455346</v>
      </c>
      <c r="AK41" s="363">
        <f t="shared" si="34"/>
        <v>1.323729168</v>
      </c>
      <c r="AL41" s="363">
        <f t="shared" si="34"/>
        <v>1.329024084</v>
      </c>
      <c r="AM41" s="363">
        <f t="shared" si="34"/>
        <v>1.334340181</v>
      </c>
      <c r="AN41" s="363">
        <f t="shared" si="34"/>
        <v>1.339677541</v>
      </c>
      <c r="AO41" s="363">
        <f t="shared" si="34"/>
        <v>1.345036251</v>
      </c>
      <c r="AP41" s="363">
        <f t="shared" si="34"/>
        <v>1.350416396</v>
      </c>
      <c r="AQ41" s="363">
        <f t="shared" si="34"/>
        <v>1.355818062</v>
      </c>
      <c r="AR41" s="363">
        <f t="shared" si="34"/>
        <v>1.361241334</v>
      </c>
      <c r="AS41" s="363">
        <f t="shared" si="34"/>
        <v>1.3666863</v>
      </c>
      <c r="AT41" s="363">
        <f t="shared" si="34"/>
        <v>1.372153045</v>
      </c>
      <c r="AU41" s="363">
        <f t="shared" si="34"/>
        <v>1.377641657</v>
      </c>
      <c r="AV41" s="363">
        <f t="shared" si="34"/>
        <v>1.383152224</v>
      </c>
      <c r="AW41" s="363">
        <f t="shared" si="34"/>
        <v>1.388684832</v>
      </c>
      <c r="AX41" s="363">
        <f t="shared" si="34"/>
        <v>1.394239572</v>
      </c>
      <c r="AY41" s="363">
        <f t="shared" si="34"/>
        <v>1.39981653</v>
      </c>
      <c r="AZ41" s="363">
        <f t="shared" si="34"/>
        <v>1.405415796</v>
      </c>
      <c r="BA41" s="363">
        <f t="shared" si="34"/>
        <v>1.278928375</v>
      </c>
      <c r="BB41" s="363">
        <f t="shared" si="34"/>
        <v>1.284044088</v>
      </c>
      <c r="BC41" s="363">
        <f t="shared" si="34"/>
        <v>1.289180264</v>
      </c>
      <c r="BD41" s="363">
        <f t="shared" si="34"/>
        <v>1.294336985</v>
      </c>
      <c r="BE41" s="363">
        <f t="shared" si="34"/>
        <v>1.299514333</v>
      </c>
      <c r="BF41" s="363">
        <f t="shared" si="34"/>
        <v>1.304712391</v>
      </c>
      <c r="BG41" s="363">
        <f t="shared" si="34"/>
        <v>1.30993124</v>
      </c>
      <c r="BH41" s="363">
        <f t="shared" si="34"/>
        <v>1.315170965</v>
      </c>
      <c r="BI41" s="363">
        <f t="shared" si="34"/>
        <v>1.320431649</v>
      </c>
      <c r="BJ41" s="363">
        <f t="shared" si="34"/>
        <v>1.325713376</v>
      </c>
      <c r="BK41" s="363">
        <f t="shared" si="34"/>
        <v>1.331016229</v>
      </c>
      <c r="BL41" s="363">
        <f t="shared" si="34"/>
        <v>1.336340294</v>
      </c>
      <c r="BM41" s="363">
        <f t="shared" si="34"/>
        <v>1.341685655</v>
      </c>
      <c r="BN41" s="363">
        <f t="shared" si="34"/>
        <v>1.347052398</v>
      </c>
      <c r="BO41" s="363">
        <f t="shared" si="34"/>
        <v>1.352440608</v>
      </c>
      <c r="BP41" s="363">
        <f t="shared" si="34"/>
        <v>1.35785037</v>
      </c>
      <c r="BQ41" s="363">
        <f t="shared" si="34"/>
        <v>1.363281771</v>
      </c>
      <c r="BR41" s="363">
        <f t="shared" si="34"/>
        <v>1.368734899</v>
      </c>
      <c r="BS41" s="363">
        <f t="shared" si="34"/>
        <v>1.374209838</v>
      </c>
      <c r="BT41" s="363">
        <f t="shared" si="34"/>
        <v>1.379706677</v>
      </c>
      <c r="BU41" s="363">
        <f t="shared" si="34"/>
        <v>1.385225504</v>
      </c>
      <c r="BV41" s="363">
        <f t="shared" si="34"/>
        <v>1.390766406</v>
      </c>
      <c r="BW41" s="363">
        <f t="shared" si="34"/>
        <v>1.396329472</v>
      </c>
      <c r="BX41" s="363">
        <f t="shared" si="34"/>
        <v>1.40191479</v>
      </c>
    </row>
    <row r="42" ht="15.75" customHeight="1">
      <c r="A42" s="1" t="s">
        <v>328</v>
      </c>
      <c r="B42" s="1"/>
      <c r="C42" s="1"/>
      <c r="D42" s="1"/>
      <c r="E42" s="234"/>
      <c r="F42" s="234"/>
      <c r="G42" s="234"/>
      <c r="H42" s="234"/>
      <c r="I42" s="234"/>
      <c r="J42" s="234"/>
      <c r="K42" s="234"/>
      <c r="L42" s="234"/>
      <c r="M42" s="234"/>
      <c r="N42" s="234">
        <v>0.02</v>
      </c>
      <c r="O42" s="234">
        <v>0.02</v>
      </c>
      <c r="P42" s="234">
        <v>0.02</v>
      </c>
      <c r="Q42" s="234">
        <v>0.25</v>
      </c>
      <c r="R42" s="234">
        <v>0.04</v>
      </c>
      <c r="S42" s="234">
        <v>0.04</v>
      </c>
      <c r="T42" s="234">
        <v>0.04</v>
      </c>
      <c r="U42" s="234">
        <v>0.02</v>
      </c>
      <c r="V42" s="234">
        <v>0.02</v>
      </c>
      <c r="W42" s="234">
        <v>0.02</v>
      </c>
      <c r="X42" s="234">
        <v>0.004</v>
      </c>
      <c r="Y42" s="234">
        <v>0.004</v>
      </c>
      <c r="Z42" s="234">
        <v>0.004</v>
      </c>
      <c r="AA42" s="234">
        <v>0.004</v>
      </c>
      <c r="AB42" s="234">
        <v>0.016</v>
      </c>
      <c r="AC42" s="234">
        <v>-0.2</v>
      </c>
      <c r="AD42" s="234">
        <v>0.004</v>
      </c>
      <c r="AE42" s="234">
        <v>0.004</v>
      </c>
      <c r="AF42" s="234">
        <v>0.004</v>
      </c>
      <c r="AG42" s="234">
        <v>0.004</v>
      </c>
      <c r="AH42" s="234">
        <v>0.004</v>
      </c>
      <c r="AI42" s="234">
        <v>0.004</v>
      </c>
      <c r="AJ42" s="234">
        <v>0.004</v>
      </c>
      <c r="AK42" s="234">
        <v>0.004</v>
      </c>
      <c r="AL42" s="234">
        <v>0.004</v>
      </c>
      <c r="AM42" s="234">
        <v>0.004</v>
      </c>
      <c r="AN42" s="234">
        <v>0.004</v>
      </c>
      <c r="AO42" s="234">
        <v>0.004</v>
      </c>
      <c r="AP42" s="234">
        <v>0.004</v>
      </c>
      <c r="AQ42" s="234">
        <v>0.004</v>
      </c>
      <c r="AR42" s="234">
        <v>0.004</v>
      </c>
      <c r="AS42" s="234">
        <v>0.004</v>
      </c>
      <c r="AT42" s="234">
        <v>0.004</v>
      </c>
      <c r="AU42" s="234">
        <v>0.004</v>
      </c>
      <c r="AV42" s="234">
        <v>0.004</v>
      </c>
      <c r="AW42" s="234">
        <v>0.004</v>
      </c>
      <c r="AX42" s="234">
        <v>0.004</v>
      </c>
      <c r="AY42" s="234">
        <v>0.004</v>
      </c>
      <c r="AZ42" s="234">
        <v>0.004</v>
      </c>
      <c r="BA42" s="234">
        <v>-0.09</v>
      </c>
      <c r="BB42" s="234">
        <v>0.004</v>
      </c>
      <c r="BC42" s="234">
        <v>0.004</v>
      </c>
      <c r="BD42" s="234">
        <v>0.004</v>
      </c>
      <c r="BE42" s="234">
        <v>0.004</v>
      </c>
      <c r="BF42" s="234">
        <v>0.004</v>
      </c>
      <c r="BG42" s="234">
        <v>0.004</v>
      </c>
      <c r="BH42" s="234">
        <v>0.004</v>
      </c>
      <c r="BI42" s="234">
        <v>0.004</v>
      </c>
      <c r="BJ42" s="234">
        <v>0.004</v>
      </c>
      <c r="BK42" s="234">
        <v>0.004</v>
      </c>
      <c r="BL42" s="234">
        <v>0.004</v>
      </c>
      <c r="BM42" s="234">
        <v>0.004</v>
      </c>
      <c r="BN42" s="234">
        <v>0.004</v>
      </c>
      <c r="BO42" s="234">
        <v>0.004</v>
      </c>
      <c r="BP42" s="234">
        <v>0.004</v>
      </c>
      <c r="BQ42" s="234">
        <v>0.004</v>
      </c>
      <c r="BR42" s="234">
        <v>0.004</v>
      </c>
      <c r="BS42" s="234">
        <v>0.004</v>
      </c>
      <c r="BT42" s="234">
        <v>0.004</v>
      </c>
      <c r="BU42" s="234">
        <v>0.004</v>
      </c>
      <c r="BV42" s="234">
        <v>0.004</v>
      </c>
      <c r="BW42" s="234">
        <v>0.004</v>
      </c>
      <c r="BX42" s="234">
        <v>0.004</v>
      </c>
    </row>
    <row r="43" ht="15.75" customHeight="1">
      <c r="A43" s="1" t="s">
        <v>641</v>
      </c>
      <c r="B43" s="1"/>
      <c r="C43" s="1"/>
      <c r="D43" s="1"/>
      <c r="E43" s="198">
        <v>110000.0</v>
      </c>
      <c r="F43" s="198">
        <v>110000.0</v>
      </c>
      <c r="G43" s="198">
        <v>110000.0</v>
      </c>
      <c r="H43" s="198">
        <v>110000.0</v>
      </c>
      <c r="I43" s="198">
        <v>110000.0</v>
      </c>
      <c r="J43" s="198">
        <v>110000.0</v>
      </c>
      <c r="K43" s="198">
        <v>110000.0</v>
      </c>
      <c r="L43" s="198">
        <v>110000.0</v>
      </c>
      <c r="M43" s="198">
        <v>110000.0</v>
      </c>
      <c r="N43" s="198">
        <f t="shared" ref="N43:BX43" si="35">M43*(1+N44)</f>
        <v>110275</v>
      </c>
      <c r="O43" s="198">
        <f t="shared" si="35"/>
        <v>93733.75</v>
      </c>
      <c r="P43" s="198">
        <f t="shared" si="35"/>
        <v>94671.0875</v>
      </c>
      <c r="Q43" s="198">
        <f t="shared" si="35"/>
        <v>95617.79838</v>
      </c>
      <c r="R43" s="198">
        <f t="shared" si="35"/>
        <v>96573.97636</v>
      </c>
      <c r="S43" s="198">
        <f t="shared" si="35"/>
        <v>97539.71612</v>
      </c>
      <c r="T43" s="198">
        <f t="shared" si="35"/>
        <v>98515.11328</v>
      </c>
      <c r="U43" s="198">
        <f t="shared" si="35"/>
        <v>99500.26442</v>
      </c>
      <c r="V43" s="198">
        <f t="shared" si="35"/>
        <v>100495.2671</v>
      </c>
      <c r="W43" s="198">
        <f t="shared" si="35"/>
        <v>101500.2197</v>
      </c>
      <c r="X43" s="198">
        <f t="shared" si="35"/>
        <v>102515.2219</v>
      </c>
      <c r="Y43" s="198">
        <f t="shared" si="35"/>
        <v>112766.7441</v>
      </c>
      <c r="Z43" s="198">
        <f t="shared" si="35"/>
        <v>124043.4185</v>
      </c>
      <c r="AA43" s="198">
        <f t="shared" si="35"/>
        <v>136447.7604</v>
      </c>
      <c r="AB43" s="198">
        <f t="shared" si="35"/>
        <v>156914.9244</v>
      </c>
      <c r="AC43" s="198">
        <f t="shared" si="35"/>
        <v>157307.2118</v>
      </c>
      <c r="AD43" s="198">
        <f t="shared" si="35"/>
        <v>157700.4798</v>
      </c>
      <c r="AE43" s="198">
        <f t="shared" si="35"/>
        <v>158094.731</v>
      </c>
      <c r="AF43" s="198">
        <f t="shared" si="35"/>
        <v>158489.9678</v>
      </c>
      <c r="AG43" s="198">
        <f t="shared" si="35"/>
        <v>158886.1927</v>
      </c>
      <c r="AH43" s="198">
        <f t="shared" si="35"/>
        <v>159283.4082</v>
      </c>
      <c r="AI43" s="198">
        <f t="shared" si="35"/>
        <v>159681.6167</v>
      </c>
      <c r="AJ43" s="198">
        <f t="shared" si="35"/>
        <v>160080.8208</v>
      </c>
      <c r="AK43" s="198">
        <f t="shared" si="35"/>
        <v>160481.0228</v>
      </c>
      <c r="AL43" s="198">
        <f t="shared" si="35"/>
        <v>160882.2254</v>
      </c>
      <c r="AM43" s="198">
        <f t="shared" si="35"/>
        <v>161284.4309</v>
      </c>
      <c r="AN43" s="198">
        <f t="shared" si="35"/>
        <v>161687.642</v>
      </c>
      <c r="AO43" s="198">
        <f t="shared" si="35"/>
        <v>161930.1735</v>
      </c>
      <c r="AP43" s="198">
        <f t="shared" si="35"/>
        <v>162173.0687</v>
      </c>
      <c r="AQ43" s="198">
        <f t="shared" si="35"/>
        <v>162416.3284</v>
      </c>
      <c r="AR43" s="198">
        <f t="shared" si="35"/>
        <v>162659.9528</v>
      </c>
      <c r="AS43" s="198">
        <f t="shared" si="35"/>
        <v>162903.9428</v>
      </c>
      <c r="AT43" s="198">
        <f t="shared" si="35"/>
        <v>163148.2987</v>
      </c>
      <c r="AU43" s="198">
        <f t="shared" si="35"/>
        <v>163393.0211</v>
      </c>
      <c r="AV43" s="198">
        <f t="shared" si="35"/>
        <v>163638.1107</v>
      </c>
      <c r="AW43" s="198">
        <f t="shared" si="35"/>
        <v>163883.5678</v>
      </c>
      <c r="AX43" s="198">
        <f t="shared" si="35"/>
        <v>164129.3932</v>
      </c>
      <c r="AY43" s="198">
        <f t="shared" si="35"/>
        <v>164375.5873</v>
      </c>
      <c r="AZ43" s="198">
        <f t="shared" si="35"/>
        <v>164622.1507</v>
      </c>
      <c r="BA43" s="198">
        <f t="shared" si="35"/>
        <v>164869.0839</v>
      </c>
      <c r="BB43" s="198">
        <f t="shared" si="35"/>
        <v>165116.3875</v>
      </c>
      <c r="BC43" s="198">
        <f t="shared" si="35"/>
        <v>165364.0621</v>
      </c>
      <c r="BD43" s="198">
        <f t="shared" si="35"/>
        <v>165612.1082</v>
      </c>
      <c r="BE43" s="198">
        <f t="shared" si="35"/>
        <v>165860.5263</v>
      </c>
      <c r="BF43" s="198">
        <f t="shared" si="35"/>
        <v>166109.3171</v>
      </c>
      <c r="BG43" s="198">
        <f t="shared" si="35"/>
        <v>166358.4811</v>
      </c>
      <c r="BH43" s="198">
        <f t="shared" si="35"/>
        <v>166608.0188</v>
      </c>
      <c r="BI43" s="198">
        <f t="shared" si="35"/>
        <v>166857.9309</v>
      </c>
      <c r="BJ43" s="198">
        <f t="shared" si="35"/>
        <v>167108.2178</v>
      </c>
      <c r="BK43" s="198">
        <f t="shared" si="35"/>
        <v>167358.8801</v>
      </c>
      <c r="BL43" s="198">
        <f t="shared" si="35"/>
        <v>167609.9184</v>
      </c>
      <c r="BM43" s="198">
        <f t="shared" si="35"/>
        <v>167693.7234</v>
      </c>
      <c r="BN43" s="198">
        <f t="shared" si="35"/>
        <v>167777.5702</v>
      </c>
      <c r="BO43" s="198">
        <f t="shared" si="35"/>
        <v>167861.459</v>
      </c>
      <c r="BP43" s="198">
        <f t="shared" si="35"/>
        <v>167945.3897</v>
      </c>
      <c r="BQ43" s="198">
        <f t="shared" si="35"/>
        <v>168029.3624</v>
      </c>
      <c r="BR43" s="198">
        <f t="shared" si="35"/>
        <v>168113.3771</v>
      </c>
      <c r="BS43" s="198">
        <f t="shared" si="35"/>
        <v>168197.4338</v>
      </c>
      <c r="BT43" s="198">
        <f t="shared" si="35"/>
        <v>168281.5325</v>
      </c>
      <c r="BU43" s="198">
        <f t="shared" si="35"/>
        <v>168365.6733</v>
      </c>
      <c r="BV43" s="198">
        <f t="shared" si="35"/>
        <v>168449.8561</v>
      </c>
      <c r="BW43" s="198">
        <f t="shared" si="35"/>
        <v>168534.0811</v>
      </c>
      <c r="BX43" s="198">
        <f t="shared" si="35"/>
        <v>168618.3481</v>
      </c>
    </row>
    <row r="44" ht="15.75" customHeight="1">
      <c r="A44" s="1" t="s">
        <v>637</v>
      </c>
      <c r="B44" s="1"/>
      <c r="C44" s="1"/>
      <c r="D44" s="1"/>
      <c r="E44" s="234">
        <v>0.0</v>
      </c>
      <c r="F44" s="234">
        <v>0.0</v>
      </c>
      <c r="G44" s="234">
        <v>0.0</v>
      </c>
      <c r="H44" s="234">
        <v>0.0</v>
      </c>
      <c r="I44" s="234">
        <v>0.0</v>
      </c>
      <c r="J44" s="234">
        <v>0.0</v>
      </c>
      <c r="K44" s="234">
        <v>0.0</v>
      </c>
      <c r="L44" s="234">
        <v>0.0</v>
      </c>
      <c r="M44" s="234">
        <v>0.0</v>
      </c>
      <c r="N44" s="234">
        <v>0.0025</v>
      </c>
      <c r="O44" s="234">
        <v>-0.15</v>
      </c>
      <c r="P44" s="234">
        <v>0.01</v>
      </c>
      <c r="Q44" s="234">
        <f t="shared" ref="Q44:X44" si="36">P44</f>
        <v>0.01</v>
      </c>
      <c r="R44" s="234">
        <f t="shared" si="36"/>
        <v>0.01</v>
      </c>
      <c r="S44" s="234">
        <f t="shared" si="36"/>
        <v>0.01</v>
      </c>
      <c r="T44" s="234">
        <f t="shared" si="36"/>
        <v>0.01</v>
      </c>
      <c r="U44" s="234">
        <f t="shared" si="36"/>
        <v>0.01</v>
      </c>
      <c r="V44" s="234">
        <f t="shared" si="36"/>
        <v>0.01</v>
      </c>
      <c r="W44" s="234">
        <f t="shared" si="36"/>
        <v>0.01</v>
      </c>
      <c r="X44" s="234">
        <f t="shared" si="36"/>
        <v>0.01</v>
      </c>
      <c r="Y44" s="234">
        <v>0.1</v>
      </c>
      <c r="Z44" s="234">
        <f t="shared" ref="Z44:AA44" si="37">Y44</f>
        <v>0.1</v>
      </c>
      <c r="AA44" s="234">
        <f t="shared" si="37"/>
        <v>0.1</v>
      </c>
      <c r="AB44" s="234">
        <v>0.15</v>
      </c>
      <c r="AC44" s="234">
        <v>0.0025</v>
      </c>
      <c r="AD44" s="234">
        <f t="shared" ref="AD44:AN44" si="38">AC44</f>
        <v>0.0025</v>
      </c>
      <c r="AE44" s="234">
        <f t="shared" si="38"/>
        <v>0.0025</v>
      </c>
      <c r="AF44" s="234">
        <f t="shared" si="38"/>
        <v>0.0025</v>
      </c>
      <c r="AG44" s="234">
        <f t="shared" si="38"/>
        <v>0.0025</v>
      </c>
      <c r="AH44" s="234">
        <f t="shared" si="38"/>
        <v>0.0025</v>
      </c>
      <c r="AI44" s="234">
        <f t="shared" si="38"/>
        <v>0.0025</v>
      </c>
      <c r="AJ44" s="234">
        <f t="shared" si="38"/>
        <v>0.0025</v>
      </c>
      <c r="AK44" s="234">
        <f t="shared" si="38"/>
        <v>0.0025</v>
      </c>
      <c r="AL44" s="234">
        <f t="shared" si="38"/>
        <v>0.0025</v>
      </c>
      <c r="AM44" s="234">
        <f t="shared" si="38"/>
        <v>0.0025</v>
      </c>
      <c r="AN44" s="234">
        <f t="shared" si="38"/>
        <v>0.0025</v>
      </c>
      <c r="AO44" s="234">
        <v>0.0015</v>
      </c>
      <c r="AP44" s="234">
        <f t="shared" ref="AP44:AZ44" si="39">AO44</f>
        <v>0.0015</v>
      </c>
      <c r="AQ44" s="234">
        <f t="shared" si="39"/>
        <v>0.0015</v>
      </c>
      <c r="AR44" s="234">
        <f t="shared" si="39"/>
        <v>0.0015</v>
      </c>
      <c r="AS44" s="234">
        <f t="shared" si="39"/>
        <v>0.0015</v>
      </c>
      <c r="AT44" s="234">
        <f t="shared" si="39"/>
        <v>0.0015</v>
      </c>
      <c r="AU44" s="234">
        <f t="shared" si="39"/>
        <v>0.0015</v>
      </c>
      <c r="AV44" s="234">
        <f t="shared" si="39"/>
        <v>0.0015</v>
      </c>
      <c r="AW44" s="234">
        <f t="shared" si="39"/>
        <v>0.0015</v>
      </c>
      <c r="AX44" s="234">
        <f t="shared" si="39"/>
        <v>0.0015</v>
      </c>
      <c r="AY44" s="234">
        <f t="shared" si="39"/>
        <v>0.0015</v>
      </c>
      <c r="AZ44" s="234">
        <f t="shared" si="39"/>
        <v>0.0015</v>
      </c>
      <c r="BA44" s="234">
        <v>0.0015</v>
      </c>
      <c r="BB44" s="234">
        <f t="shared" ref="BB44:BL44" si="40">BA44</f>
        <v>0.0015</v>
      </c>
      <c r="BC44" s="234">
        <f t="shared" si="40"/>
        <v>0.0015</v>
      </c>
      <c r="BD44" s="234">
        <f t="shared" si="40"/>
        <v>0.0015</v>
      </c>
      <c r="BE44" s="234">
        <f t="shared" si="40"/>
        <v>0.0015</v>
      </c>
      <c r="BF44" s="234">
        <f t="shared" si="40"/>
        <v>0.0015</v>
      </c>
      <c r="BG44" s="234">
        <f t="shared" si="40"/>
        <v>0.0015</v>
      </c>
      <c r="BH44" s="234">
        <f t="shared" si="40"/>
        <v>0.0015</v>
      </c>
      <c r="BI44" s="234">
        <f t="shared" si="40"/>
        <v>0.0015</v>
      </c>
      <c r="BJ44" s="234">
        <f t="shared" si="40"/>
        <v>0.0015</v>
      </c>
      <c r="BK44" s="234">
        <f t="shared" si="40"/>
        <v>0.0015</v>
      </c>
      <c r="BL44" s="234">
        <f t="shared" si="40"/>
        <v>0.0015</v>
      </c>
      <c r="BM44" s="234">
        <v>5.0E-4</v>
      </c>
      <c r="BN44" s="234">
        <f t="shared" ref="BN44:BX44" si="41">BM44</f>
        <v>0.0005</v>
      </c>
      <c r="BO44" s="234">
        <f t="shared" si="41"/>
        <v>0.0005</v>
      </c>
      <c r="BP44" s="234">
        <f t="shared" si="41"/>
        <v>0.0005</v>
      </c>
      <c r="BQ44" s="234">
        <f t="shared" si="41"/>
        <v>0.0005</v>
      </c>
      <c r="BR44" s="234">
        <f t="shared" si="41"/>
        <v>0.0005</v>
      </c>
      <c r="BS44" s="234">
        <f t="shared" si="41"/>
        <v>0.0005</v>
      </c>
      <c r="BT44" s="234">
        <f t="shared" si="41"/>
        <v>0.0005</v>
      </c>
      <c r="BU44" s="234">
        <f t="shared" si="41"/>
        <v>0.0005</v>
      </c>
      <c r="BV44" s="234">
        <f t="shared" si="41"/>
        <v>0.0005</v>
      </c>
      <c r="BW44" s="234">
        <f t="shared" si="41"/>
        <v>0.0005</v>
      </c>
      <c r="BX44" s="234">
        <f t="shared" si="41"/>
        <v>0.0005</v>
      </c>
    </row>
    <row r="45" ht="15.75" customHeight="1">
      <c r="A45" s="119" t="s">
        <v>639</v>
      </c>
      <c r="B45" s="124"/>
      <c r="C45" s="124"/>
      <c r="D45" s="124"/>
      <c r="E45" s="371">
        <f t="shared" ref="E45:BX45" si="42">E41*E43</f>
        <v>0</v>
      </c>
      <c r="F45" s="371">
        <f t="shared" si="42"/>
        <v>0</v>
      </c>
      <c r="G45" s="371">
        <f t="shared" si="42"/>
        <v>0</v>
      </c>
      <c r="H45" s="371">
        <f t="shared" si="42"/>
        <v>0</v>
      </c>
      <c r="I45" s="371">
        <f t="shared" si="42"/>
        <v>0</v>
      </c>
      <c r="J45" s="371">
        <f t="shared" si="42"/>
        <v>0</v>
      </c>
      <c r="K45" s="371">
        <f t="shared" si="42"/>
        <v>0</v>
      </c>
      <c r="L45" s="371">
        <f t="shared" si="42"/>
        <v>0</v>
      </c>
      <c r="M45" s="371">
        <f t="shared" si="42"/>
        <v>0</v>
      </c>
      <c r="N45" s="371">
        <f t="shared" si="42"/>
        <v>110275</v>
      </c>
      <c r="O45" s="371">
        <f t="shared" si="42"/>
        <v>95608.425</v>
      </c>
      <c r="P45" s="371">
        <f t="shared" si="42"/>
        <v>98495.79944</v>
      </c>
      <c r="Q45" s="371">
        <f t="shared" si="42"/>
        <v>124350.9468</v>
      </c>
      <c r="R45" s="371">
        <f t="shared" si="42"/>
        <v>130618.2345</v>
      </c>
      <c r="S45" s="371">
        <f t="shared" si="42"/>
        <v>137201.3935</v>
      </c>
      <c r="T45" s="371">
        <f t="shared" si="42"/>
        <v>144116.3438</v>
      </c>
      <c r="U45" s="371">
        <f t="shared" si="42"/>
        <v>148468.6573</v>
      </c>
      <c r="V45" s="371">
        <f t="shared" si="42"/>
        <v>152952.4108</v>
      </c>
      <c r="W45" s="371">
        <f t="shared" si="42"/>
        <v>157571.5736</v>
      </c>
      <c r="X45" s="371">
        <f t="shared" si="42"/>
        <v>159783.8785</v>
      </c>
      <c r="Y45" s="371">
        <f t="shared" si="42"/>
        <v>176465.3154</v>
      </c>
      <c r="Z45" s="371">
        <f t="shared" si="42"/>
        <v>194888.2943</v>
      </c>
      <c r="AA45" s="371">
        <f t="shared" si="42"/>
        <v>215234.6323</v>
      </c>
      <c r="AB45" s="371">
        <f t="shared" si="42"/>
        <v>251480.1443</v>
      </c>
      <c r="AC45" s="371">
        <f t="shared" si="42"/>
        <v>201687.0758</v>
      </c>
      <c r="AD45" s="371">
        <f t="shared" si="42"/>
        <v>203000.0586</v>
      </c>
      <c r="AE45" s="371">
        <f t="shared" si="42"/>
        <v>204321.589</v>
      </c>
      <c r="AF45" s="371">
        <f t="shared" si="42"/>
        <v>205651.7225</v>
      </c>
      <c r="AG45" s="371">
        <f t="shared" si="42"/>
        <v>206990.5153</v>
      </c>
      <c r="AH45" s="371">
        <f t="shared" si="42"/>
        <v>208338.0235</v>
      </c>
      <c r="AI45" s="371">
        <f t="shared" si="42"/>
        <v>209694.304</v>
      </c>
      <c r="AJ45" s="371">
        <f t="shared" si="42"/>
        <v>211059.414</v>
      </c>
      <c r="AK45" s="371">
        <f t="shared" si="42"/>
        <v>212433.4107</v>
      </c>
      <c r="AL45" s="371">
        <f t="shared" si="42"/>
        <v>213816.3523</v>
      </c>
      <c r="AM45" s="371">
        <f t="shared" si="42"/>
        <v>215208.2967</v>
      </c>
      <c r="AN45" s="371">
        <f t="shared" si="42"/>
        <v>216609.3027</v>
      </c>
      <c r="AO45" s="371">
        <f t="shared" si="42"/>
        <v>217801.9535</v>
      </c>
      <c r="AP45" s="371">
        <f t="shared" si="42"/>
        <v>219001.1711</v>
      </c>
      <c r="AQ45" s="371">
        <f t="shared" si="42"/>
        <v>220206.9915</v>
      </c>
      <c r="AR45" s="371">
        <f t="shared" si="42"/>
        <v>221419.4512</v>
      </c>
      <c r="AS45" s="371">
        <f t="shared" si="42"/>
        <v>222638.5867</v>
      </c>
      <c r="AT45" s="371">
        <f t="shared" si="42"/>
        <v>223864.4348</v>
      </c>
      <c r="AU45" s="371">
        <f t="shared" si="42"/>
        <v>225097.0324</v>
      </c>
      <c r="AV45" s="371">
        <f t="shared" si="42"/>
        <v>226336.4166</v>
      </c>
      <c r="AW45" s="371">
        <f t="shared" si="42"/>
        <v>227582.6249</v>
      </c>
      <c r="AX45" s="371">
        <f t="shared" si="42"/>
        <v>228835.6949</v>
      </c>
      <c r="AY45" s="371">
        <f t="shared" si="42"/>
        <v>230095.6642</v>
      </c>
      <c r="AZ45" s="371">
        <f t="shared" si="42"/>
        <v>231362.5709</v>
      </c>
      <c r="BA45" s="371">
        <f t="shared" si="42"/>
        <v>210855.7495</v>
      </c>
      <c r="BB45" s="371">
        <f t="shared" si="42"/>
        <v>212016.7212</v>
      </c>
      <c r="BC45" s="371">
        <f t="shared" si="42"/>
        <v>213184.0853</v>
      </c>
      <c r="BD45" s="371">
        <f t="shared" si="42"/>
        <v>214357.8769</v>
      </c>
      <c r="BE45" s="371">
        <f t="shared" si="42"/>
        <v>215538.1313</v>
      </c>
      <c r="BF45" s="371">
        <f t="shared" si="42"/>
        <v>216724.8843</v>
      </c>
      <c r="BG45" s="371">
        <f t="shared" si="42"/>
        <v>217918.1715</v>
      </c>
      <c r="BH45" s="371">
        <f t="shared" si="42"/>
        <v>219118.0289</v>
      </c>
      <c r="BI45" s="371">
        <f t="shared" si="42"/>
        <v>220324.4928</v>
      </c>
      <c r="BJ45" s="371">
        <f t="shared" si="42"/>
        <v>221537.5995</v>
      </c>
      <c r="BK45" s="371">
        <f t="shared" si="42"/>
        <v>222757.3855</v>
      </c>
      <c r="BL45" s="371">
        <f t="shared" si="42"/>
        <v>223983.8877</v>
      </c>
      <c r="BM45" s="371">
        <f t="shared" si="42"/>
        <v>224992.2631</v>
      </c>
      <c r="BN45" s="371">
        <f t="shared" si="42"/>
        <v>226005.1783</v>
      </c>
      <c r="BO45" s="371">
        <f t="shared" si="42"/>
        <v>227022.6536</v>
      </c>
      <c r="BP45" s="371">
        <f t="shared" si="42"/>
        <v>228044.7096</v>
      </c>
      <c r="BQ45" s="371">
        <f t="shared" si="42"/>
        <v>229071.3669</v>
      </c>
      <c r="BR45" s="371">
        <f t="shared" si="42"/>
        <v>230102.6462</v>
      </c>
      <c r="BS45" s="371">
        <f t="shared" si="42"/>
        <v>231138.5683</v>
      </c>
      <c r="BT45" s="371">
        <f t="shared" si="42"/>
        <v>232179.1541</v>
      </c>
      <c r="BU45" s="371">
        <f t="shared" si="42"/>
        <v>233224.4247</v>
      </c>
      <c r="BV45" s="371">
        <f t="shared" si="42"/>
        <v>234274.401</v>
      </c>
      <c r="BW45" s="371">
        <f t="shared" si="42"/>
        <v>235329.1044</v>
      </c>
      <c r="BX45" s="371">
        <f t="shared" si="42"/>
        <v>236388.556</v>
      </c>
    </row>
    <row r="46" ht="15.75" customHeight="1">
      <c r="A46" s="1"/>
      <c r="B46" s="1"/>
      <c r="C46" s="1"/>
      <c r="D46" s="1"/>
      <c r="E46" s="349"/>
      <c r="F46" s="349"/>
      <c r="G46" s="349"/>
      <c r="H46" s="349"/>
      <c r="I46" s="349"/>
      <c r="J46" s="349"/>
      <c r="K46" s="349"/>
      <c r="L46" s="349"/>
      <c r="M46" s="349"/>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row>
    <row r="47" ht="15.75" customHeight="1">
      <c r="A47" s="1"/>
      <c r="B47" s="1"/>
      <c r="C47" s="1"/>
      <c r="D47" s="1"/>
      <c r="E47" s="349"/>
      <c r="F47" s="349"/>
      <c r="G47" s="349"/>
      <c r="H47" s="349"/>
      <c r="I47" s="349"/>
      <c r="J47" s="349"/>
      <c r="K47" s="349"/>
      <c r="L47" s="349"/>
      <c r="M47" s="349"/>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198"/>
      <c r="BW47" s="198"/>
      <c r="BX47" s="198"/>
    </row>
    <row r="48" ht="15.75" customHeight="1">
      <c r="A48" s="1" t="s">
        <v>642</v>
      </c>
      <c r="B48" s="1"/>
      <c r="C48" s="1"/>
      <c r="D48" s="1"/>
      <c r="E48" s="349">
        <f t="shared" ref="E48:BX48" si="43">E22</f>
        <v>50000</v>
      </c>
      <c r="F48" s="349">
        <f t="shared" si="43"/>
        <v>300000</v>
      </c>
      <c r="G48" s="349">
        <f t="shared" si="43"/>
        <v>400000</v>
      </c>
      <c r="H48" s="349">
        <f t="shared" si="43"/>
        <v>1000000</v>
      </c>
      <c r="I48" s="349">
        <f t="shared" si="43"/>
        <v>350000</v>
      </c>
      <c r="J48" s="349">
        <f t="shared" si="43"/>
        <v>300000</v>
      </c>
      <c r="K48" s="349">
        <f t="shared" si="43"/>
        <v>600000</v>
      </c>
      <c r="L48" s="349">
        <f t="shared" si="43"/>
        <v>500000</v>
      </c>
      <c r="M48" s="349">
        <f t="shared" si="43"/>
        <v>300000</v>
      </c>
      <c r="N48" s="349">
        <f t="shared" si="43"/>
        <v>200000</v>
      </c>
      <c r="O48" s="349">
        <f t="shared" si="43"/>
        <v>400000</v>
      </c>
      <c r="P48" s="198">
        <f t="shared" si="43"/>
        <v>280000</v>
      </c>
      <c r="Q48" s="198">
        <f t="shared" si="43"/>
        <v>313600</v>
      </c>
      <c r="R48" s="198">
        <f t="shared" si="43"/>
        <v>460992</v>
      </c>
      <c r="S48" s="198">
        <f t="shared" si="43"/>
        <v>636168.96</v>
      </c>
      <c r="T48" s="198">
        <f t="shared" si="43"/>
        <v>771036.7795</v>
      </c>
      <c r="U48" s="198">
        <f t="shared" si="43"/>
        <v>809897.0332</v>
      </c>
      <c r="V48" s="198">
        <f t="shared" si="43"/>
        <v>826175.9636</v>
      </c>
      <c r="W48" s="198">
        <f t="shared" si="43"/>
        <v>842782.1004</v>
      </c>
      <c r="X48" s="198">
        <f t="shared" si="43"/>
        <v>859722.0207</v>
      </c>
      <c r="Y48" s="198">
        <f t="shared" si="43"/>
        <v>911735.2029</v>
      </c>
      <c r="Z48" s="198">
        <f t="shared" si="43"/>
        <v>930061.0805</v>
      </c>
      <c r="AA48" s="198">
        <f t="shared" si="43"/>
        <v>948755.3082</v>
      </c>
      <c r="AB48" s="198">
        <f t="shared" si="43"/>
        <v>967825.2899</v>
      </c>
      <c r="AC48" s="198">
        <f t="shared" si="43"/>
        <v>705198.9845</v>
      </c>
      <c r="AD48" s="198">
        <f t="shared" si="43"/>
        <v>899216.855</v>
      </c>
      <c r="AE48" s="198">
        <f t="shared" si="43"/>
        <v>910025.4416</v>
      </c>
      <c r="AF48" s="198">
        <f t="shared" si="43"/>
        <v>920963.9475</v>
      </c>
      <c r="AG48" s="198">
        <f t="shared" si="43"/>
        <v>932033.9341</v>
      </c>
      <c r="AH48" s="198">
        <f t="shared" si="43"/>
        <v>943236.982</v>
      </c>
      <c r="AI48" s="198">
        <f t="shared" si="43"/>
        <v>954574.6905</v>
      </c>
      <c r="AJ48" s="198">
        <f t="shared" si="43"/>
        <v>966048.6783</v>
      </c>
      <c r="AK48" s="198">
        <f t="shared" si="43"/>
        <v>977660.5834</v>
      </c>
      <c r="AL48" s="198">
        <f t="shared" si="43"/>
        <v>989412.0636</v>
      </c>
      <c r="AM48" s="198">
        <f t="shared" si="43"/>
        <v>1001304.797</v>
      </c>
      <c r="AN48" s="198">
        <f t="shared" si="43"/>
        <v>1013340.48</v>
      </c>
      <c r="AO48" s="198">
        <f t="shared" si="43"/>
        <v>1025520.833</v>
      </c>
      <c r="AP48" s="198">
        <f t="shared" si="43"/>
        <v>1037847.593</v>
      </c>
      <c r="AQ48" s="198">
        <f t="shared" si="43"/>
        <v>1050322.521</v>
      </c>
      <c r="AR48" s="198">
        <f t="shared" si="43"/>
        <v>1062947.398</v>
      </c>
      <c r="AS48" s="198">
        <f t="shared" si="43"/>
        <v>1075724.026</v>
      </c>
      <c r="AT48" s="198">
        <f t="shared" si="43"/>
        <v>1088654.229</v>
      </c>
      <c r="AU48" s="198">
        <f t="shared" si="43"/>
        <v>1101739.852</v>
      </c>
      <c r="AV48" s="198">
        <f t="shared" si="43"/>
        <v>1114982.765</v>
      </c>
      <c r="AW48" s="198">
        <f t="shared" si="43"/>
        <v>1128384.858</v>
      </c>
      <c r="AX48" s="198">
        <f t="shared" si="43"/>
        <v>1141948.044</v>
      </c>
      <c r="AY48" s="198">
        <f t="shared" si="43"/>
        <v>1155674.26</v>
      </c>
      <c r="AZ48" s="198">
        <f t="shared" si="43"/>
        <v>1169565.464</v>
      </c>
      <c r="BA48" s="198">
        <f t="shared" si="43"/>
        <v>1183623.641</v>
      </c>
      <c r="BB48" s="198">
        <f t="shared" si="43"/>
        <v>1197850.797</v>
      </c>
      <c r="BC48" s="198">
        <f t="shared" si="43"/>
        <v>1088846.375</v>
      </c>
      <c r="BD48" s="198">
        <f t="shared" si="43"/>
        <v>1101934.308</v>
      </c>
      <c r="BE48" s="198">
        <f t="shared" si="43"/>
        <v>1115179.559</v>
      </c>
      <c r="BF48" s="198">
        <f t="shared" si="43"/>
        <v>1128584.017</v>
      </c>
      <c r="BG48" s="198">
        <f t="shared" si="43"/>
        <v>1142149.597</v>
      </c>
      <c r="BH48" s="198">
        <f t="shared" si="43"/>
        <v>1155878.235</v>
      </c>
      <c r="BI48" s="198">
        <f t="shared" si="43"/>
        <v>1169771.891</v>
      </c>
      <c r="BJ48" s="198">
        <f t="shared" si="43"/>
        <v>1183832.549</v>
      </c>
      <c r="BK48" s="198">
        <f t="shared" si="43"/>
        <v>1198062.217</v>
      </c>
      <c r="BL48" s="198">
        <f t="shared" si="43"/>
        <v>1212462.925</v>
      </c>
      <c r="BM48" s="198">
        <f t="shared" si="43"/>
        <v>1227036.729</v>
      </c>
      <c r="BN48" s="198">
        <f t="shared" si="43"/>
        <v>1241785.71</v>
      </c>
      <c r="BO48" s="198">
        <f t="shared" si="43"/>
        <v>1128783.211</v>
      </c>
      <c r="BP48" s="198">
        <f t="shared" si="43"/>
        <v>1142351.185</v>
      </c>
      <c r="BQ48" s="198">
        <f t="shared" si="43"/>
        <v>1156082.246</v>
      </c>
      <c r="BR48" s="198">
        <f t="shared" si="43"/>
        <v>1169978.355</v>
      </c>
      <c r="BS48" s="198">
        <f t="shared" si="43"/>
        <v>1184041.495</v>
      </c>
      <c r="BT48" s="198">
        <f t="shared" si="43"/>
        <v>1198273.673</v>
      </c>
      <c r="BU48" s="198">
        <f t="shared" si="43"/>
        <v>1212676.923</v>
      </c>
      <c r="BV48" s="198">
        <f t="shared" si="43"/>
        <v>1227253.3</v>
      </c>
      <c r="BW48" s="198">
        <f t="shared" si="43"/>
        <v>1242004.884</v>
      </c>
      <c r="BX48" s="198">
        <f t="shared" si="43"/>
        <v>1256933.783</v>
      </c>
    </row>
    <row r="49" ht="15.75" customHeight="1">
      <c r="A49" s="1" t="s">
        <v>632</v>
      </c>
      <c r="B49" s="1"/>
      <c r="C49" s="1"/>
      <c r="D49" s="1"/>
      <c r="E49" s="264">
        <v>0.0</v>
      </c>
      <c r="F49" s="264">
        <v>0.0</v>
      </c>
      <c r="G49" s="264">
        <v>0.0</v>
      </c>
      <c r="H49" s="264">
        <v>0.0</v>
      </c>
      <c r="I49" s="264">
        <v>0.0</v>
      </c>
      <c r="J49" s="264">
        <v>0.0</v>
      </c>
      <c r="K49" s="264">
        <v>0.0</v>
      </c>
      <c r="L49" s="264">
        <f>L52-SUM(L48,L50)</f>
        <v>396000</v>
      </c>
      <c r="M49" s="264">
        <f t="shared" ref="M49:BX49" si="44">M31</f>
        <v>25000</v>
      </c>
      <c r="N49" s="349">
        <f t="shared" si="44"/>
        <v>101718</v>
      </c>
      <c r="O49" s="349">
        <f t="shared" si="44"/>
        <v>66080.9034</v>
      </c>
      <c r="P49" s="198">
        <f t="shared" si="44"/>
        <v>201226.263</v>
      </c>
      <c r="Q49" s="198">
        <f t="shared" si="44"/>
        <v>204254.7183</v>
      </c>
      <c r="R49" s="198">
        <f t="shared" si="44"/>
        <v>190051.3558</v>
      </c>
      <c r="S49" s="198">
        <f t="shared" si="44"/>
        <v>192911.6287</v>
      </c>
      <c r="T49" s="198">
        <f t="shared" si="44"/>
        <v>195814.9487</v>
      </c>
      <c r="U49" s="198">
        <f t="shared" si="44"/>
        <v>198761.9637</v>
      </c>
      <c r="V49" s="198">
        <f t="shared" si="44"/>
        <v>201753.3312</v>
      </c>
      <c r="W49" s="198">
        <f t="shared" si="44"/>
        <v>204789.7189</v>
      </c>
      <c r="X49" s="198">
        <f t="shared" si="44"/>
        <v>207871.8041</v>
      </c>
      <c r="Y49" s="198">
        <f t="shared" si="44"/>
        <v>219356.7213</v>
      </c>
      <c r="Z49" s="198">
        <f t="shared" si="44"/>
        <v>231476.1802</v>
      </c>
      <c r="AA49" s="198">
        <f t="shared" si="44"/>
        <v>244265.2391</v>
      </c>
      <c r="AB49" s="198">
        <f t="shared" si="44"/>
        <v>260325.6786</v>
      </c>
      <c r="AC49" s="198">
        <f t="shared" si="44"/>
        <v>120110.7182</v>
      </c>
      <c r="AD49" s="198">
        <f t="shared" si="44"/>
        <v>121918.3845</v>
      </c>
      <c r="AE49" s="198">
        <f t="shared" si="44"/>
        <v>123753.2562</v>
      </c>
      <c r="AF49" s="198">
        <f t="shared" si="44"/>
        <v>125615.7427</v>
      </c>
      <c r="AG49" s="198">
        <f t="shared" si="44"/>
        <v>127506.2596</v>
      </c>
      <c r="AH49" s="198">
        <f t="shared" si="44"/>
        <v>129425.2288</v>
      </c>
      <c r="AI49" s="198">
        <f t="shared" si="44"/>
        <v>131373.0785</v>
      </c>
      <c r="AJ49" s="198">
        <f t="shared" si="44"/>
        <v>133350.2434</v>
      </c>
      <c r="AK49" s="198">
        <f t="shared" si="44"/>
        <v>135357.1645</v>
      </c>
      <c r="AL49" s="198">
        <f t="shared" si="44"/>
        <v>137394.2899</v>
      </c>
      <c r="AM49" s="198">
        <f t="shared" si="44"/>
        <v>139462.0739</v>
      </c>
      <c r="AN49" s="198">
        <f t="shared" si="44"/>
        <v>141560.9781</v>
      </c>
      <c r="AO49" s="198">
        <f t="shared" si="44"/>
        <v>143691.4709</v>
      </c>
      <c r="AP49" s="198">
        <f t="shared" si="44"/>
        <v>145418.6423</v>
      </c>
      <c r="AQ49" s="198">
        <f t="shared" si="44"/>
        <v>147166.5744</v>
      </c>
      <c r="AR49" s="198">
        <f t="shared" si="44"/>
        <v>148935.5166</v>
      </c>
      <c r="AS49" s="198">
        <f t="shared" si="44"/>
        <v>150725.7215</v>
      </c>
      <c r="AT49" s="198">
        <f t="shared" si="44"/>
        <v>152537.4447</v>
      </c>
      <c r="AU49" s="198">
        <f t="shared" si="44"/>
        <v>154370.9448</v>
      </c>
      <c r="AV49" s="198">
        <f t="shared" si="44"/>
        <v>156226.4836</v>
      </c>
      <c r="AW49" s="198">
        <f t="shared" si="44"/>
        <v>158104.3259</v>
      </c>
      <c r="AX49" s="198">
        <f t="shared" si="44"/>
        <v>160004.7399</v>
      </c>
      <c r="AY49" s="198">
        <f t="shared" si="44"/>
        <v>161927.9969</v>
      </c>
      <c r="AZ49" s="198">
        <f t="shared" si="44"/>
        <v>163874.3714</v>
      </c>
      <c r="BA49" s="198">
        <f t="shared" si="44"/>
        <v>182293.8507</v>
      </c>
      <c r="BB49" s="198">
        <f t="shared" si="44"/>
        <v>188232.0729</v>
      </c>
      <c r="BC49" s="198">
        <f t="shared" si="44"/>
        <v>194363.7327</v>
      </c>
      <c r="BD49" s="198">
        <f t="shared" si="44"/>
        <v>200695.1313</v>
      </c>
      <c r="BE49" s="198">
        <f t="shared" si="44"/>
        <v>207232.7752</v>
      </c>
      <c r="BF49" s="198">
        <f t="shared" si="44"/>
        <v>213983.3828</v>
      </c>
      <c r="BG49" s="198">
        <f t="shared" si="44"/>
        <v>220953.8915</v>
      </c>
      <c r="BH49" s="198">
        <f t="shared" si="44"/>
        <v>228151.4646</v>
      </c>
      <c r="BI49" s="198">
        <f t="shared" si="44"/>
        <v>235583.4985</v>
      </c>
      <c r="BJ49" s="198">
        <f t="shared" si="44"/>
        <v>243257.631</v>
      </c>
      <c r="BK49" s="198">
        <f t="shared" si="44"/>
        <v>251181.7483</v>
      </c>
      <c r="BL49" s="198">
        <f t="shared" si="44"/>
        <v>259363.9938</v>
      </c>
      <c r="BM49" s="198">
        <f t="shared" si="44"/>
        <v>294687.6406</v>
      </c>
      <c r="BN49" s="198">
        <f t="shared" si="44"/>
        <v>286990.3994</v>
      </c>
      <c r="BO49" s="198">
        <f t="shared" si="44"/>
        <v>279494.2102</v>
      </c>
      <c r="BP49" s="198">
        <f t="shared" si="44"/>
        <v>272193.8214</v>
      </c>
      <c r="BQ49" s="198">
        <f t="shared" si="44"/>
        <v>265084.1188</v>
      </c>
      <c r="BR49" s="198">
        <f t="shared" si="44"/>
        <v>258160.1216</v>
      </c>
      <c r="BS49" s="198">
        <f t="shared" si="44"/>
        <v>251416.9793</v>
      </c>
      <c r="BT49" s="198">
        <f t="shared" si="44"/>
        <v>244849.9678</v>
      </c>
      <c r="BU49" s="198">
        <f t="shared" si="44"/>
        <v>238454.4866</v>
      </c>
      <c r="BV49" s="198">
        <f t="shared" si="44"/>
        <v>232226.0554</v>
      </c>
      <c r="BW49" s="198">
        <f t="shared" si="44"/>
        <v>226160.3108</v>
      </c>
      <c r="BX49" s="198">
        <f t="shared" si="44"/>
        <v>220253.0035</v>
      </c>
    </row>
    <row r="50" ht="15.75" customHeight="1">
      <c r="A50" s="1" t="s">
        <v>638</v>
      </c>
      <c r="B50" s="1"/>
      <c r="C50" s="1"/>
      <c r="D50" s="1"/>
      <c r="E50" s="349">
        <f t="shared" ref="E50:BX50" si="45">E38</f>
        <v>400000</v>
      </c>
      <c r="F50" s="349">
        <f t="shared" si="45"/>
        <v>400000</v>
      </c>
      <c r="G50" s="349">
        <f t="shared" si="45"/>
        <v>400000</v>
      </c>
      <c r="H50" s="349">
        <f t="shared" si="45"/>
        <v>400000</v>
      </c>
      <c r="I50" s="349">
        <f t="shared" si="45"/>
        <v>400000</v>
      </c>
      <c r="J50" s="349">
        <f t="shared" si="45"/>
        <v>400000</v>
      </c>
      <c r="K50" s="349">
        <f t="shared" si="45"/>
        <v>400000</v>
      </c>
      <c r="L50" s="349">
        <f t="shared" si="45"/>
        <v>400000</v>
      </c>
      <c r="M50" s="349">
        <f t="shared" si="45"/>
        <v>400000</v>
      </c>
      <c r="N50" s="349">
        <f t="shared" si="45"/>
        <v>401000</v>
      </c>
      <c r="O50" s="349">
        <f t="shared" si="45"/>
        <v>402002.5</v>
      </c>
      <c r="P50" s="198">
        <f t="shared" si="45"/>
        <v>64481.201</v>
      </c>
      <c r="Q50" s="198">
        <f t="shared" si="45"/>
        <v>77570.8848</v>
      </c>
      <c r="R50" s="198">
        <f t="shared" si="45"/>
        <v>79320.10826</v>
      </c>
      <c r="S50" s="198">
        <f t="shared" si="45"/>
        <v>81108.7767</v>
      </c>
      <c r="T50" s="198">
        <f t="shared" si="45"/>
        <v>82937.77961</v>
      </c>
      <c r="U50" s="198">
        <f t="shared" si="45"/>
        <v>87980.39661</v>
      </c>
      <c r="V50" s="198">
        <f t="shared" si="45"/>
        <v>89964.35455</v>
      </c>
      <c r="W50" s="198">
        <f t="shared" si="45"/>
        <v>91993.05075</v>
      </c>
      <c r="X50" s="198">
        <f t="shared" si="45"/>
        <v>94067.49404</v>
      </c>
      <c r="Y50" s="198">
        <f t="shared" si="45"/>
        <v>104508.9859</v>
      </c>
      <c r="Z50" s="198">
        <f t="shared" si="45"/>
        <v>115053.9426</v>
      </c>
      <c r="AA50" s="198">
        <f t="shared" si="45"/>
        <v>117366.5268</v>
      </c>
      <c r="AB50" s="198">
        <f t="shared" si="45"/>
        <v>119725.594</v>
      </c>
      <c r="AC50" s="198">
        <f t="shared" si="45"/>
        <v>96019.92638</v>
      </c>
      <c r="AD50" s="198">
        <f t="shared" si="45"/>
        <v>96308.10619</v>
      </c>
      <c r="AE50" s="198">
        <f t="shared" si="45"/>
        <v>96597.15089</v>
      </c>
      <c r="AF50" s="198">
        <f t="shared" si="45"/>
        <v>96887.06309</v>
      </c>
      <c r="AG50" s="198">
        <f t="shared" si="45"/>
        <v>97177.84539</v>
      </c>
      <c r="AH50" s="198">
        <f t="shared" si="45"/>
        <v>97469.5004</v>
      </c>
      <c r="AI50" s="198">
        <f t="shared" si="45"/>
        <v>97762.03073</v>
      </c>
      <c r="AJ50" s="198">
        <f t="shared" si="45"/>
        <v>98055.43903</v>
      </c>
      <c r="AK50" s="198">
        <f t="shared" si="45"/>
        <v>98349.72792</v>
      </c>
      <c r="AL50" s="198">
        <f t="shared" si="45"/>
        <v>98644.90004</v>
      </c>
      <c r="AM50" s="198">
        <f t="shared" si="45"/>
        <v>98940.95804</v>
      </c>
      <c r="AN50" s="198">
        <f t="shared" si="45"/>
        <v>99237.90459</v>
      </c>
      <c r="AO50" s="198">
        <f t="shared" si="45"/>
        <v>99635.22835</v>
      </c>
      <c r="AP50" s="198">
        <f t="shared" si="45"/>
        <v>100034.1429</v>
      </c>
      <c r="AQ50" s="198">
        <f t="shared" si="45"/>
        <v>100434.6546</v>
      </c>
      <c r="AR50" s="198">
        <f t="shared" si="45"/>
        <v>100836.7698</v>
      </c>
      <c r="AS50" s="198">
        <f t="shared" si="45"/>
        <v>101240.4951</v>
      </c>
      <c r="AT50" s="198">
        <f t="shared" si="45"/>
        <v>101645.8367</v>
      </c>
      <c r="AU50" s="198">
        <f t="shared" si="45"/>
        <v>102052.8012</v>
      </c>
      <c r="AV50" s="198">
        <f t="shared" si="45"/>
        <v>102461.3951</v>
      </c>
      <c r="AW50" s="198">
        <f t="shared" si="45"/>
        <v>102871.6249</v>
      </c>
      <c r="AX50" s="198">
        <f t="shared" si="45"/>
        <v>103283.4972</v>
      </c>
      <c r="AY50" s="198">
        <f t="shared" si="45"/>
        <v>103697.0185</v>
      </c>
      <c r="AZ50" s="198">
        <f t="shared" si="45"/>
        <v>104112.1954</v>
      </c>
      <c r="BA50" s="198">
        <f t="shared" si="45"/>
        <v>93841.52736</v>
      </c>
      <c r="BB50" s="198">
        <f t="shared" si="45"/>
        <v>94217.24537</v>
      </c>
      <c r="BC50" s="198">
        <f t="shared" si="45"/>
        <v>94594.46767</v>
      </c>
      <c r="BD50" s="198">
        <f t="shared" si="45"/>
        <v>94973.20027</v>
      </c>
      <c r="BE50" s="198">
        <f t="shared" si="45"/>
        <v>95353.44922</v>
      </c>
      <c r="BF50" s="198">
        <f t="shared" si="45"/>
        <v>95735.22059</v>
      </c>
      <c r="BG50" s="198">
        <f t="shared" si="45"/>
        <v>96118.52048</v>
      </c>
      <c r="BH50" s="198">
        <f t="shared" si="45"/>
        <v>96503.35501</v>
      </c>
      <c r="BI50" s="198">
        <f t="shared" si="45"/>
        <v>96889.73031</v>
      </c>
      <c r="BJ50" s="198">
        <f t="shared" si="45"/>
        <v>97277.65257</v>
      </c>
      <c r="BK50" s="198">
        <f t="shared" si="45"/>
        <v>97667.12797</v>
      </c>
      <c r="BL50" s="198">
        <f t="shared" si="45"/>
        <v>98058.16274</v>
      </c>
      <c r="BM50" s="198">
        <f t="shared" si="45"/>
        <v>98352.4598</v>
      </c>
      <c r="BN50" s="198">
        <f t="shared" si="45"/>
        <v>98647.64012</v>
      </c>
      <c r="BO50" s="198">
        <f t="shared" si="45"/>
        <v>98943.70635</v>
      </c>
      <c r="BP50" s="198">
        <f t="shared" si="45"/>
        <v>99240.66115</v>
      </c>
      <c r="BQ50" s="198">
        <f t="shared" si="45"/>
        <v>99538.50718</v>
      </c>
      <c r="BR50" s="198">
        <f t="shared" si="45"/>
        <v>99837.24713</v>
      </c>
      <c r="BS50" s="198">
        <f t="shared" si="45"/>
        <v>100136.8837</v>
      </c>
      <c r="BT50" s="198">
        <f t="shared" si="45"/>
        <v>100437.4195</v>
      </c>
      <c r="BU50" s="198">
        <f t="shared" si="45"/>
        <v>100738.8573</v>
      </c>
      <c r="BV50" s="198">
        <f t="shared" si="45"/>
        <v>101041.1998</v>
      </c>
      <c r="BW50" s="198">
        <f t="shared" si="45"/>
        <v>101344.4497</v>
      </c>
      <c r="BX50" s="198">
        <f t="shared" si="45"/>
        <v>101648.6097</v>
      </c>
    </row>
    <row r="51" ht="15.75" customHeight="1">
      <c r="A51" s="1" t="s">
        <v>643</v>
      </c>
      <c r="B51" s="374"/>
      <c r="C51" s="374"/>
      <c r="D51" s="374"/>
      <c r="E51" s="349">
        <f t="shared" ref="E51:N51" si="46">E52-SUM(E48:E50)</f>
        <v>-127450</v>
      </c>
      <c r="F51" s="349">
        <f t="shared" si="46"/>
        <v>-68950</v>
      </c>
      <c r="G51" s="349">
        <f t="shared" si="46"/>
        <v>-465300</v>
      </c>
      <c r="H51" s="349">
        <f t="shared" si="46"/>
        <v>-544700</v>
      </c>
      <c r="I51" s="349">
        <f t="shared" si="46"/>
        <v>298125</v>
      </c>
      <c r="J51" s="349">
        <f t="shared" si="46"/>
        <v>-190927</v>
      </c>
      <c r="K51" s="349">
        <f t="shared" si="46"/>
        <v>-420975</v>
      </c>
      <c r="L51" s="349">
        <f t="shared" si="46"/>
        <v>0</v>
      </c>
      <c r="M51" s="349">
        <f t="shared" si="46"/>
        <v>0</v>
      </c>
      <c r="N51" s="349">
        <f t="shared" si="46"/>
        <v>-333218</v>
      </c>
      <c r="O51" s="349">
        <f t="shared" ref="O51:BX51" si="47">O45</f>
        <v>95608.425</v>
      </c>
      <c r="P51" s="198">
        <f t="shared" si="47"/>
        <v>98495.79944</v>
      </c>
      <c r="Q51" s="198">
        <f t="shared" si="47"/>
        <v>124350.9468</v>
      </c>
      <c r="R51" s="198">
        <f t="shared" si="47"/>
        <v>130618.2345</v>
      </c>
      <c r="S51" s="198">
        <f t="shared" si="47"/>
        <v>137201.3935</v>
      </c>
      <c r="T51" s="198">
        <f t="shared" si="47"/>
        <v>144116.3438</v>
      </c>
      <c r="U51" s="198">
        <f t="shared" si="47"/>
        <v>148468.6573</v>
      </c>
      <c r="V51" s="198">
        <f t="shared" si="47"/>
        <v>152952.4108</v>
      </c>
      <c r="W51" s="198">
        <f t="shared" si="47"/>
        <v>157571.5736</v>
      </c>
      <c r="X51" s="198">
        <f t="shared" si="47"/>
        <v>159783.8785</v>
      </c>
      <c r="Y51" s="198">
        <f t="shared" si="47"/>
        <v>176465.3154</v>
      </c>
      <c r="Z51" s="198">
        <f t="shared" si="47"/>
        <v>194888.2943</v>
      </c>
      <c r="AA51" s="198">
        <f t="shared" si="47"/>
        <v>215234.6323</v>
      </c>
      <c r="AB51" s="198">
        <f t="shared" si="47"/>
        <v>251480.1443</v>
      </c>
      <c r="AC51" s="198">
        <f t="shared" si="47"/>
        <v>201687.0758</v>
      </c>
      <c r="AD51" s="198">
        <f t="shared" si="47"/>
        <v>203000.0586</v>
      </c>
      <c r="AE51" s="198">
        <f t="shared" si="47"/>
        <v>204321.589</v>
      </c>
      <c r="AF51" s="198">
        <f t="shared" si="47"/>
        <v>205651.7225</v>
      </c>
      <c r="AG51" s="198">
        <f t="shared" si="47"/>
        <v>206990.5153</v>
      </c>
      <c r="AH51" s="198">
        <f t="shared" si="47"/>
        <v>208338.0235</v>
      </c>
      <c r="AI51" s="198">
        <f t="shared" si="47"/>
        <v>209694.304</v>
      </c>
      <c r="AJ51" s="198">
        <f t="shared" si="47"/>
        <v>211059.414</v>
      </c>
      <c r="AK51" s="198">
        <f t="shared" si="47"/>
        <v>212433.4107</v>
      </c>
      <c r="AL51" s="198">
        <f t="shared" si="47"/>
        <v>213816.3523</v>
      </c>
      <c r="AM51" s="198">
        <f t="shared" si="47"/>
        <v>215208.2967</v>
      </c>
      <c r="AN51" s="198">
        <f t="shared" si="47"/>
        <v>216609.3027</v>
      </c>
      <c r="AO51" s="198">
        <f t="shared" si="47"/>
        <v>217801.9535</v>
      </c>
      <c r="AP51" s="198">
        <f t="shared" si="47"/>
        <v>219001.1711</v>
      </c>
      <c r="AQ51" s="198">
        <f t="shared" si="47"/>
        <v>220206.9915</v>
      </c>
      <c r="AR51" s="198">
        <f t="shared" si="47"/>
        <v>221419.4512</v>
      </c>
      <c r="AS51" s="198">
        <f t="shared" si="47"/>
        <v>222638.5867</v>
      </c>
      <c r="AT51" s="198">
        <f t="shared" si="47"/>
        <v>223864.4348</v>
      </c>
      <c r="AU51" s="198">
        <f t="shared" si="47"/>
        <v>225097.0324</v>
      </c>
      <c r="AV51" s="198">
        <f t="shared" si="47"/>
        <v>226336.4166</v>
      </c>
      <c r="AW51" s="198">
        <f t="shared" si="47"/>
        <v>227582.6249</v>
      </c>
      <c r="AX51" s="198">
        <f t="shared" si="47"/>
        <v>228835.6949</v>
      </c>
      <c r="AY51" s="198">
        <f t="shared" si="47"/>
        <v>230095.6642</v>
      </c>
      <c r="AZ51" s="198">
        <f t="shared" si="47"/>
        <v>231362.5709</v>
      </c>
      <c r="BA51" s="198">
        <f t="shared" si="47"/>
        <v>210855.7495</v>
      </c>
      <c r="BB51" s="198">
        <f t="shared" si="47"/>
        <v>212016.7212</v>
      </c>
      <c r="BC51" s="198">
        <f t="shared" si="47"/>
        <v>213184.0853</v>
      </c>
      <c r="BD51" s="198">
        <f t="shared" si="47"/>
        <v>214357.8769</v>
      </c>
      <c r="BE51" s="198">
        <f t="shared" si="47"/>
        <v>215538.1313</v>
      </c>
      <c r="BF51" s="198">
        <f t="shared" si="47"/>
        <v>216724.8843</v>
      </c>
      <c r="BG51" s="198">
        <f t="shared" si="47"/>
        <v>217918.1715</v>
      </c>
      <c r="BH51" s="198">
        <f t="shared" si="47"/>
        <v>219118.0289</v>
      </c>
      <c r="BI51" s="198">
        <f t="shared" si="47"/>
        <v>220324.4928</v>
      </c>
      <c r="BJ51" s="198">
        <f t="shared" si="47"/>
        <v>221537.5995</v>
      </c>
      <c r="BK51" s="198">
        <f t="shared" si="47"/>
        <v>222757.3855</v>
      </c>
      <c r="BL51" s="198">
        <f t="shared" si="47"/>
        <v>223983.8877</v>
      </c>
      <c r="BM51" s="198">
        <f t="shared" si="47"/>
        <v>224992.2631</v>
      </c>
      <c r="BN51" s="198">
        <f t="shared" si="47"/>
        <v>226005.1783</v>
      </c>
      <c r="BO51" s="198">
        <f t="shared" si="47"/>
        <v>227022.6536</v>
      </c>
      <c r="BP51" s="198">
        <f t="shared" si="47"/>
        <v>228044.7096</v>
      </c>
      <c r="BQ51" s="198">
        <f t="shared" si="47"/>
        <v>229071.3669</v>
      </c>
      <c r="BR51" s="198">
        <f t="shared" si="47"/>
        <v>230102.6462</v>
      </c>
      <c r="BS51" s="198">
        <f t="shared" si="47"/>
        <v>231138.5683</v>
      </c>
      <c r="BT51" s="198">
        <f t="shared" si="47"/>
        <v>232179.1541</v>
      </c>
      <c r="BU51" s="198">
        <f t="shared" si="47"/>
        <v>233224.4247</v>
      </c>
      <c r="BV51" s="198">
        <f t="shared" si="47"/>
        <v>234274.401</v>
      </c>
      <c r="BW51" s="198">
        <f t="shared" si="47"/>
        <v>235329.1044</v>
      </c>
      <c r="BX51" s="198">
        <f t="shared" si="47"/>
        <v>236388.556</v>
      </c>
    </row>
    <row r="52" ht="15.75" customHeight="1">
      <c r="A52" s="375" t="s">
        <v>137</v>
      </c>
      <c r="B52" s="375"/>
      <c r="C52" s="375"/>
      <c r="D52" s="375"/>
      <c r="E52" s="375">
        <v>322550.0</v>
      </c>
      <c r="F52" s="375">
        <v>631050.0</v>
      </c>
      <c r="G52" s="375">
        <v>334700.0</v>
      </c>
      <c r="H52" s="375">
        <v>855300.0</v>
      </c>
      <c r="I52" s="375">
        <v>1048125.0</v>
      </c>
      <c r="J52" s="375">
        <v>509073.0</v>
      </c>
      <c r="K52" s="375">
        <v>579025.0</v>
      </c>
      <c r="L52" s="376">
        <v>1296000.0</v>
      </c>
      <c r="M52" s="376">
        <f>SUM(M48:M50)</f>
        <v>725000</v>
      </c>
      <c r="N52" s="376">
        <v>369500.0</v>
      </c>
      <c r="O52" s="376">
        <f t="shared" ref="O52:BX52" si="48">SUM(O48:O51)</f>
        <v>963691.8284</v>
      </c>
      <c r="P52" s="376">
        <f t="shared" si="48"/>
        <v>644203.2634</v>
      </c>
      <c r="Q52" s="376">
        <f t="shared" si="48"/>
        <v>719776.5498</v>
      </c>
      <c r="R52" s="376">
        <f t="shared" si="48"/>
        <v>860981.6985</v>
      </c>
      <c r="S52" s="376">
        <f t="shared" si="48"/>
        <v>1047390.759</v>
      </c>
      <c r="T52" s="376">
        <f t="shared" si="48"/>
        <v>1193905.852</v>
      </c>
      <c r="U52" s="376">
        <f t="shared" si="48"/>
        <v>1245108.051</v>
      </c>
      <c r="V52" s="376">
        <f t="shared" si="48"/>
        <v>1270846.06</v>
      </c>
      <c r="W52" s="376">
        <f t="shared" si="48"/>
        <v>1297136.444</v>
      </c>
      <c r="X52" s="376">
        <f t="shared" si="48"/>
        <v>1321445.197</v>
      </c>
      <c r="Y52" s="376">
        <f t="shared" si="48"/>
        <v>1412066.226</v>
      </c>
      <c r="Z52" s="376">
        <f t="shared" si="48"/>
        <v>1471479.498</v>
      </c>
      <c r="AA52" s="376">
        <f t="shared" si="48"/>
        <v>1525621.706</v>
      </c>
      <c r="AB52" s="376">
        <f t="shared" si="48"/>
        <v>1599356.707</v>
      </c>
      <c r="AC52" s="376">
        <f t="shared" si="48"/>
        <v>1123016.705</v>
      </c>
      <c r="AD52" s="376">
        <f t="shared" si="48"/>
        <v>1320443.404</v>
      </c>
      <c r="AE52" s="376">
        <f t="shared" si="48"/>
        <v>1334697.438</v>
      </c>
      <c r="AF52" s="376">
        <f t="shared" si="48"/>
        <v>1349118.476</v>
      </c>
      <c r="AG52" s="376">
        <f t="shared" si="48"/>
        <v>1363708.554</v>
      </c>
      <c r="AH52" s="376">
        <f t="shared" si="48"/>
        <v>1378469.735</v>
      </c>
      <c r="AI52" s="376">
        <f t="shared" si="48"/>
        <v>1393404.104</v>
      </c>
      <c r="AJ52" s="376">
        <f t="shared" si="48"/>
        <v>1408513.775</v>
      </c>
      <c r="AK52" s="376">
        <f t="shared" si="48"/>
        <v>1423800.887</v>
      </c>
      <c r="AL52" s="376">
        <f t="shared" si="48"/>
        <v>1439267.606</v>
      </c>
      <c r="AM52" s="376">
        <f t="shared" si="48"/>
        <v>1454916.125</v>
      </c>
      <c r="AN52" s="376">
        <f t="shared" si="48"/>
        <v>1470748.666</v>
      </c>
      <c r="AO52" s="376">
        <f t="shared" si="48"/>
        <v>1486649.486</v>
      </c>
      <c r="AP52" s="376">
        <f t="shared" si="48"/>
        <v>1502301.55</v>
      </c>
      <c r="AQ52" s="376">
        <f t="shared" si="48"/>
        <v>1518130.742</v>
      </c>
      <c r="AR52" s="376">
        <f t="shared" si="48"/>
        <v>1534139.136</v>
      </c>
      <c r="AS52" s="376">
        <f t="shared" si="48"/>
        <v>1550328.829</v>
      </c>
      <c r="AT52" s="376">
        <f t="shared" si="48"/>
        <v>1566701.945</v>
      </c>
      <c r="AU52" s="376">
        <f t="shared" si="48"/>
        <v>1583260.631</v>
      </c>
      <c r="AV52" s="376">
        <f t="shared" si="48"/>
        <v>1600007.061</v>
      </c>
      <c r="AW52" s="376">
        <f t="shared" si="48"/>
        <v>1616943.434</v>
      </c>
      <c r="AX52" s="376">
        <f t="shared" si="48"/>
        <v>1634071.976</v>
      </c>
      <c r="AY52" s="376">
        <f t="shared" si="48"/>
        <v>1651394.939</v>
      </c>
      <c r="AZ52" s="376">
        <f t="shared" si="48"/>
        <v>1668914.602</v>
      </c>
      <c r="BA52" s="376">
        <f t="shared" si="48"/>
        <v>1670614.769</v>
      </c>
      <c r="BB52" s="376">
        <f t="shared" si="48"/>
        <v>1692316.837</v>
      </c>
      <c r="BC52" s="376">
        <f t="shared" si="48"/>
        <v>1590988.66</v>
      </c>
      <c r="BD52" s="376">
        <f t="shared" si="48"/>
        <v>1611960.517</v>
      </c>
      <c r="BE52" s="376">
        <f t="shared" si="48"/>
        <v>1633303.914</v>
      </c>
      <c r="BF52" s="376">
        <f t="shared" si="48"/>
        <v>1655027.505</v>
      </c>
      <c r="BG52" s="376">
        <f t="shared" si="48"/>
        <v>1677140.18</v>
      </c>
      <c r="BH52" s="376">
        <f t="shared" si="48"/>
        <v>1699651.083</v>
      </c>
      <c r="BI52" s="376">
        <f t="shared" si="48"/>
        <v>1722569.613</v>
      </c>
      <c r="BJ52" s="376">
        <f t="shared" si="48"/>
        <v>1745905.433</v>
      </c>
      <c r="BK52" s="376">
        <f t="shared" si="48"/>
        <v>1769668.479</v>
      </c>
      <c r="BL52" s="376">
        <f t="shared" si="48"/>
        <v>1793868.969</v>
      </c>
      <c r="BM52" s="376">
        <f t="shared" si="48"/>
        <v>1845069.092</v>
      </c>
      <c r="BN52" s="376">
        <f t="shared" si="48"/>
        <v>1853428.928</v>
      </c>
      <c r="BO52" s="376">
        <f t="shared" si="48"/>
        <v>1734243.781</v>
      </c>
      <c r="BP52" s="376">
        <f t="shared" si="48"/>
        <v>1741830.377</v>
      </c>
      <c r="BQ52" s="376">
        <f t="shared" si="48"/>
        <v>1749776.239</v>
      </c>
      <c r="BR52" s="376">
        <f t="shared" si="48"/>
        <v>1758078.37</v>
      </c>
      <c r="BS52" s="376">
        <f t="shared" si="48"/>
        <v>1766733.926</v>
      </c>
      <c r="BT52" s="376">
        <f t="shared" si="48"/>
        <v>1775740.215</v>
      </c>
      <c r="BU52" s="376">
        <f t="shared" si="48"/>
        <v>1785094.692</v>
      </c>
      <c r="BV52" s="376">
        <f t="shared" si="48"/>
        <v>1794794.956</v>
      </c>
      <c r="BW52" s="376">
        <f t="shared" si="48"/>
        <v>1804838.749</v>
      </c>
      <c r="BX52" s="376">
        <f t="shared" si="48"/>
        <v>1815223.952</v>
      </c>
    </row>
    <row r="53" ht="15.75" customHeight="1">
      <c r="A53" s="1" t="s">
        <v>138</v>
      </c>
      <c r="B53" s="1"/>
      <c r="C53" s="1"/>
      <c r="D53" s="1"/>
      <c r="E53" s="1"/>
      <c r="F53" s="198">
        <f t="shared" ref="F53:BX53" si="49">F52-E52</f>
        <v>308500</v>
      </c>
      <c r="G53" s="198">
        <f t="shared" si="49"/>
        <v>-296350</v>
      </c>
      <c r="H53" s="198">
        <f t="shared" si="49"/>
        <v>520600</v>
      </c>
      <c r="I53" s="198">
        <f t="shared" si="49"/>
        <v>192825</v>
      </c>
      <c r="J53" s="198">
        <f t="shared" si="49"/>
        <v>-539052</v>
      </c>
      <c r="K53" s="198">
        <f t="shared" si="49"/>
        <v>69952</v>
      </c>
      <c r="L53" s="198">
        <f t="shared" si="49"/>
        <v>716975</v>
      </c>
      <c r="M53" s="198">
        <f t="shared" si="49"/>
        <v>-571000</v>
      </c>
      <c r="N53" s="198">
        <f t="shared" si="49"/>
        <v>-355500</v>
      </c>
      <c r="O53" s="198">
        <f t="shared" si="49"/>
        <v>594191.8284</v>
      </c>
      <c r="P53" s="198">
        <f t="shared" si="49"/>
        <v>-319488.565</v>
      </c>
      <c r="Q53" s="198">
        <f t="shared" si="49"/>
        <v>75573.28641</v>
      </c>
      <c r="R53" s="198">
        <f t="shared" si="49"/>
        <v>141205.1487</v>
      </c>
      <c r="S53" s="198">
        <f t="shared" si="49"/>
        <v>186409.0604</v>
      </c>
      <c r="T53" s="198">
        <f t="shared" si="49"/>
        <v>146515.0927</v>
      </c>
      <c r="U53" s="198">
        <f t="shared" si="49"/>
        <v>51202.19925</v>
      </c>
      <c r="V53" s="198">
        <f t="shared" si="49"/>
        <v>25738.00932</v>
      </c>
      <c r="W53" s="198">
        <f t="shared" si="49"/>
        <v>26290.3835</v>
      </c>
      <c r="X53" s="198">
        <f t="shared" si="49"/>
        <v>24308.75368</v>
      </c>
      <c r="Y53" s="198">
        <f t="shared" si="49"/>
        <v>90621.02818</v>
      </c>
      <c r="Z53" s="198">
        <f t="shared" si="49"/>
        <v>59413.27203</v>
      </c>
      <c r="AA53" s="198">
        <f t="shared" si="49"/>
        <v>54142.20885</v>
      </c>
      <c r="AB53" s="198">
        <f t="shared" si="49"/>
        <v>73735.00043</v>
      </c>
      <c r="AC53" s="198">
        <f t="shared" si="49"/>
        <v>-476340.002</v>
      </c>
      <c r="AD53" s="198">
        <f t="shared" si="49"/>
        <v>197426.6996</v>
      </c>
      <c r="AE53" s="198">
        <f t="shared" si="49"/>
        <v>14254.03337</v>
      </c>
      <c r="AF53" s="198">
        <f t="shared" si="49"/>
        <v>14421.03806</v>
      </c>
      <c r="AG53" s="198">
        <f t="shared" si="49"/>
        <v>14590.07859</v>
      </c>
      <c r="AH53" s="198">
        <f t="shared" si="49"/>
        <v>14761.18036</v>
      </c>
      <c r="AI53" s="198">
        <f t="shared" si="49"/>
        <v>14934.36909</v>
      </c>
      <c r="AJ53" s="198">
        <f t="shared" si="49"/>
        <v>15109.67083</v>
      </c>
      <c r="AK53" s="198">
        <f t="shared" si="49"/>
        <v>15287.11195</v>
      </c>
      <c r="AL53" s="198">
        <f t="shared" si="49"/>
        <v>15466.71916</v>
      </c>
      <c r="AM53" s="198">
        <f t="shared" si="49"/>
        <v>15648.51953</v>
      </c>
      <c r="AN53" s="198">
        <f t="shared" si="49"/>
        <v>15832.54043</v>
      </c>
      <c r="AO53" s="198">
        <f t="shared" si="49"/>
        <v>15900.81988</v>
      </c>
      <c r="AP53" s="198">
        <f t="shared" si="49"/>
        <v>15652.06399</v>
      </c>
      <c r="AQ53" s="198">
        <f t="shared" si="49"/>
        <v>15829.1923</v>
      </c>
      <c r="AR53" s="198">
        <f t="shared" si="49"/>
        <v>16008.39387</v>
      </c>
      <c r="AS53" s="198">
        <f t="shared" si="49"/>
        <v>16189.69335</v>
      </c>
      <c r="AT53" s="198">
        <f t="shared" si="49"/>
        <v>16373.11565</v>
      </c>
      <c r="AU53" s="198">
        <f t="shared" si="49"/>
        <v>16558.68601</v>
      </c>
      <c r="AV53" s="198">
        <f t="shared" si="49"/>
        <v>16746.42995</v>
      </c>
      <c r="AW53" s="198">
        <f t="shared" si="49"/>
        <v>16936.37329</v>
      </c>
      <c r="AX53" s="198">
        <f t="shared" si="49"/>
        <v>17128.54219</v>
      </c>
      <c r="AY53" s="198">
        <f t="shared" si="49"/>
        <v>17322.9631</v>
      </c>
      <c r="AZ53" s="198">
        <f t="shared" si="49"/>
        <v>17519.66279</v>
      </c>
      <c r="BA53" s="198">
        <f t="shared" si="49"/>
        <v>1700.16667</v>
      </c>
      <c r="BB53" s="198">
        <f t="shared" si="49"/>
        <v>21702.06813</v>
      </c>
      <c r="BC53" s="198">
        <f t="shared" si="49"/>
        <v>-101328.1764</v>
      </c>
      <c r="BD53" s="198">
        <f t="shared" si="49"/>
        <v>20971.85619</v>
      </c>
      <c r="BE53" s="198">
        <f t="shared" si="49"/>
        <v>21343.39771</v>
      </c>
      <c r="BF53" s="198">
        <f t="shared" si="49"/>
        <v>21723.59027</v>
      </c>
      <c r="BG53" s="198">
        <f t="shared" si="49"/>
        <v>22112.67568</v>
      </c>
      <c r="BH53" s="198">
        <f t="shared" si="49"/>
        <v>22510.90315</v>
      </c>
      <c r="BI53" s="198">
        <f t="shared" si="49"/>
        <v>22918.52952</v>
      </c>
      <c r="BJ53" s="198">
        <f t="shared" si="49"/>
        <v>23335.81951</v>
      </c>
      <c r="BK53" s="198">
        <f t="shared" si="49"/>
        <v>23763.046</v>
      </c>
      <c r="BL53" s="198">
        <f t="shared" si="49"/>
        <v>24200.49022</v>
      </c>
      <c r="BM53" s="198">
        <f t="shared" si="49"/>
        <v>51200.12373</v>
      </c>
      <c r="BN53" s="198">
        <f t="shared" si="49"/>
        <v>8359.835797</v>
      </c>
      <c r="BO53" s="198">
        <f t="shared" si="49"/>
        <v>-119185.1473</v>
      </c>
      <c r="BP53" s="198">
        <f t="shared" si="49"/>
        <v>7586.596208</v>
      </c>
      <c r="BQ53" s="198">
        <f t="shared" si="49"/>
        <v>7945.861944</v>
      </c>
      <c r="BR53" s="198">
        <f t="shared" si="49"/>
        <v>8302.130654</v>
      </c>
      <c r="BS53" s="198">
        <f t="shared" si="49"/>
        <v>8655.556099</v>
      </c>
      <c r="BT53" s="198">
        <f t="shared" si="49"/>
        <v>9006.288924</v>
      </c>
      <c r="BU53" s="198">
        <f t="shared" si="49"/>
        <v>9354.476753</v>
      </c>
      <c r="BV53" s="198">
        <f t="shared" si="49"/>
        <v>9700.264279</v>
      </c>
      <c r="BW53" s="198">
        <f t="shared" si="49"/>
        <v>10043.79335</v>
      </c>
      <c r="BX53" s="198">
        <f t="shared" si="49"/>
        <v>10385.20305</v>
      </c>
    </row>
    <row r="54" ht="15.75" customHeight="1">
      <c r="A54" s="1" t="s">
        <v>644</v>
      </c>
      <c r="B54" s="1"/>
      <c r="C54" s="1"/>
      <c r="D54" s="1"/>
      <c r="E54" s="1"/>
      <c r="F54" s="207">
        <f t="shared" ref="F54:BX54" si="50">F52/E52-1</f>
        <v>0.9564408619</v>
      </c>
      <c r="G54" s="207">
        <f t="shared" si="50"/>
        <v>-0.4696141352</v>
      </c>
      <c r="H54" s="207">
        <f t="shared" si="50"/>
        <v>1.555422767</v>
      </c>
      <c r="I54" s="207">
        <f t="shared" si="50"/>
        <v>0.2254472115</v>
      </c>
      <c r="J54" s="207">
        <f t="shared" si="50"/>
        <v>-0.5143012522</v>
      </c>
      <c r="K54" s="207">
        <f t="shared" si="50"/>
        <v>0.1374105482</v>
      </c>
      <c r="L54" s="207">
        <f t="shared" si="50"/>
        <v>1.238245326</v>
      </c>
      <c r="M54" s="207">
        <f t="shared" si="50"/>
        <v>-0.4405864198</v>
      </c>
      <c r="N54" s="207">
        <f t="shared" si="50"/>
        <v>-0.4903448276</v>
      </c>
      <c r="O54" s="207">
        <f t="shared" si="50"/>
        <v>1.608096965</v>
      </c>
      <c r="P54" s="207">
        <f t="shared" si="50"/>
        <v>-0.3315256554</v>
      </c>
      <c r="Q54" s="207">
        <f t="shared" si="50"/>
        <v>0.1173127966</v>
      </c>
      <c r="R54" s="207">
        <f t="shared" si="50"/>
        <v>0.1961791458</v>
      </c>
      <c r="S54" s="207">
        <f t="shared" si="50"/>
        <v>0.2165075758</v>
      </c>
      <c r="T54" s="207">
        <f t="shared" si="50"/>
        <v>0.1398857985</v>
      </c>
      <c r="U54" s="207">
        <f t="shared" si="50"/>
        <v>0.04288629558</v>
      </c>
      <c r="V54" s="207">
        <f t="shared" si="50"/>
        <v>0.02067130583</v>
      </c>
      <c r="W54" s="207">
        <f t="shared" si="50"/>
        <v>0.02068730771</v>
      </c>
      <c r="X54" s="207">
        <f t="shared" si="50"/>
        <v>0.01874032126</v>
      </c>
      <c r="Y54" s="207">
        <f t="shared" si="50"/>
        <v>0.06857721256</v>
      </c>
      <c r="Z54" s="207">
        <f t="shared" si="50"/>
        <v>0.04207541471</v>
      </c>
      <c r="AA54" s="207">
        <f t="shared" si="50"/>
        <v>0.03679440246</v>
      </c>
      <c r="AB54" s="207">
        <f t="shared" si="50"/>
        <v>0.0483311165</v>
      </c>
      <c r="AC54" s="207">
        <f t="shared" si="50"/>
        <v>-0.2978322472</v>
      </c>
      <c r="AD54" s="207">
        <f t="shared" si="50"/>
        <v>0.1758003231</v>
      </c>
      <c r="AE54" s="207">
        <f t="shared" si="50"/>
        <v>0.01079488399</v>
      </c>
      <c r="AF54" s="207">
        <f t="shared" si="50"/>
        <v>0.01080472446</v>
      </c>
      <c r="AG54" s="207">
        <f t="shared" si="50"/>
        <v>0.0108145273</v>
      </c>
      <c r="AH54" s="207">
        <f t="shared" si="50"/>
        <v>0.01082429256</v>
      </c>
      <c r="AI54" s="207">
        <f t="shared" si="50"/>
        <v>0.0108340203</v>
      </c>
      <c r="AJ54" s="207">
        <f t="shared" si="50"/>
        <v>0.01084371058</v>
      </c>
      <c r="AK54" s="207">
        <f t="shared" si="50"/>
        <v>0.01085336347</v>
      </c>
      <c r="AL54" s="207">
        <f t="shared" si="50"/>
        <v>0.01086297902</v>
      </c>
      <c r="AM54" s="207">
        <f t="shared" si="50"/>
        <v>0.01087255731</v>
      </c>
      <c r="AN54" s="207">
        <f t="shared" si="50"/>
        <v>0.01088209839</v>
      </c>
      <c r="AO54" s="207">
        <f t="shared" si="50"/>
        <v>0.01081137807</v>
      </c>
      <c r="AP54" s="207">
        <f t="shared" si="50"/>
        <v>0.01052841584</v>
      </c>
      <c r="AQ54" s="207">
        <f t="shared" si="50"/>
        <v>0.01053662782</v>
      </c>
      <c r="AR54" s="207">
        <f t="shared" si="50"/>
        <v>0.01054480581</v>
      </c>
      <c r="AS54" s="207">
        <f t="shared" si="50"/>
        <v>0.01055294984</v>
      </c>
      <c r="AT54" s="207">
        <f t="shared" si="50"/>
        <v>0.01056105992</v>
      </c>
      <c r="AU54" s="207">
        <f t="shared" si="50"/>
        <v>0.01056913605</v>
      </c>
      <c r="AV54" s="207">
        <f t="shared" si="50"/>
        <v>0.01057717827</v>
      </c>
      <c r="AW54" s="207">
        <f t="shared" si="50"/>
        <v>0.0105851866</v>
      </c>
      <c r="AX54" s="207">
        <f t="shared" si="50"/>
        <v>0.01059316104</v>
      </c>
      <c r="AY54" s="207">
        <f t="shared" si="50"/>
        <v>0.01060110164</v>
      </c>
      <c r="AZ54" s="207">
        <f t="shared" si="50"/>
        <v>0.0106090084</v>
      </c>
      <c r="BA54" s="207">
        <f t="shared" si="50"/>
        <v>0.001018725984</v>
      </c>
      <c r="BB54" s="207">
        <f t="shared" si="50"/>
        <v>0.01299046826</v>
      </c>
      <c r="BC54" s="207">
        <f t="shared" si="50"/>
        <v>-0.05987541707</v>
      </c>
      <c r="BD54" s="207">
        <f t="shared" si="50"/>
        <v>0.01318165032</v>
      </c>
      <c r="BE54" s="207">
        <f t="shared" si="50"/>
        <v>0.01324064547</v>
      </c>
      <c r="BF54" s="207">
        <f t="shared" si="50"/>
        <v>0.01330039687</v>
      </c>
      <c r="BG54" s="207">
        <f t="shared" si="50"/>
        <v>0.0133609113</v>
      </c>
      <c r="BH54" s="207">
        <f t="shared" si="50"/>
        <v>0.01342219536</v>
      </c>
      <c r="BI54" s="207">
        <f t="shared" si="50"/>
        <v>0.01348425553</v>
      </c>
      <c r="BJ54" s="207">
        <f t="shared" si="50"/>
        <v>0.01354709809</v>
      </c>
      <c r="BK54" s="207">
        <f t="shared" si="50"/>
        <v>0.01361072917</v>
      </c>
      <c r="BL54" s="207">
        <f t="shared" si="50"/>
        <v>0.01367515471</v>
      </c>
      <c r="BM54" s="207">
        <f t="shared" si="50"/>
        <v>0.02854172998</v>
      </c>
      <c r="BN54" s="207">
        <f t="shared" si="50"/>
        <v>0.004530906637</v>
      </c>
      <c r="BO54" s="207">
        <f t="shared" si="50"/>
        <v>-0.06430521587</v>
      </c>
      <c r="BP54" s="207">
        <f t="shared" si="50"/>
        <v>0.004374584641</v>
      </c>
      <c r="BQ54" s="207">
        <f t="shared" si="50"/>
        <v>0.004561788592</v>
      </c>
      <c r="BR54" s="207">
        <f t="shared" si="50"/>
        <v>0.00474468133</v>
      </c>
      <c r="BS54" s="207">
        <f t="shared" si="50"/>
        <v>0.00492330504</v>
      </c>
      <c r="BT54" s="207">
        <f t="shared" si="50"/>
        <v>0.005097705315</v>
      </c>
      <c r="BU54" s="207">
        <f t="shared" si="50"/>
        <v>0.005267930903</v>
      </c>
      <c r="BV54" s="207">
        <f t="shared" si="50"/>
        <v>0.005434033458</v>
      </c>
      <c r="BW54" s="207">
        <f t="shared" si="50"/>
        <v>0.005596067292</v>
      </c>
      <c r="BX54" s="207">
        <f t="shared" si="50"/>
        <v>0.00575408914</v>
      </c>
    </row>
    <row r="55" ht="15.75" customHeight="1">
      <c r="A55" s="1"/>
      <c r="B55" s="1"/>
      <c r="C55" s="1"/>
      <c r="D55" s="1"/>
      <c r="E55" s="1"/>
      <c r="F55" s="1"/>
      <c r="G55" s="1"/>
      <c r="H55" s="1"/>
      <c r="I55" s="1"/>
      <c r="J55" s="1"/>
      <c r="K55" s="1"/>
      <c r="L55" s="1"/>
      <c r="M55" s="1"/>
      <c r="N55" s="1"/>
      <c r="O55" s="1">
        <v>1038196.0</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row>
    <row r="56" ht="15.75" customHeight="1">
      <c r="A56" s="377" t="s">
        <v>645</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row>
    <row r="57" ht="15.75" customHeight="1">
      <c r="A57" s="1" t="s">
        <v>47</v>
      </c>
      <c r="B57" s="234"/>
      <c r="C57" s="1"/>
      <c r="D57" s="1"/>
      <c r="E57" s="137">
        <v>120000.0</v>
      </c>
      <c r="F57" s="137">
        <v>120000.0</v>
      </c>
      <c r="G57" s="137">
        <v>168000.0</v>
      </c>
      <c r="H57" s="137">
        <v>166900.0</v>
      </c>
      <c r="I57" s="137">
        <v>748000.0</v>
      </c>
      <c r="J57" s="137">
        <v>247000.0</v>
      </c>
      <c r="K57" s="378">
        <v>120000.0</v>
      </c>
      <c r="L57" s="349">
        <v>931000.0</v>
      </c>
      <c r="M57" s="349">
        <v>0.0</v>
      </c>
      <c r="N57" s="349">
        <v>246000.0</v>
      </c>
      <c r="O57" s="349">
        <v>530000.0</v>
      </c>
      <c r="P57" s="198">
        <f t="shared" ref="P57:BX57" si="51">P$52*P65</f>
        <v>270565.3706</v>
      </c>
      <c r="Q57" s="198">
        <f t="shared" si="51"/>
        <v>287910.6199</v>
      </c>
      <c r="R57" s="198">
        <f t="shared" si="51"/>
        <v>344392.6794</v>
      </c>
      <c r="S57" s="198">
        <f t="shared" si="51"/>
        <v>408482.396</v>
      </c>
      <c r="T57" s="198">
        <f t="shared" si="51"/>
        <v>453684.2236</v>
      </c>
      <c r="U57" s="198">
        <f t="shared" si="51"/>
        <v>510494.3008</v>
      </c>
      <c r="V57" s="198">
        <f t="shared" si="51"/>
        <v>533755.3453</v>
      </c>
      <c r="W57" s="198">
        <f t="shared" si="51"/>
        <v>544797.3063</v>
      </c>
      <c r="X57" s="198">
        <f t="shared" si="51"/>
        <v>555006.9829</v>
      </c>
      <c r="Y57" s="198">
        <f t="shared" si="51"/>
        <v>593067.8147</v>
      </c>
      <c r="Z57" s="198">
        <f t="shared" si="51"/>
        <v>603306.594</v>
      </c>
      <c r="AA57" s="198">
        <f t="shared" si="51"/>
        <v>625504.8996</v>
      </c>
      <c r="AB57" s="198">
        <f t="shared" si="51"/>
        <v>655736.2498</v>
      </c>
      <c r="AC57" s="198">
        <f t="shared" si="51"/>
        <v>460436.849</v>
      </c>
      <c r="AD57" s="198">
        <f t="shared" si="51"/>
        <v>541381.7958</v>
      </c>
      <c r="AE57" s="198">
        <f t="shared" si="51"/>
        <v>547225.9495</v>
      </c>
      <c r="AF57" s="198">
        <f t="shared" si="51"/>
        <v>553138.5751</v>
      </c>
      <c r="AG57" s="198">
        <f t="shared" si="51"/>
        <v>559120.5073</v>
      </c>
      <c r="AH57" s="198">
        <f t="shared" si="51"/>
        <v>565172.5912</v>
      </c>
      <c r="AI57" s="198">
        <f t="shared" si="51"/>
        <v>571295.6826</v>
      </c>
      <c r="AJ57" s="198">
        <f t="shared" si="51"/>
        <v>577490.6476</v>
      </c>
      <c r="AK57" s="198">
        <f t="shared" si="51"/>
        <v>583758.3635</v>
      </c>
      <c r="AL57" s="198">
        <f t="shared" si="51"/>
        <v>590099.7184</v>
      </c>
      <c r="AM57" s="198">
        <f t="shared" si="51"/>
        <v>596515.6114</v>
      </c>
      <c r="AN57" s="198">
        <f t="shared" si="51"/>
        <v>603006.9529</v>
      </c>
      <c r="AO57" s="198">
        <f t="shared" si="51"/>
        <v>609526.2891</v>
      </c>
      <c r="AP57" s="198">
        <f t="shared" si="51"/>
        <v>615943.6353</v>
      </c>
      <c r="AQ57" s="198">
        <f t="shared" si="51"/>
        <v>622433.6042</v>
      </c>
      <c r="AR57" s="198">
        <f t="shared" si="51"/>
        <v>628997.0457</v>
      </c>
      <c r="AS57" s="198">
        <f t="shared" si="51"/>
        <v>635634.8199</v>
      </c>
      <c r="AT57" s="198">
        <f t="shared" si="51"/>
        <v>642347.7974</v>
      </c>
      <c r="AU57" s="198">
        <f t="shared" si="51"/>
        <v>649136.8586</v>
      </c>
      <c r="AV57" s="198">
        <f t="shared" si="51"/>
        <v>656002.8949</v>
      </c>
      <c r="AW57" s="198">
        <f t="shared" si="51"/>
        <v>662946.8079</v>
      </c>
      <c r="AX57" s="198">
        <f t="shared" si="51"/>
        <v>669969.5102</v>
      </c>
      <c r="AY57" s="198">
        <f t="shared" si="51"/>
        <v>677071.9251</v>
      </c>
      <c r="AZ57" s="198">
        <f t="shared" si="51"/>
        <v>684254.9869</v>
      </c>
      <c r="BA57" s="198">
        <f t="shared" si="51"/>
        <v>684952.0552</v>
      </c>
      <c r="BB57" s="198">
        <f t="shared" si="51"/>
        <v>693849.9031</v>
      </c>
      <c r="BC57" s="198">
        <f t="shared" si="51"/>
        <v>652305.3508</v>
      </c>
      <c r="BD57" s="198">
        <f t="shared" si="51"/>
        <v>660903.8118</v>
      </c>
      <c r="BE57" s="198">
        <f t="shared" si="51"/>
        <v>669654.6049</v>
      </c>
      <c r="BF57" s="198">
        <f t="shared" si="51"/>
        <v>678561.2769</v>
      </c>
      <c r="BG57" s="198">
        <f t="shared" si="51"/>
        <v>687627.4739</v>
      </c>
      <c r="BH57" s="198">
        <f t="shared" si="51"/>
        <v>696856.9442</v>
      </c>
      <c r="BI57" s="198">
        <f t="shared" si="51"/>
        <v>706253.5413</v>
      </c>
      <c r="BJ57" s="198">
        <f t="shared" si="51"/>
        <v>715821.2273</v>
      </c>
      <c r="BK57" s="198">
        <f t="shared" si="51"/>
        <v>725564.0762</v>
      </c>
      <c r="BL57" s="198">
        <f t="shared" si="51"/>
        <v>735486.2772</v>
      </c>
      <c r="BM57" s="198">
        <f t="shared" si="51"/>
        <v>756478.3279</v>
      </c>
      <c r="BN57" s="198">
        <f t="shared" si="51"/>
        <v>759905.8606</v>
      </c>
      <c r="BO57" s="198">
        <f t="shared" si="51"/>
        <v>711039.9502</v>
      </c>
      <c r="BP57" s="198">
        <f t="shared" si="51"/>
        <v>714150.4546</v>
      </c>
      <c r="BQ57" s="198">
        <f t="shared" si="51"/>
        <v>717408.258</v>
      </c>
      <c r="BR57" s="198">
        <f t="shared" si="51"/>
        <v>720812.1316</v>
      </c>
      <c r="BS57" s="198">
        <f t="shared" si="51"/>
        <v>724360.9096</v>
      </c>
      <c r="BT57" s="198">
        <f t="shared" si="51"/>
        <v>728053.488</v>
      </c>
      <c r="BU57" s="198">
        <f t="shared" si="51"/>
        <v>731888.8235</v>
      </c>
      <c r="BV57" s="198">
        <f t="shared" si="51"/>
        <v>735865.9319</v>
      </c>
      <c r="BW57" s="198">
        <f t="shared" si="51"/>
        <v>739983.8871</v>
      </c>
      <c r="BX57" s="198">
        <f t="shared" si="51"/>
        <v>744241.8204</v>
      </c>
    </row>
    <row r="58" ht="15.75" customHeight="1">
      <c r="A58" s="1" t="s">
        <v>85</v>
      </c>
      <c r="B58" s="234"/>
      <c r="C58" s="1"/>
      <c r="D58" s="1"/>
      <c r="E58" s="137">
        <v>120000.0</v>
      </c>
      <c r="F58" s="137">
        <v>187000.0</v>
      </c>
      <c r="G58" s="137">
        <v>21750.0</v>
      </c>
      <c r="H58" s="137">
        <v>423400.0</v>
      </c>
      <c r="I58" s="137">
        <v>154500.0</v>
      </c>
      <c r="J58" s="137">
        <v>112500.0</v>
      </c>
      <c r="K58" s="137">
        <v>216500.0</v>
      </c>
      <c r="L58" s="349">
        <v>31000.0</v>
      </c>
      <c r="M58" s="349">
        <v>144000.0</v>
      </c>
      <c r="N58" s="349">
        <v>0.0</v>
      </c>
      <c r="O58" s="349">
        <v>254166.0</v>
      </c>
      <c r="P58" s="198">
        <f t="shared" ref="P58:BX58" si="52">P$52*P66</f>
        <v>199703.0117</v>
      </c>
      <c r="Q58" s="198">
        <f t="shared" si="52"/>
        <v>230328.4959</v>
      </c>
      <c r="R58" s="198">
        <f t="shared" si="52"/>
        <v>284123.9605</v>
      </c>
      <c r="S58" s="198">
        <f t="shared" si="52"/>
        <v>345638.9504</v>
      </c>
      <c r="T58" s="198">
        <f t="shared" si="52"/>
        <v>393988.931</v>
      </c>
      <c r="U58" s="198">
        <f t="shared" si="52"/>
        <v>423336.7373</v>
      </c>
      <c r="V58" s="198">
        <f t="shared" si="52"/>
        <v>419379.1998</v>
      </c>
      <c r="W58" s="198">
        <f t="shared" si="52"/>
        <v>441026.3908</v>
      </c>
      <c r="X58" s="198">
        <f t="shared" si="52"/>
        <v>449291.3671</v>
      </c>
      <c r="Y58" s="198">
        <f t="shared" si="52"/>
        <v>465981.8544</v>
      </c>
      <c r="Z58" s="198">
        <f t="shared" si="52"/>
        <v>485588.2342</v>
      </c>
      <c r="AA58" s="198">
        <f t="shared" si="52"/>
        <v>503455.1631</v>
      </c>
      <c r="AB58" s="198">
        <f t="shared" si="52"/>
        <v>527787.7133</v>
      </c>
      <c r="AC58" s="198">
        <f t="shared" si="52"/>
        <v>370595.5126</v>
      </c>
      <c r="AD58" s="198">
        <f t="shared" si="52"/>
        <v>435746.3234</v>
      </c>
      <c r="AE58" s="198">
        <f t="shared" si="52"/>
        <v>440450.1545</v>
      </c>
      <c r="AF58" s="198">
        <f t="shared" si="52"/>
        <v>445209.097</v>
      </c>
      <c r="AG58" s="198">
        <f t="shared" si="52"/>
        <v>450023.8229</v>
      </c>
      <c r="AH58" s="198">
        <f t="shared" si="52"/>
        <v>454895.0125</v>
      </c>
      <c r="AI58" s="198">
        <f t="shared" si="52"/>
        <v>459823.3543</v>
      </c>
      <c r="AJ58" s="198">
        <f t="shared" si="52"/>
        <v>464809.5456</v>
      </c>
      <c r="AK58" s="198">
        <f t="shared" si="52"/>
        <v>469854.2926</v>
      </c>
      <c r="AL58" s="198">
        <f t="shared" si="52"/>
        <v>474958.3099</v>
      </c>
      <c r="AM58" s="198">
        <f t="shared" si="52"/>
        <v>480122.3213</v>
      </c>
      <c r="AN58" s="198">
        <f t="shared" si="52"/>
        <v>485347.0597</v>
      </c>
      <c r="AO58" s="198">
        <f t="shared" si="52"/>
        <v>490594.3302</v>
      </c>
      <c r="AP58" s="198">
        <f t="shared" si="52"/>
        <v>495759.5114</v>
      </c>
      <c r="AQ58" s="198">
        <f t="shared" si="52"/>
        <v>500983.1448</v>
      </c>
      <c r="AR58" s="198">
        <f t="shared" si="52"/>
        <v>506265.9148</v>
      </c>
      <c r="AS58" s="198">
        <f t="shared" si="52"/>
        <v>511608.5136</v>
      </c>
      <c r="AT58" s="198">
        <f t="shared" si="52"/>
        <v>517011.6418</v>
      </c>
      <c r="AU58" s="198">
        <f t="shared" si="52"/>
        <v>522476.0082</v>
      </c>
      <c r="AV58" s="198">
        <f t="shared" si="52"/>
        <v>528002.33</v>
      </c>
      <c r="AW58" s="198">
        <f t="shared" si="52"/>
        <v>533591.3332</v>
      </c>
      <c r="AX58" s="198">
        <f t="shared" si="52"/>
        <v>539243.7521</v>
      </c>
      <c r="AY58" s="198">
        <f t="shared" si="52"/>
        <v>544960.33</v>
      </c>
      <c r="AZ58" s="198">
        <f t="shared" si="52"/>
        <v>550741.8187</v>
      </c>
      <c r="BA58" s="198">
        <f t="shared" si="52"/>
        <v>551302.8737</v>
      </c>
      <c r="BB58" s="198">
        <f t="shared" si="52"/>
        <v>558464.5562</v>
      </c>
      <c r="BC58" s="198">
        <f t="shared" si="52"/>
        <v>525026.258</v>
      </c>
      <c r="BD58" s="198">
        <f t="shared" si="52"/>
        <v>531946.9705</v>
      </c>
      <c r="BE58" s="198">
        <f t="shared" si="52"/>
        <v>538990.2917</v>
      </c>
      <c r="BF58" s="198">
        <f t="shared" si="52"/>
        <v>546159.0765</v>
      </c>
      <c r="BG58" s="198">
        <f t="shared" si="52"/>
        <v>553456.2595</v>
      </c>
      <c r="BH58" s="198">
        <f t="shared" si="52"/>
        <v>560884.8575</v>
      </c>
      <c r="BI58" s="198">
        <f t="shared" si="52"/>
        <v>568447.9723</v>
      </c>
      <c r="BJ58" s="198">
        <f t="shared" si="52"/>
        <v>576148.7927</v>
      </c>
      <c r="BK58" s="198">
        <f t="shared" si="52"/>
        <v>583990.5979</v>
      </c>
      <c r="BL58" s="198">
        <f t="shared" si="52"/>
        <v>591976.7597</v>
      </c>
      <c r="BM58" s="198">
        <f t="shared" si="52"/>
        <v>608872.8005</v>
      </c>
      <c r="BN58" s="198">
        <f t="shared" si="52"/>
        <v>611631.5463</v>
      </c>
      <c r="BO58" s="198">
        <f t="shared" si="52"/>
        <v>572300.4477</v>
      </c>
      <c r="BP58" s="198">
        <f t="shared" si="52"/>
        <v>574804.0245</v>
      </c>
      <c r="BQ58" s="198">
        <f t="shared" si="52"/>
        <v>577426.1589</v>
      </c>
      <c r="BR58" s="198">
        <f t="shared" si="52"/>
        <v>580165.862</v>
      </c>
      <c r="BS58" s="198">
        <f t="shared" si="52"/>
        <v>583022.1955</v>
      </c>
      <c r="BT58" s="198">
        <f t="shared" si="52"/>
        <v>585994.2709</v>
      </c>
      <c r="BU58" s="198">
        <f t="shared" si="52"/>
        <v>589081.2482</v>
      </c>
      <c r="BV58" s="198">
        <f t="shared" si="52"/>
        <v>592282.3354</v>
      </c>
      <c r="BW58" s="198">
        <f t="shared" si="52"/>
        <v>595596.7872</v>
      </c>
      <c r="BX58" s="198">
        <f t="shared" si="52"/>
        <v>599023.9042</v>
      </c>
    </row>
    <row r="59" ht="15.75" customHeight="1">
      <c r="A59" s="1" t="s">
        <v>87</v>
      </c>
      <c r="B59" s="234"/>
      <c r="C59" s="1"/>
      <c r="D59" s="1"/>
      <c r="E59" s="137">
        <v>60000.0</v>
      </c>
      <c r="F59" s="137">
        <v>0.0</v>
      </c>
      <c r="G59" s="137">
        <v>50000.0</v>
      </c>
      <c r="H59" s="137">
        <v>41000.0</v>
      </c>
      <c r="I59" s="137">
        <v>57000.0</v>
      </c>
      <c r="J59" s="137">
        <v>80000.0</v>
      </c>
      <c r="K59" s="137">
        <v>87000.0</v>
      </c>
      <c r="L59" s="349">
        <v>304000.0</v>
      </c>
      <c r="M59" s="349">
        <v>8500.0</v>
      </c>
      <c r="N59" s="349">
        <v>0.0</v>
      </c>
      <c r="O59" s="349">
        <v>98500.0</v>
      </c>
      <c r="P59" s="198">
        <f t="shared" ref="P59:BX59" si="53">P$52*P67</f>
        <v>96630.48951</v>
      </c>
      <c r="Q59" s="198">
        <f t="shared" si="53"/>
        <v>122362.0135</v>
      </c>
      <c r="R59" s="198">
        <f t="shared" si="53"/>
        <v>146366.8888</v>
      </c>
      <c r="S59" s="198">
        <f t="shared" si="53"/>
        <v>178056.429</v>
      </c>
      <c r="T59" s="198">
        <f t="shared" si="53"/>
        <v>202963.9948</v>
      </c>
      <c r="U59" s="198">
        <f t="shared" si="53"/>
        <v>211668.3686</v>
      </c>
      <c r="V59" s="198">
        <f t="shared" si="53"/>
        <v>216043.8302</v>
      </c>
      <c r="W59" s="198">
        <f t="shared" si="53"/>
        <v>220513.1954</v>
      </c>
      <c r="X59" s="198">
        <f t="shared" si="53"/>
        <v>224645.6835</v>
      </c>
      <c r="Y59" s="198">
        <f t="shared" si="53"/>
        <v>240051.2583</v>
      </c>
      <c r="Z59" s="198">
        <f t="shared" si="53"/>
        <v>206007.1297</v>
      </c>
      <c r="AA59" s="198">
        <f t="shared" si="53"/>
        <v>213587.0389</v>
      </c>
      <c r="AB59" s="198">
        <f t="shared" si="53"/>
        <v>223909.939</v>
      </c>
      <c r="AC59" s="198">
        <f t="shared" si="53"/>
        <v>157222.3387</v>
      </c>
      <c r="AD59" s="198">
        <f t="shared" si="53"/>
        <v>184862.0766</v>
      </c>
      <c r="AE59" s="198">
        <f t="shared" si="53"/>
        <v>186857.6413</v>
      </c>
      <c r="AF59" s="198">
        <f t="shared" si="53"/>
        <v>188876.5866</v>
      </c>
      <c r="AG59" s="198">
        <f t="shared" si="53"/>
        <v>190919.1976</v>
      </c>
      <c r="AH59" s="198">
        <f t="shared" si="53"/>
        <v>192985.7629</v>
      </c>
      <c r="AI59" s="198">
        <f t="shared" si="53"/>
        <v>195076.5745</v>
      </c>
      <c r="AJ59" s="198">
        <f t="shared" si="53"/>
        <v>197191.9285</v>
      </c>
      <c r="AK59" s="198">
        <f t="shared" si="53"/>
        <v>199332.1241</v>
      </c>
      <c r="AL59" s="198">
        <f t="shared" si="53"/>
        <v>201497.4648</v>
      </c>
      <c r="AM59" s="198">
        <f t="shared" si="53"/>
        <v>203688.2575</v>
      </c>
      <c r="AN59" s="198">
        <f t="shared" si="53"/>
        <v>205904.8132</v>
      </c>
      <c r="AO59" s="198">
        <f t="shared" si="53"/>
        <v>208130.928</v>
      </c>
      <c r="AP59" s="198">
        <f t="shared" si="53"/>
        <v>210322.2169</v>
      </c>
      <c r="AQ59" s="198">
        <f t="shared" si="53"/>
        <v>212538.3039</v>
      </c>
      <c r="AR59" s="198">
        <f t="shared" si="53"/>
        <v>214779.479</v>
      </c>
      <c r="AS59" s="198">
        <f t="shared" si="53"/>
        <v>217046.0361</v>
      </c>
      <c r="AT59" s="198">
        <f t="shared" si="53"/>
        <v>219338.2723</v>
      </c>
      <c r="AU59" s="198">
        <f t="shared" si="53"/>
        <v>221656.4883</v>
      </c>
      <c r="AV59" s="198">
        <f t="shared" si="53"/>
        <v>224000.9885</v>
      </c>
      <c r="AW59" s="198">
        <f t="shared" si="53"/>
        <v>226372.0808</v>
      </c>
      <c r="AX59" s="198">
        <f t="shared" si="53"/>
        <v>228770.0767</v>
      </c>
      <c r="AY59" s="198">
        <f t="shared" si="53"/>
        <v>231195.2915</v>
      </c>
      <c r="AZ59" s="198">
        <f t="shared" si="53"/>
        <v>233648.0443</v>
      </c>
      <c r="BA59" s="198">
        <f t="shared" si="53"/>
        <v>233886.0676</v>
      </c>
      <c r="BB59" s="198">
        <f t="shared" si="53"/>
        <v>236924.3572</v>
      </c>
      <c r="BC59" s="198">
        <f t="shared" si="53"/>
        <v>222738.4125</v>
      </c>
      <c r="BD59" s="198">
        <f t="shared" si="53"/>
        <v>225674.4723</v>
      </c>
      <c r="BE59" s="198">
        <f t="shared" si="53"/>
        <v>228662.548</v>
      </c>
      <c r="BF59" s="198">
        <f t="shared" si="53"/>
        <v>231703.8507</v>
      </c>
      <c r="BG59" s="198">
        <f t="shared" si="53"/>
        <v>234799.6252</v>
      </c>
      <c r="BH59" s="198">
        <f t="shared" si="53"/>
        <v>237951.1517</v>
      </c>
      <c r="BI59" s="198">
        <f t="shared" si="53"/>
        <v>241159.7458</v>
      </c>
      <c r="BJ59" s="198">
        <f t="shared" si="53"/>
        <v>244426.7606</v>
      </c>
      <c r="BK59" s="198">
        <f t="shared" si="53"/>
        <v>247753.587</v>
      </c>
      <c r="BL59" s="198">
        <f t="shared" si="53"/>
        <v>251141.6556</v>
      </c>
      <c r="BM59" s="198">
        <f t="shared" si="53"/>
        <v>258309.6729</v>
      </c>
      <c r="BN59" s="198">
        <f t="shared" si="53"/>
        <v>259480.05</v>
      </c>
      <c r="BO59" s="198">
        <f t="shared" si="53"/>
        <v>242794.1293</v>
      </c>
      <c r="BP59" s="198">
        <f t="shared" si="53"/>
        <v>243856.2528</v>
      </c>
      <c r="BQ59" s="198">
        <f t="shared" si="53"/>
        <v>244968.6735</v>
      </c>
      <c r="BR59" s="198">
        <f t="shared" si="53"/>
        <v>246130.9718</v>
      </c>
      <c r="BS59" s="198">
        <f t="shared" si="53"/>
        <v>247342.7496</v>
      </c>
      <c r="BT59" s="198">
        <f t="shared" si="53"/>
        <v>248603.6301</v>
      </c>
      <c r="BU59" s="198">
        <f t="shared" si="53"/>
        <v>249913.2568</v>
      </c>
      <c r="BV59" s="198">
        <f t="shared" si="53"/>
        <v>251271.2938</v>
      </c>
      <c r="BW59" s="198">
        <f t="shared" si="53"/>
        <v>252677.4249</v>
      </c>
      <c r="BX59" s="198">
        <f t="shared" si="53"/>
        <v>254131.3533</v>
      </c>
    </row>
    <row r="60" ht="15.75" customHeight="1">
      <c r="A60" s="1" t="s">
        <v>89</v>
      </c>
      <c r="B60" s="234"/>
      <c r="C60" s="1"/>
      <c r="D60" s="1"/>
      <c r="E60" s="137">
        <v>0.0</v>
      </c>
      <c r="F60" s="137">
        <v>201300.0</v>
      </c>
      <c r="G60" s="137">
        <v>23950.0</v>
      </c>
      <c r="H60" s="137">
        <v>36000.0</v>
      </c>
      <c r="I60" s="137">
        <v>71125.0</v>
      </c>
      <c r="J60" s="137">
        <v>21073.0</v>
      </c>
      <c r="K60" s="137">
        <v>67525.0</v>
      </c>
      <c r="L60" s="349">
        <v>0.0</v>
      </c>
      <c r="M60" s="349">
        <v>60000.0</v>
      </c>
      <c r="N60" s="349">
        <v>17500.0</v>
      </c>
      <c r="O60" s="349">
        <v>174030.0</v>
      </c>
      <c r="P60" s="198">
        <f t="shared" ref="P60:BX60" si="54">P$52*P68</f>
        <v>45094.22844</v>
      </c>
      <c r="Q60" s="198">
        <f t="shared" si="54"/>
        <v>43186.59299</v>
      </c>
      <c r="R60" s="198">
        <f t="shared" si="54"/>
        <v>51658.90191</v>
      </c>
      <c r="S60" s="198">
        <f t="shared" si="54"/>
        <v>62843.44553</v>
      </c>
      <c r="T60" s="198">
        <f t="shared" si="54"/>
        <v>71634.3511</v>
      </c>
      <c r="U60" s="198">
        <f t="shared" si="54"/>
        <v>62255.40254</v>
      </c>
      <c r="V60" s="198">
        <f t="shared" si="54"/>
        <v>63542.30301</v>
      </c>
      <c r="W60" s="198">
        <f t="shared" si="54"/>
        <v>64856.82218</v>
      </c>
      <c r="X60" s="198">
        <f t="shared" si="54"/>
        <v>66072.25987</v>
      </c>
      <c r="Y60" s="198">
        <f t="shared" si="54"/>
        <v>70603.31128</v>
      </c>
      <c r="Z60" s="198">
        <f t="shared" si="54"/>
        <v>103003.5648</v>
      </c>
      <c r="AA60" s="198">
        <f t="shared" si="54"/>
        <v>106793.5194</v>
      </c>
      <c r="AB60" s="198">
        <f t="shared" si="54"/>
        <v>111954.9695</v>
      </c>
      <c r="AC60" s="198">
        <f t="shared" si="54"/>
        <v>78611.16934</v>
      </c>
      <c r="AD60" s="198">
        <f t="shared" si="54"/>
        <v>92431.03831</v>
      </c>
      <c r="AE60" s="198">
        <f t="shared" si="54"/>
        <v>93428.82064</v>
      </c>
      <c r="AF60" s="198">
        <f t="shared" si="54"/>
        <v>94438.29331</v>
      </c>
      <c r="AG60" s="198">
        <f t="shared" si="54"/>
        <v>95459.59881</v>
      </c>
      <c r="AH60" s="198">
        <f t="shared" si="54"/>
        <v>96492.88143</v>
      </c>
      <c r="AI60" s="198">
        <f t="shared" si="54"/>
        <v>97538.28727</v>
      </c>
      <c r="AJ60" s="198">
        <f t="shared" si="54"/>
        <v>98595.96423</v>
      </c>
      <c r="AK60" s="198">
        <f t="shared" si="54"/>
        <v>99666.06206</v>
      </c>
      <c r="AL60" s="198">
        <f t="shared" si="54"/>
        <v>100748.7324</v>
      </c>
      <c r="AM60" s="198">
        <f t="shared" si="54"/>
        <v>101844.1288</v>
      </c>
      <c r="AN60" s="198">
        <f t="shared" si="54"/>
        <v>102952.4066</v>
      </c>
      <c r="AO60" s="198">
        <f t="shared" si="54"/>
        <v>104065.464</v>
      </c>
      <c r="AP60" s="198">
        <f t="shared" si="54"/>
        <v>105161.1085</v>
      </c>
      <c r="AQ60" s="198">
        <f t="shared" si="54"/>
        <v>106269.1519</v>
      </c>
      <c r="AR60" s="198">
        <f t="shared" si="54"/>
        <v>107389.7395</v>
      </c>
      <c r="AS60" s="198">
        <f t="shared" si="54"/>
        <v>108523.018</v>
      </c>
      <c r="AT60" s="198">
        <f t="shared" si="54"/>
        <v>109669.1361</v>
      </c>
      <c r="AU60" s="198">
        <f t="shared" si="54"/>
        <v>110828.2442</v>
      </c>
      <c r="AV60" s="198">
        <f t="shared" si="54"/>
        <v>112000.4943</v>
      </c>
      <c r="AW60" s="198">
        <f t="shared" si="54"/>
        <v>113186.0404</v>
      </c>
      <c r="AX60" s="198">
        <f t="shared" si="54"/>
        <v>114385.0383</v>
      </c>
      <c r="AY60" s="198">
        <f t="shared" si="54"/>
        <v>115597.6458</v>
      </c>
      <c r="AZ60" s="198">
        <f t="shared" si="54"/>
        <v>116824.0221</v>
      </c>
      <c r="BA60" s="198">
        <f t="shared" si="54"/>
        <v>116943.0338</v>
      </c>
      <c r="BB60" s="198">
        <f t="shared" si="54"/>
        <v>118462.1786</v>
      </c>
      <c r="BC60" s="198">
        <f t="shared" si="54"/>
        <v>111369.2062</v>
      </c>
      <c r="BD60" s="198">
        <f t="shared" si="54"/>
        <v>112837.2362</v>
      </c>
      <c r="BE60" s="198">
        <f t="shared" si="54"/>
        <v>114331.274</v>
      </c>
      <c r="BF60" s="198">
        <f t="shared" si="54"/>
        <v>115851.9253</v>
      </c>
      <c r="BG60" s="198">
        <f t="shared" si="54"/>
        <v>117399.8126</v>
      </c>
      <c r="BH60" s="198">
        <f t="shared" si="54"/>
        <v>118975.5758</v>
      </c>
      <c r="BI60" s="198">
        <f t="shared" si="54"/>
        <v>120579.8729</v>
      </c>
      <c r="BJ60" s="198">
        <f t="shared" si="54"/>
        <v>122213.3803</v>
      </c>
      <c r="BK60" s="198">
        <f t="shared" si="54"/>
        <v>123876.7935</v>
      </c>
      <c r="BL60" s="198">
        <f t="shared" si="54"/>
        <v>125570.8278</v>
      </c>
      <c r="BM60" s="198">
        <f t="shared" si="54"/>
        <v>129154.8365</v>
      </c>
      <c r="BN60" s="198">
        <f t="shared" si="54"/>
        <v>129740.025</v>
      </c>
      <c r="BO60" s="198">
        <f t="shared" si="54"/>
        <v>121397.0647</v>
      </c>
      <c r="BP60" s="198">
        <f t="shared" si="54"/>
        <v>121928.1264</v>
      </c>
      <c r="BQ60" s="198">
        <f t="shared" si="54"/>
        <v>122484.3367</v>
      </c>
      <c r="BR60" s="198">
        <f t="shared" si="54"/>
        <v>123065.4859</v>
      </c>
      <c r="BS60" s="198">
        <f t="shared" si="54"/>
        <v>123671.3748</v>
      </c>
      <c r="BT60" s="198">
        <f t="shared" si="54"/>
        <v>124301.815</v>
      </c>
      <c r="BU60" s="198">
        <f t="shared" si="54"/>
        <v>124956.6284</v>
      </c>
      <c r="BV60" s="198">
        <f t="shared" si="54"/>
        <v>125635.6469</v>
      </c>
      <c r="BW60" s="198">
        <f t="shared" si="54"/>
        <v>126338.7124</v>
      </c>
      <c r="BX60" s="198">
        <f t="shared" si="54"/>
        <v>127065.6767</v>
      </c>
    </row>
    <row r="61" ht="15.75" customHeight="1">
      <c r="A61" s="1" t="s">
        <v>646</v>
      </c>
      <c r="B61" s="234"/>
      <c r="C61" s="221"/>
      <c r="D61" s="1"/>
      <c r="E61" s="137">
        <v>22550.0</v>
      </c>
      <c r="F61" s="137">
        <v>122750.0</v>
      </c>
      <c r="G61" s="137">
        <v>71000.0</v>
      </c>
      <c r="H61" s="137">
        <v>188000.0</v>
      </c>
      <c r="I61" s="137">
        <v>17500.0</v>
      </c>
      <c r="J61" s="137">
        <v>48500.0</v>
      </c>
      <c r="K61" s="137">
        <v>88000.0</v>
      </c>
      <c r="L61" s="349">
        <v>30000.0</v>
      </c>
      <c r="M61" s="349">
        <v>25000.0</v>
      </c>
      <c r="N61" s="349">
        <v>106000.0</v>
      </c>
      <c r="O61" s="349">
        <v>2500.0</v>
      </c>
      <c r="P61" s="198">
        <f t="shared" ref="P61:BX61" si="55">P$52*P69</f>
        <v>32210.16317</v>
      </c>
      <c r="Q61" s="198">
        <f t="shared" si="55"/>
        <v>35988.82749</v>
      </c>
      <c r="R61" s="198">
        <f t="shared" si="55"/>
        <v>34439.26794</v>
      </c>
      <c r="S61" s="198">
        <f t="shared" si="55"/>
        <v>52369.53795</v>
      </c>
      <c r="T61" s="198">
        <f t="shared" si="55"/>
        <v>71634.3511</v>
      </c>
      <c r="U61" s="198">
        <f t="shared" si="55"/>
        <v>37353.24152</v>
      </c>
      <c r="V61" s="198">
        <f t="shared" si="55"/>
        <v>38125.3818</v>
      </c>
      <c r="W61" s="198">
        <f t="shared" si="55"/>
        <v>25942.72887</v>
      </c>
      <c r="X61" s="198">
        <f t="shared" si="55"/>
        <v>26428.90395</v>
      </c>
      <c r="Y61" s="198">
        <f t="shared" si="55"/>
        <v>42361.98677</v>
      </c>
      <c r="Z61" s="198">
        <f t="shared" si="55"/>
        <v>73573.97488</v>
      </c>
      <c r="AA61" s="198">
        <f t="shared" si="55"/>
        <v>76281.08532</v>
      </c>
      <c r="AB61" s="198">
        <f t="shared" si="55"/>
        <v>79967.83534</v>
      </c>
      <c r="AC61" s="198">
        <f t="shared" si="55"/>
        <v>56150.83524</v>
      </c>
      <c r="AD61" s="198">
        <f t="shared" si="55"/>
        <v>66022.17022</v>
      </c>
      <c r="AE61" s="198">
        <f t="shared" si="55"/>
        <v>66734.87189</v>
      </c>
      <c r="AF61" s="198">
        <f t="shared" si="55"/>
        <v>67455.92379</v>
      </c>
      <c r="AG61" s="198">
        <f t="shared" si="55"/>
        <v>68185.42772</v>
      </c>
      <c r="AH61" s="198">
        <f t="shared" si="55"/>
        <v>68923.48674</v>
      </c>
      <c r="AI61" s="198">
        <f t="shared" si="55"/>
        <v>69670.20519</v>
      </c>
      <c r="AJ61" s="198">
        <f t="shared" si="55"/>
        <v>70425.68873</v>
      </c>
      <c r="AK61" s="198">
        <f t="shared" si="55"/>
        <v>71190.04433</v>
      </c>
      <c r="AL61" s="198">
        <f t="shared" si="55"/>
        <v>71963.38029</v>
      </c>
      <c r="AM61" s="198">
        <f t="shared" si="55"/>
        <v>72745.80626</v>
      </c>
      <c r="AN61" s="198">
        <f t="shared" si="55"/>
        <v>73537.43329</v>
      </c>
      <c r="AO61" s="198">
        <f t="shared" si="55"/>
        <v>74332.47428</v>
      </c>
      <c r="AP61" s="198">
        <f t="shared" si="55"/>
        <v>75115.07748</v>
      </c>
      <c r="AQ61" s="198">
        <f t="shared" si="55"/>
        <v>75906.53709</v>
      </c>
      <c r="AR61" s="198">
        <f t="shared" si="55"/>
        <v>76706.95679</v>
      </c>
      <c r="AS61" s="198">
        <f t="shared" si="55"/>
        <v>77516.44146</v>
      </c>
      <c r="AT61" s="198">
        <f t="shared" si="55"/>
        <v>78335.09724</v>
      </c>
      <c r="AU61" s="198">
        <f t="shared" si="55"/>
        <v>79163.03154</v>
      </c>
      <c r="AV61" s="198">
        <f t="shared" si="55"/>
        <v>80000.35304</v>
      </c>
      <c r="AW61" s="198">
        <f t="shared" si="55"/>
        <v>80847.1717</v>
      </c>
      <c r="AX61" s="198">
        <f t="shared" si="55"/>
        <v>81703.59881</v>
      </c>
      <c r="AY61" s="198">
        <f t="shared" si="55"/>
        <v>82569.74697</v>
      </c>
      <c r="AZ61" s="198">
        <f t="shared" si="55"/>
        <v>83445.73011</v>
      </c>
      <c r="BA61" s="198">
        <f t="shared" si="55"/>
        <v>83530.73844</v>
      </c>
      <c r="BB61" s="198">
        <f t="shared" si="55"/>
        <v>84615.84184</v>
      </c>
      <c r="BC61" s="198">
        <f t="shared" si="55"/>
        <v>79549.43302</v>
      </c>
      <c r="BD61" s="198">
        <f t="shared" si="55"/>
        <v>80598.02583</v>
      </c>
      <c r="BE61" s="198">
        <f t="shared" si="55"/>
        <v>81665.19572</v>
      </c>
      <c r="BF61" s="198">
        <f t="shared" si="55"/>
        <v>82751.37523</v>
      </c>
      <c r="BG61" s="198">
        <f t="shared" si="55"/>
        <v>83857.00902</v>
      </c>
      <c r="BH61" s="198">
        <f t="shared" si="55"/>
        <v>84982.55417</v>
      </c>
      <c r="BI61" s="198">
        <f t="shared" si="55"/>
        <v>86128.48065</v>
      </c>
      <c r="BJ61" s="198">
        <f t="shared" si="55"/>
        <v>87295.27163</v>
      </c>
      <c r="BK61" s="198">
        <f t="shared" si="55"/>
        <v>88483.42393</v>
      </c>
      <c r="BL61" s="198">
        <f t="shared" si="55"/>
        <v>89693.44844</v>
      </c>
      <c r="BM61" s="198">
        <f t="shared" si="55"/>
        <v>92253.45462</v>
      </c>
      <c r="BN61" s="198">
        <f t="shared" si="55"/>
        <v>92671.44641</v>
      </c>
      <c r="BO61" s="198">
        <f t="shared" si="55"/>
        <v>86712.18905</v>
      </c>
      <c r="BP61" s="198">
        <f t="shared" si="55"/>
        <v>87091.51886</v>
      </c>
      <c r="BQ61" s="198">
        <f t="shared" si="55"/>
        <v>87488.81195</v>
      </c>
      <c r="BR61" s="198">
        <f t="shared" si="55"/>
        <v>87903.91849</v>
      </c>
      <c r="BS61" s="198">
        <f t="shared" si="55"/>
        <v>88336.69629</v>
      </c>
      <c r="BT61" s="198">
        <f t="shared" si="55"/>
        <v>88787.01074</v>
      </c>
      <c r="BU61" s="198">
        <f t="shared" si="55"/>
        <v>89254.73458</v>
      </c>
      <c r="BV61" s="198">
        <f t="shared" si="55"/>
        <v>89739.74779</v>
      </c>
      <c r="BW61" s="198">
        <f t="shared" si="55"/>
        <v>90241.93746</v>
      </c>
      <c r="BX61" s="198">
        <f t="shared" si="55"/>
        <v>90761.19761</v>
      </c>
    </row>
    <row r="62" ht="15.75" customHeight="1">
      <c r="A62" s="1" t="s">
        <v>96</v>
      </c>
      <c r="B62" s="207"/>
      <c r="C62" s="282"/>
      <c r="D62" s="1"/>
      <c r="E62" s="137">
        <v>0.0</v>
      </c>
      <c r="F62" s="137">
        <v>0.0</v>
      </c>
      <c r="G62" s="137">
        <v>0.0</v>
      </c>
      <c r="H62" s="137">
        <v>0.0</v>
      </c>
      <c r="I62" s="137">
        <v>0.0</v>
      </c>
      <c r="J62" s="137">
        <v>0.0</v>
      </c>
      <c r="K62" s="137">
        <v>0.0</v>
      </c>
      <c r="L62" s="196">
        <v>0.0</v>
      </c>
      <c r="M62" s="196">
        <f t="shared" ref="M62:N62" si="56">L62</f>
        <v>0</v>
      </c>
      <c r="N62" s="196">
        <f t="shared" si="56"/>
        <v>0</v>
      </c>
      <c r="O62" s="349">
        <v>100000.0</v>
      </c>
      <c r="P62" s="196">
        <v>0.0</v>
      </c>
      <c r="Q62" s="196">
        <v>0.0</v>
      </c>
      <c r="R62" s="196">
        <f t="shared" ref="R62:BX62" si="57">Q62</f>
        <v>0</v>
      </c>
      <c r="S62" s="196">
        <f t="shared" si="57"/>
        <v>0</v>
      </c>
      <c r="T62" s="196">
        <f t="shared" si="57"/>
        <v>0</v>
      </c>
      <c r="U62" s="196">
        <f t="shared" si="57"/>
        <v>0</v>
      </c>
      <c r="V62" s="196">
        <f t="shared" si="57"/>
        <v>0</v>
      </c>
      <c r="W62" s="196">
        <f t="shared" si="57"/>
        <v>0</v>
      </c>
      <c r="X62" s="196">
        <f t="shared" si="57"/>
        <v>0</v>
      </c>
      <c r="Y62" s="196">
        <f t="shared" si="57"/>
        <v>0</v>
      </c>
      <c r="Z62" s="196">
        <f t="shared" si="57"/>
        <v>0</v>
      </c>
      <c r="AA62" s="196">
        <f t="shared" si="57"/>
        <v>0</v>
      </c>
      <c r="AB62" s="196">
        <f t="shared" si="57"/>
        <v>0</v>
      </c>
      <c r="AC62" s="196">
        <f t="shared" si="57"/>
        <v>0</v>
      </c>
      <c r="AD62" s="196">
        <f t="shared" si="57"/>
        <v>0</v>
      </c>
      <c r="AE62" s="196">
        <f t="shared" si="57"/>
        <v>0</v>
      </c>
      <c r="AF62" s="196">
        <f t="shared" si="57"/>
        <v>0</v>
      </c>
      <c r="AG62" s="196">
        <f t="shared" si="57"/>
        <v>0</v>
      </c>
      <c r="AH62" s="196">
        <f t="shared" si="57"/>
        <v>0</v>
      </c>
      <c r="AI62" s="196">
        <f t="shared" si="57"/>
        <v>0</v>
      </c>
      <c r="AJ62" s="196">
        <f t="shared" si="57"/>
        <v>0</v>
      </c>
      <c r="AK62" s="196">
        <f t="shared" si="57"/>
        <v>0</v>
      </c>
      <c r="AL62" s="196">
        <f t="shared" si="57"/>
        <v>0</v>
      </c>
      <c r="AM62" s="196">
        <f t="shared" si="57"/>
        <v>0</v>
      </c>
      <c r="AN62" s="196">
        <f t="shared" si="57"/>
        <v>0</v>
      </c>
      <c r="AO62" s="196">
        <f t="shared" si="57"/>
        <v>0</v>
      </c>
      <c r="AP62" s="196">
        <f t="shared" si="57"/>
        <v>0</v>
      </c>
      <c r="AQ62" s="196">
        <f t="shared" si="57"/>
        <v>0</v>
      </c>
      <c r="AR62" s="196">
        <f t="shared" si="57"/>
        <v>0</v>
      </c>
      <c r="AS62" s="196">
        <f t="shared" si="57"/>
        <v>0</v>
      </c>
      <c r="AT62" s="196">
        <f t="shared" si="57"/>
        <v>0</v>
      </c>
      <c r="AU62" s="196">
        <f t="shared" si="57"/>
        <v>0</v>
      </c>
      <c r="AV62" s="196">
        <f t="shared" si="57"/>
        <v>0</v>
      </c>
      <c r="AW62" s="196">
        <f t="shared" si="57"/>
        <v>0</v>
      </c>
      <c r="AX62" s="196">
        <f t="shared" si="57"/>
        <v>0</v>
      </c>
      <c r="AY62" s="196">
        <f t="shared" si="57"/>
        <v>0</v>
      </c>
      <c r="AZ62" s="196">
        <f t="shared" si="57"/>
        <v>0</v>
      </c>
      <c r="BA62" s="196">
        <f t="shared" si="57"/>
        <v>0</v>
      </c>
      <c r="BB62" s="196">
        <f t="shared" si="57"/>
        <v>0</v>
      </c>
      <c r="BC62" s="196">
        <f t="shared" si="57"/>
        <v>0</v>
      </c>
      <c r="BD62" s="196">
        <f t="shared" si="57"/>
        <v>0</v>
      </c>
      <c r="BE62" s="196">
        <f t="shared" si="57"/>
        <v>0</v>
      </c>
      <c r="BF62" s="196">
        <f t="shared" si="57"/>
        <v>0</v>
      </c>
      <c r="BG62" s="196">
        <f t="shared" si="57"/>
        <v>0</v>
      </c>
      <c r="BH62" s="196">
        <f t="shared" si="57"/>
        <v>0</v>
      </c>
      <c r="BI62" s="196">
        <f t="shared" si="57"/>
        <v>0</v>
      </c>
      <c r="BJ62" s="196">
        <f t="shared" si="57"/>
        <v>0</v>
      </c>
      <c r="BK62" s="196">
        <f t="shared" si="57"/>
        <v>0</v>
      </c>
      <c r="BL62" s="196">
        <f t="shared" si="57"/>
        <v>0</v>
      </c>
      <c r="BM62" s="196">
        <f t="shared" si="57"/>
        <v>0</v>
      </c>
      <c r="BN62" s="196">
        <f t="shared" si="57"/>
        <v>0</v>
      </c>
      <c r="BO62" s="196">
        <f t="shared" si="57"/>
        <v>0</v>
      </c>
      <c r="BP62" s="196">
        <f t="shared" si="57"/>
        <v>0</v>
      </c>
      <c r="BQ62" s="196">
        <f t="shared" si="57"/>
        <v>0</v>
      </c>
      <c r="BR62" s="196">
        <f t="shared" si="57"/>
        <v>0</v>
      </c>
      <c r="BS62" s="196">
        <f t="shared" si="57"/>
        <v>0</v>
      </c>
      <c r="BT62" s="196">
        <f t="shared" si="57"/>
        <v>0</v>
      </c>
      <c r="BU62" s="196">
        <f t="shared" si="57"/>
        <v>0</v>
      </c>
      <c r="BV62" s="196">
        <f t="shared" si="57"/>
        <v>0</v>
      </c>
      <c r="BW62" s="196">
        <f t="shared" si="57"/>
        <v>0</v>
      </c>
      <c r="BX62" s="196">
        <f t="shared" si="57"/>
        <v>0</v>
      </c>
    </row>
    <row r="63" ht="15.75" customHeight="1">
      <c r="A63" s="4"/>
      <c r="B63" s="282"/>
      <c r="C63" s="282"/>
      <c r="D63" s="1"/>
      <c r="E63" s="1"/>
      <c r="F63" s="1"/>
      <c r="G63" s="1"/>
      <c r="H63" s="1"/>
      <c r="I63" s="1"/>
      <c r="J63" s="1"/>
      <c r="K63" s="1"/>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row>
    <row r="64" ht="15.75" customHeight="1">
      <c r="A64" s="377" t="s">
        <v>647</v>
      </c>
      <c r="B64" s="282"/>
      <c r="C64" s="282"/>
      <c r="D64" s="1"/>
      <c r="E64" s="1"/>
      <c r="F64" s="1"/>
      <c r="G64" s="1"/>
      <c r="H64" s="1"/>
      <c r="I64" s="1"/>
      <c r="J64" s="1"/>
      <c r="K64" s="1"/>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row>
    <row r="65" ht="15.75" customHeight="1">
      <c r="A65" s="1" t="s">
        <v>47</v>
      </c>
      <c r="B65" s="282"/>
      <c r="C65" s="282"/>
      <c r="D65" s="1"/>
      <c r="E65" s="1"/>
      <c r="F65" s="1"/>
      <c r="G65" s="1"/>
      <c r="H65" s="1"/>
      <c r="I65" s="1"/>
      <c r="J65" s="1"/>
      <c r="K65" s="1"/>
      <c r="L65" s="369">
        <f t="shared" ref="L65:O65" si="58">L57/L$52</f>
        <v>0.7183641975</v>
      </c>
      <c r="M65" s="369">
        <f t="shared" si="58"/>
        <v>0</v>
      </c>
      <c r="N65" s="369">
        <f t="shared" si="58"/>
        <v>0.6657645467</v>
      </c>
      <c r="O65" s="369">
        <f t="shared" si="58"/>
        <v>0.549968345</v>
      </c>
      <c r="P65" s="234">
        <v>0.42</v>
      </c>
      <c r="Q65" s="234">
        <v>0.4</v>
      </c>
      <c r="R65" s="234">
        <v>0.4</v>
      </c>
      <c r="S65" s="234">
        <v>0.39</v>
      </c>
      <c r="T65" s="234">
        <v>0.38</v>
      </c>
      <c r="U65" s="234">
        <v>0.41</v>
      </c>
      <c r="V65" s="234">
        <v>0.42</v>
      </c>
      <c r="W65" s="234">
        <v>0.42</v>
      </c>
      <c r="X65" s="234">
        <v>0.42</v>
      </c>
      <c r="Y65" s="234">
        <v>0.42</v>
      </c>
      <c r="Z65" s="234">
        <v>0.41</v>
      </c>
      <c r="AA65" s="234">
        <v>0.41</v>
      </c>
      <c r="AB65" s="234">
        <v>0.41</v>
      </c>
      <c r="AC65" s="234">
        <v>0.41</v>
      </c>
      <c r="AD65" s="234">
        <v>0.41</v>
      </c>
      <c r="AE65" s="234">
        <v>0.41</v>
      </c>
      <c r="AF65" s="234">
        <v>0.41</v>
      </c>
      <c r="AG65" s="234">
        <v>0.41</v>
      </c>
      <c r="AH65" s="234">
        <v>0.41</v>
      </c>
      <c r="AI65" s="234">
        <v>0.41</v>
      </c>
      <c r="AJ65" s="234">
        <v>0.41</v>
      </c>
      <c r="AK65" s="234">
        <v>0.41</v>
      </c>
      <c r="AL65" s="234">
        <v>0.41</v>
      </c>
      <c r="AM65" s="234">
        <v>0.41</v>
      </c>
      <c r="AN65" s="234">
        <v>0.41</v>
      </c>
      <c r="AO65" s="234">
        <v>0.41</v>
      </c>
      <c r="AP65" s="234">
        <v>0.41</v>
      </c>
      <c r="AQ65" s="234">
        <v>0.41</v>
      </c>
      <c r="AR65" s="234">
        <v>0.41</v>
      </c>
      <c r="AS65" s="234">
        <v>0.41</v>
      </c>
      <c r="AT65" s="234">
        <v>0.41</v>
      </c>
      <c r="AU65" s="234">
        <v>0.41</v>
      </c>
      <c r="AV65" s="234">
        <v>0.41</v>
      </c>
      <c r="AW65" s="234">
        <v>0.41</v>
      </c>
      <c r="AX65" s="234">
        <v>0.41</v>
      </c>
      <c r="AY65" s="234">
        <v>0.41</v>
      </c>
      <c r="AZ65" s="234">
        <v>0.41</v>
      </c>
      <c r="BA65" s="234">
        <v>0.41</v>
      </c>
      <c r="BB65" s="234">
        <v>0.41</v>
      </c>
      <c r="BC65" s="234">
        <v>0.41</v>
      </c>
      <c r="BD65" s="234">
        <v>0.41</v>
      </c>
      <c r="BE65" s="234">
        <v>0.41</v>
      </c>
      <c r="BF65" s="234">
        <v>0.41</v>
      </c>
      <c r="BG65" s="234">
        <v>0.41</v>
      </c>
      <c r="BH65" s="234">
        <v>0.41</v>
      </c>
      <c r="BI65" s="234">
        <v>0.41</v>
      </c>
      <c r="BJ65" s="234">
        <v>0.41</v>
      </c>
      <c r="BK65" s="234">
        <v>0.41</v>
      </c>
      <c r="BL65" s="234">
        <v>0.41</v>
      </c>
      <c r="BM65" s="234">
        <v>0.41</v>
      </c>
      <c r="BN65" s="234">
        <v>0.41</v>
      </c>
      <c r="BO65" s="234">
        <v>0.41</v>
      </c>
      <c r="BP65" s="234">
        <v>0.41</v>
      </c>
      <c r="BQ65" s="234">
        <v>0.41</v>
      </c>
      <c r="BR65" s="234">
        <v>0.41</v>
      </c>
      <c r="BS65" s="234">
        <v>0.41</v>
      </c>
      <c r="BT65" s="234">
        <v>0.41</v>
      </c>
      <c r="BU65" s="234">
        <v>0.41</v>
      </c>
      <c r="BV65" s="234">
        <v>0.41</v>
      </c>
      <c r="BW65" s="234">
        <v>0.41</v>
      </c>
      <c r="BX65" s="234">
        <v>0.41</v>
      </c>
    </row>
    <row r="66" ht="15.75" customHeight="1">
      <c r="A66" s="1" t="s">
        <v>85</v>
      </c>
      <c r="B66" s="282"/>
      <c r="C66" s="282"/>
      <c r="D66" s="1"/>
      <c r="E66" s="1"/>
      <c r="F66" s="1"/>
      <c r="G66" s="1"/>
      <c r="H66" s="1"/>
      <c r="I66" s="1"/>
      <c r="J66" s="1"/>
      <c r="K66" s="1"/>
      <c r="L66" s="369">
        <f t="shared" ref="L66:O66" si="59">L58/L$52</f>
        <v>0.02391975309</v>
      </c>
      <c r="M66" s="369">
        <f t="shared" si="59"/>
        <v>0.1986206897</v>
      </c>
      <c r="N66" s="369">
        <f t="shared" si="59"/>
        <v>0</v>
      </c>
      <c r="O66" s="369">
        <f t="shared" si="59"/>
        <v>0.2637419894</v>
      </c>
      <c r="P66" s="234">
        <v>0.31</v>
      </c>
      <c r="Q66" s="234">
        <v>0.32</v>
      </c>
      <c r="R66" s="234">
        <v>0.33</v>
      </c>
      <c r="S66" s="234">
        <v>0.33</v>
      </c>
      <c r="T66" s="234">
        <v>0.33</v>
      </c>
      <c r="U66" s="234">
        <v>0.34</v>
      </c>
      <c r="V66" s="234">
        <v>0.33</v>
      </c>
      <c r="W66" s="234">
        <v>0.34</v>
      </c>
      <c r="X66" s="234">
        <v>0.34</v>
      </c>
      <c r="Y66" s="234">
        <v>0.33</v>
      </c>
      <c r="Z66" s="234">
        <v>0.33</v>
      </c>
      <c r="AA66" s="234">
        <v>0.33</v>
      </c>
      <c r="AB66" s="234">
        <v>0.33</v>
      </c>
      <c r="AC66" s="234">
        <v>0.33</v>
      </c>
      <c r="AD66" s="234">
        <v>0.33</v>
      </c>
      <c r="AE66" s="234">
        <v>0.33</v>
      </c>
      <c r="AF66" s="234">
        <v>0.33</v>
      </c>
      <c r="AG66" s="234">
        <v>0.33</v>
      </c>
      <c r="AH66" s="234">
        <v>0.33</v>
      </c>
      <c r="AI66" s="234">
        <v>0.33</v>
      </c>
      <c r="AJ66" s="234">
        <v>0.33</v>
      </c>
      <c r="AK66" s="234">
        <v>0.33</v>
      </c>
      <c r="AL66" s="234">
        <v>0.33</v>
      </c>
      <c r="AM66" s="234">
        <v>0.33</v>
      </c>
      <c r="AN66" s="234">
        <v>0.33</v>
      </c>
      <c r="AO66" s="234">
        <v>0.33</v>
      </c>
      <c r="AP66" s="234">
        <v>0.33</v>
      </c>
      <c r="AQ66" s="234">
        <v>0.33</v>
      </c>
      <c r="AR66" s="234">
        <v>0.33</v>
      </c>
      <c r="AS66" s="234">
        <v>0.33</v>
      </c>
      <c r="AT66" s="234">
        <v>0.33</v>
      </c>
      <c r="AU66" s="234">
        <v>0.33</v>
      </c>
      <c r="AV66" s="234">
        <v>0.33</v>
      </c>
      <c r="AW66" s="234">
        <v>0.33</v>
      </c>
      <c r="AX66" s="234">
        <v>0.33</v>
      </c>
      <c r="AY66" s="234">
        <v>0.33</v>
      </c>
      <c r="AZ66" s="234">
        <v>0.33</v>
      </c>
      <c r="BA66" s="234">
        <v>0.33</v>
      </c>
      <c r="BB66" s="234">
        <v>0.33</v>
      </c>
      <c r="BC66" s="234">
        <v>0.33</v>
      </c>
      <c r="BD66" s="234">
        <v>0.33</v>
      </c>
      <c r="BE66" s="234">
        <v>0.33</v>
      </c>
      <c r="BF66" s="234">
        <v>0.33</v>
      </c>
      <c r="BG66" s="234">
        <v>0.33</v>
      </c>
      <c r="BH66" s="234">
        <v>0.33</v>
      </c>
      <c r="BI66" s="234">
        <v>0.33</v>
      </c>
      <c r="BJ66" s="234">
        <v>0.33</v>
      </c>
      <c r="BK66" s="234">
        <v>0.33</v>
      </c>
      <c r="BL66" s="234">
        <v>0.33</v>
      </c>
      <c r="BM66" s="234">
        <v>0.33</v>
      </c>
      <c r="BN66" s="234">
        <v>0.33</v>
      </c>
      <c r="BO66" s="234">
        <v>0.33</v>
      </c>
      <c r="BP66" s="234">
        <v>0.33</v>
      </c>
      <c r="BQ66" s="234">
        <v>0.33</v>
      </c>
      <c r="BR66" s="234">
        <v>0.33</v>
      </c>
      <c r="BS66" s="234">
        <v>0.33</v>
      </c>
      <c r="BT66" s="234">
        <v>0.33</v>
      </c>
      <c r="BU66" s="234">
        <v>0.33</v>
      </c>
      <c r="BV66" s="234">
        <v>0.33</v>
      </c>
      <c r="BW66" s="234">
        <v>0.33</v>
      </c>
      <c r="BX66" s="234">
        <v>0.33</v>
      </c>
    </row>
    <row r="67" ht="15.75" customHeight="1">
      <c r="A67" s="1" t="s">
        <v>87</v>
      </c>
      <c r="B67" s="282"/>
      <c r="C67" s="282"/>
      <c r="D67" s="1"/>
      <c r="E67" s="1"/>
      <c r="F67" s="1"/>
      <c r="G67" s="1"/>
      <c r="H67" s="1"/>
      <c r="I67" s="1"/>
      <c r="J67" s="1"/>
      <c r="K67" s="1"/>
      <c r="L67" s="369">
        <f t="shared" ref="L67:O67" si="60">L59/L$52</f>
        <v>0.2345679012</v>
      </c>
      <c r="M67" s="369">
        <f t="shared" si="60"/>
        <v>0.01172413793</v>
      </c>
      <c r="N67" s="369">
        <f t="shared" si="60"/>
        <v>0</v>
      </c>
      <c r="O67" s="369">
        <f t="shared" si="60"/>
        <v>0.1022110981</v>
      </c>
      <c r="P67" s="234">
        <v>0.15</v>
      </c>
      <c r="Q67" s="234">
        <v>0.17</v>
      </c>
      <c r="R67" s="234">
        <v>0.17</v>
      </c>
      <c r="S67" s="234">
        <v>0.17</v>
      </c>
      <c r="T67" s="234">
        <v>0.17</v>
      </c>
      <c r="U67" s="234">
        <v>0.17</v>
      </c>
      <c r="V67" s="234">
        <v>0.17</v>
      </c>
      <c r="W67" s="234">
        <v>0.17</v>
      </c>
      <c r="X67" s="234">
        <v>0.17</v>
      </c>
      <c r="Y67" s="234">
        <v>0.17</v>
      </c>
      <c r="Z67" s="234">
        <v>0.14</v>
      </c>
      <c r="AA67" s="234">
        <v>0.14</v>
      </c>
      <c r="AB67" s="234">
        <v>0.14</v>
      </c>
      <c r="AC67" s="234">
        <v>0.14</v>
      </c>
      <c r="AD67" s="234">
        <v>0.14</v>
      </c>
      <c r="AE67" s="234">
        <v>0.14</v>
      </c>
      <c r="AF67" s="234">
        <v>0.14</v>
      </c>
      <c r="AG67" s="234">
        <v>0.14</v>
      </c>
      <c r="AH67" s="234">
        <v>0.14</v>
      </c>
      <c r="AI67" s="234">
        <v>0.14</v>
      </c>
      <c r="AJ67" s="234">
        <v>0.14</v>
      </c>
      <c r="AK67" s="234">
        <v>0.14</v>
      </c>
      <c r="AL67" s="234">
        <v>0.14</v>
      </c>
      <c r="AM67" s="234">
        <v>0.14</v>
      </c>
      <c r="AN67" s="234">
        <v>0.14</v>
      </c>
      <c r="AO67" s="234">
        <v>0.14</v>
      </c>
      <c r="AP67" s="234">
        <v>0.14</v>
      </c>
      <c r="AQ67" s="234">
        <v>0.14</v>
      </c>
      <c r="AR67" s="234">
        <v>0.14</v>
      </c>
      <c r="AS67" s="234">
        <v>0.14</v>
      </c>
      <c r="AT67" s="234">
        <v>0.14</v>
      </c>
      <c r="AU67" s="234">
        <v>0.14</v>
      </c>
      <c r="AV67" s="234">
        <v>0.14</v>
      </c>
      <c r="AW67" s="234">
        <v>0.14</v>
      </c>
      <c r="AX67" s="234">
        <v>0.14</v>
      </c>
      <c r="AY67" s="234">
        <v>0.14</v>
      </c>
      <c r="AZ67" s="234">
        <v>0.14</v>
      </c>
      <c r="BA67" s="234">
        <v>0.14</v>
      </c>
      <c r="BB67" s="234">
        <v>0.14</v>
      </c>
      <c r="BC67" s="234">
        <v>0.14</v>
      </c>
      <c r="BD67" s="234">
        <v>0.14</v>
      </c>
      <c r="BE67" s="234">
        <v>0.14</v>
      </c>
      <c r="BF67" s="234">
        <v>0.14</v>
      </c>
      <c r="BG67" s="234">
        <v>0.14</v>
      </c>
      <c r="BH67" s="234">
        <v>0.14</v>
      </c>
      <c r="BI67" s="234">
        <v>0.14</v>
      </c>
      <c r="BJ67" s="234">
        <v>0.14</v>
      </c>
      <c r="BK67" s="234">
        <v>0.14</v>
      </c>
      <c r="BL67" s="234">
        <v>0.14</v>
      </c>
      <c r="BM67" s="234">
        <v>0.14</v>
      </c>
      <c r="BN67" s="234">
        <v>0.14</v>
      </c>
      <c r="BO67" s="234">
        <v>0.14</v>
      </c>
      <c r="BP67" s="234">
        <v>0.14</v>
      </c>
      <c r="BQ67" s="234">
        <v>0.14</v>
      </c>
      <c r="BR67" s="234">
        <v>0.14</v>
      </c>
      <c r="BS67" s="234">
        <v>0.14</v>
      </c>
      <c r="BT67" s="234">
        <v>0.14</v>
      </c>
      <c r="BU67" s="234">
        <v>0.14</v>
      </c>
      <c r="BV67" s="234">
        <v>0.14</v>
      </c>
      <c r="BW67" s="234">
        <v>0.14</v>
      </c>
      <c r="BX67" s="234">
        <v>0.14</v>
      </c>
    </row>
    <row r="68" ht="15.75" customHeight="1">
      <c r="A68" s="1" t="s">
        <v>89</v>
      </c>
      <c r="B68" s="282"/>
      <c r="C68" s="282"/>
      <c r="D68" s="1"/>
      <c r="E68" s="1"/>
      <c r="F68" s="1"/>
      <c r="G68" s="1"/>
      <c r="H68" s="1"/>
      <c r="I68" s="1"/>
      <c r="J68" s="1"/>
      <c r="K68" s="1"/>
      <c r="L68" s="369">
        <f t="shared" ref="L68:O68" si="61">L60/L$52</f>
        <v>0</v>
      </c>
      <c r="M68" s="369">
        <f t="shared" si="61"/>
        <v>0.08275862069</v>
      </c>
      <c r="N68" s="369">
        <f t="shared" si="61"/>
        <v>0.04736129905</v>
      </c>
      <c r="O68" s="369">
        <f t="shared" si="61"/>
        <v>0.1805867756</v>
      </c>
      <c r="P68" s="234">
        <v>0.07</v>
      </c>
      <c r="Q68" s="234">
        <v>0.06</v>
      </c>
      <c r="R68" s="234">
        <v>0.06</v>
      </c>
      <c r="S68" s="234">
        <v>0.06</v>
      </c>
      <c r="T68" s="234">
        <v>0.06</v>
      </c>
      <c r="U68" s="234">
        <v>0.05</v>
      </c>
      <c r="V68" s="234">
        <v>0.05</v>
      </c>
      <c r="W68" s="234">
        <v>0.05</v>
      </c>
      <c r="X68" s="234">
        <v>0.05</v>
      </c>
      <c r="Y68" s="234">
        <v>0.05</v>
      </c>
      <c r="Z68" s="234">
        <v>0.07</v>
      </c>
      <c r="AA68" s="234">
        <v>0.07</v>
      </c>
      <c r="AB68" s="234">
        <v>0.07</v>
      </c>
      <c r="AC68" s="234">
        <v>0.07</v>
      </c>
      <c r="AD68" s="234">
        <v>0.07</v>
      </c>
      <c r="AE68" s="234">
        <v>0.07</v>
      </c>
      <c r="AF68" s="234">
        <v>0.07</v>
      </c>
      <c r="AG68" s="234">
        <v>0.07</v>
      </c>
      <c r="AH68" s="234">
        <v>0.07</v>
      </c>
      <c r="AI68" s="234">
        <v>0.07</v>
      </c>
      <c r="AJ68" s="234">
        <v>0.07</v>
      </c>
      <c r="AK68" s="234">
        <v>0.07</v>
      </c>
      <c r="AL68" s="234">
        <v>0.07</v>
      </c>
      <c r="AM68" s="234">
        <v>0.07</v>
      </c>
      <c r="AN68" s="234">
        <v>0.07</v>
      </c>
      <c r="AO68" s="234">
        <v>0.07</v>
      </c>
      <c r="AP68" s="234">
        <v>0.07</v>
      </c>
      <c r="AQ68" s="234">
        <v>0.07</v>
      </c>
      <c r="AR68" s="234">
        <v>0.07</v>
      </c>
      <c r="AS68" s="234">
        <v>0.07</v>
      </c>
      <c r="AT68" s="234">
        <v>0.07</v>
      </c>
      <c r="AU68" s="234">
        <v>0.07</v>
      </c>
      <c r="AV68" s="234">
        <v>0.07</v>
      </c>
      <c r="AW68" s="234">
        <v>0.07</v>
      </c>
      <c r="AX68" s="234">
        <v>0.07</v>
      </c>
      <c r="AY68" s="234">
        <v>0.07</v>
      </c>
      <c r="AZ68" s="234">
        <v>0.07</v>
      </c>
      <c r="BA68" s="234">
        <v>0.07</v>
      </c>
      <c r="BB68" s="234">
        <v>0.07</v>
      </c>
      <c r="BC68" s="234">
        <v>0.07</v>
      </c>
      <c r="BD68" s="234">
        <v>0.07</v>
      </c>
      <c r="BE68" s="234">
        <v>0.07</v>
      </c>
      <c r="BF68" s="234">
        <v>0.07</v>
      </c>
      <c r="BG68" s="234">
        <v>0.07</v>
      </c>
      <c r="BH68" s="234">
        <v>0.07</v>
      </c>
      <c r="BI68" s="234">
        <v>0.07</v>
      </c>
      <c r="BJ68" s="234">
        <v>0.07</v>
      </c>
      <c r="BK68" s="234">
        <v>0.07</v>
      </c>
      <c r="BL68" s="234">
        <v>0.07</v>
      </c>
      <c r="BM68" s="234">
        <v>0.07</v>
      </c>
      <c r="BN68" s="234">
        <v>0.07</v>
      </c>
      <c r="BO68" s="234">
        <v>0.07</v>
      </c>
      <c r="BP68" s="234">
        <v>0.07</v>
      </c>
      <c r="BQ68" s="234">
        <v>0.07</v>
      </c>
      <c r="BR68" s="234">
        <v>0.07</v>
      </c>
      <c r="BS68" s="234">
        <v>0.07</v>
      </c>
      <c r="BT68" s="234">
        <v>0.07</v>
      </c>
      <c r="BU68" s="234">
        <v>0.07</v>
      </c>
      <c r="BV68" s="234">
        <v>0.07</v>
      </c>
      <c r="BW68" s="234">
        <v>0.07</v>
      </c>
      <c r="BX68" s="234">
        <v>0.07</v>
      </c>
    </row>
    <row r="69" ht="15.75" customHeight="1">
      <c r="A69" s="1" t="s">
        <v>646</v>
      </c>
      <c r="B69" s="282"/>
      <c r="C69" s="282"/>
      <c r="D69" s="1"/>
      <c r="E69" s="1"/>
      <c r="F69" s="1"/>
      <c r="G69" s="1"/>
      <c r="H69" s="1"/>
      <c r="I69" s="1"/>
      <c r="J69" s="1"/>
      <c r="K69" s="1"/>
      <c r="L69" s="369">
        <f t="shared" ref="L69:O69" si="62">L61/L$52</f>
        <v>0.02314814815</v>
      </c>
      <c r="M69" s="369">
        <f t="shared" si="62"/>
        <v>0.03448275862</v>
      </c>
      <c r="N69" s="369">
        <f t="shared" si="62"/>
        <v>0.2868741543</v>
      </c>
      <c r="O69" s="369">
        <f t="shared" si="62"/>
        <v>0.002594190307</v>
      </c>
      <c r="P69" s="207">
        <f t="shared" ref="P69:BX69" si="63">1-SUM(P65:P68,P70)</f>
        <v>0.05</v>
      </c>
      <c r="Q69" s="207">
        <f t="shared" si="63"/>
        <v>0.05</v>
      </c>
      <c r="R69" s="207">
        <f t="shared" si="63"/>
        <v>0.04</v>
      </c>
      <c r="S69" s="207">
        <f t="shared" si="63"/>
        <v>0.05</v>
      </c>
      <c r="T69" s="207">
        <f t="shared" si="63"/>
        <v>0.06</v>
      </c>
      <c r="U69" s="207">
        <f t="shared" si="63"/>
        <v>0.03</v>
      </c>
      <c r="V69" s="207">
        <f t="shared" si="63"/>
        <v>0.03</v>
      </c>
      <c r="W69" s="207">
        <f t="shared" si="63"/>
        <v>0.02</v>
      </c>
      <c r="X69" s="207">
        <f t="shared" si="63"/>
        <v>0.02</v>
      </c>
      <c r="Y69" s="207">
        <f t="shared" si="63"/>
        <v>0.03</v>
      </c>
      <c r="Z69" s="207">
        <f t="shared" si="63"/>
        <v>0.05</v>
      </c>
      <c r="AA69" s="207">
        <f t="shared" si="63"/>
        <v>0.05</v>
      </c>
      <c r="AB69" s="207">
        <f t="shared" si="63"/>
        <v>0.05</v>
      </c>
      <c r="AC69" s="207">
        <f t="shared" si="63"/>
        <v>0.05</v>
      </c>
      <c r="AD69" s="207">
        <f t="shared" si="63"/>
        <v>0.05</v>
      </c>
      <c r="AE69" s="207">
        <f t="shared" si="63"/>
        <v>0.05</v>
      </c>
      <c r="AF69" s="207">
        <f t="shared" si="63"/>
        <v>0.05</v>
      </c>
      <c r="AG69" s="207">
        <f t="shared" si="63"/>
        <v>0.05</v>
      </c>
      <c r="AH69" s="207">
        <f t="shared" si="63"/>
        <v>0.05</v>
      </c>
      <c r="AI69" s="207">
        <f t="shared" si="63"/>
        <v>0.05</v>
      </c>
      <c r="AJ69" s="207">
        <f t="shared" si="63"/>
        <v>0.05</v>
      </c>
      <c r="AK69" s="207">
        <f t="shared" si="63"/>
        <v>0.05</v>
      </c>
      <c r="AL69" s="207">
        <f t="shared" si="63"/>
        <v>0.05</v>
      </c>
      <c r="AM69" s="207">
        <f t="shared" si="63"/>
        <v>0.05</v>
      </c>
      <c r="AN69" s="207">
        <f t="shared" si="63"/>
        <v>0.05</v>
      </c>
      <c r="AO69" s="207">
        <f t="shared" si="63"/>
        <v>0.05</v>
      </c>
      <c r="AP69" s="207">
        <f t="shared" si="63"/>
        <v>0.05</v>
      </c>
      <c r="AQ69" s="207">
        <f t="shared" si="63"/>
        <v>0.05</v>
      </c>
      <c r="AR69" s="207">
        <f t="shared" si="63"/>
        <v>0.05</v>
      </c>
      <c r="AS69" s="207">
        <f t="shared" si="63"/>
        <v>0.05</v>
      </c>
      <c r="AT69" s="207">
        <f t="shared" si="63"/>
        <v>0.05</v>
      </c>
      <c r="AU69" s="207">
        <f t="shared" si="63"/>
        <v>0.05</v>
      </c>
      <c r="AV69" s="207">
        <f t="shared" si="63"/>
        <v>0.05</v>
      </c>
      <c r="AW69" s="207">
        <f t="shared" si="63"/>
        <v>0.05</v>
      </c>
      <c r="AX69" s="207">
        <f t="shared" si="63"/>
        <v>0.05</v>
      </c>
      <c r="AY69" s="207">
        <f t="shared" si="63"/>
        <v>0.05</v>
      </c>
      <c r="AZ69" s="207">
        <f t="shared" si="63"/>
        <v>0.05</v>
      </c>
      <c r="BA69" s="207">
        <f t="shared" si="63"/>
        <v>0.05</v>
      </c>
      <c r="BB69" s="207">
        <f t="shared" si="63"/>
        <v>0.05</v>
      </c>
      <c r="BC69" s="207">
        <f t="shared" si="63"/>
        <v>0.05</v>
      </c>
      <c r="BD69" s="207">
        <f t="shared" si="63"/>
        <v>0.05</v>
      </c>
      <c r="BE69" s="207">
        <f t="shared" si="63"/>
        <v>0.05</v>
      </c>
      <c r="BF69" s="207">
        <f t="shared" si="63"/>
        <v>0.05</v>
      </c>
      <c r="BG69" s="207">
        <f t="shared" si="63"/>
        <v>0.05</v>
      </c>
      <c r="BH69" s="207">
        <f t="shared" si="63"/>
        <v>0.05</v>
      </c>
      <c r="BI69" s="207">
        <f t="shared" si="63"/>
        <v>0.05</v>
      </c>
      <c r="BJ69" s="207">
        <f t="shared" si="63"/>
        <v>0.05</v>
      </c>
      <c r="BK69" s="207">
        <f t="shared" si="63"/>
        <v>0.05</v>
      </c>
      <c r="BL69" s="207">
        <f t="shared" si="63"/>
        <v>0.05</v>
      </c>
      <c r="BM69" s="207">
        <f t="shared" si="63"/>
        <v>0.05</v>
      </c>
      <c r="BN69" s="207">
        <f t="shared" si="63"/>
        <v>0.05</v>
      </c>
      <c r="BO69" s="207">
        <f t="shared" si="63"/>
        <v>0.05</v>
      </c>
      <c r="BP69" s="207">
        <f t="shared" si="63"/>
        <v>0.05</v>
      </c>
      <c r="BQ69" s="207">
        <f t="shared" si="63"/>
        <v>0.05</v>
      </c>
      <c r="BR69" s="207">
        <f t="shared" si="63"/>
        <v>0.05</v>
      </c>
      <c r="BS69" s="207">
        <f t="shared" si="63"/>
        <v>0.05</v>
      </c>
      <c r="BT69" s="207">
        <f t="shared" si="63"/>
        <v>0.05</v>
      </c>
      <c r="BU69" s="207">
        <f t="shared" si="63"/>
        <v>0.05</v>
      </c>
      <c r="BV69" s="207">
        <f t="shared" si="63"/>
        <v>0.05</v>
      </c>
      <c r="BW69" s="207">
        <f t="shared" si="63"/>
        <v>0.05</v>
      </c>
      <c r="BX69" s="207">
        <f t="shared" si="63"/>
        <v>0.05</v>
      </c>
    </row>
    <row r="70" ht="15.75" customHeight="1">
      <c r="A70" s="1" t="s">
        <v>96</v>
      </c>
      <c r="B70" s="282"/>
      <c r="C70" s="282"/>
      <c r="D70" s="1"/>
      <c r="E70" s="1"/>
      <c r="F70" s="1"/>
      <c r="G70" s="1"/>
      <c r="H70" s="1"/>
      <c r="I70" s="1"/>
      <c r="J70" s="1"/>
      <c r="K70" s="1"/>
      <c r="L70" s="207">
        <v>0.0</v>
      </c>
      <c r="M70" s="207">
        <v>0.0</v>
      </c>
      <c r="N70" s="369">
        <f t="shared" ref="N70:O70" si="64">N62/N$52</f>
        <v>0</v>
      </c>
      <c r="O70" s="369">
        <f t="shared" si="64"/>
        <v>0.1037676123</v>
      </c>
      <c r="P70" s="207">
        <v>0.0</v>
      </c>
      <c r="Q70" s="207">
        <v>0.0</v>
      </c>
      <c r="R70" s="207">
        <v>0.0</v>
      </c>
      <c r="S70" s="207">
        <v>0.0</v>
      </c>
      <c r="T70" s="207">
        <v>0.0</v>
      </c>
      <c r="U70" s="207">
        <v>0.0</v>
      </c>
      <c r="V70" s="207">
        <v>0.0</v>
      </c>
      <c r="W70" s="207">
        <v>0.0</v>
      </c>
      <c r="X70" s="207">
        <v>0.0</v>
      </c>
      <c r="Y70" s="207">
        <v>0.0</v>
      </c>
      <c r="Z70" s="207">
        <v>0.0</v>
      </c>
      <c r="AA70" s="207">
        <v>0.0</v>
      </c>
      <c r="AB70" s="207">
        <v>0.0</v>
      </c>
      <c r="AC70" s="207">
        <v>0.0</v>
      </c>
      <c r="AD70" s="207">
        <v>0.0</v>
      </c>
      <c r="AE70" s="207">
        <v>0.0</v>
      </c>
      <c r="AF70" s="207">
        <v>0.0</v>
      </c>
      <c r="AG70" s="207">
        <v>0.0</v>
      </c>
      <c r="AH70" s="207">
        <v>0.0</v>
      </c>
      <c r="AI70" s="207">
        <v>0.0</v>
      </c>
      <c r="AJ70" s="207">
        <v>0.0</v>
      </c>
      <c r="AK70" s="207">
        <v>0.0</v>
      </c>
      <c r="AL70" s="207">
        <v>0.0</v>
      </c>
      <c r="AM70" s="207">
        <v>0.0</v>
      </c>
      <c r="AN70" s="207">
        <v>0.0</v>
      </c>
      <c r="AO70" s="207">
        <v>0.0</v>
      </c>
      <c r="AP70" s="207">
        <v>0.0</v>
      </c>
      <c r="AQ70" s="207">
        <v>0.0</v>
      </c>
      <c r="AR70" s="207">
        <v>0.0</v>
      </c>
      <c r="AS70" s="207">
        <v>0.0</v>
      </c>
      <c r="AT70" s="207">
        <v>0.0</v>
      </c>
      <c r="AU70" s="207">
        <v>0.0</v>
      </c>
      <c r="AV70" s="207">
        <v>0.0</v>
      </c>
      <c r="AW70" s="207">
        <v>0.0</v>
      </c>
      <c r="AX70" s="207">
        <v>0.0</v>
      </c>
      <c r="AY70" s="207">
        <v>0.0</v>
      </c>
      <c r="AZ70" s="207">
        <v>0.0</v>
      </c>
      <c r="BA70" s="207">
        <v>0.0</v>
      </c>
      <c r="BB70" s="207">
        <v>0.0</v>
      </c>
      <c r="BC70" s="207">
        <v>0.0</v>
      </c>
      <c r="BD70" s="207">
        <v>0.0</v>
      </c>
      <c r="BE70" s="207">
        <v>0.0</v>
      </c>
      <c r="BF70" s="207">
        <v>0.0</v>
      </c>
      <c r="BG70" s="207">
        <v>0.0</v>
      </c>
      <c r="BH70" s="207">
        <v>0.0</v>
      </c>
      <c r="BI70" s="207">
        <v>0.0</v>
      </c>
      <c r="BJ70" s="207">
        <v>0.0</v>
      </c>
      <c r="BK70" s="207">
        <v>0.0</v>
      </c>
      <c r="BL70" s="207">
        <v>0.0</v>
      </c>
      <c r="BM70" s="207">
        <v>0.0</v>
      </c>
      <c r="BN70" s="207">
        <v>0.0</v>
      </c>
      <c r="BO70" s="207">
        <v>0.0</v>
      </c>
      <c r="BP70" s="207">
        <v>0.0</v>
      </c>
      <c r="BQ70" s="207">
        <v>0.0</v>
      </c>
      <c r="BR70" s="207">
        <v>0.0</v>
      </c>
      <c r="BS70" s="207">
        <v>0.0</v>
      </c>
      <c r="BT70" s="207">
        <v>0.0</v>
      </c>
      <c r="BU70" s="207">
        <v>0.0</v>
      </c>
      <c r="BV70" s="207">
        <v>0.0</v>
      </c>
      <c r="BW70" s="207">
        <v>0.0</v>
      </c>
      <c r="BX70" s="207">
        <v>0.0</v>
      </c>
    </row>
    <row r="71" ht="15.75" customHeight="1">
      <c r="A71" s="379"/>
      <c r="B71" s="282"/>
      <c r="C71" s="282"/>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ht="15.75" customHeight="1">
      <c r="A72" s="377" t="s">
        <v>648</v>
      </c>
      <c r="B72" s="221" t="s">
        <v>649</v>
      </c>
      <c r="C72" s="282"/>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ht="15.75" customHeight="1">
      <c r="A73" s="1" t="s">
        <v>47</v>
      </c>
      <c r="B73" s="380">
        <v>12.0</v>
      </c>
      <c r="C73" s="282"/>
      <c r="D73" s="1"/>
      <c r="E73" s="1"/>
      <c r="F73" s="1"/>
      <c r="G73" s="1"/>
      <c r="H73" s="1"/>
      <c r="I73" s="1"/>
      <c r="J73" s="1"/>
      <c r="K73" s="1"/>
      <c r="L73" s="264">
        <f t="shared" ref="L73:BX73" si="65">L57*(12/13)/$B73</f>
        <v>71615.38462</v>
      </c>
      <c r="M73" s="264">
        <f t="shared" si="65"/>
        <v>0</v>
      </c>
      <c r="N73" s="264">
        <f t="shared" si="65"/>
        <v>18923.07692</v>
      </c>
      <c r="O73" s="264">
        <f t="shared" si="65"/>
        <v>40769.23077</v>
      </c>
      <c r="P73" s="268">
        <f t="shared" si="65"/>
        <v>20812.72082</v>
      </c>
      <c r="Q73" s="268">
        <f t="shared" si="65"/>
        <v>22146.97076</v>
      </c>
      <c r="R73" s="268">
        <f t="shared" si="65"/>
        <v>26491.74457</v>
      </c>
      <c r="S73" s="268">
        <f t="shared" si="65"/>
        <v>31421.72277</v>
      </c>
      <c r="T73" s="268">
        <f t="shared" si="65"/>
        <v>34898.78643</v>
      </c>
      <c r="U73" s="268">
        <f t="shared" si="65"/>
        <v>39268.79237</v>
      </c>
      <c r="V73" s="268">
        <f t="shared" si="65"/>
        <v>41058.10348</v>
      </c>
      <c r="W73" s="268">
        <f t="shared" si="65"/>
        <v>41907.4851</v>
      </c>
      <c r="X73" s="268">
        <f t="shared" si="65"/>
        <v>42692.84484</v>
      </c>
      <c r="Y73" s="268">
        <f t="shared" si="65"/>
        <v>45620.60113</v>
      </c>
      <c r="Z73" s="268">
        <f t="shared" si="65"/>
        <v>46408.19954</v>
      </c>
      <c r="AA73" s="268">
        <f t="shared" si="65"/>
        <v>48115.76151</v>
      </c>
      <c r="AB73" s="268">
        <f t="shared" si="65"/>
        <v>50441.24998</v>
      </c>
      <c r="AC73" s="268">
        <f t="shared" si="65"/>
        <v>35418.21915</v>
      </c>
      <c r="AD73" s="268">
        <f t="shared" si="65"/>
        <v>41644.75352</v>
      </c>
      <c r="AE73" s="268">
        <f t="shared" si="65"/>
        <v>42094.30381</v>
      </c>
      <c r="AF73" s="268">
        <f t="shared" si="65"/>
        <v>42549.12116</v>
      </c>
      <c r="AG73" s="268">
        <f t="shared" si="65"/>
        <v>43009.26979</v>
      </c>
      <c r="AH73" s="268">
        <f t="shared" si="65"/>
        <v>43474.81471</v>
      </c>
      <c r="AI73" s="268">
        <f t="shared" si="65"/>
        <v>43945.82174</v>
      </c>
      <c r="AJ73" s="268">
        <f t="shared" si="65"/>
        <v>44422.35751</v>
      </c>
      <c r="AK73" s="268">
        <f t="shared" si="65"/>
        <v>44904.4895</v>
      </c>
      <c r="AL73" s="268">
        <f t="shared" si="65"/>
        <v>45392.28603</v>
      </c>
      <c r="AM73" s="268">
        <f t="shared" si="65"/>
        <v>45885.81626</v>
      </c>
      <c r="AN73" s="268">
        <f t="shared" si="65"/>
        <v>46385.15023</v>
      </c>
      <c r="AO73" s="268">
        <f t="shared" si="65"/>
        <v>46886.63762</v>
      </c>
      <c r="AP73" s="268">
        <f t="shared" si="65"/>
        <v>47380.27964</v>
      </c>
      <c r="AQ73" s="268">
        <f t="shared" si="65"/>
        <v>47879.50801</v>
      </c>
      <c r="AR73" s="268">
        <f t="shared" si="65"/>
        <v>48384.38813</v>
      </c>
      <c r="AS73" s="268">
        <f t="shared" si="65"/>
        <v>48894.98615</v>
      </c>
      <c r="AT73" s="268">
        <f t="shared" si="65"/>
        <v>49411.36903</v>
      </c>
      <c r="AU73" s="268">
        <f t="shared" si="65"/>
        <v>49933.60451</v>
      </c>
      <c r="AV73" s="268">
        <f t="shared" si="65"/>
        <v>50461.76115</v>
      </c>
      <c r="AW73" s="268">
        <f t="shared" si="65"/>
        <v>50995.9083</v>
      </c>
      <c r="AX73" s="268">
        <f t="shared" si="65"/>
        <v>51536.11617</v>
      </c>
      <c r="AY73" s="268">
        <f t="shared" si="65"/>
        <v>52082.45578</v>
      </c>
      <c r="AZ73" s="268">
        <f t="shared" si="65"/>
        <v>52634.99899</v>
      </c>
      <c r="BA73" s="268">
        <f t="shared" si="65"/>
        <v>52688.61963</v>
      </c>
      <c r="BB73" s="268">
        <f t="shared" si="65"/>
        <v>53373.06947</v>
      </c>
      <c r="BC73" s="268">
        <f t="shared" si="65"/>
        <v>50177.33468</v>
      </c>
      <c r="BD73" s="268">
        <f t="shared" si="65"/>
        <v>50838.75476</v>
      </c>
      <c r="BE73" s="268">
        <f t="shared" si="65"/>
        <v>51511.89268</v>
      </c>
      <c r="BF73" s="268">
        <f t="shared" si="65"/>
        <v>52197.0213</v>
      </c>
      <c r="BG73" s="268">
        <f t="shared" si="65"/>
        <v>52894.42107</v>
      </c>
      <c r="BH73" s="268">
        <f t="shared" si="65"/>
        <v>53604.38033</v>
      </c>
      <c r="BI73" s="268">
        <f t="shared" si="65"/>
        <v>54327.19549</v>
      </c>
      <c r="BJ73" s="268">
        <f t="shared" si="65"/>
        <v>55063.17133</v>
      </c>
      <c r="BK73" s="268">
        <f t="shared" si="65"/>
        <v>55812.62125</v>
      </c>
      <c r="BL73" s="268">
        <f t="shared" si="65"/>
        <v>56575.86748</v>
      </c>
      <c r="BM73" s="268">
        <f t="shared" si="65"/>
        <v>58190.64061</v>
      </c>
      <c r="BN73" s="268">
        <f t="shared" si="65"/>
        <v>58454.29697</v>
      </c>
      <c r="BO73" s="268">
        <f t="shared" si="65"/>
        <v>54695.38078</v>
      </c>
      <c r="BP73" s="268">
        <f t="shared" si="65"/>
        <v>54934.65036</v>
      </c>
      <c r="BQ73" s="268">
        <f t="shared" si="65"/>
        <v>55185.25062</v>
      </c>
      <c r="BR73" s="268">
        <f t="shared" si="65"/>
        <v>55447.08705</v>
      </c>
      <c r="BS73" s="268">
        <f t="shared" si="65"/>
        <v>55720.06997</v>
      </c>
      <c r="BT73" s="268">
        <f t="shared" si="65"/>
        <v>56004.11447</v>
      </c>
      <c r="BU73" s="268">
        <f t="shared" si="65"/>
        <v>56299.14027</v>
      </c>
      <c r="BV73" s="268">
        <f t="shared" si="65"/>
        <v>56605.07168</v>
      </c>
      <c r="BW73" s="268">
        <f t="shared" si="65"/>
        <v>56921.83747</v>
      </c>
      <c r="BX73" s="268">
        <f t="shared" si="65"/>
        <v>57249.3708</v>
      </c>
    </row>
    <row r="74" ht="15.75" customHeight="1">
      <c r="A74" s="1" t="s">
        <v>85</v>
      </c>
      <c r="B74" s="380">
        <v>12.0</v>
      </c>
      <c r="C74" s="282"/>
      <c r="D74" s="1"/>
      <c r="E74" s="1"/>
      <c r="F74" s="1"/>
      <c r="G74" s="1"/>
      <c r="H74" s="1"/>
      <c r="I74" s="1"/>
      <c r="J74" s="1"/>
      <c r="K74" s="1"/>
      <c r="L74" s="264">
        <f t="shared" ref="L74:BX74" si="66">L58*(12/13)/$B74</f>
        <v>2384.615385</v>
      </c>
      <c r="M74" s="264">
        <f t="shared" si="66"/>
        <v>11076.92308</v>
      </c>
      <c r="N74" s="264">
        <f t="shared" si="66"/>
        <v>0</v>
      </c>
      <c r="O74" s="264">
        <f t="shared" si="66"/>
        <v>19551.23077</v>
      </c>
      <c r="P74" s="268">
        <f t="shared" si="66"/>
        <v>15361.77013</v>
      </c>
      <c r="Q74" s="268">
        <f t="shared" si="66"/>
        <v>17717.57661</v>
      </c>
      <c r="R74" s="268">
        <f t="shared" si="66"/>
        <v>21855.68927</v>
      </c>
      <c r="S74" s="268">
        <f t="shared" si="66"/>
        <v>26587.61157</v>
      </c>
      <c r="T74" s="268">
        <f t="shared" si="66"/>
        <v>30306.84085</v>
      </c>
      <c r="U74" s="268">
        <f t="shared" si="66"/>
        <v>32564.36441</v>
      </c>
      <c r="V74" s="268">
        <f t="shared" si="66"/>
        <v>32259.93845</v>
      </c>
      <c r="W74" s="268">
        <f t="shared" si="66"/>
        <v>33925.10699</v>
      </c>
      <c r="X74" s="268">
        <f t="shared" si="66"/>
        <v>34560.87439</v>
      </c>
      <c r="Y74" s="268">
        <f t="shared" si="66"/>
        <v>35844.75803</v>
      </c>
      <c r="Z74" s="268">
        <f t="shared" si="66"/>
        <v>37352.94109</v>
      </c>
      <c r="AA74" s="268">
        <f t="shared" si="66"/>
        <v>38727.32024</v>
      </c>
      <c r="AB74" s="268">
        <f t="shared" si="66"/>
        <v>40599.05487</v>
      </c>
      <c r="AC74" s="268">
        <f t="shared" si="66"/>
        <v>28507.34712</v>
      </c>
      <c r="AD74" s="268">
        <f t="shared" si="66"/>
        <v>33518.94796</v>
      </c>
      <c r="AE74" s="268">
        <f t="shared" si="66"/>
        <v>33880.78111</v>
      </c>
      <c r="AF74" s="268">
        <f t="shared" si="66"/>
        <v>34246.85362</v>
      </c>
      <c r="AG74" s="268">
        <f t="shared" si="66"/>
        <v>34617.21715</v>
      </c>
      <c r="AH74" s="268">
        <f t="shared" si="66"/>
        <v>34991.92404</v>
      </c>
      <c r="AI74" s="268">
        <f t="shared" si="66"/>
        <v>35371.02725</v>
      </c>
      <c r="AJ74" s="268">
        <f t="shared" si="66"/>
        <v>35754.58043</v>
      </c>
      <c r="AK74" s="268">
        <f t="shared" si="66"/>
        <v>36142.63789</v>
      </c>
      <c r="AL74" s="268">
        <f t="shared" si="66"/>
        <v>36535.25461</v>
      </c>
      <c r="AM74" s="268">
        <f t="shared" si="66"/>
        <v>36932.48626</v>
      </c>
      <c r="AN74" s="268">
        <f t="shared" si="66"/>
        <v>37334.38921</v>
      </c>
      <c r="AO74" s="268">
        <f t="shared" si="66"/>
        <v>37738.0254</v>
      </c>
      <c r="AP74" s="268">
        <f t="shared" si="66"/>
        <v>38135.34703</v>
      </c>
      <c r="AQ74" s="268">
        <f t="shared" si="66"/>
        <v>38537.16499</v>
      </c>
      <c r="AR74" s="268">
        <f t="shared" si="66"/>
        <v>38943.53191</v>
      </c>
      <c r="AS74" s="268">
        <f t="shared" si="66"/>
        <v>39354.50105</v>
      </c>
      <c r="AT74" s="268">
        <f t="shared" si="66"/>
        <v>39770.12629</v>
      </c>
      <c r="AU74" s="268">
        <f t="shared" si="66"/>
        <v>40190.46217</v>
      </c>
      <c r="AV74" s="268">
        <f t="shared" si="66"/>
        <v>40615.56385</v>
      </c>
      <c r="AW74" s="268">
        <f t="shared" si="66"/>
        <v>41045.48717</v>
      </c>
      <c r="AX74" s="268">
        <f t="shared" si="66"/>
        <v>41480.28863</v>
      </c>
      <c r="AY74" s="268">
        <f t="shared" si="66"/>
        <v>41920.02538</v>
      </c>
      <c r="AZ74" s="268">
        <f t="shared" si="66"/>
        <v>42364.75528</v>
      </c>
      <c r="BA74" s="268">
        <f t="shared" si="66"/>
        <v>42407.91336</v>
      </c>
      <c r="BB74" s="268">
        <f t="shared" si="66"/>
        <v>42958.81201</v>
      </c>
      <c r="BC74" s="268">
        <f t="shared" si="66"/>
        <v>40386.63523</v>
      </c>
      <c r="BD74" s="268">
        <f t="shared" si="66"/>
        <v>40918.99773</v>
      </c>
      <c r="BE74" s="268">
        <f t="shared" si="66"/>
        <v>41460.79167</v>
      </c>
      <c r="BF74" s="268">
        <f t="shared" si="66"/>
        <v>42012.23666</v>
      </c>
      <c r="BG74" s="268">
        <f t="shared" si="66"/>
        <v>42573.55842</v>
      </c>
      <c r="BH74" s="268">
        <f t="shared" si="66"/>
        <v>43144.98904</v>
      </c>
      <c r="BI74" s="268">
        <f t="shared" si="66"/>
        <v>43726.7671</v>
      </c>
      <c r="BJ74" s="268">
        <f t="shared" si="66"/>
        <v>44319.1379</v>
      </c>
      <c r="BK74" s="268">
        <f t="shared" si="66"/>
        <v>44922.35369</v>
      </c>
      <c r="BL74" s="268">
        <f t="shared" si="66"/>
        <v>45536.67382</v>
      </c>
      <c r="BM74" s="268">
        <f t="shared" si="66"/>
        <v>46836.36927</v>
      </c>
      <c r="BN74" s="268">
        <f t="shared" si="66"/>
        <v>47048.58049</v>
      </c>
      <c r="BO74" s="268">
        <f t="shared" si="66"/>
        <v>44023.11136</v>
      </c>
      <c r="BP74" s="268">
        <f t="shared" si="66"/>
        <v>44215.69419</v>
      </c>
      <c r="BQ74" s="268">
        <f t="shared" si="66"/>
        <v>44417.39684</v>
      </c>
      <c r="BR74" s="268">
        <f t="shared" si="66"/>
        <v>44628.14323</v>
      </c>
      <c r="BS74" s="268">
        <f t="shared" si="66"/>
        <v>44847.86119</v>
      </c>
      <c r="BT74" s="268">
        <f t="shared" si="66"/>
        <v>45076.48237</v>
      </c>
      <c r="BU74" s="268">
        <f t="shared" si="66"/>
        <v>45313.94217</v>
      </c>
      <c r="BV74" s="268">
        <f t="shared" si="66"/>
        <v>45560.17965</v>
      </c>
      <c r="BW74" s="268">
        <f t="shared" si="66"/>
        <v>45815.13748</v>
      </c>
      <c r="BX74" s="268">
        <f t="shared" si="66"/>
        <v>46078.76186</v>
      </c>
    </row>
    <row r="75" ht="15.75" customHeight="1">
      <c r="A75" s="1" t="s">
        <v>87</v>
      </c>
      <c r="B75" s="380">
        <v>12.0</v>
      </c>
      <c r="C75" s="282"/>
      <c r="D75" s="1"/>
      <c r="E75" s="1"/>
      <c r="F75" s="1"/>
      <c r="G75" s="1"/>
      <c r="H75" s="1"/>
      <c r="I75" s="1"/>
      <c r="J75" s="1"/>
      <c r="K75" s="1"/>
      <c r="L75" s="264">
        <f t="shared" ref="L75:BX75" si="67">L59*(12/13)/$B75</f>
        <v>23384.61538</v>
      </c>
      <c r="M75" s="264">
        <f t="shared" si="67"/>
        <v>653.8461538</v>
      </c>
      <c r="N75" s="264">
        <f t="shared" si="67"/>
        <v>0</v>
      </c>
      <c r="O75" s="264">
        <f t="shared" si="67"/>
        <v>7576.923077</v>
      </c>
      <c r="P75" s="268">
        <f t="shared" si="67"/>
        <v>7433.114578</v>
      </c>
      <c r="Q75" s="268">
        <f t="shared" si="67"/>
        <v>9412.462575</v>
      </c>
      <c r="R75" s="268">
        <f t="shared" si="67"/>
        <v>11258.99144</v>
      </c>
      <c r="S75" s="268">
        <f t="shared" si="67"/>
        <v>13696.64839</v>
      </c>
      <c r="T75" s="268">
        <f t="shared" si="67"/>
        <v>15612.61498</v>
      </c>
      <c r="U75" s="268">
        <f t="shared" si="67"/>
        <v>16282.1822</v>
      </c>
      <c r="V75" s="268">
        <f t="shared" si="67"/>
        <v>16618.75617</v>
      </c>
      <c r="W75" s="268">
        <f t="shared" si="67"/>
        <v>16962.55349</v>
      </c>
      <c r="X75" s="268">
        <f t="shared" si="67"/>
        <v>17280.4372</v>
      </c>
      <c r="Y75" s="268">
        <f t="shared" si="67"/>
        <v>18465.48141</v>
      </c>
      <c r="Z75" s="268">
        <f t="shared" si="67"/>
        <v>15846.70228</v>
      </c>
      <c r="AA75" s="268">
        <f t="shared" si="67"/>
        <v>16429.77222</v>
      </c>
      <c r="AB75" s="268">
        <f t="shared" si="67"/>
        <v>17223.84146</v>
      </c>
      <c r="AC75" s="268">
        <f t="shared" si="67"/>
        <v>12094.02605</v>
      </c>
      <c r="AD75" s="268">
        <f t="shared" si="67"/>
        <v>14220.15974</v>
      </c>
      <c r="AE75" s="268">
        <f t="shared" si="67"/>
        <v>14373.66471</v>
      </c>
      <c r="AF75" s="268">
        <f t="shared" si="67"/>
        <v>14528.9682</v>
      </c>
      <c r="AG75" s="268">
        <f t="shared" si="67"/>
        <v>14686.09212</v>
      </c>
      <c r="AH75" s="268">
        <f t="shared" si="67"/>
        <v>14845.05868</v>
      </c>
      <c r="AI75" s="268">
        <f t="shared" si="67"/>
        <v>15005.89035</v>
      </c>
      <c r="AJ75" s="268">
        <f t="shared" si="67"/>
        <v>15168.60988</v>
      </c>
      <c r="AK75" s="268">
        <f t="shared" si="67"/>
        <v>15333.24032</v>
      </c>
      <c r="AL75" s="268">
        <f t="shared" si="67"/>
        <v>15499.80499</v>
      </c>
      <c r="AM75" s="268">
        <f t="shared" si="67"/>
        <v>15668.3275</v>
      </c>
      <c r="AN75" s="268">
        <f t="shared" si="67"/>
        <v>15838.83178</v>
      </c>
      <c r="AO75" s="268">
        <f t="shared" si="67"/>
        <v>16010.07138</v>
      </c>
      <c r="AP75" s="268">
        <f t="shared" si="67"/>
        <v>16178.63207</v>
      </c>
      <c r="AQ75" s="268">
        <f t="shared" si="67"/>
        <v>16349.1003</v>
      </c>
      <c r="AR75" s="268">
        <f t="shared" si="67"/>
        <v>16521.49839</v>
      </c>
      <c r="AS75" s="268">
        <f t="shared" si="67"/>
        <v>16695.84893</v>
      </c>
      <c r="AT75" s="268">
        <f t="shared" si="67"/>
        <v>16872.17479</v>
      </c>
      <c r="AU75" s="268">
        <f t="shared" si="67"/>
        <v>17050.4991</v>
      </c>
      <c r="AV75" s="268">
        <f t="shared" si="67"/>
        <v>17230.84527</v>
      </c>
      <c r="AW75" s="268">
        <f t="shared" si="67"/>
        <v>17413.23698</v>
      </c>
      <c r="AX75" s="268">
        <f t="shared" si="67"/>
        <v>17597.69821</v>
      </c>
      <c r="AY75" s="268">
        <f t="shared" si="67"/>
        <v>17784.25319</v>
      </c>
      <c r="AZ75" s="268">
        <f t="shared" si="67"/>
        <v>17972.92648</v>
      </c>
      <c r="BA75" s="268">
        <f t="shared" si="67"/>
        <v>17991.23597</v>
      </c>
      <c r="BB75" s="268">
        <f t="shared" si="67"/>
        <v>18224.95055</v>
      </c>
      <c r="BC75" s="268">
        <f t="shared" si="67"/>
        <v>17133.72404</v>
      </c>
      <c r="BD75" s="268">
        <f t="shared" si="67"/>
        <v>17359.57479</v>
      </c>
      <c r="BE75" s="268">
        <f t="shared" si="67"/>
        <v>17589.42677</v>
      </c>
      <c r="BF75" s="268">
        <f t="shared" si="67"/>
        <v>17823.37313</v>
      </c>
      <c r="BG75" s="268">
        <f t="shared" si="67"/>
        <v>18061.50963</v>
      </c>
      <c r="BH75" s="268">
        <f t="shared" si="67"/>
        <v>18303.93475</v>
      </c>
      <c r="BI75" s="268">
        <f t="shared" si="67"/>
        <v>18550.74968</v>
      </c>
      <c r="BJ75" s="268">
        <f t="shared" si="67"/>
        <v>18802.0585</v>
      </c>
      <c r="BK75" s="268">
        <f t="shared" si="67"/>
        <v>19057.96823</v>
      </c>
      <c r="BL75" s="268">
        <f t="shared" si="67"/>
        <v>19318.58889</v>
      </c>
      <c r="BM75" s="268">
        <f t="shared" si="67"/>
        <v>19869.97484</v>
      </c>
      <c r="BN75" s="268">
        <f t="shared" si="67"/>
        <v>19960.00384</v>
      </c>
      <c r="BO75" s="268">
        <f t="shared" si="67"/>
        <v>18676.47149</v>
      </c>
      <c r="BP75" s="268">
        <f t="shared" si="67"/>
        <v>18758.17329</v>
      </c>
      <c r="BQ75" s="268">
        <f t="shared" si="67"/>
        <v>18843.74411</v>
      </c>
      <c r="BR75" s="268">
        <f t="shared" si="67"/>
        <v>18933.15167</v>
      </c>
      <c r="BS75" s="268">
        <f t="shared" si="67"/>
        <v>19026.36536</v>
      </c>
      <c r="BT75" s="268">
        <f t="shared" si="67"/>
        <v>19123.35616</v>
      </c>
      <c r="BU75" s="268">
        <f t="shared" si="67"/>
        <v>19224.09668</v>
      </c>
      <c r="BV75" s="268">
        <f t="shared" si="67"/>
        <v>19328.56106</v>
      </c>
      <c r="BW75" s="268">
        <f t="shared" si="67"/>
        <v>19436.72499</v>
      </c>
      <c r="BX75" s="268">
        <f t="shared" si="67"/>
        <v>19548.56564</v>
      </c>
    </row>
    <row r="76" ht="15.75" customHeight="1">
      <c r="A76" s="1" t="s">
        <v>89</v>
      </c>
      <c r="B76" s="380">
        <v>12.0</v>
      </c>
      <c r="C76" s="282"/>
      <c r="D76" s="1"/>
      <c r="E76" s="1"/>
      <c r="F76" s="1"/>
      <c r="G76" s="1"/>
      <c r="H76" s="1"/>
      <c r="I76" s="1"/>
      <c r="J76" s="1"/>
      <c r="K76" s="1"/>
      <c r="L76" s="264">
        <f t="shared" ref="L76:BX76" si="68">L60/$B76</f>
        <v>0</v>
      </c>
      <c r="M76" s="264">
        <f t="shared" si="68"/>
        <v>5000</v>
      </c>
      <c r="N76" s="264">
        <f t="shared" si="68"/>
        <v>1458.333333</v>
      </c>
      <c r="O76" s="264">
        <f t="shared" si="68"/>
        <v>14502.5</v>
      </c>
      <c r="P76" s="268">
        <f t="shared" si="68"/>
        <v>3757.85237</v>
      </c>
      <c r="Q76" s="268">
        <f t="shared" si="68"/>
        <v>3598.882749</v>
      </c>
      <c r="R76" s="268">
        <f t="shared" si="68"/>
        <v>4304.908493</v>
      </c>
      <c r="S76" s="268">
        <f t="shared" si="68"/>
        <v>5236.953795</v>
      </c>
      <c r="T76" s="268">
        <f t="shared" si="68"/>
        <v>5969.529258</v>
      </c>
      <c r="U76" s="268">
        <f t="shared" si="68"/>
        <v>5187.950212</v>
      </c>
      <c r="V76" s="268">
        <f t="shared" si="68"/>
        <v>5295.191917</v>
      </c>
      <c r="W76" s="268">
        <f t="shared" si="68"/>
        <v>5404.735182</v>
      </c>
      <c r="X76" s="268">
        <f t="shared" si="68"/>
        <v>5506.021656</v>
      </c>
      <c r="Y76" s="268">
        <f t="shared" si="68"/>
        <v>5883.609273</v>
      </c>
      <c r="Z76" s="268">
        <f t="shared" si="68"/>
        <v>8583.630402</v>
      </c>
      <c r="AA76" s="268">
        <f t="shared" si="68"/>
        <v>8899.459954</v>
      </c>
      <c r="AB76" s="268">
        <f t="shared" si="68"/>
        <v>9329.58079</v>
      </c>
      <c r="AC76" s="268">
        <f t="shared" si="68"/>
        <v>6550.930778</v>
      </c>
      <c r="AD76" s="268">
        <f t="shared" si="68"/>
        <v>7702.586525</v>
      </c>
      <c r="AE76" s="268">
        <f t="shared" si="68"/>
        <v>7785.735053</v>
      </c>
      <c r="AF76" s="268">
        <f t="shared" si="68"/>
        <v>7869.857775</v>
      </c>
      <c r="AG76" s="268">
        <f t="shared" si="68"/>
        <v>7954.966567</v>
      </c>
      <c r="AH76" s="268">
        <f t="shared" si="68"/>
        <v>8041.073453</v>
      </c>
      <c r="AI76" s="268">
        <f t="shared" si="68"/>
        <v>8128.190606</v>
      </c>
      <c r="AJ76" s="268">
        <f t="shared" si="68"/>
        <v>8216.330352</v>
      </c>
      <c r="AK76" s="268">
        <f t="shared" si="68"/>
        <v>8305.505172</v>
      </c>
      <c r="AL76" s="268">
        <f t="shared" si="68"/>
        <v>8395.7277</v>
      </c>
      <c r="AM76" s="268">
        <f t="shared" si="68"/>
        <v>8487.010731</v>
      </c>
      <c r="AN76" s="268">
        <f t="shared" si="68"/>
        <v>8579.367217</v>
      </c>
      <c r="AO76" s="268">
        <f t="shared" si="68"/>
        <v>8672.121999</v>
      </c>
      <c r="AP76" s="268">
        <f t="shared" si="68"/>
        <v>8763.425706</v>
      </c>
      <c r="AQ76" s="268">
        <f t="shared" si="68"/>
        <v>8855.762661</v>
      </c>
      <c r="AR76" s="268">
        <f t="shared" si="68"/>
        <v>8949.144959</v>
      </c>
      <c r="AS76" s="268">
        <f t="shared" si="68"/>
        <v>9043.584836</v>
      </c>
      <c r="AT76" s="268">
        <f t="shared" si="68"/>
        <v>9139.094678</v>
      </c>
      <c r="AU76" s="268">
        <f t="shared" si="68"/>
        <v>9235.687013</v>
      </c>
      <c r="AV76" s="268">
        <f t="shared" si="68"/>
        <v>9333.374521</v>
      </c>
      <c r="AW76" s="268">
        <f t="shared" si="68"/>
        <v>9432.170032</v>
      </c>
      <c r="AX76" s="268">
        <f t="shared" si="68"/>
        <v>9532.086528</v>
      </c>
      <c r="AY76" s="268">
        <f t="shared" si="68"/>
        <v>9633.137146</v>
      </c>
      <c r="AZ76" s="268">
        <f t="shared" si="68"/>
        <v>9735.335179</v>
      </c>
      <c r="BA76" s="268">
        <f t="shared" si="68"/>
        <v>9745.252818</v>
      </c>
      <c r="BB76" s="268">
        <f t="shared" si="68"/>
        <v>9871.848215</v>
      </c>
      <c r="BC76" s="268">
        <f t="shared" si="68"/>
        <v>9280.767186</v>
      </c>
      <c r="BD76" s="268">
        <f t="shared" si="68"/>
        <v>9403.103014</v>
      </c>
      <c r="BE76" s="268">
        <f t="shared" si="68"/>
        <v>9527.606167</v>
      </c>
      <c r="BF76" s="268">
        <f t="shared" si="68"/>
        <v>9654.32711</v>
      </c>
      <c r="BG76" s="268">
        <f t="shared" si="68"/>
        <v>9783.317719</v>
      </c>
      <c r="BH76" s="268">
        <f t="shared" si="68"/>
        <v>9914.63132</v>
      </c>
      <c r="BI76" s="268">
        <f t="shared" si="68"/>
        <v>10048.32274</v>
      </c>
      <c r="BJ76" s="268">
        <f t="shared" si="68"/>
        <v>10184.44836</v>
      </c>
      <c r="BK76" s="268">
        <f t="shared" si="68"/>
        <v>10323.06612</v>
      </c>
      <c r="BL76" s="268">
        <f t="shared" si="68"/>
        <v>10464.23565</v>
      </c>
      <c r="BM76" s="268">
        <f t="shared" si="68"/>
        <v>10762.90304</v>
      </c>
      <c r="BN76" s="268">
        <f t="shared" si="68"/>
        <v>10811.66875</v>
      </c>
      <c r="BO76" s="268">
        <f t="shared" si="68"/>
        <v>10116.42206</v>
      </c>
      <c r="BP76" s="268">
        <f t="shared" si="68"/>
        <v>10160.6772</v>
      </c>
      <c r="BQ76" s="268">
        <f t="shared" si="68"/>
        <v>10207.02806</v>
      </c>
      <c r="BR76" s="268">
        <f t="shared" si="68"/>
        <v>10255.45716</v>
      </c>
      <c r="BS76" s="268">
        <f t="shared" si="68"/>
        <v>10305.9479</v>
      </c>
      <c r="BT76" s="268">
        <f t="shared" si="68"/>
        <v>10358.48459</v>
      </c>
      <c r="BU76" s="268">
        <f t="shared" si="68"/>
        <v>10413.05237</v>
      </c>
      <c r="BV76" s="268">
        <f t="shared" si="68"/>
        <v>10469.63724</v>
      </c>
      <c r="BW76" s="268">
        <f t="shared" si="68"/>
        <v>10528.22604</v>
      </c>
      <c r="BX76" s="268">
        <f t="shared" si="68"/>
        <v>10588.80639</v>
      </c>
    </row>
    <row r="77" ht="15.75" customHeight="1">
      <c r="A77" s="1" t="s">
        <v>646</v>
      </c>
      <c r="B77" s="380">
        <v>12.0</v>
      </c>
      <c r="C77" s="282"/>
      <c r="D77" s="1"/>
      <c r="E77" s="1"/>
      <c r="F77" s="1"/>
      <c r="G77" s="1"/>
      <c r="H77" s="1"/>
      <c r="I77" s="1"/>
      <c r="J77" s="1"/>
      <c r="K77" s="1"/>
      <c r="L77" s="264">
        <f t="shared" ref="L77:BX77" si="69">L61/$B77</f>
        <v>2500</v>
      </c>
      <c r="M77" s="264">
        <f t="shared" si="69"/>
        <v>2083.333333</v>
      </c>
      <c r="N77" s="264">
        <f t="shared" si="69"/>
        <v>8833.333333</v>
      </c>
      <c r="O77" s="264">
        <f t="shared" si="69"/>
        <v>208.3333333</v>
      </c>
      <c r="P77" s="268">
        <f t="shared" si="69"/>
        <v>2684.180264</v>
      </c>
      <c r="Q77" s="268">
        <f t="shared" si="69"/>
        <v>2999.068958</v>
      </c>
      <c r="R77" s="268">
        <f t="shared" si="69"/>
        <v>2869.938995</v>
      </c>
      <c r="S77" s="268">
        <f t="shared" si="69"/>
        <v>4364.128162</v>
      </c>
      <c r="T77" s="268">
        <f t="shared" si="69"/>
        <v>5969.529258</v>
      </c>
      <c r="U77" s="268">
        <f t="shared" si="69"/>
        <v>3112.770127</v>
      </c>
      <c r="V77" s="268">
        <f t="shared" si="69"/>
        <v>3177.11515</v>
      </c>
      <c r="W77" s="268">
        <f t="shared" si="69"/>
        <v>2161.894073</v>
      </c>
      <c r="X77" s="268">
        <f t="shared" si="69"/>
        <v>2202.408662</v>
      </c>
      <c r="Y77" s="268">
        <f t="shared" si="69"/>
        <v>3530.165564</v>
      </c>
      <c r="Z77" s="268">
        <f t="shared" si="69"/>
        <v>6131.164573</v>
      </c>
      <c r="AA77" s="268">
        <f t="shared" si="69"/>
        <v>6356.75711</v>
      </c>
      <c r="AB77" s="268">
        <f t="shared" si="69"/>
        <v>6663.986278</v>
      </c>
      <c r="AC77" s="268">
        <f t="shared" si="69"/>
        <v>4679.23627</v>
      </c>
      <c r="AD77" s="268">
        <f t="shared" si="69"/>
        <v>5501.847518</v>
      </c>
      <c r="AE77" s="268">
        <f t="shared" si="69"/>
        <v>5561.239324</v>
      </c>
      <c r="AF77" s="268">
        <f t="shared" si="69"/>
        <v>5621.326982</v>
      </c>
      <c r="AG77" s="268">
        <f t="shared" si="69"/>
        <v>5682.118977</v>
      </c>
      <c r="AH77" s="268">
        <f t="shared" si="69"/>
        <v>5743.623895</v>
      </c>
      <c r="AI77" s="268">
        <f t="shared" si="69"/>
        <v>5805.850433</v>
      </c>
      <c r="AJ77" s="268">
        <f t="shared" si="69"/>
        <v>5868.807394</v>
      </c>
      <c r="AK77" s="268">
        <f t="shared" si="69"/>
        <v>5932.503694</v>
      </c>
      <c r="AL77" s="268">
        <f t="shared" si="69"/>
        <v>5996.948357</v>
      </c>
      <c r="AM77" s="268">
        <f t="shared" si="69"/>
        <v>6062.150522</v>
      </c>
      <c r="AN77" s="268">
        <f t="shared" si="69"/>
        <v>6128.119441</v>
      </c>
      <c r="AO77" s="268">
        <f t="shared" si="69"/>
        <v>6194.372857</v>
      </c>
      <c r="AP77" s="268">
        <f t="shared" si="69"/>
        <v>6259.58979</v>
      </c>
      <c r="AQ77" s="268">
        <f t="shared" si="69"/>
        <v>6325.544758</v>
      </c>
      <c r="AR77" s="268">
        <f t="shared" si="69"/>
        <v>6392.246399</v>
      </c>
      <c r="AS77" s="268">
        <f t="shared" si="69"/>
        <v>6459.703455</v>
      </c>
      <c r="AT77" s="268">
        <f t="shared" si="69"/>
        <v>6527.92477</v>
      </c>
      <c r="AU77" s="268">
        <f t="shared" si="69"/>
        <v>6596.919295</v>
      </c>
      <c r="AV77" s="268">
        <f t="shared" si="69"/>
        <v>6666.696086</v>
      </c>
      <c r="AW77" s="268">
        <f t="shared" si="69"/>
        <v>6737.264308</v>
      </c>
      <c r="AX77" s="268">
        <f t="shared" si="69"/>
        <v>6808.633234</v>
      </c>
      <c r="AY77" s="268">
        <f t="shared" si="69"/>
        <v>6880.812247</v>
      </c>
      <c r="AZ77" s="268">
        <f t="shared" si="69"/>
        <v>6953.810842</v>
      </c>
      <c r="BA77" s="268">
        <f t="shared" si="69"/>
        <v>6960.89487</v>
      </c>
      <c r="BB77" s="268">
        <f t="shared" si="69"/>
        <v>7051.320154</v>
      </c>
      <c r="BC77" s="268">
        <f t="shared" si="69"/>
        <v>6629.119419</v>
      </c>
      <c r="BD77" s="268">
        <f t="shared" si="69"/>
        <v>6716.502153</v>
      </c>
      <c r="BE77" s="268">
        <f t="shared" si="69"/>
        <v>6805.432977</v>
      </c>
      <c r="BF77" s="268">
        <f t="shared" si="69"/>
        <v>6895.947936</v>
      </c>
      <c r="BG77" s="268">
        <f t="shared" si="69"/>
        <v>6988.084085</v>
      </c>
      <c r="BH77" s="268">
        <f t="shared" si="69"/>
        <v>7081.879514</v>
      </c>
      <c r="BI77" s="268">
        <f t="shared" si="69"/>
        <v>7177.373387</v>
      </c>
      <c r="BJ77" s="268">
        <f t="shared" si="69"/>
        <v>7274.605969</v>
      </c>
      <c r="BK77" s="268">
        <f t="shared" si="69"/>
        <v>7373.61866</v>
      </c>
      <c r="BL77" s="268">
        <f t="shared" si="69"/>
        <v>7474.454036</v>
      </c>
      <c r="BM77" s="268">
        <f t="shared" si="69"/>
        <v>7687.787885</v>
      </c>
      <c r="BN77" s="268">
        <f t="shared" si="69"/>
        <v>7722.620534</v>
      </c>
      <c r="BO77" s="268">
        <f t="shared" si="69"/>
        <v>7226.015754</v>
      </c>
      <c r="BP77" s="268">
        <f t="shared" si="69"/>
        <v>7257.626571</v>
      </c>
      <c r="BQ77" s="268">
        <f t="shared" si="69"/>
        <v>7290.734329</v>
      </c>
      <c r="BR77" s="268">
        <f t="shared" si="69"/>
        <v>7325.326541</v>
      </c>
      <c r="BS77" s="268">
        <f t="shared" si="69"/>
        <v>7361.391358</v>
      </c>
      <c r="BT77" s="268">
        <f t="shared" si="69"/>
        <v>7398.917561</v>
      </c>
      <c r="BU77" s="268">
        <f t="shared" si="69"/>
        <v>7437.894548</v>
      </c>
      <c r="BV77" s="268">
        <f t="shared" si="69"/>
        <v>7478.312316</v>
      </c>
      <c r="BW77" s="268">
        <f t="shared" si="69"/>
        <v>7520.161455</v>
      </c>
      <c r="BX77" s="268">
        <f t="shared" si="69"/>
        <v>7563.433134</v>
      </c>
    </row>
    <row r="78" ht="15.75" customHeight="1">
      <c r="A78" s="1" t="s">
        <v>96</v>
      </c>
      <c r="B78" s="380">
        <v>12.0</v>
      </c>
      <c r="C78" s="282"/>
      <c r="D78" s="1"/>
      <c r="E78" s="1"/>
      <c r="F78" s="1"/>
      <c r="G78" s="1"/>
      <c r="H78" s="1"/>
      <c r="I78" s="1"/>
      <c r="J78" s="1"/>
      <c r="K78" s="1"/>
      <c r="L78" s="137">
        <f t="shared" ref="L78:BX78" si="70">L62/$B78</f>
        <v>0</v>
      </c>
      <c r="M78" s="137">
        <f t="shared" si="70"/>
        <v>0</v>
      </c>
      <c r="N78" s="137">
        <f t="shared" si="70"/>
        <v>0</v>
      </c>
      <c r="O78" s="264">
        <f t="shared" si="70"/>
        <v>8333.333333</v>
      </c>
      <c r="P78" s="137">
        <f t="shared" si="70"/>
        <v>0</v>
      </c>
      <c r="Q78" s="137">
        <f t="shared" si="70"/>
        <v>0</v>
      </c>
      <c r="R78" s="137">
        <f t="shared" si="70"/>
        <v>0</v>
      </c>
      <c r="S78" s="137">
        <f t="shared" si="70"/>
        <v>0</v>
      </c>
      <c r="T78" s="137">
        <f t="shared" si="70"/>
        <v>0</v>
      </c>
      <c r="U78" s="137">
        <f t="shared" si="70"/>
        <v>0</v>
      </c>
      <c r="V78" s="137">
        <f t="shared" si="70"/>
        <v>0</v>
      </c>
      <c r="W78" s="137">
        <f t="shared" si="70"/>
        <v>0</v>
      </c>
      <c r="X78" s="137">
        <f t="shared" si="70"/>
        <v>0</v>
      </c>
      <c r="Y78" s="137">
        <f t="shared" si="70"/>
        <v>0</v>
      </c>
      <c r="Z78" s="137">
        <f t="shared" si="70"/>
        <v>0</v>
      </c>
      <c r="AA78" s="137">
        <f t="shared" si="70"/>
        <v>0</v>
      </c>
      <c r="AB78" s="137">
        <f t="shared" si="70"/>
        <v>0</v>
      </c>
      <c r="AC78" s="137">
        <f t="shared" si="70"/>
        <v>0</v>
      </c>
      <c r="AD78" s="137">
        <f t="shared" si="70"/>
        <v>0</v>
      </c>
      <c r="AE78" s="137">
        <f t="shared" si="70"/>
        <v>0</v>
      </c>
      <c r="AF78" s="137">
        <f t="shared" si="70"/>
        <v>0</v>
      </c>
      <c r="AG78" s="137">
        <f t="shared" si="70"/>
        <v>0</v>
      </c>
      <c r="AH78" s="137">
        <f t="shared" si="70"/>
        <v>0</v>
      </c>
      <c r="AI78" s="137">
        <f t="shared" si="70"/>
        <v>0</v>
      </c>
      <c r="AJ78" s="137">
        <f t="shared" si="70"/>
        <v>0</v>
      </c>
      <c r="AK78" s="137">
        <f t="shared" si="70"/>
        <v>0</v>
      </c>
      <c r="AL78" s="137">
        <f t="shared" si="70"/>
        <v>0</v>
      </c>
      <c r="AM78" s="137">
        <f t="shared" si="70"/>
        <v>0</v>
      </c>
      <c r="AN78" s="137">
        <f t="shared" si="70"/>
        <v>0</v>
      </c>
      <c r="AO78" s="137">
        <f t="shared" si="70"/>
        <v>0</v>
      </c>
      <c r="AP78" s="137">
        <f t="shared" si="70"/>
        <v>0</v>
      </c>
      <c r="AQ78" s="137">
        <f t="shared" si="70"/>
        <v>0</v>
      </c>
      <c r="AR78" s="137">
        <f t="shared" si="70"/>
        <v>0</v>
      </c>
      <c r="AS78" s="137">
        <f t="shared" si="70"/>
        <v>0</v>
      </c>
      <c r="AT78" s="137">
        <f t="shared" si="70"/>
        <v>0</v>
      </c>
      <c r="AU78" s="137">
        <f t="shared" si="70"/>
        <v>0</v>
      </c>
      <c r="AV78" s="137">
        <f t="shared" si="70"/>
        <v>0</v>
      </c>
      <c r="AW78" s="137">
        <f t="shared" si="70"/>
        <v>0</v>
      </c>
      <c r="AX78" s="137">
        <f t="shared" si="70"/>
        <v>0</v>
      </c>
      <c r="AY78" s="137">
        <f t="shared" si="70"/>
        <v>0</v>
      </c>
      <c r="AZ78" s="137">
        <f t="shared" si="70"/>
        <v>0</v>
      </c>
      <c r="BA78" s="137">
        <f t="shared" si="70"/>
        <v>0</v>
      </c>
      <c r="BB78" s="137">
        <f t="shared" si="70"/>
        <v>0</v>
      </c>
      <c r="BC78" s="137">
        <f t="shared" si="70"/>
        <v>0</v>
      </c>
      <c r="BD78" s="137">
        <f t="shared" si="70"/>
        <v>0</v>
      </c>
      <c r="BE78" s="137">
        <f t="shared" si="70"/>
        <v>0</v>
      </c>
      <c r="BF78" s="137">
        <f t="shared" si="70"/>
        <v>0</v>
      </c>
      <c r="BG78" s="137">
        <f t="shared" si="70"/>
        <v>0</v>
      </c>
      <c r="BH78" s="137">
        <f t="shared" si="70"/>
        <v>0</v>
      </c>
      <c r="BI78" s="137">
        <f t="shared" si="70"/>
        <v>0</v>
      </c>
      <c r="BJ78" s="137">
        <f t="shared" si="70"/>
        <v>0</v>
      </c>
      <c r="BK78" s="137">
        <f t="shared" si="70"/>
        <v>0</v>
      </c>
      <c r="BL78" s="137">
        <f t="shared" si="70"/>
        <v>0</v>
      </c>
      <c r="BM78" s="137">
        <f t="shared" si="70"/>
        <v>0</v>
      </c>
      <c r="BN78" s="137">
        <f t="shared" si="70"/>
        <v>0</v>
      </c>
      <c r="BO78" s="137">
        <f t="shared" si="70"/>
        <v>0</v>
      </c>
      <c r="BP78" s="137">
        <f t="shared" si="70"/>
        <v>0</v>
      </c>
      <c r="BQ78" s="137">
        <f t="shared" si="70"/>
        <v>0</v>
      </c>
      <c r="BR78" s="137">
        <f t="shared" si="70"/>
        <v>0</v>
      </c>
      <c r="BS78" s="137">
        <f t="shared" si="70"/>
        <v>0</v>
      </c>
      <c r="BT78" s="137">
        <f t="shared" si="70"/>
        <v>0</v>
      </c>
      <c r="BU78" s="137">
        <f t="shared" si="70"/>
        <v>0</v>
      </c>
      <c r="BV78" s="137">
        <f t="shared" si="70"/>
        <v>0</v>
      </c>
      <c r="BW78" s="137">
        <f t="shared" si="70"/>
        <v>0</v>
      </c>
      <c r="BX78" s="137">
        <f t="shared" si="70"/>
        <v>0</v>
      </c>
    </row>
    <row r="79" ht="15.75" customHeight="1">
      <c r="A79" s="1"/>
      <c r="B79" s="381"/>
      <c r="C79" s="282"/>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row>
    <row r="80" ht="15.75" customHeight="1">
      <c r="A80" s="232" t="s">
        <v>650</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row>
    <row r="81" ht="15.75" customHeight="1">
      <c r="A81" s="1" t="s">
        <v>47</v>
      </c>
      <c r="B81" s="1"/>
      <c r="C81" s="1"/>
      <c r="D81" s="1"/>
      <c r="E81" s="382">
        <v>1.0</v>
      </c>
      <c r="F81" s="382">
        <v>1.0</v>
      </c>
      <c r="G81" s="382">
        <v>3.0</v>
      </c>
      <c r="H81" s="382">
        <v>4.0</v>
      </c>
      <c r="I81" s="382">
        <v>3.0</v>
      </c>
      <c r="J81" s="1">
        <v>2.0</v>
      </c>
      <c r="K81" s="1">
        <v>3.0</v>
      </c>
      <c r="L81" s="383">
        <v>8.0</v>
      </c>
      <c r="M81" s="383">
        <v>0.0</v>
      </c>
      <c r="N81" s="383">
        <v>3.0</v>
      </c>
      <c r="O81" s="383">
        <v>5.0</v>
      </c>
      <c r="P81" s="384">
        <f>P57/'New Biz Sales'!Z96</f>
        <v>1.639790125</v>
      </c>
      <c r="Q81" s="384">
        <f>Q57/'New Biz Sales'!AA96</f>
        <v>1.710698871</v>
      </c>
      <c r="R81" s="384">
        <f>R57/'New Biz Sales'!AB96</f>
        <v>2.046302314</v>
      </c>
      <c r="S81" s="384">
        <f>S57/'New Biz Sales'!AC96</f>
        <v>2.42710871</v>
      </c>
      <c r="T81" s="384">
        <f>T57/'New Biz Sales'!AD96</f>
        <v>2.695687603</v>
      </c>
      <c r="U81" s="384">
        <f>U57/'New Biz Sales'!AE96</f>
        <v>3.033240053</v>
      </c>
      <c r="V81" s="384">
        <f>V57/'New Biz Sales'!AF96</f>
        <v>3.109266513</v>
      </c>
      <c r="W81" s="384">
        <f>W57/'New Biz Sales'!AG96</f>
        <v>3.173588866</v>
      </c>
      <c r="X81" s="384">
        <f>X57/'New Biz Sales'!AH96</f>
        <v>3.233062941</v>
      </c>
      <c r="Y81" s="384">
        <f>Y57/'New Biz Sales'!AI96</f>
        <v>3.454777386</v>
      </c>
      <c r="Z81" s="384">
        <f>Z57/'New Biz Sales'!AJ96</f>
        <v>3.514420992</v>
      </c>
      <c r="AA81" s="384">
        <f>AA57/'New Biz Sales'!AK96</f>
        <v>3.643732012</v>
      </c>
      <c r="AB81" s="384">
        <f>AB57/'New Biz Sales'!AL96</f>
        <v>3.819837649</v>
      </c>
      <c r="AC81" s="384">
        <f>AC57/'New Biz Sales'!AM96</f>
        <v>2.668822704</v>
      </c>
      <c r="AD81" s="384">
        <f>AD57/'New Biz Sales'!AN96</f>
        <v>3.138002598</v>
      </c>
      <c r="AE81" s="384">
        <f>AE57/'New Biz Sales'!AO96</f>
        <v>3.171876972</v>
      </c>
      <c r="AF81" s="384">
        <f>AF57/'New Biz Sales'!AP96</f>
        <v>3.206148229</v>
      </c>
      <c r="AG81" s="384">
        <f>AG57/'New Biz Sales'!AQ96</f>
        <v>3.240821206</v>
      </c>
      <c r="AH81" s="384">
        <f>AH57/'New Biz Sales'!AR96</f>
        <v>3.259602789</v>
      </c>
      <c r="AI81" s="384">
        <f>AI57/'New Biz Sales'!AS96</f>
        <v>3.294917392</v>
      </c>
      <c r="AJ81" s="384">
        <f>AJ57/'New Biz Sales'!AT96</f>
        <v>3.330646523</v>
      </c>
      <c r="AK81" s="384">
        <f>AK57/'New Biz Sales'!AU96</f>
        <v>3.36679524</v>
      </c>
      <c r="AL81" s="384">
        <f>AL57/'New Biz Sales'!AV96</f>
        <v>3.403368666</v>
      </c>
      <c r="AM81" s="384">
        <f>AM57/'New Biz Sales'!AW96</f>
        <v>3.440371987</v>
      </c>
      <c r="AN81" s="384">
        <f>AN57/'New Biz Sales'!AX96</f>
        <v>3.477810453</v>
      </c>
      <c r="AO81" s="384">
        <f>AO57/'New Biz Sales'!AY96</f>
        <v>3.497920773</v>
      </c>
      <c r="AP81" s="384">
        <f>AP57/'New Biz Sales'!AZ96</f>
        <v>3.534748338</v>
      </c>
      <c r="AQ81" s="384">
        <f>AQ57/'New Biz Sales'!BA96</f>
        <v>3.571992665</v>
      </c>
      <c r="AR81" s="384">
        <f>AR57/'New Biz Sales'!BB96</f>
        <v>3.609658634</v>
      </c>
      <c r="AS81" s="384">
        <f>AS57/'New Biz Sales'!BC96</f>
        <v>3.647751181</v>
      </c>
      <c r="AT81" s="384">
        <f>AT57/'New Biz Sales'!BD96</f>
        <v>3.6862753</v>
      </c>
      <c r="AU81" s="384">
        <f>AU57/'New Biz Sales'!BE96</f>
        <v>3.725236045</v>
      </c>
      <c r="AV81" s="384">
        <f>AV57/'New Biz Sales'!BF96</f>
        <v>3.764638531</v>
      </c>
      <c r="AW81" s="384">
        <f>AW57/'New Biz Sales'!BG96</f>
        <v>3.804487932</v>
      </c>
      <c r="AX81" s="384">
        <f>AX57/'New Biz Sales'!BH96</f>
        <v>3.844789485</v>
      </c>
      <c r="AY81" s="384">
        <f>AY57/'New Biz Sales'!BI96</f>
        <v>3.885548489</v>
      </c>
      <c r="AZ81" s="384">
        <f>AZ57/'New Biz Sales'!BJ96</f>
        <v>3.926770306</v>
      </c>
      <c r="BA81" s="384">
        <f>BA57/'New Biz Sales'!BK96</f>
        <v>3.853696675</v>
      </c>
      <c r="BB81" s="384">
        <f>BB57/'New Biz Sales'!BL96</f>
        <v>3.827213725</v>
      </c>
      <c r="BC81" s="384">
        <f>BC57/'New Biz Sales'!BM96</f>
        <v>3.598057707</v>
      </c>
      <c r="BD81" s="384">
        <f>BD57/'New Biz Sales'!BN96</f>
        <v>3.645486046</v>
      </c>
      <c r="BE81" s="384">
        <f>BE57/'New Biz Sales'!BO96</f>
        <v>3.693754634</v>
      </c>
      <c r="BF81" s="384">
        <f>BF57/'New Biz Sales'!BP96</f>
        <v>3.742883037</v>
      </c>
      <c r="BG81" s="384">
        <f>BG57/'New Biz Sales'!BQ96</f>
        <v>3.792891365</v>
      </c>
      <c r="BH81" s="384">
        <f>BH57/'New Biz Sales'!BR96</f>
        <v>3.843800294</v>
      </c>
      <c r="BI81" s="384">
        <f>BI57/'New Biz Sales'!BS96</f>
        <v>3.895631079</v>
      </c>
      <c r="BJ81" s="384">
        <f>BJ57/'New Biz Sales'!BT96</f>
        <v>3.948405576</v>
      </c>
      <c r="BK81" s="384">
        <f>BK57/'New Biz Sales'!BU96</f>
        <v>4.002146254</v>
      </c>
      <c r="BL81" s="384">
        <f>BL57/'New Biz Sales'!BV96</f>
        <v>4.056876224</v>
      </c>
      <c r="BM81" s="384">
        <f>BM57/'New Biz Sales'!BW96</f>
        <v>4.172666489</v>
      </c>
      <c r="BN81" s="384">
        <f>BN57/'New Biz Sales'!BX96</f>
        <v>4.191572452</v>
      </c>
      <c r="BO81" s="384">
        <f>BO57/'New Biz Sales'!BY96</f>
        <v>3.92203248</v>
      </c>
      <c r="BP81" s="384">
        <f>BP57/'New Biz Sales'!BZ96</f>
        <v>3.939189743</v>
      </c>
      <c r="BQ81" s="384">
        <f>BQ57/'New Biz Sales'!CA96</f>
        <v>3.957159494</v>
      </c>
      <c r="BR81" s="384">
        <f>BR57/'New Biz Sales'!CB96</f>
        <v>3.975934955</v>
      </c>
      <c r="BS81" s="384">
        <f>BS57/'New Biz Sales'!CC96</f>
        <v>3.995509696</v>
      </c>
      <c r="BT81" s="384">
        <f>BT57/'New Biz Sales'!CD96</f>
        <v>4.015877627</v>
      </c>
      <c r="BU81" s="384">
        <f>BU57/'New Biz Sales'!CE96</f>
        <v>4.037032992</v>
      </c>
      <c r="BV81" s="384">
        <f>BV57/'New Biz Sales'!CF96</f>
        <v>4.058970365</v>
      </c>
      <c r="BW81" s="384">
        <f>BW57/'New Biz Sales'!CG96</f>
        <v>4.081684636</v>
      </c>
      <c r="BX81" s="384">
        <f>BX57/'New Biz Sales'!CH96</f>
        <v>4.105171013</v>
      </c>
    </row>
    <row r="82" ht="15.75" customHeight="1">
      <c r="A82" s="1" t="s">
        <v>85</v>
      </c>
      <c r="B82" s="1"/>
      <c r="C82" s="1"/>
      <c r="D82" s="1"/>
      <c r="E82" s="385">
        <v>1.0</v>
      </c>
      <c r="F82" s="385">
        <v>2.0</v>
      </c>
      <c r="G82" s="385">
        <v>2.0</v>
      </c>
      <c r="H82" s="385">
        <v>8.0</v>
      </c>
      <c r="I82" s="385">
        <v>2.0</v>
      </c>
      <c r="J82" s="1">
        <v>1.0</v>
      </c>
      <c r="K82" s="1">
        <v>4.0</v>
      </c>
      <c r="L82" s="383">
        <v>2.0</v>
      </c>
      <c r="M82" s="383">
        <v>2.0</v>
      </c>
      <c r="N82" s="383">
        <f>N58/'New Biz Sales'!X97</f>
        <v>0</v>
      </c>
      <c r="O82" s="383">
        <v>5.0</v>
      </c>
      <c r="P82" s="384">
        <f>P58/'New Biz Sales'!Z97</f>
        <v>1.597624093</v>
      </c>
      <c r="Q82" s="384">
        <f>Q58/'New Biz Sales'!AA97</f>
        <v>1.806498007</v>
      </c>
      <c r="R82" s="384">
        <f>R58/'New Biz Sales'!AB97</f>
        <v>2.22842322</v>
      </c>
      <c r="S82" s="384">
        <f>S58/'New Biz Sales'!AC97</f>
        <v>2.710893729</v>
      </c>
      <c r="T82" s="384">
        <f>T58/'New Biz Sales'!AD97</f>
        <v>3.090109263</v>
      </c>
      <c r="U82" s="384">
        <f>U58/'New Biz Sales'!AE97</f>
        <v>3.320288136</v>
      </c>
      <c r="V82" s="384">
        <f>V58/'New Biz Sales'!AF97</f>
        <v>3.224753555</v>
      </c>
      <c r="W82" s="384">
        <f>W58/'New Biz Sales'!AG97</f>
        <v>3.391206389</v>
      </c>
      <c r="X82" s="384">
        <f>X58/'New Biz Sales'!AH97</f>
        <v>3.454758686</v>
      </c>
      <c r="Y82" s="384">
        <f>Y58/'New Biz Sales'!AI97</f>
        <v>3.583097689</v>
      </c>
      <c r="Z82" s="384">
        <f>Z58/'New Biz Sales'!AJ97</f>
        <v>3.73385801</v>
      </c>
      <c r="AA82" s="384">
        <f>AA58/'New Biz Sales'!AK97</f>
        <v>3.871243084</v>
      </c>
      <c r="AB82" s="384">
        <f>AB58/'New Biz Sales'!AL97</f>
        <v>4.058344585</v>
      </c>
      <c r="AC82" s="384">
        <f>AC58/'New Biz Sales'!AM97</f>
        <v>2.83546139</v>
      </c>
      <c r="AD82" s="384">
        <f>AD58/'New Biz Sales'!AN97</f>
        <v>3.333936419</v>
      </c>
      <c r="AE82" s="384">
        <f>AE58/'New Biz Sales'!AO97</f>
        <v>3.369925876</v>
      </c>
      <c r="AF82" s="384">
        <f>AF58/'New Biz Sales'!AP97</f>
        <v>3.406336996</v>
      </c>
      <c r="AG82" s="384">
        <f>AG58/'New Biz Sales'!AQ97</f>
        <v>3.443174921</v>
      </c>
      <c r="AH82" s="384">
        <f>AH58/'New Biz Sales'!AR97</f>
        <v>3.463129207</v>
      </c>
      <c r="AI82" s="384">
        <f>AI58/'New Biz Sales'!AS97</f>
        <v>3.50064882</v>
      </c>
      <c r="AJ82" s="384">
        <f>AJ58/'New Biz Sales'!AT97</f>
        <v>3.538608842</v>
      </c>
      <c r="AK82" s="384">
        <f>AK58/'New Biz Sales'!AU97</f>
        <v>3.57701465</v>
      </c>
      <c r="AL82" s="384">
        <f>AL58/'New Biz Sales'!AV97</f>
        <v>3.615871685</v>
      </c>
      <c r="AM82" s="384">
        <f>AM58/'New Biz Sales'!AW97</f>
        <v>3.655185457</v>
      </c>
      <c r="AN82" s="384">
        <f>AN58/'New Biz Sales'!AX97</f>
        <v>3.694961545</v>
      </c>
      <c r="AO82" s="384">
        <f>AO58/'New Biz Sales'!AY97</f>
        <v>3.716327534</v>
      </c>
      <c r="AP82" s="384">
        <f>AP58/'New Biz Sales'!AZ97</f>
        <v>3.755454575</v>
      </c>
      <c r="AQ82" s="384">
        <f>AQ58/'New Biz Sales'!BA97</f>
        <v>3.795024403</v>
      </c>
      <c r="AR82" s="384">
        <f>AR58/'New Biz Sales'!BB97</f>
        <v>3.835042198</v>
      </c>
      <c r="AS82" s="384">
        <f>AS58/'New Biz Sales'!BC97</f>
        <v>3.875513206</v>
      </c>
      <c r="AT82" s="384">
        <f>AT58/'New Biz Sales'!BD97</f>
        <v>3.916442733</v>
      </c>
      <c r="AU82" s="384">
        <f>AU58/'New Biz Sales'!BE97</f>
        <v>3.957836149</v>
      </c>
      <c r="AV82" s="384">
        <f>AV58/'New Biz Sales'!BF97</f>
        <v>3.999698888</v>
      </c>
      <c r="AW82" s="384">
        <f>AW58/'New Biz Sales'!BG97</f>
        <v>4.042036447</v>
      </c>
      <c r="AX82" s="384">
        <f>AX58/'New Biz Sales'!BH97</f>
        <v>4.08485439</v>
      </c>
      <c r="AY82" s="384">
        <f>AY58/'New Biz Sales'!BI97</f>
        <v>4.128158346</v>
      </c>
      <c r="AZ82" s="384">
        <f>AZ58/'New Biz Sales'!BJ97</f>
        <v>4.171954013</v>
      </c>
      <c r="BA82" s="384">
        <f>BA58/'New Biz Sales'!BK97</f>
        <v>4.094317736</v>
      </c>
      <c r="BB82" s="384">
        <f>BB58/'New Biz Sales'!BL97</f>
        <v>4.066181216</v>
      </c>
      <c r="BC82" s="384">
        <f>BC58/'New Biz Sales'!BM97</f>
        <v>3.82271692</v>
      </c>
      <c r="BD82" s="384">
        <f>BD58/'New Biz Sales'!BN97</f>
        <v>3.873106638</v>
      </c>
      <c r="BE82" s="384">
        <f>BE58/'New Biz Sales'!BO97</f>
        <v>3.92438907</v>
      </c>
      <c r="BF82" s="384">
        <f>BF58/'New Biz Sales'!BP97</f>
        <v>3.976585002</v>
      </c>
      <c r="BG82" s="384">
        <f>BG58/'New Biz Sales'!BQ97</f>
        <v>4.029715801</v>
      </c>
      <c r="BH82" s="384">
        <f>BH58/'New Biz Sales'!BR97</f>
        <v>4.083803434</v>
      </c>
      <c r="BI82" s="384">
        <f>BI58/'New Biz Sales'!BS97</f>
        <v>4.138870483</v>
      </c>
      <c r="BJ82" s="384">
        <f>BJ58/'New Biz Sales'!BT97</f>
        <v>4.194940168</v>
      </c>
      <c r="BK82" s="384">
        <f>BK58/'New Biz Sales'!BU97</f>
        <v>4.252036362</v>
      </c>
      <c r="BL82" s="384">
        <f>BL58/'New Biz Sales'!BV97</f>
        <v>4.310183617</v>
      </c>
      <c r="BM82" s="384">
        <f>BM58/'New Biz Sales'!BW97</f>
        <v>4.433203714</v>
      </c>
      <c r="BN82" s="384">
        <f>BN58/'New Biz Sales'!BX97</f>
        <v>4.453290146</v>
      </c>
      <c r="BO82" s="384">
        <f>BO58/'New Biz Sales'!BY97</f>
        <v>4.166920362</v>
      </c>
      <c r="BP82" s="384">
        <f>BP58/'New Biz Sales'!BZ97</f>
        <v>4.185148908</v>
      </c>
      <c r="BQ82" s="384">
        <f>BQ58/'New Biz Sales'!CA97</f>
        <v>4.204240672</v>
      </c>
      <c r="BR82" s="384">
        <f>BR58/'New Biz Sales'!CB97</f>
        <v>4.224188455</v>
      </c>
      <c r="BS82" s="384">
        <f>BS58/'New Biz Sales'!CC97</f>
        <v>4.244985423</v>
      </c>
      <c r="BT82" s="384">
        <f>BT58/'New Biz Sales'!CD97</f>
        <v>4.266625108</v>
      </c>
      <c r="BU82" s="384">
        <f>BU58/'New Biz Sales'!CE97</f>
        <v>4.289101394</v>
      </c>
      <c r="BV82" s="384">
        <f>BV58/'New Biz Sales'!CF97</f>
        <v>4.312408514</v>
      </c>
      <c r="BW82" s="384">
        <f>BW58/'New Biz Sales'!CG97</f>
        <v>4.336541043</v>
      </c>
      <c r="BX82" s="384">
        <f>BX58/'New Biz Sales'!CH97</f>
        <v>4.361493886</v>
      </c>
    </row>
    <row r="83" ht="15.75" customHeight="1">
      <c r="A83" s="1" t="s">
        <v>87</v>
      </c>
      <c r="B83" s="1"/>
      <c r="C83" s="1"/>
      <c r="D83" s="1"/>
      <c r="E83" s="385">
        <v>1.0</v>
      </c>
      <c r="F83" s="385">
        <v>0.0</v>
      </c>
      <c r="G83" s="385">
        <v>1.0</v>
      </c>
      <c r="H83" s="385">
        <v>2.0</v>
      </c>
      <c r="I83" s="385">
        <v>2.0</v>
      </c>
      <c r="J83" s="1">
        <v>2.0</v>
      </c>
      <c r="K83" s="1">
        <v>3.0</v>
      </c>
      <c r="L83" s="383">
        <v>4.0</v>
      </c>
      <c r="M83" s="383">
        <v>1.0</v>
      </c>
      <c r="N83" s="383">
        <f>N59/'New Biz Sales'!X98</f>
        <v>0</v>
      </c>
      <c r="O83" s="383">
        <v>3.0</v>
      </c>
      <c r="P83" s="384">
        <f>P59/'New Biz Sales'!Z98</f>
        <v>0.5097889186</v>
      </c>
      <c r="Q83" s="384">
        <f>Q59/'New Biz Sales'!AA98</f>
        <v>0.6328818692</v>
      </c>
      <c r="R83" s="384">
        <f>R59/'New Biz Sales'!AB98</f>
        <v>0.7570400937</v>
      </c>
      <c r="S83" s="384">
        <f>S59/'New Biz Sales'!AC98</f>
        <v>0.9209450091</v>
      </c>
      <c r="T83" s="384">
        <f>T59/'New Biz Sales'!AD98</f>
        <v>1.049772137</v>
      </c>
      <c r="U83" s="384">
        <f>U59/'New Biz Sales'!AE98</f>
        <v>1.094792975</v>
      </c>
      <c r="V83" s="384">
        <f>V59/'New Biz Sales'!AF98</f>
        <v>1.095513506</v>
      </c>
      <c r="W83" s="384">
        <f>W59/'New Biz Sales'!AG98</f>
        <v>1.118176731</v>
      </c>
      <c r="X83" s="384">
        <f>X59/'New Biz Sales'!AH98</f>
        <v>1.139131722</v>
      </c>
      <c r="Y83" s="384">
        <f>Y59/'New Biz Sales'!AI98</f>
        <v>1.2172502</v>
      </c>
      <c r="Z83" s="384">
        <f>Z59/'New Biz Sales'!AJ98</f>
        <v>1.044619476</v>
      </c>
      <c r="AA83" s="384">
        <f>AA59/'New Biz Sales'!AK98</f>
        <v>1.083055626</v>
      </c>
      <c r="AB83" s="384">
        <f>AB59/'New Biz Sales'!AL98</f>
        <v>1.135400913</v>
      </c>
      <c r="AC83" s="384">
        <f>AC59/'New Biz Sales'!AM98</f>
        <v>0.7893484237</v>
      </c>
      <c r="AD83" s="384">
        <f>AD59/'New Biz Sales'!AN98</f>
        <v>0.9281161316</v>
      </c>
      <c r="AE83" s="384">
        <f>AE59/'New Biz Sales'!AO98</f>
        <v>0.9381350376</v>
      </c>
      <c r="AF83" s="384">
        <f>AF59/'New Biz Sales'!AP98</f>
        <v>0.9482713282</v>
      </c>
      <c r="AG83" s="384">
        <f>AG59/'New Biz Sales'!AQ98</f>
        <v>0.9585264343</v>
      </c>
      <c r="AH83" s="384">
        <f>AH59/'New Biz Sales'!AR98</f>
        <v>0.9593087177</v>
      </c>
      <c r="AI83" s="384">
        <f>AI59/'New Biz Sales'!AS98</f>
        <v>0.9697018878</v>
      </c>
      <c r="AJ83" s="384">
        <f>AJ59/'New Biz Sales'!AT98</f>
        <v>0.9802170545</v>
      </c>
      <c r="AK83" s="384">
        <f>AK59/'New Biz Sales'!AU98</f>
        <v>0.9908557064</v>
      </c>
      <c r="AL83" s="384">
        <f>AL59/'New Biz Sales'!AV98</f>
        <v>1.001619351</v>
      </c>
      <c r="AM83" s="384">
        <f>AM59/'New Biz Sales'!AW98</f>
        <v>1.012509515</v>
      </c>
      <c r="AN83" s="384">
        <f>AN59/'New Biz Sales'!AX98</f>
        <v>1.023527743</v>
      </c>
      <c r="AO83" s="384">
        <f>AO59/'New Biz Sales'!AY98</f>
        <v>1.029446257</v>
      </c>
      <c r="AP83" s="384">
        <f>AP59/'New Biz Sales'!AZ98</f>
        <v>1.040284696</v>
      </c>
      <c r="AQ83" s="384">
        <f>AQ59/'New Biz Sales'!BA98</f>
        <v>1.051245788</v>
      </c>
      <c r="AR83" s="384">
        <f>AR59/'New Biz Sales'!BB98</f>
        <v>1.062330971</v>
      </c>
      <c r="AS83" s="384">
        <f>AS59/'New Biz Sales'!BC98</f>
        <v>1.073541696</v>
      </c>
      <c r="AT83" s="384">
        <f>AT59/'New Biz Sales'!BD98</f>
        <v>1.084879435</v>
      </c>
      <c r="AU83" s="384">
        <f>AU59/'New Biz Sales'!BE98</f>
        <v>1.096345673</v>
      </c>
      <c r="AV83" s="384">
        <f>AV59/'New Biz Sales'!BF98</f>
        <v>1.107941917</v>
      </c>
      <c r="AW83" s="384">
        <f>AW59/'New Biz Sales'!BG98</f>
        <v>1.119669688</v>
      </c>
      <c r="AX83" s="384">
        <f>AX59/'New Biz Sales'!BH98</f>
        <v>1.13153053</v>
      </c>
      <c r="AY83" s="384">
        <f>AY59/'New Biz Sales'!BI98</f>
        <v>1.143526</v>
      </c>
      <c r="AZ83" s="384">
        <f>AZ59/'New Biz Sales'!BJ98</f>
        <v>1.155657677</v>
      </c>
      <c r="BA83" s="384">
        <f>BA59/'New Biz Sales'!BK98</f>
        <v>1.101747596</v>
      </c>
      <c r="BB83" s="384">
        <f>BB59/'New Biz Sales'!BL98</f>
        <v>1.062914107</v>
      </c>
      <c r="BC83" s="384">
        <f>BC59/'New Biz Sales'!BM98</f>
        <v>0.9992716819</v>
      </c>
      <c r="BD83" s="384">
        <f>BD59/'New Biz Sales'!BN98</f>
        <v>1.012443732</v>
      </c>
      <c r="BE83" s="384">
        <f>BE59/'New Biz Sales'!BO98</f>
        <v>1.02584914</v>
      </c>
      <c r="BF83" s="384">
        <f>BF59/'New Biz Sales'!BP98</f>
        <v>1.039493341</v>
      </c>
      <c r="BG83" s="384">
        <f>BG59/'New Biz Sales'!BQ98</f>
        <v>1.053381919</v>
      </c>
      <c r="BH83" s="384">
        <f>BH59/'New Biz Sales'!BR98</f>
        <v>1.067520617</v>
      </c>
      <c r="BI83" s="384">
        <f>BI59/'New Biz Sales'!BS98</f>
        <v>1.081915338</v>
      </c>
      <c r="BJ83" s="384">
        <f>BJ59/'New Biz Sales'!BT98</f>
        <v>1.096572151</v>
      </c>
      <c r="BK83" s="384">
        <f>BK59/'New Biz Sales'!BU98</f>
        <v>1.111497298</v>
      </c>
      <c r="BL83" s="384">
        <f>BL59/'New Biz Sales'!BV98</f>
        <v>1.126697195</v>
      </c>
      <c r="BM83" s="384">
        <f>BM59/'New Biz Sales'!BW98</f>
        <v>1.158855082</v>
      </c>
      <c r="BN83" s="384">
        <f>BN59/'New Biz Sales'!BX98</f>
        <v>1.164105747</v>
      </c>
      <c r="BO83" s="384">
        <f>BO59/'New Biz Sales'!BY98</f>
        <v>1.089247675</v>
      </c>
      <c r="BP83" s="384">
        <f>BP59/'New Biz Sales'!BZ98</f>
        <v>1.094012681</v>
      </c>
      <c r="BQ83" s="384">
        <f>BQ59/'New Biz Sales'!CA98</f>
        <v>1.099003336</v>
      </c>
      <c r="BR83" s="384">
        <f>BR59/'New Biz Sales'!CB98</f>
        <v>1.104217757</v>
      </c>
      <c r="BS83" s="384">
        <f>BS59/'New Biz Sales'!CC98</f>
        <v>1.109654157</v>
      </c>
      <c r="BT83" s="384">
        <f>BT59/'New Biz Sales'!CD98</f>
        <v>1.115310847</v>
      </c>
      <c r="BU83" s="384">
        <f>BU59/'New Biz Sales'!CE98</f>
        <v>1.121186228</v>
      </c>
      <c r="BV83" s="384">
        <f>BV59/'New Biz Sales'!CF98</f>
        <v>1.127278791</v>
      </c>
      <c r="BW83" s="384">
        <f>BW59/'New Biz Sales'!CG98</f>
        <v>1.133587119</v>
      </c>
      <c r="BX83" s="384">
        <f>BX59/'New Biz Sales'!CH98</f>
        <v>1.140109881</v>
      </c>
    </row>
    <row r="84" ht="15.75" customHeight="1">
      <c r="A84" s="1" t="s">
        <v>89</v>
      </c>
      <c r="B84" s="1"/>
      <c r="C84" s="1"/>
      <c r="D84" s="1"/>
      <c r="E84" s="385">
        <v>0.0</v>
      </c>
      <c r="F84" s="385">
        <v>3.0</v>
      </c>
      <c r="G84" s="385">
        <v>1.0</v>
      </c>
      <c r="H84" s="385">
        <v>3.0</v>
      </c>
      <c r="I84" s="385">
        <v>1.0</v>
      </c>
      <c r="J84" s="1">
        <v>1.0</v>
      </c>
      <c r="K84" s="1">
        <v>3.0</v>
      </c>
      <c r="L84" s="383">
        <v>0.0</v>
      </c>
      <c r="M84" s="383">
        <v>3.0</v>
      </c>
      <c r="N84" s="383">
        <v>2.0</v>
      </c>
      <c r="O84" s="383">
        <v>1.0</v>
      </c>
      <c r="P84" s="384">
        <f>P60/'New Biz Sales'!Z99</f>
        <v>2.004187931</v>
      </c>
      <c r="Q84" s="384">
        <f>Q60/'New Biz Sales'!AA99</f>
        <v>1.881768758</v>
      </c>
      <c r="R84" s="384">
        <f>R60/'New Biz Sales'!AB99</f>
        <v>2.250932545</v>
      </c>
      <c r="S84" s="384">
        <f>S60/'New Biz Sales'!AC99</f>
        <v>2.738276494</v>
      </c>
      <c r="T84" s="384">
        <f>T60/'New Biz Sales'!AD99</f>
        <v>3.121322488</v>
      </c>
      <c r="U84" s="384">
        <f>U60/'New Biz Sales'!AE99</f>
        <v>2.712653706</v>
      </c>
      <c r="V84" s="384">
        <f>V60/'New Biz Sales'!AF99</f>
        <v>2.688085243</v>
      </c>
      <c r="W84" s="384">
        <f>W60/'New Biz Sales'!AG99</f>
        <v>2.743694489</v>
      </c>
      <c r="X84" s="384">
        <f>X60/'New Biz Sales'!AH99</f>
        <v>2.795112205</v>
      </c>
      <c r="Y84" s="384">
        <f>Y60/'New Biz Sales'!AI99</f>
        <v>2.986793209</v>
      </c>
      <c r="Z84" s="384">
        <f>Z60/'New Biz Sales'!AJ99</f>
        <v>4.357449281</v>
      </c>
      <c r="AA84" s="384">
        <f>AA60/'New Biz Sales'!AK99</f>
        <v>4.517779024</v>
      </c>
      <c r="AB84" s="384">
        <f>AB60/'New Biz Sales'!AL99</f>
        <v>4.736128328</v>
      </c>
      <c r="AC84" s="384">
        <f>AC60/'New Biz Sales'!AM99</f>
        <v>3.197650563</v>
      </c>
      <c r="AD84" s="384">
        <f>AD60/'New Biz Sales'!AN99</f>
        <v>3.759798565</v>
      </c>
      <c r="AE84" s="384">
        <f>AE60/'New Biz Sales'!AO99</f>
        <v>3.800385154</v>
      </c>
      <c r="AF84" s="384">
        <f>AF60/'New Biz Sales'!AP99</f>
        <v>3.841447268</v>
      </c>
      <c r="AG84" s="384">
        <f>AG60/'New Biz Sales'!AQ99</f>
        <v>3.882990705</v>
      </c>
      <c r="AH84" s="384">
        <f>AH60/'New Biz Sales'!AR99</f>
        <v>3.886159735</v>
      </c>
      <c r="AI84" s="384">
        <f>AI60/'New Biz Sales'!AS99</f>
        <v>3.928262468</v>
      </c>
      <c r="AJ84" s="384">
        <f>AJ60/'New Biz Sales'!AT99</f>
        <v>3.97085941</v>
      </c>
      <c r="AK84" s="384">
        <f>AK60/'New Biz Sales'!AU99</f>
        <v>4.01395659</v>
      </c>
      <c r="AL84" s="384">
        <f>AL60/'New Biz Sales'!AV99</f>
        <v>4.057560116</v>
      </c>
      <c r="AM84" s="384">
        <f>AM60/'New Biz Sales'!AW99</f>
        <v>4.101676171</v>
      </c>
      <c r="AN84" s="384">
        <f>AN60/'New Biz Sales'!AX99</f>
        <v>4.146311015</v>
      </c>
      <c r="AO84" s="384">
        <f>AO60/'New Biz Sales'!AY99</f>
        <v>4.06906636</v>
      </c>
      <c r="AP84" s="384">
        <f>AP60/'New Biz Sales'!AZ99</f>
        <v>4.111907183</v>
      </c>
      <c r="AQ84" s="384">
        <f>AQ60/'New Biz Sales'!BA99</f>
        <v>4.155232818</v>
      </c>
      <c r="AR84" s="384">
        <f>AR60/'New Biz Sales'!BB99</f>
        <v>4.199048942</v>
      </c>
      <c r="AS84" s="384">
        <f>AS60/'New Biz Sales'!BC99</f>
        <v>4.243361294</v>
      </c>
      <c r="AT84" s="384">
        <f>AT60/'New Biz Sales'!BD99</f>
        <v>4.288175687</v>
      </c>
      <c r="AU84" s="384">
        <f>AU60/'New Biz Sales'!BE99</f>
        <v>4.333498</v>
      </c>
      <c r="AV84" s="384">
        <f>AV60/'New Biz Sales'!BF99</f>
        <v>4.37933418</v>
      </c>
      <c r="AW84" s="384">
        <f>AW60/'New Biz Sales'!BG99</f>
        <v>4.42569025</v>
      </c>
      <c r="AX84" s="384">
        <f>AX60/'New Biz Sales'!BH99</f>
        <v>4.472572299</v>
      </c>
      <c r="AY84" s="384">
        <f>AY60/'New Biz Sales'!BI99</f>
        <v>4.519986493</v>
      </c>
      <c r="AZ84" s="384">
        <f>AZ60/'New Biz Sales'!BJ99</f>
        <v>4.567939068</v>
      </c>
      <c r="BA84" s="384">
        <f>BA60/'New Biz Sales'!BK99</f>
        <v>4.354850044</v>
      </c>
      <c r="BB84" s="384">
        <f>BB60/'New Biz Sales'!BL99</f>
        <v>4.20135389</v>
      </c>
      <c r="BC84" s="384">
        <f>BC60/'New Biz Sales'!BM99</f>
        <v>3.949796074</v>
      </c>
      <c r="BD84" s="384">
        <f>BD60/'New Biz Sales'!BN99</f>
        <v>4.001860905</v>
      </c>
      <c r="BE84" s="384">
        <f>BE60/'New Biz Sales'!BO99</f>
        <v>4.054848126</v>
      </c>
      <c r="BF84" s="384">
        <f>BF60/'New Biz Sales'!BP99</f>
        <v>4.108779215</v>
      </c>
      <c r="BG84" s="384">
        <f>BG60/'New Biz Sales'!BQ99</f>
        <v>4.16367625</v>
      </c>
      <c r="BH84" s="384">
        <f>BH60/'New Biz Sales'!BR99</f>
        <v>4.219561926</v>
      </c>
      <c r="BI84" s="384">
        <f>BI60/'New Biz Sales'!BS99</f>
        <v>4.276459577</v>
      </c>
      <c r="BJ84" s="384">
        <f>BJ60/'New Biz Sales'!BT99</f>
        <v>4.334393195</v>
      </c>
      <c r="BK84" s="384">
        <f>BK60/'New Biz Sales'!BU99</f>
        <v>4.393387447</v>
      </c>
      <c r="BL84" s="384">
        <f>BL60/'New Biz Sales'!BV99</f>
        <v>4.4534677</v>
      </c>
      <c r="BM84" s="384">
        <f>BM60/'New Biz Sales'!BW99</f>
        <v>4.580577372</v>
      </c>
      <c r="BN84" s="384">
        <f>BN60/'New Biz Sales'!BX99</f>
        <v>4.601331541</v>
      </c>
      <c r="BO84" s="384">
        <f>BO60/'New Biz Sales'!BY99</f>
        <v>4.305441923</v>
      </c>
      <c r="BP84" s="384">
        <f>BP60/'New Biz Sales'!BZ99</f>
        <v>4.324276443</v>
      </c>
      <c r="BQ84" s="384">
        <f>BQ60/'New Biz Sales'!CA99</f>
        <v>4.344002878</v>
      </c>
      <c r="BR84" s="384">
        <f>BR60/'New Biz Sales'!CB99</f>
        <v>4.364613787</v>
      </c>
      <c r="BS84" s="384">
        <f>BS60/'New Biz Sales'!CC99</f>
        <v>4.386102112</v>
      </c>
      <c r="BT84" s="384">
        <f>BT60/'New Biz Sales'!CD99</f>
        <v>4.408461168</v>
      </c>
      <c r="BU84" s="384">
        <f>BU60/'New Biz Sales'!CE99</f>
        <v>4.431684637</v>
      </c>
      <c r="BV84" s="384">
        <f>BV60/'New Biz Sales'!CF99</f>
        <v>4.45576656</v>
      </c>
      <c r="BW84" s="384">
        <f>BW60/'New Biz Sales'!CG99</f>
        <v>4.480701329</v>
      </c>
      <c r="BX84" s="384">
        <f>BX60/'New Biz Sales'!CH99</f>
        <v>4.506483684</v>
      </c>
    </row>
    <row r="85" ht="15.75" customHeight="1">
      <c r="A85" s="1" t="s">
        <v>646</v>
      </c>
      <c r="B85" s="1"/>
      <c r="C85" s="1"/>
      <c r="D85" s="1"/>
      <c r="E85" s="385">
        <v>1.0</v>
      </c>
      <c r="F85" s="385">
        <v>3.0</v>
      </c>
      <c r="G85" s="385">
        <v>5.0</v>
      </c>
      <c r="H85" s="385">
        <v>6.0</v>
      </c>
      <c r="I85" s="385">
        <v>1.0</v>
      </c>
      <c r="J85" s="1">
        <v>4.0</v>
      </c>
      <c r="K85" s="1">
        <v>3.0</v>
      </c>
      <c r="L85" s="383">
        <v>3.0</v>
      </c>
      <c r="M85" s="383">
        <v>1.0</v>
      </c>
      <c r="N85" s="383">
        <v>2.0</v>
      </c>
      <c r="O85" s="383">
        <v>1.0</v>
      </c>
      <c r="P85" s="384">
        <f>P61/'New Biz Sales'!Z100</f>
        <v>2.147344211</v>
      </c>
      <c r="Q85" s="384">
        <f>Q61/'New Biz Sales'!AA100</f>
        <v>2.352210947</v>
      </c>
      <c r="R85" s="384">
        <f>R61/'New Biz Sales'!AB100</f>
        <v>2.250932545</v>
      </c>
      <c r="S85" s="384">
        <f>S61/'New Biz Sales'!AC100</f>
        <v>3.422845617</v>
      </c>
      <c r="T85" s="384">
        <f>T61/'New Biz Sales'!AD100</f>
        <v>4.681983732</v>
      </c>
      <c r="U85" s="384">
        <f>U61/'New Biz Sales'!AE100</f>
        <v>2.441388335</v>
      </c>
      <c r="V85" s="384">
        <f>V61/'New Biz Sales'!AF100</f>
        <v>2.442995118</v>
      </c>
      <c r="W85" s="384">
        <f>W61/'New Biz Sales'!AG100</f>
        <v>1.662356073</v>
      </c>
      <c r="X85" s="384">
        <f>X61/'New Biz Sales'!AH100</f>
        <v>1.69350916</v>
      </c>
      <c r="Y85" s="384">
        <f>Y61/'New Biz Sales'!AI100</f>
        <v>2.714467946</v>
      </c>
      <c r="Z85" s="384">
        <f>Z61/'New Biz Sales'!AJ100</f>
        <v>4.714467184</v>
      </c>
      <c r="AA85" s="384">
        <f>AA61/'New Biz Sales'!AK100</f>
        <v>4.887933187</v>
      </c>
      <c r="AB85" s="384">
        <f>AB61/'New Biz Sales'!AL100</f>
        <v>5.124172456</v>
      </c>
      <c r="AC85" s="384">
        <f>AC61/'New Biz Sales'!AM100</f>
        <v>3.562404612</v>
      </c>
      <c r="AD85" s="384">
        <f>AD61/'New Biz Sales'!AN100</f>
        <v>4.188676494</v>
      </c>
      <c r="AE85" s="384">
        <f>AE61/'New Biz Sales'!AO100</f>
        <v>4.233892771</v>
      </c>
      <c r="AF85" s="384">
        <f>AF61/'New Biz Sales'!AP100</f>
        <v>4.279638816</v>
      </c>
      <c r="AG85" s="384">
        <f>AG61/'New Biz Sales'!AQ100</f>
        <v>4.325921086</v>
      </c>
      <c r="AH85" s="384">
        <f>AH61/'New Biz Sales'!AR100</f>
        <v>4.329451606</v>
      </c>
      <c r="AI85" s="384">
        <f>AI61/'New Biz Sales'!AS100</f>
        <v>4.376356972</v>
      </c>
      <c r="AJ85" s="384">
        <f>AJ61/'New Biz Sales'!AT100</f>
        <v>4.423812921</v>
      </c>
      <c r="AK85" s="384">
        <f>AK61/'New Biz Sales'!AU100</f>
        <v>4.47182617</v>
      </c>
      <c r="AL85" s="384">
        <f>AL61/'New Biz Sales'!AV100</f>
        <v>4.520403524</v>
      </c>
      <c r="AM85" s="384">
        <f>AM61/'New Biz Sales'!AW100</f>
        <v>4.569551871</v>
      </c>
      <c r="AN85" s="384">
        <f>AN61/'New Biz Sales'!AX100</f>
        <v>4.619278184</v>
      </c>
      <c r="AO85" s="384">
        <f>AO61/'New Biz Sales'!AY100</f>
        <v>4.533222278</v>
      </c>
      <c r="AP85" s="384">
        <f>AP61/'New Biz Sales'!AZ100</f>
        <v>4.580949927</v>
      </c>
      <c r="AQ85" s="384">
        <f>AQ61/'New Biz Sales'!BA100</f>
        <v>4.629217692</v>
      </c>
      <c r="AR85" s="384">
        <f>AR61/'New Biz Sales'!BB100</f>
        <v>4.678031893</v>
      </c>
      <c r="AS85" s="384">
        <f>AS61/'New Biz Sales'!BC100</f>
        <v>4.727398929</v>
      </c>
      <c r="AT85" s="384">
        <f>AT61/'New Biz Sales'!BD100</f>
        <v>4.777325273</v>
      </c>
      <c r="AU85" s="384">
        <f>AU61/'New Biz Sales'!BE100</f>
        <v>4.827817474</v>
      </c>
      <c r="AV85" s="384">
        <f>AV61/'New Biz Sales'!BF100</f>
        <v>4.87888216</v>
      </c>
      <c r="AW85" s="384">
        <f>AW61/'New Biz Sales'!BG100</f>
        <v>4.930526038</v>
      </c>
      <c r="AX85" s="384">
        <f>AX61/'New Biz Sales'!BH100</f>
        <v>4.982755894</v>
      </c>
      <c r="AY85" s="384">
        <f>AY61/'New Biz Sales'!BI100</f>
        <v>5.035578596</v>
      </c>
      <c r="AZ85" s="384">
        <f>AZ61/'New Biz Sales'!BJ100</f>
        <v>5.089001091</v>
      </c>
      <c r="BA85" s="384">
        <f>BA61/'New Biz Sales'!BK100</f>
        <v>4.851605132</v>
      </c>
      <c r="BB85" s="384">
        <f>BB61/'New Biz Sales'!BL100</f>
        <v>4.680599766</v>
      </c>
      <c r="BC85" s="384">
        <f>BC61/'New Biz Sales'!BM100</f>
        <v>4.400346903</v>
      </c>
      <c r="BD85" s="384">
        <f>BD61/'New Biz Sales'!BN100</f>
        <v>4.458350738</v>
      </c>
      <c r="BE85" s="384">
        <f>BE61/'New Biz Sales'!BO100</f>
        <v>4.517382179</v>
      </c>
      <c r="BF85" s="384">
        <f>BF61/'New Biz Sales'!BP100</f>
        <v>4.577465155</v>
      </c>
      <c r="BG85" s="384">
        <f>BG61/'New Biz Sales'!BQ100</f>
        <v>4.638624261</v>
      </c>
      <c r="BH85" s="384">
        <f>BH61/'New Biz Sales'!BR100</f>
        <v>4.700884782</v>
      </c>
      <c r="BI85" s="384">
        <f>BI61/'New Biz Sales'!BS100</f>
        <v>4.764272713</v>
      </c>
      <c r="BJ85" s="384">
        <f>BJ61/'New Biz Sales'!BT100</f>
        <v>4.828814783</v>
      </c>
      <c r="BK85" s="384">
        <f>BK61/'New Biz Sales'!BU100</f>
        <v>4.894538473</v>
      </c>
      <c r="BL85" s="384">
        <f>BL61/'New Biz Sales'!BV100</f>
        <v>4.961472044</v>
      </c>
      <c r="BM85" s="384">
        <f>BM61/'New Biz Sales'!BW100</f>
        <v>5.10308104</v>
      </c>
      <c r="BN85" s="384">
        <f>BN61/'New Biz Sales'!BX100</f>
        <v>5.126202623</v>
      </c>
      <c r="BO85" s="384">
        <f>BO61/'New Biz Sales'!BY100</f>
        <v>4.796561057</v>
      </c>
      <c r="BP85" s="384">
        <f>BP61/'New Biz Sales'!BZ100</f>
        <v>4.817544019</v>
      </c>
      <c r="BQ85" s="384">
        <f>BQ61/'New Biz Sales'!CA100</f>
        <v>4.839520637</v>
      </c>
      <c r="BR85" s="384">
        <f>BR61/'New Biz Sales'!CB100</f>
        <v>4.86248262</v>
      </c>
      <c r="BS85" s="384">
        <f>BS61/'New Biz Sales'!CC100</f>
        <v>4.886422105</v>
      </c>
      <c r="BT85" s="384">
        <f>BT61/'New Biz Sales'!CD100</f>
        <v>4.911331645</v>
      </c>
      <c r="BU85" s="384">
        <f>BU61/'New Biz Sales'!CE100</f>
        <v>4.937204201</v>
      </c>
      <c r="BV85" s="384">
        <f>BV61/'New Biz Sales'!CF100</f>
        <v>4.964033134</v>
      </c>
      <c r="BW85" s="384">
        <f>BW61/'New Biz Sales'!CG100</f>
        <v>4.991812197</v>
      </c>
      <c r="BX85" s="384">
        <f>BX61/'New Biz Sales'!CH100</f>
        <v>5.020535529</v>
      </c>
    </row>
    <row r="86" ht="15.75" customHeight="1">
      <c r="A86" s="1" t="s">
        <v>96</v>
      </c>
      <c r="B86" s="1"/>
      <c r="C86" s="1"/>
      <c r="D86" s="1"/>
      <c r="E86" s="385">
        <v>0.0</v>
      </c>
      <c r="F86" s="385">
        <v>0.0</v>
      </c>
      <c r="G86" s="385">
        <v>0.0</v>
      </c>
      <c r="H86" s="385">
        <v>0.0</v>
      </c>
      <c r="I86" s="385">
        <v>0.0</v>
      </c>
      <c r="J86" s="1">
        <v>0.0</v>
      </c>
      <c r="K86" s="1">
        <v>0.0</v>
      </c>
      <c r="L86" s="383">
        <f>L62/'New Biz Sales'!V101</f>
        <v>0</v>
      </c>
      <c r="M86" s="383">
        <v>0.0</v>
      </c>
      <c r="N86" s="383">
        <v>0.0</v>
      </c>
      <c r="O86" s="383">
        <v>1.0</v>
      </c>
      <c r="P86" s="384">
        <f>P62/'New Biz Sales'!Z101</f>
        <v>0</v>
      </c>
      <c r="Q86" s="384">
        <f>Q62/'New Biz Sales'!AA101</f>
        <v>0</v>
      </c>
      <c r="R86" s="384">
        <f>R62/'New Biz Sales'!AB101</f>
        <v>0</v>
      </c>
      <c r="S86" s="384">
        <f>S62/'New Biz Sales'!AC101</f>
        <v>0</v>
      </c>
      <c r="T86" s="384">
        <f>T62/'New Biz Sales'!AD101</f>
        <v>0</v>
      </c>
      <c r="U86" s="384">
        <f>U62/'New Biz Sales'!AE101</f>
        <v>0</v>
      </c>
      <c r="V86" s="384">
        <f>V62/'New Biz Sales'!AF101</f>
        <v>0</v>
      </c>
      <c r="W86" s="384">
        <f>W62/'New Biz Sales'!AG101</f>
        <v>0</v>
      </c>
      <c r="X86" s="384">
        <f>X62/'New Biz Sales'!AH101</f>
        <v>0</v>
      </c>
      <c r="Y86" s="384">
        <f>Y62/'New Biz Sales'!AI101</f>
        <v>0</v>
      </c>
      <c r="Z86" s="384">
        <f>Z62/'New Biz Sales'!AJ101</f>
        <v>0</v>
      </c>
      <c r="AA86" s="384">
        <f>AA62/'New Biz Sales'!AK101</f>
        <v>0</v>
      </c>
      <c r="AB86" s="384">
        <f>AB62/'New Biz Sales'!AL101</f>
        <v>0</v>
      </c>
      <c r="AC86" s="384">
        <f>AC62/'New Biz Sales'!AM101</f>
        <v>0</v>
      </c>
      <c r="AD86" s="384">
        <f>AD62/'New Biz Sales'!AN101</f>
        <v>0</v>
      </c>
      <c r="AE86" s="384">
        <f>AE62/'New Biz Sales'!AO101</f>
        <v>0</v>
      </c>
      <c r="AF86" s="384">
        <f>AF62/'New Biz Sales'!AP101</f>
        <v>0</v>
      </c>
      <c r="AG86" s="384">
        <f>AG62/'New Biz Sales'!AQ101</f>
        <v>0</v>
      </c>
      <c r="AH86" s="384">
        <f>AH62/'New Biz Sales'!AR101</f>
        <v>0</v>
      </c>
      <c r="AI86" s="384">
        <f>AI62/'New Biz Sales'!AS101</f>
        <v>0</v>
      </c>
      <c r="AJ86" s="384">
        <f>AJ62/'New Biz Sales'!AT101</f>
        <v>0</v>
      </c>
      <c r="AK86" s="384">
        <f>AK62/'New Biz Sales'!AU101</f>
        <v>0</v>
      </c>
      <c r="AL86" s="384">
        <f>AL62/'New Biz Sales'!AV101</f>
        <v>0</v>
      </c>
      <c r="AM86" s="384">
        <f>AM62/'New Biz Sales'!AW101</f>
        <v>0</v>
      </c>
      <c r="AN86" s="384">
        <f>AN62/'New Biz Sales'!AX101</f>
        <v>0</v>
      </c>
      <c r="AO86" s="384">
        <f>AO62/'New Biz Sales'!AY101</f>
        <v>0</v>
      </c>
      <c r="AP86" s="384">
        <f>AP62/'New Biz Sales'!AZ101</f>
        <v>0</v>
      </c>
      <c r="AQ86" s="384">
        <f>AQ62/'New Biz Sales'!BA101</f>
        <v>0</v>
      </c>
      <c r="AR86" s="384">
        <f>AR62/'New Biz Sales'!BB101</f>
        <v>0</v>
      </c>
      <c r="AS86" s="384">
        <f>AS62/'New Biz Sales'!BC101</f>
        <v>0</v>
      </c>
      <c r="AT86" s="384">
        <f>AT62/'New Biz Sales'!BD101</f>
        <v>0</v>
      </c>
      <c r="AU86" s="384">
        <f>AU62/'New Biz Sales'!BE101</f>
        <v>0</v>
      </c>
      <c r="AV86" s="384">
        <f>AV62/'New Biz Sales'!BF101</f>
        <v>0</v>
      </c>
      <c r="AW86" s="384">
        <f>AW62/'New Biz Sales'!BG101</f>
        <v>0</v>
      </c>
      <c r="AX86" s="384">
        <f>AX62/'New Biz Sales'!BH101</f>
        <v>0</v>
      </c>
      <c r="AY86" s="384">
        <f>AY62/'New Biz Sales'!BI101</f>
        <v>0</v>
      </c>
      <c r="AZ86" s="384">
        <f>AZ62/'New Biz Sales'!BJ101</f>
        <v>0</v>
      </c>
      <c r="BA86" s="384">
        <f>BA62/'New Biz Sales'!BK101</f>
        <v>0</v>
      </c>
      <c r="BB86" s="384">
        <f>BB62/'New Biz Sales'!BL101</f>
        <v>0</v>
      </c>
      <c r="BC86" s="384">
        <f>BC62/'New Biz Sales'!BM101</f>
        <v>0</v>
      </c>
      <c r="BD86" s="384">
        <f>BD62/'New Biz Sales'!BN101</f>
        <v>0</v>
      </c>
      <c r="BE86" s="384">
        <f>BE62/'New Biz Sales'!BO101</f>
        <v>0</v>
      </c>
      <c r="BF86" s="384">
        <f>BF62/'New Biz Sales'!BP101</f>
        <v>0</v>
      </c>
      <c r="BG86" s="384">
        <f>BG62/'New Biz Sales'!BQ101</f>
        <v>0</v>
      </c>
      <c r="BH86" s="384">
        <f>BH62/'New Biz Sales'!BR101</f>
        <v>0</v>
      </c>
      <c r="BI86" s="384">
        <f>BI62/'New Biz Sales'!BS101</f>
        <v>0</v>
      </c>
      <c r="BJ86" s="384">
        <f>BJ62/'New Biz Sales'!BT101</f>
        <v>0</v>
      </c>
      <c r="BK86" s="384">
        <f>BK62/'New Biz Sales'!BU101</f>
        <v>0</v>
      </c>
      <c r="BL86" s="384">
        <f>BL62/'New Biz Sales'!BV101</f>
        <v>0</v>
      </c>
      <c r="BM86" s="384">
        <f>BM62/'New Biz Sales'!BW101</f>
        <v>0</v>
      </c>
      <c r="BN86" s="384">
        <f>BN62/'New Biz Sales'!BX101</f>
        <v>0</v>
      </c>
      <c r="BO86" s="384">
        <f>BO62/'New Biz Sales'!BY101</f>
        <v>0</v>
      </c>
      <c r="BP86" s="384">
        <f>BP62/'New Biz Sales'!BZ101</f>
        <v>0</v>
      </c>
      <c r="BQ86" s="384">
        <f>BQ62/'New Biz Sales'!CA101</f>
        <v>0</v>
      </c>
      <c r="BR86" s="384">
        <f>BR62/'New Biz Sales'!CB101</f>
        <v>0</v>
      </c>
      <c r="BS86" s="384">
        <f>BS62/'New Biz Sales'!CC101</f>
        <v>0</v>
      </c>
      <c r="BT86" s="384">
        <f>BT62/'New Biz Sales'!CD101</f>
        <v>0</v>
      </c>
      <c r="BU86" s="384">
        <f>BU62/'New Biz Sales'!CE101</f>
        <v>0</v>
      </c>
      <c r="BV86" s="384">
        <f>BV62/'New Biz Sales'!CF101</f>
        <v>0</v>
      </c>
      <c r="BW86" s="384">
        <f>BW62/'New Biz Sales'!CG101</f>
        <v>0</v>
      </c>
      <c r="BX86" s="384">
        <f>BX62/'New Biz Sales'!CH101</f>
        <v>0</v>
      </c>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outlineLevelCol="1"/>
  <cols>
    <col customWidth="1" min="1" max="1" width="59.0"/>
    <col customWidth="1" min="2" max="3" width="11.0" outlineLevel="1"/>
    <col customWidth="1" min="4" max="5" width="10.43" outlineLevel="1"/>
    <col customWidth="1" min="6" max="6" width="10.71" outlineLevel="1"/>
    <col customWidth="1" min="7" max="11" width="11.57" outlineLevel="1"/>
    <col customWidth="1" min="12" max="12" width="14.0" outlineLevel="1"/>
    <col customWidth="1" min="13" max="13" width="11.57" outlineLevel="1"/>
    <col customWidth="1" min="14" max="14" width="11.57"/>
    <col customWidth="1" min="15" max="15" width="10.71"/>
    <col customWidth="1" min="16" max="17" width="11.57"/>
    <col customWidth="1" min="18" max="18" width="15.71"/>
    <col customWidth="1" min="19" max="47" width="11.57"/>
    <col customWidth="1" min="48" max="48" width="14.29"/>
    <col customWidth="1" min="49" max="49" width="15.43"/>
    <col customWidth="1" min="50" max="50" width="15.29"/>
    <col customWidth="1" min="51" max="54" width="11.57"/>
    <col customWidth="1" min="55" max="55" width="14.57"/>
    <col customWidth="1" min="56" max="56" width="14.0"/>
    <col customWidth="1" min="57" max="57" width="11.57"/>
    <col customWidth="1" min="58" max="58" width="15.43"/>
    <col customWidth="1" min="59" max="59" width="18.86"/>
    <col customWidth="1" min="60" max="60" width="15.57"/>
    <col customWidth="1" min="61" max="61" width="15.29"/>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row>
    <row r="4">
      <c r="A4" s="1"/>
      <c r="B4" s="241"/>
      <c r="C4" s="92">
        <v>44197.0</v>
      </c>
      <c r="D4" s="93">
        <v>44228.0</v>
      </c>
      <c r="E4" s="93">
        <v>44256.0</v>
      </c>
      <c r="F4" s="93">
        <v>44287.0</v>
      </c>
      <c r="G4" s="93">
        <v>44317.0</v>
      </c>
      <c r="H4" s="93">
        <v>44348.0</v>
      </c>
      <c r="I4" s="93">
        <v>44378.0</v>
      </c>
      <c r="J4" s="93">
        <v>44409.0</v>
      </c>
      <c r="K4" s="93">
        <v>44440.0</v>
      </c>
      <c r="L4" s="93">
        <v>44470.0</v>
      </c>
      <c r="M4" s="93">
        <v>44501.0</v>
      </c>
      <c r="N4" s="94">
        <v>44531.0</v>
      </c>
      <c r="O4" s="92">
        <v>44562.0</v>
      </c>
      <c r="P4" s="93">
        <v>44593.0</v>
      </c>
      <c r="Q4" s="93">
        <v>44621.0</v>
      </c>
      <c r="R4" s="93">
        <v>44652.0</v>
      </c>
      <c r="S4" s="93">
        <v>44682.0</v>
      </c>
      <c r="T4" s="93">
        <v>44713.0</v>
      </c>
      <c r="U4" s="93">
        <v>44743.0</v>
      </c>
      <c r="V4" s="93">
        <v>44774.0</v>
      </c>
      <c r="W4" s="95">
        <v>44805.0</v>
      </c>
      <c r="X4" s="95">
        <v>44835.0</v>
      </c>
      <c r="Y4" s="95">
        <v>44866.0</v>
      </c>
      <c r="Z4" s="95">
        <v>44896.0</v>
      </c>
      <c r="AA4" s="150">
        <v>44927.0</v>
      </c>
      <c r="AB4" s="97">
        <v>44958.0</v>
      </c>
      <c r="AC4" s="97">
        <v>44986.0</v>
      </c>
      <c r="AD4" s="97">
        <v>45017.0</v>
      </c>
      <c r="AE4" s="98">
        <v>45047.0</v>
      </c>
      <c r="AF4" s="98">
        <v>45078.0</v>
      </c>
      <c r="AG4" s="98">
        <v>45108.0</v>
      </c>
      <c r="AH4" s="98">
        <v>45139.0</v>
      </c>
      <c r="AI4" s="98">
        <v>45170.0</v>
      </c>
      <c r="AJ4" s="98">
        <v>45200.0</v>
      </c>
      <c r="AK4" s="98">
        <v>45231.0</v>
      </c>
      <c r="AL4" s="99">
        <v>45261.0</v>
      </c>
      <c r="AM4" s="100">
        <v>45292.0</v>
      </c>
      <c r="AN4" s="98">
        <v>45323.0</v>
      </c>
      <c r="AO4" s="98">
        <v>45352.0</v>
      </c>
      <c r="AP4" s="98">
        <v>45383.0</v>
      </c>
      <c r="AQ4" s="98">
        <v>45413.0</v>
      </c>
      <c r="AR4" s="98">
        <v>45444.0</v>
      </c>
      <c r="AS4" s="98">
        <v>45474.0</v>
      </c>
      <c r="AT4" s="98">
        <v>45505.0</v>
      </c>
      <c r="AU4" s="98">
        <v>45536.0</v>
      </c>
      <c r="AV4" s="98">
        <v>45566.0</v>
      </c>
      <c r="AW4" s="98">
        <v>45597.0</v>
      </c>
      <c r="AX4" s="99">
        <v>45627.0</v>
      </c>
      <c r="AY4" s="100">
        <v>45658.0</v>
      </c>
      <c r="AZ4" s="98">
        <v>45689.0</v>
      </c>
      <c r="BA4" s="98">
        <v>45717.0</v>
      </c>
      <c r="BB4" s="98">
        <v>45748.0</v>
      </c>
      <c r="BC4" s="98">
        <v>45778.0</v>
      </c>
      <c r="BD4" s="98">
        <v>45809.0</v>
      </c>
      <c r="BE4" s="98">
        <v>45839.0</v>
      </c>
      <c r="BF4" s="98">
        <v>45870.0</v>
      </c>
      <c r="BG4" s="98">
        <v>45901.0</v>
      </c>
      <c r="BH4" s="98">
        <v>45931.0</v>
      </c>
      <c r="BI4" s="98">
        <v>45962.0</v>
      </c>
      <c r="BJ4" s="99">
        <v>45992.0</v>
      </c>
      <c r="BK4" s="100">
        <v>46023.0</v>
      </c>
      <c r="BL4" s="98">
        <v>46054.0</v>
      </c>
      <c r="BM4" s="98">
        <v>46082.0</v>
      </c>
      <c r="BN4" s="98">
        <v>46113.0</v>
      </c>
      <c r="BO4" s="98">
        <v>46143.0</v>
      </c>
      <c r="BP4" s="98">
        <v>46174.0</v>
      </c>
      <c r="BQ4" s="98">
        <v>46204.0</v>
      </c>
      <c r="BR4" s="98">
        <v>46235.0</v>
      </c>
      <c r="BS4" s="98">
        <v>46266.0</v>
      </c>
      <c r="BT4" s="98">
        <v>46296.0</v>
      </c>
      <c r="BU4" s="98">
        <v>46327.0</v>
      </c>
      <c r="BV4" s="99">
        <v>46357.0</v>
      </c>
      <c r="BW4" s="100">
        <v>46388.0</v>
      </c>
      <c r="BX4" s="98">
        <v>46419.0</v>
      </c>
      <c r="BY4" s="98">
        <v>46447.0</v>
      </c>
      <c r="BZ4" s="98">
        <v>46478.0</v>
      </c>
      <c r="CA4" s="98">
        <v>46508.0</v>
      </c>
      <c r="CB4" s="98">
        <v>46539.0</v>
      </c>
      <c r="CC4" s="98">
        <v>46569.0</v>
      </c>
      <c r="CD4" s="98">
        <v>46600.0</v>
      </c>
      <c r="CE4" s="98">
        <v>46631.0</v>
      </c>
      <c r="CF4" s="98">
        <v>46661.0</v>
      </c>
      <c r="CG4" s="98">
        <v>46692.0</v>
      </c>
      <c r="CH4" s="99">
        <v>46722.0</v>
      </c>
      <c r="CI4" s="100"/>
      <c r="CJ4" s="98"/>
      <c r="CK4" s="100"/>
      <c r="CL4" s="98"/>
      <c r="CM4" s="100"/>
      <c r="CN4" s="98"/>
      <c r="CO4" s="100"/>
      <c r="CP4" s="98"/>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row>
    <row r="7">
      <c r="A7" s="137" t="s">
        <v>129</v>
      </c>
      <c r="B7" s="356"/>
      <c r="C7" s="356">
        <f>'New Biz Sales'!C112</f>
        <v>605000</v>
      </c>
      <c r="D7" s="356">
        <f>'New Biz Sales'!D112</f>
        <v>761250</v>
      </c>
      <c r="E7" s="356">
        <f>'New Biz Sales'!E112</f>
        <v>801000</v>
      </c>
      <c r="F7" s="356">
        <f>'New Biz Sales'!F112</f>
        <v>612250</v>
      </c>
      <c r="G7" s="356">
        <f>'New Biz Sales'!G112</f>
        <v>245000</v>
      </c>
      <c r="H7" s="356">
        <f>'New Biz Sales'!H112</f>
        <v>804000</v>
      </c>
      <c r="I7" s="356">
        <f>'New Biz Sales'!I112</f>
        <v>432000</v>
      </c>
      <c r="J7" s="356">
        <f>'New Biz Sales'!J112</f>
        <v>1591750</v>
      </c>
      <c r="K7" s="356">
        <f>'New Biz Sales'!K112</f>
        <v>260000</v>
      </c>
      <c r="L7" s="356">
        <f>'New Biz Sales'!L112</f>
        <v>455000</v>
      </c>
      <c r="M7" s="356">
        <f>'New Biz Sales'!M112</f>
        <v>120000</v>
      </c>
      <c r="N7" s="356">
        <f>'New Biz Sales'!N112</f>
        <v>0</v>
      </c>
      <c r="O7" s="356">
        <f>'New Biz Sales'!O112</f>
        <v>2397490</v>
      </c>
      <c r="P7" s="356">
        <f>'New Biz Sales'!P112</f>
        <v>1034035</v>
      </c>
      <c r="Q7" s="356">
        <f>'New Biz Sales'!Q112</f>
        <v>1641135</v>
      </c>
      <c r="R7" s="356">
        <f>'New Biz Sales'!R112</f>
        <v>2197765</v>
      </c>
      <c r="S7" s="356">
        <f>'New Biz Sales'!S112</f>
        <v>745020</v>
      </c>
      <c r="T7" s="356">
        <f>'New Biz Sales'!T112</f>
        <v>1491725</v>
      </c>
      <c r="U7" s="356">
        <f>'New Biz Sales'!U112</f>
        <v>540505</v>
      </c>
      <c r="V7" s="356">
        <f>'New Biz Sales'!V112</f>
        <v>1312950</v>
      </c>
      <c r="W7" s="356">
        <f>'New Biz Sales'!W112</f>
        <v>2209010</v>
      </c>
      <c r="X7" s="356">
        <f>'New Biz Sales'!X112</f>
        <v>2319155</v>
      </c>
      <c r="Y7" s="356">
        <f>'New Biz Sales'!Y112</f>
        <v>2291290</v>
      </c>
      <c r="Z7" s="356">
        <f>'New Biz Sales'!Z112</f>
        <v>618750</v>
      </c>
      <c r="AA7" s="356">
        <f>'New Biz Sales'!AA112</f>
        <v>757350</v>
      </c>
      <c r="AB7" s="356">
        <f>'New Biz Sales'!AB112</f>
        <v>833085</v>
      </c>
      <c r="AC7" s="356">
        <f>'New Biz Sales'!AC112</f>
        <v>833085</v>
      </c>
      <c r="AD7" s="356">
        <f>'New Biz Sales'!AD112</f>
        <v>833085</v>
      </c>
      <c r="AE7" s="356">
        <f>'New Biz Sales'!AE112</f>
        <v>833085</v>
      </c>
      <c r="AF7" s="356">
        <f>'New Biz Sales'!AF112</f>
        <v>849746.7</v>
      </c>
      <c r="AG7" s="356">
        <f>'New Biz Sales'!AG112</f>
        <v>849746.7</v>
      </c>
      <c r="AH7" s="356">
        <f>'New Biz Sales'!AH112</f>
        <v>849746.7</v>
      </c>
      <c r="AI7" s="356">
        <f>'New Biz Sales'!AI112</f>
        <v>849746.7</v>
      </c>
      <c r="AJ7" s="356">
        <f>'New Biz Sales'!AJ112</f>
        <v>815756.832</v>
      </c>
      <c r="AK7" s="356">
        <f>'New Biz Sales'!AK112</f>
        <v>815756.832</v>
      </c>
      <c r="AL7" s="356">
        <f>'New Biz Sales'!AL112</f>
        <v>815756.832</v>
      </c>
      <c r="AM7" s="356">
        <f>'New Biz Sales'!AM112</f>
        <v>823934.7942</v>
      </c>
      <c r="AN7" s="356">
        <f>'New Biz Sales'!AN112</f>
        <v>576754.356</v>
      </c>
      <c r="AO7" s="356">
        <f>'New Biz Sales'!AO112</f>
        <v>547916.6382</v>
      </c>
      <c r="AP7" s="356">
        <f>'New Biz Sales'!AP112</f>
        <v>550656.2214</v>
      </c>
      <c r="AQ7" s="356">
        <f>'New Biz Sales'!AQ112</f>
        <v>553409.5025</v>
      </c>
      <c r="AR7" s="356">
        <f>'New Biz Sales'!AR112</f>
        <v>558957.4327</v>
      </c>
      <c r="AS7" s="356">
        <f>'New Biz Sales'!AS112</f>
        <v>561752.2199</v>
      </c>
      <c r="AT7" s="356">
        <f>'New Biz Sales'!AT112</f>
        <v>564560.981</v>
      </c>
      <c r="AU7" s="356">
        <f>'New Biz Sales'!AU112</f>
        <v>567383.7859</v>
      </c>
      <c r="AV7" s="356">
        <f>'New Biz Sales'!AV112</f>
        <v>570220.7048</v>
      </c>
      <c r="AW7" s="356">
        <f>'New Biz Sales'!AW112</f>
        <v>573071.8084</v>
      </c>
      <c r="AX7" s="356">
        <f>'New Biz Sales'!AX112</f>
        <v>575937.1674</v>
      </c>
      <c r="AY7" s="356">
        <f>'New Biz Sales'!AY112</f>
        <v>581710.9375</v>
      </c>
      <c r="AZ7" s="356">
        <f>'New Biz Sales'!AZ112</f>
        <v>587528.0469</v>
      </c>
      <c r="BA7" s="356">
        <f>'New Biz Sales'!BA112</f>
        <v>590465.6871</v>
      </c>
      <c r="BB7" s="356">
        <f>'New Biz Sales'!BB112</f>
        <v>593418.0155</v>
      </c>
      <c r="BC7" s="356">
        <f>'New Biz Sales'!BC112</f>
        <v>596385.1056</v>
      </c>
      <c r="BD7" s="356">
        <f>'New Biz Sales'!BD112</f>
        <v>599367.0311</v>
      </c>
      <c r="BE7" s="356">
        <f>'New Biz Sales'!BE112</f>
        <v>602363.8663</v>
      </c>
      <c r="BF7" s="356">
        <f>'New Biz Sales'!BF112</f>
        <v>605375.6856</v>
      </c>
      <c r="BG7" s="356">
        <f>'New Biz Sales'!BG112</f>
        <v>608402.5641</v>
      </c>
      <c r="BH7" s="356">
        <f>'New Biz Sales'!BH112</f>
        <v>611444.5769</v>
      </c>
      <c r="BI7" s="356">
        <f>'New Biz Sales'!BI112</f>
        <v>614501.7998</v>
      </c>
      <c r="BJ7" s="356">
        <f>'New Biz Sales'!BJ112</f>
        <v>617574.3088</v>
      </c>
      <c r="BK7" s="356">
        <f>'New Biz Sales'!BK112</f>
        <v>633075.4239</v>
      </c>
      <c r="BL7" s="356">
        <f>'New Biz Sales'!BL112</f>
        <v>613450.0858</v>
      </c>
      <c r="BM7" s="356">
        <f>'New Biz Sales'!BM112</f>
        <v>616517.3362</v>
      </c>
      <c r="BN7" s="356">
        <f>'New Biz Sales'!BN112</f>
        <v>619599.9229</v>
      </c>
      <c r="BO7" s="356">
        <f>'New Biz Sales'!BO112</f>
        <v>622697.9225</v>
      </c>
      <c r="BP7" s="356">
        <f>'New Biz Sales'!BP112</f>
        <v>625811.4121</v>
      </c>
      <c r="BQ7" s="356">
        <f>'New Biz Sales'!BQ112</f>
        <v>628940.4692</v>
      </c>
      <c r="BR7" s="356">
        <f>'New Biz Sales'!BR112</f>
        <v>632085.1715</v>
      </c>
      <c r="BS7" s="356">
        <f>'New Biz Sales'!BS112</f>
        <v>635245.5974</v>
      </c>
      <c r="BT7" s="356">
        <f>'New Biz Sales'!BT112</f>
        <v>638421.8254</v>
      </c>
      <c r="BU7" s="356">
        <f>'New Biz Sales'!BU112</f>
        <v>641613.9345</v>
      </c>
      <c r="BV7" s="356">
        <f>'New Biz Sales'!BV112</f>
        <v>644822.0042</v>
      </c>
      <c r="BW7" s="356">
        <f>'New Biz Sales'!BW112</f>
        <v>648046.1142</v>
      </c>
      <c r="BX7" s="356">
        <f>'New Biz Sales'!BX112</f>
        <v>583241.5028</v>
      </c>
      <c r="BY7" s="356">
        <f>'New Biz Sales'!BY112</f>
        <v>586157.7103</v>
      </c>
      <c r="BZ7" s="356">
        <f>'New Biz Sales'!BZ112</f>
        <v>589088.4988</v>
      </c>
      <c r="CA7" s="356">
        <f>'New Biz Sales'!CA112</f>
        <v>592033.9413</v>
      </c>
      <c r="CB7" s="356">
        <f>'New Biz Sales'!CB112</f>
        <v>594994.111</v>
      </c>
      <c r="CC7" s="356">
        <f>'New Biz Sales'!CC112</f>
        <v>597969.0816</v>
      </c>
      <c r="CD7" s="356">
        <f>'New Biz Sales'!CD112</f>
        <v>600958.927</v>
      </c>
      <c r="CE7" s="356">
        <f>'New Biz Sales'!CE112</f>
        <v>603963.7216</v>
      </c>
      <c r="CF7" s="356">
        <f>'New Biz Sales'!CF112</f>
        <v>606983.5402</v>
      </c>
      <c r="CG7" s="356">
        <f>'New Biz Sales'!CG112</f>
        <v>610018.4579</v>
      </c>
      <c r="CH7" s="356">
        <f>'New Biz Sales'!CH112</f>
        <v>613068.5502</v>
      </c>
      <c r="CI7" s="1"/>
      <c r="CJ7" s="1"/>
      <c r="CK7" s="1"/>
      <c r="CL7" s="1"/>
      <c r="CM7" s="1"/>
      <c r="CN7" s="1"/>
      <c r="CO7" s="1"/>
      <c r="CP7" s="1"/>
    </row>
    <row r="8">
      <c r="A8" s="137" t="s">
        <v>85</v>
      </c>
      <c r="B8" s="356"/>
      <c r="C8" s="356">
        <f>'New Biz Sales'!C113</f>
        <v>0</v>
      </c>
      <c r="D8" s="356">
        <f>'New Biz Sales'!D113</f>
        <v>195000</v>
      </c>
      <c r="E8" s="356">
        <f>'New Biz Sales'!E113</f>
        <v>233000</v>
      </c>
      <c r="F8" s="356">
        <f>'New Biz Sales'!F113</f>
        <v>496500</v>
      </c>
      <c r="G8" s="356">
        <f>'New Biz Sales'!G113</f>
        <v>159250</v>
      </c>
      <c r="H8" s="356">
        <f>'New Biz Sales'!H113</f>
        <v>528250</v>
      </c>
      <c r="I8" s="356">
        <f>'New Biz Sales'!I113</f>
        <v>188500</v>
      </c>
      <c r="J8" s="356">
        <f>'New Biz Sales'!J113</f>
        <v>356750</v>
      </c>
      <c r="K8" s="356">
        <f>'New Biz Sales'!K113</f>
        <v>317500</v>
      </c>
      <c r="L8" s="356">
        <f>'New Biz Sales'!L113</f>
        <v>368500</v>
      </c>
      <c r="M8" s="356">
        <f>'New Biz Sales'!M113</f>
        <v>382500</v>
      </c>
      <c r="N8" s="356">
        <f>'New Biz Sales'!N113</f>
        <v>0</v>
      </c>
      <c r="O8" s="356">
        <f>'New Biz Sales'!O113</f>
        <v>1198595</v>
      </c>
      <c r="P8" s="356">
        <f>'New Biz Sales'!P113</f>
        <v>2096420</v>
      </c>
      <c r="Q8" s="356">
        <f>'New Biz Sales'!Q113</f>
        <v>2484555</v>
      </c>
      <c r="R8" s="356">
        <f>'New Biz Sales'!R113</f>
        <v>1585445</v>
      </c>
      <c r="S8" s="356">
        <f>'New Biz Sales'!S113</f>
        <v>1524720</v>
      </c>
      <c r="T8" s="356">
        <f>'New Biz Sales'!T113</f>
        <v>2198705</v>
      </c>
      <c r="U8" s="356">
        <f>'New Biz Sales'!U113</f>
        <v>2408270</v>
      </c>
      <c r="V8" s="356">
        <f>'New Biz Sales'!V113</f>
        <v>1635010</v>
      </c>
      <c r="W8" s="356">
        <f>'New Biz Sales'!W113</f>
        <v>1868495</v>
      </c>
      <c r="X8" s="356">
        <f>'New Biz Sales'!X113</f>
        <v>649915</v>
      </c>
      <c r="Y8" s="356">
        <f>'New Biz Sales'!Y113</f>
        <v>1230220</v>
      </c>
      <c r="Z8" s="356">
        <f>'New Biz Sales'!Z113</f>
        <v>468750</v>
      </c>
      <c r="AA8" s="356">
        <f>'New Biz Sales'!AA113</f>
        <v>573750</v>
      </c>
      <c r="AB8" s="356">
        <f>'New Biz Sales'!AB113</f>
        <v>631125</v>
      </c>
      <c r="AC8" s="356">
        <f>'New Biz Sales'!AC113</f>
        <v>631125</v>
      </c>
      <c r="AD8" s="356">
        <f>'New Biz Sales'!AD113</f>
        <v>631125</v>
      </c>
      <c r="AE8" s="356">
        <f>'New Biz Sales'!AE113</f>
        <v>631125</v>
      </c>
      <c r="AF8" s="356">
        <f>'New Biz Sales'!AF113</f>
        <v>643747.5</v>
      </c>
      <c r="AG8" s="356">
        <f>'New Biz Sales'!AG113</f>
        <v>643747.5</v>
      </c>
      <c r="AH8" s="356">
        <f>'New Biz Sales'!AH113</f>
        <v>643747.5</v>
      </c>
      <c r="AI8" s="356">
        <f>'New Biz Sales'!AI113</f>
        <v>643747.5</v>
      </c>
      <c r="AJ8" s="356">
        <f>'New Biz Sales'!AJ113</f>
        <v>611560.125</v>
      </c>
      <c r="AK8" s="356">
        <f>'New Biz Sales'!AK113</f>
        <v>611560.125</v>
      </c>
      <c r="AL8" s="356">
        <f>'New Biz Sales'!AL113</f>
        <v>611560.125</v>
      </c>
      <c r="AM8" s="356">
        <f>'New Biz Sales'!AM113</f>
        <v>617691.0153</v>
      </c>
      <c r="AN8" s="356">
        <f>'New Biz Sales'!AN113</f>
        <v>432383.7107</v>
      </c>
      <c r="AO8" s="356">
        <f>'New Biz Sales'!AO113</f>
        <v>410764.5251</v>
      </c>
      <c r="AP8" s="356">
        <f>'New Biz Sales'!AP113</f>
        <v>412818.3478</v>
      </c>
      <c r="AQ8" s="356">
        <f>'New Biz Sales'!AQ113</f>
        <v>414882.4395</v>
      </c>
      <c r="AR8" s="356">
        <f>'New Biz Sales'!AR113</f>
        <v>419041.636</v>
      </c>
      <c r="AS8" s="356">
        <f>'New Biz Sales'!AS113</f>
        <v>421136.8441</v>
      </c>
      <c r="AT8" s="356">
        <f>'New Biz Sales'!AT113</f>
        <v>423242.5284</v>
      </c>
      <c r="AU8" s="356">
        <f>'New Biz Sales'!AU113</f>
        <v>425358.741</v>
      </c>
      <c r="AV8" s="356">
        <f>'New Biz Sales'!AV113</f>
        <v>427485.5347</v>
      </c>
      <c r="AW8" s="356">
        <f>'New Biz Sales'!AW113</f>
        <v>429622.9624</v>
      </c>
      <c r="AX8" s="356">
        <f>'New Biz Sales'!AX113</f>
        <v>431771.0772</v>
      </c>
      <c r="AY8" s="356">
        <f>'New Biz Sales'!AY113</f>
        <v>436099.5822</v>
      </c>
      <c r="AZ8" s="356">
        <f>'New Biz Sales'!AZ113</f>
        <v>440460.5781</v>
      </c>
      <c r="BA8" s="356">
        <f>'New Biz Sales'!BA113</f>
        <v>442662.881</v>
      </c>
      <c r="BB8" s="356">
        <f>'New Biz Sales'!BB113</f>
        <v>444876.1954</v>
      </c>
      <c r="BC8" s="356">
        <f>'New Biz Sales'!BC113</f>
        <v>447100.5763</v>
      </c>
      <c r="BD8" s="356">
        <f>'New Biz Sales'!BD113</f>
        <v>449336.0792</v>
      </c>
      <c r="BE8" s="356">
        <f>'New Biz Sales'!BE113</f>
        <v>451582.7596</v>
      </c>
      <c r="BF8" s="356">
        <f>'New Biz Sales'!BF113</f>
        <v>453840.6734</v>
      </c>
      <c r="BG8" s="356">
        <f>'New Biz Sales'!BG113</f>
        <v>456109.8768</v>
      </c>
      <c r="BH8" s="356">
        <f>'New Biz Sales'!BH113</f>
        <v>458390.4262</v>
      </c>
      <c r="BI8" s="356">
        <f>'New Biz Sales'!BI113</f>
        <v>460682.3783</v>
      </c>
      <c r="BJ8" s="356">
        <f>'New Biz Sales'!BJ113</f>
        <v>462985.7902</v>
      </c>
      <c r="BK8" s="356">
        <f>'New Biz Sales'!BK113</f>
        <v>474606.7335</v>
      </c>
      <c r="BL8" s="356">
        <f>'New Biz Sales'!BL113</f>
        <v>459893.9248</v>
      </c>
      <c r="BM8" s="356">
        <f>'New Biz Sales'!BM113</f>
        <v>462193.3944</v>
      </c>
      <c r="BN8" s="356">
        <f>'New Biz Sales'!BN113</f>
        <v>464504.3614</v>
      </c>
      <c r="BO8" s="356">
        <f>'New Biz Sales'!BO113</f>
        <v>466826.8832</v>
      </c>
      <c r="BP8" s="356">
        <f>'New Biz Sales'!BP113</f>
        <v>469161.0176</v>
      </c>
      <c r="BQ8" s="356">
        <f>'New Biz Sales'!BQ113</f>
        <v>471506.8227</v>
      </c>
      <c r="BR8" s="356">
        <f>'New Biz Sales'!BR113</f>
        <v>473864.3568</v>
      </c>
      <c r="BS8" s="356">
        <f>'New Biz Sales'!BS113</f>
        <v>476233.6786</v>
      </c>
      <c r="BT8" s="356">
        <f>'New Biz Sales'!BT113</f>
        <v>478614.847</v>
      </c>
      <c r="BU8" s="356">
        <f>'New Biz Sales'!BU113</f>
        <v>481007.9212</v>
      </c>
      <c r="BV8" s="356">
        <f>'New Biz Sales'!BV113</f>
        <v>483412.9608</v>
      </c>
      <c r="BW8" s="356">
        <f>'New Biz Sales'!BW113</f>
        <v>485830.0256</v>
      </c>
      <c r="BX8" s="356">
        <f>'New Biz Sales'!BX113</f>
        <v>437247.0231</v>
      </c>
      <c r="BY8" s="356">
        <f>'New Biz Sales'!BY113</f>
        <v>439433.2582</v>
      </c>
      <c r="BZ8" s="356">
        <f>'New Biz Sales'!BZ113</f>
        <v>441630.4245</v>
      </c>
      <c r="CA8" s="356">
        <f>'New Biz Sales'!CA113</f>
        <v>443838.5766</v>
      </c>
      <c r="CB8" s="356">
        <f>'New Biz Sales'!CB113</f>
        <v>446057.7695</v>
      </c>
      <c r="CC8" s="356">
        <f>'New Biz Sales'!CC113</f>
        <v>448288.0583</v>
      </c>
      <c r="CD8" s="356">
        <f>'New Biz Sales'!CD113</f>
        <v>450529.4986</v>
      </c>
      <c r="CE8" s="356">
        <f>'New Biz Sales'!CE113</f>
        <v>452782.1461</v>
      </c>
      <c r="CF8" s="356">
        <f>'New Biz Sales'!CF113</f>
        <v>455046.0568</v>
      </c>
      <c r="CG8" s="356">
        <f>'New Biz Sales'!CG113</f>
        <v>457321.2871</v>
      </c>
      <c r="CH8" s="356">
        <f>'New Biz Sales'!CH113</f>
        <v>459607.8936</v>
      </c>
      <c r="CI8" s="1"/>
      <c r="CJ8" s="1"/>
      <c r="CK8" s="1"/>
      <c r="CL8" s="1"/>
      <c r="CM8" s="1"/>
      <c r="CN8" s="1"/>
      <c r="CO8" s="1"/>
      <c r="CP8" s="1"/>
    </row>
    <row r="9">
      <c r="A9" s="137" t="s">
        <v>130</v>
      </c>
      <c r="B9" s="356"/>
      <c r="C9" s="356">
        <f>'New Biz Sales'!C114</f>
        <v>122000</v>
      </c>
      <c r="D9" s="356">
        <f>'New Biz Sales'!D114</f>
        <v>148000</v>
      </c>
      <c r="E9" s="356">
        <f>'New Biz Sales'!E114</f>
        <v>253500</v>
      </c>
      <c r="F9" s="356">
        <f>'New Biz Sales'!F114</f>
        <v>131500</v>
      </c>
      <c r="G9" s="356">
        <f>'New Biz Sales'!G114</f>
        <v>30000</v>
      </c>
      <c r="H9" s="356">
        <f>'New Biz Sales'!H114</f>
        <v>303750</v>
      </c>
      <c r="I9" s="356">
        <f>'New Biz Sales'!I114</f>
        <v>139500</v>
      </c>
      <c r="J9" s="356">
        <f>'New Biz Sales'!J114</f>
        <v>312000</v>
      </c>
      <c r="K9" s="356">
        <f>'New Biz Sales'!K114</f>
        <v>134000</v>
      </c>
      <c r="L9" s="356">
        <f>'New Biz Sales'!L114</f>
        <v>115000</v>
      </c>
      <c r="M9" s="356">
        <f>'New Biz Sales'!M114</f>
        <v>70000</v>
      </c>
      <c r="N9" s="356">
        <f>'New Biz Sales'!N114</f>
        <v>0</v>
      </c>
      <c r="O9" s="356">
        <f>'New Biz Sales'!O114</f>
        <v>1064095</v>
      </c>
      <c r="P9" s="356">
        <f>'New Biz Sales'!P114</f>
        <v>2256250</v>
      </c>
      <c r="Q9" s="356">
        <f>'New Biz Sales'!Q114</f>
        <v>2466020</v>
      </c>
      <c r="R9" s="356">
        <f>'New Biz Sales'!R114</f>
        <v>1422050</v>
      </c>
      <c r="S9" s="356">
        <f>'New Biz Sales'!S114</f>
        <v>345000</v>
      </c>
      <c r="T9" s="356">
        <f>'New Biz Sales'!T114</f>
        <v>1111085</v>
      </c>
      <c r="U9" s="356">
        <f>'New Biz Sales'!U114</f>
        <v>897075</v>
      </c>
      <c r="V9" s="356">
        <f>'New Biz Sales'!V114</f>
        <v>1428035</v>
      </c>
      <c r="W9" s="356">
        <f>'New Biz Sales'!W114</f>
        <v>2077975</v>
      </c>
      <c r="X9" s="356">
        <f>'New Biz Sales'!X114</f>
        <v>704765</v>
      </c>
      <c r="Y9" s="356">
        <f>'New Biz Sales'!Y114</f>
        <v>947750</v>
      </c>
      <c r="Z9" s="356">
        <f>'New Biz Sales'!Z114</f>
        <v>710812.5</v>
      </c>
      <c r="AA9" s="356">
        <f>'New Biz Sales'!AA114</f>
        <v>870034.5</v>
      </c>
      <c r="AB9" s="356">
        <f>'New Biz Sales'!AB114</f>
        <v>957037.95</v>
      </c>
      <c r="AC9" s="356">
        <f>'New Biz Sales'!AC114</f>
        <v>957037.95</v>
      </c>
      <c r="AD9" s="356">
        <f>'New Biz Sales'!AD114</f>
        <v>957037.95</v>
      </c>
      <c r="AE9" s="356">
        <f>'New Biz Sales'!AE114</f>
        <v>957037.95</v>
      </c>
      <c r="AF9" s="356">
        <f>'New Biz Sales'!AF114</f>
        <v>976178.709</v>
      </c>
      <c r="AG9" s="356">
        <f>'New Biz Sales'!AG114</f>
        <v>976178.709</v>
      </c>
      <c r="AH9" s="356">
        <f>'New Biz Sales'!AH114</f>
        <v>976178.709</v>
      </c>
      <c r="AI9" s="356">
        <f>'New Biz Sales'!AI114</f>
        <v>976178.709</v>
      </c>
      <c r="AJ9" s="356">
        <f>'New Biz Sales'!AJ114</f>
        <v>927369.7736</v>
      </c>
      <c r="AK9" s="356">
        <f>'New Biz Sales'!AK114</f>
        <v>927369.7736</v>
      </c>
      <c r="AL9" s="356">
        <f>'New Biz Sales'!AL114</f>
        <v>927369.7736</v>
      </c>
      <c r="AM9" s="356">
        <f>'New Biz Sales'!AM114</f>
        <v>941326.6886</v>
      </c>
      <c r="AN9" s="356">
        <f>'New Biz Sales'!AN114</f>
        <v>658928.682</v>
      </c>
      <c r="AO9" s="356">
        <f>'New Biz Sales'!AO114</f>
        <v>625982.2479</v>
      </c>
      <c r="AP9" s="356">
        <f>'New Biz Sales'!AP114</f>
        <v>629112.1592</v>
      </c>
      <c r="AQ9" s="356">
        <f>'New Biz Sales'!AQ114</f>
        <v>632257.72</v>
      </c>
      <c r="AR9" s="356">
        <f>'New Biz Sales'!AR114</f>
        <v>641773.1987</v>
      </c>
      <c r="AS9" s="356">
        <f>'New Biz Sales'!AS114</f>
        <v>644982.0647</v>
      </c>
      <c r="AT9" s="356">
        <f>'New Biz Sales'!AT114</f>
        <v>648206.975</v>
      </c>
      <c r="AU9" s="356">
        <f>'New Biz Sales'!AU114</f>
        <v>651448.0099</v>
      </c>
      <c r="AV9" s="356">
        <f>'New Biz Sales'!AV114</f>
        <v>654705.2499</v>
      </c>
      <c r="AW9" s="356">
        <f>'New Biz Sales'!AW114</f>
        <v>657978.7762</v>
      </c>
      <c r="AX9" s="356">
        <f>'New Biz Sales'!AX114</f>
        <v>661268.67</v>
      </c>
      <c r="AY9" s="356">
        <f>'New Biz Sales'!AY114</f>
        <v>667897.8885</v>
      </c>
      <c r="AZ9" s="356">
        <f>'New Biz Sales'!AZ114</f>
        <v>674576.8673</v>
      </c>
      <c r="BA9" s="356">
        <f>'New Biz Sales'!BA114</f>
        <v>677949.7517</v>
      </c>
      <c r="BB9" s="356">
        <f>'New Biz Sales'!BB114</f>
        <v>681339.5004</v>
      </c>
      <c r="BC9" s="356">
        <f>'New Biz Sales'!BC114</f>
        <v>684746.1979</v>
      </c>
      <c r="BD9" s="356">
        <f>'New Biz Sales'!BD114</f>
        <v>688169.9289</v>
      </c>
      <c r="BE9" s="356">
        <f>'New Biz Sales'!BE114</f>
        <v>691610.7786</v>
      </c>
      <c r="BF9" s="356">
        <f>'New Biz Sales'!BF114</f>
        <v>695068.8325</v>
      </c>
      <c r="BG9" s="356">
        <f>'New Biz Sales'!BG114</f>
        <v>698544.1766</v>
      </c>
      <c r="BH9" s="356">
        <f>'New Biz Sales'!BH114</f>
        <v>702036.8975</v>
      </c>
      <c r="BI9" s="356">
        <f>'New Biz Sales'!BI114</f>
        <v>705547.082</v>
      </c>
      <c r="BJ9" s="356">
        <f>'New Biz Sales'!BJ114</f>
        <v>709074.8174</v>
      </c>
      <c r="BK9" s="356">
        <f>'New Biz Sales'!BK114</f>
        <v>748251.2011</v>
      </c>
      <c r="BL9" s="356">
        <f>'New Biz Sales'!BL114</f>
        <v>746380.5731</v>
      </c>
      <c r="BM9" s="356">
        <f>'New Biz Sales'!BM114</f>
        <v>750112.4759</v>
      </c>
      <c r="BN9" s="356">
        <f>'New Biz Sales'!BN114</f>
        <v>753863.0383</v>
      </c>
      <c r="BO9" s="356">
        <f>'New Biz Sales'!BO114</f>
        <v>757632.3535</v>
      </c>
      <c r="BP9" s="356">
        <f>'New Biz Sales'!BP114</f>
        <v>761420.5153</v>
      </c>
      <c r="BQ9" s="356">
        <f>'New Biz Sales'!BQ114</f>
        <v>765227.6178</v>
      </c>
      <c r="BR9" s="356">
        <f>'New Biz Sales'!BR114</f>
        <v>769053.7559</v>
      </c>
      <c r="BS9" s="356">
        <f>'New Biz Sales'!BS114</f>
        <v>772899.0247</v>
      </c>
      <c r="BT9" s="356">
        <f>'New Biz Sales'!BT114</f>
        <v>776763.5198</v>
      </c>
      <c r="BU9" s="356">
        <f>'New Biz Sales'!BU114</f>
        <v>780647.3374</v>
      </c>
      <c r="BV9" s="356">
        <f>'New Biz Sales'!BV114</f>
        <v>784550.5741</v>
      </c>
      <c r="BW9" s="356">
        <f>'New Biz Sales'!BW114</f>
        <v>788473.327</v>
      </c>
      <c r="BX9" s="356">
        <f>'New Biz Sales'!BX114</f>
        <v>709625.9943</v>
      </c>
      <c r="BY9" s="356">
        <f>'New Biz Sales'!BY114</f>
        <v>713174.1243</v>
      </c>
      <c r="BZ9" s="356">
        <f>'New Biz Sales'!BZ114</f>
        <v>716739.9949</v>
      </c>
      <c r="CA9" s="356">
        <f>'New Biz Sales'!CA114</f>
        <v>720323.6949</v>
      </c>
      <c r="CB9" s="356">
        <f>'New Biz Sales'!CB114</f>
        <v>723925.3133</v>
      </c>
      <c r="CC9" s="356">
        <f>'New Biz Sales'!CC114</f>
        <v>727544.9399</v>
      </c>
      <c r="CD9" s="356">
        <f>'New Biz Sales'!CD114</f>
        <v>731182.6646</v>
      </c>
      <c r="CE9" s="356">
        <f>'New Biz Sales'!CE114</f>
        <v>734838.5779</v>
      </c>
      <c r="CF9" s="356">
        <f>'New Biz Sales'!CF114</f>
        <v>738512.7708</v>
      </c>
      <c r="CG9" s="356">
        <f>'New Biz Sales'!CG114</f>
        <v>742205.3347</v>
      </c>
      <c r="CH9" s="356">
        <f>'New Biz Sales'!CH114</f>
        <v>745916.3613</v>
      </c>
      <c r="CI9" s="1"/>
      <c r="CJ9" s="1"/>
      <c r="CK9" s="1"/>
      <c r="CL9" s="1"/>
      <c r="CM9" s="1"/>
      <c r="CN9" s="1"/>
      <c r="CO9" s="1"/>
      <c r="CP9" s="1"/>
    </row>
    <row r="10">
      <c r="A10" s="137" t="s">
        <v>89</v>
      </c>
      <c r="B10" s="356"/>
      <c r="C10" s="356">
        <f>'New Biz Sales'!C115</f>
        <v>0</v>
      </c>
      <c r="D10" s="356">
        <f>'New Biz Sales'!D115</f>
        <v>0</v>
      </c>
      <c r="E10" s="356">
        <f>'New Biz Sales'!E115</f>
        <v>0</v>
      </c>
      <c r="F10" s="356">
        <f>'New Biz Sales'!F115</f>
        <v>0</v>
      </c>
      <c r="G10" s="356">
        <f>'New Biz Sales'!G115</f>
        <v>0</v>
      </c>
      <c r="H10" s="356">
        <f>'New Biz Sales'!H115</f>
        <v>0</v>
      </c>
      <c r="I10" s="356">
        <f>'New Biz Sales'!I115</f>
        <v>20500</v>
      </c>
      <c r="J10" s="356">
        <f>'New Biz Sales'!J115</f>
        <v>0</v>
      </c>
      <c r="K10" s="356">
        <f>'New Biz Sales'!K115</f>
        <v>0</v>
      </c>
      <c r="L10" s="356">
        <f>'New Biz Sales'!L115</f>
        <v>28000</v>
      </c>
      <c r="M10" s="356">
        <f>'New Biz Sales'!M115</f>
        <v>23000</v>
      </c>
      <c r="N10" s="356">
        <f>'New Biz Sales'!N115</f>
        <v>0</v>
      </c>
      <c r="O10" s="356">
        <f>'New Biz Sales'!O115</f>
        <v>1042540</v>
      </c>
      <c r="P10" s="356">
        <f>'New Biz Sales'!P115</f>
        <v>1647290</v>
      </c>
      <c r="Q10" s="356">
        <f>'New Biz Sales'!Q115</f>
        <v>2160945</v>
      </c>
      <c r="R10" s="356">
        <f>'New Biz Sales'!R115</f>
        <v>2122765</v>
      </c>
      <c r="S10" s="356">
        <f>'New Biz Sales'!S115</f>
        <v>25000</v>
      </c>
      <c r="T10" s="356">
        <f>'New Biz Sales'!T115</f>
        <v>2328300</v>
      </c>
      <c r="U10" s="356">
        <f>'New Biz Sales'!U115</f>
        <v>1489955</v>
      </c>
      <c r="V10" s="356">
        <f>'New Biz Sales'!V115</f>
        <v>1117955</v>
      </c>
      <c r="W10" s="356">
        <f>'New Biz Sales'!W115</f>
        <v>1964285</v>
      </c>
      <c r="X10" s="356">
        <f>'New Biz Sales'!X115</f>
        <v>1341325</v>
      </c>
      <c r="Y10" s="356">
        <f>'New Biz Sales'!Y115</f>
        <v>1625970</v>
      </c>
      <c r="Z10" s="356">
        <f>'New Biz Sales'!Z115</f>
        <v>84375</v>
      </c>
      <c r="AA10" s="356">
        <f>'New Biz Sales'!AA115</f>
        <v>103275</v>
      </c>
      <c r="AB10" s="356">
        <f>'New Biz Sales'!AB115</f>
        <v>113602.5</v>
      </c>
      <c r="AC10" s="356">
        <f>'New Biz Sales'!AC115</f>
        <v>113602.5</v>
      </c>
      <c r="AD10" s="356">
        <f>'New Biz Sales'!AD115</f>
        <v>113602.5</v>
      </c>
      <c r="AE10" s="356">
        <f>'New Biz Sales'!AE115</f>
        <v>113602.5</v>
      </c>
      <c r="AF10" s="356">
        <f>'New Biz Sales'!AF115</f>
        <v>117010.575</v>
      </c>
      <c r="AG10" s="356">
        <f>'New Biz Sales'!AG115</f>
        <v>117010.575</v>
      </c>
      <c r="AH10" s="356">
        <f>'New Biz Sales'!AH115</f>
        <v>117010.575</v>
      </c>
      <c r="AI10" s="356">
        <f>'New Biz Sales'!AI115</f>
        <v>117010.575</v>
      </c>
      <c r="AJ10" s="356">
        <f>'New Biz Sales'!AJ115</f>
        <v>111160.0463</v>
      </c>
      <c r="AK10" s="356">
        <f>'New Biz Sales'!AK115</f>
        <v>111160.0463</v>
      </c>
      <c r="AL10" s="356">
        <f>'New Biz Sales'!AL115</f>
        <v>111160.0463</v>
      </c>
      <c r="AM10" s="356">
        <f>'New Biz Sales'!AM115</f>
        <v>116184.4803</v>
      </c>
      <c r="AN10" s="356">
        <f>'New Biz Sales'!AN115</f>
        <v>81329.13624</v>
      </c>
      <c r="AO10" s="356">
        <f>'New Biz Sales'!AO115</f>
        <v>77262.67943</v>
      </c>
      <c r="AP10" s="356">
        <f>'New Biz Sales'!AP115</f>
        <v>77648.99282</v>
      </c>
      <c r="AQ10" s="356">
        <f>'New Biz Sales'!AQ115</f>
        <v>78037.23779</v>
      </c>
      <c r="AR10" s="356">
        <f>'New Biz Sales'!AR115</f>
        <v>79211.69822</v>
      </c>
      <c r="AS10" s="356">
        <f>'New Biz Sales'!AS115</f>
        <v>79607.75671</v>
      </c>
      <c r="AT10" s="356">
        <f>'New Biz Sales'!AT115</f>
        <v>80005.79549</v>
      </c>
      <c r="AU10" s="356">
        <f>'New Biz Sales'!AU115</f>
        <v>80405.82447</v>
      </c>
      <c r="AV10" s="356">
        <f>'New Biz Sales'!AV115</f>
        <v>80807.85359</v>
      </c>
      <c r="AW10" s="356">
        <f>'New Biz Sales'!AW115</f>
        <v>81211.89286</v>
      </c>
      <c r="AX10" s="356">
        <f>'New Biz Sales'!AX115</f>
        <v>81617.95232</v>
      </c>
      <c r="AY10" s="356">
        <f>'New Biz Sales'!AY115</f>
        <v>84486.82335</v>
      </c>
      <c r="AZ10" s="356">
        <f>'New Biz Sales'!AZ115</f>
        <v>85331.69158</v>
      </c>
      <c r="BA10" s="356">
        <f>'New Biz Sales'!BA115</f>
        <v>85758.35004</v>
      </c>
      <c r="BB10" s="356">
        <f>'New Biz Sales'!BB115</f>
        <v>86187.14179</v>
      </c>
      <c r="BC10" s="356">
        <f>'New Biz Sales'!BC115</f>
        <v>86618.0775</v>
      </c>
      <c r="BD10" s="356">
        <f>'New Biz Sales'!BD115</f>
        <v>87051.16789</v>
      </c>
      <c r="BE10" s="356">
        <f>'New Biz Sales'!BE115</f>
        <v>87486.42372</v>
      </c>
      <c r="BF10" s="356">
        <f>'New Biz Sales'!BF115</f>
        <v>87923.85584</v>
      </c>
      <c r="BG10" s="356">
        <f>'New Biz Sales'!BG115</f>
        <v>88363.47512</v>
      </c>
      <c r="BH10" s="356">
        <f>'New Biz Sales'!BH115</f>
        <v>88805.2925</v>
      </c>
      <c r="BI10" s="356">
        <f>'New Biz Sales'!BI115</f>
        <v>89249.31896</v>
      </c>
      <c r="BJ10" s="356">
        <f>'New Biz Sales'!BJ115</f>
        <v>89695.56556</v>
      </c>
      <c r="BK10" s="356">
        <f>'New Biz Sales'!BK115</f>
        <v>94651.24555</v>
      </c>
      <c r="BL10" s="356">
        <f>'New Biz Sales'!BL115</f>
        <v>94414.61744</v>
      </c>
      <c r="BM10" s="356">
        <f>'New Biz Sales'!BM115</f>
        <v>94886.69053</v>
      </c>
      <c r="BN10" s="356">
        <f>'New Biz Sales'!BN115</f>
        <v>95361.12398</v>
      </c>
      <c r="BO10" s="356">
        <f>'New Biz Sales'!BO115</f>
        <v>95837.9296</v>
      </c>
      <c r="BP10" s="356">
        <f>'New Biz Sales'!BP115</f>
        <v>96317.11925</v>
      </c>
      <c r="BQ10" s="356">
        <f>'New Biz Sales'!BQ115</f>
        <v>96798.70484</v>
      </c>
      <c r="BR10" s="356">
        <f>'New Biz Sales'!BR115</f>
        <v>97282.69837</v>
      </c>
      <c r="BS10" s="356">
        <f>'New Biz Sales'!BS115</f>
        <v>97769.11186</v>
      </c>
      <c r="BT10" s="356">
        <f>'New Biz Sales'!BT115</f>
        <v>98257.95742</v>
      </c>
      <c r="BU10" s="356">
        <f>'New Biz Sales'!BU115</f>
        <v>98749.2472</v>
      </c>
      <c r="BV10" s="356">
        <f>'New Biz Sales'!BV115</f>
        <v>99242.99344</v>
      </c>
      <c r="BW10" s="356">
        <f>'New Biz Sales'!BW115</f>
        <v>99739.20841</v>
      </c>
      <c r="BX10" s="356">
        <f>'New Biz Sales'!BX115</f>
        <v>89765.28757</v>
      </c>
      <c r="BY10" s="356">
        <f>'New Biz Sales'!BY115</f>
        <v>90214.11401</v>
      </c>
      <c r="BZ10" s="356">
        <f>'New Biz Sales'!BZ115</f>
        <v>90665.18458</v>
      </c>
      <c r="CA10" s="356">
        <f>'New Biz Sales'!CA115</f>
        <v>91118.5105</v>
      </c>
      <c r="CB10" s="356">
        <f>'New Biz Sales'!CB115</f>
        <v>91574.10305</v>
      </c>
      <c r="CC10" s="356">
        <f>'New Biz Sales'!CC115</f>
        <v>92031.97357</v>
      </c>
      <c r="CD10" s="356">
        <f>'New Biz Sales'!CD115</f>
        <v>92492.13343</v>
      </c>
      <c r="CE10" s="356">
        <f>'New Biz Sales'!CE115</f>
        <v>92954.5941</v>
      </c>
      <c r="CF10" s="356">
        <f>'New Biz Sales'!CF115</f>
        <v>93419.36707</v>
      </c>
      <c r="CG10" s="356">
        <f>'New Biz Sales'!CG115</f>
        <v>93886.46391</v>
      </c>
      <c r="CH10" s="356">
        <f>'New Biz Sales'!CH115</f>
        <v>94355.89623</v>
      </c>
      <c r="CI10" s="1"/>
      <c r="CJ10" s="1"/>
      <c r="CK10" s="1"/>
      <c r="CL10" s="1"/>
      <c r="CM10" s="1"/>
      <c r="CN10" s="1"/>
      <c r="CO10" s="1"/>
      <c r="CP10" s="1"/>
    </row>
    <row r="11">
      <c r="A11" s="137" t="s">
        <v>94</v>
      </c>
      <c r="B11" s="356"/>
      <c r="C11" s="356">
        <f>'New Biz Sales'!C116</f>
        <v>1959205</v>
      </c>
      <c r="D11" s="356">
        <f>'New Biz Sales'!D116</f>
        <v>1811910</v>
      </c>
      <c r="E11" s="356">
        <f>'New Biz Sales'!E116</f>
        <v>2345365</v>
      </c>
      <c r="F11" s="356">
        <f>'New Biz Sales'!F116</f>
        <v>947440</v>
      </c>
      <c r="G11" s="356">
        <f>'New Biz Sales'!G116</f>
        <v>1866415</v>
      </c>
      <c r="H11" s="356">
        <f>'New Biz Sales'!H116</f>
        <v>2245500</v>
      </c>
      <c r="I11" s="356">
        <f>'New Biz Sales'!I116</f>
        <v>680685</v>
      </c>
      <c r="J11" s="356">
        <f>'New Biz Sales'!J116</f>
        <v>1725860</v>
      </c>
      <c r="K11" s="356">
        <f>'New Biz Sales'!K116</f>
        <v>1368055</v>
      </c>
      <c r="L11" s="356">
        <f>'New Biz Sales'!L116</f>
        <v>753600</v>
      </c>
      <c r="M11" s="356">
        <f>'New Biz Sales'!M116</f>
        <v>1473015</v>
      </c>
      <c r="N11" s="356">
        <f>'New Biz Sales'!N116</f>
        <v>0</v>
      </c>
      <c r="O11" s="356">
        <f>'New Biz Sales'!O116</f>
        <v>1377930</v>
      </c>
      <c r="P11" s="356">
        <f>'New Biz Sales'!P116</f>
        <v>1163105</v>
      </c>
      <c r="Q11" s="356">
        <f>'New Biz Sales'!Q116</f>
        <v>1283005</v>
      </c>
      <c r="R11" s="356">
        <f>'New Biz Sales'!R116</f>
        <v>1978870</v>
      </c>
      <c r="S11" s="356">
        <f>'New Biz Sales'!S116</f>
        <v>2290285</v>
      </c>
      <c r="T11" s="356">
        <f>'New Biz Sales'!T116</f>
        <v>1921705</v>
      </c>
      <c r="U11" s="356">
        <f>'New Biz Sales'!U116</f>
        <v>1497040</v>
      </c>
      <c r="V11" s="356">
        <f>'New Biz Sales'!V116</f>
        <v>928430</v>
      </c>
      <c r="W11" s="356">
        <f>'New Biz Sales'!W116</f>
        <v>1599830</v>
      </c>
      <c r="X11" s="356">
        <f>'New Biz Sales'!X116</f>
        <v>722375</v>
      </c>
      <c r="Y11" s="356">
        <f>'New Biz Sales'!Y116</f>
        <v>1793500</v>
      </c>
      <c r="Z11" s="356">
        <f>'New Biz Sales'!Z116</f>
        <v>56250</v>
      </c>
      <c r="AA11" s="356">
        <f>'New Biz Sales'!AA116</f>
        <v>68850</v>
      </c>
      <c r="AB11" s="356">
        <f>'New Biz Sales'!AB116</f>
        <v>75735</v>
      </c>
      <c r="AC11" s="356">
        <f>'New Biz Sales'!AC116</f>
        <v>75735</v>
      </c>
      <c r="AD11" s="356">
        <f>'New Biz Sales'!AD116</f>
        <v>75735</v>
      </c>
      <c r="AE11" s="356">
        <f>'New Biz Sales'!AE116</f>
        <v>75735</v>
      </c>
      <c r="AF11" s="356">
        <f>'New Biz Sales'!AF116</f>
        <v>77249.7</v>
      </c>
      <c r="AG11" s="356">
        <f>'New Biz Sales'!AG116</f>
        <v>77249.7</v>
      </c>
      <c r="AH11" s="356">
        <f>'New Biz Sales'!AH116</f>
        <v>77249.7</v>
      </c>
      <c r="AI11" s="356">
        <f>'New Biz Sales'!AI116</f>
        <v>77249.7</v>
      </c>
      <c r="AJ11" s="356">
        <f>'New Biz Sales'!AJ116</f>
        <v>73387.215</v>
      </c>
      <c r="AK11" s="356">
        <f>'New Biz Sales'!AK116</f>
        <v>73387.215</v>
      </c>
      <c r="AL11" s="356">
        <f>'New Biz Sales'!AL116</f>
        <v>73387.215</v>
      </c>
      <c r="AM11" s="356">
        <f>'New Biz Sales'!AM116</f>
        <v>74491.69259</v>
      </c>
      <c r="AN11" s="356">
        <f>'New Biz Sales'!AN116</f>
        <v>75236.60951</v>
      </c>
      <c r="AO11" s="356">
        <f>'New Biz Sales'!AO116</f>
        <v>78998.43999</v>
      </c>
      <c r="AP11" s="356">
        <f>'New Biz Sales'!AP116</f>
        <v>79393.43219</v>
      </c>
      <c r="AQ11" s="356">
        <f>'New Biz Sales'!AQ116</f>
        <v>79790.39935</v>
      </c>
      <c r="AR11" s="356">
        <f>'New Biz Sales'!AR116</f>
        <v>80991.24486</v>
      </c>
      <c r="AS11" s="356">
        <f>'New Biz Sales'!AS116</f>
        <v>81396.20108</v>
      </c>
      <c r="AT11" s="356">
        <f>'New Biz Sales'!AT116</f>
        <v>81803.18209</v>
      </c>
      <c r="AU11" s="356">
        <f>'New Biz Sales'!AU116</f>
        <v>82212.198</v>
      </c>
      <c r="AV11" s="356">
        <f>'New Biz Sales'!AV116</f>
        <v>82623.25899</v>
      </c>
      <c r="AW11" s="356">
        <f>'New Biz Sales'!AW116</f>
        <v>83036.37528</v>
      </c>
      <c r="AX11" s="356">
        <f>'New Biz Sales'!AX116</f>
        <v>83451.55716</v>
      </c>
      <c r="AY11" s="356">
        <f>'New Biz Sales'!AY116</f>
        <v>86384.87939</v>
      </c>
      <c r="AZ11" s="356">
        <f>'New Biz Sales'!AZ116</f>
        <v>87248.72819</v>
      </c>
      <c r="BA11" s="356">
        <f>'New Biz Sales'!BA116</f>
        <v>87684.97183</v>
      </c>
      <c r="BB11" s="356">
        <f>'New Biz Sales'!BB116</f>
        <v>88123.39669</v>
      </c>
      <c r="BC11" s="356">
        <f>'New Biz Sales'!BC116</f>
        <v>88564.01367</v>
      </c>
      <c r="BD11" s="356">
        <f>'New Biz Sales'!BD116</f>
        <v>89006.83374</v>
      </c>
      <c r="BE11" s="356">
        <f>'New Biz Sales'!BE116</f>
        <v>89451.86791</v>
      </c>
      <c r="BF11" s="356">
        <f>'New Biz Sales'!BF116</f>
        <v>89899.12725</v>
      </c>
      <c r="BG11" s="356">
        <f>'New Biz Sales'!BG116</f>
        <v>90348.62288</v>
      </c>
      <c r="BH11" s="356">
        <f>'New Biz Sales'!BH116</f>
        <v>90800.366</v>
      </c>
      <c r="BI11" s="356">
        <f>'New Biz Sales'!BI116</f>
        <v>91254.36783</v>
      </c>
      <c r="BJ11" s="356">
        <f>'New Biz Sales'!BJ116</f>
        <v>91710.63967</v>
      </c>
      <c r="BK11" s="356">
        <f>'New Biz Sales'!BK116</f>
        <v>96777.65251</v>
      </c>
      <c r="BL11" s="356">
        <f>'New Biz Sales'!BL116</f>
        <v>96535.70838</v>
      </c>
      <c r="BM11" s="356">
        <f>'New Biz Sales'!BM116</f>
        <v>97018.38692</v>
      </c>
      <c r="BN11" s="356">
        <f>'New Biz Sales'!BN116</f>
        <v>97503.47885</v>
      </c>
      <c r="BO11" s="356">
        <f>'New Biz Sales'!BO116</f>
        <v>97990.99625</v>
      </c>
      <c r="BP11" s="356">
        <f>'New Biz Sales'!BP116</f>
        <v>98480.95123</v>
      </c>
      <c r="BQ11" s="356">
        <f>'New Biz Sales'!BQ116</f>
        <v>98973.35599</v>
      </c>
      <c r="BR11" s="356">
        <f>'New Biz Sales'!BR116</f>
        <v>99468.22277</v>
      </c>
      <c r="BS11" s="356">
        <f>'New Biz Sales'!BS116</f>
        <v>99965.56388</v>
      </c>
      <c r="BT11" s="356">
        <f>'New Biz Sales'!BT116</f>
        <v>100465.3917</v>
      </c>
      <c r="BU11" s="356">
        <f>'New Biz Sales'!BU116</f>
        <v>100967.7187</v>
      </c>
      <c r="BV11" s="356">
        <f>'New Biz Sales'!BV116</f>
        <v>101472.5573</v>
      </c>
      <c r="BW11" s="356">
        <f>'New Biz Sales'!BW116</f>
        <v>101979.92</v>
      </c>
      <c r="BX11" s="356">
        <f>'New Biz Sales'!BX116</f>
        <v>91781.92803</v>
      </c>
      <c r="BY11" s="356">
        <f>'New Biz Sales'!BY116</f>
        <v>92240.83767</v>
      </c>
      <c r="BZ11" s="356">
        <f>'New Biz Sales'!BZ116</f>
        <v>92702.04186</v>
      </c>
      <c r="CA11" s="356">
        <f>'New Biz Sales'!CA116</f>
        <v>93165.55207</v>
      </c>
      <c r="CB11" s="356">
        <f>'New Biz Sales'!CB116</f>
        <v>93631.37983</v>
      </c>
      <c r="CC11" s="356">
        <f>'New Biz Sales'!CC116</f>
        <v>94099.53673</v>
      </c>
      <c r="CD11" s="356">
        <f>'New Biz Sales'!CD116</f>
        <v>94570.03441</v>
      </c>
      <c r="CE11" s="356">
        <f>'New Biz Sales'!CE116</f>
        <v>95042.88459</v>
      </c>
      <c r="CF11" s="356">
        <f>'New Biz Sales'!CF116</f>
        <v>95518.09901</v>
      </c>
      <c r="CG11" s="356">
        <f>'New Biz Sales'!CG116</f>
        <v>95995.6895</v>
      </c>
      <c r="CH11" s="356">
        <f>'New Biz Sales'!CH116</f>
        <v>96475.66795</v>
      </c>
      <c r="CI11" s="1"/>
      <c r="CJ11" s="1"/>
      <c r="CK11" s="1"/>
      <c r="CL11" s="1"/>
      <c r="CM11" s="1"/>
      <c r="CN11" s="1"/>
      <c r="CO11" s="1"/>
      <c r="CP11" s="1"/>
    </row>
    <row r="12">
      <c r="A12" s="137" t="s">
        <v>96</v>
      </c>
      <c r="B12" s="356"/>
      <c r="C12" s="356">
        <f>'New Biz Sales'!C117</f>
        <v>0</v>
      </c>
      <c r="D12" s="356">
        <f>'New Biz Sales'!D117</f>
        <v>0</v>
      </c>
      <c r="E12" s="356">
        <f>'New Biz Sales'!E117</f>
        <v>0</v>
      </c>
      <c r="F12" s="356">
        <f>'New Biz Sales'!F117</f>
        <v>0</v>
      </c>
      <c r="G12" s="356">
        <f>'New Biz Sales'!G117</f>
        <v>0</v>
      </c>
      <c r="H12" s="356">
        <f>'New Biz Sales'!H117</f>
        <v>0</v>
      </c>
      <c r="I12" s="356">
        <f>'New Biz Sales'!I117</f>
        <v>0</v>
      </c>
      <c r="J12" s="356">
        <f>'New Biz Sales'!J117</f>
        <v>0</v>
      </c>
      <c r="K12" s="356">
        <f>'New Biz Sales'!K117</f>
        <v>0</v>
      </c>
      <c r="L12" s="356">
        <f>'New Biz Sales'!L117</f>
        <v>75000</v>
      </c>
      <c r="M12" s="356">
        <f>'New Biz Sales'!M117</f>
        <v>100000</v>
      </c>
      <c r="N12" s="356">
        <f>'New Biz Sales'!N117</f>
        <v>0</v>
      </c>
      <c r="O12" s="356">
        <f>'New Biz Sales'!O117</f>
        <v>808920</v>
      </c>
      <c r="P12" s="356">
        <f>'New Biz Sales'!P117</f>
        <v>1873590</v>
      </c>
      <c r="Q12" s="356">
        <f>'New Biz Sales'!Q117</f>
        <v>1080760</v>
      </c>
      <c r="R12" s="356">
        <f>'New Biz Sales'!R117</f>
        <v>829710</v>
      </c>
      <c r="S12" s="356">
        <f>'New Biz Sales'!S117</f>
        <v>636415</v>
      </c>
      <c r="T12" s="356">
        <f>'New Biz Sales'!T117</f>
        <v>846305</v>
      </c>
      <c r="U12" s="356">
        <f>'New Biz Sales'!U117</f>
        <v>2374280</v>
      </c>
      <c r="V12" s="356">
        <f>'New Biz Sales'!V117</f>
        <v>1453280</v>
      </c>
      <c r="W12" s="356">
        <f>'New Biz Sales'!W117</f>
        <v>2402075</v>
      </c>
      <c r="X12" s="356">
        <f>'New Biz Sales'!X117</f>
        <v>999650</v>
      </c>
      <c r="Y12" s="356">
        <f>'New Biz Sales'!Y117</f>
        <v>1994000</v>
      </c>
      <c r="Z12" s="356">
        <f>'New Biz Sales'!Z117</f>
        <v>375000</v>
      </c>
      <c r="AA12" s="356">
        <f>'New Biz Sales'!AA117</f>
        <v>450000</v>
      </c>
      <c r="AB12" s="356">
        <f>'New Biz Sales'!AB117</f>
        <v>495000</v>
      </c>
      <c r="AC12" s="356">
        <f>'New Biz Sales'!AC117</f>
        <v>495000</v>
      </c>
      <c r="AD12" s="356">
        <f>'New Biz Sales'!AD117</f>
        <v>495000</v>
      </c>
      <c r="AE12" s="356">
        <f>'New Biz Sales'!AE117</f>
        <v>495000</v>
      </c>
      <c r="AF12" s="356">
        <f>'New Biz Sales'!AF117</f>
        <v>495000</v>
      </c>
      <c r="AG12" s="356">
        <f>'New Biz Sales'!AG117</f>
        <v>495000</v>
      </c>
      <c r="AH12" s="356">
        <f>'New Biz Sales'!AH117</f>
        <v>495000</v>
      </c>
      <c r="AI12" s="356">
        <f>'New Biz Sales'!AI117</f>
        <v>495000</v>
      </c>
      <c r="AJ12" s="356">
        <f>'New Biz Sales'!AJ117</f>
        <v>495000</v>
      </c>
      <c r="AK12" s="356">
        <f>'New Biz Sales'!AK117</f>
        <v>495000</v>
      </c>
      <c r="AL12" s="356">
        <f>'New Biz Sales'!AL117</f>
        <v>495000</v>
      </c>
      <c r="AM12" s="356">
        <f>'New Biz Sales'!AM117</f>
        <v>495000</v>
      </c>
      <c r="AN12" s="356">
        <f>'New Biz Sales'!AN117</f>
        <v>495000</v>
      </c>
      <c r="AO12" s="356">
        <f>'New Biz Sales'!AO117</f>
        <v>495000</v>
      </c>
      <c r="AP12" s="356">
        <f>'New Biz Sales'!AP117</f>
        <v>495000</v>
      </c>
      <c r="AQ12" s="356">
        <f>'New Biz Sales'!AQ117</f>
        <v>495000</v>
      </c>
      <c r="AR12" s="356">
        <f>'New Biz Sales'!AR117</f>
        <v>495000</v>
      </c>
      <c r="AS12" s="356">
        <f>'New Biz Sales'!AS117</f>
        <v>495000</v>
      </c>
      <c r="AT12" s="356">
        <f>'New Biz Sales'!AT117</f>
        <v>495000</v>
      </c>
      <c r="AU12" s="356">
        <f>'New Biz Sales'!AU117</f>
        <v>495000</v>
      </c>
      <c r="AV12" s="356">
        <f>'New Biz Sales'!AV117</f>
        <v>495000</v>
      </c>
      <c r="AW12" s="356">
        <f>'New Biz Sales'!AW117</f>
        <v>495000</v>
      </c>
      <c r="AX12" s="356">
        <f>'New Biz Sales'!AX117</f>
        <v>495000</v>
      </c>
      <c r="AY12" s="356">
        <f>'New Biz Sales'!AY117</f>
        <v>495000</v>
      </c>
      <c r="AZ12" s="356">
        <f>'New Biz Sales'!AZ117</f>
        <v>495000</v>
      </c>
      <c r="BA12" s="356">
        <f>'New Biz Sales'!BA117</f>
        <v>495000</v>
      </c>
      <c r="BB12" s="356">
        <f>'New Biz Sales'!BB117</f>
        <v>495000</v>
      </c>
      <c r="BC12" s="356">
        <f>'New Biz Sales'!BC117</f>
        <v>495000</v>
      </c>
      <c r="BD12" s="356">
        <f>'New Biz Sales'!BD117</f>
        <v>495000</v>
      </c>
      <c r="BE12" s="356">
        <f>'New Biz Sales'!BE117</f>
        <v>495000</v>
      </c>
      <c r="BF12" s="356">
        <f>'New Biz Sales'!BF117</f>
        <v>495000</v>
      </c>
      <c r="BG12" s="356">
        <f>'New Biz Sales'!BG117</f>
        <v>495000</v>
      </c>
      <c r="BH12" s="356">
        <f>'New Biz Sales'!BH117</f>
        <v>495000</v>
      </c>
      <c r="BI12" s="356">
        <f>'New Biz Sales'!BI117</f>
        <v>495000</v>
      </c>
      <c r="BJ12" s="356">
        <f>'New Biz Sales'!BJ117</f>
        <v>495000</v>
      </c>
      <c r="BK12" s="356">
        <f>'New Biz Sales'!BK117</f>
        <v>495000</v>
      </c>
      <c r="BL12" s="356">
        <f>'New Biz Sales'!BL117</f>
        <v>495000</v>
      </c>
      <c r="BM12" s="356">
        <f>'New Biz Sales'!BM117</f>
        <v>495000</v>
      </c>
      <c r="BN12" s="356">
        <f>'New Biz Sales'!BN117</f>
        <v>495000</v>
      </c>
      <c r="BO12" s="356">
        <f>'New Biz Sales'!BO117</f>
        <v>495000</v>
      </c>
      <c r="BP12" s="356">
        <f>'New Biz Sales'!BP117</f>
        <v>495000</v>
      </c>
      <c r="BQ12" s="356">
        <f>'New Biz Sales'!BQ117</f>
        <v>495000</v>
      </c>
      <c r="BR12" s="356">
        <f>'New Biz Sales'!BR117</f>
        <v>495000</v>
      </c>
      <c r="BS12" s="356">
        <f>'New Biz Sales'!BS117</f>
        <v>495000</v>
      </c>
      <c r="BT12" s="356">
        <f>'New Biz Sales'!BT117</f>
        <v>495000</v>
      </c>
      <c r="BU12" s="356">
        <f>'New Biz Sales'!BU117</f>
        <v>495000</v>
      </c>
      <c r="BV12" s="356">
        <f>'New Biz Sales'!BV117</f>
        <v>495000</v>
      </c>
      <c r="BW12" s="356">
        <f>'New Biz Sales'!BW117</f>
        <v>495000</v>
      </c>
      <c r="BX12" s="356">
        <f>'New Biz Sales'!BX117</f>
        <v>495000</v>
      </c>
      <c r="BY12" s="356">
        <f>'New Biz Sales'!BY117</f>
        <v>495000</v>
      </c>
      <c r="BZ12" s="356">
        <f>'New Biz Sales'!BZ117</f>
        <v>495000</v>
      </c>
      <c r="CA12" s="356">
        <f>'New Biz Sales'!CA117</f>
        <v>495000</v>
      </c>
      <c r="CB12" s="356">
        <f>'New Biz Sales'!CB117</f>
        <v>495000</v>
      </c>
      <c r="CC12" s="356">
        <f>'New Biz Sales'!CC117</f>
        <v>495000</v>
      </c>
      <c r="CD12" s="356">
        <f>'New Biz Sales'!CD117</f>
        <v>495000</v>
      </c>
      <c r="CE12" s="356">
        <f>'New Biz Sales'!CE117</f>
        <v>495000</v>
      </c>
      <c r="CF12" s="356">
        <f>'New Biz Sales'!CF117</f>
        <v>495000</v>
      </c>
      <c r="CG12" s="356">
        <f>'New Biz Sales'!CG117</f>
        <v>495000</v>
      </c>
      <c r="CH12" s="356">
        <f>'New Biz Sales'!CH117</f>
        <v>495000</v>
      </c>
      <c r="CI12" s="1"/>
      <c r="CJ12" s="1"/>
      <c r="CK12" s="1"/>
      <c r="CL12" s="1"/>
      <c r="CM12" s="1"/>
      <c r="CN12" s="1"/>
      <c r="CO12" s="1"/>
      <c r="CP12" s="1"/>
    </row>
    <row r="13">
      <c r="A13" s="357" t="s">
        <v>651</v>
      </c>
      <c r="B13" s="351"/>
      <c r="C13" s="351">
        <f>'New Biz Sales'!C118</f>
        <v>727000</v>
      </c>
      <c r="D13" s="351">
        <f>'New Biz Sales'!D118</f>
        <v>1104250</v>
      </c>
      <c r="E13" s="351">
        <f>'New Biz Sales'!E118</f>
        <v>1287500</v>
      </c>
      <c r="F13" s="351">
        <f>'New Biz Sales'!F118</f>
        <v>1240250</v>
      </c>
      <c r="G13" s="351">
        <f>'New Biz Sales'!G118</f>
        <v>434250</v>
      </c>
      <c r="H13" s="351">
        <f>'New Biz Sales'!H118</f>
        <v>1636000</v>
      </c>
      <c r="I13" s="351">
        <f>'New Biz Sales'!I118</f>
        <v>780500</v>
      </c>
      <c r="J13" s="351">
        <f>'New Biz Sales'!J118</f>
        <v>2260500</v>
      </c>
      <c r="K13" s="351">
        <f>'New Biz Sales'!K118</f>
        <v>711500</v>
      </c>
      <c r="L13" s="351">
        <f>'New Biz Sales'!L118</f>
        <v>1041500</v>
      </c>
      <c r="M13" s="351">
        <f>'New Biz Sales'!M118</f>
        <v>695500</v>
      </c>
      <c r="N13" s="351">
        <f>'New Biz Sales'!N118</f>
        <v>0</v>
      </c>
      <c r="O13" s="351">
        <f>'New Biz Sales'!O118</f>
        <v>7889570</v>
      </c>
      <c r="P13" s="351">
        <f>'New Biz Sales'!P118</f>
        <v>10070690</v>
      </c>
      <c r="Q13" s="351">
        <f>'New Biz Sales'!Q118</f>
        <v>11116420</v>
      </c>
      <c r="R13" s="351">
        <f>'New Biz Sales'!R118</f>
        <v>10136605</v>
      </c>
      <c r="S13" s="351">
        <f>'New Biz Sales'!S118</f>
        <v>5566440</v>
      </c>
      <c r="T13" s="351">
        <f>'New Biz Sales'!T118</f>
        <v>9897825</v>
      </c>
      <c r="U13" s="351">
        <f>'New Biz Sales'!U118</f>
        <v>9207125</v>
      </c>
      <c r="V13" s="351">
        <f>'New Biz Sales'!V118</f>
        <v>7875660</v>
      </c>
      <c r="W13" s="351">
        <f>'New Biz Sales'!W118</f>
        <v>12121670</v>
      </c>
      <c r="X13" s="351">
        <f>'New Biz Sales'!X118</f>
        <v>6737185</v>
      </c>
      <c r="Y13" s="351">
        <f>'New Biz Sales'!Y118</f>
        <v>9882730</v>
      </c>
      <c r="Z13" s="351">
        <f>'New Biz Sales'!Z118</f>
        <v>2313937.5</v>
      </c>
      <c r="AA13" s="351">
        <f>'New Biz Sales'!AA118</f>
        <v>2823259.5</v>
      </c>
      <c r="AB13" s="351">
        <f>'New Biz Sales'!AB118</f>
        <v>3105585.45</v>
      </c>
      <c r="AC13" s="351">
        <f>'New Biz Sales'!AC118</f>
        <v>3105585.45</v>
      </c>
      <c r="AD13" s="351">
        <f>'New Biz Sales'!AD118</f>
        <v>3105585.45</v>
      </c>
      <c r="AE13" s="351">
        <f>'New Biz Sales'!AE118</f>
        <v>3105585.45</v>
      </c>
      <c r="AF13" s="351">
        <f>'New Biz Sales'!AF118</f>
        <v>3158933.184</v>
      </c>
      <c r="AG13" s="351">
        <f>'New Biz Sales'!AG118</f>
        <v>3158933.184</v>
      </c>
      <c r="AH13" s="351">
        <f>'New Biz Sales'!AH118</f>
        <v>3158933.184</v>
      </c>
      <c r="AI13" s="351">
        <f>'New Biz Sales'!AI118</f>
        <v>3158933.184</v>
      </c>
      <c r="AJ13" s="351">
        <f>'New Biz Sales'!AJ118</f>
        <v>3034233.992</v>
      </c>
      <c r="AK13" s="351">
        <f>'New Biz Sales'!AK118</f>
        <v>3034233.992</v>
      </c>
      <c r="AL13" s="351">
        <f>'New Biz Sales'!AL118</f>
        <v>3034233.992</v>
      </c>
      <c r="AM13" s="351">
        <f>'New Biz Sales'!AM118</f>
        <v>3068628.671</v>
      </c>
      <c r="AN13" s="351">
        <f>'New Biz Sales'!AN118</f>
        <v>2319632.494</v>
      </c>
      <c r="AO13" s="351">
        <f>'New Biz Sales'!AO118</f>
        <v>2235924.531</v>
      </c>
      <c r="AP13" s="351">
        <f>'New Biz Sales'!AP118</f>
        <v>2244629.153</v>
      </c>
      <c r="AQ13" s="351">
        <f>'New Biz Sales'!AQ118</f>
        <v>2253377.299</v>
      </c>
      <c r="AR13" s="351">
        <f>'New Biz Sales'!AR118</f>
        <v>2274975.21</v>
      </c>
      <c r="AS13" s="351">
        <f>'New Biz Sales'!AS118</f>
        <v>2283875.086</v>
      </c>
      <c r="AT13" s="351">
        <f>'New Biz Sales'!AT118</f>
        <v>2292819.462</v>
      </c>
      <c r="AU13" s="351">
        <f>'New Biz Sales'!AU118</f>
        <v>2301808.559</v>
      </c>
      <c r="AV13" s="351">
        <f>'New Biz Sales'!AV118</f>
        <v>2310842.602</v>
      </c>
      <c r="AW13" s="351">
        <f>'New Biz Sales'!AW118</f>
        <v>2319921.815</v>
      </c>
      <c r="AX13" s="351">
        <f>'New Biz Sales'!AX118</f>
        <v>2329046.424</v>
      </c>
      <c r="AY13" s="351">
        <f>'New Biz Sales'!AY118</f>
        <v>2351580.111</v>
      </c>
      <c r="AZ13" s="351">
        <f>'New Biz Sales'!AZ118</f>
        <v>2370145.912</v>
      </c>
      <c r="BA13" s="351">
        <f>'New Biz Sales'!BA118</f>
        <v>2379521.642</v>
      </c>
      <c r="BB13" s="351">
        <f>'New Biz Sales'!BB118</f>
        <v>2388944.25</v>
      </c>
      <c r="BC13" s="351">
        <f>'New Biz Sales'!BC118</f>
        <v>2398413.971</v>
      </c>
      <c r="BD13" s="351">
        <f>'New Biz Sales'!BD118</f>
        <v>2407931.041</v>
      </c>
      <c r="BE13" s="351">
        <f>'New Biz Sales'!BE118</f>
        <v>2417495.696</v>
      </c>
      <c r="BF13" s="351">
        <f>'New Biz Sales'!BF118</f>
        <v>2427108.175</v>
      </c>
      <c r="BG13" s="351">
        <f>'New Biz Sales'!BG118</f>
        <v>2436768.715</v>
      </c>
      <c r="BH13" s="351">
        <f>'New Biz Sales'!BH118</f>
        <v>2446477.559</v>
      </c>
      <c r="BI13" s="351">
        <f>'New Biz Sales'!BI118</f>
        <v>2456234.947</v>
      </c>
      <c r="BJ13" s="351">
        <f>'New Biz Sales'!BJ118</f>
        <v>2466041.122</v>
      </c>
      <c r="BK13" s="351">
        <f>'New Biz Sales'!BK118</f>
        <v>2542362.257</v>
      </c>
      <c r="BL13" s="351">
        <f>'New Biz Sales'!BL118</f>
        <v>2505674.909</v>
      </c>
      <c r="BM13" s="351">
        <f>'New Biz Sales'!BM118</f>
        <v>2515728.284</v>
      </c>
      <c r="BN13" s="351">
        <f>'New Biz Sales'!BN118</f>
        <v>2525831.925</v>
      </c>
      <c r="BO13" s="351">
        <f>'New Biz Sales'!BO118</f>
        <v>2535986.085</v>
      </c>
      <c r="BP13" s="351">
        <f>'New Biz Sales'!BP118</f>
        <v>2546191.015</v>
      </c>
      <c r="BQ13" s="351">
        <f>'New Biz Sales'!BQ118</f>
        <v>2556446.971</v>
      </c>
      <c r="BR13" s="351">
        <f>'New Biz Sales'!BR118</f>
        <v>2566754.205</v>
      </c>
      <c r="BS13" s="351">
        <f>'New Biz Sales'!BS118</f>
        <v>2577112.976</v>
      </c>
      <c r="BT13" s="351">
        <f>'New Biz Sales'!BT118</f>
        <v>2587523.541</v>
      </c>
      <c r="BU13" s="351">
        <f>'New Biz Sales'!BU118</f>
        <v>2597986.159</v>
      </c>
      <c r="BV13" s="351">
        <f>'New Biz Sales'!BV118</f>
        <v>2608501.09</v>
      </c>
      <c r="BW13" s="351">
        <f>'New Biz Sales'!BW118</f>
        <v>2619068.595</v>
      </c>
      <c r="BX13" s="351">
        <f>'New Biz Sales'!BX118</f>
        <v>2406661.736</v>
      </c>
      <c r="BY13" s="351">
        <f>'New Biz Sales'!BY118</f>
        <v>2416220.044</v>
      </c>
      <c r="BZ13" s="351">
        <f>'New Biz Sales'!BZ118</f>
        <v>2425826.145</v>
      </c>
      <c r="CA13" s="351">
        <f>'New Biz Sales'!CA118</f>
        <v>2435480.275</v>
      </c>
      <c r="CB13" s="351">
        <f>'New Biz Sales'!CB118</f>
        <v>2445182.677</v>
      </c>
      <c r="CC13" s="351">
        <f>'New Biz Sales'!CC118</f>
        <v>2454933.59</v>
      </c>
      <c r="CD13" s="351">
        <f>'New Biz Sales'!CD118</f>
        <v>2464733.258</v>
      </c>
      <c r="CE13" s="351">
        <f>'New Biz Sales'!CE118</f>
        <v>2474581.924</v>
      </c>
      <c r="CF13" s="351">
        <f>'New Biz Sales'!CF118</f>
        <v>2484479.834</v>
      </c>
      <c r="CG13" s="351">
        <f>'New Biz Sales'!CG118</f>
        <v>2494427.233</v>
      </c>
      <c r="CH13" s="351">
        <f>'New Biz Sales'!CH118</f>
        <v>2504424.369</v>
      </c>
      <c r="CI13" s="1"/>
      <c r="CJ13" s="1"/>
      <c r="CK13" s="1"/>
      <c r="CL13" s="1"/>
      <c r="CM13" s="1"/>
      <c r="CN13" s="1"/>
      <c r="CO13" s="1"/>
      <c r="CP13" s="1"/>
    </row>
    <row r="14">
      <c r="A14" s="1"/>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356"/>
      <c r="BE14" s="356"/>
      <c r="BF14" s="356"/>
      <c r="BG14" s="356"/>
      <c r="BH14" s="356"/>
      <c r="BI14" s="356"/>
      <c r="BJ14" s="356"/>
      <c r="BK14" s="356"/>
      <c r="BL14" s="356"/>
      <c r="BM14" s="356"/>
      <c r="BN14" s="356"/>
      <c r="BO14" s="356"/>
      <c r="BP14" s="356"/>
      <c r="BQ14" s="356"/>
      <c r="BR14" s="356"/>
      <c r="BS14" s="356"/>
      <c r="BT14" s="356"/>
      <c r="BU14" s="356"/>
      <c r="BV14" s="356"/>
      <c r="BW14" s="356"/>
      <c r="BX14" s="356"/>
      <c r="BY14" s="356"/>
      <c r="BZ14" s="356"/>
      <c r="CA14" s="356"/>
      <c r="CB14" s="356"/>
      <c r="CC14" s="356"/>
      <c r="CD14" s="356"/>
      <c r="CE14" s="356"/>
      <c r="CF14" s="356"/>
      <c r="CG14" s="356"/>
      <c r="CH14" s="356"/>
      <c r="CI14" s="1"/>
      <c r="CJ14" s="1"/>
      <c r="CK14" s="1"/>
      <c r="CL14" s="1"/>
      <c r="CM14" s="1"/>
      <c r="CN14" s="1"/>
      <c r="CO14" s="1"/>
      <c r="CP14" s="1"/>
    </row>
    <row r="15">
      <c r="A15" s="1" t="s">
        <v>129</v>
      </c>
      <c r="B15" s="356"/>
      <c r="C15" s="356">
        <f t="shared" ref="C15:CH15" si="1">C7*(12/13)/12</f>
        <v>46538.46154</v>
      </c>
      <c r="D15" s="356">
        <f t="shared" si="1"/>
        <v>58557.69231</v>
      </c>
      <c r="E15" s="356">
        <f t="shared" si="1"/>
        <v>61615.38462</v>
      </c>
      <c r="F15" s="356">
        <f t="shared" si="1"/>
        <v>47096.15385</v>
      </c>
      <c r="G15" s="356">
        <f t="shared" si="1"/>
        <v>18846.15385</v>
      </c>
      <c r="H15" s="356">
        <f t="shared" si="1"/>
        <v>61846.15385</v>
      </c>
      <c r="I15" s="356">
        <f t="shared" si="1"/>
        <v>33230.76923</v>
      </c>
      <c r="J15" s="356">
        <f t="shared" si="1"/>
        <v>122442.3077</v>
      </c>
      <c r="K15" s="356">
        <f t="shared" si="1"/>
        <v>20000</v>
      </c>
      <c r="L15" s="356">
        <f t="shared" si="1"/>
        <v>35000</v>
      </c>
      <c r="M15" s="356">
        <f t="shared" si="1"/>
        <v>9230.769231</v>
      </c>
      <c r="N15" s="356">
        <f t="shared" si="1"/>
        <v>0</v>
      </c>
      <c r="O15" s="356">
        <f t="shared" si="1"/>
        <v>184422.3077</v>
      </c>
      <c r="P15" s="356">
        <f t="shared" si="1"/>
        <v>79541.15385</v>
      </c>
      <c r="Q15" s="356">
        <f t="shared" si="1"/>
        <v>126241.1538</v>
      </c>
      <c r="R15" s="356">
        <f t="shared" si="1"/>
        <v>169058.8462</v>
      </c>
      <c r="S15" s="356">
        <f t="shared" si="1"/>
        <v>57309.23077</v>
      </c>
      <c r="T15" s="356">
        <f t="shared" si="1"/>
        <v>114748.0769</v>
      </c>
      <c r="U15" s="356">
        <f t="shared" si="1"/>
        <v>41577.30769</v>
      </c>
      <c r="V15" s="356">
        <f t="shared" si="1"/>
        <v>100996.1538</v>
      </c>
      <c r="W15" s="356">
        <f t="shared" si="1"/>
        <v>169923.8462</v>
      </c>
      <c r="X15" s="356">
        <f t="shared" si="1"/>
        <v>178396.5385</v>
      </c>
      <c r="Y15" s="356">
        <f t="shared" si="1"/>
        <v>176253.0769</v>
      </c>
      <c r="Z15" s="356">
        <f t="shared" si="1"/>
        <v>47596.15385</v>
      </c>
      <c r="AA15" s="356">
        <f t="shared" si="1"/>
        <v>58257.69231</v>
      </c>
      <c r="AB15" s="356">
        <f t="shared" si="1"/>
        <v>64083.46154</v>
      </c>
      <c r="AC15" s="356">
        <f t="shared" si="1"/>
        <v>64083.46154</v>
      </c>
      <c r="AD15" s="356">
        <f t="shared" si="1"/>
        <v>64083.46154</v>
      </c>
      <c r="AE15" s="356">
        <f t="shared" si="1"/>
        <v>64083.46154</v>
      </c>
      <c r="AF15" s="356">
        <f t="shared" si="1"/>
        <v>65365.13077</v>
      </c>
      <c r="AG15" s="356">
        <f t="shared" si="1"/>
        <v>65365.13077</v>
      </c>
      <c r="AH15" s="356">
        <f t="shared" si="1"/>
        <v>65365.13077</v>
      </c>
      <c r="AI15" s="356">
        <f t="shared" si="1"/>
        <v>65365.13077</v>
      </c>
      <c r="AJ15" s="356">
        <f t="shared" si="1"/>
        <v>62750.52554</v>
      </c>
      <c r="AK15" s="356">
        <f t="shared" si="1"/>
        <v>62750.52554</v>
      </c>
      <c r="AL15" s="356">
        <f t="shared" si="1"/>
        <v>62750.52554</v>
      </c>
      <c r="AM15" s="356">
        <f t="shared" si="1"/>
        <v>63379.59956</v>
      </c>
      <c r="AN15" s="356">
        <f t="shared" si="1"/>
        <v>44365.71969</v>
      </c>
      <c r="AO15" s="356">
        <f t="shared" si="1"/>
        <v>42147.43371</v>
      </c>
      <c r="AP15" s="356">
        <f t="shared" si="1"/>
        <v>42358.17087</v>
      </c>
      <c r="AQ15" s="356">
        <f t="shared" si="1"/>
        <v>42569.96173</v>
      </c>
      <c r="AR15" s="356">
        <f t="shared" si="1"/>
        <v>42996.72559</v>
      </c>
      <c r="AS15" s="356">
        <f t="shared" si="1"/>
        <v>43211.70922</v>
      </c>
      <c r="AT15" s="356">
        <f t="shared" si="1"/>
        <v>43427.76777</v>
      </c>
      <c r="AU15" s="356">
        <f t="shared" si="1"/>
        <v>43644.90661</v>
      </c>
      <c r="AV15" s="356">
        <f t="shared" si="1"/>
        <v>43863.13114</v>
      </c>
      <c r="AW15" s="356">
        <f t="shared" si="1"/>
        <v>44082.4468</v>
      </c>
      <c r="AX15" s="356">
        <f t="shared" si="1"/>
        <v>44302.85903</v>
      </c>
      <c r="AY15" s="356">
        <f t="shared" si="1"/>
        <v>44746.99519</v>
      </c>
      <c r="AZ15" s="356">
        <f t="shared" si="1"/>
        <v>45194.46514</v>
      </c>
      <c r="BA15" s="356">
        <f t="shared" si="1"/>
        <v>45420.43747</v>
      </c>
      <c r="BB15" s="356">
        <f t="shared" si="1"/>
        <v>45647.53966</v>
      </c>
      <c r="BC15" s="356">
        <f t="shared" si="1"/>
        <v>45875.77736</v>
      </c>
      <c r="BD15" s="356">
        <f t="shared" si="1"/>
        <v>46105.15624</v>
      </c>
      <c r="BE15" s="356">
        <f t="shared" si="1"/>
        <v>46335.68202</v>
      </c>
      <c r="BF15" s="356">
        <f t="shared" si="1"/>
        <v>46567.36043</v>
      </c>
      <c r="BG15" s="356">
        <f t="shared" si="1"/>
        <v>46800.19724</v>
      </c>
      <c r="BH15" s="356">
        <f t="shared" si="1"/>
        <v>47034.19822</v>
      </c>
      <c r="BI15" s="356">
        <f t="shared" si="1"/>
        <v>47269.36921</v>
      </c>
      <c r="BJ15" s="356">
        <f t="shared" si="1"/>
        <v>47505.71606</v>
      </c>
      <c r="BK15" s="356">
        <f t="shared" si="1"/>
        <v>48698.10953</v>
      </c>
      <c r="BL15" s="356">
        <f t="shared" si="1"/>
        <v>47188.46814</v>
      </c>
      <c r="BM15" s="356">
        <f t="shared" si="1"/>
        <v>47424.41048</v>
      </c>
      <c r="BN15" s="356">
        <f t="shared" si="1"/>
        <v>47661.53253</v>
      </c>
      <c r="BO15" s="356">
        <f t="shared" si="1"/>
        <v>47899.84019</v>
      </c>
      <c r="BP15" s="356">
        <f t="shared" si="1"/>
        <v>48139.33939</v>
      </c>
      <c r="BQ15" s="356">
        <f t="shared" si="1"/>
        <v>48380.03609</v>
      </c>
      <c r="BR15" s="356">
        <f t="shared" si="1"/>
        <v>48621.93627</v>
      </c>
      <c r="BS15" s="356">
        <f t="shared" si="1"/>
        <v>48865.04595</v>
      </c>
      <c r="BT15" s="356">
        <f t="shared" si="1"/>
        <v>49109.37118</v>
      </c>
      <c r="BU15" s="356">
        <f t="shared" si="1"/>
        <v>49354.91804</v>
      </c>
      <c r="BV15" s="356">
        <f t="shared" si="1"/>
        <v>49601.69263</v>
      </c>
      <c r="BW15" s="356">
        <f t="shared" si="1"/>
        <v>49849.70109</v>
      </c>
      <c r="BX15" s="356">
        <f t="shared" si="1"/>
        <v>44864.73098</v>
      </c>
      <c r="BY15" s="356">
        <f t="shared" si="1"/>
        <v>45089.05464</v>
      </c>
      <c r="BZ15" s="356">
        <f t="shared" si="1"/>
        <v>45314.49991</v>
      </c>
      <c r="CA15" s="356">
        <f t="shared" si="1"/>
        <v>45541.07241</v>
      </c>
      <c r="CB15" s="356">
        <f t="shared" si="1"/>
        <v>45768.77777</v>
      </c>
      <c r="CC15" s="356">
        <f t="shared" si="1"/>
        <v>45997.62166</v>
      </c>
      <c r="CD15" s="356">
        <f t="shared" si="1"/>
        <v>46227.60977</v>
      </c>
      <c r="CE15" s="356">
        <f t="shared" si="1"/>
        <v>46458.74782</v>
      </c>
      <c r="CF15" s="356">
        <f t="shared" si="1"/>
        <v>46691.04156</v>
      </c>
      <c r="CG15" s="356">
        <f t="shared" si="1"/>
        <v>46924.49676</v>
      </c>
      <c r="CH15" s="356">
        <f t="shared" si="1"/>
        <v>47159.11925</v>
      </c>
      <c r="CI15" s="1"/>
      <c r="CJ15" s="1"/>
      <c r="CK15" s="1"/>
      <c r="CL15" s="1"/>
      <c r="CM15" s="1"/>
      <c r="CN15" s="1"/>
      <c r="CO15" s="1"/>
      <c r="CP15" s="1"/>
    </row>
    <row r="16">
      <c r="A16" s="1" t="s">
        <v>85</v>
      </c>
      <c r="B16" s="356"/>
      <c r="C16" s="356">
        <f t="shared" ref="C16:CH16" si="2">C8*(12/13)/12</f>
        <v>0</v>
      </c>
      <c r="D16" s="356">
        <f t="shared" si="2"/>
        <v>15000</v>
      </c>
      <c r="E16" s="356">
        <f t="shared" si="2"/>
        <v>17923.07692</v>
      </c>
      <c r="F16" s="356">
        <f t="shared" si="2"/>
        <v>38192.30769</v>
      </c>
      <c r="G16" s="356">
        <f t="shared" si="2"/>
        <v>12250</v>
      </c>
      <c r="H16" s="356">
        <f t="shared" si="2"/>
        <v>40634.61538</v>
      </c>
      <c r="I16" s="356">
        <f t="shared" si="2"/>
        <v>14500</v>
      </c>
      <c r="J16" s="356">
        <f t="shared" si="2"/>
        <v>27442.30769</v>
      </c>
      <c r="K16" s="356">
        <f t="shared" si="2"/>
        <v>24423.07692</v>
      </c>
      <c r="L16" s="356">
        <f t="shared" si="2"/>
        <v>28346.15385</v>
      </c>
      <c r="M16" s="356">
        <f t="shared" si="2"/>
        <v>29423.07692</v>
      </c>
      <c r="N16" s="356">
        <f t="shared" si="2"/>
        <v>0</v>
      </c>
      <c r="O16" s="356">
        <f t="shared" si="2"/>
        <v>92199.61538</v>
      </c>
      <c r="P16" s="356">
        <f t="shared" si="2"/>
        <v>161263.0769</v>
      </c>
      <c r="Q16" s="356">
        <f t="shared" si="2"/>
        <v>191119.6154</v>
      </c>
      <c r="R16" s="356">
        <f t="shared" si="2"/>
        <v>121957.3077</v>
      </c>
      <c r="S16" s="356">
        <f t="shared" si="2"/>
        <v>117286.1538</v>
      </c>
      <c r="T16" s="356">
        <f t="shared" si="2"/>
        <v>169131.1538</v>
      </c>
      <c r="U16" s="356">
        <f t="shared" si="2"/>
        <v>185251.5385</v>
      </c>
      <c r="V16" s="356">
        <f t="shared" si="2"/>
        <v>125770</v>
      </c>
      <c r="W16" s="356">
        <f t="shared" si="2"/>
        <v>143730.3846</v>
      </c>
      <c r="X16" s="356">
        <f t="shared" si="2"/>
        <v>49993.46154</v>
      </c>
      <c r="Y16" s="356">
        <f t="shared" si="2"/>
        <v>94632.30769</v>
      </c>
      <c r="Z16" s="356">
        <f t="shared" si="2"/>
        <v>36057.69231</v>
      </c>
      <c r="AA16" s="356">
        <f t="shared" si="2"/>
        <v>44134.61538</v>
      </c>
      <c r="AB16" s="356">
        <f t="shared" si="2"/>
        <v>48548.07692</v>
      </c>
      <c r="AC16" s="356">
        <f t="shared" si="2"/>
        <v>48548.07692</v>
      </c>
      <c r="AD16" s="356">
        <f t="shared" si="2"/>
        <v>48548.07692</v>
      </c>
      <c r="AE16" s="356">
        <f t="shared" si="2"/>
        <v>48548.07692</v>
      </c>
      <c r="AF16" s="356">
        <f t="shared" si="2"/>
        <v>49519.03846</v>
      </c>
      <c r="AG16" s="356">
        <f t="shared" si="2"/>
        <v>49519.03846</v>
      </c>
      <c r="AH16" s="356">
        <f t="shared" si="2"/>
        <v>49519.03846</v>
      </c>
      <c r="AI16" s="356">
        <f t="shared" si="2"/>
        <v>49519.03846</v>
      </c>
      <c r="AJ16" s="356">
        <f t="shared" si="2"/>
        <v>47043.08654</v>
      </c>
      <c r="AK16" s="356">
        <f t="shared" si="2"/>
        <v>47043.08654</v>
      </c>
      <c r="AL16" s="356">
        <f t="shared" si="2"/>
        <v>47043.08654</v>
      </c>
      <c r="AM16" s="356">
        <f t="shared" si="2"/>
        <v>47514.69348</v>
      </c>
      <c r="AN16" s="356">
        <f t="shared" si="2"/>
        <v>33260.28544</v>
      </c>
      <c r="AO16" s="356">
        <f t="shared" si="2"/>
        <v>31597.27116</v>
      </c>
      <c r="AP16" s="356">
        <f t="shared" si="2"/>
        <v>31755.25752</v>
      </c>
      <c r="AQ16" s="356">
        <f t="shared" si="2"/>
        <v>31914.03381</v>
      </c>
      <c r="AR16" s="356">
        <f t="shared" si="2"/>
        <v>32233.972</v>
      </c>
      <c r="AS16" s="356">
        <f t="shared" si="2"/>
        <v>32395.14186</v>
      </c>
      <c r="AT16" s="356">
        <f t="shared" si="2"/>
        <v>32557.11757</v>
      </c>
      <c r="AU16" s="356">
        <f t="shared" si="2"/>
        <v>32719.90315</v>
      </c>
      <c r="AV16" s="356">
        <f t="shared" si="2"/>
        <v>32883.50267</v>
      </c>
      <c r="AW16" s="356">
        <f t="shared" si="2"/>
        <v>33047.92018</v>
      </c>
      <c r="AX16" s="356">
        <f t="shared" si="2"/>
        <v>33213.15978</v>
      </c>
      <c r="AY16" s="356">
        <f t="shared" si="2"/>
        <v>33546.12171</v>
      </c>
      <c r="AZ16" s="356">
        <f t="shared" si="2"/>
        <v>33881.58293</v>
      </c>
      <c r="BA16" s="356">
        <f t="shared" si="2"/>
        <v>34050.99084</v>
      </c>
      <c r="BB16" s="356">
        <f t="shared" si="2"/>
        <v>34221.2458</v>
      </c>
      <c r="BC16" s="356">
        <f t="shared" si="2"/>
        <v>34392.35203</v>
      </c>
      <c r="BD16" s="356">
        <f t="shared" si="2"/>
        <v>34564.31379</v>
      </c>
      <c r="BE16" s="356">
        <f t="shared" si="2"/>
        <v>34737.13536</v>
      </c>
      <c r="BF16" s="356">
        <f t="shared" si="2"/>
        <v>34910.82103</v>
      </c>
      <c r="BG16" s="356">
        <f t="shared" si="2"/>
        <v>35085.37514</v>
      </c>
      <c r="BH16" s="356">
        <f t="shared" si="2"/>
        <v>35260.80201</v>
      </c>
      <c r="BI16" s="356">
        <f t="shared" si="2"/>
        <v>35437.10602</v>
      </c>
      <c r="BJ16" s="356">
        <f t="shared" si="2"/>
        <v>35614.29155</v>
      </c>
      <c r="BK16" s="356">
        <f t="shared" si="2"/>
        <v>36508.21027</v>
      </c>
      <c r="BL16" s="356">
        <f t="shared" si="2"/>
        <v>35376.45575</v>
      </c>
      <c r="BM16" s="356">
        <f t="shared" si="2"/>
        <v>35553.33803</v>
      </c>
      <c r="BN16" s="356">
        <f t="shared" si="2"/>
        <v>35731.10472</v>
      </c>
      <c r="BO16" s="356">
        <f t="shared" si="2"/>
        <v>35909.76025</v>
      </c>
      <c r="BP16" s="356">
        <f t="shared" si="2"/>
        <v>36089.30905</v>
      </c>
      <c r="BQ16" s="356">
        <f t="shared" si="2"/>
        <v>36269.75559</v>
      </c>
      <c r="BR16" s="356">
        <f t="shared" si="2"/>
        <v>36451.10437</v>
      </c>
      <c r="BS16" s="356">
        <f t="shared" si="2"/>
        <v>36633.35989</v>
      </c>
      <c r="BT16" s="356">
        <f t="shared" si="2"/>
        <v>36816.52669</v>
      </c>
      <c r="BU16" s="356">
        <f t="shared" si="2"/>
        <v>37000.60932</v>
      </c>
      <c r="BV16" s="356">
        <f t="shared" si="2"/>
        <v>37185.61237</v>
      </c>
      <c r="BW16" s="356">
        <f t="shared" si="2"/>
        <v>37371.54043</v>
      </c>
      <c r="BX16" s="356">
        <f t="shared" si="2"/>
        <v>33634.38639</v>
      </c>
      <c r="BY16" s="356">
        <f t="shared" si="2"/>
        <v>33802.55832</v>
      </c>
      <c r="BZ16" s="356">
        <f t="shared" si="2"/>
        <v>33971.57111</v>
      </c>
      <c r="CA16" s="356">
        <f t="shared" si="2"/>
        <v>34141.42897</v>
      </c>
      <c r="CB16" s="356">
        <f t="shared" si="2"/>
        <v>34312.13611</v>
      </c>
      <c r="CC16" s="356">
        <f t="shared" si="2"/>
        <v>34483.69679</v>
      </c>
      <c r="CD16" s="356">
        <f t="shared" si="2"/>
        <v>34656.11528</v>
      </c>
      <c r="CE16" s="356">
        <f t="shared" si="2"/>
        <v>34829.39585</v>
      </c>
      <c r="CF16" s="356">
        <f t="shared" si="2"/>
        <v>35003.54283</v>
      </c>
      <c r="CG16" s="356">
        <f t="shared" si="2"/>
        <v>35178.56055</v>
      </c>
      <c r="CH16" s="356">
        <f t="shared" si="2"/>
        <v>35354.45335</v>
      </c>
      <c r="CI16" s="1"/>
      <c r="CJ16" s="1"/>
      <c r="CK16" s="1"/>
      <c r="CL16" s="1"/>
      <c r="CM16" s="1"/>
      <c r="CN16" s="1"/>
      <c r="CO16" s="1"/>
      <c r="CP16" s="1"/>
    </row>
    <row r="17">
      <c r="A17" s="1" t="s">
        <v>130</v>
      </c>
      <c r="B17" s="356"/>
      <c r="C17" s="356">
        <f t="shared" ref="C17:CH17" si="3">C9*(12/13)/12</f>
        <v>9384.615385</v>
      </c>
      <c r="D17" s="356">
        <f t="shared" si="3"/>
        <v>11384.61538</v>
      </c>
      <c r="E17" s="356">
        <f t="shared" si="3"/>
        <v>19500</v>
      </c>
      <c r="F17" s="356">
        <f t="shared" si="3"/>
        <v>10115.38462</v>
      </c>
      <c r="G17" s="356">
        <f t="shared" si="3"/>
        <v>2307.692308</v>
      </c>
      <c r="H17" s="356">
        <f t="shared" si="3"/>
        <v>23365.38462</v>
      </c>
      <c r="I17" s="356">
        <f t="shared" si="3"/>
        <v>10730.76923</v>
      </c>
      <c r="J17" s="356">
        <f t="shared" si="3"/>
        <v>24000</v>
      </c>
      <c r="K17" s="356">
        <f t="shared" si="3"/>
        <v>10307.69231</v>
      </c>
      <c r="L17" s="356">
        <f t="shared" si="3"/>
        <v>8846.153846</v>
      </c>
      <c r="M17" s="356">
        <f t="shared" si="3"/>
        <v>5384.615385</v>
      </c>
      <c r="N17" s="356">
        <f t="shared" si="3"/>
        <v>0</v>
      </c>
      <c r="O17" s="356">
        <f t="shared" si="3"/>
        <v>81853.46154</v>
      </c>
      <c r="P17" s="356">
        <f t="shared" si="3"/>
        <v>173557.6923</v>
      </c>
      <c r="Q17" s="356">
        <f t="shared" si="3"/>
        <v>189693.8462</v>
      </c>
      <c r="R17" s="356">
        <f t="shared" si="3"/>
        <v>109388.4615</v>
      </c>
      <c r="S17" s="356">
        <f t="shared" si="3"/>
        <v>26538.46154</v>
      </c>
      <c r="T17" s="356">
        <f t="shared" si="3"/>
        <v>85468.07692</v>
      </c>
      <c r="U17" s="356">
        <f t="shared" si="3"/>
        <v>69005.76923</v>
      </c>
      <c r="V17" s="356">
        <f t="shared" si="3"/>
        <v>109848.8462</v>
      </c>
      <c r="W17" s="356">
        <f t="shared" si="3"/>
        <v>159844.2308</v>
      </c>
      <c r="X17" s="356">
        <f t="shared" si="3"/>
        <v>54212.69231</v>
      </c>
      <c r="Y17" s="356">
        <f t="shared" si="3"/>
        <v>72903.84615</v>
      </c>
      <c r="Z17" s="356">
        <f t="shared" si="3"/>
        <v>54677.88462</v>
      </c>
      <c r="AA17" s="356">
        <f t="shared" si="3"/>
        <v>66925.73077</v>
      </c>
      <c r="AB17" s="356">
        <f t="shared" si="3"/>
        <v>73618.30385</v>
      </c>
      <c r="AC17" s="356">
        <f t="shared" si="3"/>
        <v>73618.30385</v>
      </c>
      <c r="AD17" s="356">
        <f t="shared" si="3"/>
        <v>73618.30385</v>
      </c>
      <c r="AE17" s="356">
        <f t="shared" si="3"/>
        <v>73618.30385</v>
      </c>
      <c r="AF17" s="356">
        <f t="shared" si="3"/>
        <v>75090.66992</v>
      </c>
      <c r="AG17" s="356">
        <f t="shared" si="3"/>
        <v>75090.66992</v>
      </c>
      <c r="AH17" s="356">
        <f t="shared" si="3"/>
        <v>75090.66992</v>
      </c>
      <c r="AI17" s="356">
        <f t="shared" si="3"/>
        <v>75090.66992</v>
      </c>
      <c r="AJ17" s="356">
        <f t="shared" si="3"/>
        <v>71336.13643</v>
      </c>
      <c r="AK17" s="356">
        <f t="shared" si="3"/>
        <v>71336.13643</v>
      </c>
      <c r="AL17" s="356">
        <f t="shared" si="3"/>
        <v>71336.13643</v>
      </c>
      <c r="AM17" s="356">
        <f t="shared" si="3"/>
        <v>72409.74528</v>
      </c>
      <c r="AN17" s="356">
        <f t="shared" si="3"/>
        <v>50686.8217</v>
      </c>
      <c r="AO17" s="356">
        <f t="shared" si="3"/>
        <v>48152.48061</v>
      </c>
      <c r="AP17" s="356">
        <f t="shared" si="3"/>
        <v>48393.24301</v>
      </c>
      <c r="AQ17" s="356">
        <f t="shared" si="3"/>
        <v>48635.20923</v>
      </c>
      <c r="AR17" s="356">
        <f t="shared" si="3"/>
        <v>49367.16913</v>
      </c>
      <c r="AS17" s="356">
        <f t="shared" si="3"/>
        <v>49614.00497</v>
      </c>
      <c r="AT17" s="356">
        <f t="shared" si="3"/>
        <v>49862.075</v>
      </c>
      <c r="AU17" s="356">
        <f t="shared" si="3"/>
        <v>50111.38537</v>
      </c>
      <c r="AV17" s="356">
        <f t="shared" si="3"/>
        <v>50361.9423</v>
      </c>
      <c r="AW17" s="356">
        <f t="shared" si="3"/>
        <v>50613.75201</v>
      </c>
      <c r="AX17" s="356">
        <f t="shared" si="3"/>
        <v>50866.82077</v>
      </c>
      <c r="AY17" s="356">
        <f t="shared" si="3"/>
        <v>51376.76065</v>
      </c>
      <c r="AZ17" s="356">
        <f t="shared" si="3"/>
        <v>51890.52826</v>
      </c>
      <c r="BA17" s="356">
        <f t="shared" si="3"/>
        <v>52149.9809</v>
      </c>
      <c r="BB17" s="356">
        <f t="shared" si="3"/>
        <v>52410.7308</v>
      </c>
      <c r="BC17" s="356">
        <f t="shared" si="3"/>
        <v>52672.78446</v>
      </c>
      <c r="BD17" s="356">
        <f t="shared" si="3"/>
        <v>52936.14838</v>
      </c>
      <c r="BE17" s="356">
        <f t="shared" si="3"/>
        <v>53200.82912</v>
      </c>
      <c r="BF17" s="356">
        <f t="shared" si="3"/>
        <v>53466.83327</v>
      </c>
      <c r="BG17" s="356">
        <f t="shared" si="3"/>
        <v>53734.16743</v>
      </c>
      <c r="BH17" s="356">
        <f t="shared" si="3"/>
        <v>54002.83827</v>
      </c>
      <c r="BI17" s="356">
        <f t="shared" si="3"/>
        <v>54272.85246</v>
      </c>
      <c r="BJ17" s="356">
        <f t="shared" si="3"/>
        <v>54544.21672</v>
      </c>
      <c r="BK17" s="356">
        <f t="shared" si="3"/>
        <v>57557.7847</v>
      </c>
      <c r="BL17" s="356">
        <f t="shared" si="3"/>
        <v>57413.89024</v>
      </c>
      <c r="BM17" s="356">
        <f t="shared" si="3"/>
        <v>57700.95969</v>
      </c>
      <c r="BN17" s="356">
        <f t="shared" si="3"/>
        <v>57989.46449</v>
      </c>
      <c r="BO17" s="356">
        <f t="shared" si="3"/>
        <v>58279.41181</v>
      </c>
      <c r="BP17" s="356">
        <f t="shared" si="3"/>
        <v>58570.80887</v>
      </c>
      <c r="BQ17" s="356">
        <f t="shared" si="3"/>
        <v>58863.66291</v>
      </c>
      <c r="BR17" s="356">
        <f t="shared" si="3"/>
        <v>59157.98123</v>
      </c>
      <c r="BS17" s="356">
        <f t="shared" si="3"/>
        <v>59453.77113</v>
      </c>
      <c r="BT17" s="356">
        <f t="shared" si="3"/>
        <v>59751.03999</v>
      </c>
      <c r="BU17" s="356">
        <f t="shared" si="3"/>
        <v>60049.79519</v>
      </c>
      <c r="BV17" s="356">
        <f t="shared" si="3"/>
        <v>60350.04416</v>
      </c>
      <c r="BW17" s="356">
        <f t="shared" si="3"/>
        <v>60651.79438</v>
      </c>
      <c r="BX17" s="356">
        <f t="shared" si="3"/>
        <v>54586.61495</v>
      </c>
      <c r="BY17" s="356">
        <f t="shared" si="3"/>
        <v>54859.54802</v>
      </c>
      <c r="BZ17" s="356">
        <f t="shared" si="3"/>
        <v>55133.84576</v>
      </c>
      <c r="CA17" s="356">
        <f t="shared" si="3"/>
        <v>55409.51499</v>
      </c>
      <c r="CB17" s="356">
        <f t="shared" si="3"/>
        <v>55686.56256</v>
      </c>
      <c r="CC17" s="356">
        <f t="shared" si="3"/>
        <v>55964.99538</v>
      </c>
      <c r="CD17" s="356">
        <f t="shared" si="3"/>
        <v>56244.82035</v>
      </c>
      <c r="CE17" s="356">
        <f t="shared" si="3"/>
        <v>56526.04446</v>
      </c>
      <c r="CF17" s="356">
        <f t="shared" si="3"/>
        <v>56808.67468</v>
      </c>
      <c r="CG17" s="356">
        <f t="shared" si="3"/>
        <v>57092.71805</v>
      </c>
      <c r="CH17" s="356">
        <f t="shared" si="3"/>
        <v>57378.18164</v>
      </c>
      <c r="CI17" s="1"/>
      <c r="CJ17" s="1"/>
      <c r="CK17" s="1"/>
      <c r="CL17" s="1"/>
      <c r="CM17" s="1"/>
      <c r="CN17" s="1"/>
      <c r="CO17" s="1"/>
      <c r="CP17" s="1"/>
    </row>
    <row r="18">
      <c r="A18" s="1" t="s">
        <v>89</v>
      </c>
      <c r="B18" s="356"/>
      <c r="C18" s="356">
        <f t="shared" ref="C18:CH18" si="4">C10/3</f>
        <v>0</v>
      </c>
      <c r="D18" s="356">
        <f t="shared" si="4"/>
        <v>0</v>
      </c>
      <c r="E18" s="356">
        <f t="shared" si="4"/>
        <v>0</v>
      </c>
      <c r="F18" s="356">
        <f t="shared" si="4"/>
        <v>0</v>
      </c>
      <c r="G18" s="356">
        <f t="shared" si="4"/>
        <v>0</v>
      </c>
      <c r="H18" s="356">
        <f t="shared" si="4"/>
        <v>0</v>
      </c>
      <c r="I18" s="356">
        <f t="shared" si="4"/>
        <v>6833.333333</v>
      </c>
      <c r="J18" s="356">
        <f t="shared" si="4"/>
        <v>0</v>
      </c>
      <c r="K18" s="356">
        <f t="shared" si="4"/>
        <v>0</v>
      </c>
      <c r="L18" s="356">
        <f t="shared" si="4"/>
        <v>9333.333333</v>
      </c>
      <c r="M18" s="356">
        <f t="shared" si="4"/>
        <v>7666.666667</v>
      </c>
      <c r="N18" s="356">
        <f t="shared" si="4"/>
        <v>0</v>
      </c>
      <c r="O18" s="356">
        <f t="shared" si="4"/>
        <v>347513.3333</v>
      </c>
      <c r="P18" s="356">
        <f t="shared" si="4"/>
        <v>549096.6667</v>
      </c>
      <c r="Q18" s="356">
        <f t="shared" si="4"/>
        <v>720315</v>
      </c>
      <c r="R18" s="356">
        <f t="shared" si="4"/>
        <v>707588.3333</v>
      </c>
      <c r="S18" s="356">
        <f t="shared" si="4"/>
        <v>8333.333333</v>
      </c>
      <c r="T18" s="356">
        <f t="shared" si="4"/>
        <v>776100</v>
      </c>
      <c r="U18" s="356">
        <f t="shared" si="4"/>
        <v>496651.6667</v>
      </c>
      <c r="V18" s="356">
        <f t="shared" si="4"/>
        <v>372651.6667</v>
      </c>
      <c r="W18" s="356">
        <f t="shared" si="4"/>
        <v>654761.6667</v>
      </c>
      <c r="X18" s="356">
        <f t="shared" si="4"/>
        <v>447108.3333</v>
      </c>
      <c r="Y18" s="356">
        <f t="shared" si="4"/>
        <v>541990</v>
      </c>
      <c r="Z18" s="356">
        <f t="shared" si="4"/>
        <v>28125</v>
      </c>
      <c r="AA18" s="356">
        <f t="shared" si="4"/>
        <v>34425</v>
      </c>
      <c r="AB18" s="356">
        <f t="shared" si="4"/>
        <v>37867.5</v>
      </c>
      <c r="AC18" s="356">
        <f t="shared" si="4"/>
        <v>37867.5</v>
      </c>
      <c r="AD18" s="356">
        <f t="shared" si="4"/>
        <v>37867.5</v>
      </c>
      <c r="AE18" s="356">
        <f t="shared" si="4"/>
        <v>37867.5</v>
      </c>
      <c r="AF18" s="356">
        <f t="shared" si="4"/>
        <v>39003.525</v>
      </c>
      <c r="AG18" s="356">
        <f t="shared" si="4"/>
        <v>39003.525</v>
      </c>
      <c r="AH18" s="356">
        <f t="shared" si="4"/>
        <v>39003.525</v>
      </c>
      <c r="AI18" s="356">
        <f t="shared" si="4"/>
        <v>39003.525</v>
      </c>
      <c r="AJ18" s="356">
        <f t="shared" si="4"/>
        <v>37053.34875</v>
      </c>
      <c r="AK18" s="356">
        <f t="shared" si="4"/>
        <v>37053.34875</v>
      </c>
      <c r="AL18" s="356">
        <f t="shared" si="4"/>
        <v>37053.34875</v>
      </c>
      <c r="AM18" s="356">
        <f t="shared" si="4"/>
        <v>38728.16011</v>
      </c>
      <c r="AN18" s="356">
        <f t="shared" si="4"/>
        <v>27109.71208</v>
      </c>
      <c r="AO18" s="356">
        <f t="shared" si="4"/>
        <v>25754.22648</v>
      </c>
      <c r="AP18" s="356">
        <f t="shared" si="4"/>
        <v>25882.99761</v>
      </c>
      <c r="AQ18" s="356">
        <f t="shared" si="4"/>
        <v>26012.4126</v>
      </c>
      <c r="AR18" s="356">
        <f t="shared" si="4"/>
        <v>26403.89941</v>
      </c>
      <c r="AS18" s="356">
        <f t="shared" si="4"/>
        <v>26535.9189</v>
      </c>
      <c r="AT18" s="356">
        <f t="shared" si="4"/>
        <v>26668.5985</v>
      </c>
      <c r="AU18" s="356">
        <f t="shared" si="4"/>
        <v>26801.94149</v>
      </c>
      <c r="AV18" s="356">
        <f t="shared" si="4"/>
        <v>26935.9512</v>
      </c>
      <c r="AW18" s="356">
        <f t="shared" si="4"/>
        <v>27070.63095</v>
      </c>
      <c r="AX18" s="356">
        <f t="shared" si="4"/>
        <v>27205.98411</v>
      </c>
      <c r="AY18" s="356">
        <f t="shared" si="4"/>
        <v>28162.27445</v>
      </c>
      <c r="AZ18" s="356">
        <f t="shared" si="4"/>
        <v>28443.89719</v>
      </c>
      <c r="BA18" s="356">
        <f t="shared" si="4"/>
        <v>28586.11668</v>
      </c>
      <c r="BB18" s="356">
        <f t="shared" si="4"/>
        <v>28729.04726</v>
      </c>
      <c r="BC18" s="356">
        <f t="shared" si="4"/>
        <v>28872.6925</v>
      </c>
      <c r="BD18" s="356">
        <f t="shared" si="4"/>
        <v>29017.05596</v>
      </c>
      <c r="BE18" s="356">
        <f t="shared" si="4"/>
        <v>29162.14124</v>
      </c>
      <c r="BF18" s="356">
        <f t="shared" si="4"/>
        <v>29307.95195</v>
      </c>
      <c r="BG18" s="356">
        <f t="shared" si="4"/>
        <v>29454.49171</v>
      </c>
      <c r="BH18" s="356">
        <f t="shared" si="4"/>
        <v>29601.76417</v>
      </c>
      <c r="BI18" s="356">
        <f t="shared" si="4"/>
        <v>29749.77299</v>
      </c>
      <c r="BJ18" s="356">
        <f t="shared" si="4"/>
        <v>29898.52185</v>
      </c>
      <c r="BK18" s="356">
        <f t="shared" si="4"/>
        <v>31550.41518</v>
      </c>
      <c r="BL18" s="356">
        <f t="shared" si="4"/>
        <v>31471.53915</v>
      </c>
      <c r="BM18" s="356">
        <f t="shared" si="4"/>
        <v>31628.89684</v>
      </c>
      <c r="BN18" s="356">
        <f t="shared" si="4"/>
        <v>31787.04133</v>
      </c>
      <c r="BO18" s="356">
        <f t="shared" si="4"/>
        <v>31945.97653</v>
      </c>
      <c r="BP18" s="356">
        <f t="shared" si="4"/>
        <v>32105.70642</v>
      </c>
      <c r="BQ18" s="356">
        <f t="shared" si="4"/>
        <v>32266.23495</v>
      </c>
      <c r="BR18" s="356">
        <f t="shared" si="4"/>
        <v>32427.56612</v>
      </c>
      <c r="BS18" s="356">
        <f t="shared" si="4"/>
        <v>32589.70395</v>
      </c>
      <c r="BT18" s="356">
        <f t="shared" si="4"/>
        <v>32752.65247</v>
      </c>
      <c r="BU18" s="356">
        <f t="shared" si="4"/>
        <v>32916.41573</v>
      </c>
      <c r="BV18" s="356">
        <f t="shared" si="4"/>
        <v>33080.99781</v>
      </c>
      <c r="BW18" s="356">
        <f t="shared" si="4"/>
        <v>33246.4028</v>
      </c>
      <c r="BX18" s="356">
        <f t="shared" si="4"/>
        <v>29921.76252</v>
      </c>
      <c r="BY18" s="356">
        <f t="shared" si="4"/>
        <v>30071.37134</v>
      </c>
      <c r="BZ18" s="356">
        <f t="shared" si="4"/>
        <v>30221.72819</v>
      </c>
      <c r="CA18" s="356">
        <f t="shared" si="4"/>
        <v>30372.83683</v>
      </c>
      <c r="CB18" s="356">
        <f t="shared" si="4"/>
        <v>30524.70102</v>
      </c>
      <c r="CC18" s="356">
        <f t="shared" si="4"/>
        <v>30677.32452</v>
      </c>
      <c r="CD18" s="356">
        <f t="shared" si="4"/>
        <v>30830.71114</v>
      </c>
      <c r="CE18" s="356">
        <f t="shared" si="4"/>
        <v>30984.8647</v>
      </c>
      <c r="CF18" s="356">
        <f t="shared" si="4"/>
        <v>31139.78902</v>
      </c>
      <c r="CG18" s="356">
        <f t="shared" si="4"/>
        <v>31295.48797</v>
      </c>
      <c r="CH18" s="356">
        <f t="shared" si="4"/>
        <v>31451.96541</v>
      </c>
      <c r="CI18" s="1"/>
      <c r="CJ18" s="1"/>
      <c r="CK18" s="1"/>
      <c r="CL18" s="1"/>
      <c r="CM18" s="1"/>
      <c r="CN18" s="1"/>
      <c r="CO18" s="1"/>
      <c r="CP18" s="1"/>
    </row>
    <row r="19">
      <c r="A19" s="1" t="s">
        <v>94</v>
      </c>
      <c r="B19" s="356"/>
      <c r="C19" s="356">
        <f t="shared" ref="C19:CH19" si="5">C11/3</f>
        <v>653068.3333</v>
      </c>
      <c r="D19" s="356">
        <f t="shared" si="5"/>
        <v>603970</v>
      </c>
      <c r="E19" s="356">
        <f t="shared" si="5"/>
        <v>781788.3333</v>
      </c>
      <c r="F19" s="356">
        <f t="shared" si="5"/>
        <v>315813.3333</v>
      </c>
      <c r="G19" s="356">
        <f t="shared" si="5"/>
        <v>622138.3333</v>
      </c>
      <c r="H19" s="356">
        <f t="shared" si="5"/>
        <v>748500</v>
      </c>
      <c r="I19" s="356">
        <f t="shared" si="5"/>
        <v>226895</v>
      </c>
      <c r="J19" s="356">
        <f t="shared" si="5"/>
        <v>575286.6667</v>
      </c>
      <c r="K19" s="356">
        <f t="shared" si="5"/>
        <v>456018.3333</v>
      </c>
      <c r="L19" s="356">
        <f t="shared" si="5"/>
        <v>251200</v>
      </c>
      <c r="M19" s="356">
        <f t="shared" si="5"/>
        <v>491005</v>
      </c>
      <c r="N19" s="356">
        <f t="shared" si="5"/>
        <v>0</v>
      </c>
      <c r="O19" s="356">
        <f t="shared" si="5"/>
        <v>459310</v>
      </c>
      <c r="P19" s="356">
        <f t="shared" si="5"/>
        <v>387701.6667</v>
      </c>
      <c r="Q19" s="356">
        <f t="shared" si="5"/>
        <v>427668.3333</v>
      </c>
      <c r="R19" s="356">
        <f t="shared" si="5"/>
        <v>659623.3333</v>
      </c>
      <c r="S19" s="356">
        <f t="shared" si="5"/>
        <v>763428.3333</v>
      </c>
      <c r="T19" s="356">
        <f t="shared" si="5"/>
        <v>640568.3333</v>
      </c>
      <c r="U19" s="356">
        <f t="shared" si="5"/>
        <v>499013.3333</v>
      </c>
      <c r="V19" s="356">
        <f t="shared" si="5"/>
        <v>309476.6667</v>
      </c>
      <c r="W19" s="356">
        <f t="shared" si="5"/>
        <v>533276.6667</v>
      </c>
      <c r="X19" s="356">
        <f t="shared" si="5"/>
        <v>240791.6667</v>
      </c>
      <c r="Y19" s="356">
        <f t="shared" si="5"/>
        <v>597833.3333</v>
      </c>
      <c r="Z19" s="356">
        <f t="shared" si="5"/>
        <v>18750</v>
      </c>
      <c r="AA19" s="356">
        <f t="shared" si="5"/>
        <v>22950</v>
      </c>
      <c r="AB19" s="356">
        <f t="shared" si="5"/>
        <v>25245</v>
      </c>
      <c r="AC19" s="356">
        <f t="shared" si="5"/>
        <v>25245</v>
      </c>
      <c r="AD19" s="356">
        <f t="shared" si="5"/>
        <v>25245</v>
      </c>
      <c r="AE19" s="356">
        <f t="shared" si="5"/>
        <v>25245</v>
      </c>
      <c r="AF19" s="356">
        <f t="shared" si="5"/>
        <v>25749.9</v>
      </c>
      <c r="AG19" s="356">
        <f t="shared" si="5"/>
        <v>25749.9</v>
      </c>
      <c r="AH19" s="356">
        <f t="shared" si="5"/>
        <v>25749.9</v>
      </c>
      <c r="AI19" s="356">
        <f t="shared" si="5"/>
        <v>25749.9</v>
      </c>
      <c r="AJ19" s="356">
        <f t="shared" si="5"/>
        <v>24462.405</v>
      </c>
      <c r="AK19" s="356">
        <f t="shared" si="5"/>
        <v>24462.405</v>
      </c>
      <c r="AL19" s="356">
        <f t="shared" si="5"/>
        <v>24462.405</v>
      </c>
      <c r="AM19" s="356">
        <f t="shared" si="5"/>
        <v>24830.5642</v>
      </c>
      <c r="AN19" s="356">
        <f t="shared" si="5"/>
        <v>25078.86984</v>
      </c>
      <c r="AO19" s="356">
        <f t="shared" si="5"/>
        <v>26332.81333</v>
      </c>
      <c r="AP19" s="356">
        <f t="shared" si="5"/>
        <v>26464.4774</v>
      </c>
      <c r="AQ19" s="356">
        <f t="shared" si="5"/>
        <v>26596.79978</v>
      </c>
      <c r="AR19" s="356">
        <f t="shared" si="5"/>
        <v>26997.08162</v>
      </c>
      <c r="AS19" s="356">
        <f t="shared" si="5"/>
        <v>27132.06703</v>
      </c>
      <c r="AT19" s="356">
        <f t="shared" si="5"/>
        <v>27267.72736</v>
      </c>
      <c r="AU19" s="356">
        <f t="shared" si="5"/>
        <v>27404.066</v>
      </c>
      <c r="AV19" s="356">
        <f t="shared" si="5"/>
        <v>27541.08633</v>
      </c>
      <c r="AW19" s="356">
        <f t="shared" si="5"/>
        <v>27678.79176</v>
      </c>
      <c r="AX19" s="356">
        <f t="shared" si="5"/>
        <v>27817.18572</v>
      </c>
      <c r="AY19" s="356">
        <f t="shared" si="5"/>
        <v>28794.9598</v>
      </c>
      <c r="AZ19" s="356">
        <f t="shared" si="5"/>
        <v>29082.9094</v>
      </c>
      <c r="BA19" s="356">
        <f t="shared" si="5"/>
        <v>29228.32394</v>
      </c>
      <c r="BB19" s="356">
        <f t="shared" si="5"/>
        <v>29374.46556</v>
      </c>
      <c r="BC19" s="356">
        <f t="shared" si="5"/>
        <v>29521.33789</v>
      </c>
      <c r="BD19" s="356">
        <f t="shared" si="5"/>
        <v>29668.94458</v>
      </c>
      <c r="BE19" s="356">
        <f t="shared" si="5"/>
        <v>29817.2893</v>
      </c>
      <c r="BF19" s="356">
        <f t="shared" si="5"/>
        <v>29966.37575</v>
      </c>
      <c r="BG19" s="356">
        <f t="shared" si="5"/>
        <v>30116.20763</v>
      </c>
      <c r="BH19" s="356">
        <f t="shared" si="5"/>
        <v>30266.78867</v>
      </c>
      <c r="BI19" s="356">
        <f t="shared" si="5"/>
        <v>30418.12261</v>
      </c>
      <c r="BJ19" s="356">
        <f t="shared" si="5"/>
        <v>30570.21322</v>
      </c>
      <c r="BK19" s="356">
        <f t="shared" si="5"/>
        <v>32259.2175</v>
      </c>
      <c r="BL19" s="356">
        <f t="shared" si="5"/>
        <v>32178.56946</v>
      </c>
      <c r="BM19" s="356">
        <f t="shared" si="5"/>
        <v>32339.46231</v>
      </c>
      <c r="BN19" s="356">
        <f t="shared" si="5"/>
        <v>32501.15962</v>
      </c>
      <c r="BO19" s="356">
        <f t="shared" si="5"/>
        <v>32663.66542</v>
      </c>
      <c r="BP19" s="356">
        <f t="shared" si="5"/>
        <v>32826.98374</v>
      </c>
      <c r="BQ19" s="356">
        <f t="shared" si="5"/>
        <v>32991.11866</v>
      </c>
      <c r="BR19" s="356">
        <f t="shared" si="5"/>
        <v>33156.07426</v>
      </c>
      <c r="BS19" s="356">
        <f t="shared" si="5"/>
        <v>33321.85463</v>
      </c>
      <c r="BT19" s="356">
        <f t="shared" si="5"/>
        <v>33488.4639</v>
      </c>
      <c r="BU19" s="356">
        <f t="shared" si="5"/>
        <v>33655.90622</v>
      </c>
      <c r="BV19" s="356">
        <f t="shared" si="5"/>
        <v>33824.18575</v>
      </c>
      <c r="BW19" s="356">
        <f t="shared" si="5"/>
        <v>33993.30668</v>
      </c>
      <c r="BX19" s="356">
        <f t="shared" si="5"/>
        <v>30593.97601</v>
      </c>
      <c r="BY19" s="356">
        <f t="shared" si="5"/>
        <v>30746.94589</v>
      </c>
      <c r="BZ19" s="356">
        <f t="shared" si="5"/>
        <v>30900.68062</v>
      </c>
      <c r="CA19" s="356">
        <f t="shared" si="5"/>
        <v>31055.18402</v>
      </c>
      <c r="CB19" s="356">
        <f t="shared" si="5"/>
        <v>31210.45994</v>
      </c>
      <c r="CC19" s="356">
        <f t="shared" si="5"/>
        <v>31366.51224</v>
      </c>
      <c r="CD19" s="356">
        <f t="shared" si="5"/>
        <v>31523.3448</v>
      </c>
      <c r="CE19" s="356">
        <f t="shared" si="5"/>
        <v>31680.96153</v>
      </c>
      <c r="CF19" s="356">
        <f t="shared" si="5"/>
        <v>31839.36634</v>
      </c>
      <c r="CG19" s="356">
        <f t="shared" si="5"/>
        <v>31998.56317</v>
      </c>
      <c r="CH19" s="356">
        <f t="shared" si="5"/>
        <v>32158.55598</v>
      </c>
      <c r="CI19" s="1"/>
      <c r="CJ19" s="1"/>
      <c r="CK19" s="1"/>
      <c r="CL19" s="1"/>
      <c r="CM19" s="1"/>
      <c r="CN19" s="1"/>
      <c r="CO19" s="1"/>
      <c r="CP19" s="1"/>
    </row>
    <row r="20">
      <c r="A20" s="1" t="s">
        <v>96</v>
      </c>
      <c r="B20" s="356"/>
      <c r="C20" s="356">
        <f t="shared" ref="C20:T20" si="6">C12/2</f>
        <v>0</v>
      </c>
      <c r="D20" s="356">
        <f t="shared" si="6"/>
        <v>0</v>
      </c>
      <c r="E20" s="356">
        <f t="shared" si="6"/>
        <v>0</v>
      </c>
      <c r="F20" s="356">
        <f t="shared" si="6"/>
        <v>0</v>
      </c>
      <c r="G20" s="356">
        <f t="shared" si="6"/>
        <v>0</v>
      </c>
      <c r="H20" s="356">
        <f t="shared" si="6"/>
        <v>0</v>
      </c>
      <c r="I20" s="356">
        <f t="shared" si="6"/>
        <v>0</v>
      </c>
      <c r="J20" s="356">
        <f t="shared" si="6"/>
        <v>0</v>
      </c>
      <c r="K20" s="356">
        <f t="shared" si="6"/>
        <v>0</v>
      </c>
      <c r="L20" s="356">
        <f t="shared" si="6"/>
        <v>37500</v>
      </c>
      <c r="M20" s="356">
        <f t="shared" si="6"/>
        <v>50000</v>
      </c>
      <c r="N20" s="356">
        <f t="shared" si="6"/>
        <v>0</v>
      </c>
      <c r="O20" s="356">
        <f t="shared" si="6"/>
        <v>404460</v>
      </c>
      <c r="P20" s="356">
        <f t="shared" si="6"/>
        <v>936795</v>
      </c>
      <c r="Q20" s="356">
        <f t="shared" si="6"/>
        <v>540380</v>
      </c>
      <c r="R20" s="356">
        <f t="shared" si="6"/>
        <v>414855</v>
      </c>
      <c r="S20" s="356">
        <f t="shared" si="6"/>
        <v>318207.5</v>
      </c>
      <c r="T20" s="356">
        <f t="shared" si="6"/>
        <v>423152.5</v>
      </c>
      <c r="U20" s="356">
        <v>50000.0</v>
      </c>
      <c r="V20" s="356">
        <f t="shared" ref="V20:CH20" si="7">V12/2</f>
        <v>726640</v>
      </c>
      <c r="W20" s="356">
        <f t="shared" si="7"/>
        <v>1201037.5</v>
      </c>
      <c r="X20" s="356">
        <f t="shared" si="7"/>
        <v>499825</v>
      </c>
      <c r="Y20" s="356">
        <f t="shared" si="7"/>
        <v>997000</v>
      </c>
      <c r="Z20" s="356">
        <f t="shared" si="7"/>
        <v>187500</v>
      </c>
      <c r="AA20" s="356">
        <f t="shared" si="7"/>
        <v>225000</v>
      </c>
      <c r="AB20" s="356">
        <f t="shared" si="7"/>
        <v>247500</v>
      </c>
      <c r="AC20" s="356">
        <f t="shared" si="7"/>
        <v>247500</v>
      </c>
      <c r="AD20" s="356">
        <f t="shared" si="7"/>
        <v>247500</v>
      </c>
      <c r="AE20" s="356">
        <f t="shared" si="7"/>
        <v>247500</v>
      </c>
      <c r="AF20" s="356">
        <f t="shared" si="7"/>
        <v>247500</v>
      </c>
      <c r="AG20" s="356">
        <f t="shared" si="7"/>
        <v>247500</v>
      </c>
      <c r="AH20" s="356">
        <f t="shared" si="7"/>
        <v>247500</v>
      </c>
      <c r="AI20" s="356">
        <f t="shared" si="7"/>
        <v>247500</v>
      </c>
      <c r="AJ20" s="356">
        <f t="shared" si="7"/>
        <v>247500</v>
      </c>
      <c r="AK20" s="356">
        <f t="shared" si="7"/>
        <v>247500</v>
      </c>
      <c r="AL20" s="356">
        <f t="shared" si="7"/>
        <v>247500</v>
      </c>
      <c r="AM20" s="356">
        <f t="shared" si="7"/>
        <v>247500</v>
      </c>
      <c r="AN20" s="356">
        <f t="shared" si="7"/>
        <v>247500</v>
      </c>
      <c r="AO20" s="356">
        <f t="shared" si="7"/>
        <v>247500</v>
      </c>
      <c r="AP20" s="356">
        <f t="shared" si="7"/>
        <v>247500</v>
      </c>
      <c r="AQ20" s="356">
        <f t="shared" si="7"/>
        <v>247500</v>
      </c>
      <c r="AR20" s="356">
        <f t="shared" si="7"/>
        <v>247500</v>
      </c>
      <c r="AS20" s="356">
        <f t="shared" si="7"/>
        <v>247500</v>
      </c>
      <c r="AT20" s="356">
        <f t="shared" si="7"/>
        <v>247500</v>
      </c>
      <c r="AU20" s="356">
        <f t="shared" si="7"/>
        <v>247500</v>
      </c>
      <c r="AV20" s="356">
        <f t="shared" si="7"/>
        <v>247500</v>
      </c>
      <c r="AW20" s="356">
        <f t="shared" si="7"/>
        <v>247500</v>
      </c>
      <c r="AX20" s="356">
        <f t="shared" si="7"/>
        <v>247500</v>
      </c>
      <c r="AY20" s="356">
        <f t="shared" si="7"/>
        <v>247500</v>
      </c>
      <c r="AZ20" s="356">
        <f t="shared" si="7"/>
        <v>247500</v>
      </c>
      <c r="BA20" s="356">
        <f t="shared" si="7"/>
        <v>247500</v>
      </c>
      <c r="BB20" s="356">
        <f t="shared" si="7"/>
        <v>247500</v>
      </c>
      <c r="BC20" s="356">
        <f t="shared" si="7"/>
        <v>247500</v>
      </c>
      <c r="BD20" s="356">
        <f t="shared" si="7"/>
        <v>247500</v>
      </c>
      <c r="BE20" s="356">
        <f t="shared" si="7"/>
        <v>247500</v>
      </c>
      <c r="BF20" s="356">
        <f t="shared" si="7"/>
        <v>247500</v>
      </c>
      <c r="BG20" s="356">
        <f t="shared" si="7"/>
        <v>247500</v>
      </c>
      <c r="BH20" s="356">
        <f t="shared" si="7"/>
        <v>247500</v>
      </c>
      <c r="BI20" s="356">
        <f t="shared" si="7"/>
        <v>247500</v>
      </c>
      <c r="BJ20" s="356">
        <f t="shared" si="7"/>
        <v>247500</v>
      </c>
      <c r="BK20" s="356">
        <f t="shared" si="7"/>
        <v>247500</v>
      </c>
      <c r="BL20" s="356">
        <f t="shared" si="7"/>
        <v>247500</v>
      </c>
      <c r="BM20" s="356">
        <f t="shared" si="7"/>
        <v>247500</v>
      </c>
      <c r="BN20" s="356">
        <f t="shared" si="7"/>
        <v>247500</v>
      </c>
      <c r="BO20" s="356">
        <f t="shared" si="7"/>
        <v>247500</v>
      </c>
      <c r="BP20" s="356">
        <f t="shared" si="7"/>
        <v>247500</v>
      </c>
      <c r="BQ20" s="356">
        <f t="shared" si="7"/>
        <v>247500</v>
      </c>
      <c r="BR20" s="356">
        <f t="shared" si="7"/>
        <v>247500</v>
      </c>
      <c r="BS20" s="356">
        <f t="shared" si="7"/>
        <v>247500</v>
      </c>
      <c r="BT20" s="356">
        <f t="shared" si="7"/>
        <v>247500</v>
      </c>
      <c r="BU20" s="356">
        <f t="shared" si="7"/>
        <v>247500</v>
      </c>
      <c r="BV20" s="356">
        <f t="shared" si="7"/>
        <v>247500</v>
      </c>
      <c r="BW20" s="356">
        <f t="shared" si="7"/>
        <v>247500</v>
      </c>
      <c r="BX20" s="356">
        <f t="shared" si="7"/>
        <v>247500</v>
      </c>
      <c r="BY20" s="356">
        <f t="shared" si="7"/>
        <v>247500</v>
      </c>
      <c r="BZ20" s="356">
        <f t="shared" si="7"/>
        <v>247500</v>
      </c>
      <c r="CA20" s="356">
        <f t="shared" si="7"/>
        <v>247500</v>
      </c>
      <c r="CB20" s="356">
        <f t="shared" si="7"/>
        <v>247500</v>
      </c>
      <c r="CC20" s="356">
        <f t="shared" si="7"/>
        <v>247500</v>
      </c>
      <c r="CD20" s="356">
        <f t="shared" si="7"/>
        <v>247500</v>
      </c>
      <c r="CE20" s="356">
        <f t="shared" si="7"/>
        <v>247500</v>
      </c>
      <c r="CF20" s="356">
        <f t="shared" si="7"/>
        <v>247500</v>
      </c>
      <c r="CG20" s="356">
        <f t="shared" si="7"/>
        <v>247500</v>
      </c>
      <c r="CH20" s="356">
        <f t="shared" si="7"/>
        <v>247500</v>
      </c>
      <c r="CI20" s="1"/>
      <c r="CJ20" s="1"/>
      <c r="CK20" s="1"/>
      <c r="CL20" s="1"/>
      <c r="CM20" s="1"/>
      <c r="CN20" s="1"/>
      <c r="CO20" s="1"/>
      <c r="CP20" s="1"/>
    </row>
    <row r="21" ht="15.75" customHeight="1">
      <c r="A21" s="119" t="s">
        <v>607</v>
      </c>
      <c r="B21" s="351"/>
      <c r="C21" s="351">
        <f t="shared" ref="C21:CH21" si="8">SUM(C15:C20)</f>
        <v>708991.4103</v>
      </c>
      <c r="D21" s="351">
        <f t="shared" si="8"/>
        <v>688912.3077</v>
      </c>
      <c r="E21" s="351">
        <f t="shared" si="8"/>
        <v>880826.7949</v>
      </c>
      <c r="F21" s="351">
        <f t="shared" si="8"/>
        <v>411217.1795</v>
      </c>
      <c r="G21" s="351">
        <f t="shared" si="8"/>
        <v>655542.1795</v>
      </c>
      <c r="H21" s="351">
        <f t="shared" si="8"/>
        <v>874346.1538</v>
      </c>
      <c r="I21" s="351">
        <f t="shared" si="8"/>
        <v>292189.8718</v>
      </c>
      <c r="J21" s="351">
        <f t="shared" si="8"/>
        <v>749171.2821</v>
      </c>
      <c r="K21" s="351">
        <f t="shared" si="8"/>
        <v>510749.1026</v>
      </c>
      <c r="L21" s="351">
        <f t="shared" si="8"/>
        <v>370225.641</v>
      </c>
      <c r="M21" s="351">
        <f t="shared" si="8"/>
        <v>592710.1282</v>
      </c>
      <c r="N21" s="351">
        <f t="shared" si="8"/>
        <v>0</v>
      </c>
      <c r="O21" s="351">
        <f t="shared" si="8"/>
        <v>1569758.718</v>
      </c>
      <c r="P21" s="351">
        <f t="shared" si="8"/>
        <v>2287955.256</v>
      </c>
      <c r="Q21" s="351">
        <f t="shared" si="8"/>
        <v>2195417.949</v>
      </c>
      <c r="R21" s="351">
        <f t="shared" si="8"/>
        <v>2182471.282</v>
      </c>
      <c r="S21" s="351">
        <f t="shared" si="8"/>
        <v>1291103.013</v>
      </c>
      <c r="T21" s="351">
        <f t="shared" si="8"/>
        <v>2209168.141</v>
      </c>
      <c r="U21" s="351">
        <f t="shared" si="8"/>
        <v>1341499.615</v>
      </c>
      <c r="V21" s="351">
        <f t="shared" si="8"/>
        <v>1745383.333</v>
      </c>
      <c r="W21" s="351">
        <f t="shared" si="8"/>
        <v>2862574.295</v>
      </c>
      <c r="X21" s="351">
        <f t="shared" si="8"/>
        <v>1470327.692</v>
      </c>
      <c r="Y21" s="351">
        <f t="shared" si="8"/>
        <v>2480612.564</v>
      </c>
      <c r="Z21" s="351">
        <f t="shared" si="8"/>
        <v>372706.7308</v>
      </c>
      <c r="AA21" s="351">
        <f t="shared" si="8"/>
        <v>451693.0385</v>
      </c>
      <c r="AB21" s="351">
        <f t="shared" si="8"/>
        <v>496862.3423</v>
      </c>
      <c r="AC21" s="351">
        <f t="shared" si="8"/>
        <v>496862.3423</v>
      </c>
      <c r="AD21" s="351">
        <f t="shared" si="8"/>
        <v>496862.3423</v>
      </c>
      <c r="AE21" s="351">
        <f t="shared" si="8"/>
        <v>496862.3423</v>
      </c>
      <c r="AF21" s="351">
        <f t="shared" si="8"/>
        <v>502228.2642</v>
      </c>
      <c r="AG21" s="351">
        <f t="shared" si="8"/>
        <v>502228.2642</v>
      </c>
      <c r="AH21" s="351">
        <f t="shared" si="8"/>
        <v>502228.2642</v>
      </c>
      <c r="AI21" s="351">
        <f t="shared" si="8"/>
        <v>502228.2642</v>
      </c>
      <c r="AJ21" s="351">
        <f t="shared" si="8"/>
        <v>490145.5023</v>
      </c>
      <c r="AK21" s="351">
        <f t="shared" si="8"/>
        <v>490145.5023</v>
      </c>
      <c r="AL21" s="351">
        <f t="shared" si="8"/>
        <v>490145.5023</v>
      </c>
      <c r="AM21" s="351">
        <f t="shared" si="8"/>
        <v>494362.7626</v>
      </c>
      <c r="AN21" s="351">
        <f t="shared" si="8"/>
        <v>428001.4087</v>
      </c>
      <c r="AO21" s="351">
        <f t="shared" si="8"/>
        <v>421484.2253</v>
      </c>
      <c r="AP21" s="351">
        <f t="shared" si="8"/>
        <v>422354.1464</v>
      </c>
      <c r="AQ21" s="351">
        <f t="shared" si="8"/>
        <v>423228.4171</v>
      </c>
      <c r="AR21" s="351">
        <f t="shared" si="8"/>
        <v>425498.8477</v>
      </c>
      <c r="AS21" s="351">
        <f t="shared" si="8"/>
        <v>426388.842</v>
      </c>
      <c r="AT21" s="351">
        <f t="shared" si="8"/>
        <v>427283.2862</v>
      </c>
      <c r="AU21" s="351">
        <f t="shared" si="8"/>
        <v>428182.2026</v>
      </c>
      <c r="AV21" s="351">
        <f t="shared" si="8"/>
        <v>429085.6136</v>
      </c>
      <c r="AW21" s="351">
        <f t="shared" si="8"/>
        <v>429993.5417</v>
      </c>
      <c r="AX21" s="351">
        <f t="shared" si="8"/>
        <v>430906.0094</v>
      </c>
      <c r="AY21" s="351">
        <f t="shared" si="8"/>
        <v>434127.1118</v>
      </c>
      <c r="AZ21" s="351">
        <f t="shared" si="8"/>
        <v>435993.3829</v>
      </c>
      <c r="BA21" s="351">
        <f t="shared" si="8"/>
        <v>436935.8498</v>
      </c>
      <c r="BB21" s="351">
        <f t="shared" si="8"/>
        <v>437883.0291</v>
      </c>
      <c r="BC21" s="351">
        <f t="shared" si="8"/>
        <v>438834.9442</v>
      </c>
      <c r="BD21" s="351">
        <f t="shared" si="8"/>
        <v>439791.6189</v>
      </c>
      <c r="BE21" s="351">
        <f t="shared" si="8"/>
        <v>440753.077</v>
      </c>
      <c r="BF21" s="351">
        <f t="shared" si="8"/>
        <v>441719.3424</v>
      </c>
      <c r="BG21" s="351">
        <f t="shared" si="8"/>
        <v>442690.4391</v>
      </c>
      <c r="BH21" s="351">
        <f t="shared" si="8"/>
        <v>443666.3913</v>
      </c>
      <c r="BI21" s="351">
        <f t="shared" si="8"/>
        <v>444647.2233</v>
      </c>
      <c r="BJ21" s="351">
        <f t="shared" si="8"/>
        <v>445632.9594</v>
      </c>
      <c r="BK21" s="351">
        <f t="shared" si="8"/>
        <v>454073.7372</v>
      </c>
      <c r="BL21" s="351">
        <f t="shared" si="8"/>
        <v>451128.9227</v>
      </c>
      <c r="BM21" s="351">
        <f t="shared" si="8"/>
        <v>452147.0673</v>
      </c>
      <c r="BN21" s="351">
        <f t="shared" si="8"/>
        <v>453170.3027</v>
      </c>
      <c r="BO21" s="351">
        <f t="shared" si="8"/>
        <v>454198.6542</v>
      </c>
      <c r="BP21" s="351">
        <f t="shared" si="8"/>
        <v>455232.1475</v>
      </c>
      <c r="BQ21" s="351">
        <f t="shared" si="8"/>
        <v>456270.8082</v>
      </c>
      <c r="BR21" s="351">
        <f t="shared" si="8"/>
        <v>457314.6622</v>
      </c>
      <c r="BS21" s="351">
        <f t="shared" si="8"/>
        <v>458363.7356</v>
      </c>
      <c r="BT21" s="351">
        <f t="shared" si="8"/>
        <v>459418.0542</v>
      </c>
      <c r="BU21" s="351">
        <f t="shared" si="8"/>
        <v>460477.6445</v>
      </c>
      <c r="BV21" s="351">
        <f t="shared" si="8"/>
        <v>461542.5327</v>
      </c>
      <c r="BW21" s="351">
        <f t="shared" si="8"/>
        <v>462612.7454</v>
      </c>
      <c r="BX21" s="351">
        <f t="shared" si="8"/>
        <v>441101.4709</v>
      </c>
      <c r="BY21" s="351">
        <f t="shared" si="8"/>
        <v>442069.4782</v>
      </c>
      <c r="BZ21" s="351">
        <f t="shared" si="8"/>
        <v>443042.3256</v>
      </c>
      <c r="CA21" s="351">
        <f t="shared" si="8"/>
        <v>444020.0372</v>
      </c>
      <c r="CB21" s="351">
        <f t="shared" si="8"/>
        <v>445002.6374</v>
      </c>
      <c r="CC21" s="351">
        <f t="shared" si="8"/>
        <v>445990.1506</v>
      </c>
      <c r="CD21" s="351">
        <f t="shared" si="8"/>
        <v>446982.6014</v>
      </c>
      <c r="CE21" s="351">
        <f t="shared" si="8"/>
        <v>447980.0144</v>
      </c>
      <c r="CF21" s="351">
        <f t="shared" si="8"/>
        <v>448982.4144</v>
      </c>
      <c r="CG21" s="351">
        <f t="shared" si="8"/>
        <v>449989.8265</v>
      </c>
      <c r="CH21" s="351">
        <f t="shared" si="8"/>
        <v>451002.2756</v>
      </c>
      <c r="CI21" s="1"/>
      <c r="CJ21" s="1"/>
      <c r="CK21" s="1"/>
      <c r="CL21" s="1"/>
      <c r="CM21" s="1"/>
      <c r="CN21" s="1"/>
      <c r="CO21" s="1"/>
      <c r="CP21" s="1"/>
    </row>
    <row r="22" ht="15.75" customHeight="1">
      <c r="A22" s="1"/>
      <c r="B22" s="356"/>
      <c r="C22" s="356"/>
      <c r="D22" s="356"/>
      <c r="E22" s="356"/>
      <c r="F22" s="356"/>
      <c r="G22" s="356"/>
      <c r="H22" s="356"/>
      <c r="I22" s="356"/>
      <c r="J22" s="356"/>
      <c r="K22" s="356"/>
      <c r="L22" s="356"/>
      <c r="M22" s="356"/>
      <c r="N22" s="356"/>
      <c r="O22" s="356"/>
      <c r="P22" s="356"/>
      <c r="Q22" s="356"/>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c r="AR22" s="356"/>
      <c r="AS22" s="356"/>
      <c r="AT22" s="356"/>
      <c r="AU22" s="356"/>
      <c r="AV22" s="356"/>
      <c r="AW22" s="356"/>
      <c r="AX22" s="356"/>
      <c r="AY22" s="356"/>
      <c r="AZ22" s="356"/>
      <c r="BA22" s="356"/>
      <c r="BB22" s="356"/>
      <c r="BC22" s="356"/>
      <c r="BD22" s="356"/>
      <c r="BE22" s="356"/>
      <c r="BF22" s="356"/>
      <c r="BG22" s="356"/>
      <c r="BH22" s="356"/>
      <c r="BI22" s="356"/>
      <c r="BJ22" s="356"/>
      <c r="BK22" s="356"/>
      <c r="BL22" s="356"/>
      <c r="BM22" s="356"/>
      <c r="BN22" s="356"/>
      <c r="BO22" s="356"/>
      <c r="BP22" s="356"/>
      <c r="BQ22" s="356"/>
      <c r="BR22" s="356"/>
      <c r="BS22" s="356"/>
      <c r="BT22" s="356"/>
      <c r="BU22" s="356"/>
      <c r="BV22" s="356"/>
      <c r="BW22" s="356"/>
      <c r="BX22" s="356"/>
      <c r="BY22" s="356"/>
      <c r="BZ22" s="356"/>
      <c r="CA22" s="356"/>
      <c r="CB22" s="356"/>
      <c r="CC22" s="356"/>
      <c r="CD22" s="356"/>
      <c r="CE22" s="356"/>
      <c r="CF22" s="356"/>
      <c r="CG22" s="356"/>
      <c r="CH22" s="356"/>
      <c r="CI22" s="1"/>
      <c r="CJ22" s="1"/>
      <c r="CK22" s="1"/>
      <c r="CL22" s="1"/>
      <c r="CM22" s="1"/>
      <c r="CN22" s="1"/>
      <c r="CO22" s="1"/>
      <c r="CP22" s="1"/>
    </row>
    <row r="23" ht="15.75" customHeight="1">
      <c r="A23" s="1"/>
      <c r="B23" s="356"/>
      <c r="C23" s="356"/>
      <c r="D23" s="356"/>
      <c r="E23" s="356"/>
      <c r="F23" s="356"/>
      <c r="G23" s="356"/>
      <c r="H23" s="356"/>
      <c r="I23" s="356"/>
      <c r="J23" s="356"/>
      <c r="K23" s="356"/>
      <c r="L23" s="356"/>
      <c r="M23" s="356"/>
      <c r="N23" s="356"/>
      <c r="O23" s="356"/>
      <c r="P23" s="356"/>
      <c r="Q23" s="356"/>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56"/>
      <c r="AT23" s="356"/>
      <c r="AU23" s="356"/>
      <c r="AV23" s="356"/>
      <c r="AW23" s="356"/>
      <c r="AX23" s="356"/>
      <c r="AY23" s="356"/>
      <c r="AZ23" s="356"/>
      <c r="BA23" s="356"/>
      <c r="BB23" s="356"/>
      <c r="BC23" s="356"/>
      <c r="BD23" s="356"/>
      <c r="BE23" s="356"/>
      <c r="BF23" s="356"/>
      <c r="BG23" s="356"/>
      <c r="BH23" s="356"/>
      <c r="BI23" s="356"/>
      <c r="BJ23" s="356"/>
      <c r="BK23" s="356"/>
      <c r="BL23" s="356"/>
      <c r="BM23" s="356"/>
      <c r="BN23" s="356"/>
      <c r="BO23" s="356"/>
      <c r="BP23" s="356"/>
      <c r="BQ23" s="356"/>
      <c r="BR23" s="356"/>
      <c r="BS23" s="356"/>
      <c r="BT23" s="356"/>
      <c r="BU23" s="356"/>
      <c r="BV23" s="356"/>
      <c r="BW23" s="356"/>
      <c r="BX23" s="356"/>
      <c r="BY23" s="356"/>
      <c r="BZ23" s="356"/>
      <c r="CA23" s="356"/>
      <c r="CB23" s="356"/>
      <c r="CC23" s="356"/>
      <c r="CD23" s="356"/>
      <c r="CE23" s="356"/>
      <c r="CF23" s="356"/>
      <c r="CG23" s="356"/>
      <c r="CH23" s="356"/>
      <c r="CI23" s="1"/>
      <c r="CJ23" s="1"/>
      <c r="CK23" s="1"/>
      <c r="CL23" s="1"/>
      <c r="CM23" s="1"/>
      <c r="CN23" s="1"/>
      <c r="CO23" s="1"/>
      <c r="CP23" s="1"/>
    </row>
    <row r="24" ht="15.75" customHeight="1">
      <c r="A24" s="1" t="s">
        <v>129</v>
      </c>
      <c r="B24" s="356"/>
      <c r="C24" s="356"/>
      <c r="D24" s="356"/>
      <c r="E24" s="356"/>
      <c r="F24" s="356"/>
      <c r="G24" s="356"/>
      <c r="H24" s="356"/>
      <c r="I24" s="356"/>
      <c r="J24" s="356"/>
      <c r="K24" s="356"/>
      <c r="L24" s="356"/>
      <c r="M24" s="356"/>
      <c r="N24" s="356"/>
      <c r="O24" s="356"/>
      <c r="P24" s="356"/>
      <c r="Q24" s="356"/>
      <c r="R24" s="356"/>
      <c r="S24" s="356"/>
      <c r="T24" s="356"/>
      <c r="U24" s="356"/>
      <c r="V24" s="356">
        <f>'Portfolio Sales'!L57</f>
        <v>931000</v>
      </c>
      <c r="W24" s="356">
        <f>'Portfolio Sales'!M57</f>
        <v>0</v>
      </c>
      <c r="X24" s="356">
        <f>'Portfolio Sales'!N57</f>
        <v>246000</v>
      </c>
      <c r="Y24" s="356">
        <f>'Portfolio Sales'!O57</f>
        <v>530000</v>
      </c>
      <c r="Z24" s="356">
        <f>'Portfolio Sales'!P57</f>
        <v>270565.3706</v>
      </c>
      <c r="AA24" s="356">
        <f>'Portfolio Sales'!Q57</f>
        <v>287910.6199</v>
      </c>
      <c r="AB24" s="356">
        <f>'Portfolio Sales'!R57</f>
        <v>344392.6794</v>
      </c>
      <c r="AC24" s="356">
        <f>'Portfolio Sales'!S57</f>
        <v>408482.396</v>
      </c>
      <c r="AD24" s="356">
        <f>'Portfolio Sales'!T57</f>
        <v>453684.2236</v>
      </c>
      <c r="AE24" s="356">
        <f>'Portfolio Sales'!U57</f>
        <v>510494.3008</v>
      </c>
      <c r="AF24" s="356">
        <f>'Portfolio Sales'!V57</f>
        <v>533755.3453</v>
      </c>
      <c r="AG24" s="356">
        <f>'Portfolio Sales'!W57</f>
        <v>544797.3063</v>
      </c>
      <c r="AH24" s="356">
        <f>'Portfolio Sales'!X57</f>
        <v>555006.9829</v>
      </c>
      <c r="AI24" s="356">
        <f>'Portfolio Sales'!Y57</f>
        <v>593067.8147</v>
      </c>
      <c r="AJ24" s="356">
        <f>'Portfolio Sales'!Z57</f>
        <v>603306.594</v>
      </c>
      <c r="AK24" s="356">
        <f>'Portfolio Sales'!AA57</f>
        <v>625504.8996</v>
      </c>
      <c r="AL24" s="356">
        <f>'Portfolio Sales'!AB57</f>
        <v>655736.2498</v>
      </c>
      <c r="AM24" s="356">
        <f>'Portfolio Sales'!AC57</f>
        <v>460436.849</v>
      </c>
      <c r="AN24" s="356">
        <f>'Portfolio Sales'!AD57</f>
        <v>541381.7958</v>
      </c>
      <c r="AO24" s="356">
        <f>'Portfolio Sales'!AE57</f>
        <v>547225.9495</v>
      </c>
      <c r="AP24" s="356">
        <f>'Portfolio Sales'!AF57</f>
        <v>553138.5751</v>
      </c>
      <c r="AQ24" s="356">
        <f>'Portfolio Sales'!AG57</f>
        <v>559120.5073</v>
      </c>
      <c r="AR24" s="356">
        <f>'Portfolio Sales'!AH57</f>
        <v>565172.5912</v>
      </c>
      <c r="AS24" s="356">
        <f>'Portfolio Sales'!AI57</f>
        <v>571295.6826</v>
      </c>
      <c r="AT24" s="356">
        <f>'Portfolio Sales'!AJ57</f>
        <v>577490.6476</v>
      </c>
      <c r="AU24" s="356">
        <f>'Portfolio Sales'!AK57</f>
        <v>583758.3635</v>
      </c>
      <c r="AV24" s="356">
        <f>'Portfolio Sales'!AL57</f>
        <v>590099.7184</v>
      </c>
      <c r="AW24" s="356">
        <f>'Portfolio Sales'!AM57</f>
        <v>596515.6114</v>
      </c>
      <c r="AX24" s="356">
        <f>'Portfolio Sales'!AN57</f>
        <v>603006.9529</v>
      </c>
      <c r="AY24" s="356">
        <f>'Portfolio Sales'!AO57</f>
        <v>609526.2891</v>
      </c>
      <c r="AZ24" s="356">
        <f>'Portfolio Sales'!AP57</f>
        <v>615943.6353</v>
      </c>
      <c r="BA24" s="356">
        <f>'Portfolio Sales'!AQ57</f>
        <v>622433.6042</v>
      </c>
      <c r="BB24" s="356">
        <f>'Portfolio Sales'!AR57</f>
        <v>628997.0457</v>
      </c>
      <c r="BC24" s="356">
        <f>'Portfolio Sales'!AS57</f>
        <v>635634.8199</v>
      </c>
      <c r="BD24" s="356">
        <f>'Portfolio Sales'!AT57</f>
        <v>642347.7974</v>
      </c>
      <c r="BE24" s="356">
        <f>'Portfolio Sales'!AU57</f>
        <v>649136.8586</v>
      </c>
      <c r="BF24" s="356">
        <f>'Portfolio Sales'!AV57</f>
        <v>656002.8949</v>
      </c>
      <c r="BG24" s="356">
        <f>'Portfolio Sales'!AW57</f>
        <v>662946.8079</v>
      </c>
      <c r="BH24" s="356">
        <f>'Portfolio Sales'!AX57</f>
        <v>669969.5102</v>
      </c>
      <c r="BI24" s="356">
        <f>'Portfolio Sales'!AY57</f>
        <v>677071.9251</v>
      </c>
      <c r="BJ24" s="356">
        <f>'Portfolio Sales'!AZ57</f>
        <v>684254.9869</v>
      </c>
      <c r="BK24" s="356">
        <f>'Portfolio Sales'!BA57</f>
        <v>684952.0552</v>
      </c>
      <c r="BL24" s="356">
        <f>'Portfolio Sales'!BB57</f>
        <v>693849.9031</v>
      </c>
      <c r="BM24" s="356">
        <f>'Portfolio Sales'!BC57</f>
        <v>652305.3508</v>
      </c>
      <c r="BN24" s="356">
        <f>'Portfolio Sales'!BD57</f>
        <v>660903.8118</v>
      </c>
      <c r="BO24" s="356">
        <f>'Portfolio Sales'!BE57</f>
        <v>669654.6049</v>
      </c>
      <c r="BP24" s="356">
        <f>'Portfolio Sales'!BF57</f>
        <v>678561.2769</v>
      </c>
      <c r="BQ24" s="356">
        <f>'Portfolio Sales'!BG57</f>
        <v>687627.4739</v>
      </c>
      <c r="BR24" s="356">
        <f>'Portfolio Sales'!BH57</f>
        <v>696856.9442</v>
      </c>
      <c r="BS24" s="356">
        <f>'Portfolio Sales'!BI57</f>
        <v>706253.5413</v>
      </c>
      <c r="BT24" s="356">
        <f>'Portfolio Sales'!BJ57</f>
        <v>715821.2273</v>
      </c>
      <c r="BU24" s="356">
        <f>'Portfolio Sales'!BK57</f>
        <v>725564.0762</v>
      </c>
      <c r="BV24" s="356">
        <f>'Portfolio Sales'!BL57</f>
        <v>735486.2772</v>
      </c>
      <c r="BW24" s="356">
        <f>'Portfolio Sales'!BM57</f>
        <v>756478.3279</v>
      </c>
      <c r="BX24" s="356">
        <f>'Portfolio Sales'!BN57</f>
        <v>759905.8606</v>
      </c>
      <c r="BY24" s="356">
        <f>'Portfolio Sales'!BO57</f>
        <v>711039.9502</v>
      </c>
      <c r="BZ24" s="356">
        <f>'Portfolio Sales'!BP57</f>
        <v>714150.4546</v>
      </c>
      <c r="CA24" s="356">
        <f>'Portfolio Sales'!BQ57</f>
        <v>717408.258</v>
      </c>
      <c r="CB24" s="356">
        <f>'Portfolio Sales'!BR57</f>
        <v>720812.1316</v>
      </c>
      <c r="CC24" s="356">
        <f>'Portfolio Sales'!BS57</f>
        <v>724360.9096</v>
      </c>
      <c r="CD24" s="356">
        <f>'Portfolio Sales'!BT57</f>
        <v>728053.488</v>
      </c>
      <c r="CE24" s="356">
        <f>'Portfolio Sales'!BU57</f>
        <v>731888.8235</v>
      </c>
      <c r="CF24" s="356">
        <f>'Portfolio Sales'!BV57</f>
        <v>735865.9319</v>
      </c>
      <c r="CG24" s="356">
        <f>'Portfolio Sales'!BW57</f>
        <v>739983.8871</v>
      </c>
      <c r="CH24" s="356">
        <f>'Portfolio Sales'!BX57</f>
        <v>744241.8204</v>
      </c>
      <c r="CI24" s="1"/>
      <c r="CJ24" s="1"/>
      <c r="CK24" s="1"/>
      <c r="CL24" s="1"/>
      <c r="CM24" s="1"/>
      <c r="CN24" s="1"/>
      <c r="CO24" s="1"/>
      <c r="CP24" s="1"/>
    </row>
    <row r="25" ht="15.75" customHeight="1">
      <c r="A25" s="1" t="s">
        <v>85</v>
      </c>
      <c r="B25" s="356"/>
      <c r="C25" s="356"/>
      <c r="D25" s="356"/>
      <c r="E25" s="356"/>
      <c r="F25" s="356"/>
      <c r="G25" s="356"/>
      <c r="H25" s="356"/>
      <c r="I25" s="356"/>
      <c r="J25" s="356"/>
      <c r="K25" s="356"/>
      <c r="L25" s="356"/>
      <c r="M25" s="356"/>
      <c r="N25" s="356"/>
      <c r="O25" s="356"/>
      <c r="P25" s="356"/>
      <c r="Q25" s="356"/>
      <c r="R25" s="356"/>
      <c r="S25" s="356"/>
      <c r="T25" s="356"/>
      <c r="U25" s="356"/>
      <c r="V25" s="356">
        <f>'Portfolio Sales'!L58</f>
        <v>31000</v>
      </c>
      <c r="W25" s="356">
        <f>'Portfolio Sales'!M58</f>
        <v>144000</v>
      </c>
      <c r="X25" s="356">
        <f>'Portfolio Sales'!N58</f>
        <v>0</v>
      </c>
      <c r="Y25" s="356">
        <f>'Portfolio Sales'!O58</f>
        <v>254166</v>
      </c>
      <c r="Z25" s="356">
        <f>'Portfolio Sales'!P58</f>
        <v>199703.0117</v>
      </c>
      <c r="AA25" s="356">
        <f>'Portfolio Sales'!Q58</f>
        <v>230328.4959</v>
      </c>
      <c r="AB25" s="356">
        <f>'Portfolio Sales'!R58</f>
        <v>284123.9605</v>
      </c>
      <c r="AC25" s="356">
        <f>'Portfolio Sales'!S58</f>
        <v>345638.9504</v>
      </c>
      <c r="AD25" s="356">
        <f>'Portfolio Sales'!T58</f>
        <v>393988.931</v>
      </c>
      <c r="AE25" s="356">
        <f>'Portfolio Sales'!U58</f>
        <v>423336.7373</v>
      </c>
      <c r="AF25" s="356">
        <f>'Portfolio Sales'!V58</f>
        <v>419379.1998</v>
      </c>
      <c r="AG25" s="356">
        <f>'Portfolio Sales'!W58</f>
        <v>441026.3908</v>
      </c>
      <c r="AH25" s="356">
        <f>'Portfolio Sales'!X58</f>
        <v>449291.3671</v>
      </c>
      <c r="AI25" s="356">
        <f>'Portfolio Sales'!Y58</f>
        <v>465981.8544</v>
      </c>
      <c r="AJ25" s="356">
        <f>'Portfolio Sales'!Z58</f>
        <v>485588.2342</v>
      </c>
      <c r="AK25" s="356">
        <f>'Portfolio Sales'!AA58</f>
        <v>503455.1631</v>
      </c>
      <c r="AL25" s="356">
        <f>'Portfolio Sales'!AB58</f>
        <v>527787.7133</v>
      </c>
      <c r="AM25" s="356">
        <f>'Portfolio Sales'!AC58</f>
        <v>370595.5126</v>
      </c>
      <c r="AN25" s="356">
        <f>'Portfolio Sales'!AD58</f>
        <v>435746.3234</v>
      </c>
      <c r="AO25" s="356">
        <f>'Portfolio Sales'!AE58</f>
        <v>440450.1545</v>
      </c>
      <c r="AP25" s="356">
        <f>'Portfolio Sales'!AF58</f>
        <v>445209.097</v>
      </c>
      <c r="AQ25" s="356">
        <f>'Portfolio Sales'!AG58</f>
        <v>450023.8229</v>
      </c>
      <c r="AR25" s="356">
        <f>'Portfolio Sales'!AH58</f>
        <v>454895.0125</v>
      </c>
      <c r="AS25" s="356">
        <f>'Portfolio Sales'!AI58</f>
        <v>459823.3543</v>
      </c>
      <c r="AT25" s="356">
        <f>'Portfolio Sales'!AJ58</f>
        <v>464809.5456</v>
      </c>
      <c r="AU25" s="356">
        <f>'Portfolio Sales'!AK58</f>
        <v>469854.2926</v>
      </c>
      <c r="AV25" s="356">
        <f>'Portfolio Sales'!AL58</f>
        <v>474958.3099</v>
      </c>
      <c r="AW25" s="356">
        <f>'Portfolio Sales'!AM58</f>
        <v>480122.3213</v>
      </c>
      <c r="AX25" s="356">
        <f>'Portfolio Sales'!AN58</f>
        <v>485347.0597</v>
      </c>
      <c r="AY25" s="356">
        <f>'Portfolio Sales'!AO58</f>
        <v>490594.3302</v>
      </c>
      <c r="AZ25" s="356">
        <f>'Portfolio Sales'!AP58</f>
        <v>495759.5114</v>
      </c>
      <c r="BA25" s="356">
        <f>'Portfolio Sales'!AQ58</f>
        <v>500983.1448</v>
      </c>
      <c r="BB25" s="356">
        <f>'Portfolio Sales'!AR58</f>
        <v>506265.9148</v>
      </c>
      <c r="BC25" s="356">
        <f>'Portfolio Sales'!AS58</f>
        <v>511608.5136</v>
      </c>
      <c r="BD25" s="356">
        <f>'Portfolio Sales'!AT58</f>
        <v>517011.6418</v>
      </c>
      <c r="BE25" s="356">
        <f>'Portfolio Sales'!AU58</f>
        <v>522476.0082</v>
      </c>
      <c r="BF25" s="356">
        <f>'Portfolio Sales'!AV58</f>
        <v>528002.33</v>
      </c>
      <c r="BG25" s="356">
        <f>'Portfolio Sales'!AW58</f>
        <v>533591.3332</v>
      </c>
      <c r="BH25" s="356">
        <f>'Portfolio Sales'!AX58</f>
        <v>539243.7521</v>
      </c>
      <c r="BI25" s="356">
        <f>'Portfolio Sales'!AY58</f>
        <v>544960.33</v>
      </c>
      <c r="BJ25" s="356">
        <f>'Portfolio Sales'!AZ58</f>
        <v>550741.8187</v>
      </c>
      <c r="BK25" s="356">
        <f>'Portfolio Sales'!BA58</f>
        <v>551302.8737</v>
      </c>
      <c r="BL25" s="356">
        <f>'Portfolio Sales'!BB58</f>
        <v>558464.5562</v>
      </c>
      <c r="BM25" s="356">
        <f>'Portfolio Sales'!BC58</f>
        <v>525026.258</v>
      </c>
      <c r="BN25" s="356">
        <f>'Portfolio Sales'!BD58</f>
        <v>531946.9705</v>
      </c>
      <c r="BO25" s="356">
        <f>'Portfolio Sales'!BE58</f>
        <v>538990.2917</v>
      </c>
      <c r="BP25" s="356">
        <f>'Portfolio Sales'!BF58</f>
        <v>546159.0765</v>
      </c>
      <c r="BQ25" s="356">
        <f>'Portfolio Sales'!BG58</f>
        <v>553456.2595</v>
      </c>
      <c r="BR25" s="356">
        <f>'Portfolio Sales'!BH58</f>
        <v>560884.8575</v>
      </c>
      <c r="BS25" s="356">
        <f>'Portfolio Sales'!BI58</f>
        <v>568447.9723</v>
      </c>
      <c r="BT25" s="356">
        <f>'Portfolio Sales'!BJ58</f>
        <v>576148.7927</v>
      </c>
      <c r="BU25" s="356">
        <f>'Portfolio Sales'!BK58</f>
        <v>583990.5979</v>
      </c>
      <c r="BV25" s="356">
        <f>'Portfolio Sales'!BL58</f>
        <v>591976.7597</v>
      </c>
      <c r="BW25" s="356">
        <f>'Portfolio Sales'!BM58</f>
        <v>608872.8005</v>
      </c>
      <c r="BX25" s="356">
        <f>'Portfolio Sales'!BN58</f>
        <v>611631.5463</v>
      </c>
      <c r="BY25" s="356">
        <f>'Portfolio Sales'!BO58</f>
        <v>572300.4477</v>
      </c>
      <c r="BZ25" s="356">
        <f>'Portfolio Sales'!BP58</f>
        <v>574804.0245</v>
      </c>
      <c r="CA25" s="356">
        <f>'Portfolio Sales'!BQ58</f>
        <v>577426.1589</v>
      </c>
      <c r="CB25" s="356">
        <f>'Portfolio Sales'!BR58</f>
        <v>580165.862</v>
      </c>
      <c r="CC25" s="356">
        <f>'Portfolio Sales'!BS58</f>
        <v>583022.1955</v>
      </c>
      <c r="CD25" s="356">
        <f>'Portfolio Sales'!BT58</f>
        <v>585994.2709</v>
      </c>
      <c r="CE25" s="356">
        <f>'Portfolio Sales'!BU58</f>
        <v>589081.2482</v>
      </c>
      <c r="CF25" s="356">
        <f>'Portfolio Sales'!BV58</f>
        <v>592282.3354</v>
      </c>
      <c r="CG25" s="356">
        <f>'Portfolio Sales'!BW58</f>
        <v>595596.7872</v>
      </c>
      <c r="CH25" s="356">
        <f>'Portfolio Sales'!BX58</f>
        <v>599023.9042</v>
      </c>
      <c r="CI25" s="1"/>
      <c r="CJ25" s="1"/>
      <c r="CK25" s="1"/>
      <c r="CL25" s="1"/>
      <c r="CM25" s="1"/>
      <c r="CN25" s="1"/>
      <c r="CO25" s="1"/>
      <c r="CP25" s="1"/>
    </row>
    <row r="26" ht="15.75" customHeight="1">
      <c r="A26" s="1" t="s">
        <v>130</v>
      </c>
      <c r="B26" s="356"/>
      <c r="C26" s="356"/>
      <c r="D26" s="356"/>
      <c r="E26" s="356"/>
      <c r="F26" s="356"/>
      <c r="G26" s="356"/>
      <c r="H26" s="356"/>
      <c r="I26" s="356"/>
      <c r="J26" s="356"/>
      <c r="K26" s="356"/>
      <c r="L26" s="356"/>
      <c r="M26" s="356"/>
      <c r="N26" s="356"/>
      <c r="O26" s="356"/>
      <c r="P26" s="356"/>
      <c r="Q26" s="356"/>
      <c r="R26" s="356"/>
      <c r="S26" s="356"/>
      <c r="T26" s="356"/>
      <c r="U26" s="356"/>
      <c r="V26" s="356">
        <f>'Portfolio Sales'!L59</f>
        <v>304000</v>
      </c>
      <c r="W26" s="356">
        <f>'Portfolio Sales'!M59</f>
        <v>8500</v>
      </c>
      <c r="X26" s="356">
        <f>'Portfolio Sales'!N59</f>
        <v>0</v>
      </c>
      <c r="Y26" s="356">
        <f>'Portfolio Sales'!O59</f>
        <v>98500</v>
      </c>
      <c r="Z26" s="356">
        <f>'Portfolio Sales'!P59</f>
        <v>96630.48951</v>
      </c>
      <c r="AA26" s="356">
        <f>'Portfolio Sales'!Q59</f>
        <v>122362.0135</v>
      </c>
      <c r="AB26" s="356">
        <f>'Portfolio Sales'!R59</f>
        <v>146366.8888</v>
      </c>
      <c r="AC26" s="356">
        <f>'Portfolio Sales'!S59</f>
        <v>178056.429</v>
      </c>
      <c r="AD26" s="356">
        <f>'Portfolio Sales'!T59</f>
        <v>202963.9948</v>
      </c>
      <c r="AE26" s="356">
        <f>'Portfolio Sales'!U59</f>
        <v>211668.3686</v>
      </c>
      <c r="AF26" s="356">
        <f>'Portfolio Sales'!V59</f>
        <v>216043.8302</v>
      </c>
      <c r="AG26" s="356">
        <f>'Portfolio Sales'!W59</f>
        <v>220513.1954</v>
      </c>
      <c r="AH26" s="356">
        <f>'Portfolio Sales'!X59</f>
        <v>224645.6835</v>
      </c>
      <c r="AI26" s="356">
        <f>'Portfolio Sales'!Y59</f>
        <v>240051.2583</v>
      </c>
      <c r="AJ26" s="356">
        <f>'Portfolio Sales'!Z59</f>
        <v>206007.1297</v>
      </c>
      <c r="AK26" s="356">
        <f>'Portfolio Sales'!AA59</f>
        <v>213587.0389</v>
      </c>
      <c r="AL26" s="356">
        <f>'Portfolio Sales'!AB59</f>
        <v>223909.939</v>
      </c>
      <c r="AM26" s="356">
        <f>'Portfolio Sales'!AC59</f>
        <v>157222.3387</v>
      </c>
      <c r="AN26" s="356">
        <f>'Portfolio Sales'!AD59</f>
        <v>184862.0766</v>
      </c>
      <c r="AO26" s="356">
        <f>'Portfolio Sales'!AE59</f>
        <v>186857.6413</v>
      </c>
      <c r="AP26" s="356">
        <f>'Portfolio Sales'!AF59</f>
        <v>188876.5866</v>
      </c>
      <c r="AQ26" s="356">
        <f>'Portfolio Sales'!AG59</f>
        <v>190919.1976</v>
      </c>
      <c r="AR26" s="356">
        <f>'Portfolio Sales'!AH59</f>
        <v>192985.7629</v>
      </c>
      <c r="AS26" s="356">
        <f>'Portfolio Sales'!AI59</f>
        <v>195076.5745</v>
      </c>
      <c r="AT26" s="356">
        <f>'Portfolio Sales'!AJ59</f>
        <v>197191.9285</v>
      </c>
      <c r="AU26" s="356">
        <f>'Portfolio Sales'!AK59</f>
        <v>199332.1241</v>
      </c>
      <c r="AV26" s="356">
        <f>'Portfolio Sales'!AL59</f>
        <v>201497.4648</v>
      </c>
      <c r="AW26" s="356">
        <f>'Portfolio Sales'!AM59</f>
        <v>203688.2575</v>
      </c>
      <c r="AX26" s="356">
        <f>'Portfolio Sales'!AN59</f>
        <v>205904.8132</v>
      </c>
      <c r="AY26" s="356">
        <f>'Portfolio Sales'!AO59</f>
        <v>208130.928</v>
      </c>
      <c r="AZ26" s="356">
        <f>'Portfolio Sales'!AP59</f>
        <v>210322.2169</v>
      </c>
      <c r="BA26" s="356">
        <f>'Portfolio Sales'!AQ59</f>
        <v>212538.3039</v>
      </c>
      <c r="BB26" s="356">
        <f>'Portfolio Sales'!AR59</f>
        <v>214779.479</v>
      </c>
      <c r="BC26" s="356">
        <f>'Portfolio Sales'!AS59</f>
        <v>217046.0361</v>
      </c>
      <c r="BD26" s="356">
        <f>'Portfolio Sales'!AT59</f>
        <v>219338.2723</v>
      </c>
      <c r="BE26" s="356">
        <f>'Portfolio Sales'!AU59</f>
        <v>221656.4883</v>
      </c>
      <c r="BF26" s="356">
        <f>'Portfolio Sales'!AV59</f>
        <v>224000.9885</v>
      </c>
      <c r="BG26" s="356">
        <f>'Portfolio Sales'!AW59</f>
        <v>226372.0808</v>
      </c>
      <c r="BH26" s="356">
        <f>'Portfolio Sales'!AX59</f>
        <v>228770.0767</v>
      </c>
      <c r="BI26" s="356">
        <f>'Portfolio Sales'!AY59</f>
        <v>231195.2915</v>
      </c>
      <c r="BJ26" s="356">
        <f>'Portfolio Sales'!AZ59</f>
        <v>233648.0443</v>
      </c>
      <c r="BK26" s="356">
        <f>'Portfolio Sales'!BA59</f>
        <v>233886.0676</v>
      </c>
      <c r="BL26" s="356">
        <f>'Portfolio Sales'!BB59</f>
        <v>236924.3572</v>
      </c>
      <c r="BM26" s="356">
        <f>'Portfolio Sales'!BC59</f>
        <v>222738.4125</v>
      </c>
      <c r="BN26" s="356">
        <f>'Portfolio Sales'!BD59</f>
        <v>225674.4723</v>
      </c>
      <c r="BO26" s="356">
        <f>'Portfolio Sales'!BE59</f>
        <v>228662.548</v>
      </c>
      <c r="BP26" s="356">
        <f>'Portfolio Sales'!BF59</f>
        <v>231703.8507</v>
      </c>
      <c r="BQ26" s="356">
        <f>'Portfolio Sales'!BG59</f>
        <v>234799.6252</v>
      </c>
      <c r="BR26" s="356">
        <f>'Portfolio Sales'!BH59</f>
        <v>237951.1517</v>
      </c>
      <c r="BS26" s="356">
        <f>'Portfolio Sales'!BI59</f>
        <v>241159.7458</v>
      </c>
      <c r="BT26" s="356">
        <f>'Portfolio Sales'!BJ59</f>
        <v>244426.7606</v>
      </c>
      <c r="BU26" s="356">
        <f>'Portfolio Sales'!BK59</f>
        <v>247753.587</v>
      </c>
      <c r="BV26" s="356">
        <f>'Portfolio Sales'!BL59</f>
        <v>251141.6556</v>
      </c>
      <c r="BW26" s="356">
        <f>'Portfolio Sales'!BM59</f>
        <v>258309.6729</v>
      </c>
      <c r="BX26" s="356">
        <f>'Portfolio Sales'!BN59</f>
        <v>259480.05</v>
      </c>
      <c r="BY26" s="356">
        <f>'Portfolio Sales'!BO59</f>
        <v>242794.1293</v>
      </c>
      <c r="BZ26" s="356">
        <f>'Portfolio Sales'!BP59</f>
        <v>243856.2528</v>
      </c>
      <c r="CA26" s="356">
        <f>'Portfolio Sales'!BQ59</f>
        <v>244968.6735</v>
      </c>
      <c r="CB26" s="356">
        <f>'Portfolio Sales'!BR59</f>
        <v>246130.9718</v>
      </c>
      <c r="CC26" s="356">
        <f>'Portfolio Sales'!BS59</f>
        <v>247342.7496</v>
      </c>
      <c r="CD26" s="356">
        <f>'Portfolio Sales'!BT59</f>
        <v>248603.6301</v>
      </c>
      <c r="CE26" s="356">
        <f>'Portfolio Sales'!BU59</f>
        <v>249913.2568</v>
      </c>
      <c r="CF26" s="356">
        <f>'Portfolio Sales'!BV59</f>
        <v>251271.2938</v>
      </c>
      <c r="CG26" s="356">
        <f>'Portfolio Sales'!BW59</f>
        <v>252677.4249</v>
      </c>
      <c r="CH26" s="356">
        <f>'Portfolio Sales'!BX59</f>
        <v>254131.3533</v>
      </c>
      <c r="CI26" s="1"/>
      <c r="CJ26" s="1"/>
      <c r="CK26" s="1"/>
      <c r="CL26" s="1"/>
      <c r="CM26" s="1"/>
      <c r="CN26" s="1"/>
      <c r="CO26" s="1"/>
      <c r="CP26" s="1"/>
    </row>
    <row r="27" ht="15.75" customHeight="1">
      <c r="A27" s="1" t="s">
        <v>89</v>
      </c>
      <c r="B27" s="356"/>
      <c r="C27" s="356"/>
      <c r="D27" s="356"/>
      <c r="E27" s="356"/>
      <c r="F27" s="356"/>
      <c r="G27" s="356"/>
      <c r="H27" s="356"/>
      <c r="I27" s="356"/>
      <c r="J27" s="356"/>
      <c r="K27" s="356"/>
      <c r="L27" s="356"/>
      <c r="M27" s="356"/>
      <c r="N27" s="356"/>
      <c r="O27" s="356"/>
      <c r="P27" s="356"/>
      <c r="Q27" s="356"/>
      <c r="R27" s="356"/>
      <c r="S27" s="356"/>
      <c r="T27" s="356"/>
      <c r="U27" s="356"/>
      <c r="V27" s="356">
        <f>'Portfolio Sales'!L60</f>
        <v>0</v>
      </c>
      <c r="W27" s="356">
        <f>'Portfolio Sales'!M60</f>
        <v>60000</v>
      </c>
      <c r="X27" s="356">
        <f>'Portfolio Sales'!N60</f>
        <v>17500</v>
      </c>
      <c r="Y27" s="356">
        <f>'Portfolio Sales'!O60</f>
        <v>174030</v>
      </c>
      <c r="Z27" s="356">
        <f>'Portfolio Sales'!P60</f>
        <v>45094.22844</v>
      </c>
      <c r="AA27" s="356">
        <f>'Portfolio Sales'!Q60</f>
        <v>43186.59299</v>
      </c>
      <c r="AB27" s="356">
        <f>'Portfolio Sales'!R60</f>
        <v>51658.90191</v>
      </c>
      <c r="AC27" s="356">
        <f>'Portfolio Sales'!S60</f>
        <v>62843.44553</v>
      </c>
      <c r="AD27" s="356">
        <f>'Portfolio Sales'!T60</f>
        <v>71634.3511</v>
      </c>
      <c r="AE27" s="356">
        <f>'Portfolio Sales'!U60</f>
        <v>62255.40254</v>
      </c>
      <c r="AF27" s="356">
        <f>'Portfolio Sales'!V60</f>
        <v>63542.30301</v>
      </c>
      <c r="AG27" s="356">
        <f>'Portfolio Sales'!W60</f>
        <v>64856.82218</v>
      </c>
      <c r="AH27" s="356">
        <f>'Portfolio Sales'!X60</f>
        <v>66072.25987</v>
      </c>
      <c r="AI27" s="356">
        <f>'Portfolio Sales'!Y60</f>
        <v>70603.31128</v>
      </c>
      <c r="AJ27" s="356">
        <f>'Portfolio Sales'!Z60</f>
        <v>103003.5648</v>
      </c>
      <c r="AK27" s="356">
        <f>'Portfolio Sales'!AA60</f>
        <v>106793.5194</v>
      </c>
      <c r="AL27" s="356">
        <f>'Portfolio Sales'!AB60</f>
        <v>111954.9695</v>
      </c>
      <c r="AM27" s="356">
        <f>'Portfolio Sales'!AC60</f>
        <v>78611.16934</v>
      </c>
      <c r="AN27" s="356">
        <f>'Portfolio Sales'!AD60</f>
        <v>92431.03831</v>
      </c>
      <c r="AO27" s="356">
        <f>'Portfolio Sales'!AE60</f>
        <v>93428.82064</v>
      </c>
      <c r="AP27" s="356">
        <f>'Portfolio Sales'!AF60</f>
        <v>94438.29331</v>
      </c>
      <c r="AQ27" s="356">
        <f>'Portfolio Sales'!AG60</f>
        <v>95459.59881</v>
      </c>
      <c r="AR27" s="356">
        <f>'Portfolio Sales'!AH60</f>
        <v>96492.88143</v>
      </c>
      <c r="AS27" s="356">
        <f>'Portfolio Sales'!AI60</f>
        <v>97538.28727</v>
      </c>
      <c r="AT27" s="356">
        <f>'Portfolio Sales'!AJ60</f>
        <v>98595.96423</v>
      </c>
      <c r="AU27" s="356">
        <f>'Portfolio Sales'!AK60</f>
        <v>99666.06206</v>
      </c>
      <c r="AV27" s="356">
        <f>'Portfolio Sales'!AL60</f>
        <v>100748.7324</v>
      </c>
      <c r="AW27" s="356">
        <f>'Portfolio Sales'!AM60</f>
        <v>101844.1288</v>
      </c>
      <c r="AX27" s="356">
        <f>'Portfolio Sales'!AN60</f>
        <v>102952.4066</v>
      </c>
      <c r="AY27" s="356">
        <f>'Portfolio Sales'!AO60</f>
        <v>104065.464</v>
      </c>
      <c r="AZ27" s="356">
        <f>'Portfolio Sales'!AP60</f>
        <v>105161.1085</v>
      </c>
      <c r="BA27" s="356">
        <f>'Portfolio Sales'!AQ60</f>
        <v>106269.1519</v>
      </c>
      <c r="BB27" s="356">
        <f>'Portfolio Sales'!AR60</f>
        <v>107389.7395</v>
      </c>
      <c r="BC27" s="356">
        <f>'Portfolio Sales'!AS60</f>
        <v>108523.018</v>
      </c>
      <c r="BD27" s="356">
        <f>'Portfolio Sales'!AT60</f>
        <v>109669.1361</v>
      </c>
      <c r="BE27" s="356">
        <f>'Portfolio Sales'!AU60</f>
        <v>110828.2442</v>
      </c>
      <c r="BF27" s="356">
        <f>'Portfolio Sales'!AV60</f>
        <v>112000.4943</v>
      </c>
      <c r="BG27" s="356">
        <f>'Portfolio Sales'!AW60</f>
        <v>113186.0404</v>
      </c>
      <c r="BH27" s="356">
        <f>'Portfolio Sales'!AX60</f>
        <v>114385.0383</v>
      </c>
      <c r="BI27" s="356">
        <f>'Portfolio Sales'!AY60</f>
        <v>115597.6458</v>
      </c>
      <c r="BJ27" s="356">
        <f>'Portfolio Sales'!AZ60</f>
        <v>116824.0221</v>
      </c>
      <c r="BK27" s="356">
        <f>'Portfolio Sales'!BA60</f>
        <v>116943.0338</v>
      </c>
      <c r="BL27" s="356">
        <f>'Portfolio Sales'!BB60</f>
        <v>118462.1786</v>
      </c>
      <c r="BM27" s="356">
        <f>'Portfolio Sales'!BC60</f>
        <v>111369.2062</v>
      </c>
      <c r="BN27" s="356">
        <f>'Portfolio Sales'!BD60</f>
        <v>112837.2362</v>
      </c>
      <c r="BO27" s="356">
        <f>'Portfolio Sales'!BE60</f>
        <v>114331.274</v>
      </c>
      <c r="BP27" s="356">
        <f>'Portfolio Sales'!BF60</f>
        <v>115851.9253</v>
      </c>
      <c r="BQ27" s="356">
        <f>'Portfolio Sales'!BG60</f>
        <v>117399.8126</v>
      </c>
      <c r="BR27" s="356">
        <f>'Portfolio Sales'!BH60</f>
        <v>118975.5758</v>
      </c>
      <c r="BS27" s="356">
        <f>'Portfolio Sales'!BI60</f>
        <v>120579.8729</v>
      </c>
      <c r="BT27" s="356">
        <f>'Portfolio Sales'!BJ60</f>
        <v>122213.3803</v>
      </c>
      <c r="BU27" s="356">
        <f>'Portfolio Sales'!BK60</f>
        <v>123876.7935</v>
      </c>
      <c r="BV27" s="356">
        <f>'Portfolio Sales'!BL60</f>
        <v>125570.8278</v>
      </c>
      <c r="BW27" s="356">
        <f>'Portfolio Sales'!BM60</f>
        <v>129154.8365</v>
      </c>
      <c r="BX27" s="356">
        <f>'Portfolio Sales'!BN60</f>
        <v>129740.025</v>
      </c>
      <c r="BY27" s="356">
        <f>'Portfolio Sales'!BO60</f>
        <v>121397.0647</v>
      </c>
      <c r="BZ27" s="356">
        <f>'Portfolio Sales'!BP60</f>
        <v>121928.1264</v>
      </c>
      <c r="CA27" s="356">
        <f>'Portfolio Sales'!BQ60</f>
        <v>122484.3367</v>
      </c>
      <c r="CB27" s="356">
        <f>'Portfolio Sales'!BR60</f>
        <v>123065.4859</v>
      </c>
      <c r="CC27" s="356">
        <f>'Portfolio Sales'!BS60</f>
        <v>123671.3748</v>
      </c>
      <c r="CD27" s="356">
        <f>'Portfolio Sales'!BT60</f>
        <v>124301.815</v>
      </c>
      <c r="CE27" s="356">
        <f>'Portfolio Sales'!BU60</f>
        <v>124956.6284</v>
      </c>
      <c r="CF27" s="356">
        <f>'Portfolio Sales'!BV60</f>
        <v>125635.6469</v>
      </c>
      <c r="CG27" s="356">
        <f>'Portfolio Sales'!BW60</f>
        <v>126338.7124</v>
      </c>
      <c r="CH27" s="356">
        <f>'Portfolio Sales'!BX60</f>
        <v>127065.6767</v>
      </c>
      <c r="CI27" s="1"/>
      <c r="CJ27" s="1"/>
      <c r="CK27" s="1"/>
      <c r="CL27" s="1"/>
      <c r="CM27" s="1"/>
      <c r="CN27" s="1"/>
      <c r="CO27" s="1"/>
      <c r="CP27" s="1"/>
    </row>
    <row r="28" ht="15.75" customHeight="1">
      <c r="A28" s="1" t="s">
        <v>94</v>
      </c>
      <c r="B28" s="356"/>
      <c r="C28" s="356"/>
      <c r="D28" s="356"/>
      <c r="E28" s="356"/>
      <c r="F28" s="356"/>
      <c r="G28" s="356"/>
      <c r="H28" s="356"/>
      <c r="I28" s="356"/>
      <c r="J28" s="356"/>
      <c r="K28" s="356"/>
      <c r="L28" s="356"/>
      <c r="M28" s="356"/>
      <c r="N28" s="356"/>
      <c r="O28" s="356"/>
      <c r="P28" s="356"/>
      <c r="Q28" s="356"/>
      <c r="R28" s="356"/>
      <c r="S28" s="356"/>
      <c r="T28" s="356"/>
      <c r="U28" s="356"/>
      <c r="V28" s="356">
        <f>'Portfolio Sales'!L61</f>
        <v>30000</v>
      </c>
      <c r="W28" s="356">
        <f>'Portfolio Sales'!M61</f>
        <v>25000</v>
      </c>
      <c r="X28" s="356">
        <f>'Portfolio Sales'!N61</f>
        <v>106000</v>
      </c>
      <c r="Y28" s="356">
        <f>'Portfolio Sales'!O61</f>
        <v>2500</v>
      </c>
      <c r="Z28" s="356">
        <f>'Portfolio Sales'!P61</f>
        <v>32210.16317</v>
      </c>
      <c r="AA28" s="356">
        <f>'Portfolio Sales'!Q61</f>
        <v>35988.82749</v>
      </c>
      <c r="AB28" s="356">
        <f>'Portfolio Sales'!R61</f>
        <v>34439.26794</v>
      </c>
      <c r="AC28" s="356">
        <f>'Portfolio Sales'!S61</f>
        <v>52369.53795</v>
      </c>
      <c r="AD28" s="356">
        <f>'Portfolio Sales'!T61</f>
        <v>71634.3511</v>
      </c>
      <c r="AE28" s="356">
        <f>'Portfolio Sales'!U61</f>
        <v>37353.24152</v>
      </c>
      <c r="AF28" s="356">
        <f>'Portfolio Sales'!V61</f>
        <v>38125.3818</v>
      </c>
      <c r="AG28" s="356">
        <f>'Portfolio Sales'!W61</f>
        <v>25942.72887</v>
      </c>
      <c r="AH28" s="356">
        <f>'Portfolio Sales'!X61</f>
        <v>26428.90395</v>
      </c>
      <c r="AI28" s="356">
        <f>'Portfolio Sales'!Y61</f>
        <v>42361.98677</v>
      </c>
      <c r="AJ28" s="356">
        <f>'Portfolio Sales'!Z61</f>
        <v>73573.97488</v>
      </c>
      <c r="AK28" s="356">
        <f>'Portfolio Sales'!AA61</f>
        <v>76281.08532</v>
      </c>
      <c r="AL28" s="356">
        <f>'Portfolio Sales'!AB61</f>
        <v>79967.83534</v>
      </c>
      <c r="AM28" s="356">
        <f>'Portfolio Sales'!AC61</f>
        <v>56150.83524</v>
      </c>
      <c r="AN28" s="356">
        <f>'Portfolio Sales'!AD61</f>
        <v>66022.17022</v>
      </c>
      <c r="AO28" s="356">
        <f>'Portfolio Sales'!AE61</f>
        <v>66734.87189</v>
      </c>
      <c r="AP28" s="356">
        <f>'Portfolio Sales'!AF61</f>
        <v>67455.92379</v>
      </c>
      <c r="AQ28" s="356">
        <f>'Portfolio Sales'!AG61</f>
        <v>68185.42772</v>
      </c>
      <c r="AR28" s="356">
        <f>'Portfolio Sales'!AH61</f>
        <v>68923.48674</v>
      </c>
      <c r="AS28" s="356">
        <f>'Portfolio Sales'!AI61</f>
        <v>69670.20519</v>
      </c>
      <c r="AT28" s="356">
        <f>'Portfolio Sales'!AJ61</f>
        <v>70425.68873</v>
      </c>
      <c r="AU28" s="356">
        <f>'Portfolio Sales'!AK61</f>
        <v>71190.04433</v>
      </c>
      <c r="AV28" s="356">
        <f>'Portfolio Sales'!AL61</f>
        <v>71963.38029</v>
      </c>
      <c r="AW28" s="356">
        <f>'Portfolio Sales'!AM61</f>
        <v>72745.80626</v>
      </c>
      <c r="AX28" s="356">
        <f>'Portfolio Sales'!AN61</f>
        <v>73537.43329</v>
      </c>
      <c r="AY28" s="356">
        <f>'Portfolio Sales'!AO61</f>
        <v>74332.47428</v>
      </c>
      <c r="AZ28" s="356">
        <f>'Portfolio Sales'!AP61</f>
        <v>75115.07748</v>
      </c>
      <c r="BA28" s="356">
        <f>'Portfolio Sales'!AQ61</f>
        <v>75906.53709</v>
      </c>
      <c r="BB28" s="356">
        <f>'Portfolio Sales'!AR61</f>
        <v>76706.95679</v>
      </c>
      <c r="BC28" s="356">
        <f>'Portfolio Sales'!AS61</f>
        <v>77516.44146</v>
      </c>
      <c r="BD28" s="356">
        <f>'Portfolio Sales'!AT61</f>
        <v>78335.09724</v>
      </c>
      <c r="BE28" s="356">
        <f>'Portfolio Sales'!AU61</f>
        <v>79163.03154</v>
      </c>
      <c r="BF28" s="356">
        <f>'Portfolio Sales'!AV61</f>
        <v>80000.35304</v>
      </c>
      <c r="BG28" s="356">
        <f>'Portfolio Sales'!AW61</f>
        <v>80847.1717</v>
      </c>
      <c r="BH28" s="356">
        <f>'Portfolio Sales'!AX61</f>
        <v>81703.59881</v>
      </c>
      <c r="BI28" s="356">
        <f>'Portfolio Sales'!AY61</f>
        <v>82569.74697</v>
      </c>
      <c r="BJ28" s="356">
        <f>'Portfolio Sales'!AZ61</f>
        <v>83445.73011</v>
      </c>
      <c r="BK28" s="356">
        <f>'Portfolio Sales'!BA61</f>
        <v>83530.73844</v>
      </c>
      <c r="BL28" s="356">
        <f>'Portfolio Sales'!BB61</f>
        <v>84615.84184</v>
      </c>
      <c r="BM28" s="356">
        <f>'Portfolio Sales'!BC61</f>
        <v>79549.43302</v>
      </c>
      <c r="BN28" s="356">
        <f>'Portfolio Sales'!BD61</f>
        <v>80598.02583</v>
      </c>
      <c r="BO28" s="356">
        <f>'Portfolio Sales'!BE61</f>
        <v>81665.19572</v>
      </c>
      <c r="BP28" s="356">
        <f>'Portfolio Sales'!BF61</f>
        <v>82751.37523</v>
      </c>
      <c r="BQ28" s="356">
        <f>'Portfolio Sales'!BG61</f>
        <v>83857.00902</v>
      </c>
      <c r="BR28" s="356">
        <f>'Portfolio Sales'!BH61</f>
        <v>84982.55417</v>
      </c>
      <c r="BS28" s="356">
        <f>'Portfolio Sales'!BI61</f>
        <v>86128.48065</v>
      </c>
      <c r="BT28" s="356">
        <f>'Portfolio Sales'!BJ61</f>
        <v>87295.27163</v>
      </c>
      <c r="BU28" s="356">
        <f>'Portfolio Sales'!BK61</f>
        <v>88483.42393</v>
      </c>
      <c r="BV28" s="356">
        <f>'Portfolio Sales'!BL61</f>
        <v>89693.44844</v>
      </c>
      <c r="BW28" s="356">
        <f>'Portfolio Sales'!BM61</f>
        <v>92253.45462</v>
      </c>
      <c r="BX28" s="356">
        <f>'Portfolio Sales'!BN61</f>
        <v>92671.44641</v>
      </c>
      <c r="BY28" s="356">
        <f>'Portfolio Sales'!BO61</f>
        <v>86712.18905</v>
      </c>
      <c r="BZ28" s="356">
        <f>'Portfolio Sales'!BP61</f>
        <v>87091.51886</v>
      </c>
      <c r="CA28" s="356">
        <f>'Portfolio Sales'!BQ61</f>
        <v>87488.81195</v>
      </c>
      <c r="CB28" s="356">
        <f>'Portfolio Sales'!BR61</f>
        <v>87903.91849</v>
      </c>
      <c r="CC28" s="356">
        <f>'Portfolio Sales'!BS61</f>
        <v>88336.69629</v>
      </c>
      <c r="CD28" s="356">
        <f>'Portfolio Sales'!BT61</f>
        <v>88787.01074</v>
      </c>
      <c r="CE28" s="356">
        <f>'Portfolio Sales'!BU61</f>
        <v>89254.73458</v>
      </c>
      <c r="CF28" s="356">
        <f>'Portfolio Sales'!BV61</f>
        <v>89739.74779</v>
      </c>
      <c r="CG28" s="356">
        <f>'Portfolio Sales'!BW61</f>
        <v>90241.93746</v>
      </c>
      <c r="CH28" s="356">
        <f>'Portfolio Sales'!BX61</f>
        <v>90761.19761</v>
      </c>
      <c r="CI28" s="1"/>
      <c r="CJ28" s="1"/>
      <c r="CK28" s="1"/>
      <c r="CL28" s="1"/>
      <c r="CM28" s="1"/>
      <c r="CN28" s="1"/>
      <c r="CO28" s="1"/>
      <c r="CP28" s="1"/>
    </row>
    <row r="29" ht="15.75" customHeight="1">
      <c r="A29" s="1" t="s">
        <v>96</v>
      </c>
      <c r="B29" s="356"/>
      <c r="C29" s="356"/>
      <c r="D29" s="356"/>
      <c r="E29" s="356"/>
      <c r="F29" s="356"/>
      <c r="G29" s="356"/>
      <c r="H29" s="356"/>
      <c r="I29" s="356"/>
      <c r="J29" s="356"/>
      <c r="K29" s="356"/>
      <c r="L29" s="356"/>
      <c r="M29" s="356"/>
      <c r="N29" s="356"/>
      <c r="O29" s="356"/>
      <c r="P29" s="356"/>
      <c r="Q29" s="356"/>
      <c r="R29" s="356"/>
      <c r="S29" s="356"/>
      <c r="T29" s="356"/>
      <c r="U29" s="356"/>
      <c r="V29" s="356">
        <f>'Portfolio Sales'!L62</f>
        <v>0</v>
      </c>
      <c r="W29" s="356">
        <f>'Portfolio Sales'!M62</f>
        <v>0</v>
      </c>
      <c r="X29" s="356">
        <f>'Portfolio Sales'!N62</f>
        <v>0</v>
      </c>
      <c r="Y29" s="356">
        <f>'Portfolio Sales'!O62</f>
        <v>100000</v>
      </c>
      <c r="Z29" s="356">
        <f>'Portfolio Sales'!P62</f>
        <v>0</v>
      </c>
      <c r="AA29" s="356">
        <f>'Portfolio Sales'!Q62</f>
        <v>0</v>
      </c>
      <c r="AB29" s="356">
        <f>'Portfolio Sales'!R62</f>
        <v>0</v>
      </c>
      <c r="AC29" s="356">
        <f>'Portfolio Sales'!S62</f>
        <v>0</v>
      </c>
      <c r="AD29" s="356">
        <f>'Portfolio Sales'!T62</f>
        <v>0</v>
      </c>
      <c r="AE29" s="356">
        <f>'Portfolio Sales'!U62</f>
        <v>0</v>
      </c>
      <c r="AF29" s="356">
        <f>'Portfolio Sales'!V62</f>
        <v>0</v>
      </c>
      <c r="AG29" s="356">
        <f>'Portfolio Sales'!W62</f>
        <v>0</v>
      </c>
      <c r="AH29" s="356">
        <f>'Portfolio Sales'!X62</f>
        <v>0</v>
      </c>
      <c r="AI29" s="356">
        <f>'Portfolio Sales'!Y62</f>
        <v>0</v>
      </c>
      <c r="AJ29" s="356">
        <f>'Portfolio Sales'!Z62</f>
        <v>0</v>
      </c>
      <c r="AK29" s="356">
        <f>'Portfolio Sales'!AA62</f>
        <v>0</v>
      </c>
      <c r="AL29" s="356">
        <f>'Portfolio Sales'!AB62</f>
        <v>0</v>
      </c>
      <c r="AM29" s="356">
        <f>'Portfolio Sales'!AC62</f>
        <v>0</v>
      </c>
      <c r="AN29" s="356">
        <f>'Portfolio Sales'!AD62</f>
        <v>0</v>
      </c>
      <c r="AO29" s="356">
        <f>'Portfolio Sales'!AE62</f>
        <v>0</v>
      </c>
      <c r="AP29" s="356">
        <f>'Portfolio Sales'!AF62</f>
        <v>0</v>
      </c>
      <c r="AQ29" s="356">
        <f>'Portfolio Sales'!AG62</f>
        <v>0</v>
      </c>
      <c r="AR29" s="356">
        <f>'Portfolio Sales'!AH62</f>
        <v>0</v>
      </c>
      <c r="AS29" s="356">
        <f>'Portfolio Sales'!AI62</f>
        <v>0</v>
      </c>
      <c r="AT29" s="356">
        <f>'Portfolio Sales'!AJ62</f>
        <v>0</v>
      </c>
      <c r="AU29" s="356">
        <f>'Portfolio Sales'!AK62</f>
        <v>0</v>
      </c>
      <c r="AV29" s="356">
        <f>'Portfolio Sales'!AL62</f>
        <v>0</v>
      </c>
      <c r="AW29" s="356">
        <f>'Portfolio Sales'!AM62</f>
        <v>0</v>
      </c>
      <c r="AX29" s="356">
        <f>'Portfolio Sales'!AN62</f>
        <v>0</v>
      </c>
      <c r="AY29" s="356">
        <f>'Portfolio Sales'!AO62</f>
        <v>0</v>
      </c>
      <c r="AZ29" s="356">
        <f>'Portfolio Sales'!AP62</f>
        <v>0</v>
      </c>
      <c r="BA29" s="356">
        <f>'Portfolio Sales'!AQ62</f>
        <v>0</v>
      </c>
      <c r="BB29" s="356">
        <f>'Portfolio Sales'!AR62</f>
        <v>0</v>
      </c>
      <c r="BC29" s="356">
        <f>'Portfolio Sales'!AS62</f>
        <v>0</v>
      </c>
      <c r="BD29" s="356">
        <f>'Portfolio Sales'!AT62</f>
        <v>0</v>
      </c>
      <c r="BE29" s="356">
        <f>'Portfolio Sales'!AU62</f>
        <v>0</v>
      </c>
      <c r="BF29" s="356">
        <f>'Portfolio Sales'!AV62</f>
        <v>0</v>
      </c>
      <c r="BG29" s="356">
        <f>'Portfolio Sales'!AW62</f>
        <v>0</v>
      </c>
      <c r="BH29" s="356">
        <f>'Portfolio Sales'!AX62</f>
        <v>0</v>
      </c>
      <c r="BI29" s="356">
        <f>'Portfolio Sales'!AY62</f>
        <v>0</v>
      </c>
      <c r="BJ29" s="356">
        <f>'Portfolio Sales'!AZ62</f>
        <v>0</v>
      </c>
      <c r="BK29" s="356">
        <f>'Portfolio Sales'!BA62</f>
        <v>0</v>
      </c>
      <c r="BL29" s="356">
        <f>'Portfolio Sales'!BB62</f>
        <v>0</v>
      </c>
      <c r="BM29" s="356">
        <f>'Portfolio Sales'!BC62</f>
        <v>0</v>
      </c>
      <c r="BN29" s="356">
        <f>'Portfolio Sales'!BD62</f>
        <v>0</v>
      </c>
      <c r="BO29" s="356">
        <f>'Portfolio Sales'!BE62</f>
        <v>0</v>
      </c>
      <c r="BP29" s="356">
        <f>'Portfolio Sales'!BF62</f>
        <v>0</v>
      </c>
      <c r="BQ29" s="356">
        <f>'Portfolio Sales'!BG62</f>
        <v>0</v>
      </c>
      <c r="BR29" s="356">
        <f>'Portfolio Sales'!BH62</f>
        <v>0</v>
      </c>
      <c r="BS29" s="356">
        <f>'Portfolio Sales'!BI62</f>
        <v>0</v>
      </c>
      <c r="BT29" s="356">
        <f>'Portfolio Sales'!BJ62</f>
        <v>0</v>
      </c>
      <c r="BU29" s="356">
        <f>'Portfolio Sales'!BK62</f>
        <v>0</v>
      </c>
      <c r="BV29" s="356">
        <f>'Portfolio Sales'!BL62</f>
        <v>0</v>
      </c>
      <c r="BW29" s="356">
        <f>'Portfolio Sales'!BM62</f>
        <v>0</v>
      </c>
      <c r="BX29" s="356">
        <f>'Portfolio Sales'!BN62</f>
        <v>0</v>
      </c>
      <c r="BY29" s="356">
        <f>'Portfolio Sales'!BO62</f>
        <v>0</v>
      </c>
      <c r="BZ29" s="356">
        <f>'Portfolio Sales'!BP62</f>
        <v>0</v>
      </c>
      <c r="CA29" s="356">
        <f>'Portfolio Sales'!BQ62</f>
        <v>0</v>
      </c>
      <c r="CB29" s="356">
        <f>'Portfolio Sales'!BR62</f>
        <v>0</v>
      </c>
      <c r="CC29" s="356">
        <f>'Portfolio Sales'!BS62</f>
        <v>0</v>
      </c>
      <c r="CD29" s="356">
        <f>'Portfolio Sales'!BT62</f>
        <v>0</v>
      </c>
      <c r="CE29" s="356">
        <f>'Portfolio Sales'!BU62</f>
        <v>0</v>
      </c>
      <c r="CF29" s="356">
        <f>'Portfolio Sales'!BV62</f>
        <v>0</v>
      </c>
      <c r="CG29" s="356">
        <f>'Portfolio Sales'!BW62</f>
        <v>0</v>
      </c>
      <c r="CH29" s="356">
        <f>'Portfolio Sales'!BX62</f>
        <v>0</v>
      </c>
      <c r="CI29" s="1"/>
      <c r="CJ29" s="1"/>
      <c r="CK29" s="1"/>
      <c r="CL29" s="1"/>
      <c r="CM29" s="1"/>
      <c r="CN29" s="1"/>
      <c r="CO29" s="1"/>
      <c r="CP29" s="1"/>
    </row>
    <row r="30" ht="15.75" customHeight="1">
      <c r="A30" s="119" t="s">
        <v>652</v>
      </c>
      <c r="B30" s="351"/>
      <c r="C30" s="351"/>
      <c r="D30" s="351"/>
      <c r="E30" s="351"/>
      <c r="F30" s="351"/>
      <c r="G30" s="351"/>
      <c r="H30" s="351"/>
      <c r="I30" s="351"/>
      <c r="J30" s="351"/>
      <c r="K30" s="351"/>
      <c r="L30" s="351"/>
      <c r="M30" s="351"/>
      <c r="N30" s="351"/>
      <c r="O30" s="351"/>
      <c r="P30" s="351"/>
      <c r="Q30" s="351"/>
      <c r="R30" s="351"/>
      <c r="S30" s="351"/>
      <c r="T30" s="351"/>
      <c r="U30" s="351"/>
      <c r="V30" s="386">
        <f t="shared" ref="V30:CH30" si="9">SUM(V24:V29)</f>
        <v>1296000</v>
      </c>
      <c r="W30" s="386">
        <f t="shared" si="9"/>
        <v>237500</v>
      </c>
      <c r="X30" s="386">
        <f t="shared" si="9"/>
        <v>369500</v>
      </c>
      <c r="Y30" s="386">
        <f t="shared" si="9"/>
        <v>1159196</v>
      </c>
      <c r="Z30" s="386">
        <f t="shared" si="9"/>
        <v>644203.2634</v>
      </c>
      <c r="AA30" s="386">
        <f t="shared" si="9"/>
        <v>719776.5498</v>
      </c>
      <c r="AB30" s="386">
        <f t="shared" si="9"/>
        <v>860981.6985</v>
      </c>
      <c r="AC30" s="386">
        <f t="shared" si="9"/>
        <v>1047390.759</v>
      </c>
      <c r="AD30" s="386">
        <f t="shared" si="9"/>
        <v>1193905.852</v>
      </c>
      <c r="AE30" s="386">
        <f t="shared" si="9"/>
        <v>1245108.051</v>
      </c>
      <c r="AF30" s="386">
        <f t="shared" si="9"/>
        <v>1270846.06</v>
      </c>
      <c r="AG30" s="386">
        <f t="shared" si="9"/>
        <v>1297136.444</v>
      </c>
      <c r="AH30" s="386">
        <f t="shared" si="9"/>
        <v>1321445.197</v>
      </c>
      <c r="AI30" s="386">
        <f t="shared" si="9"/>
        <v>1412066.226</v>
      </c>
      <c r="AJ30" s="386">
        <f t="shared" si="9"/>
        <v>1471479.498</v>
      </c>
      <c r="AK30" s="386">
        <f t="shared" si="9"/>
        <v>1525621.706</v>
      </c>
      <c r="AL30" s="386">
        <f t="shared" si="9"/>
        <v>1599356.707</v>
      </c>
      <c r="AM30" s="386">
        <f t="shared" si="9"/>
        <v>1123016.705</v>
      </c>
      <c r="AN30" s="386">
        <f t="shared" si="9"/>
        <v>1320443.404</v>
      </c>
      <c r="AO30" s="386">
        <f t="shared" si="9"/>
        <v>1334697.438</v>
      </c>
      <c r="AP30" s="386">
        <f t="shared" si="9"/>
        <v>1349118.476</v>
      </c>
      <c r="AQ30" s="386">
        <f t="shared" si="9"/>
        <v>1363708.554</v>
      </c>
      <c r="AR30" s="386">
        <f t="shared" si="9"/>
        <v>1378469.735</v>
      </c>
      <c r="AS30" s="386">
        <f t="shared" si="9"/>
        <v>1393404.104</v>
      </c>
      <c r="AT30" s="386">
        <f t="shared" si="9"/>
        <v>1408513.775</v>
      </c>
      <c r="AU30" s="386">
        <f t="shared" si="9"/>
        <v>1423800.887</v>
      </c>
      <c r="AV30" s="386">
        <f t="shared" si="9"/>
        <v>1439267.606</v>
      </c>
      <c r="AW30" s="386">
        <f t="shared" si="9"/>
        <v>1454916.125</v>
      </c>
      <c r="AX30" s="386">
        <f t="shared" si="9"/>
        <v>1470748.666</v>
      </c>
      <c r="AY30" s="386">
        <f t="shared" si="9"/>
        <v>1486649.486</v>
      </c>
      <c r="AZ30" s="386">
        <f t="shared" si="9"/>
        <v>1502301.55</v>
      </c>
      <c r="BA30" s="386">
        <f t="shared" si="9"/>
        <v>1518130.742</v>
      </c>
      <c r="BB30" s="386">
        <f t="shared" si="9"/>
        <v>1534139.136</v>
      </c>
      <c r="BC30" s="386">
        <f t="shared" si="9"/>
        <v>1550328.829</v>
      </c>
      <c r="BD30" s="386">
        <f t="shared" si="9"/>
        <v>1566701.945</v>
      </c>
      <c r="BE30" s="386">
        <f t="shared" si="9"/>
        <v>1583260.631</v>
      </c>
      <c r="BF30" s="386">
        <f t="shared" si="9"/>
        <v>1600007.061</v>
      </c>
      <c r="BG30" s="386">
        <f t="shared" si="9"/>
        <v>1616943.434</v>
      </c>
      <c r="BH30" s="386">
        <f t="shared" si="9"/>
        <v>1634071.976</v>
      </c>
      <c r="BI30" s="386">
        <f t="shared" si="9"/>
        <v>1651394.939</v>
      </c>
      <c r="BJ30" s="386">
        <f t="shared" si="9"/>
        <v>1668914.602</v>
      </c>
      <c r="BK30" s="386">
        <f t="shared" si="9"/>
        <v>1670614.769</v>
      </c>
      <c r="BL30" s="386">
        <f t="shared" si="9"/>
        <v>1692316.837</v>
      </c>
      <c r="BM30" s="386">
        <f t="shared" si="9"/>
        <v>1590988.66</v>
      </c>
      <c r="BN30" s="386">
        <f t="shared" si="9"/>
        <v>1611960.517</v>
      </c>
      <c r="BO30" s="386">
        <f t="shared" si="9"/>
        <v>1633303.914</v>
      </c>
      <c r="BP30" s="386">
        <f t="shared" si="9"/>
        <v>1655027.505</v>
      </c>
      <c r="BQ30" s="386">
        <f t="shared" si="9"/>
        <v>1677140.18</v>
      </c>
      <c r="BR30" s="386">
        <f t="shared" si="9"/>
        <v>1699651.083</v>
      </c>
      <c r="BS30" s="386">
        <f t="shared" si="9"/>
        <v>1722569.613</v>
      </c>
      <c r="BT30" s="386">
        <f t="shared" si="9"/>
        <v>1745905.433</v>
      </c>
      <c r="BU30" s="386">
        <f t="shared" si="9"/>
        <v>1769668.479</v>
      </c>
      <c r="BV30" s="386">
        <f t="shared" si="9"/>
        <v>1793868.969</v>
      </c>
      <c r="BW30" s="386">
        <f t="shared" si="9"/>
        <v>1845069.092</v>
      </c>
      <c r="BX30" s="386">
        <f t="shared" si="9"/>
        <v>1853428.928</v>
      </c>
      <c r="BY30" s="386">
        <f t="shared" si="9"/>
        <v>1734243.781</v>
      </c>
      <c r="BZ30" s="386">
        <f t="shared" si="9"/>
        <v>1741830.377</v>
      </c>
      <c r="CA30" s="386">
        <f t="shared" si="9"/>
        <v>1749776.239</v>
      </c>
      <c r="CB30" s="386">
        <f t="shared" si="9"/>
        <v>1758078.37</v>
      </c>
      <c r="CC30" s="386">
        <f t="shared" si="9"/>
        <v>1766733.926</v>
      </c>
      <c r="CD30" s="386">
        <f t="shared" si="9"/>
        <v>1775740.215</v>
      </c>
      <c r="CE30" s="386">
        <f t="shared" si="9"/>
        <v>1785094.692</v>
      </c>
      <c r="CF30" s="386">
        <f t="shared" si="9"/>
        <v>1794794.956</v>
      </c>
      <c r="CG30" s="386">
        <f t="shared" si="9"/>
        <v>1804838.749</v>
      </c>
      <c r="CH30" s="386">
        <f t="shared" si="9"/>
        <v>1815223.952</v>
      </c>
      <c r="CI30" s="1"/>
      <c r="CJ30" s="1"/>
      <c r="CK30" s="1"/>
      <c r="CL30" s="1"/>
      <c r="CM30" s="1"/>
      <c r="CN30" s="1"/>
      <c r="CO30" s="1"/>
      <c r="CP30" s="1"/>
    </row>
    <row r="31" ht="15.75" customHeight="1">
      <c r="A31" s="1"/>
      <c r="B31" s="356"/>
      <c r="C31" s="356"/>
      <c r="D31" s="356"/>
      <c r="E31" s="356"/>
      <c r="F31" s="356"/>
      <c r="G31" s="356"/>
      <c r="H31" s="356"/>
      <c r="I31" s="356"/>
      <c r="J31" s="356"/>
      <c r="K31" s="356"/>
      <c r="L31" s="356"/>
      <c r="M31" s="356"/>
      <c r="N31" s="356"/>
      <c r="O31" s="356"/>
      <c r="P31" s="356"/>
      <c r="Q31" s="356"/>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56"/>
      <c r="AT31" s="356"/>
      <c r="AU31" s="356"/>
      <c r="AV31" s="356"/>
      <c r="AW31" s="356"/>
      <c r="AX31" s="356"/>
      <c r="AY31" s="356"/>
      <c r="AZ31" s="356"/>
      <c r="BA31" s="356"/>
      <c r="BB31" s="356"/>
      <c r="BC31" s="356"/>
      <c r="BD31" s="356"/>
      <c r="BE31" s="356"/>
      <c r="BF31" s="356"/>
      <c r="BG31" s="356"/>
      <c r="BH31" s="356"/>
      <c r="BI31" s="356"/>
      <c r="BJ31" s="356"/>
      <c r="BK31" s="356"/>
      <c r="BL31" s="356"/>
      <c r="BM31" s="356"/>
      <c r="BN31" s="356"/>
      <c r="BO31" s="356"/>
      <c r="BP31" s="356"/>
      <c r="BQ31" s="356"/>
      <c r="BR31" s="356"/>
      <c r="BS31" s="356"/>
      <c r="BT31" s="356"/>
      <c r="BU31" s="356"/>
      <c r="BV31" s="356"/>
      <c r="BW31" s="356"/>
      <c r="BX31" s="356"/>
      <c r="BY31" s="356"/>
      <c r="BZ31" s="356"/>
      <c r="CA31" s="356"/>
      <c r="CB31" s="356"/>
      <c r="CC31" s="356"/>
      <c r="CD31" s="356"/>
      <c r="CE31" s="356"/>
      <c r="CF31" s="356"/>
      <c r="CG31" s="356"/>
      <c r="CH31" s="356"/>
      <c r="CI31" s="1"/>
      <c r="CJ31" s="1"/>
      <c r="CK31" s="1"/>
      <c r="CL31" s="1"/>
      <c r="CM31" s="1"/>
      <c r="CN31" s="1"/>
      <c r="CO31" s="1"/>
      <c r="CP31" s="1"/>
    </row>
    <row r="32" ht="15.75" customHeight="1">
      <c r="A32" s="1" t="s">
        <v>129</v>
      </c>
      <c r="B32" s="356"/>
      <c r="C32" s="356"/>
      <c r="D32" s="356"/>
      <c r="E32" s="356"/>
      <c r="F32" s="356"/>
      <c r="G32" s="356"/>
      <c r="H32" s="356"/>
      <c r="I32" s="356"/>
      <c r="J32" s="356"/>
      <c r="K32" s="356"/>
      <c r="L32" s="356"/>
      <c r="M32" s="356"/>
      <c r="N32" s="356"/>
      <c r="O32" s="356"/>
      <c r="P32" s="356"/>
      <c r="Q32" s="356"/>
      <c r="R32" s="356"/>
      <c r="S32" s="356"/>
      <c r="T32" s="356"/>
      <c r="U32" s="356"/>
      <c r="V32" s="356">
        <f>'Portfolio Sales'!L73</f>
        <v>71615.38462</v>
      </c>
      <c r="W32" s="356">
        <f>'Portfolio Sales'!M73</f>
        <v>0</v>
      </c>
      <c r="X32" s="356">
        <f>'Portfolio Sales'!N73</f>
        <v>18923.07692</v>
      </c>
      <c r="Y32" s="356">
        <f>'Portfolio Sales'!O73</f>
        <v>40769.23077</v>
      </c>
      <c r="Z32" s="356">
        <f>'Portfolio Sales'!P73</f>
        <v>20812.72082</v>
      </c>
      <c r="AA32" s="356">
        <f>'Portfolio Sales'!Q73</f>
        <v>22146.97076</v>
      </c>
      <c r="AB32" s="356">
        <f>'Portfolio Sales'!R73</f>
        <v>26491.74457</v>
      </c>
      <c r="AC32" s="356">
        <f>'Portfolio Sales'!S73</f>
        <v>31421.72277</v>
      </c>
      <c r="AD32" s="356">
        <f>'Portfolio Sales'!T73</f>
        <v>34898.78643</v>
      </c>
      <c r="AE32" s="356">
        <f>'Portfolio Sales'!U73</f>
        <v>39268.79237</v>
      </c>
      <c r="AF32" s="356">
        <f>'Portfolio Sales'!V73</f>
        <v>41058.10348</v>
      </c>
      <c r="AG32" s="356">
        <f>'Portfolio Sales'!W73</f>
        <v>41907.4851</v>
      </c>
      <c r="AH32" s="356">
        <f>'Portfolio Sales'!X73</f>
        <v>42692.84484</v>
      </c>
      <c r="AI32" s="356">
        <f>'Portfolio Sales'!Y73</f>
        <v>45620.60113</v>
      </c>
      <c r="AJ32" s="356">
        <f>'Portfolio Sales'!Z73</f>
        <v>46408.19954</v>
      </c>
      <c r="AK32" s="356">
        <f>'Portfolio Sales'!AA73</f>
        <v>48115.76151</v>
      </c>
      <c r="AL32" s="356">
        <f>'Portfolio Sales'!AB73</f>
        <v>50441.24998</v>
      </c>
      <c r="AM32" s="356">
        <f>'Portfolio Sales'!AC73</f>
        <v>35418.21915</v>
      </c>
      <c r="AN32" s="356">
        <f>'Portfolio Sales'!AD73</f>
        <v>41644.75352</v>
      </c>
      <c r="AO32" s="356">
        <f>'Portfolio Sales'!AE73</f>
        <v>42094.30381</v>
      </c>
      <c r="AP32" s="356">
        <f>'Portfolio Sales'!AF73</f>
        <v>42549.12116</v>
      </c>
      <c r="AQ32" s="356">
        <f>'Portfolio Sales'!AG73</f>
        <v>43009.26979</v>
      </c>
      <c r="AR32" s="356">
        <f>'Portfolio Sales'!AH73</f>
        <v>43474.81471</v>
      </c>
      <c r="AS32" s="356">
        <f>'Portfolio Sales'!AI73</f>
        <v>43945.82174</v>
      </c>
      <c r="AT32" s="356">
        <f>'Portfolio Sales'!AJ73</f>
        <v>44422.35751</v>
      </c>
      <c r="AU32" s="356">
        <f>'Portfolio Sales'!AK73</f>
        <v>44904.4895</v>
      </c>
      <c r="AV32" s="356">
        <f>'Portfolio Sales'!AL73</f>
        <v>45392.28603</v>
      </c>
      <c r="AW32" s="356">
        <f>'Portfolio Sales'!AM73</f>
        <v>45885.81626</v>
      </c>
      <c r="AX32" s="356">
        <f>'Portfolio Sales'!AN73</f>
        <v>46385.15023</v>
      </c>
      <c r="AY32" s="356">
        <f>'Portfolio Sales'!AO73</f>
        <v>46886.63762</v>
      </c>
      <c r="AZ32" s="356">
        <f>'Portfolio Sales'!AP73</f>
        <v>47380.27964</v>
      </c>
      <c r="BA32" s="356">
        <f>'Portfolio Sales'!AQ73</f>
        <v>47879.50801</v>
      </c>
      <c r="BB32" s="356">
        <f>'Portfolio Sales'!AR73</f>
        <v>48384.38813</v>
      </c>
      <c r="BC32" s="356">
        <f>'Portfolio Sales'!AS73</f>
        <v>48894.98615</v>
      </c>
      <c r="BD32" s="356">
        <f>'Portfolio Sales'!AT73</f>
        <v>49411.36903</v>
      </c>
      <c r="BE32" s="356">
        <f>'Portfolio Sales'!AU73</f>
        <v>49933.60451</v>
      </c>
      <c r="BF32" s="356">
        <f>'Portfolio Sales'!AV73</f>
        <v>50461.76115</v>
      </c>
      <c r="BG32" s="356">
        <f>'Portfolio Sales'!AW73</f>
        <v>50995.9083</v>
      </c>
      <c r="BH32" s="356">
        <f>'Portfolio Sales'!AX73</f>
        <v>51536.11617</v>
      </c>
      <c r="BI32" s="356">
        <f>'Portfolio Sales'!AY73</f>
        <v>52082.45578</v>
      </c>
      <c r="BJ32" s="356">
        <f>'Portfolio Sales'!AZ73</f>
        <v>52634.99899</v>
      </c>
      <c r="BK32" s="356">
        <f>'Portfolio Sales'!BA73</f>
        <v>52688.61963</v>
      </c>
      <c r="BL32" s="356">
        <f>'Portfolio Sales'!BB73</f>
        <v>53373.06947</v>
      </c>
      <c r="BM32" s="356">
        <f>'Portfolio Sales'!BC73</f>
        <v>50177.33468</v>
      </c>
      <c r="BN32" s="356">
        <f>'Portfolio Sales'!BD73</f>
        <v>50838.75476</v>
      </c>
      <c r="BO32" s="356">
        <f>'Portfolio Sales'!BE73</f>
        <v>51511.89268</v>
      </c>
      <c r="BP32" s="356">
        <f>'Portfolio Sales'!BF73</f>
        <v>52197.0213</v>
      </c>
      <c r="BQ32" s="356">
        <f>'Portfolio Sales'!BG73</f>
        <v>52894.42107</v>
      </c>
      <c r="BR32" s="356">
        <f>'Portfolio Sales'!BH73</f>
        <v>53604.38033</v>
      </c>
      <c r="BS32" s="356">
        <f>'Portfolio Sales'!BI73</f>
        <v>54327.19549</v>
      </c>
      <c r="BT32" s="356">
        <f>'Portfolio Sales'!BJ73</f>
        <v>55063.17133</v>
      </c>
      <c r="BU32" s="356">
        <f>'Portfolio Sales'!BK73</f>
        <v>55812.62125</v>
      </c>
      <c r="BV32" s="356">
        <f>'Portfolio Sales'!BL73</f>
        <v>56575.86748</v>
      </c>
      <c r="BW32" s="356">
        <f>'Portfolio Sales'!BM73</f>
        <v>58190.64061</v>
      </c>
      <c r="BX32" s="356">
        <f>'Portfolio Sales'!BN73</f>
        <v>58454.29697</v>
      </c>
      <c r="BY32" s="356">
        <f>'Portfolio Sales'!BO73</f>
        <v>54695.38078</v>
      </c>
      <c r="BZ32" s="356">
        <f>'Portfolio Sales'!BP73</f>
        <v>54934.65036</v>
      </c>
      <c r="CA32" s="356">
        <f>'Portfolio Sales'!BQ73</f>
        <v>55185.25062</v>
      </c>
      <c r="CB32" s="356">
        <f>'Portfolio Sales'!BR73</f>
        <v>55447.08705</v>
      </c>
      <c r="CC32" s="356">
        <f>'Portfolio Sales'!BS73</f>
        <v>55720.06997</v>
      </c>
      <c r="CD32" s="356">
        <f>'Portfolio Sales'!BT73</f>
        <v>56004.11447</v>
      </c>
      <c r="CE32" s="356">
        <f>'Portfolio Sales'!BU73</f>
        <v>56299.14027</v>
      </c>
      <c r="CF32" s="356">
        <f>'Portfolio Sales'!BV73</f>
        <v>56605.07168</v>
      </c>
      <c r="CG32" s="356">
        <f>'Portfolio Sales'!BW73</f>
        <v>56921.83747</v>
      </c>
      <c r="CH32" s="356">
        <f>'Portfolio Sales'!BX73</f>
        <v>57249.3708</v>
      </c>
      <c r="CI32" s="1"/>
      <c r="CJ32" s="1"/>
      <c r="CK32" s="1"/>
      <c r="CL32" s="1"/>
      <c r="CM32" s="1"/>
      <c r="CN32" s="1"/>
      <c r="CO32" s="1"/>
      <c r="CP32" s="1"/>
    </row>
    <row r="33" ht="15.75" customHeight="1">
      <c r="A33" s="1" t="s">
        <v>85</v>
      </c>
      <c r="B33" s="356"/>
      <c r="C33" s="356"/>
      <c r="D33" s="356"/>
      <c r="E33" s="356"/>
      <c r="F33" s="356"/>
      <c r="G33" s="356"/>
      <c r="H33" s="356"/>
      <c r="I33" s="356"/>
      <c r="J33" s="356"/>
      <c r="K33" s="356"/>
      <c r="L33" s="356"/>
      <c r="M33" s="356"/>
      <c r="N33" s="356"/>
      <c r="O33" s="356"/>
      <c r="P33" s="356"/>
      <c r="Q33" s="356"/>
      <c r="R33" s="356"/>
      <c r="S33" s="356"/>
      <c r="T33" s="356"/>
      <c r="U33" s="356"/>
      <c r="V33" s="356">
        <f>'Portfolio Sales'!L74</f>
        <v>2384.615385</v>
      </c>
      <c r="W33" s="356">
        <f>'Portfolio Sales'!M74</f>
        <v>11076.92308</v>
      </c>
      <c r="X33" s="356">
        <f>'Portfolio Sales'!N74</f>
        <v>0</v>
      </c>
      <c r="Y33" s="356">
        <f>'Portfolio Sales'!O74</f>
        <v>19551.23077</v>
      </c>
      <c r="Z33" s="356">
        <f>'Portfolio Sales'!P74</f>
        <v>15361.77013</v>
      </c>
      <c r="AA33" s="356">
        <f>'Portfolio Sales'!Q74</f>
        <v>17717.57661</v>
      </c>
      <c r="AB33" s="356">
        <f>'Portfolio Sales'!R74</f>
        <v>21855.68927</v>
      </c>
      <c r="AC33" s="356">
        <f>'Portfolio Sales'!S74</f>
        <v>26587.61157</v>
      </c>
      <c r="AD33" s="356">
        <f>'Portfolio Sales'!T74</f>
        <v>30306.84085</v>
      </c>
      <c r="AE33" s="356">
        <f>'Portfolio Sales'!U74</f>
        <v>32564.36441</v>
      </c>
      <c r="AF33" s="356">
        <f>'Portfolio Sales'!V74</f>
        <v>32259.93845</v>
      </c>
      <c r="AG33" s="356">
        <f>'Portfolio Sales'!W74</f>
        <v>33925.10699</v>
      </c>
      <c r="AH33" s="356">
        <f>'Portfolio Sales'!X74</f>
        <v>34560.87439</v>
      </c>
      <c r="AI33" s="356">
        <f>'Portfolio Sales'!Y74</f>
        <v>35844.75803</v>
      </c>
      <c r="AJ33" s="356">
        <f>'Portfolio Sales'!Z74</f>
        <v>37352.94109</v>
      </c>
      <c r="AK33" s="356">
        <f>'Portfolio Sales'!AA74</f>
        <v>38727.32024</v>
      </c>
      <c r="AL33" s="356">
        <f>'Portfolio Sales'!AB74</f>
        <v>40599.05487</v>
      </c>
      <c r="AM33" s="356">
        <f>'Portfolio Sales'!AC74</f>
        <v>28507.34712</v>
      </c>
      <c r="AN33" s="356">
        <f>'Portfolio Sales'!AD74</f>
        <v>33518.94796</v>
      </c>
      <c r="AO33" s="356">
        <f>'Portfolio Sales'!AE74</f>
        <v>33880.78111</v>
      </c>
      <c r="AP33" s="356">
        <f>'Portfolio Sales'!AF74</f>
        <v>34246.85362</v>
      </c>
      <c r="AQ33" s="356">
        <f>'Portfolio Sales'!AG74</f>
        <v>34617.21715</v>
      </c>
      <c r="AR33" s="356">
        <f>'Portfolio Sales'!AH74</f>
        <v>34991.92404</v>
      </c>
      <c r="AS33" s="356">
        <f>'Portfolio Sales'!AI74</f>
        <v>35371.02725</v>
      </c>
      <c r="AT33" s="356">
        <f>'Portfolio Sales'!AJ74</f>
        <v>35754.58043</v>
      </c>
      <c r="AU33" s="356">
        <f>'Portfolio Sales'!AK74</f>
        <v>36142.63789</v>
      </c>
      <c r="AV33" s="356">
        <f>'Portfolio Sales'!AL74</f>
        <v>36535.25461</v>
      </c>
      <c r="AW33" s="356">
        <f>'Portfolio Sales'!AM74</f>
        <v>36932.48626</v>
      </c>
      <c r="AX33" s="356">
        <f>'Portfolio Sales'!AN74</f>
        <v>37334.38921</v>
      </c>
      <c r="AY33" s="356">
        <f>'Portfolio Sales'!AO74</f>
        <v>37738.0254</v>
      </c>
      <c r="AZ33" s="356">
        <f>'Portfolio Sales'!AP74</f>
        <v>38135.34703</v>
      </c>
      <c r="BA33" s="356">
        <f>'Portfolio Sales'!AQ74</f>
        <v>38537.16499</v>
      </c>
      <c r="BB33" s="356">
        <f>'Portfolio Sales'!AR74</f>
        <v>38943.53191</v>
      </c>
      <c r="BC33" s="356">
        <f>'Portfolio Sales'!AS74</f>
        <v>39354.50105</v>
      </c>
      <c r="BD33" s="356">
        <f>'Portfolio Sales'!AT74</f>
        <v>39770.12629</v>
      </c>
      <c r="BE33" s="356">
        <f>'Portfolio Sales'!AU74</f>
        <v>40190.46217</v>
      </c>
      <c r="BF33" s="356">
        <f>'Portfolio Sales'!AV74</f>
        <v>40615.56385</v>
      </c>
      <c r="BG33" s="356">
        <f>'Portfolio Sales'!AW74</f>
        <v>41045.48717</v>
      </c>
      <c r="BH33" s="356">
        <f>'Portfolio Sales'!AX74</f>
        <v>41480.28863</v>
      </c>
      <c r="BI33" s="356">
        <f>'Portfolio Sales'!AY74</f>
        <v>41920.02538</v>
      </c>
      <c r="BJ33" s="356">
        <f>'Portfolio Sales'!AZ74</f>
        <v>42364.75528</v>
      </c>
      <c r="BK33" s="356">
        <f>'Portfolio Sales'!BA74</f>
        <v>42407.91336</v>
      </c>
      <c r="BL33" s="356">
        <f>'Portfolio Sales'!BB74</f>
        <v>42958.81201</v>
      </c>
      <c r="BM33" s="356">
        <f>'Portfolio Sales'!BC74</f>
        <v>40386.63523</v>
      </c>
      <c r="BN33" s="356">
        <f>'Portfolio Sales'!BD74</f>
        <v>40918.99773</v>
      </c>
      <c r="BO33" s="356">
        <f>'Portfolio Sales'!BE74</f>
        <v>41460.79167</v>
      </c>
      <c r="BP33" s="356">
        <f>'Portfolio Sales'!BF74</f>
        <v>42012.23666</v>
      </c>
      <c r="BQ33" s="356">
        <f>'Portfolio Sales'!BG74</f>
        <v>42573.55842</v>
      </c>
      <c r="BR33" s="356">
        <f>'Portfolio Sales'!BH74</f>
        <v>43144.98904</v>
      </c>
      <c r="BS33" s="356">
        <f>'Portfolio Sales'!BI74</f>
        <v>43726.7671</v>
      </c>
      <c r="BT33" s="356">
        <f>'Portfolio Sales'!BJ74</f>
        <v>44319.1379</v>
      </c>
      <c r="BU33" s="356">
        <f>'Portfolio Sales'!BK74</f>
        <v>44922.35369</v>
      </c>
      <c r="BV33" s="356">
        <f>'Portfolio Sales'!BL74</f>
        <v>45536.67382</v>
      </c>
      <c r="BW33" s="356">
        <f>'Portfolio Sales'!BM74</f>
        <v>46836.36927</v>
      </c>
      <c r="BX33" s="356">
        <f>'Portfolio Sales'!BN74</f>
        <v>47048.58049</v>
      </c>
      <c r="BY33" s="356">
        <f>'Portfolio Sales'!BO74</f>
        <v>44023.11136</v>
      </c>
      <c r="BZ33" s="356">
        <f>'Portfolio Sales'!BP74</f>
        <v>44215.69419</v>
      </c>
      <c r="CA33" s="356">
        <f>'Portfolio Sales'!BQ74</f>
        <v>44417.39684</v>
      </c>
      <c r="CB33" s="356">
        <f>'Portfolio Sales'!BR74</f>
        <v>44628.14323</v>
      </c>
      <c r="CC33" s="356">
        <f>'Portfolio Sales'!BS74</f>
        <v>44847.86119</v>
      </c>
      <c r="CD33" s="356">
        <f>'Portfolio Sales'!BT74</f>
        <v>45076.48237</v>
      </c>
      <c r="CE33" s="356">
        <f>'Portfolio Sales'!BU74</f>
        <v>45313.94217</v>
      </c>
      <c r="CF33" s="356">
        <f>'Portfolio Sales'!BV74</f>
        <v>45560.17965</v>
      </c>
      <c r="CG33" s="356">
        <f>'Portfolio Sales'!BW74</f>
        <v>45815.13748</v>
      </c>
      <c r="CH33" s="356">
        <f>'Portfolio Sales'!BX74</f>
        <v>46078.76186</v>
      </c>
      <c r="CI33" s="1"/>
      <c r="CJ33" s="1"/>
      <c r="CK33" s="1"/>
      <c r="CL33" s="1"/>
      <c r="CM33" s="1"/>
      <c r="CN33" s="1"/>
      <c r="CO33" s="1"/>
      <c r="CP33" s="1"/>
    </row>
    <row r="34" ht="15.75" customHeight="1">
      <c r="A34" s="1" t="s">
        <v>130</v>
      </c>
      <c r="B34" s="356"/>
      <c r="C34" s="356"/>
      <c r="D34" s="356"/>
      <c r="E34" s="356"/>
      <c r="F34" s="356"/>
      <c r="G34" s="356"/>
      <c r="H34" s="356"/>
      <c r="I34" s="356"/>
      <c r="J34" s="356"/>
      <c r="K34" s="356"/>
      <c r="L34" s="356"/>
      <c r="M34" s="356"/>
      <c r="N34" s="356"/>
      <c r="O34" s="356"/>
      <c r="P34" s="356"/>
      <c r="Q34" s="356"/>
      <c r="R34" s="356"/>
      <c r="S34" s="356"/>
      <c r="T34" s="356"/>
      <c r="U34" s="356"/>
      <c r="V34" s="356">
        <f>'Portfolio Sales'!L75</f>
        <v>23384.61538</v>
      </c>
      <c r="W34" s="356">
        <f>'Portfolio Sales'!M75</f>
        <v>653.8461538</v>
      </c>
      <c r="X34" s="356">
        <f>'Portfolio Sales'!N75</f>
        <v>0</v>
      </c>
      <c r="Y34" s="356">
        <f>'Portfolio Sales'!O75</f>
        <v>7576.923077</v>
      </c>
      <c r="Z34" s="356">
        <f>'Portfolio Sales'!P75</f>
        <v>7433.114578</v>
      </c>
      <c r="AA34" s="356">
        <f>'Portfolio Sales'!Q75</f>
        <v>9412.462575</v>
      </c>
      <c r="AB34" s="356">
        <f>'Portfolio Sales'!R75</f>
        <v>11258.99144</v>
      </c>
      <c r="AC34" s="356">
        <f>'Portfolio Sales'!S75</f>
        <v>13696.64839</v>
      </c>
      <c r="AD34" s="356">
        <f>'Portfolio Sales'!T75</f>
        <v>15612.61498</v>
      </c>
      <c r="AE34" s="356">
        <f>'Portfolio Sales'!U75</f>
        <v>16282.1822</v>
      </c>
      <c r="AF34" s="356">
        <f>'Portfolio Sales'!V75</f>
        <v>16618.75617</v>
      </c>
      <c r="AG34" s="356">
        <f>'Portfolio Sales'!W75</f>
        <v>16962.55349</v>
      </c>
      <c r="AH34" s="356">
        <f>'Portfolio Sales'!X75</f>
        <v>17280.4372</v>
      </c>
      <c r="AI34" s="356">
        <f>'Portfolio Sales'!Y75</f>
        <v>18465.48141</v>
      </c>
      <c r="AJ34" s="356">
        <f>'Portfolio Sales'!Z75</f>
        <v>15846.70228</v>
      </c>
      <c r="AK34" s="356">
        <f>'Portfolio Sales'!AA75</f>
        <v>16429.77222</v>
      </c>
      <c r="AL34" s="356">
        <f>'Portfolio Sales'!AB75</f>
        <v>17223.84146</v>
      </c>
      <c r="AM34" s="356">
        <f>'Portfolio Sales'!AC75</f>
        <v>12094.02605</v>
      </c>
      <c r="AN34" s="356">
        <f>'Portfolio Sales'!AD75</f>
        <v>14220.15974</v>
      </c>
      <c r="AO34" s="356">
        <f>'Portfolio Sales'!AE75</f>
        <v>14373.66471</v>
      </c>
      <c r="AP34" s="356">
        <f>'Portfolio Sales'!AF75</f>
        <v>14528.9682</v>
      </c>
      <c r="AQ34" s="356">
        <f>'Portfolio Sales'!AG75</f>
        <v>14686.09212</v>
      </c>
      <c r="AR34" s="356">
        <f>'Portfolio Sales'!AH75</f>
        <v>14845.05868</v>
      </c>
      <c r="AS34" s="356">
        <f>'Portfolio Sales'!AI75</f>
        <v>15005.89035</v>
      </c>
      <c r="AT34" s="356">
        <f>'Portfolio Sales'!AJ75</f>
        <v>15168.60988</v>
      </c>
      <c r="AU34" s="356">
        <f>'Portfolio Sales'!AK75</f>
        <v>15333.24032</v>
      </c>
      <c r="AV34" s="356">
        <f>'Portfolio Sales'!AL75</f>
        <v>15499.80499</v>
      </c>
      <c r="AW34" s="356">
        <f>'Portfolio Sales'!AM75</f>
        <v>15668.3275</v>
      </c>
      <c r="AX34" s="356">
        <f>'Portfolio Sales'!AN75</f>
        <v>15838.83178</v>
      </c>
      <c r="AY34" s="356">
        <f>'Portfolio Sales'!AO75</f>
        <v>16010.07138</v>
      </c>
      <c r="AZ34" s="356">
        <f>'Portfolio Sales'!AP75</f>
        <v>16178.63207</v>
      </c>
      <c r="BA34" s="356">
        <f>'Portfolio Sales'!AQ75</f>
        <v>16349.1003</v>
      </c>
      <c r="BB34" s="356">
        <f>'Portfolio Sales'!AR75</f>
        <v>16521.49839</v>
      </c>
      <c r="BC34" s="356">
        <f>'Portfolio Sales'!AS75</f>
        <v>16695.84893</v>
      </c>
      <c r="BD34" s="356">
        <f>'Portfolio Sales'!AT75</f>
        <v>16872.17479</v>
      </c>
      <c r="BE34" s="356">
        <f>'Portfolio Sales'!AU75</f>
        <v>17050.4991</v>
      </c>
      <c r="BF34" s="356">
        <f>'Portfolio Sales'!AV75</f>
        <v>17230.84527</v>
      </c>
      <c r="BG34" s="356">
        <f>'Portfolio Sales'!AW75</f>
        <v>17413.23698</v>
      </c>
      <c r="BH34" s="356">
        <f>'Portfolio Sales'!AX75</f>
        <v>17597.69821</v>
      </c>
      <c r="BI34" s="356">
        <f>'Portfolio Sales'!AY75</f>
        <v>17784.25319</v>
      </c>
      <c r="BJ34" s="356">
        <f>'Portfolio Sales'!AZ75</f>
        <v>17972.92648</v>
      </c>
      <c r="BK34" s="356">
        <f>'Portfolio Sales'!BA75</f>
        <v>17991.23597</v>
      </c>
      <c r="BL34" s="356">
        <f>'Portfolio Sales'!BB75</f>
        <v>18224.95055</v>
      </c>
      <c r="BM34" s="356">
        <f>'Portfolio Sales'!BC75</f>
        <v>17133.72404</v>
      </c>
      <c r="BN34" s="356">
        <f>'Portfolio Sales'!BD75</f>
        <v>17359.57479</v>
      </c>
      <c r="BO34" s="356">
        <f>'Portfolio Sales'!BE75</f>
        <v>17589.42677</v>
      </c>
      <c r="BP34" s="356">
        <f>'Portfolio Sales'!BF75</f>
        <v>17823.37313</v>
      </c>
      <c r="BQ34" s="356">
        <f>'Portfolio Sales'!BG75</f>
        <v>18061.50963</v>
      </c>
      <c r="BR34" s="356">
        <f>'Portfolio Sales'!BH75</f>
        <v>18303.93475</v>
      </c>
      <c r="BS34" s="356">
        <f>'Portfolio Sales'!BI75</f>
        <v>18550.74968</v>
      </c>
      <c r="BT34" s="356">
        <f>'Portfolio Sales'!BJ75</f>
        <v>18802.0585</v>
      </c>
      <c r="BU34" s="356">
        <f>'Portfolio Sales'!BK75</f>
        <v>19057.96823</v>
      </c>
      <c r="BV34" s="356">
        <f>'Portfolio Sales'!BL75</f>
        <v>19318.58889</v>
      </c>
      <c r="BW34" s="356">
        <f>'Portfolio Sales'!BM75</f>
        <v>19869.97484</v>
      </c>
      <c r="BX34" s="356">
        <f>'Portfolio Sales'!BN75</f>
        <v>19960.00384</v>
      </c>
      <c r="BY34" s="356">
        <f>'Portfolio Sales'!BO75</f>
        <v>18676.47149</v>
      </c>
      <c r="BZ34" s="356">
        <f>'Portfolio Sales'!BP75</f>
        <v>18758.17329</v>
      </c>
      <c r="CA34" s="356">
        <f>'Portfolio Sales'!BQ75</f>
        <v>18843.74411</v>
      </c>
      <c r="CB34" s="356">
        <f>'Portfolio Sales'!BR75</f>
        <v>18933.15167</v>
      </c>
      <c r="CC34" s="356">
        <f>'Portfolio Sales'!BS75</f>
        <v>19026.36536</v>
      </c>
      <c r="CD34" s="356">
        <f>'Portfolio Sales'!BT75</f>
        <v>19123.35616</v>
      </c>
      <c r="CE34" s="356">
        <f>'Portfolio Sales'!BU75</f>
        <v>19224.09668</v>
      </c>
      <c r="CF34" s="356">
        <f>'Portfolio Sales'!BV75</f>
        <v>19328.56106</v>
      </c>
      <c r="CG34" s="356">
        <f>'Portfolio Sales'!BW75</f>
        <v>19436.72499</v>
      </c>
      <c r="CH34" s="356">
        <f>'Portfolio Sales'!BX75</f>
        <v>19548.56564</v>
      </c>
      <c r="CI34" s="1"/>
      <c r="CJ34" s="1"/>
      <c r="CK34" s="1"/>
      <c r="CL34" s="1"/>
      <c r="CM34" s="1"/>
      <c r="CN34" s="1"/>
      <c r="CO34" s="1"/>
      <c r="CP34" s="1"/>
    </row>
    <row r="35" ht="15.75" customHeight="1">
      <c r="A35" s="1" t="s">
        <v>89</v>
      </c>
      <c r="B35" s="356"/>
      <c r="C35" s="356"/>
      <c r="D35" s="356"/>
      <c r="E35" s="356"/>
      <c r="F35" s="356"/>
      <c r="G35" s="356"/>
      <c r="H35" s="356"/>
      <c r="I35" s="356"/>
      <c r="J35" s="356"/>
      <c r="K35" s="356"/>
      <c r="L35" s="356"/>
      <c r="M35" s="356"/>
      <c r="N35" s="356"/>
      <c r="O35" s="356"/>
      <c r="P35" s="356"/>
      <c r="Q35" s="356"/>
      <c r="R35" s="356"/>
      <c r="S35" s="356"/>
      <c r="T35" s="356"/>
      <c r="U35" s="356"/>
      <c r="V35" s="356">
        <f>'Portfolio Sales'!L76</f>
        <v>0</v>
      </c>
      <c r="W35" s="356">
        <f>'Portfolio Sales'!M76</f>
        <v>5000</v>
      </c>
      <c r="X35" s="356">
        <f>'Portfolio Sales'!N76</f>
        <v>1458.333333</v>
      </c>
      <c r="Y35" s="356">
        <f>'Portfolio Sales'!O76</f>
        <v>14502.5</v>
      </c>
      <c r="Z35" s="356">
        <f>'Portfolio Sales'!P76</f>
        <v>3757.85237</v>
      </c>
      <c r="AA35" s="356">
        <f>'Portfolio Sales'!Q76</f>
        <v>3598.882749</v>
      </c>
      <c r="AB35" s="356">
        <f>'Portfolio Sales'!R76</f>
        <v>4304.908493</v>
      </c>
      <c r="AC35" s="356">
        <f>'Portfolio Sales'!S76</f>
        <v>5236.953795</v>
      </c>
      <c r="AD35" s="356">
        <f>'Portfolio Sales'!T76</f>
        <v>5969.529258</v>
      </c>
      <c r="AE35" s="356">
        <f>'Portfolio Sales'!U76</f>
        <v>5187.950212</v>
      </c>
      <c r="AF35" s="356">
        <f>'Portfolio Sales'!V76</f>
        <v>5295.191917</v>
      </c>
      <c r="AG35" s="356">
        <f>'Portfolio Sales'!W76</f>
        <v>5404.735182</v>
      </c>
      <c r="AH35" s="356">
        <f>'Portfolio Sales'!X76</f>
        <v>5506.021656</v>
      </c>
      <c r="AI35" s="356">
        <f>'Portfolio Sales'!Y76</f>
        <v>5883.609273</v>
      </c>
      <c r="AJ35" s="356">
        <f>'Portfolio Sales'!Z76</f>
        <v>8583.630402</v>
      </c>
      <c r="AK35" s="356">
        <f>'Portfolio Sales'!AA76</f>
        <v>8899.459954</v>
      </c>
      <c r="AL35" s="356">
        <f>'Portfolio Sales'!AB76</f>
        <v>9329.58079</v>
      </c>
      <c r="AM35" s="356">
        <f>'Portfolio Sales'!AC76</f>
        <v>6550.930778</v>
      </c>
      <c r="AN35" s="356">
        <f>'Portfolio Sales'!AD76</f>
        <v>7702.586525</v>
      </c>
      <c r="AO35" s="356">
        <f>'Portfolio Sales'!AE76</f>
        <v>7785.735053</v>
      </c>
      <c r="AP35" s="356">
        <f>'Portfolio Sales'!AF76</f>
        <v>7869.857775</v>
      </c>
      <c r="AQ35" s="356">
        <f>'Portfolio Sales'!AG76</f>
        <v>7954.966567</v>
      </c>
      <c r="AR35" s="356">
        <f>'Portfolio Sales'!AH76</f>
        <v>8041.073453</v>
      </c>
      <c r="AS35" s="356">
        <f>'Portfolio Sales'!AI76</f>
        <v>8128.190606</v>
      </c>
      <c r="AT35" s="356">
        <f>'Portfolio Sales'!AJ76</f>
        <v>8216.330352</v>
      </c>
      <c r="AU35" s="356">
        <f>'Portfolio Sales'!AK76</f>
        <v>8305.505172</v>
      </c>
      <c r="AV35" s="356">
        <f>'Portfolio Sales'!AL76</f>
        <v>8395.7277</v>
      </c>
      <c r="AW35" s="356">
        <f>'Portfolio Sales'!AM76</f>
        <v>8487.010731</v>
      </c>
      <c r="AX35" s="356">
        <f>'Portfolio Sales'!AN76</f>
        <v>8579.367217</v>
      </c>
      <c r="AY35" s="356">
        <f>'Portfolio Sales'!AO76</f>
        <v>8672.121999</v>
      </c>
      <c r="AZ35" s="356">
        <f>'Portfolio Sales'!AP76</f>
        <v>8763.425706</v>
      </c>
      <c r="BA35" s="356">
        <f>'Portfolio Sales'!AQ76</f>
        <v>8855.762661</v>
      </c>
      <c r="BB35" s="356">
        <f>'Portfolio Sales'!AR76</f>
        <v>8949.144959</v>
      </c>
      <c r="BC35" s="356">
        <f>'Portfolio Sales'!AS76</f>
        <v>9043.584836</v>
      </c>
      <c r="BD35" s="356">
        <f>'Portfolio Sales'!AT76</f>
        <v>9139.094678</v>
      </c>
      <c r="BE35" s="356">
        <f>'Portfolio Sales'!AU76</f>
        <v>9235.687013</v>
      </c>
      <c r="BF35" s="356">
        <f>'Portfolio Sales'!AV76</f>
        <v>9333.374521</v>
      </c>
      <c r="BG35" s="356">
        <f>'Portfolio Sales'!AW76</f>
        <v>9432.170032</v>
      </c>
      <c r="BH35" s="356">
        <f>'Portfolio Sales'!AX76</f>
        <v>9532.086528</v>
      </c>
      <c r="BI35" s="356">
        <f>'Portfolio Sales'!AY76</f>
        <v>9633.137146</v>
      </c>
      <c r="BJ35" s="356">
        <f>'Portfolio Sales'!AZ76</f>
        <v>9735.335179</v>
      </c>
      <c r="BK35" s="356">
        <f>'Portfolio Sales'!BA76</f>
        <v>9745.252818</v>
      </c>
      <c r="BL35" s="356">
        <f>'Portfolio Sales'!BB76</f>
        <v>9871.848215</v>
      </c>
      <c r="BM35" s="356">
        <f>'Portfolio Sales'!BC76</f>
        <v>9280.767186</v>
      </c>
      <c r="BN35" s="356">
        <f>'Portfolio Sales'!BD76</f>
        <v>9403.103014</v>
      </c>
      <c r="BO35" s="356">
        <f>'Portfolio Sales'!BE76</f>
        <v>9527.606167</v>
      </c>
      <c r="BP35" s="356">
        <f>'Portfolio Sales'!BF76</f>
        <v>9654.32711</v>
      </c>
      <c r="BQ35" s="356">
        <f>'Portfolio Sales'!BG76</f>
        <v>9783.317719</v>
      </c>
      <c r="BR35" s="356">
        <f>'Portfolio Sales'!BH76</f>
        <v>9914.63132</v>
      </c>
      <c r="BS35" s="356">
        <f>'Portfolio Sales'!BI76</f>
        <v>10048.32274</v>
      </c>
      <c r="BT35" s="356">
        <f>'Portfolio Sales'!BJ76</f>
        <v>10184.44836</v>
      </c>
      <c r="BU35" s="356">
        <f>'Portfolio Sales'!BK76</f>
        <v>10323.06612</v>
      </c>
      <c r="BV35" s="356">
        <f>'Portfolio Sales'!BL76</f>
        <v>10464.23565</v>
      </c>
      <c r="BW35" s="356">
        <f>'Portfolio Sales'!BM76</f>
        <v>10762.90304</v>
      </c>
      <c r="BX35" s="356">
        <f>'Portfolio Sales'!BN76</f>
        <v>10811.66875</v>
      </c>
      <c r="BY35" s="356">
        <f>'Portfolio Sales'!BO76</f>
        <v>10116.42206</v>
      </c>
      <c r="BZ35" s="356">
        <f>'Portfolio Sales'!BP76</f>
        <v>10160.6772</v>
      </c>
      <c r="CA35" s="356">
        <f>'Portfolio Sales'!BQ76</f>
        <v>10207.02806</v>
      </c>
      <c r="CB35" s="356">
        <f>'Portfolio Sales'!BR76</f>
        <v>10255.45716</v>
      </c>
      <c r="CC35" s="356">
        <f>'Portfolio Sales'!BS76</f>
        <v>10305.9479</v>
      </c>
      <c r="CD35" s="356">
        <f>'Portfolio Sales'!BT76</f>
        <v>10358.48459</v>
      </c>
      <c r="CE35" s="356">
        <f>'Portfolio Sales'!BU76</f>
        <v>10413.05237</v>
      </c>
      <c r="CF35" s="356">
        <f>'Portfolio Sales'!BV76</f>
        <v>10469.63724</v>
      </c>
      <c r="CG35" s="356">
        <f>'Portfolio Sales'!BW76</f>
        <v>10528.22604</v>
      </c>
      <c r="CH35" s="356">
        <f>'Portfolio Sales'!BX76</f>
        <v>10588.80639</v>
      </c>
      <c r="CI35" s="1"/>
      <c r="CJ35" s="1"/>
      <c r="CK35" s="1"/>
      <c r="CL35" s="1"/>
      <c r="CM35" s="1"/>
      <c r="CN35" s="1"/>
      <c r="CO35" s="1"/>
      <c r="CP35" s="1"/>
    </row>
    <row r="36" ht="15.75" customHeight="1">
      <c r="A36" s="1" t="s">
        <v>94</v>
      </c>
      <c r="B36" s="356"/>
      <c r="C36" s="356"/>
      <c r="D36" s="356"/>
      <c r="E36" s="356"/>
      <c r="F36" s="356"/>
      <c r="G36" s="356"/>
      <c r="H36" s="356"/>
      <c r="I36" s="356"/>
      <c r="J36" s="356"/>
      <c r="K36" s="356"/>
      <c r="L36" s="356"/>
      <c r="M36" s="356"/>
      <c r="N36" s="356"/>
      <c r="O36" s="356"/>
      <c r="P36" s="356"/>
      <c r="Q36" s="356"/>
      <c r="R36" s="356"/>
      <c r="S36" s="356"/>
      <c r="T36" s="356"/>
      <c r="U36" s="356"/>
      <c r="V36" s="356">
        <f>'Portfolio Sales'!L77</f>
        <v>2500</v>
      </c>
      <c r="W36" s="356">
        <f>'Portfolio Sales'!M77</f>
        <v>2083.333333</v>
      </c>
      <c r="X36" s="356">
        <f>'Portfolio Sales'!N77</f>
        <v>8833.333333</v>
      </c>
      <c r="Y36" s="356">
        <f>'Portfolio Sales'!O77</f>
        <v>208.3333333</v>
      </c>
      <c r="Z36" s="356">
        <f>'Portfolio Sales'!P77</f>
        <v>2684.180264</v>
      </c>
      <c r="AA36" s="356">
        <f>'Portfolio Sales'!Q77</f>
        <v>2999.068958</v>
      </c>
      <c r="AB36" s="356">
        <f>'Portfolio Sales'!R77</f>
        <v>2869.938995</v>
      </c>
      <c r="AC36" s="356">
        <f>'Portfolio Sales'!S77</f>
        <v>4364.128162</v>
      </c>
      <c r="AD36" s="356">
        <f>'Portfolio Sales'!T77</f>
        <v>5969.529258</v>
      </c>
      <c r="AE36" s="356">
        <f>'Portfolio Sales'!U77</f>
        <v>3112.770127</v>
      </c>
      <c r="AF36" s="356">
        <f>'Portfolio Sales'!V77</f>
        <v>3177.11515</v>
      </c>
      <c r="AG36" s="356">
        <f>'Portfolio Sales'!W77</f>
        <v>2161.894073</v>
      </c>
      <c r="AH36" s="356">
        <f>'Portfolio Sales'!X77</f>
        <v>2202.408662</v>
      </c>
      <c r="AI36" s="356">
        <f>'Portfolio Sales'!Y77</f>
        <v>3530.165564</v>
      </c>
      <c r="AJ36" s="356">
        <f>'Portfolio Sales'!Z77</f>
        <v>6131.164573</v>
      </c>
      <c r="AK36" s="356">
        <f>'Portfolio Sales'!AA77</f>
        <v>6356.75711</v>
      </c>
      <c r="AL36" s="356">
        <f>'Portfolio Sales'!AB77</f>
        <v>6663.986278</v>
      </c>
      <c r="AM36" s="356">
        <f>'Portfolio Sales'!AC77</f>
        <v>4679.23627</v>
      </c>
      <c r="AN36" s="356">
        <f>'Portfolio Sales'!AD77</f>
        <v>5501.847518</v>
      </c>
      <c r="AO36" s="356">
        <f>'Portfolio Sales'!AE77</f>
        <v>5561.239324</v>
      </c>
      <c r="AP36" s="356">
        <f>'Portfolio Sales'!AF77</f>
        <v>5621.326982</v>
      </c>
      <c r="AQ36" s="356">
        <f>'Portfolio Sales'!AG77</f>
        <v>5682.118977</v>
      </c>
      <c r="AR36" s="356">
        <f>'Portfolio Sales'!AH77</f>
        <v>5743.623895</v>
      </c>
      <c r="AS36" s="356">
        <f>'Portfolio Sales'!AI77</f>
        <v>5805.850433</v>
      </c>
      <c r="AT36" s="356">
        <f>'Portfolio Sales'!AJ77</f>
        <v>5868.807394</v>
      </c>
      <c r="AU36" s="356">
        <f>'Portfolio Sales'!AK77</f>
        <v>5932.503694</v>
      </c>
      <c r="AV36" s="356">
        <f>'Portfolio Sales'!AL77</f>
        <v>5996.948357</v>
      </c>
      <c r="AW36" s="356">
        <f>'Portfolio Sales'!AM77</f>
        <v>6062.150522</v>
      </c>
      <c r="AX36" s="356">
        <f>'Portfolio Sales'!AN77</f>
        <v>6128.119441</v>
      </c>
      <c r="AY36" s="356">
        <f>'Portfolio Sales'!AO77</f>
        <v>6194.372857</v>
      </c>
      <c r="AZ36" s="356">
        <f>'Portfolio Sales'!AP77</f>
        <v>6259.58979</v>
      </c>
      <c r="BA36" s="356">
        <f>'Portfolio Sales'!AQ77</f>
        <v>6325.544758</v>
      </c>
      <c r="BB36" s="356">
        <f>'Portfolio Sales'!AR77</f>
        <v>6392.246399</v>
      </c>
      <c r="BC36" s="356">
        <f>'Portfolio Sales'!AS77</f>
        <v>6459.703455</v>
      </c>
      <c r="BD36" s="356">
        <f>'Portfolio Sales'!AT77</f>
        <v>6527.92477</v>
      </c>
      <c r="BE36" s="356">
        <f>'Portfolio Sales'!AU77</f>
        <v>6596.919295</v>
      </c>
      <c r="BF36" s="356">
        <f>'Portfolio Sales'!AV77</f>
        <v>6666.696086</v>
      </c>
      <c r="BG36" s="356">
        <f>'Portfolio Sales'!AW77</f>
        <v>6737.264308</v>
      </c>
      <c r="BH36" s="356">
        <f>'Portfolio Sales'!AX77</f>
        <v>6808.633234</v>
      </c>
      <c r="BI36" s="356">
        <f>'Portfolio Sales'!AY77</f>
        <v>6880.812247</v>
      </c>
      <c r="BJ36" s="356">
        <f>'Portfolio Sales'!AZ77</f>
        <v>6953.810842</v>
      </c>
      <c r="BK36" s="356">
        <f>'Portfolio Sales'!BA77</f>
        <v>6960.89487</v>
      </c>
      <c r="BL36" s="356">
        <f>'Portfolio Sales'!BB77</f>
        <v>7051.320154</v>
      </c>
      <c r="BM36" s="356">
        <f>'Portfolio Sales'!BC77</f>
        <v>6629.119419</v>
      </c>
      <c r="BN36" s="356">
        <f>'Portfolio Sales'!BD77</f>
        <v>6716.502153</v>
      </c>
      <c r="BO36" s="356">
        <f>'Portfolio Sales'!BE77</f>
        <v>6805.432977</v>
      </c>
      <c r="BP36" s="356">
        <f>'Portfolio Sales'!BF77</f>
        <v>6895.947936</v>
      </c>
      <c r="BQ36" s="356">
        <f>'Portfolio Sales'!BG77</f>
        <v>6988.084085</v>
      </c>
      <c r="BR36" s="356">
        <f>'Portfolio Sales'!BH77</f>
        <v>7081.879514</v>
      </c>
      <c r="BS36" s="356">
        <f>'Portfolio Sales'!BI77</f>
        <v>7177.373387</v>
      </c>
      <c r="BT36" s="356">
        <f>'Portfolio Sales'!BJ77</f>
        <v>7274.605969</v>
      </c>
      <c r="BU36" s="356">
        <f>'Portfolio Sales'!BK77</f>
        <v>7373.61866</v>
      </c>
      <c r="BV36" s="356">
        <f>'Portfolio Sales'!BL77</f>
        <v>7474.454036</v>
      </c>
      <c r="BW36" s="356">
        <f>'Portfolio Sales'!BM77</f>
        <v>7687.787885</v>
      </c>
      <c r="BX36" s="356">
        <f>'Portfolio Sales'!BN77</f>
        <v>7722.620534</v>
      </c>
      <c r="BY36" s="356">
        <f>'Portfolio Sales'!BO77</f>
        <v>7226.015754</v>
      </c>
      <c r="BZ36" s="356">
        <f>'Portfolio Sales'!BP77</f>
        <v>7257.626571</v>
      </c>
      <c r="CA36" s="356">
        <f>'Portfolio Sales'!BQ77</f>
        <v>7290.734329</v>
      </c>
      <c r="CB36" s="356">
        <f>'Portfolio Sales'!BR77</f>
        <v>7325.326541</v>
      </c>
      <c r="CC36" s="356">
        <f>'Portfolio Sales'!BS77</f>
        <v>7361.391358</v>
      </c>
      <c r="CD36" s="356">
        <f>'Portfolio Sales'!BT77</f>
        <v>7398.917561</v>
      </c>
      <c r="CE36" s="356">
        <f>'Portfolio Sales'!BU77</f>
        <v>7437.894548</v>
      </c>
      <c r="CF36" s="356">
        <f>'Portfolio Sales'!BV77</f>
        <v>7478.312316</v>
      </c>
      <c r="CG36" s="356">
        <f>'Portfolio Sales'!BW77</f>
        <v>7520.161455</v>
      </c>
      <c r="CH36" s="356">
        <f>'Portfolio Sales'!BX77</f>
        <v>7563.433134</v>
      </c>
      <c r="CI36" s="1"/>
      <c r="CJ36" s="1"/>
      <c r="CK36" s="1"/>
      <c r="CL36" s="1"/>
      <c r="CM36" s="1"/>
      <c r="CN36" s="1"/>
      <c r="CO36" s="1"/>
      <c r="CP36" s="1"/>
    </row>
    <row r="37" ht="15.75" customHeight="1">
      <c r="A37" s="1" t="s">
        <v>96</v>
      </c>
      <c r="B37" s="356"/>
      <c r="C37" s="356"/>
      <c r="D37" s="356"/>
      <c r="E37" s="356"/>
      <c r="F37" s="356"/>
      <c r="G37" s="356"/>
      <c r="H37" s="356"/>
      <c r="I37" s="356"/>
      <c r="J37" s="356"/>
      <c r="K37" s="356"/>
      <c r="L37" s="356"/>
      <c r="M37" s="356"/>
      <c r="N37" s="356"/>
      <c r="O37" s="356"/>
      <c r="P37" s="356"/>
      <c r="Q37" s="356"/>
      <c r="R37" s="356"/>
      <c r="S37" s="356"/>
      <c r="T37" s="356"/>
      <c r="U37" s="356"/>
      <c r="V37" s="356">
        <f>'Portfolio Sales'!L78</f>
        <v>0</v>
      </c>
      <c r="W37" s="356">
        <f>'Portfolio Sales'!M78</f>
        <v>0</v>
      </c>
      <c r="X37" s="356">
        <f>'Portfolio Sales'!N78</f>
        <v>0</v>
      </c>
      <c r="Y37" s="356">
        <f>'Portfolio Sales'!O78</f>
        <v>8333.333333</v>
      </c>
      <c r="Z37" s="356">
        <f>'Portfolio Sales'!P78</f>
        <v>0</v>
      </c>
      <c r="AA37" s="356">
        <f>'Portfolio Sales'!Q78</f>
        <v>0</v>
      </c>
      <c r="AB37" s="356">
        <f>'Portfolio Sales'!R78</f>
        <v>0</v>
      </c>
      <c r="AC37" s="356">
        <f>'Portfolio Sales'!S78</f>
        <v>0</v>
      </c>
      <c r="AD37" s="356">
        <f>'Portfolio Sales'!T78</f>
        <v>0</v>
      </c>
      <c r="AE37" s="356">
        <f>'Portfolio Sales'!U78</f>
        <v>0</v>
      </c>
      <c r="AF37" s="356">
        <f>'Portfolio Sales'!V78</f>
        <v>0</v>
      </c>
      <c r="AG37" s="356">
        <f>'Portfolio Sales'!W78</f>
        <v>0</v>
      </c>
      <c r="AH37" s="356">
        <f>'Portfolio Sales'!X78</f>
        <v>0</v>
      </c>
      <c r="AI37" s="356">
        <f>'Portfolio Sales'!Y78</f>
        <v>0</v>
      </c>
      <c r="AJ37" s="356">
        <f>'Portfolio Sales'!Z78</f>
        <v>0</v>
      </c>
      <c r="AK37" s="356">
        <f>'Portfolio Sales'!AA78</f>
        <v>0</v>
      </c>
      <c r="AL37" s="356">
        <f>'Portfolio Sales'!AB78</f>
        <v>0</v>
      </c>
      <c r="AM37" s="356">
        <f>'Portfolio Sales'!AC78</f>
        <v>0</v>
      </c>
      <c r="AN37" s="356">
        <f>'Portfolio Sales'!AD78</f>
        <v>0</v>
      </c>
      <c r="AO37" s="356">
        <f>'Portfolio Sales'!AE78</f>
        <v>0</v>
      </c>
      <c r="AP37" s="356">
        <f>'Portfolio Sales'!AF78</f>
        <v>0</v>
      </c>
      <c r="AQ37" s="356">
        <f>'Portfolio Sales'!AG78</f>
        <v>0</v>
      </c>
      <c r="AR37" s="356">
        <f>'Portfolio Sales'!AH78</f>
        <v>0</v>
      </c>
      <c r="AS37" s="356">
        <f>'Portfolio Sales'!AI78</f>
        <v>0</v>
      </c>
      <c r="AT37" s="356">
        <f>'Portfolio Sales'!AJ78</f>
        <v>0</v>
      </c>
      <c r="AU37" s="356">
        <f>'Portfolio Sales'!AK78</f>
        <v>0</v>
      </c>
      <c r="AV37" s="356">
        <f>'Portfolio Sales'!AL78</f>
        <v>0</v>
      </c>
      <c r="AW37" s="356">
        <f>'Portfolio Sales'!AM78</f>
        <v>0</v>
      </c>
      <c r="AX37" s="356">
        <f>'Portfolio Sales'!AN78</f>
        <v>0</v>
      </c>
      <c r="AY37" s="356">
        <f>'Portfolio Sales'!AO78</f>
        <v>0</v>
      </c>
      <c r="AZ37" s="356">
        <f>'Portfolio Sales'!AP78</f>
        <v>0</v>
      </c>
      <c r="BA37" s="356">
        <f>'Portfolio Sales'!AQ78</f>
        <v>0</v>
      </c>
      <c r="BB37" s="356">
        <f>'Portfolio Sales'!AR78</f>
        <v>0</v>
      </c>
      <c r="BC37" s="356">
        <f>'Portfolio Sales'!AS78</f>
        <v>0</v>
      </c>
      <c r="BD37" s="356">
        <f>'Portfolio Sales'!AT78</f>
        <v>0</v>
      </c>
      <c r="BE37" s="356">
        <f>'Portfolio Sales'!AU78</f>
        <v>0</v>
      </c>
      <c r="BF37" s="356">
        <f>'Portfolio Sales'!AV78</f>
        <v>0</v>
      </c>
      <c r="BG37" s="356">
        <f>'Portfolio Sales'!AW78</f>
        <v>0</v>
      </c>
      <c r="BH37" s="356">
        <f>'Portfolio Sales'!AX78</f>
        <v>0</v>
      </c>
      <c r="BI37" s="356">
        <f>'Portfolio Sales'!AY78</f>
        <v>0</v>
      </c>
      <c r="BJ37" s="356">
        <f>'Portfolio Sales'!AZ78</f>
        <v>0</v>
      </c>
      <c r="BK37" s="356">
        <f>'Portfolio Sales'!BA78</f>
        <v>0</v>
      </c>
      <c r="BL37" s="356">
        <f>'Portfolio Sales'!BB78</f>
        <v>0</v>
      </c>
      <c r="BM37" s="356">
        <f>'Portfolio Sales'!BC78</f>
        <v>0</v>
      </c>
      <c r="BN37" s="356">
        <f>'Portfolio Sales'!BD78</f>
        <v>0</v>
      </c>
      <c r="BO37" s="356">
        <f>'Portfolio Sales'!BE78</f>
        <v>0</v>
      </c>
      <c r="BP37" s="356">
        <f>'Portfolio Sales'!BF78</f>
        <v>0</v>
      </c>
      <c r="BQ37" s="356">
        <f>'Portfolio Sales'!BG78</f>
        <v>0</v>
      </c>
      <c r="BR37" s="356">
        <f>'Portfolio Sales'!BH78</f>
        <v>0</v>
      </c>
      <c r="BS37" s="356">
        <f>'Portfolio Sales'!BI78</f>
        <v>0</v>
      </c>
      <c r="BT37" s="356">
        <f>'Portfolio Sales'!BJ78</f>
        <v>0</v>
      </c>
      <c r="BU37" s="356">
        <f>'Portfolio Sales'!BK78</f>
        <v>0</v>
      </c>
      <c r="BV37" s="356">
        <f>'Portfolio Sales'!BL78</f>
        <v>0</v>
      </c>
      <c r="BW37" s="356">
        <f>'Portfolio Sales'!BM78</f>
        <v>0</v>
      </c>
      <c r="BX37" s="356">
        <f>'Portfolio Sales'!BN78</f>
        <v>0</v>
      </c>
      <c r="BY37" s="356">
        <f>'Portfolio Sales'!BO78</f>
        <v>0</v>
      </c>
      <c r="BZ37" s="356">
        <f>'Portfolio Sales'!BP78</f>
        <v>0</v>
      </c>
      <c r="CA37" s="356">
        <f>'Portfolio Sales'!BQ78</f>
        <v>0</v>
      </c>
      <c r="CB37" s="356">
        <f>'Portfolio Sales'!BR78</f>
        <v>0</v>
      </c>
      <c r="CC37" s="356">
        <f>'Portfolio Sales'!BS78</f>
        <v>0</v>
      </c>
      <c r="CD37" s="356">
        <f>'Portfolio Sales'!BT78</f>
        <v>0</v>
      </c>
      <c r="CE37" s="356">
        <f>'Portfolio Sales'!BU78</f>
        <v>0</v>
      </c>
      <c r="CF37" s="356">
        <f>'Portfolio Sales'!BV78</f>
        <v>0</v>
      </c>
      <c r="CG37" s="356">
        <f>'Portfolio Sales'!BW78</f>
        <v>0</v>
      </c>
      <c r="CH37" s="356">
        <f>'Portfolio Sales'!BX78</f>
        <v>0</v>
      </c>
      <c r="CI37" s="1"/>
      <c r="CJ37" s="1"/>
      <c r="CK37" s="1"/>
      <c r="CL37" s="1"/>
      <c r="CM37" s="1"/>
      <c r="CN37" s="1"/>
      <c r="CO37" s="1"/>
      <c r="CP37" s="1"/>
    </row>
    <row r="38" ht="15.75" customHeight="1">
      <c r="A38" s="119" t="s">
        <v>653</v>
      </c>
      <c r="B38" s="351"/>
      <c r="C38" s="351"/>
      <c r="D38" s="351"/>
      <c r="E38" s="351"/>
      <c r="F38" s="351"/>
      <c r="G38" s="351"/>
      <c r="H38" s="351"/>
      <c r="I38" s="351"/>
      <c r="J38" s="351"/>
      <c r="K38" s="351"/>
      <c r="L38" s="351"/>
      <c r="M38" s="351"/>
      <c r="N38" s="351"/>
      <c r="O38" s="351"/>
      <c r="P38" s="351"/>
      <c r="Q38" s="351"/>
      <c r="R38" s="351"/>
      <c r="S38" s="351"/>
      <c r="T38" s="351"/>
      <c r="U38" s="351"/>
      <c r="V38" s="386">
        <f t="shared" ref="V38:CH38" si="10">SUM(V32:V37)</f>
        <v>99884.61538</v>
      </c>
      <c r="W38" s="386">
        <f t="shared" si="10"/>
        <v>18814.10256</v>
      </c>
      <c r="X38" s="386">
        <f t="shared" si="10"/>
        <v>29214.74359</v>
      </c>
      <c r="Y38" s="386">
        <f t="shared" si="10"/>
        <v>90941.55128</v>
      </c>
      <c r="Z38" s="386">
        <f t="shared" si="10"/>
        <v>50049.63816</v>
      </c>
      <c r="AA38" s="386">
        <f t="shared" si="10"/>
        <v>55874.96166</v>
      </c>
      <c r="AB38" s="386">
        <f t="shared" si="10"/>
        <v>66781.27277</v>
      </c>
      <c r="AC38" s="386">
        <f t="shared" si="10"/>
        <v>81307.06468</v>
      </c>
      <c r="AD38" s="386">
        <f t="shared" si="10"/>
        <v>92757.30078</v>
      </c>
      <c r="AE38" s="386">
        <f t="shared" si="10"/>
        <v>96416.05932</v>
      </c>
      <c r="AF38" s="386">
        <f t="shared" si="10"/>
        <v>98409.10517</v>
      </c>
      <c r="AG38" s="386">
        <f t="shared" si="10"/>
        <v>100361.7748</v>
      </c>
      <c r="AH38" s="386">
        <f t="shared" si="10"/>
        <v>102242.5867</v>
      </c>
      <c r="AI38" s="386">
        <f t="shared" si="10"/>
        <v>109344.6154</v>
      </c>
      <c r="AJ38" s="386">
        <f t="shared" si="10"/>
        <v>114322.6379</v>
      </c>
      <c r="AK38" s="386">
        <f t="shared" si="10"/>
        <v>118529.071</v>
      </c>
      <c r="AL38" s="386">
        <f t="shared" si="10"/>
        <v>124257.7134</v>
      </c>
      <c r="AM38" s="386">
        <f t="shared" si="10"/>
        <v>87249.75937</v>
      </c>
      <c r="AN38" s="386">
        <f t="shared" si="10"/>
        <v>102588.2953</v>
      </c>
      <c r="AO38" s="386">
        <f t="shared" si="10"/>
        <v>103695.724</v>
      </c>
      <c r="AP38" s="386">
        <f t="shared" si="10"/>
        <v>104816.1277</v>
      </c>
      <c r="AQ38" s="386">
        <f t="shared" si="10"/>
        <v>105949.6646</v>
      </c>
      <c r="AR38" s="386">
        <f t="shared" si="10"/>
        <v>107096.4948</v>
      </c>
      <c r="AS38" s="386">
        <f t="shared" si="10"/>
        <v>108256.7804</v>
      </c>
      <c r="AT38" s="386">
        <f t="shared" si="10"/>
        <v>109430.6856</v>
      </c>
      <c r="AU38" s="386">
        <f t="shared" si="10"/>
        <v>110618.3766</v>
      </c>
      <c r="AV38" s="386">
        <f t="shared" si="10"/>
        <v>111820.0217</v>
      </c>
      <c r="AW38" s="386">
        <f t="shared" si="10"/>
        <v>113035.7913</v>
      </c>
      <c r="AX38" s="386">
        <f t="shared" si="10"/>
        <v>114265.8579</v>
      </c>
      <c r="AY38" s="386">
        <f t="shared" si="10"/>
        <v>115501.2293</v>
      </c>
      <c r="AZ38" s="386">
        <f t="shared" si="10"/>
        <v>116717.2742</v>
      </c>
      <c r="BA38" s="386">
        <f t="shared" si="10"/>
        <v>117947.0807</v>
      </c>
      <c r="BB38" s="386">
        <f t="shared" si="10"/>
        <v>119190.8098</v>
      </c>
      <c r="BC38" s="386">
        <f t="shared" si="10"/>
        <v>120448.6244</v>
      </c>
      <c r="BD38" s="386">
        <f t="shared" si="10"/>
        <v>121720.6896</v>
      </c>
      <c r="BE38" s="386">
        <f t="shared" si="10"/>
        <v>123007.1721</v>
      </c>
      <c r="BF38" s="386">
        <f t="shared" si="10"/>
        <v>124308.2409</v>
      </c>
      <c r="BG38" s="386">
        <f t="shared" si="10"/>
        <v>125624.0668</v>
      </c>
      <c r="BH38" s="386">
        <f t="shared" si="10"/>
        <v>126954.8228</v>
      </c>
      <c r="BI38" s="386">
        <f t="shared" si="10"/>
        <v>128300.6837</v>
      </c>
      <c r="BJ38" s="386">
        <f t="shared" si="10"/>
        <v>129661.8268</v>
      </c>
      <c r="BK38" s="386">
        <f t="shared" si="10"/>
        <v>129793.9167</v>
      </c>
      <c r="BL38" s="386">
        <f t="shared" si="10"/>
        <v>131480.0004</v>
      </c>
      <c r="BM38" s="386">
        <f t="shared" si="10"/>
        <v>123607.5805</v>
      </c>
      <c r="BN38" s="386">
        <f t="shared" si="10"/>
        <v>125236.9324</v>
      </c>
      <c r="BO38" s="386">
        <f t="shared" si="10"/>
        <v>126895.1503</v>
      </c>
      <c r="BP38" s="386">
        <f t="shared" si="10"/>
        <v>128582.9061</v>
      </c>
      <c r="BQ38" s="386">
        <f t="shared" si="10"/>
        <v>130300.8909</v>
      </c>
      <c r="BR38" s="386">
        <f t="shared" si="10"/>
        <v>132049.8149</v>
      </c>
      <c r="BS38" s="386">
        <f t="shared" si="10"/>
        <v>133830.4084</v>
      </c>
      <c r="BT38" s="386">
        <f t="shared" si="10"/>
        <v>135643.4221</v>
      </c>
      <c r="BU38" s="386">
        <f t="shared" si="10"/>
        <v>137489.6279</v>
      </c>
      <c r="BV38" s="386">
        <f t="shared" si="10"/>
        <v>139369.8199</v>
      </c>
      <c r="BW38" s="386">
        <f t="shared" si="10"/>
        <v>143347.6756</v>
      </c>
      <c r="BX38" s="386">
        <f t="shared" si="10"/>
        <v>143997.1706</v>
      </c>
      <c r="BY38" s="386">
        <f t="shared" si="10"/>
        <v>134737.4014</v>
      </c>
      <c r="BZ38" s="386">
        <f t="shared" si="10"/>
        <v>135326.8216</v>
      </c>
      <c r="CA38" s="386">
        <f t="shared" si="10"/>
        <v>135944.154</v>
      </c>
      <c r="CB38" s="386">
        <f t="shared" si="10"/>
        <v>136589.1656</v>
      </c>
      <c r="CC38" s="386">
        <f t="shared" si="10"/>
        <v>137261.6358</v>
      </c>
      <c r="CD38" s="386">
        <f t="shared" si="10"/>
        <v>137961.3551</v>
      </c>
      <c r="CE38" s="386">
        <f t="shared" si="10"/>
        <v>138688.126</v>
      </c>
      <c r="CF38" s="386">
        <f t="shared" si="10"/>
        <v>139441.7619</v>
      </c>
      <c r="CG38" s="386">
        <f t="shared" si="10"/>
        <v>140222.0874</v>
      </c>
      <c r="CH38" s="386">
        <f t="shared" si="10"/>
        <v>141028.9378</v>
      </c>
      <c r="CI38" s="1"/>
      <c r="CJ38" s="1"/>
      <c r="CK38" s="1"/>
      <c r="CL38" s="1"/>
      <c r="CM38" s="1"/>
      <c r="CN38" s="1"/>
      <c r="CO38" s="1"/>
      <c r="CP38" s="1"/>
    </row>
    <row r="39" ht="15.75" customHeight="1">
      <c r="A39" s="1"/>
      <c r="B39" s="356"/>
      <c r="C39" s="356"/>
      <c r="D39" s="356"/>
      <c r="E39" s="356"/>
      <c r="F39" s="356"/>
      <c r="G39" s="356"/>
      <c r="H39" s="356"/>
      <c r="I39" s="356"/>
      <c r="J39" s="356"/>
      <c r="K39" s="356"/>
      <c r="L39" s="356"/>
      <c r="M39" s="356"/>
      <c r="N39" s="356"/>
      <c r="O39" s="356"/>
      <c r="P39" s="356"/>
      <c r="Q39" s="356"/>
      <c r="R39" s="356"/>
      <c r="S39" s="356"/>
      <c r="T39" s="356"/>
      <c r="U39" s="356"/>
      <c r="V39" s="356"/>
      <c r="W39" s="356"/>
      <c r="X39" s="356"/>
      <c r="Y39" s="356"/>
      <c r="Z39" s="356"/>
      <c r="AA39" s="356"/>
      <c r="AB39" s="356"/>
      <c r="AC39" s="356"/>
      <c r="AD39" s="356"/>
      <c r="AE39" s="356"/>
      <c r="AF39" s="356"/>
      <c r="AG39" s="356"/>
      <c r="AH39" s="356"/>
      <c r="AI39" s="356"/>
      <c r="AJ39" s="356"/>
      <c r="AK39" s="356"/>
      <c r="AL39" s="356"/>
      <c r="AM39" s="356"/>
      <c r="AN39" s="356"/>
      <c r="AO39" s="356"/>
      <c r="AP39" s="356"/>
      <c r="AQ39" s="356"/>
      <c r="AR39" s="356"/>
      <c r="AS39" s="356"/>
      <c r="AT39" s="356"/>
      <c r="AU39" s="356"/>
      <c r="AV39" s="356"/>
      <c r="AW39" s="356"/>
      <c r="AX39" s="356"/>
      <c r="AY39" s="356"/>
      <c r="AZ39" s="356"/>
      <c r="BA39" s="356"/>
      <c r="BB39" s="356"/>
      <c r="BC39" s="356"/>
      <c r="BD39" s="356"/>
      <c r="BE39" s="356"/>
      <c r="BF39" s="356"/>
      <c r="BG39" s="356"/>
      <c r="BH39" s="356"/>
      <c r="BI39" s="356"/>
      <c r="BJ39" s="356"/>
      <c r="BK39" s="356"/>
      <c r="BL39" s="356"/>
      <c r="BM39" s="356"/>
      <c r="BN39" s="356"/>
      <c r="BO39" s="356"/>
      <c r="BP39" s="356"/>
      <c r="BQ39" s="356"/>
      <c r="BR39" s="356"/>
      <c r="BS39" s="356"/>
      <c r="BT39" s="356"/>
      <c r="BU39" s="356"/>
      <c r="BV39" s="356"/>
      <c r="BW39" s="356"/>
      <c r="BX39" s="356"/>
      <c r="BY39" s="356"/>
      <c r="BZ39" s="356"/>
      <c r="CA39" s="356"/>
      <c r="CB39" s="356"/>
      <c r="CC39" s="356"/>
      <c r="CD39" s="356"/>
      <c r="CE39" s="356"/>
      <c r="CF39" s="356"/>
      <c r="CG39" s="356"/>
      <c r="CH39" s="356"/>
      <c r="CI39" s="1"/>
      <c r="CJ39" s="1"/>
      <c r="CK39" s="1"/>
      <c r="CL39" s="1"/>
      <c r="CM39" s="1"/>
      <c r="CN39" s="1"/>
      <c r="CO39" s="1"/>
      <c r="CP39" s="1"/>
    </row>
    <row r="40" ht="15.75" customHeight="1">
      <c r="A40" s="1" t="s">
        <v>129</v>
      </c>
      <c r="B40" s="387"/>
      <c r="C40" s="116">
        <f>Revenue!C6</f>
        <v>145221</v>
      </c>
      <c r="D40" s="116">
        <f>Revenue!D6</f>
        <v>268153</v>
      </c>
      <c r="E40" s="116">
        <f>Revenue!E6</f>
        <v>202602</v>
      </c>
      <c r="F40" s="116">
        <f>Revenue!F6</f>
        <v>249435</v>
      </c>
      <c r="G40" s="116">
        <f>Revenue!G6</f>
        <v>251204</v>
      </c>
      <c r="H40" s="116">
        <f>Revenue!H6</f>
        <v>175735</v>
      </c>
      <c r="I40" s="116">
        <f>Revenue!I6</f>
        <v>173627</v>
      </c>
      <c r="J40" s="116">
        <f>Revenue!J6</f>
        <v>163316</v>
      </c>
      <c r="K40" s="116">
        <f>Revenue!K6</f>
        <v>214926</v>
      </c>
      <c r="L40" s="116">
        <f>Revenue!L6</f>
        <v>242871</v>
      </c>
      <c r="M40" s="116">
        <f>Revenue!M6</f>
        <v>234725</v>
      </c>
      <c r="N40" s="116">
        <f>Revenue!N6</f>
        <v>201170</v>
      </c>
      <c r="O40" s="116">
        <f>Revenue!O6</f>
        <v>225168</v>
      </c>
      <c r="P40" s="116">
        <f>Revenue!P6</f>
        <v>202984</v>
      </c>
      <c r="Q40" s="116">
        <f>Revenue!Q6</f>
        <v>230137</v>
      </c>
      <c r="R40" s="116">
        <f>Revenue!R6</f>
        <v>215710</v>
      </c>
      <c r="S40" s="116">
        <f>Revenue!S6</f>
        <v>275885</v>
      </c>
      <c r="T40" s="116">
        <f>Revenue!T6</f>
        <v>196349</v>
      </c>
      <c r="U40" s="116">
        <f>Revenue!U6</f>
        <v>274969</v>
      </c>
      <c r="V40" s="116">
        <f>Revenue!V6</f>
        <v>270100</v>
      </c>
      <c r="W40" s="116">
        <f>Revenue!W6</f>
        <v>241649</v>
      </c>
      <c r="X40" s="116">
        <f>Revenue!X6</f>
        <v>195381</v>
      </c>
      <c r="Y40" s="116">
        <f>Revenue!Y6</f>
        <v>291011</v>
      </c>
      <c r="Z40" s="131">
        <f t="shared" ref="Z40:CH40" si="11">Z15+Z32+Z85</f>
        <v>339922.1377</v>
      </c>
      <c r="AA40" s="131">
        <f t="shared" si="11"/>
        <v>396872.1732</v>
      </c>
      <c r="AB40" s="131">
        <f t="shared" si="11"/>
        <v>461134.7543</v>
      </c>
      <c r="AC40" s="131">
        <f t="shared" si="11"/>
        <v>527311.7682</v>
      </c>
      <c r="AD40" s="131">
        <f t="shared" si="11"/>
        <v>594180.7295</v>
      </c>
      <c r="AE40" s="131">
        <f t="shared" si="11"/>
        <v>662951.6649</v>
      </c>
      <c r="AF40" s="131">
        <f t="shared" si="11"/>
        <v>732581.0818</v>
      </c>
      <c r="AG40" s="131">
        <f t="shared" si="11"/>
        <v>801173.4165</v>
      </c>
      <c r="AH40" s="131">
        <f t="shared" si="11"/>
        <v>869092.604</v>
      </c>
      <c r="AI40" s="131">
        <f t="shared" si="11"/>
        <v>938883.3464</v>
      </c>
      <c r="AJ40" s="131">
        <f t="shared" si="11"/>
        <v>1006073.986</v>
      </c>
      <c r="AK40" s="131">
        <f t="shared" si="11"/>
        <v>1074685.166</v>
      </c>
      <c r="AL40" s="131">
        <f t="shared" si="11"/>
        <v>1145641.814</v>
      </c>
      <c r="AM40" s="131">
        <f t="shared" si="11"/>
        <v>1189448.826</v>
      </c>
      <c r="AN40" s="131">
        <f t="shared" si="11"/>
        <v>1218365.755</v>
      </c>
      <c r="AO40" s="131">
        <f t="shared" si="11"/>
        <v>1244125.937</v>
      </c>
      <c r="AP40" s="131">
        <f t="shared" si="11"/>
        <v>1269315.184</v>
      </c>
      <c r="AQ40" s="131">
        <f t="shared" si="11"/>
        <v>1293967.286</v>
      </c>
      <c r="AR40" s="131">
        <f t="shared" si="11"/>
        <v>1318328.397</v>
      </c>
      <c r="AS40" s="131">
        <f t="shared" si="11"/>
        <v>1342206.165</v>
      </c>
      <c r="AT40" s="131">
        <f t="shared" si="11"/>
        <v>1365630.394</v>
      </c>
      <c r="AU40" s="131">
        <f t="shared" si="11"/>
        <v>1388629.531</v>
      </c>
      <c r="AV40" s="131">
        <f t="shared" si="11"/>
        <v>1411230.731</v>
      </c>
      <c r="AW40" s="131">
        <f t="shared" si="11"/>
        <v>1433459.919</v>
      </c>
      <c r="AX40" s="131">
        <f t="shared" si="11"/>
        <v>1455341.852</v>
      </c>
      <c r="AY40" s="131">
        <f t="shared" si="11"/>
        <v>1488761.811</v>
      </c>
      <c r="AZ40" s="131">
        <f t="shared" si="11"/>
        <v>1521786.083</v>
      </c>
      <c r="BA40" s="131">
        <f t="shared" si="11"/>
        <v>1554214.585</v>
      </c>
      <c r="BB40" s="131">
        <f t="shared" si="11"/>
        <v>1586077.93</v>
      </c>
      <c r="BC40" s="131">
        <f t="shared" si="11"/>
        <v>1617405.576</v>
      </c>
      <c r="BD40" s="131">
        <f t="shared" si="11"/>
        <v>1648225.878</v>
      </c>
      <c r="BE40" s="131">
        <f t="shared" si="11"/>
        <v>1678566.13</v>
      </c>
      <c r="BF40" s="131">
        <f t="shared" si="11"/>
        <v>1708452.606</v>
      </c>
      <c r="BG40" s="131">
        <f t="shared" si="11"/>
        <v>1737910.607</v>
      </c>
      <c r="BH40" s="131">
        <f t="shared" si="11"/>
        <v>1766964.497</v>
      </c>
      <c r="BI40" s="131">
        <f t="shared" si="11"/>
        <v>1795637.743</v>
      </c>
      <c r="BJ40" s="131">
        <f t="shared" si="11"/>
        <v>1823952.948</v>
      </c>
      <c r="BK40" s="131">
        <f t="shared" si="11"/>
        <v>1856029.465</v>
      </c>
      <c r="BL40" s="131">
        <f t="shared" si="11"/>
        <v>1886061.883</v>
      </c>
      <c r="BM40" s="131">
        <f t="shared" si="11"/>
        <v>1911993.277</v>
      </c>
      <c r="BN40" s="131">
        <f t="shared" si="11"/>
        <v>1937837.819</v>
      </c>
      <c r="BO40" s="131">
        <f t="shared" si="11"/>
        <v>1963611.715</v>
      </c>
      <c r="BP40" s="131">
        <f t="shared" si="11"/>
        <v>1989330.831</v>
      </c>
      <c r="BQ40" s="131">
        <f t="shared" si="11"/>
        <v>2015010.716</v>
      </c>
      <c r="BR40" s="131">
        <f t="shared" si="11"/>
        <v>2040666.626</v>
      </c>
      <c r="BS40" s="131">
        <f t="shared" si="11"/>
        <v>2066313.535</v>
      </c>
      <c r="BT40" s="131">
        <f t="shared" si="11"/>
        <v>2091966.163</v>
      </c>
      <c r="BU40" s="131">
        <f t="shared" si="11"/>
        <v>2117638.989</v>
      </c>
      <c r="BV40" s="131">
        <f t="shared" si="11"/>
        <v>2143346.267</v>
      </c>
      <c r="BW40" s="131">
        <f t="shared" si="11"/>
        <v>2172082.797</v>
      </c>
      <c r="BX40" s="131">
        <f t="shared" si="11"/>
        <v>2195034.761</v>
      </c>
      <c r="BY40" s="131">
        <f t="shared" si="11"/>
        <v>2213602.911</v>
      </c>
      <c r="BZ40" s="131">
        <f t="shared" si="11"/>
        <v>2231948.753</v>
      </c>
      <c r="CA40" s="131">
        <f t="shared" si="11"/>
        <v>2250092.972</v>
      </c>
      <c r="CB40" s="131">
        <f t="shared" si="11"/>
        <v>2268055.397</v>
      </c>
      <c r="CC40" s="131">
        <f t="shared" si="11"/>
        <v>2285855.039</v>
      </c>
      <c r="CD40" s="131">
        <f t="shared" si="11"/>
        <v>2303510.127</v>
      </c>
      <c r="CE40" s="131">
        <f t="shared" si="11"/>
        <v>2321038.14</v>
      </c>
      <c r="CF40" s="131">
        <f t="shared" si="11"/>
        <v>2338455.842</v>
      </c>
      <c r="CG40" s="131">
        <f t="shared" si="11"/>
        <v>2355779.31</v>
      </c>
      <c r="CH40" s="131">
        <f t="shared" si="11"/>
        <v>2373023.966</v>
      </c>
      <c r="CI40" s="1"/>
      <c r="CJ40" s="1"/>
      <c r="CK40" s="1"/>
      <c r="CL40" s="1"/>
      <c r="CM40" s="1"/>
      <c r="CN40" s="1"/>
      <c r="CO40" s="1"/>
      <c r="CP40" s="1"/>
    </row>
    <row r="41" ht="15.75" customHeight="1">
      <c r="A41" s="1" t="s">
        <v>85</v>
      </c>
      <c r="B41" s="388"/>
      <c r="C41" s="116">
        <f>Revenue!C7</f>
        <v>157989</v>
      </c>
      <c r="D41" s="116">
        <f>Revenue!D7</f>
        <v>262015</v>
      </c>
      <c r="E41" s="116">
        <f>Revenue!E7</f>
        <v>239919</v>
      </c>
      <c r="F41" s="116">
        <f>Revenue!F7</f>
        <v>246852</v>
      </c>
      <c r="G41" s="116">
        <f>Revenue!G7</f>
        <v>168753</v>
      </c>
      <c r="H41" s="116">
        <f>Revenue!H7</f>
        <v>219427</v>
      </c>
      <c r="I41" s="116">
        <f>Revenue!I7</f>
        <v>179883</v>
      </c>
      <c r="J41" s="116">
        <f>Revenue!J7</f>
        <v>165543</v>
      </c>
      <c r="K41" s="116">
        <f>Revenue!K7</f>
        <v>227180</v>
      </c>
      <c r="L41" s="116">
        <f>Revenue!L7</f>
        <v>259006</v>
      </c>
      <c r="M41" s="116">
        <f>Revenue!M7</f>
        <v>234471</v>
      </c>
      <c r="N41" s="116">
        <f>Revenue!N7</f>
        <v>265758</v>
      </c>
      <c r="O41" s="116">
        <f>Revenue!O7</f>
        <v>231341</v>
      </c>
      <c r="P41" s="116">
        <f>Revenue!P7</f>
        <v>219777</v>
      </c>
      <c r="Q41" s="116">
        <f>Revenue!Q7</f>
        <v>140531</v>
      </c>
      <c r="R41" s="116">
        <f>Revenue!R7</f>
        <v>172522</v>
      </c>
      <c r="S41" s="116">
        <f>Revenue!S7</f>
        <v>167953</v>
      </c>
      <c r="T41" s="116">
        <f>Revenue!T7</f>
        <v>183441</v>
      </c>
      <c r="U41" s="116">
        <f>Revenue!U7</f>
        <v>128542</v>
      </c>
      <c r="V41" s="116">
        <f>Revenue!V7</f>
        <v>260968</v>
      </c>
      <c r="W41" s="116">
        <f>Revenue!W7</f>
        <v>274042</v>
      </c>
      <c r="X41" s="116">
        <f>Revenue!X7</f>
        <v>169044</v>
      </c>
      <c r="Y41" s="116">
        <f>Revenue!Y7</f>
        <v>185698</v>
      </c>
      <c r="Z41" s="131">
        <f t="shared" ref="Z41:CH41" si="12">Z16+Z33+Z86</f>
        <v>228575.3544</v>
      </c>
      <c r="AA41" s="131">
        <f t="shared" si="12"/>
        <v>279227.3541</v>
      </c>
      <c r="AB41" s="131">
        <f t="shared" si="12"/>
        <v>336074.6322</v>
      </c>
      <c r="AC41" s="131">
        <f t="shared" si="12"/>
        <v>395045.1309</v>
      </c>
      <c r="AD41" s="131">
        <f t="shared" si="12"/>
        <v>455076.1482</v>
      </c>
      <c r="AE41" s="131">
        <f t="shared" si="12"/>
        <v>514708.9953</v>
      </c>
      <c r="AF41" s="131">
        <f t="shared" si="12"/>
        <v>572425.3267</v>
      </c>
      <c r="AG41" s="131">
        <f t="shared" si="12"/>
        <v>626675.7805</v>
      </c>
      <c r="AH41" s="131">
        <f t="shared" si="12"/>
        <v>678795.2285</v>
      </c>
      <c r="AI41" s="131">
        <f t="shared" si="12"/>
        <v>729540.4684</v>
      </c>
      <c r="AJ41" s="131">
        <f t="shared" si="12"/>
        <v>776729.9321</v>
      </c>
      <c r="AK41" s="131">
        <f t="shared" si="12"/>
        <v>823663.8423</v>
      </c>
      <c r="AL41" s="131">
        <f t="shared" si="12"/>
        <v>870122.7916</v>
      </c>
      <c r="AM41" s="131">
        <f t="shared" si="12"/>
        <v>902638.6926</v>
      </c>
      <c r="AN41" s="131">
        <f t="shared" si="12"/>
        <v>924285.9914</v>
      </c>
      <c r="AO41" s="131">
        <f t="shared" si="12"/>
        <v>943549.7441</v>
      </c>
      <c r="AP41" s="131">
        <f t="shared" si="12"/>
        <v>962374.368</v>
      </c>
      <c r="AQ41" s="131">
        <f t="shared" si="12"/>
        <v>980786.9006</v>
      </c>
      <c r="AR41" s="131">
        <f t="shared" si="12"/>
        <v>998973.4516</v>
      </c>
      <c r="AS41" s="131">
        <f t="shared" si="12"/>
        <v>1016790.948</v>
      </c>
      <c r="AT41" s="131">
        <f t="shared" si="12"/>
        <v>1034263.099</v>
      </c>
      <c r="AU41" s="131">
        <f t="shared" si="12"/>
        <v>1051412.485</v>
      </c>
      <c r="AV41" s="131">
        <f t="shared" si="12"/>
        <v>1068260.618</v>
      </c>
      <c r="AW41" s="131">
        <f t="shared" si="12"/>
        <v>1084827.993</v>
      </c>
      <c r="AX41" s="131">
        <f t="shared" si="12"/>
        <v>1101134.143</v>
      </c>
      <c r="AY41" s="131">
        <f t="shared" si="12"/>
        <v>1127271.79</v>
      </c>
      <c r="AZ41" s="131">
        <f t="shared" si="12"/>
        <v>1153070.577</v>
      </c>
      <c r="BA41" s="131">
        <f t="shared" si="12"/>
        <v>1178382.839</v>
      </c>
      <c r="BB41" s="131">
        <f t="shared" si="12"/>
        <v>1203233.92</v>
      </c>
      <c r="BC41" s="131">
        <f t="shared" si="12"/>
        <v>1227648.182</v>
      </c>
      <c r="BD41" s="131">
        <f t="shared" si="12"/>
        <v>1251649.047</v>
      </c>
      <c r="BE41" s="131">
        <f t="shared" si="12"/>
        <v>1275259.034</v>
      </c>
      <c r="BF41" s="131">
        <f t="shared" si="12"/>
        <v>1298499.798</v>
      </c>
      <c r="BG41" s="131">
        <f t="shared" si="12"/>
        <v>1321392.169</v>
      </c>
      <c r="BH41" s="131">
        <f t="shared" si="12"/>
        <v>1343956.18</v>
      </c>
      <c r="BI41" s="131">
        <f t="shared" si="12"/>
        <v>1366211.108</v>
      </c>
      <c r="BJ41" s="131">
        <f t="shared" si="12"/>
        <v>1388175.5</v>
      </c>
      <c r="BK41" s="131">
        <f t="shared" si="12"/>
        <v>1412952.779</v>
      </c>
      <c r="BL41" s="131">
        <f t="shared" si="12"/>
        <v>1436182.888</v>
      </c>
      <c r="BM41" s="131">
        <f t="shared" si="12"/>
        <v>1456111.729</v>
      </c>
      <c r="BN41" s="131">
        <f t="shared" si="12"/>
        <v>1475973.474</v>
      </c>
      <c r="BO41" s="131">
        <f t="shared" si="12"/>
        <v>1495781.06</v>
      </c>
      <c r="BP41" s="131">
        <f t="shared" si="12"/>
        <v>1515547.145</v>
      </c>
      <c r="BQ41" s="131">
        <f t="shared" si="12"/>
        <v>1535284.12</v>
      </c>
      <c r="BR41" s="131">
        <f t="shared" si="12"/>
        <v>1555004.133</v>
      </c>
      <c r="BS41" s="131">
        <f t="shared" si="12"/>
        <v>1574719.099</v>
      </c>
      <c r="BT41" s="131">
        <f t="shared" si="12"/>
        <v>1594440.718</v>
      </c>
      <c r="BU41" s="131">
        <f t="shared" si="12"/>
        <v>1614180.493</v>
      </c>
      <c r="BV41" s="131">
        <f t="shared" si="12"/>
        <v>1633949.74</v>
      </c>
      <c r="BW41" s="131">
        <f t="shared" si="12"/>
        <v>1656067.56</v>
      </c>
      <c r="BX41" s="131">
        <f t="shared" si="12"/>
        <v>1673819.96</v>
      </c>
      <c r="BY41" s="131">
        <f t="shared" si="12"/>
        <v>1688040.471</v>
      </c>
      <c r="BZ41" s="131">
        <f t="shared" si="12"/>
        <v>1702082.198</v>
      </c>
      <c r="CA41" s="131">
        <f t="shared" si="12"/>
        <v>1715961.9</v>
      </c>
      <c r="CB41" s="131">
        <f t="shared" si="12"/>
        <v>1729695.628</v>
      </c>
      <c r="CC41" s="131">
        <f t="shared" si="12"/>
        <v>1743298.752</v>
      </c>
      <c r="CD41" s="131">
        <f t="shared" si="12"/>
        <v>1756785.997</v>
      </c>
      <c r="CE41" s="131">
        <f t="shared" si="12"/>
        <v>1770171.467</v>
      </c>
      <c r="CF41" s="131">
        <f t="shared" si="12"/>
        <v>1783468.674</v>
      </c>
      <c r="CG41" s="131">
        <f t="shared" si="12"/>
        <v>1796690.562</v>
      </c>
      <c r="CH41" s="131">
        <f t="shared" si="12"/>
        <v>1809849.536</v>
      </c>
      <c r="CI41" s="1"/>
      <c r="CJ41" s="1"/>
      <c r="CK41" s="1"/>
      <c r="CL41" s="1"/>
      <c r="CM41" s="1"/>
      <c r="CN41" s="1"/>
      <c r="CO41" s="1"/>
      <c r="CP41" s="1"/>
    </row>
    <row r="42" ht="15.75" customHeight="1">
      <c r="A42" s="1" t="s">
        <v>130</v>
      </c>
      <c r="B42" s="387"/>
      <c r="C42" s="116">
        <f>Revenue!C8</f>
        <v>203271</v>
      </c>
      <c r="D42" s="116">
        <f>Revenue!D8</f>
        <v>139789</v>
      </c>
      <c r="E42" s="116">
        <f>Revenue!E8</f>
        <v>173116</v>
      </c>
      <c r="F42" s="116">
        <f>Revenue!F8</f>
        <v>234675</v>
      </c>
      <c r="G42" s="116">
        <f>Revenue!G8</f>
        <v>268150</v>
      </c>
      <c r="H42" s="116">
        <f>Revenue!H8</f>
        <v>263187</v>
      </c>
      <c r="I42" s="116">
        <f>Revenue!I8</f>
        <v>261112</v>
      </c>
      <c r="J42" s="116">
        <f>Revenue!J8</f>
        <v>188247</v>
      </c>
      <c r="K42" s="116">
        <f>Revenue!K8</f>
        <v>181572</v>
      </c>
      <c r="L42" s="116">
        <f>Revenue!L8</f>
        <v>150133</v>
      </c>
      <c r="M42" s="116">
        <f>Revenue!M8</f>
        <v>184682</v>
      </c>
      <c r="N42" s="116">
        <f>Revenue!N8</f>
        <v>148278</v>
      </c>
      <c r="O42" s="116">
        <f>Revenue!O8</f>
        <v>193838</v>
      </c>
      <c r="P42" s="116">
        <f>Revenue!P8</f>
        <v>193578</v>
      </c>
      <c r="Q42" s="116">
        <f>Revenue!Q8</f>
        <v>203241</v>
      </c>
      <c r="R42" s="116">
        <f>Revenue!R8</f>
        <v>250416</v>
      </c>
      <c r="S42" s="116">
        <f>Revenue!S8</f>
        <v>237819</v>
      </c>
      <c r="T42" s="116">
        <f>Revenue!T8</f>
        <v>158273</v>
      </c>
      <c r="U42" s="116">
        <f>Revenue!U8</f>
        <v>191633</v>
      </c>
      <c r="V42" s="116">
        <f>Revenue!V8</f>
        <v>230583</v>
      </c>
      <c r="W42" s="116">
        <f>Revenue!W8</f>
        <v>247749</v>
      </c>
      <c r="X42" s="116">
        <f>Revenue!X8</f>
        <v>258341</v>
      </c>
      <c r="Y42" s="116">
        <f>Revenue!Y8</f>
        <v>207412</v>
      </c>
      <c r="Z42" s="131">
        <f t="shared" ref="Z42:CH42" si="13">Z17+Z34+Z87</f>
        <v>254174.5112</v>
      </c>
      <c r="AA42" s="131">
        <f t="shared" si="13"/>
        <v>311703.7907</v>
      </c>
      <c r="AB42" s="131">
        <f t="shared" si="13"/>
        <v>374356.6057</v>
      </c>
      <c r="AC42" s="131">
        <f t="shared" si="13"/>
        <v>435990.6948</v>
      </c>
      <c r="AD42" s="131">
        <f t="shared" si="13"/>
        <v>496489.8268</v>
      </c>
      <c r="AE42" s="131">
        <f t="shared" si="13"/>
        <v>555012.1558</v>
      </c>
      <c r="AF42" s="131">
        <f t="shared" si="13"/>
        <v>613143.3465</v>
      </c>
      <c r="AG42" s="131">
        <f t="shared" si="13"/>
        <v>673926.2592</v>
      </c>
      <c r="AH42" s="131">
        <f t="shared" si="13"/>
        <v>731927.1271</v>
      </c>
      <c r="AI42" s="131">
        <f t="shared" si="13"/>
        <v>788154.995</v>
      </c>
      <c r="AJ42" s="131">
        <f t="shared" si="13"/>
        <v>835141.929</v>
      </c>
      <c r="AK42" s="131">
        <f t="shared" si="13"/>
        <v>881150.7412</v>
      </c>
      <c r="AL42" s="131">
        <f t="shared" si="13"/>
        <v>925653.182</v>
      </c>
      <c r="AM42" s="131">
        <f t="shared" si="13"/>
        <v>963874.2942</v>
      </c>
      <c r="AN42" s="131">
        <f t="shared" si="13"/>
        <v>980587.5609</v>
      </c>
      <c r="AO42" s="131">
        <f t="shared" si="13"/>
        <v>994084.3282</v>
      </c>
      <c r="AP42" s="131">
        <f t="shared" si="13"/>
        <v>1007302.323</v>
      </c>
      <c r="AQ42" s="131">
        <f t="shared" si="13"/>
        <v>1020258.508</v>
      </c>
      <c r="AR42" s="131">
        <f t="shared" si="13"/>
        <v>1033457.811</v>
      </c>
      <c r="AS42" s="131">
        <f t="shared" si="13"/>
        <v>1046404.815</v>
      </c>
      <c r="AT42" s="131">
        <f t="shared" si="13"/>
        <v>1059115.26</v>
      </c>
      <c r="AU42" s="131">
        <f t="shared" si="13"/>
        <v>1071604.122</v>
      </c>
      <c r="AV42" s="131">
        <f t="shared" si="13"/>
        <v>1083885.663</v>
      </c>
      <c r="AW42" s="131">
        <f t="shared" si="13"/>
        <v>1095973.46</v>
      </c>
      <c r="AX42" s="131">
        <f t="shared" si="13"/>
        <v>1107880.439</v>
      </c>
      <c r="AY42" s="131">
        <f t="shared" si="13"/>
        <v>1129844.173</v>
      </c>
      <c r="AZ42" s="131">
        <f t="shared" si="13"/>
        <v>1151589.723</v>
      </c>
      <c r="BA42" s="131">
        <f t="shared" si="13"/>
        <v>1172873.625</v>
      </c>
      <c r="BB42" s="131">
        <f t="shared" si="13"/>
        <v>1193718.036</v>
      </c>
      <c r="BC42" s="131">
        <f t="shared" si="13"/>
        <v>1214144.23</v>
      </c>
      <c r="BD42" s="131">
        <f t="shared" si="13"/>
        <v>1234172.639</v>
      </c>
      <c r="BE42" s="131">
        <f t="shared" si="13"/>
        <v>1253822.889</v>
      </c>
      <c r="BF42" s="131">
        <f t="shared" si="13"/>
        <v>1273113.829</v>
      </c>
      <c r="BG42" s="131">
        <f t="shared" si="13"/>
        <v>1292063.567</v>
      </c>
      <c r="BH42" s="131">
        <f t="shared" si="13"/>
        <v>1310689.497</v>
      </c>
      <c r="BI42" s="131">
        <f t="shared" si="13"/>
        <v>1329008.333</v>
      </c>
      <c r="BJ42" s="131">
        <f t="shared" si="13"/>
        <v>1347036.135</v>
      </c>
      <c r="BK42" s="131">
        <f t="shared" si="13"/>
        <v>1370050.746</v>
      </c>
      <c r="BL42" s="131">
        <f t="shared" si="13"/>
        <v>1392257.608</v>
      </c>
      <c r="BM42" s="131">
        <f t="shared" si="13"/>
        <v>1412794.245</v>
      </c>
      <c r="BN42" s="131">
        <f t="shared" si="13"/>
        <v>1433044.309</v>
      </c>
      <c r="BO42" s="131">
        <f t="shared" si="13"/>
        <v>1453024.419</v>
      </c>
      <c r="BP42" s="131">
        <f t="shared" si="13"/>
        <v>1472750.649</v>
      </c>
      <c r="BQ42" s="131">
        <f t="shared" si="13"/>
        <v>1492238.546</v>
      </c>
      <c r="BR42" s="131">
        <f t="shared" si="13"/>
        <v>1511503.159</v>
      </c>
      <c r="BS42" s="131">
        <f t="shared" si="13"/>
        <v>1530559.056</v>
      </c>
      <c r="BT42" s="131">
        <f t="shared" si="13"/>
        <v>1549420.352</v>
      </c>
      <c r="BU42" s="131">
        <f t="shared" si="13"/>
        <v>1568100.721</v>
      </c>
      <c r="BV42" s="131">
        <f t="shared" si="13"/>
        <v>1586613.426</v>
      </c>
      <c r="BW42" s="131">
        <f t="shared" si="13"/>
        <v>1606843.885</v>
      </c>
      <c r="BX42" s="131">
        <f t="shared" si="13"/>
        <v>1620330.437</v>
      </c>
      <c r="BY42" s="131">
        <f t="shared" si="13"/>
        <v>1632293.899</v>
      </c>
      <c r="BZ42" s="131">
        <f t="shared" si="13"/>
        <v>1644158.75</v>
      </c>
      <c r="CA42" s="131">
        <f t="shared" si="13"/>
        <v>1655933.977</v>
      </c>
      <c r="CB42" s="131">
        <f t="shared" si="13"/>
        <v>1667628.2</v>
      </c>
      <c r="CC42" s="131">
        <f t="shared" si="13"/>
        <v>1679249.689</v>
      </c>
      <c r="CD42" s="131">
        <f t="shared" si="13"/>
        <v>1690806.377</v>
      </c>
      <c r="CE42" s="131">
        <f t="shared" si="13"/>
        <v>1702305.876</v>
      </c>
      <c r="CF42" s="131">
        <f t="shared" si="13"/>
        <v>1713755.489</v>
      </c>
      <c r="CG42" s="131">
        <f t="shared" si="13"/>
        <v>1725162.223</v>
      </c>
      <c r="CH42" s="131">
        <f t="shared" si="13"/>
        <v>1736532.806</v>
      </c>
      <c r="CI42" s="1"/>
      <c r="CJ42" s="1"/>
      <c r="CK42" s="1"/>
      <c r="CL42" s="1"/>
      <c r="CM42" s="1"/>
      <c r="CN42" s="1"/>
      <c r="CO42" s="1"/>
      <c r="CP42" s="1"/>
    </row>
    <row r="43" ht="15.75" customHeight="1">
      <c r="A43" s="1" t="s">
        <v>89</v>
      </c>
      <c r="B43" s="387"/>
      <c r="C43" s="116">
        <f>Revenue!C9</f>
        <v>195725</v>
      </c>
      <c r="D43" s="116">
        <f>Revenue!D122</f>
        <v>30429</v>
      </c>
      <c r="E43" s="116">
        <f>Revenue!E122</f>
        <v>39698</v>
      </c>
      <c r="F43" s="116">
        <f>Revenue!F122</f>
        <v>28787</v>
      </c>
      <c r="G43" s="116">
        <f>Revenue!G122</f>
        <v>32734</v>
      </c>
      <c r="H43" s="116">
        <f>Revenue!H122</f>
        <v>39885</v>
      </c>
      <c r="I43" s="116">
        <f>Revenue!I122</f>
        <v>35931</v>
      </c>
      <c r="J43" s="116">
        <f>Revenue!J122</f>
        <v>34051</v>
      </c>
      <c r="K43" s="116">
        <f>Revenue!K122</f>
        <v>34501</v>
      </c>
      <c r="L43" s="116">
        <f>Revenue!L122</f>
        <v>29809</v>
      </c>
      <c r="M43" s="116">
        <f>Revenue!M122</f>
        <v>35463</v>
      </c>
      <c r="N43" s="116">
        <f>Revenue!N122</f>
        <v>36998</v>
      </c>
      <c r="O43" s="116">
        <f>Revenue!O122</f>
        <v>39925</v>
      </c>
      <c r="P43" s="116">
        <f>Revenue!P122</f>
        <v>24531</v>
      </c>
      <c r="Q43" s="116">
        <f>Revenue!Q122</f>
        <v>38302</v>
      </c>
      <c r="R43" s="116">
        <f>Revenue!R122</f>
        <v>39790</v>
      </c>
      <c r="S43" s="116">
        <f>Revenue!S122</f>
        <v>27795</v>
      </c>
      <c r="T43" s="116">
        <f>Revenue!T122</f>
        <v>32523</v>
      </c>
      <c r="U43" s="116">
        <f>Revenue!U122</f>
        <v>20739</v>
      </c>
      <c r="V43" s="116">
        <f>Revenue!V122</f>
        <v>26143</v>
      </c>
      <c r="W43" s="116">
        <f>Revenue!W122</f>
        <v>20732</v>
      </c>
      <c r="X43" s="116">
        <f>Revenue!X122</f>
        <v>21674</v>
      </c>
      <c r="Y43" s="116">
        <f>Revenue!Y122</f>
        <v>39390</v>
      </c>
      <c r="Z43" s="131">
        <f t="shared" ref="Z43:CH43" si="14">Z18+Z35+Z88</f>
        <v>57486.35237</v>
      </c>
      <c r="AA43" s="131">
        <f t="shared" si="14"/>
        <v>76539.73884</v>
      </c>
      <c r="AB43" s="131">
        <f t="shared" si="14"/>
        <v>93454.03351</v>
      </c>
      <c r="AC43" s="131">
        <f t="shared" si="14"/>
        <v>105718.6562</v>
      </c>
      <c r="AD43" s="131">
        <f t="shared" si="14"/>
        <v>114668.5289</v>
      </c>
      <c r="AE43" s="131">
        <f t="shared" si="14"/>
        <v>122176.7352</v>
      </c>
      <c r="AF43" s="131">
        <f t="shared" si="14"/>
        <v>127378.8968</v>
      </c>
      <c r="AG43" s="131">
        <f t="shared" si="14"/>
        <v>131025.91</v>
      </c>
      <c r="AH43" s="131">
        <f t="shared" si="14"/>
        <v>132296.9064</v>
      </c>
      <c r="AI43" s="131">
        <f t="shared" si="14"/>
        <v>130880.1234</v>
      </c>
      <c r="AJ43" s="131">
        <f t="shared" si="14"/>
        <v>133326.6618</v>
      </c>
      <c r="AK43" s="131">
        <f t="shared" si="14"/>
        <v>135281.6721</v>
      </c>
      <c r="AL43" s="131">
        <f t="shared" si="14"/>
        <v>137021.6499</v>
      </c>
      <c r="AM43" s="131">
        <f t="shared" si="14"/>
        <v>143660.6355</v>
      </c>
      <c r="AN43" s="131">
        <f t="shared" si="14"/>
        <v>137960.6349</v>
      </c>
      <c r="AO43" s="131">
        <f t="shared" si="14"/>
        <v>132595.6974</v>
      </c>
      <c r="AP43" s="131">
        <f t="shared" si="14"/>
        <v>128956.5661</v>
      </c>
      <c r="AQ43" s="131">
        <f t="shared" si="14"/>
        <v>126558.1936</v>
      </c>
      <c r="AR43" s="131">
        <f t="shared" si="14"/>
        <v>125313.7559</v>
      </c>
      <c r="AS43" s="131">
        <f t="shared" si="14"/>
        <v>124639.3862</v>
      </c>
      <c r="AT43" s="131">
        <f t="shared" si="14"/>
        <v>124376.0082</v>
      </c>
      <c r="AU43" s="131">
        <f t="shared" si="14"/>
        <v>124409.4205</v>
      </c>
      <c r="AV43" s="131">
        <f t="shared" si="14"/>
        <v>124657.6428</v>
      </c>
      <c r="AW43" s="131">
        <f t="shared" si="14"/>
        <v>125061.8292</v>
      </c>
      <c r="AX43" s="131">
        <f t="shared" si="14"/>
        <v>125579.7447</v>
      </c>
      <c r="AY43" s="131">
        <f t="shared" si="14"/>
        <v>129763.4075</v>
      </c>
      <c r="AZ43" s="131">
        <f t="shared" si="14"/>
        <v>133232.2445</v>
      </c>
      <c r="BA43" s="131">
        <f t="shared" si="14"/>
        <v>136033.7403</v>
      </c>
      <c r="BB43" s="131">
        <f t="shared" si="14"/>
        <v>138343.16</v>
      </c>
      <c r="BC43" s="131">
        <f t="shared" si="14"/>
        <v>140290.2157</v>
      </c>
      <c r="BD43" s="131">
        <f t="shared" si="14"/>
        <v>141970.9103</v>
      </c>
      <c r="BE43" s="131">
        <f t="shared" si="14"/>
        <v>143456.3019</v>
      </c>
      <c r="BF43" s="131">
        <f t="shared" si="14"/>
        <v>144798.9899</v>
      </c>
      <c r="BG43" s="131">
        <f t="shared" si="14"/>
        <v>146037.9142</v>
      </c>
      <c r="BH43" s="131">
        <f t="shared" si="14"/>
        <v>147201.9072</v>
      </c>
      <c r="BI43" s="131">
        <f t="shared" si="14"/>
        <v>148312.3215</v>
      </c>
      <c r="BJ43" s="131">
        <f t="shared" si="14"/>
        <v>149384.9749</v>
      </c>
      <c r="BK43" s="131">
        <f t="shared" si="14"/>
        <v>151840.5494</v>
      </c>
      <c r="BL43" s="131">
        <f t="shared" si="14"/>
        <v>153705.394</v>
      </c>
      <c r="BM43" s="131">
        <f t="shared" si="14"/>
        <v>154651.6556</v>
      </c>
      <c r="BN43" s="131">
        <f t="shared" si="14"/>
        <v>155632.3694</v>
      </c>
      <c r="BO43" s="131">
        <f t="shared" si="14"/>
        <v>156641.5361</v>
      </c>
      <c r="BP43" s="131">
        <f t="shared" si="14"/>
        <v>157674.7702</v>
      </c>
      <c r="BQ43" s="131">
        <f t="shared" si="14"/>
        <v>158728.8826</v>
      </c>
      <c r="BR43" s="131">
        <f t="shared" si="14"/>
        <v>159801.5706</v>
      </c>
      <c r="BS43" s="131">
        <f t="shared" si="14"/>
        <v>160891.1889</v>
      </c>
      <c r="BT43" s="131">
        <f t="shared" si="14"/>
        <v>161996.5806</v>
      </c>
      <c r="BU43" s="131">
        <f t="shared" si="14"/>
        <v>163116.9515</v>
      </c>
      <c r="BV43" s="131">
        <f t="shared" si="14"/>
        <v>164251.7776</v>
      </c>
      <c r="BW43" s="131">
        <f t="shared" si="14"/>
        <v>165555.6213</v>
      </c>
      <c r="BX43" s="131">
        <f t="shared" si="14"/>
        <v>163244.591</v>
      </c>
      <c r="BY43" s="131">
        <f t="shared" si="14"/>
        <v>160988.7907</v>
      </c>
      <c r="BZ43" s="131">
        <f t="shared" si="14"/>
        <v>159514.1105</v>
      </c>
      <c r="CA43" s="131">
        <f t="shared" si="14"/>
        <v>158620.3067</v>
      </c>
      <c r="CB43" s="131">
        <f t="shared" si="14"/>
        <v>158159.1851</v>
      </c>
      <c r="CC43" s="131">
        <f t="shared" si="14"/>
        <v>158021.0694</v>
      </c>
      <c r="CD43" s="131">
        <f t="shared" si="14"/>
        <v>158124.7871</v>
      </c>
      <c r="CE43" s="131">
        <f t="shared" si="14"/>
        <v>158410.2595</v>
      </c>
      <c r="CF43" s="131">
        <f t="shared" si="14"/>
        <v>158833.0183</v>
      </c>
      <c r="CG43" s="131">
        <f t="shared" si="14"/>
        <v>159360.1476</v>
      </c>
      <c r="CH43" s="131">
        <f t="shared" si="14"/>
        <v>159967.281</v>
      </c>
      <c r="CI43" s="1"/>
      <c r="CJ43" s="1"/>
      <c r="CK43" s="1"/>
      <c r="CL43" s="1"/>
      <c r="CM43" s="1"/>
      <c r="CN43" s="1"/>
      <c r="CO43" s="1"/>
      <c r="CP43" s="1"/>
    </row>
    <row r="44" ht="15.75" customHeight="1">
      <c r="A44" s="1" t="s">
        <v>94</v>
      </c>
      <c r="B44" s="387"/>
      <c r="C44" s="116">
        <f>Revenue!C10</f>
        <v>32145</v>
      </c>
      <c r="D44" s="116">
        <f>Revenue!D148</f>
        <v>20023</v>
      </c>
      <c r="E44" s="116">
        <f>Revenue!E148</f>
        <v>38675</v>
      </c>
      <c r="F44" s="116">
        <f>Revenue!F148</f>
        <v>38382</v>
      </c>
      <c r="G44" s="116">
        <f>Revenue!G148</f>
        <v>25077</v>
      </c>
      <c r="H44" s="116">
        <f>Revenue!H148</f>
        <v>31269</v>
      </c>
      <c r="I44" s="116">
        <f>Revenue!I148</f>
        <v>26693</v>
      </c>
      <c r="J44" s="116">
        <f>Revenue!J148</f>
        <v>35918</v>
      </c>
      <c r="K44" s="116">
        <f>Revenue!K148</f>
        <v>38988</v>
      </c>
      <c r="L44" s="116">
        <f>Revenue!L148</f>
        <v>26246</v>
      </c>
      <c r="M44" s="116">
        <f>Revenue!M148</f>
        <v>25203</v>
      </c>
      <c r="N44" s="116">
        <f>Revenue!N148</f>
        <v>28999</v>
      </c>
      <c r="O44" s="116">
        <f>Revenue!O148</f>
        <v>23676</v>
      </c>
      <c r="P44" s="116">
        <f>Revenue!P148</f>
        <v>26413</v>
      </c>
      <c r="Q44" s="116">
        <f>Revenue!Q148</f>
        <v>32776</v>
      </c>
      <c r="R44" s="116">
        <f>Revenue!R148</f>
        <v>21590</v>
      </c>
      <c r="S44" s="116">
        <f>Revenue!S148</f>
        <v>33814</v>
      </c>
      <c r="T44" s="116">
        <f>Revenue!T148</f>
        <v>34386</v>
      </c>
      <c r="U44" s="116">
        <f>Revenue!U148</f>
        <v>22249</v>
      </c>
      <c r="V44" s="116">
        <f>Revenue!V148</f>
        <v>34970</v>
      </c>
      <c r="W44" s="116">
        <f>Revenue!W148</f>
        <v>34511</v>
      </c>
      <c r="X44" s="116">
        <f>Revenue!X148</f>
        <v>25370</v>
      </c>
      <c r="Y44" s="116">
        <f>Revenue!Y148</f>
        <v>25892</v>
      </c>
      <c r="Z44" s="131">
        <f t="shared" ref="Z44:CH44" si="15">Z19+Z36+Z89</f>
        <v>40594.26026</v>
      </c>
      <c r="AA44" s="131">
        <f t="shared" si="15"/>
        <v>55988.82155</v>
      </c>
      <c r="AB44" s="131">
        <f t="shared" si="15"/>
        <v>69546.66694</v>
      </c>
      <c r="AC44" s="131">
        <f t="shared" si="15"/>
        <v>81073.6617</v>
      </c>
      <c r="AD44" s="131">
        <f t="shared" si="15"/>
        <v>91209.03892</v>
      </c>
      <c r="AE44" s="131">
        <f t="shared" si="15"/>
        <v>95852.45893</v>
      </c>
      <c r="AF44" s="131">
        <f t="shared" si="15"/>
        <v>99857.83476</v>
      </c>
      <c r="AG44" s="131">
        <f t="shared" si="15"/>
        <v>101806.5918</v>
      </c>
      <c r="AH44" s="131">
        <f t="shared" si="15"/>
        <v>103289.1866</v>
      </c>
      <c r="AI44" s="131">
        <f t="shared" si="15"/>
        <v>105714.0636</v>
      </c>
      <c r="AJ44" s="131">
        <f t="shared" si="15"/>
        <v>108821.9767</v>
      </c>
      <c r="AK44" s="131">
        <f t="shared" si="15"/>
        <v>111347.4248</v>
      </c>
      <c r="AL44" s="131">
        <f t="shared" si="15"/>
        <v>113523.4857</v>
      </c>
      <c r="AM44" s="131">
        <f t="shared" si="15"/>
        <v>114311.8443</v>
      </c>
      <c r="AN44" s="131">
        <f t="shared" si="15"/>
        <v>115971.665</v>
      </c>
      <c r="AO44" s="131">
        <f t="shared" si="15"/>
        <v>118524.8864</v>
      </c>
      <c r="AP44" s="131">
        <f t="shared" si="15"/>
        <v>120623.8945</v>
      </c>
      <c r="AQ44" s="131">
        <f t="shared" si="15"/>
        <v>122384.968</v>
      </c>
      <c r="AR44" s="131">
        <f t="shared" si="15"/>
        <v>124162.2766</v>
      </c>
      <c r="AS44" s="131">
        <f t="shared" si="15"/>
        <v>125687.1381</v>
      </c>
      <c r="AT44" s="131">
        <f t="shared" si="15"/>
        <v>127024.8269</v>
      </c>
      <c r="AU44" s="131">
        <f t="shared" si="15"/>
        <v>128224.1154</v>
      </c>
      <c r="AV44" s="131">
        <f t="shared" si="15"/>
        <v>129321.4489</v>
      </c>
      <c r="AW44" s="131">
        <f t="shared" si="15"/>
        <v>130344.0646</v>
      </c>
      <c r="AX44" s="131">
        <f t="shared" si="15"/>
        <v>131312.3214</v>
      </c>
      <c r="AY44" s="131">
        <f t="shared" si="15"/>
        <v>133079.6368</v>
      </c>
      <c r="AZ44" s="131">
        <f t="shared" si="15"/>
        <v>134752.9878</v>
      </c>
      <c r="BA44" s="131">
        <f t="shared" si="15"/>
        <v>136214.3506</v>
      </c>
      <c r="BB44" s="131">
        <f t="shared" si="15"/>
        <v>137518.8319</v>
      </c>
      <c r="BC44" s="131">
        <f t="shared" si="15"/>
        <v>138707.6088</v>
      </c>
      <c r="BD44" s="131">
        <f t="shared" si="15"/>
        <v>139811.4531</v>
      </c>
      <c r="BE44" s="131">
        <f t="shared" si="15"/>
        <v>140853.3641</v>
      </c>
      <c r="BF44" s="131">
        <f t="shared" si="15"/>
        <v>141850.5348</v>
      </c>
      <c r="BG44" s="131">
        <f t="shared" si="15"/>
        <v>142815.8214</v>
      </c>
      <c r="BH44" s="131">
        <f t="shared" si="15"/>
        <v>143758.8405</v>
      </c>
      <c r="BI44" s="131">
        <f t="shared" si="15"/>
        <v>144686.7887</v>
      </c>
      <c r="BJ44" s="131">
        <f t="shared" si="15"/>
        <v>145605.0552</v>
      </c>
      <c r="BK44" s="131">
        <f t="shared" si="15"/>
        <v>147987.0886</v>
      </c>
      <c r="BL44" s="131">
        <f t="shared" si="15"/>
        <v>149776.2448</v>
      </c>
      <c r="BM44" s="131">
        <f t="shared" si="15"/>
        <v>150851.4366</v>
      </c>
      <c r="BN44" s="131">
        <f t="shared" si="15"/>
        <v>151903.6849</v>
      </c>
      <c r="BO44" s="131">
        <f t="shared" si="15"/>
        <v>152941.151</v>
      </c>
      <c r="BP44" s="131">
        <f t="shared" si="15"/>
        <v>153969.9715</v>
      </c>
      <c r="BQ44" s="131">
        <f t="shared" si="15"/>
        <v>154994.7715</v>
      </c>
      <c r="BR44" s="131">
        <f t="shared" si="15"/>
        <v>156019.048</v>
      </c>
      <c r="BS44" s="131">
        <f t="shared" si="15"/>
        <v>157045.4569</v>
      </c>
      <c r="BT44" s="131">
        <f t="shared" si="15"/>
        <v>158076.0262</v>
      </c>
      <c r="BU44" s="131">
        <f t="shared" si="15"/>
        <v>159112.3164</v>
      </c>
      <c r="BV44" s="131">
        <f t="shared" si="15"/>
        <v>160155.5402</v>
      </c>
      <c r="BW44" s="131">
        <f t="shared" si="15"/>
        <v>161317.2831</v>
      </c>
      <c r="BX44" s="131">
        <f t="shared" si="15"/>
        <v>158820.607</v>
      </c>
      <c r="BY44" s="131">
        <f t="shared" si="15"/>
        <v>156611.9551</v>
      </c>
      <c r="BZ44" s="131">
        <f t="shared" si="15"/>
        <v>155147.4376</v>
      </c>
      <c r="CA44" s="131">
        <f t="shared" si="15"/>
        <v>154241.0543</v>
      </c>
      <c r="CB44" s="131">
        <f t="shared" si="15"/>
        <v>153753.854</v>
      </c>
      <c r="CC44" s="131">
        <f t="shared" si="15"/>
        <v>153582.0326</v>
      </c>
      <c r="CD44" s="131">
        <f t="shared" si="15"/>
        <v>153648.0407</v>
      </c>
      <c r="CE44" s="131">
        <f t="shared" si="15"/>
        <v>153893.9425</v>
      </c>
      <c r="CF44" s="131">
        <f t="shared" si="15"/>
        <v>154276.4537</v>
      </c>
      <c r="CG44" s="131">
        <f t="shared" si="15"/>
        <v>154763.2355</v>
      </c>
      <c r="CH44" s="131">
        <f t="shared" si="15"/>
        <v>155330.1261</v>
      </c>
      <c r="CI44" s="1"/>
      <c r="CJ44" s="1"/>
      <c r="CK44" s="1"/>
      <c r="CL44" s="1"/>
      <c r="CM44" s="1"/>
      <c r="CN44" s="1"/>
      <c r="CO44" s="1"/>
      <c r="CP44" s="1"/>
    </row>
    <row r="45" ht="15.75" customHeight="1">
      <c r="A45" s="1" t="s">
        <v>96</v>
      </c>
      <c r="B45" s="387"/>
      <c r="C45" s="116">
        <f>Revenue!C11</f>
        <v>39950</v>
      </c>
      <c r="D45" s="116">
        <f>Revenue!D170</f>
        <v>38867</v>
      </c>
      <c r="E45" s="116">
        <f>Revenue!E170</f>
        <v>36759</v>
      </c>
      <c r="F45" s="116">
        <f>Revenue!F170</f>
        <v>25125</v>
      </c>
      <c r="G45" s="116">
        <f>Revenue!G170</f>
        <v>36781</v>
      </c>
      <c r="H45" s="116">
        <f>Revenue!H170</f>
        <v>37960</v>
      </c>
      <c r="I45" s="116">
        <f>Revenue!I170</f>
        <v>26320</v>
      </c>
      <c r="J45" s="116">
        <f>Revenue!J170</f>
        <v>26527</v>
      </c>
      <c r="K45" s="116">
        <f>Revenue!K170</f>
        <v>20651</v>
      </c>
      <c r="L45" s="116">
        <f>Revenue!L170</f>
        <v>39016</v>
      </c>
      <c r="M45" s="116">
        <f>Revenue!M170</f>
        <v>30718</v>
      </c>
      <c r="N45" s="116">
        <f>Revenue!N170</f>
        <v>20546</v>
      </c>
      <c r="O45" s="116">
        <f>Revenue!O170</f>
        <v>35731</v>
      </c>
      <c r="P45" s="116">
        <f>Revenue!P170</f>
        <v>22841</v>
      </c>
      <c r="Q45" s="116">
        <f>Revenue!Q170</f>
        <v>24132</v>
      </c>
      <c r="R45" s="116">
        <f>Revenue!R170</f>
        <v>24634</v>
      </c>
      <c r="S45" s="116">
        <f>Revenue!S170</f>
        <v>24667</v>
      </c>
      <c r="T45" s="116">
        <f>Revenue!T170</f>
        <v>35176</v>
      </c>
      <c r="U45" s="116">
        <f>Revenue!U170</f>
        <v>37262</v>
      </c>
      <c r="V45" s="116">
        <f>Revenue!V170</f>
        <v>25313</v>
      </c>
      <c r="W45" s="116">
        <f>Revenue!W170</f>
        <v>36298</v>
      </c>
      <c r="X45" s="116">
        <f>Revenue!X170</f>
        <v>23322</v>
      </c>
      <c r="Y45" s="116">
        <f>Revenue!Y170</f>
        <v>35512</v>
      </c>
      <c r="Z45" s="131">
        <f t="shared" ref="Z45:CH45" si="16">Z20+Z37+Z90</f>
        <v>205256</v>
      </c>
      <c r="AA45" s="131">
        <f t="shared" si="16"/>
        <v>327628</v>
      </c>
      <c r="AB45" s="131">
        <f t="shared" si="16"/>
        <v>411314</v>
      </c>
      <c r="AC45" s="131">
        <f t="shared" si="16"/>
        <v>453157</v>
      </c>
      <c r="AD45" s="131">
        <f t="shared" si="16"/>
        <v>474078.5</v>
      </c>
      <c r="AE45" s="131">
        <f t="shared" si="16"/>
        <v>484539.25</v>
      </c>
      <c r="AF45" s="131">
        <f t="shared" si="16"/>
        <v>489769.625</v>
      </c>
      <c r="AG45" s="131">
        <f t="shared" si="16"/>
        <v>492384.8125</v>
      </c>
      <c r="AH45" s="131">
        <f t="shared" si="16"/>
        <v>493692.4063</v>
      </c>
      <c r="AI45" s="131">
        <f t="shared" si="16"/>
        <v>494346.2031</v>
      </c>
      <c r="AJ45" s="131">
        <f t="shared" si="16"/>
        <v>494673.1016</v>
      </c>
      <c r="AK45" s="131">
        <f t="shared" si="16"/>
        <v>494836.5508</v>
      </c>
      <c r="AL45" s="131">
        <f t="shared" si="16"/>
        <v>494918.2754</v>
      </c>
      <c r="AM45" s="131">
        <f t="shared" si="16"/>
        <v>494959.1377</v>
      </c>
      <c r="AN45" s="131">
        <f t="shared" si="16"/>
        <v>494979.5688</v>
      </c>
      <c r="AO45" s="131">
        <f t="shared" si="16"/>
        <v>494989.7844</v>
      </c>
      <c r="AP45" s="131">
        <f t="shared" si="16"/>
        <v>494994.8922</v>
      </c>
      <c r="AQ45" s="131">
        <f t="shared" si="16"/>
        <v>494997.4461</v>
      </c>
      <c r="AR45" s="131">
        <f t="shared" si="16"/>
        <v>494998.7231</v>
      </c>
      <c r="AS45" s="131">
        <f t="shared" si="16"/>
        <v>494999.3615</v>
      </c>
      <c r="AT45" s="131">
        <f t="shared" si="16"/>
        <v>494999.6808</v>
      </c>
      <c r="AU45" s="131">
        <f t="shared" si="16"/>
        <v>494999.8404</v>
      </c>
      <c r="AV45" s="131">
        <f t="shared" si="16"/>
        <v>494999.9202</v>
      </c>
      <c r="AW45" s="131">
        <f t="shared" si="16"/>
        <v>494999.9601</v>
      </c>
      <c r="AX45" s="131">
        <f t="shared" si="16"/>
        <v>494999.98</v>
      </c>
      <c r="AY45" s="131">
        <f t="shared" si="16"/>
        <v>494999.99</v>
      </c>
      <c r="AZ45" s="131">
        <f t="shared" si="16"/>
        <v>494999.995</v>
      </c>
      <c r="BA45" s="131">
        <f t="shared" si="16"/>
        <v>494999.9975</v>
      </c>
      <c r="BB45" s="131">
        <f t="shared" si="16"/>
        <v>494999.9988</v>
      </c>
      <c r="BC45" s="131">
        <f t="shared" si="16"/>
        <v>494999.9994</v>
      </c>
      <c r="BD45" s="131">
        <f t="shared" si="16"/>
        <v>494999.9997</v>
      </c>
      <c r="BE45" s="131">
        <f t="shared" si="16"/>
        <v>494999.9998</v>
      </c>
      <c r="BF45" s="131">
        <f t="shared" si="16"/>
        <v>494999.9999</v>
      </c>
      <c r="BG45" s="131">
        <f t="shared" si="16"/>
        <v>495000</v>
      </c>
      <c r="BH45" s="131">
        <f t="shared" si="16"/>
        <v>495000</v>
      </c>
      <c r="BI45" s="131">
        <f t="shared" si="16"/>
        <v>495000</v>
      </c>
      <c r="BJ45" s="131">
        <f t="shared" si="16"/>
        <v>495000</v>
      </c>
      <c r="BK45" s="131">
        <f t="shared" si="16"/>
        <v>495000</v>
      </c>
      <c r="BL45" s="131">
        <f t="shared" si="16"/>
        <v>495000</v>
      </c>
      <c r="BM45" s="131">
        <f t="shared" si="16"/>
        <v>495000</v>
      </c>
      <c r="BN45" s="131">
        <f t="shared" si="16"/>
        <v>495000</v>
      </c>
      <c r="BO45" s="131">
        <f t="shared" si="16"/>
        <v>495000</v>
      </c>
      <c r="BP45" s="131">
        <f t="shared" si="16"/>
        <v>495000</v>
      </c>
      <c r="BQ45" s="131">
        <f t="shared" si="16"/>
        <v>495000</v>
      </c>
      <c r="BR45" s="131">
        <f t="shared" si="16"/>
        <v>495000</v>
      </c>
      <c r="BS45" s="131">
        <f t="shared" si="16"/>
        <v>495000</v>
      </c>
      <c r="BT45" s="131">
        <f t="shared" si="16"/>
        <v>495000</v>
      </c>
      <c r="BU45" s="131">
        <f t="shared" si="16"/>
        <v>495000</v>
      </c>
      <c r="BV45" s="131">
        <f t="shared" si="16"/>
        <v>495000</v>
      </c>
      <c r="BW45" s="131">
        <f t="shared" si="16"/>
        <v>495000</v>
      </c>
      <c r="BX45" s="131">
        <f t="shared" si="16"/>
        <v>495000</v>
      </c>
      <c r="BY45" s="131">
        <f t="shared" si="16"/>
        <v>495000</v>
      </c>
      <c r="BZ45" s="131">
        <f t="shared" si="16"/>
        <v>495000</v>
      </c>
      <c r="CA45" s="131">
        <f t="shared" si="16"/>
        <v>495000</v>
      </c>
      <c r="CB45" s="131">
        <f t="shared" si="16"/>
        <v>495000</v>
      </c>
      <c r="CC45" s="131">
        <f t="shared" si="16"/>
        <v>495000</v>
      </c>
      <c r="CD45" s="131">
        <f t="shared" si="16"/>
        <v>495000</v>
      </c>
      <c r="CE45" s="131">
        <f t="shared" si="16"/>
        <v>495000</v>
      </c>
      <c r="CF45" s="131">
        <f t="shared" si="16"/>
        <v>495000</v>
      </c>
      <c r="CG45" s="131">
        <f t="shared" si="16"/>
        <v>495000</v>
      </c>
      <c r="CH45" s="131">
        <f t="shared" si="16"/>
        <v>495000</v>
      </c>
      <c r="CI45" s="1"/>
      <c r="CJ45" s="1"/>
      <c r="CK45" s="1"/>
      <c r="CL45" s="1"/>
      <c r="CM45" s="1"/>
      <c r="CN45" s="1"/>
      <c r="CO45" s="1"/>
      <c r="CP45" s="1"/>
    </row>
    <row r="46" ht="15.75" customHeight="1">
      <c r="A46" s="119" t="s">
        <v>654</v>
      </c>
      <c r="B46" s="386"/>
      <c r="C46" s="386">
        <f t="shared" ref="C46:T46" si="17">SUM(C40:C45)</f>
        <v>774301</v>
      </c>
      <c r="D46" s="386">
        <f t="shared" si="17"/>
        <v>759276</v>
      </c>
      <c r="E46" s="386">
        <f t="shared" si="17"/>
        <v>730769</v>
      </c>
      <c r="F46" s="386">
        <f t="shared" si="17"/>
        <v>823256</v>
      </c>
      <c r="G46" s="386">
        <f t="shared" si="17"/>
        <v>782699</v>
      </c>
      <c r="H46" s="386">
        <f t="shared" si="17"/>
        <v>767463</v>
      </c>
      <c r="I46" s="386">
        <f t="shared" si="17"/>
        <v>703566</v>
      </c>
      <c r="J46" s="386">
        <f t="shared" si="17"/>
        <v>613602</v>
      </c>
      <c r="K46" s="386">
        <f t="shared" si="17"/>
        <v>717818</v>
      </c>
      <c r="L46" s="386">
        <f t="shared" si="17"/>
        <v>747081</v>
      </c>
      <c r="M46" s="386">
        <f t="shared" si="17"/>
        <v>745262</v>
      </c>
      <c r="N46" s="386">
        <f t="shared" si="17"/>
        <v>701749</v>
      </c>
      <c r="O46" s="386">
        <f t="shared" si="17"/>
        <v>749679</v>
      </c>
      <c r="P46" s="386">
        <f t="shared" si="17"/>
        <v>690124</v>
      </c>
      <c r="Q46" s="386">
        <f t="shared" si="17"/>
        <v>669119</v>
      </c>
      <c r="R46" s="386">
        <f t="shared" si="17"/>
        <v>724662</v>
      </c>
      <c r="S46" s="386">
        <f t="shared" si="17"/>
        <v>767933</v>
      </c>
      <c r="T46" s="386">
        <f t="shared" si="17"/>
        <v>640148</v>
      </c>
      <c r="U46" s="386">
        <f>SUM(U93:U98)</f>
        <v>1075603</v>
      </c>
      <c r="V46" s="386">
        <f t="shared" ref="V46:CH46" si="18">SUM(V40:V45)</f>
        <v>848077</v>
      </c>
      <c r="W46" s="386">
        <f t="shared" si="18"/>
        <v>854981</v>
      </c>
      <c r="X46" s="386">
        <f t="shared" si="18"/>
        <v>693132</v>
      </c>
      <c r="Y46" s="386">
        <f t="shared" si="18"/>
        <v>784915</v>
      </c>
      <c r="Z46" s="386">
        <f t="shared" si="18"/>
        <v>1126008.616</v>
      </c>
      <c r="AA46" s="386">
        <f t="shared" si="18"/>
        <v>1447959.878</v>
      </c>
      <c r="AB46" s="386">
        <f t="shared" si="18"/>
        <v>1745880.693</v>
      </c>
      <c r="AC46" s="386">
        <f t="shared" si="18"/>
        <v>1998296.912</v>
      </c>
      <c r="AD46" s="386">
        <f t="shared" si="18"/>
        <v>2225702.772</v>
      </c>
      <c r="AE46" s="386">
        <f t="shared" si="18"/>
        <v>2435241.26</v>
      </c>
      <c r="AF46" s="386">
        <f t="shared" si="18"/>
        <v>2635156.112</v>
      </c>
      <c r="AG46" s="386">
        <f t="shared" si="18"/>
        <v>2826992.771</v>
      </c>
      <c r="AH46" s="386">
        <f t="shared" si="18"/>
        <v>3009093.459</v>
      </c>
      <c r="AI46" s="386">
        <f t="shared" si="18"/>
        <v>3187519.2</v>
      </c>
      <c r="AJ46" s="386">
        <f t="shared" si="18"/>
        <v>3354767.587</v>
      </c>
      <c r="AK46" s="386">
        <f t="shared" si="18"/>
        <v>3520965.397</v>
      </c>
      <c r="AL46" s="386">
        <f t="shared" si="18"/>
        <v>3686881.199</v>
      </c>
      <c r="AM46" s="386">
        <f t="shared" si="18"/>
        <v>3808893.43</v>
      </c>
      <c r="AN46" s="386">
        <f t="shared" si="18"/>
        <v>3872151.176</v>
      </c>
      <c r="AO46" s="386">
        <f t="shared" si="18"/>
        <v>3927870.377</v>
      </c>
      <c r="AP46" s="386">
        <f t="shared" si="18"/>
        <v>3983567.228</v>
      </c>
      <c r="AQ46" s="386">
        <f t="shared" si="18"/>
        <v>4038953.303</v>
      </c>
      <c r="AR46" s="386">
        <f t="shared" si="18"/>
        <v>4095234.415</v>
      </c>
      <c r="AS46" s="386">
        <f t="shared" si="18"/>
        <v>4150727.814</v>
      </c>
      <c r="AT46" s="386">
        <f t="shared" si="18"/>
        <v>4205409.268</v>
      </c>
      <c r="AU46" s="386">
        <f t="shared" si="18"/>
        <v>4259279.515</v>
      </c>
      <c r="AV46" s="386">
        <f t="shared" si="18"/>
        <v>4312356.024</v>
      </c>
      <c r="AW46" s="386">
        <f t="shared" si="18"/>
        <v>4364667.226</v>
      </c>
      <c r="AX46" s="386">
        <f t="shared" si="18"/>
        <v>4416248.48</v>
      </c>
      <c r="AY46" s="386">
        <f t="shared" si="18"/>
        <v>4503720.809</v>
      </c>
      <c r="AZ46" s="386">
        <f t="shared" si="18"/>
        <v>4589431.61</v>
      </c>
      <c r="BA46" s="386">
        <f t="shared" si="18"/>
        <v>4672719.138</v>
      </c>
      <c r="BB46" s="386">
        <f t="shared" si="18"/>
        <v>4753891.876</v>
      </c>
      <c r="BC46" s="386">
        <f t="shared" si="18"/>
        <v>4833195.812</v>
      </c>
      <c r="BD46" s="386">
        <f t="shared" si="18"/>
        <v>4910829.928</v>
      </c>
      <c r="BE46" s="386">
        <f t="shared" si="18"/>
        <v>4986957.718</v>
      </c>
      <c r="BF46" s="386">
        <f t="shared" si="18"/>
        <v>5061715.758</v>
      </c>
      <c r="BG46" s="386">
        <f t="shared" si="18"/>
        <v>5135220.079</v>
      </c>
      <c r="BH46" s="386">
        <f t="shared" si="18"/>
        <v>5207570.923</v>
      </c>
      <c r="BI46" s="386">
        <f t="shared" si="18"/>
        <v>5278856.295</v>
      </c>
      <c r="BJ46" s="386">
        <f t="shared" si="18"/>
        <v>5349154.613</v>
      </c>
      <c r="BK46" s="386">
        <f t="shared" si="18"/>
        <v>5433860.628</v>
      </c>
      <c r="BL46" s="386">
        <f t="shared" si="18"/>
        <v>5512984.018</v>
      </c>
      <c r="BM46" s="386">
        <f t="shared" si="18"/>
        <v>5581402.343</v>
      </c>
      <c r="BN46" s="386">
        <f t="shared" si="18"/>
        <v>5649391.656</v>
      </c>
      <c r="BO46" s="386">
        <f t="shared" si="18"/>
        <v>5716999.882</v>
      </c>
      <c r="BP46" s="386">
        <f t="shared" si="18"/>
        <v>5784273.366</v>
      </c>
      <c r="BQ46" s="386">
        <f t="shared" si="18"/>
        <v>5851257.037</v>
      </c>
      <c r="BR46" s="386">
        <f t="shared" si="18"/>
        <v>5917994.536</v>
      </c>
      <c r="BS46" s="386">
        <f t="shared" si="18"/>
        <v>5984528.336</v>
      </c>
      <c r="BT46" s="386">
        <f t="shared" si="18"/>
        <v>6050899.84</v>
      </c>
      <c r="BU46" s="386">
        <f t="shared" si="18"/>
        <v>6117149.471</v>
      </c>
      <c r="BV46" s="386">
        <f t="shared" si="18"/>
        <v>6183316.752</v>
      </c>
      <c r="BW46" s="386">
        <f t="shared" si="18"/>
        <v>6256867.146</v>
      </c>
      <c r="BX46" s="386">
        <f t="shared" si="18"/>
        <v>6306250.355</v>
      </c>
      <c r="BY46" s="386">
        <f t="shared" si="18"/>
        <v>6346538.027</v>
      </c>
      <c r="BZ46" s="386">
        <f t="shared" si="18"/>
        <v>6387851.25</v>
      </c>
      <c r="CA46" s="386">
        <f t="shared" si="18"/>
        <v>6429850.211</v>
      </c>
      <c r="CB46" s="386">
        <f t="shared" si="18"/>
        <v>6472292.264</v>
      </c>
      <c r="CC46" s="386">
        <f t="shared" si="18"/>
        <v>6515006.582</v>
      </c>
      <c r="CD46" s="386">
        <f t="shared" si="18"/>
        <v>6557875.329</v>
      </c>
      <c r="CE46" s="386">
        <f t="shared" si="18"/>
        <v>6600819.685</v>
      </c>
      <c r="CF46" s="386">
        <f t="shared" si="18"/>
        <v>6643789.477</v>
      </c>
      <c r="CG46" s="386">
        <f t="shared" si="18"/>
        <v>6686755.479</v>
      </c>
      <c r="CH46" s="386">
        <f t="shared" si="18"/>
        <v>6729703.715</v>
      </c>
      <c r="CI46" s="1"/>
      <c r="CJ46" s="1"/>
      <c r="CK46" s="1"/>
      <c r="CL46" s="1"/>
      <c r="CM46" s="1"/>
      <c r="CN46" s="1"/>
      <c r="CO46" s="1"/>
      <c r="CP46" s="1"/>
    </row>
    <row r="47" ht="15.75" customHeight="1">
      <c r="A47" s="1"/>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f t="shared" ref="AA47:AL47" si="19">SUM(AA40:AA42)</f>
        <v>987803.318</v>
      </c>
      <c r="AB47" s="356">
        <f t="shared" si="19"/>
        <v>1171565.992</v>
      </c>
      <c r="AC47" s="356">
        <f t="shared" si="19"/>
        <v>1358347.594</v>
      </c>
      <c r="AD47" s="356">
        <f t="shared" si="19"/>
        <v>1545746.705</v>
      </c>
      <c r="AE47" s="356">
        <f t="shared" si="19"/>
        <v>1732672.816</v>
      </c>
      <c r="AF47" s="356">
        <f t="shared" si="19"/>
        <v>1918149.755</v>
      </c>
      <c r="AG47" s="356">
        <f t="shared" si="19"/>
        <v>2101775.456</v>
      </c>
      <c r="AH47" s="356">
        <f t="shared" si="19"/>
        <v>2279814.96</v>
      </c>
      <c r="AI47" s="356">
        <f t="shared" si="19"/>
        <v>2456578.81</v>
      </c>
      <c r="AJ47" s="356">
        <f t="shared" si="19"/>
        <v>2617945.847</v>
      </c>
      <c r="AK47" s="356">
        <f t="shared" si="19"/>
        <v>2779499.749</v>
      </c>
      <c r="AL47" s="356">
        <f t="shared" si="19"/>
        <v>2941417.788</v>
      </c>
      <c r="AM47" s="356"/>
      <c r="AN47" s="356"/>
      <c r="AO47" s="356"/>
      <c r="AP47" s="356"/>
      <c r="AQ47" s="356"/>
      <c r="AR47" s="356"/>
      <c r="AS47" s="356"/>
      <c r="AT47" s="356"/>
      <c r="AU47" s="356"/>
      <c r="AV47" s="356"/>
      <c r="AW47" s="356"/>
      <c r="AX47" s="356"/>
      <c r="AY47" s="356"/>
      <c r="AZ47" s="356"/>
      <c r="BA47" s="356"/>
      <c r="BB47" s="356"/>
      <c r="BC47" s="356"/>
      <c r="BD47" s="356"/>
      <c r="BE47" s="356"/>
      <c r="BF47" s="356"/>
      <c r="BG47" s="356"/>
      <c r="BH47" s="356"/>
      <c r="BI47" s="356"/>
      <c r="BJ47" s="356"/>
      <c r="BK47" s="356"/>
      <c r="BL47" s="356"/>
      <c r="BM47" s="356"/>
      <c r="BN47" s="356"/>
      <c r="BO47" s="356"/>
      <c r="BP47" s="356"/>
      <c r="BQ47" s="356"/>
      <c r="BR47" s="356"/>
      <c r="BS47" s="356"/>
      <c r="BT47" s="356"/>
      <c r="BU47" s="356"/>
      <c r="BV47" s="356"/>
      <c r="BW47" s="356"/>
      <c r="BX47" s="356"/>
      <c r="BY47" s="356"/>
      <c r="BZ47" s="356"/>
      <c r="CA47" s="356"/>
      <c r="CB47" s="356"/>
      <c r="CC47" s="356"/>
      <c r="CD47" s="356"/>
      <c r="CE47" s="356"/>
      <c r="CF47" s="356"/>
      <c r="CG47" s="356"/>
      <c r="CH47" s="356"/>
      <c r="CI47" s="1"/>
      <c r="CJ47" s="1"/>
      <c r="CK47" s="1"/>
      <c r="CL47" s="1"/>
      <c r="CM47" s="1"/>
      <c r="CN47" s="1"/>
      <c r="CO47" s="1"/>
      <c r="CP47" s="1"/>
    </row>
    <row r="48" ht="15.75" customHeight="1">
      <c r="A48" s="1" t="s">
        <v>129</v>
      </c>
      <c r="B48" s="370"/>
      <c r="C48" s="370">
        <v>0.05</v>
      </c>
      <c r="D48" s="370">
        <v>0.05</v>
      </c>
      <c r="E48" s="370">
        <v>0.05</v>
      </c>
      <c r="F48" s="370">
        <v>0.05</v>
      </c>
      <c r="G48" s="370">
        <v>0.05</v>
      </c>
      <c r="H48" s="370">
        <v>0.05</v>
      </c>
      <c r="I48" s="370">
        <v>0.05</v>
      </c>
      <c r="J48" s="370">
        <v>0.05</v>
      </c>
      <c r="K48" s="370">
        <v>0.05</v>
      </c>
      <c r="L48" s="370">
        <v>0.05</v>
      </c>
      <c r="M48" s="370">
        <v>0.05</v>
      </c>
      <c r="N48" s="370">
        <v>0.05</v>
      </c>
      <c r="O48" s="370">
        <v>0.05</v>
      </c>
      <c r="P48" s="370">
        <v>0.05</v>
      </c>
      <c r="Q48" s="370">
        <v>0.05</v>
      </c>
      <c r="R48" s="370">
        <v>0.05</v>
      </c>
      <c r="S48" s="370">
        <v>0.05</v>
      </c>
      <c r="T48" s="370">
        <v>0.05</v>
      </c>
      <c r="U48" s="370">
        <v>0.05</v>
      </c>
      <c r="V48" s="370">
        <v>0.05</v>
      </c>
      <c r="W48" s="370">
        <v>0.05</v>
      </c>
      <c r="X48" s="370">
        <v>0.05</v>
      </c>
      <c r="Y48" s="370">
        <v>0.05</v>
      </c>
      <c r="Z48" s="389">
        <v>0.065</v>
      </c>
      <c r="AA48" s="389">
        <v>0.067</v>
      </c>
      <c r="AB48" s="389">
        <f t="shared" ref="AB48:AL48" si="20">AA48-0.27%</f>
        <v>0.0643</v>
      </c>
      <c r="AC48" s="389">
        <f t="shared" si="20"/>
        <v>0.0616</v>
      </c>
      <c r="AD48" s="389">
        <f t="shared" si="20"/>
        <v>0.0589</v>
      </c>
      <c r="AE48" s="389">
        <f t="shared" si="20"/>
        <v>0.0562</v>
      </c>
      <c r="AF48" s="389">
        <f t="shared" si="20"/>
        <v>0.0535</v>
      </c>
      <c r="AG48" s="389">
        <f t="shared" si="20"/>
        <v>0.0508</v>
      </c>
      <c r="AH48" s="389">
        <f t="shared" si="20"/>
        <v>0.0481</v>
      </c>
      <c r="AI48" s="389">
        <f t="shared" si="20"/>
        <v>0.0454</v>
      </c>
      <c r="AJ48" s="389">
        <f t="shared" si="20"/>
        <v>0.0427</v>
      </c>
      <c r="AK48" s="389">
        <f t="shared" si="20"/>
        <v>0.04</v>
      </c>
      <c r="AL48" s="389">
        <f t="shared" si="20"/>
        <v>0.0373</v>
      </c>
      <c r="AM48" s="389">
        <v>0.041</v>
      </c>
      <c r="AN48" s="389">
        <v>0.041</v>
      </c>
      <c r="AO48" s="389">
        <v>0.041</v>
      </c>
      <c r="AP48" s="389">
        <v>0.041</v>
      </c>
      <c r="AQ48" s="389">
        <v>0.041</v>
      </c>
      <c r="AR48" s="389">
        <v>0.041</v>
      </c>
      <c r="AS48" s="389">
        <v>0.04</v>
      </c>
      <c r="AT48" s="389">
        <v>0.04</v>
      </c>
      <c r="AU48" s="389">
        <v>0.04</v>
      </c>
      <c r="AV48" s="389">
        <v>0.04</v>
      </c>
      <c r="AW48" s="389">
        <v>0.04</v>
      </c>
      <c r="AX48" s="389">
        <v>0.04</v>
      </c>
      <c r="AY48" s="390">
        <v>0.038</v>
      </c>
      <c r="AZ48" s="390">
        <v>0.038</v>
      </c>
      <c r="BA48" s="390">
        <v>0.038</v>
      </c>
      <c r="BB48" s="390">
        <v>0.038</v>
      </c>
      <c r="BC48" s="390">
        <v>0.038</v>
      </c>
      <c r="BD48" s="390">
        <v>0.038</v>
      </c>
      <c r="BE48" s="390">
        <v>0.038</v>
      </c>
      <c r="BF48" s="390">
        <v>0.038</v>
      </c>
      <c r="BG48" s="390">
        <v>0.038</v>
      </c>
      <c r="BH48" s="390">
        <v>0.038</v>
      </c>
      <c r="BI48" s="390">
        <v>0.038</v>
      </c>
      <c r="BJ48" s="390">
        <v>0.038</v>
      </c>
      <c r="BK48" s="390">
        <v>0.036</v>
      </c>
      <c r="BL48" s="390">
        <v>0.036</v>
      </c>
      <c r="BM48" s="390">
        <v>0.036</v>
      </c>
      <c r="BN48" s="390">
        <v>0.036</v>
      </c>
      <c r="BO48" s="390">
        <v>0.036</v>
      </c>
      <c r="BP48" s="390">
        <v>0.036</v>
      </c>
      <c r="BQ48" s="390">
        <v>0.036</v>
      </c>
      <c r="BR48" s="390">
        <v>0.036</v>
      </c>
      <c r="BS48" s="390">
        <v>0.036</v>
      </c>
      <c r="BT48" s="390">
        <v>0.036</v>
      </c>
      <c r="BU48" s="390">
        <v>0.036</v>
      </c>
      <c r="BV48" s="390">
        <v>0.036</v>
      </c>
      <c r="BW48" s="390">
        <v>0.035</v>
      </c>
      <c r="BX48" s="390">
        <v>0.035</v>
      </c>
      <c r="BY48" s="390">
        <v>0.035</v>
      </c>
      <c r="BZ48" s="390">
        <v>0.035</v>
      </c>
      <c r="CA48" s="390">
        <v>0.035</v>
      </c>
      <c r="CB48" s="390">
        <v>0.035</v>
      </c>
      <c r="CC48" s="390">
        <v>0.035</v>
      </c>
      <c r="CD48" s="390">
        <v>0.035</v>
      </c>
      <c r="CE48" s="390">
        <v>0.035</v>
      </c>
      <c r="CF48" s="390">
        <v>0.035</v>
      </c>
      <c r="CG48" s="390">
        <v>0.035</v>
      </c>
      <c r="CH48" s="390">
        <v>0.035</v>
      </c>
      <c r="CI48" s="1"/>
      <c r="CJ48" s="1"/>
      <c r="CK48" s="1"/>
      <c r="CL48" s="1"/>
      <c r="CM48" s="1"/>
      <c r="CN48" s="1"/>
      <c r="CO48" s="1"/>
      <c r="CP48" s="1"/>
    </row>
    <row r="49" ht="15.75" customHeight="1">
      <c r="A49" s="1" t="s">
        <v>85</v>
      </c>
      <c r="B49" s="370"/>
      <c r="C49" s="370">
        <v>0.05</v>
      </c>
      <c r="D49" s="370">
        <v>0.05</v>
      </c>
      <c r="E49" s="370">
        <v>0.05</v>
      </c>
      <c r="F49" s="370">
        <v>0.05</v>
      </c>
      <c r="G49" s="370">
        <v>0.05</v>
      </c>
      <c r="H49" s="370">
        <v>0.05</v>
      </c>
      <c r="I49" s="370">
        <v>0.05</v>
      </c>
      <c r="J49" s="370">
        <v>0.05</v>
      </c>
      <c r="K49" s="370">
        <v>0.05</v>
      </c>
      <c r="L49" s="370">
        <v>0.05</v>
      </c>
      <c r="M49" s="370">
        <v>0.05</v>
      </c>
      <c r="N49" s="370">
        <v>0.05</v>
      </c>
      <c r="O49" s="370">
        <v>0.05</v>
      </c>
      <c r="P49" s="370">
        <v>0.05</v>
      </c>
      <c r="Q49" s="370">
        <v>0.05</v>
      </c>
      <c r="R49" s="370">
        <v>0.05</v>
      </c>
      <c r="S49" s="370">
        <v>0.05</v>
      </c>
      <c r="T49" s="370">
        <v>0.05</v>
      </c>
      <c r="U49" s="370">
        <v>0.05</v>
      </c>
      <c r="V49" s="370">
        <v>0.05</v>
      </c>
      <c r="W49" s="370">
        <v>0.05</v>
      </c>
      <c r="X49" s="370">
        <v>0.05</v>
      </c>
      <c r="Y49" s="370">
        <v>0.05</v>
      </c>
      <c r="Z49" s="389">
        <v>0.044</v>
      </c>
      <c r="AA49" s="389">
        <v>0.047</v>
      </c>
      <c r="AB49" s="389">
        <f t="shared" ref="AB49:AL49" si="21">AA49-0.00045</f>
        <v>0.04655</v>
      </c>
      <c r="AC49" s="389">
        <f t="shared" si="21"/>
        <v>0.0461</v>
      </c>
      <c r="AD49" s="389">
        <f t="shared" si="21"/>
        <v>0.04565</v>
      </c>
      <c r="AE49" s="389">
        <f t="shared" si="21"/>
        <v>0.0452</v>
      </c>
      <c r="AF49" s="389">
        <f t="shared" si="21"/>
        <v>0.04475</v>
      </c>
      <c r="AG49" s="389">
        <f t="shared" si="21"/>
        <v>0.0443</v>
      </c>
      <c r="AH49" s="389">
        <f t="shared" si="21"/>
        <v>0.04385</v>
      </c>
      <c r="AI49" s="389">
        <f t="shared" si="21"/>
        <v>0.0434</v>
      </c>
      <c r="AJ49" s="389">
        <f t="shared" si="21"/>
        <v>0.04295</v>
      </c>
      <c r="AK49" s="389">
        <f t="shared" si="21"/>
        <v>0.0425</v>
      </c>
      <c r="AL49" s="389">
        <f t="shared" si="21"/>
        <v>0.04205</v>
      </c>
      <c r="AM49" s="389">
        <v>0.042</v>
      </c>
      <c r="AN49" s="389">
        <v>0.042</v>
      </c>
      <c r="AO49" s="389">
        <v>0.042</v>
      </c>
      <c r="AP49" s="389">
        <v>0.042</v>
      </c>
      <c r="AQ49" s="389">
        <v>0.042</v>
      </c>
      <c r="AR49" s="389">
        <v>0.042</v>
      </c>
      <c r="AS49" s="389">
        <v>0.041</v>
      </c>
      <c r="AT49" s="389">
        <v>0.041</v>
      </c>
      <c r="AU49" s="389">
        <v>0.041</v>
      </c>
      <c r="AV49" s="389">
        <v>0.041</v>
      </c>
      <c r="AW49" s="389">
        <v>0.041</v>
      </c>
      <c r="AX49" s="389">
        <v>0.041</v>
      </c>
      <c r="AY49" s="390">
        <v>0.039</v>
      </c>
      <c r="AZ49" s="390">
        <v>0.039</v>
      </c>
      <c r="BA49" s="390">
        <v>0.039</v>
      </c>
      <c r="BB49" s="390">
        <v>0.039</v>
      </c>
      <c r="BC49" s="390">
        <v>0.039</v>
      </c>
      <c r="BD49" s="390">
        <v>0.039</v>
      </c>
      <c r="BE49" s="390">
        <v>0.039</v>
      </c>
      <c r="BF49" s="390">
        <v>0.039</v>
      </c>
      <c r="BG49" s="390">
        <v>0.039</v>
      </c>
      <c r="BH49" s="390">
        <v>0.039</v>
      </c>
      <c r="BI49" s="390">
        <v>0.039</v>
      </c>
      <c r="BJ49" s="390">
        <v>0.039</v>
      </c>
      <c r="BK49" s="390">
        <v>0.037</v>
      </c>
      <c r="BL49" s="390">
        <v>0.037</v>
      </c>
      <c r="BM49" s="390">
        <v>0.037</v>
      </c>
      <c r="BN49" s="390">
        <v>0.037</v>
      </c>
      <c r="BO49" s="390">
        <v>0.037</v>
      </c>
      <c r="BP49" s="390">
        <v>0.037</v>
      </c>
      <c r="BQ49" s="390">
        <v>0.037</v>
      </c>
      <c r="BR49" s="390">
        <v>0.037</v>
      </c>
      <c r="BS49" s="390">
        <v>0.037</v>
      </c>
      <c r="BT49" s="390">
        <v>0.037</v>
      </c>
      <c r="BU49" s="390">
        <v>0.037</v>
      </c>
      <c r="BV49" s="390">
        <v>0.037</v>
      </c>
      <c r="BW49" s="390">
        <v>0.036</v>
      </c>
      <c r="BX49" s="390">
        <v>0.036</v>
      </c>
      <c r="BY49" s="390">
        <v>0.036</v>
      </c>
      <c r="BZ49" s="390">
        <v>0.036</v>
      </c>
      <c r="CA49" s="390">
        <v>0.036</v>
      </c>
      <c r="CB49" s="390">
        <v>0.036</v>
      </c>
      <c r="CC49" s="390">
        <v>0.036</v>
      </c>
      <c r="CD49" s="390">
        <v>0.036</v>
      </c>
      <c r="CE49" s="390">
        <v>0.036</v>
      </c>
      <c r="CF49" s="390">
        <v>0.036</v>
      </c>
      <c r="CG49" s="390">
        <v>0.036</v>
      </c>
      <c r="CH49" s="390">
        <v>0.036</v>
      </c>
      <c r="CI49" s="1"/>
      <c r="CJ49" s="1"/>
      <c r="CK49" s="1"/>
      <c r="CL49" s="1"/>
      <c r="CM49" s="1"/>
      <c r="CN49" s="1"/>
      <c r="CO49" s="1"/>
      <c r="CP49" s="1"/>
    </row>
    <row r="50" ht="15.75" customHeight="1">
      <c r="A50" s="1" t="s">
        <v>130</v>
      </c>
      <c r="B50" s="370"/>
      <c r="C50" s="370">
        <v>0.05</v>
      </c>
      <c r="D50" s="370">
        <v>0.05</v>
      </c>
      <c r="E50" s="370">
        <v>0.05</v>
      </c>
      <c r="F50" s="370">
        <v>0.05</v>
      </c>
      <c r="G50" s="370">
        <v>0.05</v>
      </c>
      <c r="H50" s="370">
        <v>0.05</v>
      </c>
      <c r="I50" s="370">
        <v>0.05</v>
      </c>
      <c r="J50" s="370">
        <v>0.05</v>
      </c>
      <c r="K50" s="370">
        <v>0.05</v>
      </c>
      <c r="L50" s="370">
        <v>0.05</v>
      </c>
      <c r="M50" s="370">
        <v>0.05</v>
      </c>
      <c r="N50" s="370">
        <v>0.05</v>
      </c>
      <c r="O50" s="370">
        <v>0.05</v>
      </c>
      <c r="P50" s="370">
        <v>0.05</v>
      </c>
      <c r="Q50" s="370">
        <v>0.05</v>
      </c>
      <c r="R50" s="370">
        <v>0.05</v>
      </c>
      <c r="S50" s="370">
        <v>0.05</v>
      </c>
      <c r="T50" s="370">
        <v>0.05</v>
      </c>
      <c r="U50" s="370">
        <v>0.05</v>
      </c>
      <c r="V50" s="370">
        <v>0.05</v>
      </c>
      <c r="W50" s="370">
        <v>0.05</v>
      </c>
      <c r="X50" s="370">
        <v>0.05</v>
      </c>
      <c r="Y50" s="370">
        <v>0.05</v>
      </c>
      <c r="Z50" s="389">
        <v>0.072</v>
      </c>
      <c r="AA50" s="389">
        <v>0.072</v>
      </c>
      <c r="AB50" s="389">
        <f t="shared" ref="AB50:AL50" si="22">AA50-0.27%</f>
        <v>0.0693</v>
      </c>
      <c r="AC50" s="389">
        <f t="shared" si="22"/>
        <v>0.0666</v>
      </c>
      <c r="AD50" s="389">
        <f t="shared" si="22"/>
        <v>0.0639</v>
      </c>
      <c r="AE50" s="389">
        <f t="shared" si="22"/>
        <v>0.0612</v>
      </c>
      <c r="AF50" s="389">
        <f t="shared" si="22"/>
        <v>0.0585</v>
      </c>
      <c r="AG50" s="389">
        <f t="shared" si="22"/>
        <v>0.0558</v>
      </c>
      <c r="AH50" s="389">
        <f t="shared" si="22"/>
        <v>0.0531</v>
      </c>
      <c r="AI50" s="389">
        <f t="shared" si="22"/>
        <v>0.0504</v>
      </c>
      <c r="AJ50" s="389">
        <f t="shared" si="22"/>
        <v>0.0477</v>
      </c>
      <c r="AK50" s="389">
        <f t="shared" si="22"/>
        <v>0.045</v>
      </c>
      <c r="AL50" s="389">
        <f t="shared" si="22"/>
        <v>0.0423</v>
      </c>
      <c r="AM50" s="389">
        <v>0.042</v>
      </c>
      <c r="AN50" s="389">
        <v>0.042</v>
      </c>
      <c r="AO50" s="389">
        <v>0.042</v>
      </c>
      <c r="AP50" s="389">
        <v>0.042</v>
      </c>
      <c r="AQ50" s="389">
        <v>0.042</v>
      </c>
      <c r="AR50" s="389">
        <v>0.042</v>
      </c>
      <c r="AS50" s="389">
        <v>0.041</v>
      </c>
      <c r="AT50" s="389">
        <v>0.041</v>
      </c>
      <c r="AU50" s="389">
        <v>0.041</v>
      </c>
      <c r="AV50" s="389">
        <v>0.041</v>
      </c>
      <c r="AW50" s="389">
        <v>0.041</v>
      </c>
      <c r="AX50" s="389">
        <v>0.041</v>
      </c>
      <c r="AY50" s="390">
        <v>0.039</v>
      </c>
      <c r="AZ50" s="390">
        <v>0.039</v>
      </c>
      <c r="BA50" s="390">
        <v>0.039</v>
      </c>
      <c r="BB50" s="390">
        <v>0.039</v>
      </c>
      <c r="BC50" s="390">
        <v>0.039</v>
      </c>
      <c r="BD50" s="390">
        <v>0.039</v>
      </c>
      <c r="BE50" s="390">
        <v>0.039</v>
      </c>
      <c r="BF50" s="390">
        <v>0.039</v>
      </c>
      <c r="BG50" s="390">
        <v>0.039</v>
      </c>
      <c r="BH50" s="390">
        <v>0.039</v>
      </c>
      <c r="BI50" s="390">
        <v>0.039</v>
      </c>
      <c r="BJ50" s="390">
        <v>0.039</v>
      </c>
      <c r="BK50" s="390">
        <v>0.037</v>
      </c>
      <c r="BL50" s="390">
        <v>0.037</v>
      </c>
      <c r="BM50" s="390">
        <v>0.037</v>
      </c>
      <c r="BN50" s="390">
        <v>0.037</v>
      </c>
      <c r="BO50" s="390">
        <v>0.037</v>
      </c>
      <c r="BP50" s="390">
        <v>0.037</v>
      </c>
      <c r="BQ50" s="390">
        <v>0.037</v>
      </c>
      <c r="BR50" s="390">
        <v>0.037</v>
      </c>
      <c r="BS50" s="390">
        <v>0.037</v>
      </c>
      <c r="BT50" s="390">
        <v>0.037</v>
      </c>
      <c r="BU50" s="390">
        <v>0.037</v>
      </c>
      <c r="BV50" s="390">
        <v>0.037</v>
      </c>
      <c r="BW50" s="390">
        <v>0.036</v>
      </c>
      <c r="BX50" s="390">
        <v>0.036</v>
      </c>
      <c r="BY50" s="390">
        <v>0.036</v>
      </c>
      <c r="BZ50" s="390">
        <v>0.036</v>
      </c>
      <c r="CA50" s="390">
        <v>0.036</v>
      </c>
      <c r="CB50" s="390">
        <v>0.036</v>
      </c>
      <c r="CC50" s="390">
        <v>0.036</v>
      </c>
      <c r="CD50" s="390">
        <v>0.036</v>
      </c>
      <c r="CE50" s="390">
        <v>0.036</v>
      </c>
      <c r="CF50" s="390">
        <v>0.036</v>
      </c>
      <c r="CG50" s="390">
        <v>0.036</v>
      </c>
      <c r="CH50" s="390">
        <v>0.036</v>
      </c>
      <c r="CI50" s="1"/>
      <c r="CJ50" s="1"/>
      <c r="CK50" s="1"/>
      <c r="CL50" s="1"/>
      <c r="CM50" s="1"/>
      <c r="CN50" s="1"/>
      <c r="CO50" s="1"/>
      <c r="CP50" s="1"/>
    </row>
    <row r="51" ht="15.75" customHeight="1">
      <c r="A51" s="1" t="s">
        <v>89</v>
      </c>
      <c r="B51" s="370"/>
      <c r="C51" s="370">
        <v>0.05</v>
      </c>
      <c r="D51" s="370">
        <v>0.05</v>
      </c>
      <c r="E51" s="370">
        <v>0.05</v>
      </c>
      <c r="F51" s="370">
        <v>0.05</v>
      </c>
      <c r="G51" s="370">
        <v>0.05</v>
      </c>
      <c r="H51" s="370">
        <v>0.05</v>
      </c>
      <c r="I51" s="370">
        <v>0.05</v>
      </c>
      <c r="J51" s="370">
        <v>0.05</v>
      </c>
      <c r="K51" s="370">
        <v>0.05</v>
      </c>
      <c r="L51" s="370">
        <v>0.05</v>
      </c>
      <c r="M51" s="370">
        <v>0.05</v>
      </c>
      <c r="N51" s="370">
        <v>0.05</v>
      </c>
      <c r="O51" s="370">
        <v>0.05</v>
      </c>
      <c r="P51" s="370">
        <v>0.05</v>
      </c>
      <c r="Q51" s="370">
        <v>0.05</v>
      </c>
      <c r="R51" s="370">
        <v>0.05</v>
      </c>
      <c r="S51" s="370">
        <v>0.05</v>
      </c>
      <c r="T51" s="370">
        <v>0.05</v>
      </c>
      <c r="U51" s="370">
        <v>0.05</v>
      </c>
      <c r="V51" s="370">
        <v>0.05</v>
      </c>
      <c r="W51" s="370">
        <v>0.05</v>
      </c>
      <c r="X51" s="370">
        <v>0.05</v>
      </c>
      <c r="Y51" s="370">
        <v>0.05</v>
      </c>
      <c r="Z51" s="391">
        <v>0.2</v>
      </c>
      <c r="AA51" s="391">
        <v>0.28200000000000003</v>
      </c>
      <c r="AB51" s="391">
        <v>0.28200000000000003</v>
      </c>
      <c r="AC51" s="391">
        <v>0.28200000000000003</v>
      </c>
      <c r="AD51" s="391">
        <v>0.28200000000000003</v>
      </c>
      <c r="AE51" s="391">
        <v>0.28200000000000003</v>
      </c>
      <c r="AF51" s="391">
        <v>0.28200000000000003</v>
      </c>
      <c r="AG51" s="391">
        <v>0.28200000000000003</v>
      </c>
      <c r="AH51" s="391">
        <v>0.28200000000000003</v>
      </c>
      <c r="AI51" s="391">
        <v>0.28200000000000003</v>
      </c>
      <c r="AJ51" s="391">
        <v>0.28200000000000003</v>
      </c>
      <c r="AK51" s="391">
        <v>0.28200000000000003</v>
      </c>
      <c r="AL51" s="391">
        <v>0.28200000000000003</v>
      </c>
      <c r="AM51" s="391">
        <v>0.282</v>
      </c>
      <c r="AN51" s="391">
        <v>0.282</v>
      </c>
      <c r="AO51" s="391">
        <v>0.282</v>
      </c>
      <c r="AP51" s="391">
        <v>0.282</v>
      </c>
      <c r="AQ51" s="391">
        <v>0.282</v>
      </c>
      <c r="AR51" s="391">
        <v>0.282</v>
      </c>
      <c r="AS51" s="391">
        <v>0.282</v>
      </c>
      <c r="AT51" s="391">
        <v>0.282</v>
      </c>
      <c r="AU51" s="391">
        <v>0.282</v>
      </c>
      <c r="AV51" s="391">
        <v>0.282</v>
      </c>
      <c r="AW51" s="391">
        <v>0.282</v>
      </c>
      <c r="AX51" s="391">
        <v>0.282</v>
      </c>
      <c r="AY51" s="391">
        <v>0.26</v>
      </c>
      <c r="AZ51" s="391">
        <v>0.2</v>
      </c>
      <c r="BA51" s="391">
        <v>0.2</v>
      </c>
      <c r="BB51" s="391">
        <v>0.2</v>
      </c>
      <c r="BC51" s="391">
        <v>0.2</v>
      </c>
      <c r="BD51" s="391">
        <v>0.2</v>
      </c>
      <c r="BE51" s="391">
        <v>0.2</v>
      </c>
      <c r="BF51" s="391">
        <v>0.2</v>
      </c>
      <c r="BG51" s="391">
        <v>0.2</v>
      </c>
      <c r="BH51" s="391">
        <v>0.2</v>
      </c>
      <c r="BI51" s="391">
        <v>0.2</v>
      </c>
      <c r="BJ51" s="391">
        <v>0.2</v>
      </c>
      <c r="BK51" s="391">
        <v>0.19</v>
      </c>
      <c r="BL51" s="391">
        <v>0.19</v>
      </c>
      <c r="BM51" s="391">
        <v>0.19</v>
      </c>
      <c r="BN51" s="391">
        <v>0.19</v>
      </c>
      <c r="BO51" s="391">
        <v>0.19</v>
      </c>
      <c r="BP51" s="391">
        <v>0.19</v>
      </c>
      <c r="BQ51" s="391">
        <v>0.19</v>
      </c>
      <c r="BR51" s="391">
        <v>0.19</v>
      </c>
      <c r="BS51" s="391">
        <v>0.19</v>
      </c>
      <c r="BT51" s="391">
        <v>0.19</v>
      </c>
      <c r="BU51" s="391">
        <v>0.19</v>
      </c>
      <c r="BV51" s="391">
        <v>0.19</v>
      </c>
      <c r="BW51" s="391">
        <v>0.213</v>
      </c>
      <c r="BX51" s="391">
        <v>0.213</v>
      </c>
      <c r="BY51" s="391">
        <v>0.213</v>
      </c>
      <c r="BZ51" s="391">
        <v>0.213</v>
      </c>
      <c r="CA51" s="391">
        <v>0.213</v>
      </c>
      <c r="CB51" s="391">
        <v>0.213</v>
      </c>
      <c r="CC51" s="391">
        <v>0.213</v>
      </c>
      <c r="CD51" s="391">
        <v>0.213</v>
      </c>
      <c r="CE51" s="391">
        <v>0.213</v>
      </c>
      <c r="CF51" s="391">
        <v>0.213</v>
      </c>
      <c r="CG51" s="391">
        <v>0.213</v>
      </c>
      <c r="CH51" s="391">
        <v>0.213</v>
      </c>
      <c r="CI51" s="1"/>
      <c r="CJ51" s="1"/>
      <c r="CK51" s="1"/>
      <c r="CL51" s="1"/>
      <c r="CM51" s="1"/>
      <c r="CN51" s="1"/>
      <c r="CO51" s="1"/>
      <c r="CP51" s="1"/>
    </row>
    <row r="52" ht="15.75" customHeight="1">
      <c r="A52" s="1" t="s">
        <v>94</v>
      </c>
      <c r="B52" s="370"/>
      <c r="C52" s="370">
        <v>0.05</v>
      </c>
      <c r="D52" s="370">
        <v>0.05</v>
      </c>
      <c r="E52" s="370">
        <v>0.05</v>
      </c>
      <c r="F52" s="370">
        <v>0.05</v>
      </c>
      <c r="G52" s="370">
        <v>0.05</v>
      </c>
      <c r="H52" s="370">
        <v>0.05</v>
      </c>
      <c r="I52" s="370">
        <v>0.05</v>
      </c>
      <c r="J52" s="370">
        <v>0.05</v>
      </c>
      <c r="K52" s="370">
        <v>0.05</v>
      </c>
      <c r="L52" s="370">
        <v>0.05</v>
      </c>
      <c r="M52" s="370">
        <v>0.05</v>
      </c>
      <c r="N52" s="370">
        <v>0.05</v>
      </c>
      <c r="O52" s="370">
        <v>0.05</v>
      </c>
      <c r="P52" s="370">
        <v>0.05</v>
      </c>
      <c r="Q52" s="370">
        <v>0.05</v>
      </c>
      <c r="R52" s="370">
        <v>0.05</v>
      </c>
      <c r="S52" s="370">
        <v>0.05</v>
      </c>
      <c r="T52" s="370">
        <v>0.05</v>
      </c>
      <c r="U52" s="370">
        <v>0.05</v>
      </c>
      <c r="V52" s="370">
        <v>0.05</v>
      </c>
      <c r="W52" s="370">
        <v>0.05</v>
      </c>
      <c r="X52" s="370">
        <v>0.05</v>
      </c>
      <c r="Y52" s="370">
        <v>0.05</v>
      </c>
      <c r="Z52" s="391">
        <v>0.213</v>
      </c>
      <c r="AA52" s="391">
        <v>0.302</v>
      </c>
      <c r="AB52" s="391">
        <v>0.302</v>
      </c>
      <c r="AC52" s="391">
        <v>0.302</v>
      </c>
      <c r="AD52" s="391">
        <v>0.302</v>
      </c>
      <c r="AE52" s="391">
        <v>0.302</v>
      </c>
      <c r="AF52" s="391">
        <v>0.302</v>
      </c>
      <c r="AG52" s="391">
        <v>0.302</v>
      </c>
      <c r="AH52" s="391">
        <v>0.302</v>
      </c>
      <c r="AI52" s="391">
        <v>0.302</v>
      </c>
      <c r="AJ52" s="391">
        <v>0.302</v>
      </c>
      <c r="AK52" s="391">
        <v>0.302</v>
      </c>
      <c r="AL52" s="391">
        <v>0.302</v>
      </c>
      <c r="AM52" s="391">
        <v>0.253</v>
      </c>
      <c r="AN52" s="391">
        <v>0.253</v>
      </c>
      <c r="AO52" s="391">
        <v>0.253</v>
      </c>
      <c r="AP52" s="391">
        <v>0.253</v>
      </c>
      <c r="AQ52" s="391">
        <v>0.253</v>
      </c>
      <c r="AR52" s="391">
        <v>0.253</v>
      </c>
      <c r="AS52" s="391">
        <v>0.253</v>
      </c>
      <c r="AT52" s="391">
        <v>0.253</v>
      </c>
      <c r="AU52" s="391">
        <v>0.253</v>
      </c>
      <c r="AV52" s="391">
        <v>0.253</v>
      </c>
      <c r="AW52" s="391">
        <v>0.253</v>
      </c>
      <c r="AX52" s="391">
        <v>0.253</v>
      </c>
      <c r="AY52" s="391">
        <v>0.233</v>
      </c>
      <c r="AZ52" s="391">
        <v>0.233</v>
      </c>
      <c r="BA52" s="391">
        <v>0.233</v>
      </c>
      <c r="BB52" s="391">
        <v>0.233</v>
      </c>
      <c r="BC52" s="391">
        <v>0.233</v>
      </c>
      <c r="BD52" s="391">
        <v>0.233</v>
      </c>
      <c r="BE52" s="391">
        <v>0.233</v>
      </c>
      <c r="BF52" s="391">
        <v>0.233</v>
      </c>
      <c r="BG52" s="391">
        <v>0.233</v>
      </c>
      <c r="BH52" s="391">
        <v>0.233</v>
      </c>
      <c r="BI52" s="391">
        <v>0.233</v>
      </c>
      <c r="BJ52" s="391">
        <v>0.233</v>
      </c>
      <c r="BK52" s="391">
        <v>0.213</v>
      </c>
      <c r="BL52" s="391">
        <v>0.213</v>
      </c>
      <c r="BM52" s="391">
        <v>0.213</v>
      </c>
      <c r="BN52" s="391">
        <v>0.213</v>
      </c>
      <c r="BO52" s="391">
        <v>0.213</v>
      </c>
      <c r="BP52" s="391">
        <v>0.213</v>
      </c>
      <c r="BQ52" s="391">
        <v>0.213</v>
      </c>
      <c r="BR52" s="391">
        <v>0.213</v>
      </c>
      <c r="BS52" s="391">
        <v>0.213</v>
      </c>
      <c r="BT52" s="391">
        <v>0.213</v>
      </c>
      <c r="BU52" s="391">
        <v>0.213</v>
      </c>
      <c r="BV52" s="391">
        <v>0.213</v>
      </c>
      <c r="BW52" s="391">
        <v>0.253</v>
      </c>
      <c r="BX52" s="391">
        <v>0.253</v>
      </c>
      <c r="BY52" s="391">
        <v>0.253</v>
      </c>
      <c r="BZ52" s="391">
        <v>0.253</v>
      </c>
      <c r="CA52" s="391">
        <v>0.253</v>
      </c>
      <c r="CB52" s="391">
        <v>0.253</v>
      </c>
      <c r="CC52" s="391">
        <v>0.253</v>
      </c>
      <c r="CD52" s="391">
        <v>0.253</v>
      </c>
      <c r="CE52" s="391">
        <v>0.253</v>
      </c>
      <c r="CF52" s="391">
        <v>0.253</v>
      </c>
      <c r="CG52" s="391">
        <v>0.253</v>
      </c>
      <c r="CH52" s="391">
        <v>0.253</v>
      </c>
      <c r="CI52" s="1"/>
      <c r="CJ52" s="1"/>
      <c r="CK52" s="1"/>
      <c r="CL52" s="1"/>
      <c r="CM52" s="1"/>
      <c r="CN52" s="1"/>
      <c r="CO52" s="1"/>
      <c r="CP52" s="1"/>
    </row>
    <row r="53" ht="15.75" customHeight="1">
      <c r="A53" s="1" t="s">
        <v>96</v>
      </c>
      <c r="B53" s="392"/>
      <c r="C53" s="392">
        <v>0.5</v>
      </c>
      <c r="D53" s="392">
        <v>0.5</v>
      </c>
      <c r="E53" s="392">
        <v>0.5</v>
      </c>
      <c r="F53" s="392">
        <v>0.5</v>
      </c>
      <c r="G53" s="392">
        <v>0.5</v>
      </c>
      <c r="H53" s="392">
        <v>0.5</v>
      </c>
      <c r="I53" s="392">
        <v>0.5</v>
      </c>
      <c r="J53" s="392">
        <v>0.5</v>
      </c>
      <c r="K53" s="392">
        <v>0.5</v>
      </c>
      <c r="L53" s="392">
        <v>0.5</v>
      </c>
      <c r="M53" s="392">
        <v>0.5</v>
      </c>
      <c r="N53" s="392">
        <v>0.5</v>
      </c>
      <c r="O53" s="392">
        <v>0.5</v>
      </c>
      <c r="P53" s="392">
        <v>0.5</v>
      </c>
      <c r="Q53" s="392">
        <v>0.5</v>
      </c>
      <c r="R53" s="392">
        <v>0.5</v>
      </c>
      <c r="S53" s="392">
        <v>0.5</v>
      </c>
      <c r="T53" s="392">
        <v>0.5</v>
      </c>
      <c r="U53" s="392">
        <v>0.5</v>
      </c>
      <c r="V53" s="392">
        <v>0.5</v>
      </c>
      <c r="W53" s="392">
        <v>0.5</v>
      </c>
      <c r="X53" s="392">
        <v>0.5</v>
      </c>
      <c r="Y53" s="392">
        <v>0.5</v>
      </c>
      <c r="Z53" s="391">
        <v>0.5</v>
      </c>
      <c r="AA53" s="391">
        <v>0.5</v>
      </c>
      <c r="AB53" s="391">
        <v>0.5</v>
      </c>
      <c r="AC53" s="391">
        <v>0.5</v>
      </c>
      <c r="AD53" s="391">
        <v>0.5</v>
      </c>
      <c r="AE53" s="391">
        <v>0.5</v>
      </c>
      <c r="AF53" s="391">
        <v>0.5</v>
      </c>
      <c r="AG53" s="391">
        <v>0.5</v>
      </c>
      <c r="AH53" s="391">
        <v>0.5</v>
      </c>
      <c r="AI53" s="391">
        <v>0.5</v>
      </c>
      <c r="AJ53" s="391">
        <v>0.5</v>
      </c>
      <c r="AK53" s="391">
        <v>0.5</v>
      </c>
      <c r="AL53" s="391">
        <v>0.5</v>
      </c>
      <c r="AM53" s="391">
        <v>0.5</v>
      </c>
      <c r="AN53" s="391">
        <v>0.5</v>
      </c>
      <c r="AO53" s="391">
        <v>0.5</v>
      </c>
      <c r="AP53" s="391">
        <v>0.5</v>
      </c>
      <c r="AQ53" s="391">
        <v>0.5</v>
      </c>
      <c r="AR53" s="391">
        <v>0.5</v>
      </c>
      <c r="AS53" s="391">
        <v>0.5</v>
      </c>
      <c r="AT53" s="391">
        <v>0.5</v>
      </c>
      <c r="AU53" s="391">
        <v>0.5</v>
      </c>
      <c r="AV53" s="391">
        <v>0.5</v>
      </c>
      <c r="AW53" s="391">
        <v>0.5</v>
      </c>
      <c r="AX53" s="391">
        <v>0.5</v>
      </c>
      <c r="AY53" s="391">
        <v>0.5</v>
      </c>
      <c r="AZ53" s="391">
        <v>0.5</v>
      </c>
      <c r="BA53" s="391">
        <v>0.5</v>
      </c>
      <c r="BB53" s="391">
        <v>0.5</v>
      </c>
      <c r="BC53" s="391">
        <v>0.5</v>
      </c>
      <c r="BD53" s="391">
        <v>0.5</v>
      </c>
      <c r="BE53" s="391">
        <v>0.5</v>
      </c>
      <c r="BF53" s="391">
        <v>0.5</v>
      </c>
      <c r="BG53" s="391">
        <v>0.5</v>
      </c>
      <c r="BH53" s="391">
        <v>0.5</v>
      </c>
      <c r="BI53" s="391">
        <v>0.5</v>
      </c>
      <c r="BJ53" s="391">
        <v>0.5</v>
      </c>
      <c r="BK53" s="391">
        <v>0.5</v>
      </c>
      <c r="BL53" s="391">
        <v>0.5</v>
      </c>
      <c r="BM53" s="391">
        <v>0.5</v>
      </c>
      <c r="BN53" s="391">
        <v>0.5</v>
      </c>
      <c r="BO53" s="391">
        <v>0.5</v>
      </c>
      <c r="BP53" s="391">
        <v>0.5</v>
      </c>
      <c r="BQ53" s="391">
        <v>0.5</v>
      </c>
      <c r="BR53" s="391">
        <v>0.5</v>
      </c>
      <c r="BS53" s="391">
        <v>0.5</v>
      </c>
      <c r="BT53" s="391">
        <v>0.5</v>
      </c>
      <c r="BU53" s="391">
        <v>0.5</v>
      </c>
      <c r="BV53" s="391">
        <v>0.5</v>
      </c>
      <c r="BW53" s="391">
        <v>0.5</v>
      </c>
      <c r="BX53" s="391">
        <v>0.5</v>
      </c>
      <c r="BY53" s="391">
        <v>0.5</v>
      </c>
      <c r="BZ53" s="391">
        <v>0.5</v>
      </c>
      <c r="CA53" s="391">
        <v>0.5</v>
      </c>
      <c r="CB53" s="391">
        <v>0.5</v>
      </c>
      <c r="CC53" s="391">
        <v>0.5</v>
      </c>
      <c r="CD53" s="391">
        <v>0.5</v>
      </c>
      <c r="CE53" s="391">
        <v>0.5</v>
      </c>
      <c r="CF53" s="391">
        <v>0.5</v>
      </c>
      <c r="CG53" s="391">
        <v>0.5</v>
      </c>
      <c r="CH53" s="391">
        <v>0.5</v>
      </c>
      <c r="CI53" s="1"/>
      <c r="CJ53" s="1"/>
      <c r="CK53" s="1"/>
      <c r="CL53" s="1"/>
      <c r="CM53" s="1"/>
      <c r="CN53" s="1"/>
      <c r="CO53" s="1"/>
      <c r="CP53" s="1"/>
    </row>
    <row r="54" ht="15.75" customHeight="1">
      <c r="A54" s="119" t="s">
        <v>655</v>
      </c>
      <c r="B54" s="393"/>
      <c r="C54" s="394">
        <f t="shared" ref="C54:CH54" si="23">-C83/C46</f>
        <v>0.02300139093</v>
      </c>
      <c r="D54" s="394">
        <f t="shared" si="23"/>
        <v>0.04591610956</v>
      </c>
      <c r="E54" s="394">
        <f t="shared" si="23"/>
        <v>0.03049253595</v>
      </c>
      <c r="F54" s="394">
        <f t="shared" si="23"/>
        <v>0.02679846852</v>
      </c>
      <c r="G54" s="394">
        <f t="shared" si="23"/>
        <v>0.03805294245</v>
      </c>
      <c r="H54" s="394">
        <f t="shared" si="23"/>
        <v>0.04209062847</v>
      </c>
      <c r="I54" s="394">
        <f t="shared" si="23"/>
        <v>0.03709104761</v>
      </c>
      <c r="J54" s="393">
        <f t="shared" si="23"/>
        <v>0.05015303079</v>
      </c>
      <c r="K54" s="393">
        <f t="shared" si="23"/>
        <v>0.04837298591</v>
      </c>
      <c r="L54" s="393">
        <f t="shared" si="23"/>
        <v>0.03466424658</v>
      </c>
      <c r="M54" s="393">
        <f t="shared" si="23"/>
        <v>0.04690162654</v>
      </c>
      <c r="N54" s="393">
        <f t="shared" si="23"/>
        <v>0.0535633111</v>
      </c>
      <c r="O54" s="393">
        <f t="shared" si="23"/>
        <v>0.03266464714</v>
      </c>
      <c r="P54" s="393">
        <f t="shared" si="23"/>
        <v>0.04362549339</v>
      </c>
      <c r="Q54" s="393">
        <f t="shared" si="23"/>
        <v>0.05024367863</v>
      </c>
      <c r="R54" s="393">
        <f t="shared" si="23"/>
        <v>0.05269767147</v>
      </c>
      <c r="S54" s="393">
        <f t="shared" si="23"/>
        <v>0.03675971732</v>
      </c>
      <c r="T54" s="393">
        <f t="shared" si="23"/>
        <v>0.04924954854</v>
      </c>
      <c r="U54" s="393">
        <f t="shared" si="23"/>
        <v>0.02431473322</v>
      </c>
      <c r="V54" s="393">
        <f t="shared" si="23"/>
        <v>0.04223319345</v>
      </c>
      <c r="W54" s="393">
        <f t="shared" si="23"/>
        <v>0.02975738642</v>
      </c>
      <c r="X54" s="393">
        <f t="shared" si="23"/>
        <v>0.05555363192</v>
      </c>
      <c r="Y54" s="393">
        <f t="shared" si="23"/>
        <v>0.03071287974</v>
      </c>
      <c r="Z54" s="393">
        <f t="shared" si="23"/>
        <v>0.07252409248</v>
      </c>
      <c r="AA54" s="393">
        <f t="shared" si="23"/>
        <v>0.1281919067</v>
      </c>
      <c r="AB54" s="393">
        <f t="shared" si="23"/>
        <v>0.1521998622</v>
      </c>
      <c r="AC54" s="393">
        <f t="shared" si="23"/>
        <v>0.1630154087</v>
      </c>
      <c r="AD54" s="393">
        <f t="shared" si="23"/>
        <v>0.162741309</v>
      </c>
      <c r="AE54" s="393">
        <f t="shared" si="23"/>
        <v>0.1575777809</v>
      </c>
      <c r="AF54" s="393">
        <f t="shared" si="23"/>
        <v>0.1520678476</v>
      </c>
      <c r="AG54" s="393">
        <f t="shared" si="23"/>
        <v>0.1452969333</v>
      </c>
      <c r="AH54" s="393">
        <f t="shared" si="23"/>
        <v>0.1403645877</v>
      </c>
      <c r="AI54" s="393">
        <f t="shared" si="23"/>
        <v>0.1358884798</v>
      </c>
      <c r="AJ54" s="393">
        <f t="shared" si="23"/>
        <v>0.1303278817</v>
      </c>
      <c r="AK54" s="393">
        <f t="shared" si="23"/>
        <v>0.1256691599</v>
      </c>
      <c r="AL54" s="393">
        <f t="shared" si="23"/>
        <v>0.1216441186</v>
      </c>
      <c r="AM54" s="393">
        <f t="shared" si="23"/>
        <v>0.1206650433</v>
      </c>
      <c r="AN54" s="393">
        <f t="shared" si="23"/>
        <v>0.1206905248</v>
      </c>
      <c r="AO54" s="393">
        <f t="shared" si="23"/>
        <v>0.119520428</v>
      </c>
      <c r="AP54" s="393">
        <f t="shared" si="23"/>
        <v>0.1183545794</v>
      </c>
      <c r="AQ54" s="393">
        <f t="shared" si="23"/>
        <v>0.1173056411</v>
      </c>
      <c r="AR54" s="393">
        <f t="shared" si="23"/>
        <v>0.1163093934</v>
      </c>
      <c r="AS54" s="393">
        <f t="shared" si="23"/>
        <v>0.1154381218</v>
      </c>
      <c r="AT54" s="393">
        <f t="shared" si="23"/>
        <v>0.114622023</v>
      </c>
      <c r="AU54" s="393">
        <f t="shared" si="23"/>
        <v>0.1138526671</v>
      </c>
      <c r="AV54" s="393">
        <f t="shared" si="23"/>
        <v>0.113123574</v>
      </c>
      <c r="AW54" s="393">
        <f t="shared" si="23"/>
        <v>0.1124296781</v>
      </c>
      <c r="AX54" s="393">
        <f t="shared" si="23"/>
        <v>0.1117669477</v>
      </c>
      <c r="AY54" s="393">
        <f t="shared" si="23"/>
        <v>0.1026164881</v>
      </c>
      <c r="AZ54" s="393">
        <f t="shared" si="23"/>
        <v>0.1017554886</v>
      </c>
      <c r="BA54" s="393">
        <f t="shared" si="23"/>
        <v>0.1009252619</v>
      </c>
      <c r="BB54" s="393">
        <f t="shared" si="23"/>
        <v>0.1001076829</v>
      </c>
      <c r="BC54" s="393">
        <f t="shared" si="23"/>
        <v>0.09930895654</v>
      </c>
      <c r="BD54" s="393">
        <f t="shared" si="23"/>
        <v>0.09853287527</v>
      </c>
      <c r="BE54" s="393">
        <f t="shared" si="23"/>
        <v>0.09778155059</v>
      </c>
      <c r="BF54" s="393">
        <f t="shared" si="23"/>
        <v>0.09705593262</v>
      </c>
      <c r="BG54" s="393">
        <f t="shared" si="23"/>
        <v>0.0963561791</v>
      </c>
      <c r="BH54" s="393">
        <f t="shared" si="23"/>
        <v>0.09568191722</v>
      </c>
      <c r="BI54" s="393">
        <f t="shared" si="23"/>
        <v>0.09503242884</v>
      </c>
      <c r="BJ54" s="393">
        <f t="shared" si="23"/>
        <v>0.09440678098</v>
      </c>
      <c r="BK54" s="393">
        <f t="shared" si="23"/>
        <v>0.09186132519</v>
      </c>
      <c r="BL54" s="393">
        <f t="shared" si="23"/>
        <v>0.09132722529</v>
      </c>
      <c r="BM54" s="393">
        <f t="shared" si="23"/>
        <v>0.09089764402</v>
      </c>
      <c r="BN54" s="393">
        <f t="shared" si="23"/>
        <v>0.09034918314</v>
      </c>
      <c r="BO54" s="393">
        <f t="shared" si="23"/>
        <v>0.08981731496</v>
      </c>
      <c r="BP54" s="393">
        <f t="shared" si="23"/>
        <v>0.08930103002</v>
      </c>
      <c r="BQ54" s="393">
        <f t="shared" si="23"/>
        <v>0.08879938538</v>
      </c>
      <c r="BR54" s="393">
        <f t="shared" si="23"/>
        <v>0.08831150058</v>
      </c>
      <c r="BS54" s="393">
        <f t="shared" si="23"/>
        <v>0.08783655355</v>
      </c>
      <c r="BT54" s="393">
        <f t="shared" si="23"/>
        <v>0.0873737768</v>
      </c>
      <c r="BU54" s="393">
        <f t="shared" si="23"/>
        <v>0.08692245367</v>
      </c>
      <c r="BV54" s="393">
        <f t="shared" si="23"/>
        <v>0.08648191479</v>
      </c>
      <c r="BW54" s="393">
        <f t="shared" si="23"/>
        <v>0.08509210977</v>
      </c>
      <c r="BX54" s="393">
        <f t="shared" si="23"/>
        <v>0.08494991514</v>
      </c>
      <c r="BY54" s="393">
        <f t="shared" si="23"/>
        <v>0.08453730305</v>
      </c>
      <c r="BZ54" s="393">
        <f t="shared" si="23"/>
        <v>0.08407458204</v>
      </c>
      <c r="CA54" s="393">
        <f t="shared" si="23"/>
        <v>0.08366683713</v>
      </c>
      <c r="CB54" s="393">
        <f t="shared" si="23"/>
        <v>0.08330120579</v>
      </c>
      <c r="CC54" s="393">
        <f t="shared" si="23"/>
        <v>0.08296806174</v>
      </c>
      <c r="CD54" s="393">
        <f t="shared" si="23"/>
        <v>0.08266018829</v>
      </c>
      <c r="CE54" s="393">
        <f t="shared" si="23"/>
        <v>0.0823721613</v>
      </c>
      <c r="CF54" s="393">
        <f t="shared" si="23"/>
        <v>0.08209988999</v>
      </c>
      <c r="CG54" s="393">
        <f t="shared" si="23"/>
        <v>0.08184027569</v>
      </c>
      <c r="CH54" s="393">
        <f t="shared" si="23"/>
        <v>0.08159095861</v>
      </c>
      <c r="CI54" s="1"/>
      <c r="CJ54" s="1"/>
      <c r="CK54" s="1"/>
      <c r="CL54" s="1"/>
      <c r="CM54" s="1"/>
      <c r="CN54" s="1"/>
      <c r="CO54" s="1"/>
      <c r="CP54" s="1"/>
    </row>
    <row r="55" ht="15.75" customHeight="1">
      <c r="A55" s="1"/>
      <c r="B55" s="370"/>
      <c r="C55" s="370"/>
      <c r="D55" s="370"/>
      <c r="E55" s="370"/>
      <c r="F55" s="370"/>
      <c r="G55" s="370"/>
      <c r="H55" s="370"/>
      <c r="I55" s="370"/>
      <c r="J55" s="370"/>
      <c r="K55" s="370"/>
      <c r="L55" s="370"/>
      <c r="M55" s="370"/>
      <c r="N55" s="370"/>
      <c r="O55" s="370"/>
      <c r="P55" s="370"/>
      <c r="Q55" s="370"/>
      <c r="R55" s="370"/>
      <c r="S55" s="370"/>
      <c r="T55" s="370"/>
      <c r="U55" s="370"/>
      <c r="V55" s="389"/>
      <c r="W55" s="395"/>
      <c r="X55" s="389"/>
      <c r="Y55" s="389"/>
      <c r="Z55" s="389"/>
      <c r="AA55" s="389"/>
      <c r="AB55" s="389"/>
      <c r="AC55" s="389"/>
      <c r="AD55" s="389"/>
      <c r="AE55" s="389"/>
      <c r="AF55" s="389"/>
      <c r="AG55" s="389"/>
      <c r="AH55" s="389"/>
      <c r="AI55" s="389"/>
      <c r="AJ55" s="389"/>
      <c r="AK55" s="389"/>
      <c r="AL55" s="389"/>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90"/>
      <c r="BW55" s="390"/>
      <c r="BX55" s="390"/>
      <c r="BY55" s="390"/>
      <c r="BZ55" s="390"/>
      <c r="CA55" s="390"/>
      <c r="CB55" s="390"/>
      <c r="CC55" s="390"/>
      <c r="CD55" s="390"/>
      <c r="CE55" s="390"/>
      <c r="CF55" s="390"/>
      <c r="CG55" s="390"/>
      <c r="CH55" s="390"/>
      <c r="CI55" s="1"/>
      <c r="CJ55" s="1"/>
      <c r="CK55" s="1"/>
      <c r="CL55" s="1"/>
      <c r="CM55" s="1"/>
      <c r="CN55" s="1"/>
      <c r="CO55" s="1"/>
      <c r="CP55" s="1"/>
    </row>
    <row r="56" ht="15.75" customHeight="1">
      <c r="A56" s="396" t="s">
        <v>656</v>
      </c>
      <c r="B56" s="370"/>
      <c r="C56" s="370"/>
      <c r="D56" s="370"/>
      <c r="E56" s="370"/>
      <c r="F56" s="370"/>
      <c r="G56" s="370"/>
      <c r="H56" s="370"/>
      <c r="I56" s="370"/>
      <c r="J56" s="370"/>
      <c r="K56" s="370"/>
      <c r="L56" s="370"/>
      <c r="M56" s="370"/>
      <c r="N56" s="370"/>
      <c r="O56" s="370"/>
      <c r="P56" s="370"/>
      <c r="Q56" s="370"/>
      <c r="R56" s="370"/>
      <c r="S56" s="370"/>
      <c r="T56" s="370"/>
      <c r="U56" s="370"/>
      <c r="V56" s="389"/>
      <c r="W56" s="389"/>
      <c r="X56" s="389"/>
      <c r="Y56" s="389"/>
      <c r="Z56" s="389"/>
      <c r="AA56" s="389">
        <v>0.075</v>
      </c>
      <c r="AB56" s="389"/>
      <c r="AC56" s="389"/>
      <c r="AD56" s="389"/>
      <c r="AE56" s="389"/>
      <c r="AF56" s="389"/>
      <c r="AG56" s="389"/>
      <c r="AH56" s="389"/>
      <c r="AI56" s="389"/>
      <c r="AJ56" s="389"/>
      <c r="AK56" s="389"/>
      <c r="AL56" s="389">
        <v>0.045</v>
      </c>
      <c r="AM56" s="390"/>
      <c r="AN56" s="397">
        <f>3/11</f>
        <v>0.2727272727</v>
      </c>
      <c r="AO56" s="390"/>
      <c r="AP56" s="390"/>
      <c r="AQ56" s="390"/>
      <c r="AR56" s="390"/>
      <c r="AS56" s="390"/>
      <c r="AT56" s="390"/>
      <c r="AU56" s="390"/>
      <c r="AV56" s="390"/>
      <c r="AW56" s="390"/>
      <c r="AX56" s="390"/>
      <c r="AY56" s="390"/>
      <c r="AZ56" s="390"/>
      <c r="BA56" s="390"/>
      <c r="BB56" s="390"/>
      <c r="BC56" s="390"/>
      <c r="BD56" s="390"/>
      <c r="BE56" s="390"/>
      <c r="BF56" s="390"/>
      <c r="BG56" s="390"/>
      <c r="BH56" s="390"/>
      <c r="BI56" s="390"/>
      <c r="BJ56" s="390"/>
      <c r="BK56" s="390"/>
      <c r="BL56" s="390"/>
      <c r="BM56" s="390"/>
      <c r="BN56" s="390"/>
      <c r="BO56" s="390"/>
      <c r="BP56" s="390"/>
      <c r="BQ56" s="390"/>
      <c r="BR56" s="390"/>
      <c r="BS56" s="390"/>
      <c r="BT56" s="390"/>
      <c r="BU56" s="390"/>
      <c r="BV56" s="390"/>
      <c r="BW56" s="390"/>
      <c r="BX56" s="390"/>
      <c r="BY56" s="390"/>
      <c r="BZ56" s="390"/>
      <c r="CA56" s="390"/>
      <c r="CB56" s="390"/>
      <c r="CC56" s="390"/>
      <c r="CD56" s="390"/>
      <c r="CE56" s="390"/>
      <c r="CF56" s="390"/>
      <c r="CG56" s="390"/>
      <c r="CH56" s="390"/>
      <c r="CI56" s="1"/>
      <c r="CJ56" s="1"/>
      <c r="CK56" s="1"/>
      <c r="CL56" s="1"/>
      <c r="CM56" s="1"/>
      <c r="CN56" s="1"/>
      <c r="CO56" s="1"/>
      <c r="CP56" s="1"/>
    </row>
    <row r="57" ht="15.75" customHeight="1">
      <c r="A57" s="398" t="s">
        <v>657</v>
      </c>
      <c r="B57" s="370"/>
      <c r="C57" s="370"/>
      <c r="D57" s="370"/>
      <c r="E57" s="370"/>
      <c r="F57" s="370"/>
      <c r="G57" s="370"/>
      <c r="H57" s="370"/>
      <c r="I57" s="370"/>
      <c r="J57" s="370"/>
      <c r="K57" s="370"/>
      <c r="L57" s="370"/>
      <c r="M57" s="370"/>
      <c r="N57" s="370"/>
      <c r="O57" s="370"/>
      <c r="P57" s="370"/>
      <c r="Q57" s="370"/>
      <c r="R57" s="370"/>
      <c r="S57" s="370"/>
      <c r="T57" s="370"/>
      <c r="U57" s="370"/>
      <c r="V57" s="389"/>
      <c r="W57" s="389"/>
      <c r="X57" s="389"/>
      <c r="Y57" s="389"/>
      <c r="Z57" s="389"/>
      <c r="AA57" s="399">
        <v>5.5</v>
      </c>
      <c r="AB57" s="389"/>
      <c r="AC57" s="389"/>
      <c r="AD57" s="389"/>
      <c r="AE57" s="389"/>
      <c r="AF57" s="389"/>
      <c r="AG57" s="389"/>
      <c r="AH57" s="389"/>
      <c r="AI57" s="389"/>
      <c r="AJ57" s="389"/>
      <c r="AK57" s="389"/>
      <c r="AL57" s="389">
        <v>0.05</v>
      </c>
      <c r="AM57" s="390"/>
      <c r="AN57" s="390">
        <f>0.5/11</f>
        <v>0.04545454545</v>
      </c>
      <c r="AO57" s="390"/>
      <c r="AP57" s="390"/>
      <c r="AQ57" s="390"/>
      <c r="AR57" s="390"/>
      <c r="AS57" s="390"/>
      <c r="AT57" s="390"/>
      <c r="AU57" s="390"/>
      <c r="AV57" s="390"/>
      <c r="AW57" s="390"/>
      <c r="AX57" s="390"/>
      <c r="AY57" s="390"/>
      <c r="AZ57" s="390"/>
      <c r="BA57" s="390"/>
      <c r="BB57" s="390"/>
      <c r="BC57" s="390"/>
      <c r="BD57" s="390"/>
      <c r="BE57" s="390"/>
      <c r="BF57" s="390"/>
      <c r="BG57" s="390"/>
      <c r="BH57" s="390"/>
      <c r="BI57" s="390"/>
      <c r="BJ57" s="390"/>
      <c r="BK57" s="390"/>
      <c r="BL57" s="390"/>
      <c r="BM57" s="390"/>
      <c r="BN57" s="390"/>
      <c r="BO57" s="390"/>
      <c r="BP57" s="390"/>
      <c r="BQ57" s="390"/>
      <c r="BR57" s="390"/>
      <c r="BS57" s="390"/>
      <c r="BT57" s="390"/>
      <c r="BU57" s="390"/>
      <c r="BV57" s="390"/>
      <c r="BW57" s="390"/>
      <c r="BX57" s="390"/>
      <c r="BY57" s="390"/>
      <c r="BZ57" s="390"/>
      <c r="CA57" s="390"/>
      <c r="CB57" s="390"/>
      <c r="CC57" s="390"/>
      <c r="CD57" s="390"/>
      <c r="CE57" s="390"/>
      <c r="CF57" s="390"/>
      <c r="CG57" s="390"/>
      <c r="CH57" s="390"/>
      <c r="CI57" s="1"/>
      <c r="CJ57" s="1"/>
      <c r="CK57" s="1"/>
      <c r="CL57" s="1"/>
      <c r="CM57" s="1"/>
      <c r="CN57" s="1"/>
      <c r="CO57" s="1"/>
      <c r="CP57" s="1"/>
    </row>
    <row r="58" ht="15.75" customHeight="1">
      <c r="A58" s="1" t="s">
        <v>658</v>
      </c>
      <c r="B58" s="234">
        <v>0.002</v>
      </c>
      <c r="C58" s="370"/>
      <c r="D58" s="370"/>
      <c r="E58" s="370"/>
      <c r="F58" s="370"/>
      <c r="G58" s="370"/>
      <c r="H58" s="370"/>
      <c r="I58" s="370"/>
      <c r="J58" s="370"/>
      <c r="K58" s="370"/>
      <c r="L58" s="370"/>
      <c r="M58" s="370"/>
      <c r="N58" s="370"/>
      <c r="O58" s="370"/>
      <c r="P58" s="370"/>
      <c r="Q58" s="370"/>
      <c r="R58" s="370"/>
      <c r="S58" s="370"/>
      <c r="T58" s="370"/>
      <c r="U58" s="370"/>
      <c r="V58" s="389"/>
      <c r="W58" s="389"/>
      <c r="X58" s="389"/>
      <c r="Y58" s="389"/>
      <c r="Z58" s="389"/>
      <c r="AA58" s="389">
        <v>0.08</v>
      </c>
      <c r="AB58" s="389"/>
      <c r="AC58" s="389"/>
      <c r="AD58" s="389"/>
      <c r="AE58" s="389"/>
      <c r="AF58" s="389"/>
      <c r="AG58" s="389"/>
      <c r="AH58" s="389"/>
      <c r="AI58" s="389"/>
      <c r="AJ58" s="389"/>
      <c r="AK58" s="389"/>
      <c r="AL58" s="389">
        <v>0.055</v>
      </c>
      <c r="AM58" s="390"/>
      <c r="AN58" s="397">
        <f>3.5/11</f>
        <v>0.3181818182</v>
      </c>
      <c r="AO58" s="390"/>
      <c r="AP58" s="390"/>
      <c r="AQ58" s="390"/>
      <c r="AR58" s="390"/>
      <c r="AS58" s="390"/>
      <c r="AT58" s="390"/>
      <c r="AU58" s="390"/>
      <c r="AV58" s="390"/>
      <c r="AW58" s="390"/>
      <c r="AX58" s="390"/>
      <c r="AY58" s="390"/>
      <c r="AZ58" s="390"/>
      <c r="BA58" s="390"/>
      <c r="BB58" s="390"/>
      <c r="BC58" s="390"/>
      <c r="BD58" s="390"/>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0"/>
      <c r="CD58" s="390"/>
      <c r="CE58" s="390"/>
      <c r="CF58" s="390"/>
      <c r="CG58" s="390"/>
      <c r="CH58" s="390"/>
      <c r="CI58" s="1"/>
      <c r="CJ58" s="1"/>
      <c r="CK58" s="1"/>
      <c r="CL58" s="1"/>
      <c r="CM58" s="1"/>
      <c r="CN58" s="1"/>
      <c r="CO58" s="1"/>
      <c r="CP58" s="1"/>
    </row>
    <row r="59" ht="15.75" customHeight="1">
      <c r="A59" s="1" t="s">
        <v>659</v>
      </c>
      <c r="B59" s="234">
        <v>0.008</v>
      </c>
      <c r="C59" s="370"/>
      <c r="D59" s="370"/>
      <c r="E59" s="370"/>
      <c r="F59" s="370"/>
      <c r="G59" s="370"/>
      <c r="H59" s="370"/>
      <c r="I59" s="370"/>
      <c r="J59" s="370"/>
      <c r="K59" s="370"/>
      <c r="L59" s="370"/>
      <c r="M59" s="370"/>
      <c r="N59" s="370"/>
      <c r="O59" s="370"/>
      <c r="P59" s="370"/>
      <c r="Q59" s="370"/>
      <c r="R59" s="370"/>
      <c r="S59" s="370"/>
      <c r="T59" s="370"/>
      <c r="U59" s="370"/>
      <c r="V59" s="389"/>
      <c r="W59" s="389"/>
      <c r="X59" s="389"/>
      <c r="Y59" s="389"/>
      <c r="Z59" s="389"/>
      <c r="AA59" s="389"/>
      <c r="AB59" s="389"/>
      <c r="AC59" s="389"/>
      <c r="AD59" s="389"/>
      <c r="AE59" s="389"/>
      <c r="AF59" s="389"/>
      <c r="AG59" s="389"/>
      <c r="AH59" s="389"/>
      <c r="AI59" s="389"/>
      <c r="AJ59" s="389"/>
      <c r="AK59" s="389"/>
      <c r="AL59" s="389"/>
      <c r="AM59" s="390"/>
      <c r="AN59" s="390"/>
      <c r="AO59" s="390"/>
      <c r="AP59" s="390"/>
      <c r="AQ59" s="390"/>
      <c r="AR59" s="390"/>
      <c r="AS59" s="390"/>
      <c r="AT59" s="390"/>
      <c r="AU59" s="390"/>
      <c r="AV59" s="390"/>
      <c r="AW59" s="390"/>
      <c r="AX59" s="390"/>
      <c r="AY59" s="390"/>
      <c r="AZ59" s="390"/>
      <c r="BA59" s="390"/>
      <c r="BB59" s="390"/>
      <c r="BC59" s="390"/>
      <c r="BD59" s="390"/>
      <c r="BE59" s="390"/>
      <c r="BF59" s="390"/>
      <c r="BG59" s="390"/>
      <c r="BH59" s="390"/>
      <c r="BI59" s="390"/>
      <c r="BJ59" s="390"/>
      <c r="BK59" s="390"/>
      <c r="BL59" s="390"/>
      <c r="BM59" s="390"/>
      <c r="BN59" s="390"/>
      <c r="BO59" s="390"/>
      <c r="BP59" s="390"/>
      <c r="BQ59" s="390"/>
      <c r="BR59" s="390"/>
      <c r="BS59" s="390"/>
      <c r="BT59" s="390"/>
      <c r="BU59" s="390"/>
      <c r="BV59" s="390"/>
      <c r="BW59" s="390"/>
      <c r="BX59" s="390"/>
      <c r="BY59" s="390"/>
      <c r="BZ59" s="390"/>
      <c r="CA59" s="390"/>
      <c r="CB59" s="390"/>
      <c r="CC59" s="390"/>
      <c r="CD59" s="390"/>
      <c r="CE59" s="390"/>
      <c r="CF59" s="390"/>
      <c r="CG59" s="390"/>
      <c r="CH59" s="390"/>
      <c r="CI59" s="1"/>
      <c r="CJ59" s="1"/>
      <c r="CK59" s="1"/>
      <c r="CL59" s="1"/>
      <c r="CM59" s="1"/>
      <c r="CN59" s="1"/>
      <c r="CO59" s="1"/>
      <c r="CP59" s="1"/>
    </row>
    <row r="60" ht="15.75" customHeight="1">
      <c r="A60" s="1"/>
      <c r="B60" s="370"/>
      <c r="C60" s="370"/>
      <c r="D60" s="370"/>
      <c r="E60" s="370"/>
      <c r="F60" s="370"/>
      <c r="G60" s="370"/>
      <c r="H60" s="370"/>
      <c r="I60" s="370"/>
      <c r="J60" s="370"/>
      <c r="K60" s="370"/>
      <c r="L60" s="370"/>
      <c r="M60" s="370"/>
      <c r="N60" s="370"/>
      <c r="O60" s="370"/>
      <c r="P60" s="370"/>
      <c r="Q60" s="370"/>
      <c r="R60" s="370"/>
      <c r="S60" s="370"/>
      <c r="T60" s="370"/>
      <c r="U60" s="370"/>
      <c r="V60" s="389"/>
      <c r="W60" s="389"/>
      <c r="X60" s="389"/>
      <c r="Y60" s="389"/>
      <c r="Z60" s="389"/>
      <c r="AA60" s="389"/>
      <c r="AB60" s="389"/>
      <c r="AC60" s="389"/>
      <c r="AD60" s="389"/>
      <c r="AE60" s="389"/>
      <c r="AF60" s="389"/>
      <c r="AG60" s="389"/>
      <c r="AH60" s="389"/>
      <c r="AI60" s="389"/>
      <c r="AJ60" s="389"/>
      <c r="AK60" s="389"/>
      <c r="AL60" s="389"/>
      <c r="AM60" s="390"/>
      <c r="AN60" s="390"/>
      <c r="AO60" s="390"/>
      <c r="AP60" s="390"/>
      <c r="AQ60" s="390"/>
      <c r="AR60" s="390"/>
      <c r="AS60" s="390"/>
      <c r="AT60" s="390"/>
      <c r="AU60" s="390"/>
      <c r="AV60" s="390"/>
      <c r="AW60" s="390"/>
      <c r="AX60" s="390"/>
      <c r="AY60" s="390"/>
      <c r="AZ60" s="390"/>
      <c r="BA60" s="390"/>
      <c r="BB60" s="390"/>
      <c r="BC60" s="390"/>
      <c r="BD60" s="390"/>
      <c r="BE60" s="390"/>
      <c r="BF60" s="390"/>
      <c r="BG60" s="390"/>
      <c r="BH60" s="390"/>
      <c r="BI60" s="390"/>
      <c r="BJ60" s="390"/>
      <c r="BK60" s="390"/>
      <c r="BL60" s="390"/>
      <c r="BM60" s="390"/>
      <c r="BN60" s="390"/>
      <c r="BO60" s="390"/>
      <c r="BP60" s="390"/>
      <c r="BQ60" s="390"/>
      <c r="BR60" s="390"/>
      <c r="BS60" s="390"/>
      <c r="BT60" s="390"/>
      <c r="BU60" s="390"/>
      <c r="BV60" s="390"/>
      <c r="BW60" s="390"/>
      <c r="BX60" s="390"/>
      <c r="BY60" s="390"/>
      <c r="BZ60" s="390"/>
      <c r="CA60" s="390"/>
      <c r="CB60" s="390"/>
      <c r="CC60" s="390"/>
      <c r="CD60" s="390"/>
      <c r="CE60" s="390"/>
      <c r="CF60" s="390"/>
      <c r="CG60" s="390"/>
      <c r="CH60" s="390"/>
      <c r="CI60" s="1"/>
      <c r="CJ60" s="1"/>
      <c r="CK60" s="1"/>
      <c r="CL60" s="1"/>
      <c r="CM60" s="1"/>
      <c r="CN60" s="1"/>
      <c r="CO60" s="1"/>
      <c r="CP60" s="1"/>
    </row>
    <row r="61" ht="15.75" customHeight="1">
      <c r="A61" s="1" t="s">
        <v>129</v>
      </c>
      <c r="B61" s="370"/>
      <c r="C61" s="370">
        <v>0.06</v>
      </c>
      <c r="D61" s="370">
        <v>0.06</v>
      </c>
      <c r="E61" s="370">
        <v>0.06</v>
      </c>
      <c r="F61" s="370">
        <v>0.06</v>
      </c>
      <c r="G61" s="370">
        <v>0.06</v>
      </c>
      <c r="H61" s="370">
        <v>0.06</v>
      </c>
      <c r="I61" s="370">
        <v>0.06</v>
      </c>
      <c r="J61" s="370">
        <v>0.06</v>
      </c>
      <c r="K61" s="370">
        <v>0.06</v>
      </c>
      <c r="L61" s="370">
        <v>0.06</v>
      </c>
      <c r="M61" s="370">
        <v>0.06</v>
      </c>
      <c r="N61" s="370">
        <v>0.06</v>
      </c>
      <c r="O61" s="370">
        <v>0.06</v>
      </c>
      <c r="P61" s="370">
        <v>0.06</v>
      </c>
      <c r="Q61" s="370">
        <v>0.06</v>
      </c>
      <c r="R61" s="370">
        <v>0.06</v>
      </c>
      <c r="S61" s="370">
        <v>0.06</v>
      </c>
      <c r="T61" s="370">
        <v>0.06</v>
      </c>
      <c r="U61" s="370">
        <v>0.06</v>
      </c>
      <c r="V61" s="370">
        <v>0.06</v>
      </c>
      <c r="W61" s="370">
        <v>0.06</v>
      </c>
      <c r="X61" s="370">
        <v>0.06</v>
      </c>
      <c r="Y61" s="370">
        <v>0.06</v>
      </c>
      <c r="Z61" s="389">
        <f t="shared" ref="Z61:AL61" si="24">IF($A$57="Middle Case",Z48+$B$58,IF($A$57="Floor",$B$59+Z48,Z48))</f>
        <v>0.067</v>
      </c>
      <c r="AA61" s="389">
        <f t="shared" si="24"/>
        <v>0.069</v>
      </c>
      <c r="AB61" s="389">
        <f t="shared" si="24"/>
        <v>0.0663</v>
      </c>
      <c r="AC61" s="389">
        <f t="shared" si="24"/>
        <v>0.0636</v>
      </c>
      <c r="AD61" s="389">
        <f t="shared" si="24"/>
        <v>0.0609</v>
      </c>
      <c r="AE61" s="389">
        <f t="shared" si="24"/>
        <v>0.0582</v>
      </c>
      <c r="AF61" s="389">
        <f t="shared" si="24"/>
        <v>0.0555</v>
      </c>
      <c r="AG61" s="389">
        <f t="shared" si="24"/>
        <v>0.0528</v>
      </c>
      <c r="AH61" s="389">
        <f t="shared" si="24"/>
        <v>0.0501</v>
      </c>
      <c r="AI61" s="389">
        <f t="shared" si="24"/>
        <v>0.0474</v>
      </c>
      <c r="AJ61" s="389">
        <f t="shared" si="24"/>
        <v>0.0447</v>
      </c>
      <c r="AK61" s="389">
        <f t="shared" si="24"/>
        <v>0.042</v>
      </c>
      <c r="AL61" s="389">
        <f t="shared" si="24"/>
        <v>0.0393</v>
      </c>
      <c r="AM61" s="389">
        <v>0.048</v>
      </c>
      <c r="AN61" s="389">
        <v>0.048</v>
      </c>
      <c r="AO61" s="389">
        <v>0.048</v>
      </c>
      <c r="AP61" s="389">
        <v>0.048</v>
      </c>
      <c r="AQ61" s="389">
        <v>0.048</v>
      </c>
      <c r="AR61" s="389">
        <v>0.048</v>
      </c>
      <c r="AS61" s="389">
        <v>0.048</v>
      </c>
      <c r="AT61" s="389">
        <v>0.048</v>
      </c>
      <c r="AU61" s="389">
        <v>0.048</v>
      </c>
      <c r="AV61" s="389">
        <v>0.048</v>
      </c>
      <c r="AW61" s="389">
        <v>0.048</v>
      </c>
      <c r="AX61" s="389">
        <v>0.048</v>
      </c>
      <c r="AY61" s="389">
        <f t="shared" ref="AY61:CH61" si="25">IF($A$57="Middle Case",AY48+$B$58,IF($A$57="Floor",$B$59+AY48,AY48))</f>
        <v>0.04</v>
      </c>
      <c r="AZ61" s="389">
        <f t="shared" si="25"/>
        <v>0.04</v>
      </c>
      <c r="BA61" s="389">
        <f t="shared" si="25"/>
        <v>0.04</v>
      </c>
      <c r="BB61" s="389">
        <f t="shared" si="25"/>
        <v>0.04</v>
      </c>
      <c r="BC61" s="389">
        <f t="shared" si="25"/>
        <v>0.04</v>
      </c>
      <c r="BD61" s="389">
        <f t="shared" si="25"/>
        <v>0.04</v>
      </c>
      <c r="BE61" s="389">
        <f t="shared" si="25"/>
        <v>0.04</v>
      </c>
      <c r="BF61" s="389">
        <f t="shared" si="25"/>
        <v>0.04</v>
      </c>
      <c r="BG61" s="389">
        <f t="shared" si="25"/>
        <v>0.04</v>
      </c>
      <c r="BH61" s="389">
        <f t="shared" si="25"/>
        <v>0.04</v>
      </c>
      <c r="BI61" s="389">
        <f t="shared" si="25"/>
        <v>0.04</v>
      </c>
      <c r="BJ61" s="389">
        <f t="shared" si="25"/>
        <v>0.04</v>
      </c>
      <c r="BK61" s="389">
        <f t="shared" si="25"/>
        <v>0.038</v>
      </c>
      <c r="BL61" s="389">
        <f t="shared" si="25"/>
        <v>0.038</v>
      </c>
      <c r="BM61" s="389">
        <f t="shared" si="25"/>
        <v>0.038</v>
      </c>
      <c r="BN61" s="389">
        <f t="shared" si="25"/>
        <v>0.038</v>
      </c>
      <c r="BO61" s="389">
        <f t="shared" si="25"/>
        <v>0.038</v>
      </c>
      <c r="BP61" s="389">
        <f t="shared" si="25"/>
        <v>0.038</v>
      </c>
      <c r="BQ61" s="389">
        <f t="shared" si="25"/>
        <v>0.038</v>
      </c>
      <c r="BR61" s="389">
        <f t="shared" si="25"/>
        <v>0.038</v>
      </c>
      <c r="BS61" s="389">
        <f t="shared" si="25"/>
        <v>0.038</v>
      </c>
      <c r="BT61" s="389">
        <f t="shared" si="25"/>
        <v>0.038</v>
      </c>
      <c r="BU61" s="389">
        <f t="shared" si="25"/>
        <v>0.038</v>
      </c>
      <c r="BV61" s="389">
        <f t="shared" si="25"/>
        <v>0.038</v>
      </c>
      <c r="BW61" s="389">
        <f t="shared" si="25"/>
        <v>0.037</v>
      </c>
      <c r="BX61" s="389">
        <f t="shared" si="25"/>
        <v>0.037</v>
      </c>
      <c r="BY61" s="389">
        <f t="shared" si="25"/>
        <v>0.037</v>
      </c>
      <c r="BZ61" s="389">
        <f t="shared" si="25"/>
        <v>0.037</v>
      </c>
      <c r="CA61" s="389">
        <f t="shared" si="25"/>
        <v>0.037</v>
      </c>
      <c r="CB61" s="389">
        <f t="shared" si="25"/>
        <v>0.037</v>
      </c>
      <c r="CC61" s="389">
        <f t="shared" si="25"/>
        <v>0.037</v>
      </c>
      <c r="CD61" s="389">
        <f t="shared" si="25"/>
        <v>0.037</v>
      </c>
      <c r="CE61" s="389">
        <f t="shared" si="25"/>
        <v>0.037</v>
      </c>
      <c r="CF61" s="389">
        <f t="shared" si="25"/>
        <v>0.037</v>
      </c>
      <c r="CG61" s="389">
        <f t="shared" si="25"/>
        <v>0.037</v>
      </c>
      <c r="CH61" s="389">
        <f t="shared" si="25"/>
        <v>0.037</v>
      </c>
      <c r="CI61" s="1"/>
      <c r="CJ61" s="1"/>
      <c r="CK61" s="1"/>
      <c r="CL61" s="1"/>
      <c r="CM61" s="1"/>
      <c r="CN61" s="1"/>
      <c r="CO61" s="1"/>
      <c r="CP61" s="1"/>
    </row>
    <row r="62" ht="15.75" customHeight="1">
      <c r="A62" s="1" t="s">
        <v>85</v>
      </c>
      <c r="B62" s="370"/>
      <c r="C62" s="370">
        <v>0.06</v>
      </c>
      <c r="D62" s="370">
        <v>0.06</v>
      </c>
      <c r="E62" s="370">
        <v>0.06</v>
      </c>
      <c r="F62" s="370">
        <v>0.06</v>
      </c>
      <c r="G62" s="370">
        <v>0.06</v>
      </c>
      <c r="H62" s="370">
        <v>0.06</v>
      </c>
      <c r="I62" s="370">
        <v>0.06</v>
      </c>
      <c r="J62" s="370">
        <v>0.06</v>
      </c>
      <c r="K62" s="370">
        <v>0.06</v>
      </c>
      <c r="L62" s="370">
        <v>0.06</v>
      </c>
      <c r="M62" s="370">
        <v>0.06</v>
      </c>
      <c r="N62" s="370">
        <v>0.06</v>
      </c>
      <c r="O62" s="370">
        <v>0.06</v>
      </c>
      <c r="P62" s="370">
        <v>0.06</v>
      </c>
      <c r="Q62" s="370">
        <v>0.06</v>
      </c>
      <c r="R62" s="370">
        <v>0.06</v>
      </c>
      <c r="S62" s="370">
        <v>0.06</v>
      </c>
      <c r="T62" s="370">
        <v>0.06</v>
      </c>
      <c r="U62" s="370">
        <v>0.06</v>
      </c>
      <c r="V62" s="370">
        <v>0.06</v>
      </c>
      <c r="W62" s="370">
        <v>0.06</v>
      </c>
      <c r="X62" s="370">
        <v>0.06</v>
      </c>
      <c r="Y62" s="370">
        <v>0.06</v>
      </c>
      <c r="Z62" s="389">
        <f t="shared" ref="Z62:AF62" si="26">IF($A$57="Middle Case",Z49+$B$58,IF($A$57="Floor",$B$59+Z49,Z49))</f>
        <v>0.046</v>
      </c>
      <c r="AA62" s="389">
        <f t="shared" si="26"/>
        <v>0.049</v>
      </c>
      <c r="AB62" s="389">
        <f t="shared" si="26"/>
        <v>0.04855</v>
      </c>
      <c r="AC62" s="389">
        <f t="shared" si="26"/>
        <v>0.0481</v>
      </c>
      <c r="AD62" s="389">
        <f t="shared" si="26"/>
        <v>0.04765</v>
      </c>
      <c r="AE62" s="389">
        <f t="shared" si="26"/>
        <v>0.0472</v>
      </c>
      <c r="AF62" s="389">
        <f t="shared" si="26"/>
        <v>0.04675</v>
      </c>
      <c r="AG62" s="389">
        <v>0.051</v>
      </c>
      <c r="AH62" s="389">
        <v>0.051</v>
      </c>
      <c r="AI62" s="389">
        <v>0.051</v>
      </c>
      <c r="AJ62" s="389">
        <v>0.051</v>
      </c>
      <c r="AK62" s="389">
        <v>0.05</v>
      </c>
      <c r="AL62" s="389">
        <v>0.05</v>
      </c>
      <c r="AM62" s="389">
        <v>0.05</v>
      </c>
      <c r="AN62" s="389">
        <v>0.05</v>
      </c>
      <c r="AO62" s="389">
        <v>0.05</v>
      </c>
      <c r="AP62" s="389">
        <v>0.05</v>
      </c>
      <c r="AQ62" s="389">
        <v>0.05</v>
      </c>
      <c r="AR62" s="389">
        <v>0.05</v>
      </c>
      <c r="AS62" s="389">
        <v>0.05</v>
      </c>
      <c r="AT62" s="389">
        <v>0.05</v>
      </c>
      <c r="AU62" s="389">
        <v>0.05</v>
      </c>
      <c r="AV62" s="389">
        <v>0.05</v>
      </c>
      <c r="AW62" s="389">
        <v>0.05</v>
      </c>
      <c r="AX62" s="389">
        <v>0.05</v>
      </c>
      <c r="AY62" s="389">
        <f t="shared" ref="AY62:CH62" si="27">IF($A$57="Middle Case",AY49+$B$58,IF($A$57="Floor",$B$59+AY49,AY49))</f>
        <v>0.041</v>
      </c>
      <c r="AZ62" s="389">
        <f t="shared" si="27"/>
        <v>0.041</v>
      </c>
      <c r="BA62" s="389">
        <f t="shared" si="27"/>
        <v>0.041</v>
      </c>
      <c r="BB62" s="389">
        <f t="shared" si="27"/>
        <v>0.041</v>
      </c>
      <c r="BC62" s="389">
        <f t="shared" si="27"/>
        <v>0.041</v>
      </c>
      <c r="BD62" s="389">
        <f t="shared" si="27"/>
        <v>0.041</v>
      </c>
      <c r="BE62" s="389">
        <f t="shared" si="27"/>
        <v>0.041</v>
      </c>
      <c r="BF62" s="389">
        <f t="shared" si="27"/>
        <v>0.041</v>
      </c>
      <c r="BG62" s="389">
        <f t="shared" si="27"/>
        <v>0.041</v>
      </c>
      <c r="BH62" s="389">
        <f t="shared" si="27"/>
        <v>0.041</v>
      </c>
      <c r="BI62" s="389">
        <f t="shared" si="27"/>
        <v>0.041</v>
      </c>
      <c r="BJ62" s="389">
        <f t="shared" si="27"/>
        <v>0.041</v>
      </c>
      <c r="BK62" s="389">
        <f t="shared" si="27"/>
        <v>0.039</v>
      </c>
      <c r="BL62" s="389">
        <f t="shared" si="27"/>
        <v>0.039</v>
      </c>
      <c r="BM62" s="389">
        <f t="shared" si="27"/>
        <v>0.039</v>
      </c>
      <c r="BN62" s="389">
        <f t="shared" si="27"/>
        <v>0.039</v>
      </c>
      <c r="BO62" s="389">
        <f t="shared" si="27"/>
        <v>0.039</v>
      </c>
      <c r="BP62" s="389">
        <f t="shared" si="27"/>
        <v>0.039</v>
      </c>
      <c r="BQ62" s="389">
        <f t="shared" si="27"/>
        <v>0.039</v>
      </c>
      <c r="BR62" s="389">
        <f t="shared" si="27"/>
        <v>0.039</v>
      </c>
      <c r="BS62" s="389">
        <f t="shared" si="27"/>
        <v>0.039</v>
      </c>
      <c r="BT62" s="389">
        <f t="shared" si="27"/>
        <v>0.039</v>
      </c>
      <c r="BU62" s="389">
        <f t="shared" si="27"/>
        <v>0.039</v>
      </c>
      <c r="BV62" s="389">
        <f t="shared" si="27"/>
        <v>0.039</v>
      </c>
      <c r="BW62" s="389">
        <f t="shared" si="27"/>
        <v>0.038</v>
      </c>
      <c r="BX62" s="389">
        <f t="shared" si="27"/>
        <v>0.038</v>
      </c>
      <c r="BY62" s="389">
        <f t="shared" si="27"/>
        <v>0.038</v>
      </c>
      <c r="BZ62" s="389">
        <f t="shared" si="27"/>
        <v>0.038</v>
      </c>
      <c r="CA62" s="389">
        <f t="shared" si="27"/>
        <v>0.038</v>
      </c>
      <c r="CB62" s="389">
        <f t="shared" si="27"/>
        <v>0.038</v>
      </c>
      <c r="CC62" s="389">
        <f t="shared" si="27"/>
        <v>0.038</v>
      </c>
      <c r="CD62" s="389">
        <f t="shared" si="27"/>
        <v>0.038</v>
      </c>
      <c r="CE62" s="389">
        <f t="shared" si="27"/>
        <v>0.038</v>
      </c>
      <c r="CF62" s="389">
        <f t="shared" si="27"/>
        <v>0.038</v>
      </c>
      <c r="CG62" s="389">
        <f t="shared" si="27"/>
        <v>0.038</v>
      </c>
      <c r="CH62" s="389">
        <f t="shared" si="27"/>
        <v>0.038</v>
      </c>
      <c r="CI62" s="1"/>
      <c r="CJ62" s="1"/>
      <c r="CK62" s="1"/>
      <c r="CL62" s="1"/>
      <c r="CM62" s="1"/>
      <c r="CN62" s="1"/>
      <c r="CO62" s="1"/>
      <c r="CP62" s="1"/>
    </row>
    <row r="63" ht="15.75" customHeight="1">
      <c r="A63" s="1" t="s">
        <v>130</v>
      </c>
      <c r="B63" s="370"/>
      <c r="C63" s="370">
        <v>0.06</v>
      </c>
      <c r="D63" s="370">
        <v>0.06</v>
      </c>
      <c r="E63" s="370">
        <v>0.06</v>
      </c>
      <c r="F63" s="370">
        <v>0.06</v>
      </c>
      <c r="G63" s="370">
        <v>0.06</v>
      </c>
      <c r="H63" s="370">
        <v>0.06</v>
      </c>
      <c r="I63" s="370">
        <v>0.06</v>
      </c>
      <c r="J63" s="370">
        <v>0.06</v>
      </c>
      <c r="K63" s="370">
        <v>0.06</v>
      </c>
      <c r="L63" s="370">
        <v>0.06</v>
      </c>
      <c r="M63" s="370">
        <v>0.06</v>
      </c>
      <c r="N63" s="370">
        <v>0.06</v>
      </c>
      <c r="O63" s="370">
        <v>0.06</v>
      </c>
      <c r="P63" s="370">
        <v>0.06</v>
      </c>
      <c r="Q63" s="370">
        <v>0.06</v>
      </c>
      <c r="R63" s="370">
        <v>0.06</v>
      </c>
      <c r="S63" s="370">
        <v>0.06</v>
      </c>
      <c r="T63" s="370">
        <v>0.06</v>
      </c>
      <c r="U63" s="370">
        <v>0.06</v>
      </c>
      <c r="V63" s="370">
        <v>0.06</v>
      </c>
      <c r="W63" s="370">
        <v>0.06</v>
      </c>
      <c r="X63" s="370">
        <v>0.06</v>
      </c>
      <c r="Y63" s="370">
        <v>0.06</v>
      </c>
      <c r="Z63" s="389">
        <f t="shared" ref="Z63:AF63" si="28">IF($A$57="Middle Case",Z50+$B$58,IF($A$57="Floor",$B$59+Z50,Z50))</f>
        <v>0.074</v>
      </c>
      <c r="AA63" s="389">
        <f t="shared" si="28"/>
        <v>0.074</v>
      </c>
      <c r="AB63" s="389">
        <f t="shared" si="28"/>
        <v>0.0713</v>
      </c>
      <c r="AC63" s="389">
        <f t="shared" si="28"/>
        <v>0.0686</v>
      </c>
      <c r="AD63" s="389">
        <f t="shared" si="28"/>
        <v>0.0659</v>
      </c>
      <c r="AE63" s="389">
        <f t="shared" si="28"/>
        <v>0.0632</v>
      </c>
      <c r="AF63" s="389">
        <f t="shared" si="28"/>
        <v>0.0605</v>
      </c>
      <c r="AG63" s="389">
        <v>0.051</v>
      </c>
      <c r="AH63" s="389">
        <v>0.051</v>
      </c>
      <c r="AI63" s="389">
        <v>0.051</v>
      </c>
      <c r="AJ63" s="389">
        <v>0.051</v>
      </c>
      <c r="AK63" s="389">
        <v>0.05</v>
      </c>
      <c r="AL63" s="389">
        <v>0.05</v>
      </c>
      <c r="AM63" s="389">
        <v>0.05</v>
      </c>
      <c r="AN63" s="389">
        <v>0.05</v>
      </c>
      <c r="AO63" s="389">
        <v>0.05</v>
      </c>
      <c r="AP63" s="389">
        <v>0.05</v>
      </c>
      <c r="AQ63" s="389">
        <v>0.05</v>
      </c>
      <c r="AR63" s="389">
        <v>0.05</v>
      </c>
      <c r="AS63" s="389">
        <v>0.05</v>
      </c>
      <c r="AT63" s="389">
        <v>0.05</v>
      </c>
      <c r="AU63" s="389">
        <v>0.05</v>
      </c>
      <c r="AV63" s="389">
        <v>0.05</v>
      </c>
      <c r="AW63" s="389">
        <v>0.05</v>
      </c>
      <c r="AX63" s="389">
        <v>0.05</v>
      </c>
      <c r="AY63" s="389">
        <f t="shared" ref="AY63:CH63" si="29">IF($A$57="Middle Case",AY50+$B$58,IF($A$57="Floor",$B$59+AY50,AY50))</f>
        <v>0.041</v>
      </c>
      <c r="AZ63" s="389">
        <f t="shared" si="29"/>
        <v>0.041</v>
      </c>
      <c r="BA63" s="389">
        <f t="shared" si="29"/>
        <v>0.041</v>
      </c>
      <c r="BB63" s="389">
        <f t="shared" si="29"/>
        <v>0.041</v>
      </c>
      <c r="BC63" s="389">
        <f t="shared" si="29"/>
        <v>0.041</v>
      </c>
      <c r="BD63" s="389">
        <f t="shared" si="29"/>
        <v>0.041</v>
      </c>
      <c r="BE63" s="389">
        <f t="shared" si="29"/>
        <v>0.041</v>
      </c>
      <c r="BF63" s="389">
        <f t="shared" si="29"/>
        <v>0.041</v>
      </c>
      <c r="BG63" s="389">
        <f t="shared" si="29"/>
        <v>0.041</v>
      </c>
      <c r="BH63" s="389">
        <f t="shared" si="29"/>
        <v>0.041</v>
      </c>
      <c r="BI63" s="389">
        <f t="shared" si="29"/>
        <v>0.041</v>
      </c>
      <c r="BJ63" s="389">
        <f t="shared" si="29"/>
        <v>0.041</v>
      </c>
      <c r="BK63" s="389">
        <f t="shared" si="29"/>
        <v>0.039</v>
      </c>
      <c r="BL63" s="389">
        <f t="shared" si="29"/>
        <v>0.039</v>
      </c>
      <c r="BM63" s="389">
        <f t="shared" si="29"/>
        <v>0.039</v>
      </c>
      <c r="BN63" s="389">
        <f t="shared" si="29"/>
        <v>0.039</v>
      </c>
      <c r="BO63" s="389">
        <f t="shared" si="29"/>
        <v>0.039</v>
      </c>
      <c r="BP63" s="389">
        <f t="shared" si="29"/>
        <v>0.039</v>
      </c>
      <c r="BQ63" s="389">
        <f t="shared" si="29"/>
        <v>0.039</v>
      </c>
      <c r="BR63" s="389">
        <f t="shared" si="29"/>
        <v>0.039</v>
      </c>
      <c r="BS63" s="389">
        <f t="shared" si="29"/>
        <v>0.039</v>
      </c>
      <c r="BT63" s="389">
        <f t="shared" si="29"/>
        <v>0.039</v>
      </c>
      <c r="BU63" s="389">
        <f t="shared" si="29"/>
        <v>0.039</v>
      </c>
      <c r="BV63" s="389">
        <f t="shared" si="29"/>
        <v>0.039</v>
      </c>
      <c r="BW63" s="389">
        <f t="shared" si="29"/>
        <v>0.038</v>
      </c>
      <c r="BX63" s="389">
        <f t="shared" si="29"/>
        <v>0.038</v>
      </c>
      <c r="BY63" s="389">
        <f t="shared" si="29"/>
        <v>0.038</v>
      </c>
      <c r="BZ63" s="389">
        <f t="shared" si="29"/>
        <v>0.038</v>
      </c>
      <c r="CA63" s="389">
        <f t="shared" si="29"/>
        <v>0.038</v>
      </c>
      <c r="CB63" s="389">
        <f t="shared" si="29"/>
        <v>0.038</v>
      </c>
      <c r="CC63" s="389">
        <f t="shared" si="29"/>
        <v>0.038</v>
      </c>
      <c r="CD63" s="389">
        <f t="shared" si="29"/>
        <v>0.038</v>
      </c>
      <c r="CE63" s="389">
        <f t="shared" si="29"/>
        <v>0.038</v>
      </c>
      <c r="CF63" s="389">
        <f t="shared" si="29"/>
        <v>0.038</v>
      </c>
      <c r="CG63" s="389">
        <f t="shared" si="29"/>
        <v>0.038</v>
      </c>
      <c r="CH63" s="389">
        <f t="shared" si="29"/>
        <v>0.038</v>
      </c>
      <c r="CI63" s="1"/>
      <c r="CJ63" s="1"/>
      <c r="CK63" s="1"/>
      <c r="CL63" s="1"/>
      <c r="CM63" s="1"/>
      <c r="CN63" s="1"/>
      <c r="CO63" s="1"/>
      <c r="CP63" s="1"/>
    </row>
    <row r="64" ht="15.75" customHeight="1">
      <c r="A64" s="1" t="s">
        <v>89</v>
      </c>
      <c r="B64" s="370"/>
      <c r="C64" s="370">
        <v>0.06</v>
      </c>
      <c r="D64" s="370">
        <v>0.06</v>
      </c>
      <c r="E64" s="370">
        <v>0.06</v>
      </c>
      <c r="F64" s="370">
        <v>0.06</v>
      </c>
      <c r="G64" s="370">
        <v>0.06</v>
      </c>
      <c r="H64" s="370">
        <v>0.06</v>
      </c>
      <c r="I64" s="370">
        <v>0.06</v>
      </c>
      <c r="J64" s="370">
        <v>0.06</v>
      </c>
      <c r="K64" s="370">
        <v>0.06</v>
      </c>
      <c r="L64" s="370">
        <v>0.06</v>
      </c>
      <c r="M64" s="370">
        <v>0.06</v>
      </c>
      <c r="N64" s="370">
        <v>0.06</v>
      </c>
      <c r="O64" s="370">
        <v>0.06</v>
      </c>
      <c r="P64" s="370">
        <v>0.06</v>
      </c>
      <c r="Q64" s="370">
        <v>0.06</v>
      </c>
      <c r="R64" s="370">
        <v>0.06</v>
      </c>
      <c r="S64" s="370">
        <v>0.06</v>
      </c>
      <c r="T64" s="370">
        <v>0.06</v>
      </c>
      <c r="U64" s="370">
        <v>0.06</v>
      </c>
      <c r="V64" s="370">
        <v>0.06</v>
      </c>
      <c r="W64" s="370">
        <v>0.06</v>
      </c>
      <c r="X64" s="370">
        <v>0.06</v>
      </c>
      <c r="Y64" s="370">
        <v>0.06</v>
      </c>
      <c r="Z64" s="391">
        <v>0.35</v>
      </c>
      <c r="AA64" s="391">
        <v>0.33</v>
      </c>
      <c r="AB64" s="391">
        <v>0.33</v>
      </c>
      <c r="AC64" s="391">
        <v>0.33</v>
      </c>
      <c r="AD64" s="391">
        <v>0.33</v>
      </c>
      <c r="AE64" s="391">
        <v>0.31</v>
      </c>
      <c r="AF64" s="391">
        <v>0.32</v>
      </c>
      <c r="AG64" s="391">
        <v>0.32</v>
      </c>
      <c r="AH64" s="391">
        <v>0.33</v>
      </c>
      <c r="AI64" s="391">
        <v>0.35</v>
      </c>
      <c r="AJ64" s="391">
        <v>0.33</v>
      </c>
      <c r="AK64" s="391">
        <v>0.33</v>
      </c>
      <c r="AL64" s="391">
        <v>0.33</v>
      </c>
      <c r="AM64" s="391">
        <v>0.282</v>
      </c>
      <c r="AN64" s="391">
        <v>0.282</v>
      </c>
      <c r="AO64" s="391">
        <v>0.282</v>
      </c>
      <c r="AP64" s="391">
        <v>0.282</v>
      </c>
      <c r="AQ64" s="391">
        <v>0.282</v>
      </c>
      <c r="AR64" s="391">
        <v>0.282</v>
      </c>
      <c r="AS64" s="391">
        <v>0.282</v>
      </c>
      <c r="AT64" s="391">
        <v>0.282</v>
      </c>
      <c r="AU64" s="391">
        <v>0.282</v>
      </c>
      <c r="AV64" s="391">
        <v>0.282</v>
      </c>
      <c r="AW64" s="391">
        <v>0.282</v>
      </c>
      <c r="AX64" s="391">
        <v>0.282</v>
      </c>
      <c r="AY64" s="391">
        <v>0.26</v>
      </c>
      <c r="AZ64" s="391">
        <v>0.26</v>
      </c>
      <c r="BA64" s="391">
        <v>0.26</v>
      </c>
      <c r="BB64" s="391">
        <v>0.26</v>
      </c>
      <c r="BC64" s="391">
        <v>0.26</v>
      </c>
      <c r="BD64" s="391">
        <v>0.26</v>
      </c>
      <c r="BE64" s="391">
        <v>0.26</v>
      </c>
      <c r="BF64" s="391">
        <v>0.26</v>
      </c>
      <c r="BG64" s="391">
        <v>0.26</v>
      </c>
      <c r="BH64" s="391">
        <v>0.26</v>
      </c>
      <c r="BI64" s="391">
        <v>0.26</v>
      </c>
      <c r="BJ64" s="391">
        <v>0.26</v>
      </c>
      <c r="BK64" s="391">
        <v>0.26</v>
      </c>
      <c r="BL64" s="391">
        <v>0.26</v>
      </c>
      <c r="BM64" s="391">
        <v>0.26</v>
      </c>
      <c r="BN64" s="391">
        <v>0.26</v>
      </c>
      <c r="BO64" s="391">
        <v>0.26</v>
      </c>
      <c r="BP64" s="391">
        <v>0.26</v>
      </c>
      <c r="BQ64" s="391">
        <v>0.26</v>
      </c>
      <c r="BR64" s="391">
        <v>0.26</v>
      </c>
      <c r="BS64" s="391">
        <v>0.26</v>
      </c>
      <c r="BT64" s="391">
        <v>0.26</v>
      </c>
      <c r="BU64" s="391">
        <v>0.26</v>
      </c>
      <c r="BV64" s="391">
        <v>0.26</v>
      </c>
      <c r="BW64" s="391">
        <v>0.26</v>
      </c>
      <c r="BX64" s="391">
        <v>0.26</v>
      </c>
      <c r="BY64" s="391">
        <v>0.26</v>
      </c>
      <c r="BZ64" s="391">
        <v>0.26</v>
      </c>
      <c r="CA64" s="391">
        <v>0.26</v>
      </c>
      <c r="CB64" s="391">
        <v>0.26</v>
      </c>
      <c r="CC64" s="391">
        <v>0.26</v>
      </c>
      <c r="CD64" s="391">
        <v>0.26</v>
      </c>
      <c r="CE64" s="391">
        <v>0.26</v>
      </c>
      <c r="CF64" s="391">
        <v>0.26</v>
      </c>
      <c r="CG64" s="391">
        <v>0.26</v>
      </c>
      <c r="CH64" s="391">
        <v>0.26</v>
      </c>
      <c r="CI64" s="1"/>
      <c r="CJ64" s="1"/>
      <c r="CK64" s="1"/>
      <c r="CL64" s="1"/>
      <c r="CM64" s="1"/>
      <c r="CN64" s="1"/>
      <c r="CO64" s="1"/>
      <c r="CP64" s="1"/>
    </row>
    <row r="65" ht="15.75" customHeight="1">
      <c r="A65" s="1" t="s">
        <v>94</v>
      </c>
      <c r="B65" s="370"/>
      <c r="C65" s="370">
        <v>0.06</v>
      </c>
      <c r="D65" s="370">
        <v>0.06</v>
      </c>
      <c r="E65" s="370">
        <v>0.06</v>
      </c>
      <c r="F65" s="370">
        <v>0.06</v>
      </c>
      <c r="G65" s="370">
        <v>0.06</v>
      </c>
      <c r="H65" s="370">
        <v>0.06</v>
      </c>
      <c r="I65" s="370">
        <v>0.06</v>
      </c>
      <c r="J65" s="370">
        <v>0.06</v>
      </c>
      <c r="K65" s="370">
        <v>0.06</v>
      </c>
      <c r="L65" s="370">
        <v>0.06</v>
      </c>
      <c r="M65" s="370">
        <v>0.06</v>
      </c>
      <c r="N65" s="370">
        <v>0.06</v>
      </c>
      <c r="O65" s="370">
        <v>0.06</v>
      </c>
      <c r="P65" s="370">
        <v>0.06</v>
      </c>
      <c r="Q65" s="370">
        <v>0.06</v>
      </c>
      <c r="R65" s="370">
        <v>0.06</v>
      </c>
      <c r="S65" s="370">
        <v>0.06</v>
      </c>
      <c r="T65" s="370">
        <v>0.06</v>
      </c>
      <c r="U65" s="370">
        <v>0.06</v>
      </c>
      <c r="V65" s="370">
        <v>0.06</v>
      </c>
      <c r="W65" s="370">
        <v>0.06</v>
      </c>
      <c r="X65" s="370">
        <v>0.06</v>
      </c>
      <c r="Y65" s="370">
        <v>0.06</v>
      </c>
      <c r="Z65" s="391">
        <v>0.26</v>
      </c>
      <c r="AA65" s="391">
        <v>0.26</v>
      </c>
      <c r="AB65" s="391">
        <v>0.26</v>
      </c>
      <c r="AC65" s="391">
        <v>0.26</v>
      </c>
      <c r="AD65" s="391">
        <v>0.26</v>
      </c>
      <c r="AE65" s="391">
        <v>0.26</v>
      </c>
      <c r="AF65" s="391">
        <v>0.26</v>
      </c>
      <c r="AG65" s="391">
        <v>0.26</v>
      </c>
      <c r="AH65" s="391">
        <v>0.26</v>
      </c>
      <c r="AI65" s="391">
        <v>0.26</v>
      </c>
      <c r="AJ65" s="391">
        <v>0.26</v>
      </c>
      <c r="AK65" s="391">
        <v>0.26</v>
      </c>
      <c r="AL65" s="391">
        <v>0.26</v>
      </c>
      <c r="AM65" s="391">
        <v>0.253</v>
      </c>
      <c r="AN65" s="391">
        <v>0.253</v>
      </c>
      <c r="AO65" s="391">
        <v>0.253</v>
      </c>
      <c r="AP65" s="391">
        <v>0.253</v>
      </c>
      <c r="AQ65" s="391">
        <v>0.253</v>
      </c>
      <c r="AR65" s="391">
        <v>0.253</v>
      </c>
      <c r="AS65" s="391">
        <v>0.253</v>
      </c>
      <c r="AT65" s="391">
        <v>0.253</v>
      </c>
      <c r="AU65" s="391">
        <v>0.253</v>
      </c>
      <c r="AV65" s="391">
        <v>0.253</v>
      </c>
      <c r="AW65" s="391">
        <v>0.253</v>
      </c>
      <c r="AX65" s="391">
        <v>0.253</v>
      </c>
      <c r="AY65" s="391">
        <v>0.253</v>
      </c>
      <c r="AZ65" s="391">
        <v>0.253</v>
      </c>
      <c r="BA65" s="391">
        <v>0.253</v>
      </c>
      <c r="BB65" s="391">
        <v>0.253</v>
      </c>
      <c r="BC65" s="391">
        <v>0.253</v>
      </c>
      <c r="BD65" s="391">
        <v>0.253</v>
      </c>
      <c r="BE65" s="391">
        <v>0.253</v>
      </c>
      <c r="BF65" s="391">
        <v>0.253</v>
      </c>
      <c r="BG65" s="391">
        <v>0.253</v>
      </c>
      <c r="BH65" s="391">
        <v>0.253</v>
      </c>
      <c r="BI65" s="391">
        <v>0.253</v>
      </c>
      <c r="BJ65" s="391">
        <v>0.253</v>
      </c>
      <c r="BK65" s="391">
        <v>0.253</v>
      </c>
      <c r="BL65" s="391">
        <v>0.253</v>
      </c>
      <c r="BM65" s="391">
        <v>0.253</v>
      </c>
      <c r="BN65" s="391">
        <v>0.253</v>
      </c>
      <c r="BO65" s="391">
        <v>0.253</v>
      </c>
      <c r="BP65" s="391">
        <v>0.253</v>
      </c>
      <c r="BQ65" s="391">
        <v>0.253</v>
      </c>
      <c r="BR65" s="391">
        <v>0.253</v>
      </c>
      <c r="BS65" s="391">
        <v>0.253</v>
      </c>
      <c r="BT65" s="391">
        <v>0.253</v>
      </c>
      <c r="BU65" s="391">
        <v>0.253</v>
      </c>
      <c r="BV65" s="391">
        <v>0.253</v>
      </c>
      <c r="BW65" s="391">
        <v>0.253</v>
      </c>
      <c r="BX65" s="391">
        <v>0.253</v>
      </c>
      <c r="BY65" s="391">
        <v>0.253</v>
      </c>
      <c r="BZ65" s="391">
        <v>0.253</v>
      </c>
      <c r="CA65" s="391">
        <v>0.253</v>
      </c>
      <c r="CB65" s="391">
        <v>0.253</v>
      </c>
      <c r="CC65" s="391">
        <v>0.253</v>
      </c>
      <c r="CD65" s="391">
        <v>0.253</v>
      </c>
      <c r="CE65" s="391">
        <v>0.253</v>
      </c>
      <c r="CF65" s="391">
        <v>0.253</v>
      </c>
      <c r="CG65" s="391">
        <v>0.253</v>
      </c>
      <c r="CH65" s="391">
        <v>0.253</v>
      </c>
      <c r="CI65" s="1"/>
      <c r="CJ65" s="1"/>
      <c r="CK65" s="1"/>
      <c r="CL65" s="1"/>
      <c r="CM65" s="1"/>
      <c r="CN65" s="1"/>
      <c r="CO65" s="1"/>
      <c r="CP65" s="1"/>
    </row>
    <row r="66" ht="15.75" customHeight="1">
      <c r="A66" s="1" t="s">
        <v>96</v>
      </c>
      <c r="B66" s="392"/>
      <c r="C66" s="392">
        <v>0.5</v>
      </c>
      <c r="D66" s="392">
        <v>0.5</v>
      </c>
      <c r="E66" s="392">
        <v>0.5</v>
      </c>
      <c r="F66" s="392">
        <v>0.5</v>
      </c>
      <c r="G66" s="392">
        <v>0.5</v>
      </c>
      <c r="H66" s="392">
        <v>0.5</v>
      </c>
      <c r="I66" s="392">
        <v>0.5</v>
      </c>
      <c r="J66" s="392">
        <v>0.5</v>
      </c>
      <c r="K66" s="392">
        <v>0.5</v>
      </c>
      <c r="L66" s="392">
        <v>0.5</v>
      </c>
      <c r="M66" s="392">
        <v>0.5</v>
      </c>
      <c r="N66" s="392">
        <v>0.5</v>
      </c>
      <c r="O66" s="392">
        <v>0.5</v>
      </c>
      <c r="P66" s="392">
        <v>0.5</v>
      </c>
      <c r="Q66" s="392">
        <v>0.5</v>
      </c>
      <c r="R66" s="392">
        <v>0.5</v>
      </c>
      <c r="S66" s="392">
        <v>0.5</v>
      </c>
      <c r="T66" s="392">
        <v>0.5</v>
      </c>
      <c r="U66" s="392">
        <v>0.5</v>
      </c>
      <c r="V66" s="392">
        <v>0.5</v>
      </c>
      <c r="W66" s="392">
        <v>0.5</v>
      </c>
      <c r="X66" s="392">
        <v>0.5</v>
      </c>
      <c r="Y66" s="392">
        <v>0.5</v>
      </c>
      <c r="Z66" s="391">
        <v>0.5</v>
      </c>
      <c r="AA66" s="391">
        <v>0.5</v>
      </c>
      <c r="AB66" s="391">
        <v>0.5</v>
      </c>
      <c r="AC66" s="391">
        <v>0.5</v>
      </c>
      <c r="AD66" s="391">
        <v>0.5</v>
      </c>
      <c r="AE66" s="391">
        <v>0.5</v>
      </c>
      <c r="AF66" s="391">
        <v>0.5</v>
      </c>
      <c r="AG66" s="391">
        <v>0.5</v>
      </c>
      <c r="AH66" s="391">
        <v>0.5</v>
      </c>
      <c r="AI66" s="391">
        <v>0.5</v>
      </c>
      <c r="AJ66" s="391">
        <v>0.5</v>
      </c>
      <c r="AK66" s="391">
        <v>0.5</v>
      </c>
      <c r="AL66" s="391">
        <v>0.5</v>
      </c>
      <c r="AM66" s="391">
        <v>0.5</v>
      </c>
      <c r="AN66" s="391">
        <v>0.5</v>
      </c>
      <c r="AO66" s="391">
        <v>0.5</v>
      </c>
      <c r="AP66" s="391">
        <v>0.5</v>
      </c>
      <c r="AQ66" s="391">
        <v>0.5</v>
      </c>
      <c r="AR66" s="391">
        <v>0.5</v>
      </c>
      <c r="AS66" s="391">
        <v>0.5</v>
      </c>
      <c r="AT66" s="391">
        <v>0.5</v>
      </c>
      <c r="AU66" s="391">
        <v>0.5</v>
      </c>
      <c r="AV66" s="391">
        <v>0.5</v>
      </c>
      <c r="AW66" s="391">
        <v>0.5</v>
      </c>
      <c r="AX66" s="391">
        <v>0.5</v>
      </c>
      <c r="AY66" s="391">
        <v>0.5</v>
      </c>
      <c r="AZ66" s="391">
        <v>0.5</v>
      </c>
      <c r="BA66" s="391">
        <v>0.5</v>
      </c>
      <c r="BB66" s="391">
        <v>0.5</v>
      </c>
      <c r="BC66" s="391">
        <v>0.5</v>
      </c>
      <c r="BD66" s="391">
        <v>0.5</v>
      </c>
      <c r="BE66" s="391">
        <v>0.5</v>
      </c>
      <c r="BF66" s="391">
        <v>0.5</v>
      </c>
      <c r="BG66" s="391">
        <v>0.5</v>
      </c>
      <c r="BH66" s="391">
        <v>0.5</v>
      </c>
      <c r="BI66" s="391">
        <v>0.5</v>
      </c>
      <c r="BJ66" s="391">
        <v>0.5</v>
      </c>
      <c r="BK66" s="391">
        <v>0.5</v>
      </c>
      <c r="BL66" s="391">
        <v>0.5</v>
      </c>
      <c r="BM66" s="391">
        <v>0.5</v>
      </c>
      <c r="BN66" s="391">
        <v>0.5</v>
      </c>
      <c r="BO66" s="391">
        <v>0.5</v>
      </c>
      <c r="BP66" s="391">
        <v>0.5</v>
      </c>
      <c r="BQ66" s="391">
        <v>0.5</v>
      </c>
      <c r="BR66" s="391">
        <v>0.5</v>
      </c>
      <c r="BS66" s="391">
        <v>0.5</v>
      </c>
      <c r="BT66" s="391">
        <v>0.5</v>
      </c>
      <c r="BU66" s="391">
        <v>0.5</v>
      </c>
      <c r="BV66" s="391">
        <v>0.5</v>
      </c>
      <c r="BW66" s="391">
        <v>0.5</v>
      </c>
      <c r="BX66" s="391">
        <v>0.5</v>
      </c>
      <c r="BY66" s="391">
        <v>0.5</v>
      </c>
      <c r="BZ66" s="391">
        <v>0.5</v>
      </c>
      <c r="CA66" s="391">
        <v>0.5</v>
      </c>
      <c r="CB66" s="391">
        <v>0.5</v>
      </c>
      <c r="CC66" s="391">
        <v>0.5</v>
      </c>
      <c r="CD66" s="391">
        <v>0.5</v>
      </c>
      <c r="CE66" s="391">
        <v>0.5</v>
      </c>
      <c r="CF66" s="391">
        <v>0.5</v>
      </c>
      <c r="CG66" s="391">
        <v>0.5</v>
      </c>
      <c r="CH66" s="391">
        <v>0.5</v>
      </c>
      <c r="CI66" s="1"/>
      <c r="CJ66" s="1"/>
      <c r="CK66" s="1"/>
      <c r="CL66" s="1"/>
      <c r="CM66" s="1"/>
      <c r="CN66" s="1"/>
      <c r="CO66" s="1"/>
      <c r="CP66" s="1"/>
    </row>
    <row r="67" ht="15.75" customHeight="1">
      <c r="A67" s="119" t="s">
        <v>660</v>
      </c>
      <c r="B67" s="393"/>
      <c r="C67" s="393">
        <f t="shared" ref="C67:CH67" si="30">-C83/C46</f>
        <v>0.02300139093</v>
      </c>
      <c r="D67" s="393">
        <f t="shared" si="30"/>
        <v>0.04591610956</v>
      </c>
      <c r="E67" s="393">
        <f t="shared" si="30"/>
        <v>0.03049253595</v>
      </c>
      <c r="F67" s="393">
        <f t="shared" si="30"/>
        <v>0.02679846852</v>
      </c>
      <c r="G67" s="393">
        <f t="shared" si="30"/>
        <v>0.03805294245</v>
      </c>
      <c r="H67" s="393">
        <f t="shared" si="30"/>
        <v>0.04209062847</v>
      </c>
      <c r="I67" s="393">
        <f t="shared" si="30"/>
        <v>0.03709104761</v>
      </c>
      <c r="J67" s="393">
        <f t="shared" si="30"/>
        <v>0.05015303079</v>
      </c>
      <c r="K67" s="393">
        <f t="shared" si="30"/>
        <v>0.04837298591</v>
      </c>
      <c r="L67" s="393">
        <f t="shared" si="30"/>
        <v>0.03466424658</v>
      </c>
      <c r="M67" s="393">
        <f t="shared" si="30"/>
        <v>0.04690162654</v>
      </c>
      <c r="N67" s="393">
        <f t="shared" si="30"/>
        <v>0.0535633111</v>
      </c>
      <c r="O67" s="393">
        <f t="shared" si="30"/>
        <v>0.03266464714</v>
      </c>
      <c r="P67" s="393">
        <f t="shared" si="30"/>
        <v>0.04362549339</v>
      </c>
      <c r="Q67" s="393">
        <f t="shared" si="30"/>
        <v>0.05024367863</v>
      </c>
      <c r="R67" s="393">
        <f t="shared" si="30"/>
        <v>0.05269767147</v>
      </c>
      <c r="S67" s="393">
        <f t="shared" si="30"/>
        <v>0.03675971732</v>
      </c>
      <c r="T67" s="393">
        <f t="shared" si="30"/>
        <v>0.04924954854</v>
      </c>
      <c r="U67" s="393">
        <f t="shared" si="30"/>
        <v>0.02431473322</v>
      </c>
      <c r="V67" s="393">
        <f t="shared" si="30"/>
        <v>0.04223319345</v>
      </c>
      <c r="W67" s="393">
        <f t="shared" si="30"/>
        <v>0.02975738642</v>
      </c>
      <c r="X67" s="393">
        <f t="shared" si="30"/>
        <v>0.05555363192</v>
      </c>
      <c r="Y67" s="393">
        <f t="shared" si="30"/>
        <v>0.03071287974</v>
      </c>
      <c r="Z67" s="393">
        <f t="shared" si="30"/>
        <v>0.07252409248</v>
      </c>
      <c r="AA67" s="393">
        <f t="shared" si="30"/>
        <v>0.1281919067</v>
      </c>
      <c r="AB67" s="393">
        <f t="shared" si="30"/>
        <v>0.1521998622</v>
      </c>
      <c r="AC67" s="393">
        <f t="shared" si="30"/>
        <v>0.1630154087</v>
      </c>
      <c r="AD67" s="393">
        <f t="shared" si="30"/>
        <v>0.162741309</v>
      </c>
      <c r="AE67" s="393">
        <f t="shared" si="30"/>
        <v>0.1575777809</v>
      </c>
      <c r="AF67" s="393">
        <f t="shared" si="30"/>
        <v>0.1520678476</v>
      </c>
      <c r="AG67" s="393">
        <f t="shared" si="30"/>
        <v>0.1452969333</v>
      </c>
      <c r="AH67" s="393">
        <f t="shared" si="30"/>
        <v>0.1403645877</v>
      </c>
      <c r="AI67" s="393">
        <f t="shared" si="30"/>
        <v>0.1358884798</v>
      </c>
      <c r="AJ67" s="393">
        <f t="shared" si="30"/>
        <v>0.1303278817</v>
      </c>
      <c r="AK67" s="393">
        <f t="shared" si="30"/>
        <v>0.1256691599</v>
      </c>
      <c r="AL67" s="393">
        <f t="shared" si="30"/>
        <v>0.1216441186</v>
      </c>
      <c r="AM67" s="393">
        <f t="shared" si="30"/>
        <v>0.1206650433</v>
      </c>
      <c r="AN67" s="393">
        <f t="shared" si="30"/>
        <v>0.1206905248</v>
      </c>
      <c r="AO67" s="393">
        <f t="shared" si="30"/>
        <v>0.119520428</v>
      </c>
      <c r="AP67" s="393">
        <f t="shared" si="30"/>
        <v>0.1183545794</v>
      </c>
      <c r="AQ67" s="393">
        <f t="shared" si="30"/>
        <v>0.1173056411</v>
      </c>
      <c r="AR67" s="393">
        <f t="shared" si="30"/>
        <v>0.1163093934</v>
      </c>
      <c r="AS67" s="393">
        <f t="shared" si="30"/>
        <v>0.1154381218</v>
      </c>
      <c r="AT67" s="393">
        <f t="shared" si="30"/>
        <v>0.114622023</v>
      </c>
      <c r="AU67" s="393">
        <f t="shared" si="30"/>
        <v>0.1138526671</v>
      </c>
      <c r="AV67" s="393">
        <f t="shared" si="30"/>
        <v>0.113123574</v>
      </c>
      <c r="AW67" s="393">
        <f t="shared" si="30"/>
        <v>0.1124296781</v>
      </c>
      <c r="AX67" s="393">
        <f t="shared" si="30"/>
        <v>0.1117669477</v>
      </c>
      <c r="AY67" s="393">
        <f t="shared" si="30"/>
        <v>0.1026164881</v>
      </c>
      <c r="AZ67" s="393">
        <f t="shared" si="30"/>
        <v>0.1017554886</v>
      </c>
      <c r="BA67" s="393">
        <f t="shared" si="30"/>
        <v>0.1009252619</v>
      </c>
      <c r="BB67" s="393">
        <f t="shared" si="30"/>
        <v>0.1001076829</v>
      </c>
      <c r="BC67" s="393">
        <f t="shared" si="30"/>
        <v>0.09930895654</v>
      </c>
      <c r="BD67" s="393">
        <f t="shared" si="30"/>
        <v>0.09853287527</v>
      </c>
      <c r="BE67" s="393">
        <f t="shared" si="30"/>
        <v>0.09778155059</v>
      </c>
      <c r="BF67" s="393">
        <f t="shared" si="30"/>
        <v>0.09705593262</v>
      </c>
      <c r="BG67" s="393">
        <f t="shared" si="30"/>
        <v>0.0963561791</v>
      </c>
      <c r="BH67" s="393">
        <f t="shared" si="30"/>
        <v>0.09568191722</v>
      </c>
      <c r="BI67" s="393">
        <f t="shared" si="30"/>
        <v>0.09503242884</v>
      </c>
      <c r="BJ67" s="393">
        <f t="shared" si="30"/>
        <v>0.09440678098</v>
      </c>
      <c r="BK67" s="393">
        <f t="shared" si="30"/>
        <v>0.09186132519</v>
      </c>
      <c r="BL67" s="393">
        <f t="shared" si="30"/>
        <v>0.09132722529</v>
      </c>
      <c r="BM67" s="393">
        <f t="shared" si="30"/>
        <v>0.09089764402</v>
      </c>
      <c r="BN67" s="393">
        <f t="shared" si="30"/>
        <v>0.09034918314</v>
      </c>
      <c r="BO67" s="393">
        <f t="shared" si="30"/>
        <v>0.08981731496</v>
      </c>
      <c r="BP67" s="393">
        <f t="shared" si="30"/>
        <v>0.08930103002</v>
      </c>
      <c r="BQ67" s="393">
        <f t="shared" si="30"/>
        <v>0.08879938538</v>
      </c>
      <c r="BR67" s="393">
        <f t="shared" si="30"/>
        <v>0.08831150058</v>
      </c>
      <c r="BS67" s="393">
        <f t="shared" si="30"/>
        <v>0.08783655355</v>
      </c>
      <c r="BT67" s="393">
        <f t="shared" si="30"/>
        <v>0.0873737768</v>
      </c>
      <c r="BU67" s="393">
        <f t="shared" si="30"/>
        <v>0.08692245367</v>
      </c>
      <c r="BV67" s="393">
        <f t="shared" si="30"/>
        <v>0.08648191479</v>
      </c>
      <c r="BW67" s="393">
        <f t="shared" si="30"/>
        <v>0.08509210977</v>
      </c>
      <c r="BX67" s="393">
        <f t="shared" si="30"/>
        <v>0.08494991514</v>
      </c>
      <c r="BY67" s="393">
        <f t="shared" si="30"/>
        <v>0.08453730305</v>
      </c>
      <c r="BZ67" s="393">
        <f t="shared" si="30"/>
        <v>0.08407458204</v>
      </c>
      <c r="CA67" s="393">
        <f t="shared" si="30"/>
        <v>0.08366683713</v>
      </c>
      <c r="CB67" s="393">
        <f t="shared" si="30"/>
        <v>0.08330120579</v>
      </c>
      <c r="CC67" s="393">
        <f t="shared" si="30"/>
        <v>0.08296806174</v>
      </c>
      <c r="CD67" s="393">
        <f t="shared" si="30"/>
        <v>0.08266018829</v>
      </c>
      <c r="CE67" s="393">
        <f t="shared" si="30"/>
        <v>0.0823721613</v>
      </c>
      <c r="CF67" s="393">
        <f t="shared" si="30"/>
        <v>0.08209988999</v>
      </c>
      <c r="CG67" s="393">
        <f t="shared" si="30"/>
        <v>0.08184027569</v>
      </c>
      <c r="CH67" s="393">
        <f t="shared" si="30"/>
        <v>0.08159095861</v>
      </c>
      <c r="CI67" s="1"/>
      <c r="CJ67" s="1"/>
      <c r="CK67" s="1"/>
      <c r="CL67" s="1"/>
      <c r="CM67" s="1"/>
      <c r="CN67" s="1"/>
      <c r="CO67" s="1"/>
      <c r="CP67" s="1"/>
    </row>
    <row r="68" ht="15.75" customHeight="1">
      <c r="A68" s="1"/>
      <c r="B68" s="356"/>
      <c r="C68" s="356"/>
      <c r="D68" s="356"/>
      <c r="E68" s="356"/>
      <c r="F68" s="356"/>
      <c r="G68" s="356"/>
      <c r="H68" s="356"/>
      <c r="I68" s="356"/>
      <c r="J68" s="356"/>
      <c r="K68" s="356"/>
      <c r="L68" s="356"/>
      <c r="M68" s="356"/>
      <c r="N68" s="356"/>
      <c r="O68" s="356"/>
      <c r="P68" s="356"/>
      <c r="Q68" s="356"/>
      <c r="R68" s="356"/>
      <c r="S68" s="356"/>
      <c r="T68" s="356"/>
      <c r="U68" s="356"/>
      <c r="V68" s="356"/>
      <c r="W68" s="356"/>
      <c r="X68" s="356"/>
      <c r="Y68" s="356"/>
      <c r="Z68" s="356"/>
      <c r="AA68" s="356"/>
      <c r="AB68" s="356"/>
      <c r="AC68" s="356"/>
      <c r="AD68" s="356"/>
      <c r="AE68" s="356"/>
      <c r="AF68" s="356"/>
      <c r="AG68" s="356"/>
      <c r="AH68" s="356"/>
      <c r="AI68" s="356"/>
      <c r="AJ68" s="356"/>
      <c r="AK68" s="356"/>
      <c r="AL68" s="356"/>
      <c r="AM68" s="356"/>
      <c r="AN68" s="356"/>
      <c r="AO68" s="356"/>
      <c r="AP68" s="356"/>
      <c r="AQ68" s="356"/>
      <c r="AR68" s="356"/>
      <c r="AS68" s="356"/>
      <c r="AT68" s="356"/>
      <c r="AU68" s="356"/>
      <c r="AV68" s="356"/>
      <c r="AW68" s="356"/>
      <c r="AX68" s="356"/>
      <c r="AY68" s="356"/>
      <c r="AZ68" s="356"/>
      <c r="BA68" s="356"/>
      <c r="BB68" s="356"/>
      <c r="BC68" s="356"/>
      <c r="BD68" s="356"/>
      <c r="BE68" s="356"/>
      <c r="BF68" s="356"/>
      <c r="BG68" s="356"/>
      <c r="BH68" s="356"/>
      <c r="BI68" s="356"/>
      <c r="BJ68" s="356"/>
      <c r="BK68" s="356"/>
      <c r="BL68" s="356"/>
      <c r="BM68" s="356"/>
      <c r="BN68" s="356"/>
      <c r="BO68" s="356"/>
      <c r="BP68" s="356"/>
      <c r="BQ68" s="356"/>
      <c r="BR68" s="356"/>
      <c r="BS68" s="356"/>
      <c r="BT68" s="356"/>
      <c r="BU68" s="356"/>
      <c r="BV68" s="356"/>
      <c r="BW68" s="356"/>
      <c r="BX68" s="356"/>
      <c r="BY68" s="356"/>
      <c r="BZ68" s="356"/>
      <c r="CA68" s="356"/>
      <c r="CB68" s="356"/>
      <c r="CC68" s="356"/>
      <c r="CD68" s="356"/>
      <c r="CE68" s="356"/>
      <c r="CF68" s="356"/>
      <c r="CG68" s="356"/>
      <c r="CH68" s="356"/>
      <c r="CI68" s="1"/>
      <c r="CJ68" s="1"/>
      <c r="CK68" s="1"/>
      <c r="CL68" s="1"/>
      <c r="CM68" s="1"/>
      <c r="CN68" s="1"/>
      <c r="CO68" s="1"/>
      <c r="CP68" s="1"/>
    </row>
    <row r="69" ht="15.75" customHeight="1">
      <c r="A69" s="1" t="s">
        <v>129</v>
      </c>
      <c r="B69" s="356"/>
      <c r="C69" s="400">
        <f t="shared" ref="C69:CH69" si="31">1/(C61*12)</f>
        <v>1.388888889</v>
      </c>
      <c r="D69" s="400">
        <f t="shared" si="31"/>
        <v>1.388888889</v>
      </c>
      <c r="E69" s="400">
        <f t="shared" si="31"/>
        <v>1.388888889</v>
      </c>
      <c r="F69" s="400">
        <f t="shared" si="31"/>
        <v>1.388888889</v>
      </c>
      <c r="G69" s="400">
        <f t="shared" si="31"/>
        <v>1.388888889</v>
      </c>
      <c r="H69" s="400">
        <f t="shared" si="31"/>
        <v>1.388888889</v>
      </c>
      <c r="I69" s="400">
        <f t="shared" si="31"/>
        <v>1.388888889</v>
      </c>
      <c r="J69" s="400">
        <f t="shared" si="31"/>
        <v>1.388888889</v>
      </c>
      <c r="K69" s="400">
        <f t="shared" si="31"/>
        <v>1.388888889</v>
      </c>
      <c r="L69" s="400">
        <f t="shared" si="31"/>
        <v>1.388888889</v>
      </c>
      <c r="M69" s="400">
        <f t="shared" si="31"/>
        <v>1.388888889</v>
      </c>
      <c r="N69" s="400">
        <f t="shared" si="31"/>
        <v>1.388888889</v>
      </c>
      <c r="O69" s="400">
        <f t="shared" si="31"/>
        <v>1.388888889</v>
      </c>
      <c r="P69" s="400">
        <f t="shared" si="31"/>
        <v>1.388888889</v>
      </c>
      <c r="Q69" s="400">
        <f t="shared" si="31"/>
        <v>1.388888889</v>
      </c>
      <c r="R69" s="400">
        <f t="shared" si="31"/>
        <v>1.388888889</v>
      </c>
      <c r="S69" s="400">
        <f t="shared" si="31"/>
        <v>1.388888889</v>
      </c>
      <c r="T69" s="400">
        <f t="shared" si="31"/>
        <v>1.388888889</v>
      </c>
      <c r="U69" s="400">
        <f t="shared" si="31"/>
        <v>1.388888889</v>
      </c>
      <c r="V69" s="400">
        <f t="shared" si="31"/>
        <v>1.388888889</v>
      </c>
      <c r="W69" s="400">
        <f t="shared" si="31"/>
        <v>1.388888889</v>
      </c>
      <c r="X69" s="400">
        <f t="shared" si="31"/>
        <v>1.388888889</v>
      </c>
      <c r="Y69" s="400">
        <f t="shared" si="31"/>
        <v>1.388888889</v>
      </c>
      <c r="Z69" s="400">
        <f t="shared" si="31"/>
        <v>1.243781095</v>
      </c>
      <c r="AA69" s="400">
        <f t="shared" si="31"/>
        <v>1.207729469</v>
      </c>
      <c r="AB69" s="400">
        <f t="shared" si="31"/>
        <v>1.256913022</v>
      </c>
      <c r="AC69" s="400">
        <f t="shared" si="31"/>
        <v>1.310272537</v>
      </c>
      <c r="AD69" s="400">
        <f t="shared" si="31"/>
        <v>1.368363437</v>
      </c>
      <c r="AE69" s="400">
        <f t="shared" si="31"/>
        <v>1.431844215</v>
      </c>
      <c r="AF69" s="400">
        <f t="shared" si="31"/>
        <v>1.501501502</v>
      </c>
      <c r="AG69" s="400">
        <f t="shared" si="31"/>
        <v>1.578282828</v>
      </c>
      <c r="AH69" s="400">
        <f t="shared" si="31"/>
        <v>1.663339987</v>
      </c>
      <c r="AI69" s="400">
        <f t="shared" si="31"/>
        <v>1.758087201</v>
      </c>
      <c r="AJ69" s="400">
        <f t="shared" si="31"/>
        <v>1.864280388</v>
      </c>
      <c r="AK69" s="400">
        <f t="shared" si="31"/>
        <v>1.984126984</v>
      </c>
      <c r="AL69" s="400">
        <f t="shared" si="31"/>
        <v>2.120441052</v>
      </c>
      <c r="AM69" s="400">
        <f t="shared" si="31"/>
        <v>1.736111111</v>
      </c>
      <c r="AN69" s="400">
        <f t="shared" si="31"/>
        <v>1.736111111</v>
      </c>
      <c r="AO69" s="400">
        <f t="shared" si="31"/>
        <v>1.736111111</v>
      </c>
      <c r="AP69" s="400">
        <f t="shared" si="31"/>
        <v>1.736111111</v>
      </c>
      <c r="AQ69" s="400">
        <f t="shared" si="31"/>
        <v>1.736111111</v>
      </c>
      <c r="AR69" s="400">
        <f t="shared" si="31"/>
        <v>1.736111111</v>
      </c>
      <c r="AS69" s="400">
        <f t="shared" si="31"/>
        <v>1.736111111</v>
      </c>
      <c r="AT69" s="400">
        <f t="shared" si="31"/>
        <v>1.736111111</v>
      </c>
      <c r="AU69" s="400">
        <f t="shared" si="31"/>
        <v>1.736111111</v>
      </c>
      <c r="AV69" s="400">
        <f t="shared" si="31"/>
        <v>1.736111111</v>
      </c>
      <c r="AW69" s="400">
        <f t="shared" si="31"/>
        <v>1.736111111</v>
      </c>
      <c r="AX69" s="400">
        <f t="shared" si="31"/>
        <v>1.736111111</v>
      </c>
      <c r="AY69" s="400">
        <f t="shared" si="31"/>
        <v>2.083333333</v>
      </c>
      <c r="AZ69" s="400">
        <f t="shared" si="31"/>
        <v>2.083333333</v>
      </c>
      <c r="BA69" s="400">
        <f t="shared" si="31"/>
        <v>2.083333333</v>
      </c>
      <c r="BB69" s="400">
        <f t="shared" si="31"/>
        <v>2.083333333</v>
      </c>
      <c r="BC69" s="400">
        <f t="shared" si="31"/>
        <v>2.083333333</v>
      </c>
      <c r="BD69" s="400">
        <f t="shared" si="31"/>
        <v>2.083333333</v>
      </c>
      <c r="BE69" s="400">
        <f t="shared" si="31"/>
        <v>2.083333333</v>
      </c>
      <c r="BF69" s="400">
        <f t="shared" si="31"/>
        <v>2.083333333</v>
      </c>
      <c r="BG69" s="400">
        <f t="shared" si="31"/>
        <v>2.083333333</v>
      </c>
      <c r="BH69" s="400">
        <f t="shared" si="31"/>
        <v>2.083333333</v>
      </c>
      <c r="BI69" s="400">
        <f t="shared" si="31"/>
        <v>2.083333333</v>
      </c>
      <c r="BJ69" s="400">
        <f t="shared" si="31"/>
        <v>2.083333333</v>
      </c>
      <c r="BK69" s="400">
        <f t="shared" si="31"/>
        <v>2.192982456</v>
      </c>
      <c r="BL69" s="400">
        <f t="shared" si="31"/>
        <v>2.192982456</v>
      </c>
      <c r="BM69" s="400">
        <f t="shared" si="31"/>
        <v>2.192982456</v>
      </c>
      <c r="BN69" s="400">
        <f t="shared" si="31"/>
        <v>2.192982456</v>
      </c>
      <c r="BO69" s="400">
        <f t="shared" si="31"/>
        <v>2.192982456</v>
      </c>
      <c r="BP69" s="400">
        <f t="shared" si="31"/>
        <v>2.192982456</v>
      </c>
      <c r="BQ69" s="400">
        <f t="shared" si="31"/>
        <v>2.192982456</v>
      </c>
      <c r="BR69" s="400">
        <f t="shared" si="31"/>
        <v>2.192982456</v>
      </c>
      <c r="BS69" s="400">
        <f t="shared" si="31"/>
        <v>2.192982456</v>
      </c>
      <c r="BT69" s="400">
        <f t="shared" si="31"/>
        <v>2.192982456</v>
      </c>
      <c r="BU69" s="400">
        <f t="shared" si="31"/>
        <v>2.192982456</v>
      </c>
      <c r="BV69" s="400">
        <f t="shared" si="31"/>
        <v>2.192982456</v>
      </c>
      <c r="BW69" s="400">
        <f t="shared" si="31"/>
        <v>2.252252252</v>
      </c>
      <c r="BX69" s="400">
        <f t="shared" si="31"/>
        <v>2.252252252</v>
      </c>
      <c r="BY69" s="400">
        <f t="shared" si="31"/>
        <v>2.252252252</v>
      </c>
      <c r="BZ69" s="400">
        <f t="shared" si="31"/>
        <v>2.252252252</v>
      </c>
      <c r="CA69" s="400">
        <f t="shared" si="31"/>
        <v>2.252252252</v>
      </c>
      <c r="CB69" s="400">
        <f t="shared" si="31"/>
        <v>2.252252252</v>
      </c>
      <c r="CC69" s="400">
        <f t="shared" si="31"/>
        <v>2.252252252</v>
      </c>
      <c r="CD69" s="400">
        <f t="shared" si="31"/>
        <v>2.252252252</v>
      </c>
      <c r="CE69" s="400">
        <f t="shared" si="31"/>
        <v>2.252252252</v>
      </c>
      <c r="CF69" s="400">
        <f t="shared" si="31"/>
        <v>2.252252252</v>
      </c>
      <c r="CG69" s="400">
        <f t="shared" si="31"/>
        <v>2.252252252</v>
      </c>
      <c r="CH69" s="400">
        <f t="shared" si="31"/>
        <v>2.252252252</v>
      </c>
      <c r="CI69" s="1"/>
      <c r="CJ69" s="1"/>
      <c r="CK69" s="1"/>
      <c r="CL69" s="1"/>
      <c r="CM69" s="1"/>
      <c r="CN69" s="1"/>
      <c r="CO69" s="1"/>
      <c r="CP69" s="1"/>
    </row>
    <row r="70" ht="15.75" customHeight="1">
      <c r="A70" s="1" t="s">
        <v>85</v>
      </c>
      <c r="B70" s="356"/>
      <c r="C70" s="400">
        <f t="shared" ref="C70:CH70" si="32">1/(C62*12)</f>
        <v>1.388888889</v>
      </c>
      <c r="D70" s="400">
        <f t="shared" si="32"/>
        <v>1.388888889</v>
      </c>
      <c r="E70" s="400">
        <f t="shared" si="32"/>
        <v>1.388888889</v>
      </c>
      <c r="F70" s="400">
        <f t="shared" si="32"/>
        <v>1.388888889</v>
      </c>
      <c r="G70" s="400">
        <f t="shared" si="32"/>
        <v>1.388888889</v>
      </c>
      <c r="H70" s="400">
        <f t="shared" si="32"/>
        <v>1.388888889</v>
      </c>
      <c r="I70" s="400">
        <f t="shared" si="32"/>
        <v>1.388888889</v>
      </c>
      <c r="J70" s="400">
        <f t="shared" si="32"/>
        <v>1.388888889</v>
      </c>
      <c r="K70" s="400">
        <f t="shared" si="32"/>
        <v>1.388888889</v>
      </c>
      <c r="L70" s="400">
        <f t="shared" si="32"/>
        <v>1.388888889</v>
      </c>
      <c r="M70" s="400">
        <f t="shared" si="32"/>
        <v>1.388888889</v>
      </c>
      <c r="N70" s="400">
        <f t="shared" si="32"/>
        <v>1.388888889</v>
      </c>
      <c r="O70" s="400">
        <f t="shared" si="32"/>
        <v>1.388888889</v>
      </c>
      <c r="P70" s="400">
        <f t="shared" si="32"/>
        <v>1.388888889</v>
      </c>
      <c r="Q70" s="400">
        <f t="shared" si="32"/>
        <v>1.388888889</v>
      </c>
      <c r="R70" s="400">
        <f t="shared" si="32"/>
        <v>1.388888889</v>
      </c>
      <c r="S70" s="400">
        <f t="shared" si="32"/>
        <v>1.388888889</v>
      </c>
      <c r="T70" s="400">
        <f t="shared" si="32"/>
        <v>1.388888889</v>
      </c>
      <c r="U70" s="400">
        <f t="shared" si="32"/>
        <v>1.388888889</v>
      </c>
      <c r="V70" s="400">
        <f t="shared" si="32"/>
        <v>1.388888889</v>
      </c>
      <c r="W70" s="400">
        <f t="shared" si="32"/>
        <v>1.388888889</v>
      </c>
      <c r="X70" s="400">
        <f t="shared" si="32"/>
        <v>1.388888889</v>
      </c>
      <c r="Y70" s="400">
        <f t="shared" si="32"/>
        <v>1.388888889</v>
      </c>
      <c r="Z70" s="400">
        <f t="shared" si="32"/>
        <v>1.811594203</v>
      </c>
      <c r="AA70" s="400">
        <f t="shared" si="32"/>
        <v>1.700680272</v>
      </c>
      <c r="AB70" s="400">
        <f t="shared" si="32"/>
        <v>1.716443529</v>
      </c>
      <c r="AC70" s="400">
        <f t="shared" si="32"/>
        <v>1.732501733</v>
      </c>
      <c r="AD70" s="400">
        <f t="shared" si="32"/>
        <v>1.748863239</v>
      </c>
      <c r="AE70" s="400">
        <f t="shared" si="32"/>
        <v>1.765536723</v>
      </c>
      <c r="AF70" s="400">
        <f t="shared" si="32"/>
        <v>1.782531194</v>
      </c>
      <c r="AG70" s="400">
        <f t="shared" si="32"/>
        <v>1.633986928</v>
      </c>
      <c r="AH70" s="400">
        <f t="shared" si="32"/>
        <v>1.633986928</v>
      </c>
      <c r="AI70" s="400">
        <f t="shared" si="32"/>
        <v>1.633986928</v>
      </c>
      <c r="AJ70" s="400">
        <f t="shared" si="32"/>
        <v>1.633986928</v>
      </c>
      <c r="AK70" s="400">
        <f t="shared" si="32"/>
        <v>1.666666667</v>
      </c>
      <c r="AL70" s="400">
        <f t="shared" si="32"/>
        <v>1.666666667</v>
      </c>
      <c r="AM70" s="400">
        <f t="shared" si="32"/>
        <v>1.666666667</v>
      </c>
      <c r="AN70" s="400">
        <f t="shared" si="32"/>
        <v>1.666666667</v>
      </c>
      <c r="AO70" s="400">
        <f t="shared" si="32"/>
        <v>1.666666667</v>
      </c>
      <c r="AP70" s="400">
        <f t="shared" si="32"/>
        <v>1.666666667</v>
      </c>
      <c r="AQ70" s="400">
        <f t="shared" si="32"/>
        <v>1.666666667</v>
      </c>
      <c r="AR70" s="400">
        <f t="shared" si="32"/>
        <v>1.666666667</v>
      </c>
      <c r="AS70" s="400">
        <f t="shared" si="32"/>
        <v>1.666666667</v>
      </c>
      <c r="AT70" s="400">
        <f t="shared" si="32"/>
        <v>1.666666667</v>
      </c>
      <c r="AU70" s="400">
        <f t="shared" si="32"/>
        <v>1.666666667</v>
      </c>
      <c r="AV70" s="400">
        <f t="shared" si="32"/>
        <v>1.666666667</v>
      </c>
      <c r="AW70" s="400">
        <f t="shared" si="32"/>
        <v>1.666666667</v>
      </c>
      <c r="AX70" s="400">
        <f t="shared" si="32"/>
        <v>1.666666667</v>
      </c>
      <c r="AY70" s="400">
        <f t="shared" si="32"/>
        <v>2.032520325</v>
      </c>
      <c r="AZ70" s="400">
        <f t="shared" si="32"/>
        <v>2.032520325</v>
      </c>
      <c r="BA70" s="400">
        <f t="shared" si="32"/>
        <v>2.032520325</v>
      </c>
      <c r="BB70" s="400">
        <f t="shared" si="32"/>
        <v>2.032520325</v>
      </c>
      <c r="BC70" s="400">
        <f t="shared" si="32"/>
        <v>2.032520325</v>
      </c>
      <c r="BD70" s="400">
        <f t="shared" si="32"/>
        <v>2.032520325</v>
      </c>
      <c r="BE70" s="400">
        <f t="shared" si="32"/>
        <v>2.032520325</v>
      </c>
      <c r="BF70" s="400">
        <f t="shared" si="32"/>
        <v>2.032520325</v>
      </c>
      <c r="BG70" s="400">
        <f t="shared" si="32"/>
        <v>2.032520325</v>
      </c>
      <c r="BH70" s="400">
        <f t="shared" si="32"/>
        <v>2.032520325</v>
      </c>
      <c r="BI70" s="400">
        <f t="shared" si="32"/>
        <v>2.032520325</v>
      </c>
      <c r="BJ70" s="400">
        <f t="shared" si="32"/>
        <v>2.032520325</v>
      </c>
      <c r="BK70" s="400">
        <f t="shared" si="32"/>
        <v>2.136752137</v>
      </c>
      <c r="BL70" s="400">
        <f t="shared" si="32"/>
        <v>2.136752137</v>
      </c>
      <c r="BM70" s="400">
        <f t="shared" si="32"/>
        <v>2.136752137</v>
      </c>
      <c r="BN70" s="400">
        <f t="shared" si="32"/>
        <v>2.136752137</v>
      </c>
      <c r="BO70" s="400">
        <f t="shared" si="32"/>
        <v>2.136752137</v>
      </c>
      <c r="BP70" s="400">
        <f t="shared" si="32"/>
        <v>2.136752137</v>
      </c>
      <c r="BQ70" s="400">
        <f t="shared" si="32"/>
        <v>2.136752137</v>
      </c>
      <c r="BR70" s="400">
        <f t="shared" si="32"/>
        <v>2.136752137</v>
      </c>
      <c r="BS70" s="400">
        <f t="shared" si="32"/>
        <v>2.136752137</v>
      </c>
      <c r="BT70" s="400">
        <f t="shared" si="32"/>
        <v>2.136752137</v>
      </c>
      <c r="BU70" s="400">
        <f t="shared" si="32"/>
        <v>2.136752137</v>
      </c>
      <c r="BV70" s="400">
        <f t="shared" si="32"/>
        <v>2.136752137</v>
      </c>
      <c r="BW70" s="400">
        <f t="shared" si="32"/>
        <v>2.192982456</v>
      </c>
      <c r="BX70" s="400">
        <f t="shared" si="32"/>
        <v>2.192982456</v>
      </c>
      <c r="BY70" s="400">
        <f t="shared" si="32"/>
        <v>2.192982456</v>
      </c>
      <c r="BZ70" s="400">
        <f t="shared" si="32"/>
        <v>2.192982456</v>
      </c>
      <c r="CA70" s="400">
        <f t="shared" si="32"/>
        <v>2.192982456</v>
      </c>
      <c r="CB70" s="400">
        <f t="shared" si="32"/>
        <v>2.192982456</v>
      </c>
      <c r="CC70" s="400">
        <f t="shared" si="32"/>
        <v>2.192982456</v>
      </c>
      <c r="CD70" s="400">
        <f t="shared" si="32"/>
        <v>2.192982456</v>
      </c>
      <c r="CE70" s="400">
        <f t="shared" si="32"/>
        <v>2.192982456</v>
      </c>
      <c r="CF70" s="400">
        <f t="shared" si="32"/>
        <v>2.192982456</v>
      </c>
      <c r="CG70" s="400">
        <f t="shared" si="32"/>
        <v>2.192982456</v>
      </c>
      <c r="CH70" s="400">
        <f t="shared" si="32"/>
        <v>2.192982456</v>
      </c>
      <c r="CI70" s="1"/>
      <c r="CJ70" s="1"/>
      <c r="CK70" s="1"/>
      <c r="CL70" s="1"/>
      <c r="CM70" s="1"/>
      <c r="CN70" s="1"/>
      <c r="CO70" s="1"/>
      <c r="CP70" s="1"/>
    </row>
    <row r="71" ht="15.75" customHeight="1">
      <c r="A71" s="1" t="s">
        <v>130</v>
      </c>
      <c r="B71" s="356"/>
      <c r="C71" s="400">
        <f t="shared" ref="C71:CH71" si="33">1/(C63*12)</f>
        <v>1.388888889</v>
      </c>
      <c r="D71" s="400">
        <f t="shared" si="33"/>
        <v>1.388888889</v>
      </c>
      <c r="E71" s="400">
        <f t="shared" si="33"/>
        <v>1.388888889</v>
      </c>
      <c r="F71" s="400">
        <f t="shared" si="33"/>
        <v>1.388888889</v>
      </c>
      <c r="G71" s="400">
        <f t="shared" si="33"/>
        <v>1.388888889</v>
      </c>
      <c r="H71" s="400">
        <f t="shared" si="33"/>
        <v>1.388888889</v>
      </c>
      <c r="I71" s="400">
        <f t="shared" si="33"/>
        <v>1.388888889</v>
      </c>
      <c r="J71" s="400">
        <f t="shared" si="33"/>
        <v>1.388888889</v>
      </c>
      <c r="K71" s="400">
        <f t="shared" si="33"/>
        <v>1.388888889</v>
      </c>
      <c r="L71" s="400">
        <f t="shared" si="33"/>
        <v>1.388888889</v>
      </c>
      <c r="M71" s="400">
        <f t="shared" si="33"/>
        <v>1.388888889</v>
      </c>
      <c r="N71" s="400">
        <f t="shared" si="33"/>
        <v>1.388888889</v>
      </c>
      <c r="O71" s="400">
        <f t="shared" si="33"/>
        <v>1.388888889</v>
      </c>
      <c r="P71" s="400">
        <f t="shared" si="33"/>
        <v>1.388888889</v>
      </c>
      <c r="Q71" s="400">
        <f t="shared" si="33"/>
        <v>1.388888889</v>
      </c>
      <c r="R71" s="400">
        <f t="shared" si="33"/>
        <v>1.388888889</v>
      </c>
      <c r="S71" s="400">
        <f t="shared" si="33"/>
        <v>1.388888889</v>
      </c>
      <c r="T71" s="400">
        <f t="shared" si="33"/>
        <v>1.388888889</v>
      </c>
      <c r="U71" s="400">
        <f t="shared" si="33"/>
        <v>1.388888889</v>
      </c>
      <c r="V71" s="400">
        <f t="shared" si="33"/>
        <v>1.388888889</v>
      </c>
      <c r="W71" s="400">
        <f t="shared" si="33"/>
        <v>1.388888889</v>
      </c>
      <c r="X71" s="400">
        <f t="shared" si="33"/>
        <v>1.388888889</v>
      </c>
      <c r="Y71" s="400">
        <f t="shared" si="33"/>
        <v>1.388888889</v>
      </c>
      <c r="Z71" s="400">
        <f t="shared" si="33"/>
        <v>1.126126126</v>
      </c>
      <c r="AA71" s="400">
        <f t="shared" si="33"/>
        <v>1.126126126</v>
      </c>
      <c r="AB71" s="400">
        <f t="shared" si="33"/>
        <v>1.168770453</v>
      </c>
      <c r="AC71" s="400">
        <f t="shared" si="33"/>
        <v>1.214771623</v>
      </c>
      <c r="AD71" s="400">
        <f t="shared" si="33"/>
        <v>1.264542236</v>
      </c>
      <c r="AE71" s="400">
        <f t="shared" si="33"/>
        <v>1.318565401</v>
      </c>
      <c r="AF71" s="400">
        <f t="shared" si="33"/>
        <v>1.377410468</v>
      </c>
      <c r="AG71" s="400">
        <f t="shared" si="33"/>
        <v>1.633986928</v>
      </c>
      <c r="AH71" s="400">
        <f t="shared" si="33"/>
        <v>1.633986928</v>
      </c>
      <c r="AI71" s="400">
        <f t="shared" si="33"/>
        <v>1.633986928</v>
      </c>
      <c r="AJ71" s="400">
        <f t="shared" si="33"/>
        <v>1.633986928</v>
      </c>
      <c r="AK71" s="400">
        <f t="shared" si="33"/>
        <v>1.666666667</v>
      </c>
      <c r="AL71" s="400">
        <f t="shared" si="33"/>
        <v>1.666666667</v>
      </c>
      <c r="AM71" s="400">
        <f t="shared" si="33"/>
        <v>1.666666667</v>
      </c>
      <c r="AN71" s="400">
        <f t="shared" si="33"/>
        <v>1.666666667</v>
      </c>
      <c r="AO71" s="400">
        <f t="shared" si="33"/>
        <v>1.666666667</v>
      </c>
      <c r="AP71" s="400">
        <f t="shared" si="33"/>
        <v>1.666666667</v>
      </c>
      <c r="AQ71" s="400">
        <f t="shared" si="33"/>
        <v>1.666666667</v>
      </c>
      <c r="AR71" s="400">
        <f t="shared" si="33"/>
        <v>1.666666667</v>
      </c>
      <c r="AS71" s="400">
        <f t="shared" si="33"/>
        <v>1.666666667</v>
      </c>
      <c r="AT71" s="400">
        <f t="shared" si="33"/>
        <v>1.666666667</v>
      </c>
      <c r="AU71" s="400">
        <f t="shared" si="33"/>
        <v>1.666666667</v>
      </c>
      <c r="AV71" s="400">
        <f t="shared" si="33"/>
        <v>1.666666667</v>
      </c>
      <c r="AW71" s="400">
        <f t="shared" si="33"/>
        <v>1.666666667</v>
      </c>
      <c r="AX71" s="400">
        <f t="shared" si="33"/>
        <v>1.666666667</v>
      </c>
      <c r="AY71" s="400">
        <f t="shared" si="33"/>
        <v>2.032520325</v>
      </c>
      <c r="AZ71" s="400">
        <f t="shared" si="33"/>
        <v>2.032520325</v>
      </c>
      <c r="BA71" s="400">
        <f t="shared" si="33"/>
        <v>2.032520325</v>
      </c>
      <c r="BB71" s="400">
        <f t="shared" si="33"/>
        <v>2.032520325</v>
      </c>
      <c r="BC71" s="400">
        <f t="shared" si="33"/>
        <v>2.032520325</v>
      </c>
      <c r="BD71" s="400">
        <f t="shared" si="33"/>
        <v>2.032520325</v>
      </c>
      <c r="BE71" s="400">
        <f t="shared" si="33"/>
        <v>2.032520325</v>
      </c>
      <c r="BF71" s="400">
        <f t="shared" si="33"/>
        <v>2.032520325</v>
      </c>
      <c r="BG71" s="400">
        <f t="shared" si="33"/>
        <v>2.032520325</v>
      </c>
      <c r="BH71" s="400">
        <f t="shared" si="33"/>
        <v>2.032520325</v>
      </c>
      <c r="BI71" s="400">
        <f t="shared" si="33"/>
        <v>2.032520325</v>
      </c>
      <c r="BJ71" s="400">
        <f t="shared" si="33"/>
        <v>2.032520325</v>
      </c>
      <c r="BK71" s="400">
        <f t="shared" si="33"/>
        <v>2.136752137</v>
      </c>
      <c r="BL71" s="400">
        <f t="shared" si="33"/>
        <v>2.136752137</v>
      </c>
      <c r="BM71" s="400">
        <f t="shared" si="33"/>
        <v>2.136752137</v>
      </c>
      <c r="BN71" s="400">
        <f t="shared" si="33"/>
        <v>2.136752137</v>
      </c>
      <c r="BO71" s="400">
        <f t="shared" si="33"/>
        <v>2.136752137</v>
      </c>
      <c r="BP71" s="400">
        <f t="shared" si="33"/>
        <v>2.136752137</v>
      </c>
      <c r="BQ71" s="400">
        <f t="shared" si="33"/>
        <v>2.136752137</v>
      </c>
      <c r="BR71" s="400">
        <f t="shared" si="33"/>
        <v>2.136752137</v>
      </c>
      <c r="BS71" s="400">
        <f t="shared" si="33"/>
        <v>2.136752137</v>
      </c>
      <c r="BT71" s="400">
        <f t="shared" si="33"/>
        <v>2.136752137</v>
      </c>
      <c r="BU71" s="400">
        <f t="shared" si="33"/>
        <v>2.136752137</v>
      </c>
      <c r="BV71" s="400">
        <f t="shared" si="33"/>
        <v>2.136752137</v>
      </c>
      <c r="BW71" s="400">
        <f t="shared" si="33"/>
        <v>2.192982456</v>
      </c>
      <c r="BX71" s="400">
        <f t="shared" si="33"/>
        <v>2.192982456</v>
      </c>
      <c r="BY71" s="400">
        <f t="shared" si="33"/>
        <v>2.192982456</v>
      </c>
      <c r="BZ71" s="400">
        <f t="shared" si="33"/>
        <v>2.192982456</v>
      </c>
      <c r="CA71" s="400">
        <f t="shared" si="33"/>
        <v>2.192982456</v>
      </c>
      <c r="CB71" s="400">
        <f t="shared" si="33"/>
        <v>2.192982456</v>
      </c>
      <c r="CC71" s="400">
        <f t="shared" si="33"/>
        <v>2.192982456</v>
      </c>
      <c r="CD71" s="400">
        <f t="shared" si="33"/>
        <v>2.192982456</v>
      </c>
      <c r="CE71" s="400">
        <f t="shared" si="33"/>
        <v>2.192982456</v>
      </c>
      <c r="CF71" s="400">
        <f t="shared" si="33"/>
        <v>2.192982456</v>
      </c>
      <c r="CG71" s="400">
        <f t="shared" si="33"/>
        <v>2.192982456</v>
      </c>
      <c r="CH71" s="400">
        <f t="shared" si="33"/>
        <v>2.192982456</v>
      </c>
      <c r="CI71" s="1"/>
      <c r="CJ71" s="1"/>
      <c r="CK71" s="1"/>
      <c r="CL71" s="1"/>
      <c r="CM71" s="1"/>
      <c r="CN71" s="1"/>
      <c r="CO71" s="1"/>
      <c r="CP71" s="1"/>
    </row>
    <row r="72" ht="15.75" customHeight="1">
      <c r="A72" s="1" t="s">
        <v>89</v>
      </c>
      <c r="B72" s="356"/>
      <c r="C72" s="400">
        <f t="shared" ref="C72:CH72" si="34">1/(C64*12)</f>
        <v>1.388888889</v>
      </c>
      <c r="D72" s="400">
        <f t="shared" si="34"/>
        <v>1.388888889</v>
      </c>
      <c r="E72" s="400">
        <f t="shared" si="34"/>
        <v>1.388888889</v>
      </c>
      <c r="F72" s="400">
        <f t="shared" si="34"/>
        <v>1.388888889</v>
      </c>
      <c r="G72" s="400">
        <f t="shared" si="34"/>
        <v>1.388888889</v>
      </c>
      <c r="H72" s="400">
        <f t="shared" si="34"/>
        <v>1.388888889</v>
      </c>
      <c r="I72" s="400">
        <f t="shared" si="34"/>
        <v>1.388888889</v>
      </c>
      <c r="J72" s="400">
        <f t="shared" si="34"/>
        <v>1.388888889</v>
      </c>
      <c r="K72" s="400">
        <f t="shared" si="34"/>
        <v>1.388888889</v>
      </c>
      <c r="L72" s="400">
        <f t="shared" si="34"/>
        <v>1.388888889</v>
      </c>
      <c r="M72" s="400">
        <f t="shared" si="34"/>
        <v>1.388888889</v>
      </c>
      <c r="N72" s="400">
        <f t="shared" si="34"/>
        <v>1.388888889</v>
      </c>
      <c r="O72" s="400">
        <f t="shared" si="34"/>
        <v>1.388888889</v>
      </c>
      <c r="P72" s="400">
        <f t="shared" si="34"/>
        <v>1.388888889</v>
      </c>
      <c r="Q72" s="400">
        <f t="shared" si="34"/>
        <v>1.388888889</v>
      </c>
      <c r="R72" s="400">
        <f t="shared" si="34"/>
        <v>1.388888889</v>
      </c>
      <c r="S72" s="400">
        <f t="shared" si="34"/>
        <v>1.388888889</v>
      </c>
      <c r="T72" s="400">
        <f t="shared" si="34"/>
        <v>1.388888889</v>
      </c>
      <c r="U72" s="400">
        <f t="shared" si="34"/>
        <v>1.388888889</v>
      </c>
      <c r="V72" s="400">
        <f t="shared" si="34"/>
        <v>1.388888889</v>
      </c>
      <c r="W72" s="400">
        <f t="shared" si="34"/>
        <v>1.388888889</v>
      </c>
      <c r="X72" s="400">
        <f t="shared" si="34"/>
        <v>1.388888889</v>
      </c>
      <c r="Y72" s="400">
        <f t="shared" si="34"/>
        <v>1.388888889</v>
      </c>
      <c r="Z72" s="400">
        <f t="shared" si="34"/>
        <v>0.2380952381</v>
      </c>
      <c r="AA72" s="400">
        <f t="shared" si="34"/>
        <v>0.2525252525</v>
      </c>
      <c r="AB72" s="400">
        <f t="shared" si="34"/>
        <v>0.2525252525</v>
      </c>
      <c r="AC72" s="400">
        <f t="shared" si="34"/>
        <v>0.2525252525</v>
      </c>
      <c r="AD72" s="400">
        <f t="shared" si="34"/>
        <v>0.2525252525</v>
      </c>
      <c r="AE72" s="400">
        <f t="shared" si="34"/>
        <v>0.2688172043</v>
      </c>
      <c r="AF72" s="400">
        <f t="shared" si="34"/>
        <v>0.2604166667</v>
      </c>
      <c r="AG72" s="400">
        <f t="shared" si="34"/>
        <v>0.2604166667</v>
      </c>
      <c r="AH72" s="400">
        <f t="shared" si="34"/>
        <v>0.2525252525</v>
      </c>
      <c r="AI72" s="400">
        <f t="shared" si="34"/>
        <v>0.2380952381</v>
      </c>
      <c r="AJ72" s="400">
        <f t="shared" si="34"/>
        <v>0.2525252525</v>
      </c>
      <c r="AK72" s="400">
        <f t="shared" si="34"/>
        <v>0.2525252525</v>
      </c>
      <c r="AL72" s="400">
        <f t="shared" si="34"/>
        <v>0.2525252525</v>
      </c>
      <c r="AM72" s="400">
        <f t="shared" si="34"/>
        <v>0.2955082742</v>
      </c>
      <c r="AN72" s="400">
        <f t="shared" si="34"/>
        <v>0.2955082742</v>
      </c>
      <c r="AO72" s="400">
        <f t="shared" si="34"/>
        <v>0.2955082742</v>
      </c>
      <c r="AP72" s="400">
        <f t="shared" si="34"/>
        <v>0.2955082742</v>
      </c>
      <c r="AQ72" s="400">
        <f t="shared" si="34"/>
        <v>0.2955082742</v>
      </c>
      <c r="AR72" s="400">
        <f t="shared" si="34"/>
        <v>0.2955082742</v>
      </c>
      <c r="AS72" s="400">
        <f t="shared" si="34"/>
        <v>0.2955082742</v>
      </c>
      <c r="AT72" s="400">
        <f t="shared" si="34"/>
        <v>0.2955082742</v>
      </c>
      <c r="AU72" s="400">
        <f t="shared" si="34"/>
        <v>0.2955082742</v>
      </c>
      <c r="AV72" s="400">
        <f t="shared" si="34"/>
        <v>0.2955082742</v>
      </c>
      <c r="AW72" s="400">
        <f t="shared" si="34"/>
        <v>0.2955082742</v>
      </c>
      <c r="AX72" s="400">
        <f t="shared" si="34"/>
        <v>0.2955082742</v>
      </c>
      <c r="AY72" s="400">
        <f t="shared" si="34"/>
        <v>0.3205128205</v>
      </c>
      <c r="AZ72" s="400">
        <f t="shared" si="34"/>
        <v>0.3205128205</v>
      </c>
      <c r="BA72" s="400">
        <f t="shared" si="34"/>
        <v>0.3205128205</v>
      </c>
      <c r="BB72" s="400">
        <f t="shared" si="34"/>
        <v>0.3205128205</v>
      </c>
      <c r="BC72" s="400">
        <f t="shared" si="34"/>
        <v>0.3205128205</v>
      </c>
      <c r="BD72" s="400">
        <f t="shared" si="34"/>
        <v>0.3205128205</v>
      </c>
      <c r="BE72" s="400">
        <f t="shared" si="34"/>
        <v>0.3205128205</v>
      </c>
      <c r="BF72" s="400">
        <f t="shared" si="34"/>
        <v>0.3205128205</v>
      </c>
      <c r="BG72" s="400">
        <f t="shared" si="34"/>
        <v>0.3205128205</v>
      </c>
      <c r="BH72" s="400">
        <f t="shared" si="34"/>
        <v>0.3205128205</v>
      </c>
      <c r="BI72" s="400">
        <f t="shared" si="34"/>
        <v>0.3205128205</v>
      </c>
      <c r="BJ72" s="400">
        <f t="shared" si="34"/>
        <v>0.3205128205</v>
      </c>
      <c r="BK72" s="400">
        <f t="shared" si="34"/>
        <v>0.3205128205</v>
      </c>
      <c r="BL72" s="400">
        <f t="shared" si="34"/>
        <v>0.3205128205</v>
      </c>
      <c r="BM72" s="400">
        <f t="shared" si="34"/>
        <v>0.3205128205</v>
      </c>
      <c r="BN72" s="400">
        <f t="shared" si="34"/>
        <v>0.3205128205</v>
      </c>
      <c r="BO72" s="400">
        <f t="shared" si="34"/>
        <v>0.3205128205</v>
      </c>
      <c r="BP72" s="400">
        <f t="shared" si="34"/>
        <v>0.3205128205</v>
      </c>
      <c r="BQ72" s="400">
        <f t="shared" si="34"/>
        <v>0.3205128205</v>
      </c>
      <c r="BR72" s="400">
        <f t="shared" si="34"/>
        <v>0.3205128205</v>
      </c>
      <c r="BS72" s="400">
        <f t="shared" si="34"/>
        <v>0.3205128205</v>
      </c>
      <c r="BT72" s="400">
        <f t="shared" si="34"/>
        <v>0.3205128205</v>
      </c>
      <c r="BU72" s="400">
        <f t="shared" si="34"/>
        <v>0.3205128205</v>
      </c>
      <c r="BV72" s="400">
        <f t="shared" si="34"/>
        <v>0.3205128205</v>
      </c>
      <c r="BW72" s="400">
        <f t="shared" si="34"/>
        <v>0.3205128205</v>
      </c>
      <c r="BX72" s="400">
        <f t="shared" si="34"/>
        <v>0.3205128205</v>
      </c>
      <c r="BY72" s="400">
        <f t="shared" si="34"/>
        <v>0.3205128205</v>
      </c>
      <c r="BZ72" s="400">
        <f t="shared" si="34"/>
        <v>0.3205128205</v>
      </c>
      <c r="CA72" s="400">
        <f t="shared" si="34"/>
        <v>0.3205128205</v>
      </c>
      <c r="CB72" s="400">
        <f t="shared" si="34"/>
        <v>0.3205128205</v>
      </c>
      <c r="CC72" s="400">
        <f t="shared" si="34"/>
        <v>0.3205128205</v>
      </c>
      <c r="CD72" s="400">
        <f t="shared" si="34"/>
        <v>0.3205128205</v>
      </c>
      <c r="CE72" s="400">
        <f t="shared" si="34"/>
        <v>0.3205128205</v>
      </c>
      <c r="CF72" s="400">
        <f t="shared" si="34"/>
        <v>0.3205128205</v>
      </c>
      <c r="CG72" s="400">
        <f t="shared" si="34"/>
        <v>0.3205128205</v>
      </c>
      <c r="CH72" s="400">
        <f t="shared" si="34"/>
        <v>0.3205128205</v>
      </c>
      <c r="CI72" s="1"/>
      <c r="CJ72" s="1"/>
      <c r="CK72" s="1"/>
      <c r="CL72" s="1"/>
      <c r="CM72" s="1"/>
      <c r="CN72" s="1"/>
      <c r="CO72" s="1"/>
      <c r="CP72" s="1"/>
    </row>
    <row r="73" ht="15.75" customHeight="1">
      <c r="A73" s="1" t="s">
        <v>94</v>
      </c>
      <c r="B73" s="356"/>
      <c r="C73" s="400">
        <f t="shared" ref="C73:CH73" si="35">1/(C65*12)</f>
        <v>1.388888889</v>
      </c>
      <c r="D73" s="400">
        <f t="shared" si="35"/>
        <v>1.388888889</v>
      </c>
      <c r="E73" s="400">
        <f t="shared" si="35"/>
        <v>1.388888889</v>
      </c>
      <c r="F73" s="400">
        <f t="shared" si="35"/>
        <v>1.388888889</v>
      </c>
      <c r="G73" s="400">
        <f t="shared" si="35"/>
        <v>1.388888889</v>
      </c>
      <c r="H73" s="400">
        <f t="shared" si="35"/>
        <v>1.388888889</v>
      </c>
      <c r="I73" s="400">
        <f t="shared" si="35"/>
        <v>1.388888889</v>
      </c>
      <c r="J73" s="400">
        <f t="shared" si="35"/>
        <v>1.388888889</v>
      </c>
      <c r="K73" s="400">
        <f t="shared" si="35"/>
        <v>1.388888889</v>
      </c>
      <c r="L73" s="400">
        <f t="shared" si="35"/>
        <v>1.388888889</v>
      </c>
      <c r="M73" s="400">
        <f t="shared" si="35"/>
        <v>1.388888889</v>
      </c>
      <c r="N73" s="400">
        <f t="shared" si="35"/>
        <v>1.388888889</v>
      </c>
      <c r="O73" s="400">
        <f t="shared" si="35"/>
        <v>1.388888889</v>
      </c>
      <c r="P73" s="400">
        <f t="shared" si="35"/>
        <v>1.388888889</v>
      </c>
      <c r="Q73" s="400">
        <f t="shared" si="35"/>
        <v>1.388888889</v>
      </c>
      <c r="R73" s="400">
        <f t="shared" si="35"/>
        <v>1.388888889</v>
      </c>
      <c r="S73" s="400">
        <f t="shared" si="35"/>
        <v>1.388888889</v>
      </c>
      <c r="T73" s="400">
        <f t="shared" si="35"/>
        <v>1.388888889</v>
      </c>
      <c r="U73" s="400">
        <f t="shared" si="35"/>
        <v>1.388888889</v>
      </c>
      <c r="V73" s="400">
        <f t="shared" si="35"/>
        <v>1.388888889</v>
      </c>
      <c r="W73" s="400">
        <f t="shared" si="35"/>
        <v>1.388888889</v>
      </c>
      <c r="X73" s="400">
        <f t="shared" si="35"/>
        <v>1.388888889</v>
      </c>
      <c r="Y73" s="400">
        <f t="shared" si="35"/>
        <v>1.388888889</v>
      </c>
      <c r="Z73" s="400">
        <f t="shared" si="35"/>
        <v>0.3205128205</v>
      </c>
      <c r="AA73" s="400">
        <f t="shared" si="35"/>
        <v>0.3205128205</v>
      </c>
      <c r="AB73" s="400">
        <f t="shared" si="35"/>
        <v>0.3205128205</v>
      </c>
      <c r="AC73" s="400">
        <f t="shared" si="35"/>
        <v>0.3205128205</v>
      </c>
      <c r="AD73" s="400">
        <f t="shared" si="35"/>
        <v>0.3205128205</v>
      </c>
      <c r="AE73" s="400">
        <f t="shared" si="35"/>
        <v>0.3205128205</v>
      </c>
      <c r="AF73" s="400">
        <f t="shared" si="35"/>
        <v>0.3205128205</v>
      </c>
      <c r="AG73" s="400">
        <f t="shared" si="35"/>
        <v>0.3205128205</v>
      </c>
      <c r="AH73" s="400">
        <f t="shared" si="35"/>
        <v>0.3205128205</v>
      </c>
      <c r="AI73" s="400">
        <f t="shared" si="35"/>
        <v>0.3205128205</v>
      </c>
      <c r="AJ73" s="400">
        <f t="shared" si="35"/>
        <v>0.3205128205</v>
      </c>
      <c r="AK73" s="400">
        <f t="shared" si="35"/>
        <v>0.3205128205</v>
      </c>
      <c r="AL73" s="400">
        <f t="shared" si="35"/>
        <v>0.3205128205</v>
      </c>
      <c r="AM73" s="400">
        <f t="shared" si="35"/>
        <v>0.3293807642</v>
      </c>
      <c r="AN73" s="400">
        <f t="shared" si="35"/>
        <v>0.3293807642</v>
      </c>
      <c r="AO73" s="400">
        <f t="shared" si="35"/>
        <v>0.3293807642</v>
      </c>
      <c r="AP73" s="400">
        <f t="shared" si="35"/>
        <v>0.3293807642</v>
      </c>
      <c r="AQ73" s="400">
        <f t="shared" si="35"/>
        <v>0.3293807642</v>
      </c>
      <c r="AR73" s="400">
        <f t="shared" si="35"/>
        <v>0.3293807642</v>
      </c>
      <c r="AS73" s="400">
        <f t="shared" si="35"/>
        <v>0.3293807642</v>
      </c>
      <c r="AT73" s="400">
        <f t="shared" si="35"/>
        <v>0.3293807642</v>
      </c>
      <c r="AU73" s="400">
        <f t="shared" si="35"/>
        <v>0.3293807642</v>
      </c>
      <c r="AV73" s="400">
        <f t="shared" si="35"/>
        <v>0.3293807642</v>
      </c>
      <c r="AW73" s="400">
        <f t="shared" si="35"/>
        <v>0.3293807642</v>
      </c>
      <c r="AX73" s="400">
        <f t="shared" si="35"/>
        <v>0.3293807642</v>
      </c>
      <c r="AY73" s="400">
        <f t="shared" si="35"/>
        <v>0.3293807642</v>
      </c>
      <c r="AZ73" s="400">
        <f t="shared" si="35"/>
        <v>0.3293807642</v>
      </c>
      <c r="BA73" s="400">
        <f t="shared" si="35"/>
        <v>0.3293807642</v>
      </c>
      <c r="BB73" s="400">
        <f t="shared" si="35"/>
        <v>0.3293807642</v>
      </c>
      <c r="BC73" s="400">
        <f t="shared" si="35"/>
        <v>0.3293807642</v>
      </c>
      <c r="BD73" s="400">
        <f t="shared" si="35"/>
        <v>0.3293807642</v>
      </c>
      <c r="BE73" s="400">
        <f t="shared" si="35"/>
        <v>0.3293807642</v>
      </c>
      <c r="BF73" s="400">
        <f t="shared" si="35"/>
        <v>0.3293807642</v>
      </c>
      <c r="BG73" s="400">
        <f t="shared" si="35"/>
        <v>0.3293807642</v>
      </c>
      <c r="BH73" s="400">
        <f t="shared" si="35"/>
        <v>0.3293807642</v>
      </c>
      <c r="BI73" s="400">
        <f t="shared" si="35"/>
        <v>0.3293807642</v>
      </c>
      <c r="BJ73" s="400">
        <f t="shared" si="35"/>
        <v>0.3293807642</v>
      </c>
      <c r="BK73" s="400">
        <f t="shared" si="35"/>
        <v>0.3293807642</v>
      </c>
      <c r="BL73" s="400">
        <f t="shared" si="35"/>
        <v>0.3293807642</v>
      </c>
      <c r="BM73" s="400">
        <f t="shared" si="35"/>
        <v>0.3293807642</v>
      </c>
      <c r="BN73" s="400">
        <f t="shared" si="35"/>
        <v>0.3293807642</v>
      </c>
      <c r="BO73" s="400">
        <f t="shared" si="35"/>
        <v>0.3293807642</v>
      </c>
      <c r="BP73" s="400">
        <f t="shared" si="35"/>
        <v>0.3293807642</v>
      </c>
      <c r="BQ73" s="400">
        <f t="shared" si="35"/>
        <v>0.3293807642</v>
      </c>
      <c r="BR73" s="400">
        <f t="shared" si="35"/>
        <v>0.3293807642</v>
      </c>
      <c r="BS73" s="400">
        <f t="shared" si="35"/>
        <v>0.3293807642</v>
      </c>
      <c r="BT73" s="400">
        <f t="shared" si="35"/>
        <v>0.3293807642</v>
      </c>
      <c r="BU73" s="400">
        <f t="shared" si="35"/>
        <v>0.3293807642</v>
      </c>
      <c r="BV73" s="400">
        <f t="shared" si="35"/>
        <v>0.3293807642</v>
      </c>
      <c r="BW73" s="400">
        <f t="shared" si="35"/>
        <v>0.3293807642</v>
      </c>
      <c r="BX73" s="400">
        <f t="shared" si="35"/>
        <v>0.3293807642</v>
      </c>
      <c r="BY73" s="400">
        <f t="shared" si="35"/>
        <v>0.3293807642</v>
      </c>
      <c r="BZ73" s="400">
        <f t="shared" si="35"/>
        <v>0.3293807642</v>
      </c>
      <c r="CA73" s="400">
        <f t="shared" si="35"/>
        <v>0.3293807642</v>
      </c>
      <c r="CB73" s="400">
        <f t="shared" si="35"/>
        <v>0.3293807642</v>
      </c>
      <c r="CC73" s="400">
        <f t="shared" si="35"/>
        <v>0.3293807642</v>
      </c>
      <c r="CD73" s="400">
        <f t="shared" si="35"/>
        <v>0.3293807642</v>
      </c>
      <c r="CE73" s="400">
        <f t="shared" si="35"/>
        <v>0.3293807642</v>
      </c>
      <c r="CF73" s="400">
        <f t="shared" si="35"/>
        <v>0.3293807642</v>
      </c>
      <c r="CG73" s="400">
        <f t="shared" si="35"/>
        <v>0.3293807642</v>
      </c>
      <c r="CH73" s="400">
        <f t="shared" si="35"/>
        <v>0.3293807642</v>
      </c>
      <c r="CI73" s="1"/>
      <c r="CJ73" s="1"/>
      <c r="CK73" s="1"/>
      <c r="CL73" s="1"/>
      <c r="CM73" s="1"/>
      <c r="CN73" s="1"/>
      <c r="CO73" s="1"/>
      <c r="CP73" s="1"/>
    </row>
    <row r="74" ht="15.75" customHeight="1">
      <c r="A74" s="1" t="s">
        <v>96</v>
      </c>
      <c r="B74" s="356"/>
      <c r="C74" s="400">
        <f t="shared" ref="C74:CH74" si="36">1/(C66*12)</f>
        <v>0.1666666667</v>
      </c>
      <c r="D74" s="400">
        <f t="shared" si="36"/>
        <v>0.1666666667</v>
      </c>
      <c r="E74" s="400">
        <f t="shared" si="36"/>
        <v>0.1666666667</v>
      </c>
      <c r="F74" s="400">
        <f t="shared" si="36"/>
        <v>0.1666666667</v>
      </c>
      <c r="G74" s="400">
        <f t="shared" si="36"/>
        <v>0.1666666667</v>
      </c>
      <c r="H74" s="400">
        <f t="shared" si="36"/>
        <v>0.1666666667</v>
      </c>
      <c r="I74" s="400">
        <f t="shared" si="36"/>
        <v>0.1666666667</v>
      </c>
      <c r="J74" s="400">
        <f t="shared" si="36"/>
        <v>0.1666666667</v>
      </c>
      <c r="K74" s="400">
        <f t="shared" si="36"/>
        <v>0.1666666667</v>
      </c>
      <c r="L74" s="400">
        <f t="shared" si="36"/>
        <v>0.1666666667</v>
      </c>
      <c r="M74" s="400">
        <f t="shared" si="36"/>
        <v>0.1666666667</v>
      </c>
      <c r="N74" s="400">
        <f t="shared" si="36"/>
        <v>0.1666666667</v>
      </c>
      <c r="O74" s="400">
        <f t="shared" si="36"/>
        <v>0.1666666667</v>
      </c>
      <c r="P74" s="400">
        <f t="shared" si="36"/>
        <v>0.1666666667</v>
      </c>
      <c r="Q74" s="400">
        <f t="shared" si="36"/>
        <v>0.1666666667</v>
      </c>
      <c r="R74" s="400">
        <f t="shared" si="36"/>
        <v>0.1666666667</v>
      </c>
      <c r="S74" s="400">
        <f t="shared" si="36"/>
        <v>0.1666666667</v>
      </c>
      <c r="T74" s="400">
        <f t="shared" si="36"/>
        <v>0.1666666667</v>
      </c>
      <c r="U74" s="400">
        <f t="shared" si="36"/>
        <v>0.1666666667</v>
      </c>
      <c r="V74" s="400">
        <f t="shared" si="36"/>
        <v>0.1666666667</v>
      </c>
      <c r="W74" s="400">
        <f t="shared" si="36"/>
        <v>0.1666666667</v>
      </c>
      <c r="X74" s="400">
        <f t="shared" si="36"/>
        <v>0.1666666667</v>
      </c>
      <c r="Y74" s="400">
        <f t="shared" si="36"/>
        <v>0.1666666667</v>
      </c>
      <c r="Z74" s="400">
        <f t="shared" si="36"/>
        <v>0.1666666667</v>
      </c>
      <c r="AA74" s="400">
        <f t="shared" si="36"/>
        <v>0.1666666667</v>
      </c>
      <c r="AB74" s="400">
        <f t="shared" si="36"/>
        <v>0.1666666667</v>
      </c>
      <c r="AC74" s="400">
        <f t="shared" si="36"/>
        <v>0.1666666667</v>
      </c>
      <c r="AD74" s="400">
        <f t="shared" si="36"/>
        <v>0.1666666667</v>
      </c>
      <c r="AE74" s="400">
        <f t="shared" si="36"/>
        <v>0.1666666667</v>
      </c>
      <c r="AF74" s="400">
        <f t="shared" si="36"/>
        <v>0.1666666667</v>
      </c>
      <c r="AG74" s="400">
        <f t="shared" si="36"/>
        <v>0.1666666667</v>
      </c>
      <c r="AH74" s="400">
        <f t="shared" si="36"/>
        <v>0.1666666667</v>
      </c>
      <c r="AI74" s="400">
        <f t="shared" si="36"/>
        <v>0.1666666667</v>
      </c>
      <c r="AJ74" s="400">
        <f t="shared" si="36"/>
        <v>0.1666666667</v>
      </c>
      <c r="AK74" s="400">
        <f t="shared" si="36"/>
        <v>0.1666666667</v>
      </c>
      <c r="AL74" s="400">
        <f t="shared" si="36"/>
        <v>0.1666666667</v>
      </c>
      <c r="AM74" s="400">
        <f t="shared" si="36"/>
        <v>0.1666666667</v>
      </c>
      <c r="AN74" s="400">
        <f t="shared" si="36"/>
        <v>0.1666666667</v>
      </c>
      <c r="AO74" s="400">
        <f t="shared" si="36"/>
        <v>0.1666666667</v>
      </c>
      <c r="AP74" s="400">
        <f t="shared" si="36"/>
        <v>0.1666666667</v>
      </c>
      <c r="AQ74" s="400">
        <f t="shared" si="36"/>
        <v>0.1666666667</v>
      </c>
      <c r="AR74" s="400">
        <f t="shared" si="36"/>
        <v>0.1666666667</v>
      </c>
      <c r="AS74" s="400">
        <f t="shared" si="36"/>
        <v>0.1666666667</v>
      </c>
      <c r="AT74" s="400">
        <f t="shared" si="36"/>
        <v>0.1666666667</v>
      </c>
      <c r="AU74" s="400">
        <f t="shared" si="36"/>
        <v>0.1666666667</v>
      </c>
      <c r="AV74" s="400">
        <f t="shared" si="36"/>
        <v>0.1666666667</v>
      </c>
      <c r="AW74" s="400">
        <f t="shared" si="36"/>
        <v>0.1666666667</v>
      </c>
      <c r="AX74" s="400">
        <f t="shared" si="36"/>
        <v>0.1666666667</v>
      </c>
      <c r="AY74" s="400">
        <f t="shared" si="36"/>
        <v>0.1666666667</v>
      </c>
      <c r="AZ74" s="400">
        <f t="shared" si="36"/>
        <v>0.1666666667</v>
      </c>
      <c r="BA74" s="400">
        <f t="shared" si="36"/>
        <v>0.1666666667</v>
      </c>
      <c r="BB74" s="400">
        <f t="shared" si="36"/>
        <v>0.1666666667</v>
      </c>
      <c r="BC74" s="400">
        <f t="shared" si="36"/>
        <v>0.1666666667</v>
      </c>
      <c r="BD74" s="400">
        <f t="shared" si="36"/>
        <v>0.1666666667</v>
      </c>
      <c r="BE74" s="400">
        <f t="shared" si="36"/>
        <v>0.1666666667</v>
      </c>
      <c r="BF74" s="400">
        <f t="shared" si="36"/>
        <v>0.1666666667</v>
      </c>
      <c r="BG74" s="400">
        <f t="shared" si="36"/>
        <v>0.1666666667</v>
      </c>
      <c r="BH74" s="400">
        <f t="shared" si="36"/>
        <v>0.1666666667</v>
      </c>
      <c r="BI74" s="400">
        <f t="shared" si="36"/>
        <v>0.1666666667</v>
      </c>
      <c r="BJ74" s="400">
        <f t="shared" si="36"/>
        <v>0.1666666667</v>
      </c>
      <c r="BK74" s="400">
        <f t="shared" si="36"/>
        <v>0.1666666667</v>
      </c>
      <c r="BL74" s="400">
        <f t="shared" si="36"/>
        <v>0.1666666667</v>
      </c>
      <c r="BM74" s="400">
        <f t="shared" si="36"/>
        <v>0.1666666667</v>
      </c>
      <c r="BN74" s="400">
        <f t="shared" si="36"/>
        <v>0.1666666667</v>
      </c>
      <c r="BO74" s="400">
        <f t="shared" si="36"/>
        <v>0.1666666667</v>
      </c>
      <c r="BP74" s="400">
        <f t="shared" si="36"/>
        <v>0.1666666667</v>
      </c>
      <c r="BQ74" s="400">
        <f t="shared" si="36"/>
        <v>0.1666666667</v>
      </c>
      <c r="BR74" s="400">
        <f t="shared" si="36"/>
        <v>0.1666666667</v>
      </c>
      <c r="BS74" s="400">
        <f t="shared" si="36"/>
        <v>0.1666666667</v>
      </c>
      <c r="BT74" s="400">
        <f t="shared" si="36"/>
        <v>0.1666666667</v>
      </c>
      <c r="BU74" s="400">
        <f t="shared" si="36"/>
        <v>0.1666666667</v>
      </c>
      <c r="BV74" s="400">
        <f t="shared" si="36"/>
        <v>0.1666666667</v>
      </c>
      <c r="BW74" s="400">
        <f t="shared" si="36"/>
        <v>0.1666666667</v>
      </c>
      <c r="BX74" s="400">
        <f t="shared" si="36"/>
        <v>0.1666666667</v>
      </c>
      <c r="BY74" s="400">
        <f t="shared" si="36"/>
        <v>0.1666666667</v>
      </c>
      <c r="BZ74" s="400">
        <f t="shared" si="36"/>
        <v>0.1666666667</v>
      </c>
      <c r="CA74" s="400">
        <f t="shared" si="36"/>
        <v>0.1666666667</v>
      </c>
      <c r="CB74" s="400">
        <f t="shared" si="36"/>
        <v>0.1666666667</v>
      </c>
      <c r="CC74" s="400">
        <f t="shared" si="36"/>
        <v>0.1666666667</v>
      </c>
      <c r="CD74" s="400">
        <f t="shared" si="36"/>
        <v>0.1666666667</v>
      </c>
      <c r="CE74" s="400">
        <f t="shared" si="36"/>
        <v>0.1666666667</v>
      </c>
      <c r="CF74" s="400">
        <f t="shared" si="36"/>
        <v>0.1666666667</v>
      </c>
      <c r="CG74" s="400">
        <f t="shared" si="36"/>
        <v>0.1666666667</v>
      </c>
      <c r="CH74" s="400">
        <f t="shared" si="36"/>
        <v>0.1666666667</v>
      </c>
      <c r="CI74" s="1"/>
      <c r="CJ74" s="1"/>
      <c r="CK74" s="1"/>
      <c r="CL74" s="1"/>
      <c r="CM74" s="1"/>
      <c r="CN74" s="1"/>
      <c r="CO74" s="1"/>
      <c r="CP74" s="1"/>
    </row>
    <row r="75" ht="15.75" customHeight="1">
      <c r="A75" s="119" t="s">
        <v>661</v>
      </c>
      <c r="B75" s="351"/>
      <c r="C75" s="351"/>
      <c r="D75" s="351"/>
      <c r="E75" s="351"/>
      <c r="F75" s="351"/>
      <c r="G75" s="351"/>
      <c r="H75" s="351"/>
      <c r="I75" s="351"/>
      <c r="J75" s="351"/>
      <c r="K75" s="351"/>
      <c r="L75" s="351"/>
      <c r="M75" s="351"/>
      <c r="N75" s="351"/>
      <c r="O75" s="351"/>
      <c r="P75" s="351"/>
      <c r="Q75" s="351"/>
      <c r="R75" s="351"/>
      <c r="S75" s="351"/>
      <c r="T75" s="351"/>
      <c r="U75" s="401"/>
      <c r="V75" s="351"/>
      <c r="W75" s="351"/>
      <c r="X75" s="351"/>
      <c r="Y75" s="351"/>
      <c r="Z75" s="401"/>
      <c r="AA75" s="351"/>
      <c r="AB75" s="351"/>
      <c r="AC75" s="351"/>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c r="BI75" s="351"/>
      <c r="BJ75" s="351"/>
      <c r="BK75" s="351"/>
      <c r="BL75" s="351"/>
      <c r="BM75" s="351"/>
      <c r="BN75" s="351"/>
      <c r="BO75" s="351"/>
      <c r="BP75" s="351"/>
      <c r="BQ75" s="351"/>
      <c r="BR75" s="351"/>
      <c r="BS75" s="351"/>
      <c r="BT75" s="351"/>
      <c r="BU75" s="351"/>
      <c r="BV75" s="351"/>
      <c r="BW75" s="351"/>
      <c r="BX75" s="351"/>
      <c r="BY75" s="351"/>
      <c r="BZ75" s="351"/>
      <c r="CA75" s="351"/>
      <c r="CB75" s="351"/>
      <c r="CC75" s="351"/>
      <c r="CD75" s="351"/>
      <c r="CE75" s="351"/>
      <c r="CF75" s="351"/>
      <c r="CG75" s="351"/>
      <c r="CH75" s="351"/>
      <c r="CI75" s="1"/>
      <c r="CJ75" s="1"/>
      <c r="CK75" s="1"/>
      <c r="CL75" s="1"/>
      <c r="CM75" s="1"/>
      <c r="CN75" s="1"/>
      <c r="CO75" s="1"/>
      <c r="CP75" s="1"/>
    </row>
    <row r="76" ht="15.75" customHeight="1">
      <c r="A76" s="1"/>
      <c r="B76" s="356"/>
      <c r="C76" s="356"/>
      <c r="D76" s="356"/>
      <c r="E76" s="356"/>
      <c r="F76" s="356"/>
      <c r="G76" s="356"/>
      <c r="H76" s="356"/>
      <c r="I76" s="356"/>
      <c r="J76" s="356"/>
      <c r="K76" s="356"/>
      <c r="L76" s="356"/>
      <c r="M76" s="356"/>
      <c r="N76" s="356"/>
      <c r="O76" s="356"/>
      <c r="P76" s="356"/>
      <c r="Q76" s="356"/>
      <c r="R76" s="356"/>
      <c r="S76" s="356"/>
      <c r="T76" s="356"/>
      <c r="U76" s="356"/>
      <c r="V76" s="356"/>
      <c r="W76" s="356"/>
      <c r="X76" s="356"/>
      <c r="Y76" s="356"/>
      <c r="Z76" s="356"/>
      <c r="AA76" s="356"/>
      <c r="AB76" s="356"/>
      <c r="AC76" s="356"/>
      <c r="AD76" s="356"/>
      <c r="AE76" s="356"/>
      <c r="AF76" s="356"/>
      <c r="AG76" s="356"/>
      <c r="AH76" s="356"/>
      <c r="AI76" s="356"/>
      <c r="AJ76" s="356"/>
      <c r="AK76" s="356"/>
      <c r="AL76" s="356"/>
      <c r="AM76" s="356"/>
      <c r="AN76" s="356"/>
      <c r="AO76" s="356"/>
      <c r="AP76" s="356"/>
      <c r="AQ76" s="356"/>
      <c r="AR76" s="356"/>
      <c r="AS76" s="356"/>
      <c r="AT76" s="356"/>
      <c r="AU76" s="356"/>
      <c r="AV76" s="356"/>
      <c r="AW76" s="356"/>
      <c r="AX76" s="356"/>
      <c r="AY76" s="356"/>
      <c r="AZ76" s="356"/>
      <c r="BA76" s="356"/>
      <c r="BB76" s="356"/>
      <c r="BC76" s="356"/>
      <c r="BD76" s="356"/>
      <c r="BE76" s="356"/>
      <c r="BF76" s="356"/>
      <c r="BG76" s="356"/>
      <c r="BH76" s="356"/>
      <c r="BI76" s="356"/>
      <c r="BJ76" s="356"/>
      <c r="BK76" s="356"/>
      <c r="BL76" s="356"/>
      <c r="BM76" s="356"/>
      <c r="BN76" s="356"/>
      <c r="BO76" s="356"/>
      <c r="BP76" s="356"/>
      <c r="BQ76" s="356"/>
      <c r="BR76" s="356"/>
      <c r="BS76" s="356"/>
      <c r="BT76" s="356"/>
      <c r="BU76" s="356"/>
      <c r="BV76" s="356"/>
      <c r="BW76" s="356"/>
      <c r="BX76" s="356"/>
      <c r="BY76" s="356"/>
      <c r="BZ76" s="356"/>
      <c r="CA76" s="356"/>
      <c r="CB76" s="356"/>
      <c r="CC76" s="356"/>
      <c r="CD76" s="356"/>
      <c r="CE76" s="356"/>
      <c r="CF76" s="356"/>
      <c r="CG76" s="356"/>
      <c r="CH76" s="356"/>
      <c r="CI76" s="1"/>
      <c r="CJ76" s="1"/>
      <c r="CK76" s="1"/>
      <c r="CL76" s="1"/>
      <c r="CM76" s="1"/>
      <c r="CN76" s="1"/>
      <c r="CO76" s="1"/>
      <c r="CP76" s="1"/>
    </row>
    <row r="77" ht="15.75" customHeight="1">
      <c r="A77" s="1" t="s">
        <v>129</v>
      </c>
      <c r="B77" s="356"/>
      <c r="C77" s="402">
        <f t="shared" ref="C77:Y77" si="37">RANDBETWEEN(-10000,0)</f>
        <v>-1220</v>
      </c>
      <c r="D77" s="402">
        <f t="shared" si="37"/>
        <v>-5529</v>
      </c>
      <c r="E77" s="402">
        <f t="shared" si="37"/>
        <v>-2512</v>
      </c>
      <c r="F77" s="402">
        <f t="shared" si="37"/>
        <v>-1159</v>
      </c>
      <c r="G77" s="402">
        <f t="shared" si="37"/>
        <v>-9852</v>
      </c>
      <c r="H77" s="402">
        <f t="shared" si="37"/>
        <v>-3948</v>
      </c>
      <c r="I77" s="402">
        <f t="shared" si="37"/>
        <v>-7603</v>
      </c>
      <c r="J77" s="402">
        <f t="shared" si="37"/>
        <v>-6384</v>
      </c>
      <c r="K77" s="402">
        <f t="shared" si="37"/>
        <v>-8178</v>
      </c>
      <c r="L77" s="402">
        <f t="shared" si="37"/>
        <v>-4948</v>
      </c>
      <c r="M77" s="402">
        <f t="shared" si="37"/>
        <v>-5097</v>
      </c>
      <c r="N77" s="402">
        <f t="shared" si="37"/>
        <v>-3787</v>
      </c>
      <c r="O77" s="402">
        <f t="shared" si="37"/>
        <v>-3541</v>
      </c>
      <c r="P77" s="402">
        <f t="shared" si="37"/>
        <v>-2214</v>
      </c>
      <c r="Q77" s="402">
        <f t="shared" si="37"/>
        <v>-5954</v>
      </c>
      <c r="R77" s="402">
        <f t="shared" si="37"/>
        <v>-7614</v>
      </c>
      <c r="S77" s="402">
        <f t="shared" si="37"/>
        <v>-1175</v>
      </c>
      <c r="T77" s="402">
        <f t="shared" si="37"/>
        <v>-800</v>
      </c>
      <c r="U77" s="402">
        <f t="shared" si="37"/>
        <v>-3100</v>
      </c>
      <c r="V77" s="402">
        <f t="shared" si="37"/>
        <v>-7867</v>
      </c>
      <c r="W77" s="402">
        <f t="shared" si="37"/>
        <v>-8861</v>
      </c>
      <c r="X77" s="402">
        <f t="shared" si="37"/>
        <v>-1175</v>
      </c>
      <c r="Y77" s="402">
        <f t="shared" si="37"/>
        <v>-7202</v>
      </c>
      <c r="Z77" s="356">
        <f t="shared" ref="Z77:CH77" si="38">-Y40*Z61</f>
        <v>-19497.737</v>
      </c>
      <c r="AA77" s="356">
        <f t="shared" si="38"/>
        <v>-23454.6275</v>
      </c>
      <c r="AB77" s="356">
        <f t="shared" si="38"/>
        <v>-26312.62509</v>
      </c>
      <c r="AC77" s="356">
        <f t="shared" si="38"/>
        <v>-29328.17037</v>
      </c>
      <c r="AD77" s="356">
        <f t="shared" si="38"/>
        <v>-32113.28668</v>
      </c>
      <c r="AE77" s="356">
        <f t="shared" si="38"/>
        <v>-34581.31846</v>
      </c>
      <c r="AF77" s="356">
        <f t="shared" si="38"/>
        <v>-36793.8174</v>
      </c>
      <c r="AG77" s="356">
        <f t="shared" si="38"/>
        <v>-38680.28112</v>
      </c>
      <c r="AH77" s="356">
        <f t="shared" si="38"/>
        <v>-40138.78817</v>
      </c>
      <c r="AI77" s="356">
        <f t="shared" si="38"/>
        <v>-41194.98943</v>
      </c>
      <c r="AJ77" s="356">
        <f t="shared" si="38"/>
        <v>-41968.08559</v>
      </c>
      <c r="AK77" s="356">
        <f t="shared" si="38"/>
        <v>-42255.10741</v>
      </c>
      <c r="AL77" s="356">
        <f t="shared" si="38"/>
        <v>-42235.12701</v>
      </c>
      <c r="AM77" s="356">
        <f t="shared" si="38"/>
        <v>-54990.80708</v>
      </c>
      <c r="AN77" s="356">
        <f t="shared" si="38"/>
        <v>-57093.54363</v>
      </c>
      <c r="AO77" s="356">
        <f t="shared" si="38"/>
        <v>-58481.55625</v>
      </c>
      <c r="AP77" s="356">
        <f t="shared" si="38"/>
        <v>-59718.04495</v>
      </c>
      <c r="AQ77" s="356">
        <f t="shared" si="38"/>
        <v>-60927.12881</v>
      </c>
      <c r="AR77" s="356">
        <f t="shared" si="38"/>
        <v>-62110.42974</v>
      </c>
      <c r="AS77" s="356">
        <f t="shared" si="38"/>
        <v>-63279.76305</v>
      </c>
      <c r="AT77" s="356">
        <f t="shared" si="38"/>
        <v>-64425.89591</v>
      </c>
      <c r="AU77" s="356">
        <f t="shared" si="38"/>
        <v>-65550.25892</v>
      </c>
      <c r="AV77" s="356">
        <f t="shared" si="38"/>
        <v>-66654.21751</v>
      </c>
      <c r="AW77" s="356">
        <f t="shared" si="38"/>
        <v>-67739.07509</v>
      </c>
      <c r="AX77" s="356">
        <f t="shared" si="38"/>
        <v>-68806.07611</v>
      </c>
      <c r="AY77" s="356">
        <f t="shared" si="38"/>
        <v>-58213.67409</v>
      </c>
      <c r="AZ77" s="356">
        <f t="shared" si="38"/>
        <v>-59550.47243</v>
      </c>
      <c r="BA77" s="356">
        <f t="shared" si="38"/>
        <v>-60871.44333</v>
      </c>
      <c r="BB77" s="356">
        <f t="shared" si="38"/>
        <v>-62168.58341</v>
      </c>
      <c r="BC77" s="356">
        <f t="shared" si="38"/>
        <v>-63443.11719</v>
      </c>
      <c r="BD77" s="356">
        <f t="shared" si="38"/>
        <v>-64696.22304</v>
      </c>
      <c r="BE77" s="356">
        <f t="shared" si="38"/>
        <v>-65929.03513</v>
      </c>
      <c r="BF77" s="356">
        <f t="shared" si="38"/>
        <v>-67142.64519</v>
      </c>
      <c r="BG77" s="356">
        <f t="shared" si="38"/>
        <v>-68338.10424</v>
      </c>
      <c r="BH77" s="356">
        <f t="shared" si="38"/>
        <v>-69516.42429</v>
      </c>
      <c r="BI77" s="356">
        <f t="shared" si="38"/>
        <v>-70678.5799</v>
      </c>
      <c r="BJ77" s="356">
        <f t="shared" si="38"/>
        <v>-71825.5097</v>
      </c>
      <c r="BK77" s="356">
        <f t="shared" si="38"/>
        <v>-69310.21202</v>
      </c>
      <c r="BL77" s="356">
        <f t="shared" si="38"/>
        <v>-70529.11967</v>
      </c>
      <c r="BM77" s="356">
        <f t="shared" si="38"/>
        <v>-71670.35155</v>
      </c>
      <c r="BN77" s="356">
        <f t="shared" si="38"/>
        <v>-72655.74451</v>
      </c>
      <c r="BO77" s="356">
        <f t="shared" si="38"/>
        <v>-73637.83714</v>
      </c>
      <c r="BP77" s="356">
        <f t="shared" si="38"/>
        <v>-74617.24517</v>
      </c>
      <c r="BQ77" s="356">
        <f t="shared" si="38"/>
        <v>-75594.57156</v>
      </c>
      <c r="BR77" s="356">
        <f t="shared" si="38"/>
        <v>-76570.40722</v>
      </c>
      <c r="BS77" s="356">
        <f t="shared" si="38"/>
        <v>-77545.33177</v>
      </c>
      <c r="BT77" s="356">
        <f t="shared" si="38"/>
        <v>-78519.91434</v>
      </c>
      <c r="BU77" s="356">
        <f t="shared" si="38"/>
        <v>-79494.71421</v>
      </c>
      <c r="BV77" s="356">
        <f t="shared" si="38"/>
        <v>-80470.28156</v>
      </c>
      <c r="BW77" s="356">
        <f t="shared" si="38"/>
        <v>-79303.81188</v>
      </c>
      <c r="BX77" s="356">
        <f t="shared" si="38"/>
        <v>-80367.06348</v>
      </c>
      <c r="BY77" s="356">
        <f t="shared" si="38"/>
        <v>-81216.28617</v>
      </c>
      <c r="BZ77" s="356">
        <f t="shared" si="38"/>
        <v>-81903.30769</v>
      </c>
      <c r="CA77" s="356">
        <f t="shared" si="38"/>
        <v>-82582.10387</v>
      </c>
      <c r="CB77" s="356">
        <f t="shared" si="38"/>
        <v>-83253.43998</v>
      </c>
      <c r="CC77" s="356">
        <f t="shared" si="38"/>
        <v>-83918.0497</v>
      </c>
      <c r="CD77" s="356">
        <f t="shared" si="38"/>
        <v>-84576.63645</v>
      </c>
      <c r="CE77" s="356">
        <f t="shared" si="38"/>
        <v>-85229.87469</v>
      </c>
      <c r="CF77" s="356">
        <f t="shared" si="38"/>
        <v>-85878.41119</v>
      </c>
      <c r="CG77" s="356">
        <f t="shared" si="38"/>
        <v>-86522.86617</v>
      </c>
      <c r="CH77" s="356">
        <f t="shared" si="38"/>
        <v>-87163.83448</v>
      </c>
      <c r="CI77" s="1"/>
      <c r="CJ77" s="1"/>
      <c r="CK77" s="1"/>
      <c r="CL77" s="1"/>
      <c r="CM77" s="1"/>
      <c r="CN77" s="1"/>
      <c r="CO77" s="1"/>
      <c r="CP77" s="1"/>
    </row>
    <row r="78" ht="15.75" customHeight="1">
      <c r="A78" s="1" t="s">
        <v>85</v>
      </c>
      <c r="B78" s="356"/>
      <c r="C78" s="402">
        <f t="shared" ref="C78:Y78" si="39">RANDBETWEEN(-10000,0)</f>
        <v>-3526</v>
      </c>
      <c r="D78" s="402">
        <f t="shared" si="39"/>
        <v>-2387</v>
      </c>
      <c r="E78" s="402">
        <f t="shared" si="39"/>
        <v>-3217</v>
      </c>
      <c r="F78" s="402">
        <f t="shared" si="39"/>
        <v>-3028</v>
      </c>
      <c r="G78" s="402">
        <f t="shared" si="39"/>
        <v>-7601</v>
      </c>
      <c r="H78" s="402">
        <f t="shared" si="39"/>
        <v>-8971</v>
      </c>
      <c r="I78" s="402">
        <f t="shared" si="39"/>
        <v>-2329</v>
      </c>
      <c r="J78" s="402">
        <f t="shared" si="39"/>
        <v>-7026</v>
      </c>
      <c r="K78" s="402">
        <f t="shared" si="39"/>
        <v>-9721</v>
      </c>
      <c r="L78" s="402">
        <f t="shared" si="39"/>
        <v>-5379</v>
      </c>
      <c r="M78" s="402">
        <f t="shared" si="39"/>
        <v>-9755</v>
      </c>
      <c r="N78" s="402">
        <f t="shared" si="39"/>
        <v>-3387</v>
      </c>
      <c r="O78" s="402">
        <f t="shared" si="39"/>
        <v>-9631</v>
      </c>
      <c r="P78" s="402">
        <f t="shared" si="39"/>
        <v>-2468</v>
      </c>
      <c r="Q78" s="402">
        <f t="shared" si="39"/>
        <v>-3104</v>
      </c>
      <c r="R78" s="402">
        <f t="shared" si="39"/>
        <v>-8717</v>
      </c>
      <c r="S78" s="402">
        <f t="shared" si="39"/>
        <v>-3229</v>
      </c>
      <c r="T78" s="402">
        <f t="shared" si="39"/>
        <v>-6114</v>
      </c>
      <c r="U78" s="402">
        <f t="shared" si="39"/>
        <v>-3598</v>
      </c>
      <c r="V78" s="402">
        <f t="shared" si="39"/>
        <v>-1448</v>
      </c>
      <c r="W78" s="402">
        <f t="shared" si="39"/>
        <v>-3721</v>
      </c>
      <c r="X78" s="402">
        <f t="shared" si="39"/>
        <v>-8354</v>
      </c>
      <c r="Y78" s="402">
        <f t="shared" si="39"/>
        <v>-3782</v>
      </c>
      <c r="Z78" s="356">
        <f t="shared" ref="Z78:CH78" si="40">-Y41*Z62</f>
        <v>-8542.108</v>
      </c>
      <c r="AA78" s="356">
        <f t="shared" si="40"/>
        <v>-11200.19237</v>
      </c>
      <c r="AB78" s="356">
        <f t="shared" si="40"/>
        <v>-13556.48804</v>
      </c>
      <c r="AC78" s="356">
        <f t="shared" si="40"/>
        <v>-16165.18981</v>
      </c>
      <c r="AD78" s="356">
        <f t="shared" si="40"/>
        <v>-18823.90049</v>
      </c>
      <c r="AE78" s="356">
        <f t="shared" si="40"/>
        <v>-21479.59419</v>
      </c>
      <c r="AF78" s="356">
        <f t="shared" si="40"/>
        <v>-24062.64553</v>
      </c>
      <c r="AG78" s="356">
        <f t="shared" si="40"/>
        <v>-29193.69166</v>
      </c>
      <c r="AH78" s="356">
        <f t="shared" si="40"/>
        <v>-31960.4648</v>
      </c>
      <c r="AI78" s="356">
        <f t="shared" si="40"/>
        <v>-34618.55666</v>
      </c>
      <c r="AJ78" s="356">
        <f t="shared" si="40"/>
        <v>-37206.56389</v>
      </c>
      <c r="AK78" s="356">
        <f t="shared" si="40"/>
        <v>-38836.49661</v>
      </c>
      <c r="AL78" s="356">
        <f t="shared" si="40"/>
        <v>-41183.19211</v>
      </c>
      <c r="AM78" s="356">
        <f t="shared" si="40"/>
        <v>-43506.13958</v>
      </c>
      <c r="AN78" s="356">
        <f t="shared" si="40"/>
        <v>-45131.93463</v>
      </c>
      <c r="AO78" s="356">
        <f t="shared" si="40"/>
        <v>-46214.29957</v>
      </c>
      <c r="AP78" s="356">
        <f t="shared" si="40"/>
        <v>-47177.4872</v>
      </c>
      <c r="AQ78" s="356">
        <f t="shared" si="40"/>
        <v>-48118.7184</v>
      </c>
      <c r="AR78" s="356">
        <f t="shared" si="40"/>
        <v>-49039.34503</v>
      </c>
      <c r="AS78" s="356">
        <f t="shared" si="40"/>
        <v>-49948.67258</v>
      </c>
      <c r="AT78" s="356">
        <f t="shared" si="40"/>
        <v>-50839.54741</v>
      </c>
      <c r="AU78" s="356">
        <f t="shared" si="40"/>
        <v>-51713.15493</v>
      </c>
      <c r="AV78" s="356">
        <f t="shared" si="40"/>
        <v>-52570.62424</v>
      </c>
      <c r="AW78" s="356">
        <f t="shared" si="40"/>
        <v>-53413.03089</v>
      </c>
      <c r="AX78" s="356">
        <f t="shared" si="40"/>
        <v>-54241.39967</v>
      </c>
      <c r="AY78" s="356">
        <f t="shared" si="40"/>
        <v>-45146.49985</v>
      </c>
      <c r="AZ78" s="356">
        <f t="shared" si="40"/>
        <v>-46218.14339</v>
      </c>
      <c r="BA78" s="356">
        <f t="shared" si="40"/>
        <v>-47275.89364</v>
      </c>
      <c r="BB78" s="356">
        <f t="shared" si="40"/>
        <v>-48313.69639</v>
      </c>
      <c r="BC78" s="356">
        <f t="shared" si="40"/>
        <v>-49332.59072</v>
      </c>
      <c r="BD78" s="356">
        <f t="shared" si="40"/>
        <v>-50333.57548</v>
      </c>
      <c r="BE78" s="356">
        <f t="shared" si="40"/>
        <v>-51317.61093</v>
      </c>
      <c r="BF78" s="356">
        <f t="shared" si="40"/>
        <v>-52285.62038</v>
      </c>
      <c r="BG78" s="356">
        <f t="shared" si="40"/>
        <v>-53238.49172</v>
      </c>
      <c r="BH78" s="356">
        <f t="shared" si="40"/>
        <v>-54177.07892</v>
      </c>
      <c r="BI78" s="356">
        <f t="shared" si="40"/>
        <v>-55102.2034</v>
      </c>
      <c r="BJ78" s="356">
        <f t="shared" si="40"/>
        <v>-56014.65545</v>
      </c>
      <c r="BK78" s="356">
        <f t="shared" si="40"/>
        <v>-54138.84449</v>
      </c>
      <c r="BL78" s="356">
        <f t="shared" si="40"/>
        <v>-55105.15838</v>
      </c>
      <c r="BM78" s="356">
        <f t="shared" si="40"/>
        <v>-56011.13265</v>
      </c>
      <c r="BN78" s="356">
        <f t="shared" si="40"/>
        <v>-56788.35743</v>
      </c>
      <c r="BO78" s="356">
        <f t="shared" si="40"/>
        <v>-57562.96548</v>
      </c>
      <c r="BP78" s="356">
        <f t="shared" si="40"/>
        <v>-58335.46136</v>
      </c>
      <c r="BQ78" s="356">
        <f t="shared" si="40"/>
        <v>-59106.33865</v>
      </c>
      <c r="BR78" s="356">
        <f t="shared" si="40"/>
        <v>-59876.08068</v>
      </c>
      <c r="BS78" s="356">
        <f t="shared" si="40"/>
        <v>-60645.16118</v>
      </c>
      <c r="BT78" s="356">
        <f t="shared" si="40"/>
        <v>-61414.04485</v>
      </c>
      <c r="BU78" s="356">
        <f t="shared" si="40"/>
        <v>-62183.18802</v>
      </c>
      <c r="BV78" s="356">
        <f t="shared" si="40"/>
        <v>-62953.03924</v>
      </c>
      <c r="BW78" s="356">
        <f t="shared" si="40"/>
        <v>-62090.09013</v>
      </c>
      <c r="BX78" s="356">
        <f t="shared" si="40"/>
        <v>-62930.56728</v>
      </c>
      <c r="BY78" s="356">
        <f t="shared" si="40"/>
        <v>-63605.15846</v>
      </c>
      <c r="BZ78" s="356">
        <f t="shared" si="40"/>
        <v>-64145.53789</v>
      </c>
      <c r="CA78" s="356">
        <f t="shared" si="40"/>
        <v>-64679.12353</v>
      </c>
      <c r="CB78" s="356">
        <f t="shared" si="40"/>
        <v>-65206.55222</v>
      </c>
      <c r="CC78" s="356">
        <f t="shared" si="40"/>
        <v>-65728.43385</v>
      </c>
      <c r="CD78" s="356">
        <f t="shared" si="40"/>
        <v>-66245.35256</v>
      </c>
      <c r="CE78" s="356">
        <f t="shared" si="40"/>
        <v>-66757.86788</v>
      </c>
      <c r="CF78" s="356">
        <f t="shared" si="40"/>
        <v>-67266.51574</v>
      </c>
      <c r="CG78" s="356">
        <f t="shared" si="40"/>
        <v>-67771.8096</v>
      </c>
      <c r="CH78" s="356">
        <f t="shared" si="40"/>
        <v>-68274.24136</v>
      </c>
      <c r="CI78" s="1"/>
      <c r="CJ78" s="1"/>
      <c r="CK78" s="1"/>
      <c r="CL78" s="1"/>
      <c r="CM78" s="1"/>
      <c r="CN78" s="1"/>
      <c r="CO78" s="1"/>
      <c r="CP78" s="1"/>
    </row>
    <row r="79" ht="15.75" customHeight="1">
      <c r="A79" s="1" t="s">
        <v>130</v>
      </c>
      <c r="B79" s="356"/>
      <c r="C79" s="402">
        <f t="shared" ref="C79:Y79" si="41">RANDBETWEEN(-10000,0)</f>
        <v>-704</v>
      </c>
      <c r="D79" s="402">
        <f t="shared" si="41"/>
        <v>-4549</v>
      </c>
      <c r="E79" s="402">
        <f t="shared" si="41"/>
        <v>-4133</v>
      </c>
      <c r="F79" s="402">
        <f t="shared" si="41"/>
        <v>-5371</v>
      </c>
      <c r="G79" s="402">
        <f t="shared" si="41"/>
        <v>-3323</v>
      </c>
      <c r="H79" s="402">
        <f t="shared" si="41"/>
        <v>-7571</v>
      </c>
      <c r="I79" s="402">
        <f t="shared" si="41"/>
        <v>-60</v>
      </c>
      <c r="J79" s="402">
        <f t="shared" si="41"/>
        <v>-8815</v>
      </c>
      <c r="K79" s="402">
        <f t="shared" si="41"/>
        <v>-4324</v>
      </c>
      <c r="L79" s="402">
        <f t="shared" si="41"/>
        <v>-1972</v>
      </c>
      <c r="M79" s="402">
        <f t="shared" si="41"/>
        <v>-7340</v>
      </c>
      <c r="N79" s="402">
        <f t="shared" si="41"/>
        <v>-8851</v>
      </c>
      <c r="O79" s="402">
        <f t="shared" si="41"/>
        <v>-1720</v>
      </c>
      <c r="P79" s="402">
        <f t="shared" si="41"/>
        <v>-4837</v>
      </c>
      <c r="Q79" s="402">
        <f t="shared" si="41"/>
        <v>-9915</v>
      </c>
      <c r="R79" s="402">
        <f t="shared" si="41"/>
        <v>-5214</v>
      </c>
      <c r="S79" s="402">
        <f t="shared" si="41"/>
        <v>-441</v>
      </c>
      <c r="T79" s="402">
        <f t="shared" si="41"/>
        <v>-9244</v>
      </c>
      <c r="U79" s="402">
        <f t="shared" si="41"/>
        <v>-1235</v>
      </c>
      <c r="V79" s="402">
        <f t="shared" si="41"/>
        <v>-9964</v>
      </c>
      <c r="W79" s="402">
        <f t="shared" si="41"/>
        <v>-820</v>
      </c>
      <c r="X79" s="402">
        <f t="shared" si="41"/>
        <v>-6068</v>
      </c>
      <c r="Y79" s="402">
        <f t="shared" si="41"/>
        <v>-985</v>
      </c>
      <c r="Z79" s="356">
        <f t="shared" ref="Z79:CH79" si="42">-Y42*Z63</f>
        <v>-15348.488</v>
      </c>
      <c r="AA79" s="356">
        <f t="shared" si="42"/>
        <v>-18808.91383</v>
      </c>
      <c r="AB79" s="356">
        <f t="shared" si="42"/>
        <v>-22224.48028</v>
      </c>
      <c r="AC79" s="356">
        <f t="shared" si="42"/>
        <v>-25680.86315</v>
      </c>
      <c r="AD79" s="356">
        <f t="shared" si="42"/>
        <v>-28731.78679</v>
      </c>
      <c r="AE79" s="356">
        <f t="shared" si="42"/>
        <v>-31378.15706</v>
      </c>
      <c r="AF79" s="356">
        <f t="shared" si="42"/>
        <v>-33578.23543</v>
      </c>
      <c r="AG79" s="356">
        <f t="shared" si="42"/>
        <v>-31270.31067</v>
      </c>
      <c r="AH79" s="356">
        <f t="shared" si="42"/>
        <v>-34370.23922</v>
      </c>
      <c r="AI79" s="356">
        <f t="shared" si="42"/>
        <v>-37328.28348</v>
      </c>
      <c r="AJ79" s="356">
        <f t="shared" si="42"/>
        <v>-40195.90474</v>
      </c>
      <c r="AK79" s="356">
        <f t="shared" si="42"/>
        <v>-41757.09645</v>
      </c>
      <c r="AL79" s="356">
        <f t="shared" si="42"/>
        <v>-44057.53706</v>
      </c>
      <c r="AM79" s="356">
        <f t="shared" si="42"/>
        <v>-46282.6591</v>
      </c>
      <c r="AN79" s="356">
        <f t="shared" si="42"/>
        <v>-48193.71471</v>
      </c>
      <c r="AO79" s="356">
        <f t="shared" si="42"/>
        <v>-49029.37805</v>
      </c>
      <c r="AP79" s="356">
        <f t="shared" si="42"/>
        <v>-49704.21641</v>
      </c>
      <c r="AQ79" s="356">
        <f t="shared" si="42"/>
        <v>-50365.11615</v>
      </c>
      <c r="AR79" s="356">
        <f t="shared" si="42"/>
        <v>-51012.92541</v>
      </c>
      <c r="AS79" s="356">
        <f t="shared" si="42"/>
        <v>-51672.89053</v>
      </c>
      <c r="AT79" s="356">
        <f t="shared" si="42"/>
        <v>-52320.24077</v>
      </c>
      <c r="AU79" s="356">
        <f t="shared" si="42"/>
        <v>-52955.76298</v>
      </c>
      <c r="AV79" s="356">
        <f t="shared" si="42"/>
        <v>-53580.20611</v>
      </c>
      <c r="AW79" s="356">
        <f t="shared" si="42"/>
        <v>-54194.28317</v>
      </c>
      <c r="AX79" s="356">
        <f t="shared" si="42"/>
        <v>-54798.67299</v>
      </c>
      <c r="AY79" s="356">
        <f t="shared" si="42"/>
        <v>-45423.09801</v>
      </c>
      <c r="AZ79" s="356">
        <f t="shared" si="42"/>
        <v>-46323.61111</v>
      </c>
      <c r="BA79" s="356">
        <f t="shared" si="42"/>
        <v>-47215.17863</v>
      </c>
      <c r="BB79" s="356">
        <f t="shared" si="42"/>
        <v>-48087.81863</v>
      </c>
      <c r="BC79" s="356">
        <f t="shared" si="42"/>
        <v>-48942.43946</v>
      </c>
      <c r="BD79" s="356">
        <f t="shared" si="42"/>
        <v>-49779.91341</v>
      </c>
      <c r="BE79" s="356">
        <f t="shared" si="42"/>
        <v>-50601.07821</v>
      </c>
      <c r="BF79" s="356">
        <f t="shared" si="42"/>
        <v>-51406.73846</v>
      </c>
      <c r="BG79" s="356">
        <f t="shared" si="42"/>
        <v>-52197.66701</v>
      </c>
      <c r="BH79" s="356">
        <f t="shared" si="42"/>
        <v>-52974.60624</v>
      </c>
      <c r="BI79" s="356">
        <f t="shared" si="42"/>
        <v>-53738.26938</v>
      </c>
      <c r="BJ79" s="356">
        <f t="shared" si="42"/>
        <v>-54489.34167</v>
      </c>
      <c r="BK79" s="356">
        <f t="shared" si="42"/>
        <v>-52534.40926</v>
      </c>
      <c r="BL79" s="356">
        <f t="shared" si="42"/>
        <v>-53431.97911</v>
      </c>
      <c r="BM79" s="356">
        <f t="shared" si="42"/>
        <v>-54298.04671</v>
      </c>
      <c r="BN79" s="356">
        <f t="shared" si="42"/>
        <v>-55098.97556</v>
      </c>
      <c r="BO79" s="356">
        <f t="shared" si="42"/>
        <v>-55888.72804</v>
      </c>
      <c r="BP79" s="356">
        <f t="shared" si="42"/>
        <v>-56667.95235</v>
      </c>
      <c r="BQ79" s="356">
        <f t="shared" si="42"/>
        <v>-57437.27531</v>
      </c>
      <c r="BR79" s="356">
        <f t="shared" si="42"/>
        <v>-58197.3033</v>
      </c>
      <c r="BS79" s="356">
        <f t="shared" si="42"/>
        <v>-58948.62319</v>
      </c>
      <c r="BT79" s="356">
        <f t="shared" si="42"/>
        <v>-59691.8032</v>
      </c>
      <c r="BU79" s="356">
        <f t="shared" si="42"/>
        <v>-60427.39372</v>
      </c>
      <c r="BV79" s="356">
        <f t="shared" si="42"/>
        <v>-61155.92814</v>
      </c>
      <c r="BW79" s="356">
        <f t="shared" si="42"/>
        <v>-60291.3102</v>
      </c>
      <c r="BX79" s="356">
        <f t="shared" si="42"/>
        <v>-61060.06764</v>
      </c>
      <c r="BY79" s="356">
        <f t="shared" si="42"/>
        <v>-61572.55659</v>
      </c>
      <c r="BZ79" s="356">
        <f t="shared" si="42"/>
        <v>-62027.16818</v>
      </c>
      <c r="CA79" s="356">
        <f t="shared" si="42"/>
        <v>-62478.03251</v>
      </c>
      <c r="CB79" s="356">
        <f t="shared" si="42"/>
        <v>-62925.49112</v>
      </c>
      <c r="CC79" s="356">
        <f t="shared" si="42"/>
        <v>-63369.8716</v>
      </c>
      <c r="CD79" s="356">
        <f t="shared" si="42"/>
        <v>-63811.48819</v>
      </c>
      <c r="CE79" s="356">
        <f t="shared" si="42"/>
        <v>-64250.64234</v>
      </c>
      <c r="CF79" s="356">
        <f t="shared" si="42"/>
        <v>-64687.6233</v>
      </c>
      <c r="CG79" s="356">
        <f t="shared" si="42"/>
        <v>-65122.70857</v>
      </c>
      <c r="CH79" s="356">
        <f t="shared" si="42"/>
        <v>-65556.16448</v>
      </c>
      <c r="CI79" s="1"/>
      <c r="CJ79" s="1"/>
      <c r="CK79" s="1"/>
      <c r="CL79" s="1"/>
      <c r="CM79" s="1"/>
      <c r="CN79" s="1"/>
      <c r="CO79" s="1"/>
      <c r="CP79" s="1"/>
    </row>
    <row r="80" ht="15.75" customHeight="1">
      <c r="A80" s="1" t="s">
        <v>89</v>
      </c>
      <c r="B80" s="356"/>
      <c r="C80" s="402">
        <f t="shared" ref="C80:Y80" si="43">RANDBETWEEN(-10000,0)</f>
        <v>-601</v>
      </c>
      <c r="D80" s="402">
        <f t="shared" si="43"/>
        <v>-5460</v>
      </c>
      <c r="E80" s="402">
        <f t="shared" si="43"/>
        <v>-2238</v>
      </c>
      <c r="F80" s="402">
        <f t="shared" si="43"/>
        <v>-3492</v>
      </c>
      <c r="G80" s="402">
        <f t="shared" si="43"/>
        <v>-4174</v>
      </c>
      <c r="H80" s="402">
        <f t="shared" si="43"/>
        <v>-4857</v>
      </c>
      <c r="I80" s="402">
        <f t="shared" si="43"/>
        <v>-5802</v>
      </c>
      <c r="J80" s="402">
        <f t="shared" si="43"/>
        <v>-2542</v>
      </c>
      <c r="K80" s="402">
        <f t="shared" si="43"/>
        <v>-5976</v>
      </c>
      <c r="L80" s="402">
        <f t="shared" si="43"/>
        <v>-3626</v>
      </c>
      <c r="M80" s="402">
        <f t="shared" si="43"/>
        <v>-9639</v>
      </c>
      <c r="N80" s="402">
        <f t="shared" si="43"/>
        <v>-9689</v>
      </c>
      <c r="O80" s="402">
        <f t="shared" si="43"/>
        <v>-5793</v>
      </c>
      <c r="P80" s="402">
        <f t="shared" si="43"/>
        <v>-7038</v>
      </c>
      <c r="Q80" s="402">
        <f t="shared" si="43"/>
        <v>-4569</v>
      </c>
      <c r="R80" s="402">
        <f t="shared" si="43"/>
        <v>-6317</v>
      </c>
      <c r="S80" s="402">
        <f t="shared" si="43"/>
        <v>-4587</v>
      </c>
      <c r="T80" s="402">
        <f t="shared" si="43"/>
        <v>-2888</v>
      </c>
      <c r="U80" s="402">
        <f t="shared" si="43"/>
        <v>-9424</v>
      </c>
      <c r="V80" s="402">
        <f t="shared" si="43"/>
        <v>-210</v>
      </c>
      <c r="W80" s="402">
        <f t="shared" si="43"/>
        <v>-3611</v>
      </c>
      <c r="X80" s="402">
        <f t="shared" si="43"/>
        <v>-8358</v>
      </c>
      <c r="Y80" s="402">
        <f t="shared" si="43"/>
        <v>-4284</v>
      </c>
      <c r="Z80" s="356">
        <f t="shared" ref="Z80:CH80" si="44">-Y43*Z64</f>
        <v>-13786.5</v>
      </c>
      <c r="AA80" s="356">
        <f t="shared" si="44"/>
        <v>-18970.49628</v>
      </c>
      <c r="AB80" s="356">
        <f t="shared" si="44"/>
        <v>-25258.11382</v>
      </c>
      <c r="AC80" s="356">
        <f t="shared" si="44"/>
        <v>-30839.83106</v>
      </c>
      <c r="AD80" s="356">
        <f t="shared" si="44"/>
        <v>-34887.15656</v>
      </c>
      <c r="AE80" s="356">
        <f t="shared" si="44"/>
        <v>-35547.24397</v>
      </c>
      <c r="AF80" s="356">
        <f t="shared" si="44"/>
        <v>-39096.55526</v>
      </c>
      <c r="AG80" s="356">
        <f t="shared" si="44"/>
        <v>-40761.24699</v>
      </c>
      <c r="AH80" s="356">
        <f t="shared" si="44"/>
        <v>-43238.55031</v>
      </c>
      <c r="AI80" s="356">
        <f t="shared" si="44"/>
        <v>-46303.91723</v>
      </c>
      <c r="AJ80" s="356">
        <f t="shared" si="44"/>
        <v>-43190.44073</v>
      </c>
      <c r="AK80" s="356">
        <f t="shared" si="44"/>
        <v>-43997.79841</v>
      </c>
      <c r="AL80" s="356">
        <f t="shared" si="44"/>
        <v>-44642.95181</v>
      </c>
      <c r="AM80" s="356">
        <f t="shared" si="44"/>
        <v>-38640.10526</v>
      </c>
      <c r="AN80" s="356">
        <f t="shared" si="44"/>
        <v>-40512.29921</v>
      </c>
      <c r="AO80" s="356">
        <f t="shared" si="44"/>
        <v>-38904.89904</v>
      </c>
      <c r="AP80" s="356">
        <f t="shared" si="44"/>
        <v>-37391.98666</v>
      </c>
      <c r="AQ80" s="356">
        <f t="shared" si="44"/>
        <v>-36365.75164</v>
      </c>
      <c r="AR80" s="356">
        <f t="shared" si="44"/>
        <v>-35689.4106</v>
      </c>
      <c r="AS80" s="356">
        <f t="shared" si="44"/>
        <v>-35338.47916</v>
      </c>
      <c r="AT80" s="356">
        <f t="shared" si="44"/>
        <v>-35148.30692</v>
      </c>
      <c r="AU80" s="356">
        <f t="shared" si="44"/>
        <v>-35074.0343</v>
      </c>
      <c r="AV80" s="356">
        <f t="shared" si="44"/>
        <v>-35083.45659</v>
      </c>
      <c r="AW80" s="356">
        <f t="shared" si="44"/>
        <v>-35153.45528</v>
      </c>
      <c r="AX80" s="356">
        <f t="shared" si="44"/>
        <v>-35267.43584</v>
      </c>
      <c r="AY80" s="356">
        <f t="shared" si="44"/>
        <v>-32650.73363</v>
      </c>
      <c r="AZ80" s="356">
        <f t="shared" si="44"/>
        <v>-33738.48596</v>
      </c>
      <c r="BA80" s="356">
        <f t="shared" si="44"/>
        <v>-34640.38356</v>
      </c>
      <c r="BB80" s="356">
        <f t="shared" si="44"/>
        <v>-35368.77247</v>
      </c>
      <c r="BC80" s="356">
        <f t="shared" si="44"/>
        <v>-35969.2216</v>
      </c>
      <c r="BD80" s="356">
        <f t="shared" si="44"/>
        <v>-36475.45609</v>
      </c>
      <c r="BE80" s="356">
        <f t="shared" si="44"/>
        <v>-36912.43668</v>
      </c>
      <c r="BF80" s="356">
        <f t="shared" si="44"/>
        <v>-37298.63849</v>
      </c>
      <c r="BG80" s="356">
        <f t="shared" si="44"/>
        <v>-37647.73736</v>
      </c>
      <c r="BH80" s="356">
        <f t="shared" si="44"/>
        <v>-37969.8577</v>
      </c>
      <c r="BI80" s="356">
        <f t="shared" si="44"/>
        <v>-38272.49588</v>
      </c>
      <c r="BJ80" s="356">
        <f t="shared" si="44"/>
        <v>-38561.20358</v>
      </c>
      <c r="BK80" s="356">
        <f t="shared" si="44"/>
        <v>-38840.09348</v>
      </c>
      <c r="BL80" s="356">
        <f t="shared" si="44"/>
        <v>-39478.54286</v>
      </c>
      <c r="BM80" s="356">
        <f t="shared" si="44"/>
        <v>-39963.40243</v>
      </c>
      <c r="BN80" s="356">
        <f t="shared" si="44"/>
        <v>-40209.43044</v>
      </c>
      <c r="BO80" s="356">
        <f t="shared" si="44"/>
        <v>-40464.41606</v>
      </c>
      <c r="BP80" s="356">
        <f t="shared" si="44"/>
        <v>-40726.79938</v>
      </c>
      <c r="BQ80" s="356">
        <f t="shared" si="44"/>
        <v>-40995.44026</v>
      </c>
      <c r="BR80" s="356">
        <f t="shared" si="44"/>
        <v>-41269.50949</v>
      </c>
      <c r="BS80" s="356">
        <f t="shared" si="44"/>
        <v>-41548.40835</v>
      </c>
      <c r="BT80" s="356">
        <f t="shared" si="44"/>
        <v>-41831.70912</v>
      </c>
      <c r="BU80" s="356">
        <f t="shared" si="44"/>
        <v>-42119.11097</v>
      </c>
      <c r="BV80" s="356">
        <f t="shared" si="44"/>
        <v>-42410.4074</v>
      </c>
      <c r="BW80" s="356">
        <f t="shared" si="44"/>
        <v>-42705.46218</v>
      </c>
      <c r="BX80" s="356">
        <f t="shared" si="44"/>
        <v>-43044.46153</v>
      </c>
      <c r="BY80" s="356">
        <f t="shared" si="44"/>
        <v>-42443.59366</v>
      </c>
      <c r="BZ80" s="356">
        <f t="shared" si="44"/>
        <v>-41857.08559</v>
      </c>
      <c r="CA80" s="356">
        <f t="shared" si="44"/>
        <v>-41473.66874</v>
      </c>
      <c r="CB80" s="356">
        <f t="shared" si="44"/>
        <v>-41241.27974</v>
      </c>
      <c r="CC80" s="356">
        <f t="shared" si="44"/>
        <v>-41121.38813</v>
      </c>
      <c r="CD80" s="356">
        <f t="shared" si="44"/>
        <v>-41085.47805</v>
      </c>
      <c r="CE80" s="356">
        <f t="shared" si="44"/>
        <v>-41112.44465</v>
      </c>
      <c r="CF80" s="356">
        <f t="shared" si="44"/>
        <v>-41186.66748</v>
      </c>
      <c r="CG80" s="356">
        <f t="shared" si="44"/>
        <v>-41296.58476</v>
      </c>
      <c r="CH80" s="356">
        <f t="shared" si="44"/>
        <v>-41433.63836</v>
      </c>
      <c r="CI80" s="1"/>
      <c r="CJ80" s="1"/>
      <c r="CK80" s="1"/>
      <c r="CL80" s="1"/>
      <c r="CM80" s="1"/>
      <c r="CN80" s="1"/>
      <c r="CO80" s="1"/>
      <c r="CP80" s="1"/>
    </row>
    <row r="81" ht="15.75" customHeight="1">
      <c r="A81" s="1" t="s">
        <v>94</v>
      </c>
      <c r="B81" s="356"/>
      <c r="C81" s="402">
        <f t="shared" ref="C81:Y81" si="45">RANDBETWEEN(-10000,0)</f>
        <v>-6676</v>
      </c>
      <c r="D81" s="402">
        <f t="shared" si="45"/>
        <v>-8899</v>
      </c>
      <c r="E81" s="402">
        <f t="shared" si="45"/>
        <v>-761</v>
      </c>
      <c r="F81" s="402">
        <f t="shared" si="45"/>
        <v>-3091</v>
      </c>
      <c r="G81" s="402">
        <f t="shared" si="45"/>
        <v>-370</v>
      </c>
      <c r="H81" s="402">
        <f t="shared" si="45"/>
        <v>-6130</v>
      </c>
      <c r="I81" s="402">
        <f t="shared" si="45"/>
        <v>-6838</v>
      </c>
      <c r="J81" s="402">
        <f t="shared" si="45"/>
        <v>-2316</v>
      </c>
      <c r="K81" s="402">
        <f t="shared" si="45"/>
        <v>-4808</v>
      </c>
      <c r="L81" s="402">
        <f t="shared" si="45"/>
        <v>-4357</v>
      </c>
      <c r="M81" s="402">
        <f t="shared" si="45"/>
        <v>-2784</v>
      </c>
      <c r="N81" s="402">
        <f t="shared" si="45"/>
        <v>-5231</v>
      </c>
      <c r="O81" s="402">
        <f t="shared" si="45"/>
        <v>-3630</v>
      </c>
      <c r="P81" s="402">
        <f t="shared" si="45"/>
        <v>-7750</v>
      </c>
      <c r="Q81" s="402">
        <f t="shared" si="45"/>
        <v>-2141</v>
      </c>
      <c r="R81" s="402">
        <f t="shared" si="45"/>
        <v>-2772</v>
      </c>
      <c r="S81" s="402">
        <f t="shared" si="45"/>
        <v>-9965</v>
      </c>
      <c r="T81" s="402">
        <f t="shared" si="45"/>
        <v>-9756</v>
      </c>
      <c r="U81" s="402">
        <f t="shared" si="45"/>
        <v>-7774</v>
      </c>
      <c r="V81" s="402">
        <f t="shared" si="45"/>
        <v>-7472</v>
      </c>
      <c r="W81" s="402">
        <f t="shared" si="45"/>
        <v>-885</v>
      </c>
      <c r="X81" s="402">
        <f t="shared" si="45"/>
        <v>-8535</v>
      </c>
      <c r="Y81" s="402">
        <f t="shared" si="45"/>
        <v>-7281</v>
      </c>
      <c r="Z81" s="356">
        <f t="shared" ref="Z81:CH81" si="46">-Y44*Z65</f>
        <v>-6731.92</v>
      </c>
      <c r="AA81" s="356">
        <f t="shared" si="46"/>
        <v>-10554.50767</v>
      </c>
      <c r="AB81" s="356">
        <f t="shared" si="46"/>
        <v>-14557.0936</v>
      </c>
      <c r="AC81" s="356">
        <f t="shared" si="46"/>
        <v>-18082.13341</v>
      </c>
      <c r="AD81" s="356">
        <f t="shared" si="46"/>
        <v>-21079.15204</v>
      </c>
      <c r="AE81" s="356">
        <f t="shared" si="46"/>
        <v>-23714.35012</v>
      </c>
      <c r="AF81" s="356">
        <f t="shared" si="46"/>
        <v>-24921.63932</v>
      </c>
      <c r="AG81" s="356">
        <f t="shared" si="46"/>
        <v>-25963.03704</v>
      </c>
      <c r="AH81" s="356">
        <f t="shared" si="46"/>
        <v>-26469.71387</v>
      </c>
      <c r="AI81" s="356">
        <f t="shared" si="46"/>
        <v>-26855.18851</v>
      </c>
      <c r="AJ81" s="356">
        <f t="shared" si="46"/>
        <v>-27485.65655</v>
      </c>
      <c r="AK81" s="356">
        <f t="shared" si="46"/>
        <v>-28293.71393</v>
      </c>
      <c r="AL81" s="356">
        <f t="shared" si="46"/>
        <v>-28950.33046</v>
      </c>
      <c r="AM81" s="356">
        <f t="shared" si="46"/>
        <v>-28721.44187</v>
      </c>
      <c r="AN81" s="356">
        <f t="shared" si="46"/>
        <v>-28920.8966</v>
      </c>
      <c r="AO81" s="356">
        <f t="shared" si="46"/>
        <v>-29340.83125</v>
      </c>
      <c r="AP81" s="356">
        <f t="shared" si="46"/>
        <v>-29986.79626</v>
      </c>
      <c r="AQ81" s="356">
        <f t="shared" si="46"/>
        <v>-30517.84532</v>
      </c>
      <c r="AR81" s="356">
        <f t="shared" si="46"/>
        <v>-30963.3969</v>
      </c>
      <c r="AS81" s="356">
        <f t="shared" si="46"/>
        <v>-31413.05598</v>
      </c>
      <c r="AT81" s="356">
        <f t="shared" si="46"/>
        <v>-31798.84593</v>
      </c>
      <c r="AU81" s="356">
        <f t="shared" si="46"/>
        <v>-32137.28121</v>
      </c>
      <c r="AV81" s="356">
        <f t="shared" si="46"/>
        <v>-32440.70119</v>
      </c>
      <c r="AW81" s="356">
        <f t="shared" si="46"/>
        <v>-32718.32657</v>
      </c>
      <c r="AX81" s="356">
        <f t="shared" si="46"/>
        <v>-32977.04834</v>
      </c>
      <c r="AY81" s="356">
        <f t="shared" si="46"/>
        <v>-33222.01732</v>
      </c>
      <c r="AZ81" s="356">
        <f t="shared" si="46"/>
        <v>-33669.1481</v>
      </c>
      <c r="BA81" s="356">
        <f t="shared" si="46"/>
        <v>-34092.50592</v>
      </c>
      <c r="BB81" s="356">
        <f t="shared" si="46"/>
        <v>-34462.23071</v>
      </c>
      <c r="BC81" s="356">
        <f t="shared" si="46"/>
        <v>-34792.26446</v>
      </c>
      <c r="BD81" s="356">
        <f t="shared" si="46"/>
        <v>-35093.02501</v>
      </c>
      <c r="BE81" s="356">
        <f t="shared" si="46"/>
        <v>-35372.29763</v>
      </c>
      <c r="BF81" s="356">
        <f t="shared" si="46"/>
        <v>-35635.90111</v>
      </c>
      <c r="BG81" s="356">
        <f t="shared" si="46"/>
        <v>-35888.1853</v>
      </c>
      <c r="BH81" s="356">
        <f t="shared" si="46"/>
        <v>-36132.40282</v>
      </c>
      <c r="BI81" s="356">
        <f t="shared" si="46"/>
        <v>-36370.98665</v>
      </c>
      <c r="BJ81" s="356">
        <f t="shared" si="46"/>
        <v>-36605.75754</v>
      </c>
      <c r="BK81" s="356">
        <f t="shared" si="46"/>
        <v>-36838.07897</v>
      </c>
      <c r="BL81" s="356">
        <f t="shared" si="46"/>
        <v>-37440.73342</v>
      </c>
      <c r="BM81" s="356">
        <f t="shared" si="46"/>
        <v>-37893.38994</v>
      </c>
      <c r="BN81" s="356">
        <f t="shared" si="46"/>
        <v>-38165.41346</v>
      </c>
      <c r="BO81" s="356">
        <f t="shared" si="46"/>
        <v>-38431.63228</v>
      </c>
      <c r="BP81" s="356">
        <f t="shared" si="46"/>
        <v>-38694.11121</v>
      </c>
      <c r="BQ81" s="356">
        <f t="shared" si="46"/>
        <v>-38954.40279</v>
      </c>
      <c r="BR81" s="356">
        <f t="shared" si="46"/>
        <v>-39213.67718</v>
      </c>
      <c r="BS81" s="356">
        <f t="shared" si="46"/>
        <v>-39472.81916</v>
      </c>
      <c r="BT81" s="356">
        <f t="shared" si="46"/>
        <v>-39732.5006</v>
      </c>
      <c r="BU81" s="356">
        <f t="shared" si="46"/>
        <v>-39993.23462</v>
      </c>
      <c r="BV81" s="356">
        <f t="shared" si="46"/>
        <v>-40255.41606</v>
      </c>
      <c r="BW81" s="356">
        <f t="shared" si="46"/>
        <v>-40519.35166</v>
      </c>
      <c r="BX81" s="356">
        <f t="shared" si="46"/>
        <v>-40813.27262</v>
      </c>
      <c r="BY81" s="356">
        <f t="shared" si="46"/>
        <v>-40181.61357</v>
      </c>
      <c r="BZ81" s="356">
        <f t="shared" si="46"/>
        <v>-39622.82463</v>
      </c>
      <c r="CA81" s="356">
        <f t="shared" si="46"/>
        <v>-39252.30172</v>
      </c>
      <c r="CB81" s="356">
        <f t="shared" si="46"/>
        <v>-39022.98673</v>
      </c>
      <c r="CC81" s="356">
        <f t="shared" si="46"/>
        <v>-38899.72507</v>
      </c>
      <c r="CD81" s="356">
        <f t="shared" si="46"/>
        <v>-38856.25424</v>
      </c>
      <c r="CE81" s="356">
        <f t="shared" si="46"/>
        <v>-38872.95429</v>
      </c>
      <c r="CF81" s="356">
        <f t="shared" si="46"/>
        <v>-38935.16744</v>
      </c>
      <c r="CG81" s="356">
        <f t="shared" si="46"/>
        <v>-39031.94278</v>
      </c>
      <c r="CH81" s="356">
        <f t="shared" si="46"/>
        <v>-39155.09859</v>
      </c>
      <c r="CI81" s="1"/>
      <c r="CJ81" s="1"/>
      <c r="CK81" s="1"/>
      <c r="CL81" s="1"/>
      <c r="CM81" s="1"/>
      <c r="CN81" s="1"/>
      <c r="CO81" s="1"/>
      <c r="CP81" s="1"/>
    </row>
    <row r="82" ht="15.75" customHeight="1">
      <c r="A82" s="1" t="s">
        <v>96</v>
      </c>
      <c r="B82" s="356"/>
      <c r="C82" s="402">
        <f t="shared" ref="C82:Y82" si="47">RANDBETWEEN(-10000,0)</f>
        <v>-5083</v>
      </c>
      <c r="D82" s="402">
        <f t="shared" si="47"/>
        <v>-8039</v>
      </c>
      <c r="E82" s="402">
        <f t="shared" si="47"/>
        <v>-9422</v>
      </c>
      <c r="F82" s="402">
        <f t="shared" si="47"/>
        <v>-5921</v>
      </c>
      <c r="G82" s="402">
        <f t="shared" si="47"/>
        <v>-4464</v>
      </c>
      <c r="H82" s="402">
        <f t="shared" si="47"/>
        <v>-826</v>
      </c>
      <c r="I82" s="402">
        <f t="shared" si="47"/>
        <v>-3464</v>
      </c>
      <c r="J82" s="402">
        <f t="shared" si="47"/>
        <v>-3691</v>
      </c>
      <c r="K82" s="402">
        <f t="shared" si="47"/>
        <v>-1716</v>
      </c>
      <c r="L82" s="402">
        <f t="shared" si="47"/>
        <v>-5615</v>
      </c>
      <c r="M82" s="402">
        <f t="shared" si="47"/>
        <v>-339</v>
      </c>
      <c r="N82" s="402">
        <f t="shared" si="47"/>
        <v>-6643</v>
      </c>
      <c r="O82" s="402">
        <f t="shared" si="47"/>
        <v>-173</v>
      </c>
      <c r="P82" s="402">
        <f t="shared" si="47"/>
        <v>-5800</v>
      </c>
      <c r="Q82" s="402">
        <f t="shared" si="47"/>
        <v>-7936</v>
      </c>
      <c r="R82" s="402">
        <f t="shared" si="47"/>
        <v>-7554</v>
      </c>
      <c r="S82" s="402">
        <f t="shared" si="47"/>
        <v>-8832</v>
      </c>
      <c r="T82" s="402">
        <f t="shared" si="47"/>
        <v>-2725</v>
      </c>
      <c r="U82" s="402">
        <f t="shared" si="47"/>
        <v>-1022</v>
      </c>
      <c r="V82" s="402">
        <f t="shared" si="47"/>
        <v>-8856</v>
      </c>
      <c r="W82" s="402">
        <f t="shared" si="47"/>
        <v>-7544</v>
      </c>
      <c r="X82" s="402">
        <f t="shared" si="47"/>
        <v>-6016</v>
      </c>
      <c r="Y82" s="402">
        <f t="shared" si="47"/>
        <v>-573</v>
      </c>
      <c r="Z82" s="356">
        <f t="shared" ref="Z82:CH82" si="48">-Y45*Z66</f>
        <v>-17756</v>
      </c>
      <c r="AA82" s="356">
        <f t="shared" si="48"/>
        <v>-102628</v>
      </c>
      <c r="AB82" s="356">
        <f t="shared" si="48"/>
        <v>-163814</v>
      </c>
      <c r="AC82" s="356">
        <f t="shared" si="48"/>
        <v>-205657</v>
      </c>
      <c r="AD82" s="356">
        <f t="shared" si="48"/>
        <v>-226578.5</v>
      </c>
      <c r="AE82" s="356">
        <f t="shared" si="48"/>
        <v>-237039.25</v>
      </c>
      <c r="AF82" s="356">
        <f t="shared" si="48"/>
        <v>-242269.625</v>
      </c>
      <c r="AG82" s="356">
        <f t="shared" si="48"/>
        <v>-244884.8125</v>
      </c>
      <c r="AH82" s="356">
        <f t="shared" si="48"/>
        <v>-246192.4063</v>
      </c>
      <c r="AI82" s="356">
        <f t="shared" si="48"/>
        <v>-246846.2031</v>
      </c>
      <c r="AJ82" s="356">
        <f t="shared" si="48"/>
        <v>-247173.1016</v>
      </c>
      <c r="AK82" s="356">
        <f t="shared" si="48"/>
        <v>-247336.5508</v>
      </c>
      <c r="AL82" s="356">
        <f t="shared" si="48"/>
        <v>-247418.2754</v>
      </c>
      <c r="AM82" s="356">
        <f t="shared" si="48"/>
        <v>-247459.1377</v>
      </c>
      <c r="AN82" s="356">
        <f t="shared" si="48"/>
        <v>-247479.5688</v>
      </c>
      <c r="AO82" s="356">
        <f t="shared" si="48"/>
        <v>-247489.7844</v>
      </c>
      <c r="AP82" s="356">
        <f t="shared" si="48"/>
        <v>-247494.8922</v>
      </c>
      <c r="AQ82" s="356">
        <f t="shared" si="48"/>
        <v>-247497.4461</v>
      </c>
      <c r="AR82" s="356">
        <f t="shared" si="48"/>
        <v>-247498.7231</v>
      </c>
      <c r="AS82" s="356">
        <f t="shared" si="48"/>
        <v>-247499.3615</v>
      </c>
      <c r="AT82" s="356">
        <f t="shared" si="48"/>
        <v>-247499.6808</v>
      </c>
      <c r="AU82" s="356">
        <f t="shared" si="48"/>
        <v>-247499.8404</v>
      </c>
      <c r="AV82" s="356">
        <f t="shared" si="48"/>
        <v>-247499.9202</v>
      </c>
      <c r="AW82" s="356">
        <f t="shared" si="48"/>
        <v>-247499.9601</v>
      </c>
      <c r="AX82" s="356">
        <f t="shared" si="48"/>
        <v>-247499.98</v>
      </c>
      <c r="AY82" s="356">
        <f t="shared" si="48"/>
        <v>-247499.99</v>
      </c>
      <c r="AZ82" s="356">
        <f t="shared" si="48"/>
        <v>-247499.995</v>
      </c>
      <c r="BA82" s="356">
        <f t="shared" si="48"/>
        <v>-247499.9975</v>
      </c>
      <c r="BB82" s="356">
        <f t="shared" si="48"/>
        <v>-247499.9988</v>
      </c>
      <c r="BC82" s="356">
        <f t="shared" si="48"/>
        <v>-247499.9994</v>
      </c>
      <c r="BD82" s="356">
        <f t="shared" si="48"/>
        <v>-247499.9997</v>
      </c>
      <c r="BE82" s="356">
        <f t="shared" si="48"/>
        <v>-247499.9998</v>
      </c>
      <c r="BF82" s="356">
        <f t="shared" si="48"/>
        <v>-247499.9999</v>
      </c>
      <c r="BG82" s="356">
        <f t="shared" si="48"/>
        <v>-247500</v>
      </c>
      <c r="BH82" s="356">
        <f t="shared" si="48"/>
        <v>-247500</v>
      </c>
      <c r="BI82" s="356">
        <f t="shared" si="48"/>
        <v>-247500</v>
      </c>
      <c r="BJ82" s="356">
        <f t="shared" si="48"/>
        <v>-247500</v>
      </c>
      <c r="BK82" s="356">
        <f t="shared" si="48"/>
        <v>-247500</v>
      </c>
      <c r="BL82" s="356">
        <f t="shared" si="48"/>
        <v>-247500</v>
      </c>
      <c r="BM82" s="356">
        <f t="shared" si="48"/>
        <v>-247500</v>
      </c>
      <c r="BN82" s="356">
        <f t="shared" si="48"/>
        <v>-247500</v>
      </c>
      <c r="BO82" s="356">
        <f t="shared" si="48"/>
        <v>-247500</v>
      </c>
      <c r="BP82" s="356">
        <f t="shared" si="48"/>
        <v>-247500</v>
      </c>
      <c r="BQ82" s="356">
        <f t="shared" si="48"/>
        <v>-247500</v>
      </c>
      <c r="BR82" s="356">
        <f t="shared" si="48"/>
        <v>-247500</v>
      </c>
      <c r="BS82" s="356">
        <f t="shared" si="48"/>
        <v>-247500</v>
      </c>
      <c r="BT82" s="356">
        <f t="shared" si="48"/>
        <v>-247500</v>
      </c>
      <c r="BU82" s="356">
        <f t="shared" si="48"/>
        <v>-247500</v>
      </c>
      <c r="BV82" s="356">
        <f t="shared" si="48"/>
        <v>-247500</v>
      </c>
      <c r="BW82" s="356">
        <f t="shared" si="48"/>
        <v>-247500</v>
      </c>
      <c r="BX82" s="356">
        <f t="shared" si="48"/>
        <v>-247500</v>
      </c>
      <c r="BY82" s="356">
        <f t="shared" si="48"/>
        <v>-247500</v>
      </c>
      <c r="BZ82" s="356">
        <f t="shared" si="48"/>
        <v>-247500</v>
      </c>
      <c r="CA82" s="356">
        <f t="shared" si="48"/>
        <v>-247500</v>
      </c>
      <c r="CB82" s="356">
        <f t="shared" si="48"/>
        <v>-247500</v>
      </c>
      <c r="CC82" s="356">
        <f t="shared" si="48"/>
        <v>-247500</v>
      </c>
      <c r="CD82" s="356">
        <f t="shared" si="48"/>
        <v>-247500</v>
      </c>
      <c r="CE82" s="356">
        <f t="shared" si="48"/>
        <v>-247500</v>
      </c>
      <c r="CF82" s="356">
        <f t="shared" si="48"/>
        <v>-247500</v>
      </c>
      <c r="CG82" s="356">
        <f t="shared" si="48"/>
        <v>-247500</v>
      </c>
      <c r="CH82" s="356">
        <f t="shared" si="48"/>
        <v>-247500</v>
      </c>
      <c r="CI82" s="1"/>
      <c r="CJ82" s="1"/>
      <c r="CK82" s="1"/>
      <c r="CL82" s="1"/>
      <c r="CM82" s="1"/>
      <c r="CN82" s="1"/>
      <c r="CO82" s="1"/>
      <c r="CP82" s="1"/>
    </row>
    <row r="83" ht="15.75" customHeight="1">
      <c r="A83" s="119" t="s">
        <v>662</v>
      </c>
      <c r="B83" s="351"/>
      <c r="C83" s="351">
        <f t="shared" ref="C83:CH83" si="49">SUM(C77:C82)</f>
        <v>-17810</v>
      </c>
      <c r="D83" s="351">
        <f t="shared" si="49"/>
        <v>-34863</v>
      </c>
      <c r="E83" s="351">
        <f t="shared" si="49"/>
        <v>-22283</v>
      </c>
      <c r="F83" s="351">
        <f t="shared" si="49"/>
        <v>-22062</v>
      </c>
      <c r="G83" s="351">
        <f t="shared" si="49"/>
        <v>-29784</v>
      </c>
      <c r="H83" s="351">
        <f t="shared" si="49"/>
        <v>-32303</v>
      </c>
      <c r="I83" s="351">
        <f t="shared" si="49"/>
        <v>-26096</v>
      </c>
      <c r="J83" s="351">
        <f t="shared" si="49"/>
        <v>-30774</v>
      </c>
      <c r="K83" s="351">
        <f t="shared" si="49"/>
        <v>-34723</v>
      </c>
      <c r="L83" s="351">
        <f t="shared" si="49"/>
        <v>-25897</v>
      </c>
      <c r="M83" s="351">
        <f t="shared" si="49"/>
        <v>-34954</v>
      </c>
      <c r="N83" s="351">
        <f t="shared" si="49"/>
        <v>-37588</v>
      </c>
      <c r="O83" s="351">
        <f t="shared" si="49"/>
        <v>-24488</v>
      </c>
      <c r="P83" s="351">
        <f t="shared" si="49"/>
        <v>-30107</v>
      </c>
      <c r="Q83" s="351">
        <f t="shared" si="49"/>
        <v>-33619</v>
      </c>
      <c r="R83" s="351">
        <f t="shared" si="49"/>
        <v>-38188</v>
      </c>
      <c r="S83" s="351">
        <f t="shared" si="49"/>
        <v>-28229</v>
      </c>
      <c r="T83" s="351">
        <f t="shared" si="49"/>
        <v>-31527</v>
      </c>
      <c r="U83" s="351">
        <f t="shared" si="49"/>
        <v>-26153</v>
      </c>
      <c r="V83" s="351">
        <f t="shared" si="49"/>
        <v>-35817</v>
      </c>
      <c r="W83" s="351">
        <f t="shared" si="49"/>
        <v>-25442</v>
      </c>
      <c r="X83" s="351">
        <f t="shared" si="49"/>
        <v>-38506</v>
      </c>
      <c r="Y83" s="351">
        <f t="shared" si="49"/>
        <v>-24107</v>
      </c>
      <c r="Z83" s="351">
        <f t="shared" si="49"/>
        <v>-81662.753</v>
      </c>
      <c r="AA83" s="351">
        <f t="shared" si="49"/>
        <v>-185616.7376</v>
      </c>
      <c r="AB83" s="351">
        <f t="shared" si="49"/>
        <v>-265722.8008</v>
      </c>
      <c r="AC83" s="351">
        <f t="shared" si="49"/>
        <v>-325753.1878</v>
      </c>
      <c r="AD83" s="351">
        <f t="shared" si="49"/>
        <v>-362213.7826</v>
      </c>
      <c r="AE83" s="351">
        <f t="shared" si="49"/>
        <v>-383739.9138</v>
      </c>
      <c r="AF83" s="351">
        <f t="shared" si="49"/>
        <v>-400722.5179</v>
      </c>
      <c r="AG83" s="351">
        <f t="shared" si="49"/>
        <v>-410753.38</v>
      </c>
      <c r="AH83" s="351">
        <f t="shared" si="49"/>
        <v>-422370.1626</v>
      </c>
      <c r="AI83" s="351">
        <f t="shared" si="49"/>
        <v>-433147.1384</v>
      </c>
      <c r="AJ83" s="351">
        <f t="shared" si="49"/>
        <v>-437219.7531</v>
      </c>
      <c r="AK83" s="351">
        <f t="shared" si="49"/>
        <v>-442476.7636</v>
      </c>
      <c r="AL83" s="351">
        <f t="shared" si="49"/>
        <v>-448487.4138</v>
      </c>
      <c r="AM83" s="351">
        <f t="shared" si="49"/>
        <v>-459600.2906</v>
      </c>
      <c r="AN83" s="351">
        <f t="shared" si="49"/>
        <v>-467331.9576</v>
      </c>
      <c r="AO83" s="351">
        <f t="shared" si="49"/>
        <v>-469460.7486</v>
      </c>
      <c r="AP83" s="351">
        <f t="shared" si="49"/>
        <v>-471473.4237</v>
      </c>
      <c r="AQ83" s="351">
        <f t="shared" si="49"/>
        <v>-473792.0064</v>
      </c>
      <c r="AR83" s="351">
        <f t="shared" si="49"/>
        <v>-476314.2307</v>
      </c>
      <c r="AS83" s="351">
        <f t="shared" si="49"/>
        <v>-479152.2228</v>
      </c>
      <c r="AT83" s="351">
        <f t="shared" si="49"/>
        <v>-482032.5177</v>
      </c>
      <c r="AU83" s="351">
        <f t="shared" si="49"/>
        <v>-484930.3327</v>
      </c>
      <c r="AV83" s="351">
        <f t="shared" si="49"/>
        <v>-487829.1258</v>
      </c>
      <c r="AW83" s="351">
        <f t="shared" si="49"/>
        <v>-490718.1311</v>
      </c>
      <c r="AX83" s="351">
        <f t="shared" si="49"/>
        <v>-493590.613</v>
      </c>
      <c r="AY83" s="351">
        <f t="shared" si="49"/>
        <v>-462156.0129</v>
      </c>
      <c r="AZ83" s="351">
        <f t="shared" si="49"/>
        <v>-466999.856</v>
      </c>
      <c r="BA83" s="351">
        <f t="shared" si="49"/>
        <v>-471595.4026</v>
      </c>
      <c r="BB83" s="351">
        <f t="shared" si="49"/>
        <v>-475901.1004</v>
      </c>
      <c r="BC83" s="351">
        <f t="shared" si="49"/>
        <v>-479979.6328</v>
      </c>
      <c r="BD83" s="351">
        <f t="shared" si="49"/>
        <v>-483878.1927</v>
      </c>
      <c r="BE83" s="351">
        <f t="shared" si="49"/>
        <v>-487632.4584</v>
      </c>
      <c r="BF83" s="351">
        <f t="shared" si="49"/>
        <v>-491269.5435</v>
      </c>
      <c r="BG83" s="351">
        <f t="shared" si="49"/>
        <v>-494810.1856</v>
      </c>
      <c r="BH83" s="351">
        <f t="shared" si="49"/>
        <v>-498270.37</v>
      </c>
      <c r="BI83" s="351">
        <f t="shared" si="49"/>
        <v>-501662.5352</v>
      </c>
      <c r="BJ83" s="351">
        <f t="shared" si="49"/>
        <v>-504996.4679</v>
      </c>
      <c r="BK83" s="351">
        <f t="shared" si="49"/>
        <v>-499161.6382</v>
      </c>
      <c r="BL83" s="351">
        <f t="shared" si="49"/>
        <v>-503485.5334</v>
      </c>
      <c r="BM83" s="351">
        <f t="shared" si="49"/>
        <v>-507336.3233</v>
      </c>
      <c r="BN83" s="351">
        <f t="shared" si="49"/>
        <v>-510417.9214</v>
      </c>
      <c r="BO83" s="351">
        <f t="shared" si="49"/>
        <v>-513485.579</v>
      </c>
      <c r="BP83" s="351">
        <f t="shared" si="49"/>
        <v>-516541.5695</v>
      </c>
      <c r="BQ83" s="351">
        <f t="shared" si="49"/>
        <v>-519588.0286</v>
      </c>
      <c r="BR83" s="351">
        <f t="shared" si="49"/>
        <v>-522626.9779</v>
      </c>
      <c r="BS83" s="351">
        <f t="shared" si="49"/>
        <v>-525660.3437</v>
      </c>
      <c r="BT83" s="351">
        <f t="shared" si="49"/>
        <v>-528689.9721</v>
      </c>
      <c r="BU83" s="351">
        <f t="shared" si="49"/>
        <v>-531717.6415</v>
      </c>
      <c r="BV83" s="351">
        <f t="shared" si="49"/>
        <v>-534745.0724</v>
      </c>
      <c r="BW83" s="351">
        <f t="shared" si="49"/>
        <v>-532410.0261</v>
      </c>
      <c r="BX83" s="351">
        <f t="shared" si="49"/>
        <v>-535715.4326</v>
      </c>
      <c r="BY83" s="351">
        <f t="shared" si="49"/>
        <v>-536519.2085</v>
      </c>
      <c r="BZ83" s="351">
        <f t="shared" si="49"/>
        <v>-537055.924</v>
      </c>
      <c r="CA83" s="351">
        <f t="shared" si="49"/>
        <v>-537965.2304</v>
      </c>
      <c r="CB83" s="351">
        <f t="shared" si="49"/>
        <v>-539149.7498</v>
      </c>
      <c r="CC83" s="351">
        <f t="shared" si="49"/>
        <v>-540537.4683</v>
      </c>
      <c r="CD83" s="351">
        <f t="shared" si="49"/>
        <v>-542075.2095</v>
      </c>
      <c r="CE83" s="351">
        <f t="shared" si="49"/>
        <v>-543723.7839</v>
      </c>
      <c r="CF83" s="351">
        <f t="shared" si="49"/>
        <v>-545454.3852</v>
      </c>
      <c r="CG83" s="351">
        <f t="shared" si="49"/>
        <v>-547245.9119</v>
      </c>
      <c r="CH83" s="351">
        <f t="shared" si="49"/>
        <v>-549082.9773</v>
      </c>
      <c r="CI83" s="313"/>
      <c r="CJ83" s="313"/>
      <c r="CK83" s="313"/>
      <c r="CL83" s="313"/>
      <c r="CM83" s="313"/>
      <c r="CN83" s="313"/>
      <c r="CO83" s="313"/>
      <c r="CP83" s="313"/>
    </row>
    <row r="84" ht="15.75" customHeight="1">
      <c r="A84" s="1"/>
      <c r="B84" s="356"/>
      <c r="C84" s="356"/>
      <c r="D84" s="356"/>
      <c r="E84" s="356"/>
      <c r="F84" s="356"/>
      <c r="G84" s="356"/>
      <c r="H84" s="356"/>
      <c r="I84" s="356"/>
      <c r="J84" s="356"/>
      <c r="K84" s="356"/>
      <c r="L84" s="403"/>
      <c r="M84" s="356"/>
      <c r="N84" s="356"/>
      <c r="O84" s="356"/>
      <c r="P84" s="356"/>
      <c r="Q84" s="356"/>
      <c r="R84" s="356"/>
      <c r="S84" s="356"/>
      <c r="T84" s="356"/>
      <c r="U84" s="356"/>
      <c r="V84" s="356"/>
      <c r="W84" s="356"/>
      <c r="X84" s="356"/>
      <c r="Y84" s="356"/>
      <c r="Z84" s="356"/>
      <c r="AA84" s="356"/>
      <c r="AB84" s="356"/>
      <c r="AC84" s="356"/>
      <c r="AD84" s="356"/>
      <c r="AE84" s="356"/>
      <c r="AF84" s="356"/>
      <c r="AG84" s="356"/>
      <c r="AH84" s="404"/>
      <c r="AI84" s="400"/>
      <c r="AJ84" s="356"/>
      <c r="AK84" s="356"/>
      <c r="AL84" s="404">
        <f>1-((SUM(AA77:AL79)*-1)/AVERAGE(AA47:AL47))</f>
        <v>0.4290520242</v>
      </c>
      <c r="AM84" s="356"/>
      <c r="AN84" s="356"/>
      <c r="AO84" s="356"/>
      <c r="AP84" s="356"/>
      <c r="AQ84" s="356"/>
      <c r="AR84" s="356"/>
      <c r="AS84" s="356"/>
      <c r="AT84" s="356"/>
      <c r="AU84" s="356"/>
      <c r="AV84" s="356"/>
      <c r="AW84" s="356"/>
      <c r="AX84" s="356"/>
      <c r="AY84" s="356"/>
      <c r="AZ84" s="356"/>
      <c r="BA84" s="356"/>
      <c r="BB84" s="356"/>
      <c r="BC84" s="356"/>
      <c r="BD84" s="356"/>
      <c r="BE84" s="356"/>
      <c r="BF84" s="356"/>
      <c r="BG84" s="356"/>
      <c r="BH84" s="356"/>
      <c r="BI84" s="356"/>
      <c r="BJ84" s="356"/>
      <c r="BK84" s="356"/>
      <c r="BL84" s="356"/>
      <c r="BM84" s="356"/>
      <c r="BN84" s="356"/>
      <c r="BO84" s="356"/>
      <c r="BP84" s="356"/>
      <c r="BQ84" s="356"/>
      <c r="BR84" s="356"/>
      <c r="BS84" s="356"/>
      <c r="BT84" s="356"/>
      <c r="BU84" s="356"/>
      <c r="BV84" s="356"/>
      <c r="BW84" s="356"/>
      <c r="BX84" s="356"/>
      <c r="BY84" s="356"/>
      <c r="BZ84" s="356"/>
      <c r="CA84" s="356"/>
      <c r="CB84" s="356"/>
      <c r="CC84" s="356"/>
      <c r="CD84" s="356"/>
      <c r="CE84" s="356"/>
      <c r="CF84" s="356"/>
      <c r="CG84" s="356"/>
      <c r="CH84" s="356"/>
      <c r="CI84" s="1"/>
      <c r="CJ84" s="1"/>
      <c r="CK84" s="1"/>
      <c r="CL84" s="1"/>
      <c r="CM84" s="1"/>
      <c r="CN84" s="1"/>
      <c r="CO84" s="1"/>
      <c r="CP84" s="1"/>
    </row>
    <row r="85" ht="15.75" customHeight="1">
      <c r="A85" s="1" t="s">
        <v>129</v>
      </c>
      <c r="B85" s="1"/>
      <c r="C85" s="1"/>
      <c r="D85" s="137">
        <f t="shared" ref="D85:CH85" si="50">C40+D77</f>
        <v>139692</v>
      </c>
      <c r="E85" s="137">
        <f t="shared" si="50"/>
        <v>265641</v>
      </c>
      <c r="F85" s="137">
        <f t="shared" si="50"/>
        <v>201443</v>
      </c>
      <c r="G85" s="137">
        <f t="shared" si="50"/>
        <v>239583</v>
      </c>
      <c r="H85" s="137">
        <f t="shared" si="50"/>
        <v>247256</v>
      </c>
      <c r="I85" s="137">
        <f t="shared" si="50"/>
        <v>168132</v>
      </c>
      <c r="J85" s="137">
        <f t="shared" si="50"/>
        <v>167243</v>
      </c>
      <c r="K85" s="137">
        <f t="shared" si="50"/>
        <v>155138</v>
      </c>
      <c r="L85" s="137">
        <f t="shared" si="50"/>
        <v>209978</v>
      </c>
      <c r="M85" s="137">
        <f t="shared" si="50"/>
        <v>237774</v>
      </c>
      <c r="N85" s="137">
        <f t="shared" si="50"/>
        <v>230938</v>
      </c>
      <c r="O85" s="137">
        <f t="shared" si="50"/>
        <v>197629</v>
      </c>
      <c r="P85" s="137">
        <f t="shared" si="50"/>
        <v>222954</v>
      </c>
      <c r="Q85" s="137">
        <f t="shared" si="50"/>
        <v>197030</v>
      </c>
      <c r="R85" s="137">
        <f t="shared" si="50"/>
        <v>222523</v>
      </c>
      <c r="S85" s="137">
        <f t="shared" si="50"/>
        <v>214535</v>
      </c>
      <c r="T85" s="137">
        <f t="shared" si="50"/>
        <v>275085</v>
      </c>
      <c r="U85" s="137">
        <f t="shared" si="50"/>
        <v>193249</v>
      </c>
      <c r="V85" s="137">
        <f t="shared" si="50"/>
        <v>267102</v>
      </c>
      <c r="W85" s="137">
        <f t="shared" si="50"/>
        <v>261239</v>
      </c>
      <c r="X85" s="137">
        <f t="shared" si="50"/>
        <v>240474</v>
      </c>
      <c r="Y85" s="137">
        <f t="shared" si="50"/>
        <v>188179</v>
      </c>
      <c r="Z85" s="137">
        <f t="shared" si="50"/>
        <v>271513.263</v>
      </c>
      <c r="AA85" s="131">
        <f t="shared" si="50"/>
        <v>316467.5102</v>
      </c>
      <c r="AB85" s="131">
        <f t="shared" si="50"/>
        <v>370559.5482</v>
      </c>
      <c r="AC85" s="131">
        <f t="shared" si="50"/>
        <v>431806.5839</v>
      </c>
      <c r="AD85" s="131">
        <f t="shared" si="50"/>
        <v>495198.4815</v>
      </c>
      <c r="AE85" s="131">
        <f t="shared" si="50"/>
        <v>559599.411</v>
      </c>
      <c r="AF85" s="131">
        <f t="shared" si="50"/>
        <v>626157.8475</v>
      </c>
      <c r="AG85" s="131">
        <f t="shared" si="50"/>
        <v>693900.8007</v>
      </c>
      <c r="AH85" s="131">
        <f t="shared" si="50"/>
        <v>761034.6284</v>
      </c>
      <c r="AI85" s="131">
        <f t="shared" si="50"/>
        <v>827897.6145</v>
      </c>
      <c r="AJ85" s="131">
        <f t="shared" si="50"/>
        <v>896915.2609</v>
      </c>
      <c r="AK85" s="131">
        <f t="shared" si="50"/>
        <v>963818.8785</v>
      </c>
      <c r="AL85" s="131">
        <f t="shared" si="50"/>
        <v>1032450.039</v>
      </c>
      <c r="AM85" s="131">
        <f t="shared" si="50"/>
        <v>1090651.007</v>
      </c>
      <c r="AN85" s="131">
        <f t="shared" si="50"/>
        <v>1132355.282</v>
      </c>
      <c r="AO85" s="131">
        <f t="shared" si="50"/>
        <v>1159884.199</v>
      </c>
      <c r="AP85" s="131">
        <f t="shared" si="50"/>
        <v>1184407.892</v>
      </c>
      <c r="AQ85" s="131">
        <f t="shared" si="50"/>
        <v>1208388.055</v>
      </c>
      <c r="AR85" s="131">
        <f t="shared" si="50"/>
        <v>1231856.857</v>
      </c>
      <c r="AS85" s="131">
        <f t="shared" si="50"/>
        <v>1255048.634</v>
      </c>
      <c r="AT85" s="131">
        <f t="shared" si="50"/>
        <v>1277780.269</v>
      </c>
      <c r="AU85" s="131">
        <f t="shared" si="50"/>
        <v>1300080.135</v>
      </c>
      <c r="AV85" s="131">
        <f t="shared" si="50"/>
        <v>1321975.314</v>
      </c>
      <c r="AW85" s="131">
        <f t="shared" si="50"/>
        <v>1343491.656</v>
      </c>
      <c r="AX85" s="131">
        <f t="shared" si="50"/>
        <v>1364653.843</v>
      </c>
      <c r="AY85" s="131">
        <f t="shared" si="50"/>
        <v>1397128.178</v>
      </c>
      <c r="AZ85" s="131">
        <f t="shared" si="50"/>
        <v>1429211.338</v>
      </c>
      <c r="BA85" s="131">
        <f t="shared" si="50"/>
        <v>1460914.64</v>
      </c>
      <c r="BB85" s="131">
        <f t="shared" si="50"/>
        <v>1492046.002</v>
      </c>
      <c r="BC85" s="131">
        <f t="shared" si="50"/>
        <v>1522634.813</v>
      </c>
      <c r="BD85" s="131">
        <f t="shared" si="50"/>
        <v>1552709.353</v>
      </c>
      <c r="BE85" s="131">
        <f t="shared" si="50"/>
        <v>1582296.843</v>
      </c>
      <c r="BF85" s="131">
        <f t="shared" si="50"/>
        <v>1611423.484</v>
      </c>
      <c r="BG85" s="131">
        <f t="shared" si="50"/>
        <v>1640114.502</v>
      </c>
      <c r="BH85" s="131">
        <f t="shared" si="50"/>
        <v>1668394.183</v>
      </c>
      <c r="BI85" s="131">
        <f t="shared" si="50"/>
        <v>1696285.918</v>
      </c>
      <c r="BJ85" s="131">
        <f t="shared" si="50"/>
        <v>1723812.233</v>
      </c>
      <c r="BK85" s="131">
        <f t="shared" si="50"/>
        <v>1754642.736</v>
      </c>
      <c r="BL85" s="131">
        <f t="shared" si="50"/>
        <v>1785500.345</v>
      </c>
      <c r="BM85" s="131">
        <f t="shared" si="50"/>
        <v>1814391.531</v>
      </c>
      <c r="BN85" s="131">
        <f t="shared" si="50"/>
        <v>1839337.532</v>
      </c>
      <c r="BO85" s="131">
        <f t="shared" si="50"/>
        <v>1864199.982</v>
      </c>
      <c r="BP85" s="131">
        <f t="shared" si="50"/>
        <v>1888994.47</v>
      </c>
      <c r="BQ85" s="131">
        <f t="shared" si="50"/>
        <v>1913736.259</v>
      </c>
      <c r="BR85" s="131">
        <f t="shared" si="50"/>
        <v>1938440.309</v>
      </c>
      <c r="BS85" s="131">
        <f t="shared" si="50"/>
        <v>1963121.294</v>
      </c>
      <c r="BT85" s="131">
        <f t="shared" si="50"/>
        <v>1987793.621</v>
      </c>
      <c r="BU85" s="131">
        <f t="shared" si="50"/>
        <v>2012471.449</v>
      </c>
      <c r="BV85" s="131">
        <f t="shared" si="50"/>
        <v>2037168.707</v>
      </c>
      <c r="BW85" s="131">
        <f t="shared" si="50"/>
        <v>2064042.455</v>
      </c>
      <c r="BX85" s="131">
        <f t="shared" si="50"/>
        <v>2091715.733</v>
      </c>
      <c r="BY85" s="131">
        <f t="shared" si="50"/>
        <v>2113818.475</v>
      </c>
      <c r="BZ85" s="131">
        <f t="shared" si="50"/>
        <v>2131699.603</v>
      </c>
      <c r="CA85" s="131">
        <f t="shared" si="50"/>
        <v>2149366.649</v>
      </c>
      <c r="CB85" s="131">
        <f t="shared" si="50"/>
        <v>2166839.532</v>
      </c>
      <c r="CC85" s="131">
        <f t="shared" si="50"/>
        <v>2184137.347</v>
      </c>
      <c r="CD85" s="131">
        <f t="shared" si="50"/>
        <v>2201278.403</v>
      </c>
      <c r="CE85" s="131">
        <f t="shared" si="50"/>
        <v>2218280.252</v>
      </c>
      <c r="CF85" s="131">
        <f t="shared" si="50"/>
        <v>2235159.729</v>
      </c>
      <c r="CG85" s="131">
        <f t="shared" si="50"/>
        <v>2251932.976</v>
      </c>
      <c r="CH85" s="131">
        <f t="shared" si="50"/>
        <v>2268615.476</v>
      </c>
      <c r="CI85" s="1"/>
      <c r="CJ85" s="1"/>
      <c r="CK85" s="1"/>
      <c r="CL85" s="1"/>
      <c r="CM85" s="1"/>
      <c r="CN85" s="1"/>
      <c r="CO85" s="1"/>
      <c r="CP85" s="1"/>
    </row>
    <row r="86" ht="15.75" customHeight="1">
      <c r="A86" s="1" t="s">
        <v>85</v>
      </c>
      <c r="B86" s="1"/>
      <c r="C86" s="1"/>
      <c r="D86" s="137">
        <f t="shared" ref="D86:CH86" si="51">C41+D78</f>
        <v>155602</v>
      </c>
      <c r="E86" s="137">
        <f t="shared" si="51"/>
        <v>258798</v>
      </c>
      <c r="F86" s="137">
        <f t="shared" si="51"/>
        <v>236891</v>
      </c>
      <c r="G86" s="137">
        <f t="shared" si="51"/>
        <v>239251</v>
      </c>
      <c r="H86" s="137">
        <f t="shared" si="51"/>
        <v>159782</v>
      </c>
      <c r="I86" s="137">
        <f t="shared" si="51"/>
        <v>217098</v>
      </c>
      <c r="J86" s="137">
        <f t="shared" si="51"/>
        <v>172857</v>
      </c>
      <c r="K86" s="137">
        <f t="shared" si="51"/>
        <v>155822</v>
      </c>
      <c r="L86" s="137">
        <f t="shared" si="51"/>
        <v>221801</v>
      </c>
      <c r="M86" s="137">
        <f t="shared" si="51"/>
        <v>249251</v>
      </c>
      <c r="N86" s="137">
        <f t="shared" si="51"/>
        <v>231084</v>
      </c>
      <c r="O86" s="137">
        <f t="shared" si="51"/>
        <v>256127</v>
      </c>
      <c r="P86" s="137">
        <f t="shared" si="51"/>
        <v>228873</v>
      </c>
      <c r="Q86" s="137">
        <f t="shared" si="51"/>
        <v>216673</v>
      </c>
      <c r="R86" s="137">
        <f t="shared" si="51"/>
        <v>131814</v>
      </c>
      <c r="S86" s="137">
        <f t="shared" si="51"/>
        <v>169293</v>
      </c>
      <c r="T86" s="137">
        <f t="shared" si="51"/>
        <v>161839</v>
      </c>
      <c r="U86" s="137">
        <f t="shared" si="51"/>
        <v>179843</v>
      </c>
      <c r="V86" s="137">
        <f t="shared" si="51"/>
        <v>127094</v>
      </c>
      <c r="W86" s="137">
        <f t="shared" si="51"/>
        <v>257247</v>
      </c>
      <c r="X86" s="137">
        <f t="shared" si="51"/>
        <v>265688</v>
      </c>
      <c r="Y86" s="137">
        <f t="shared" si="51"/>
        <v>165262</v>
      </c>
      <c r="Z86" s="137">
        <f t="shared" si="51"/>
        <v>177155.892</v>
      </c>
      <c r="AA86" s="131">
        <f t="shared" si="51"/>
        <v>217375.1621</v>
      </c>
      <c r="AB86" s="131">
        <f t="shared" si="51"/>
        <v>265670.866</v>
      </c>
      <c r="AC86" s="131">
        <f t="shared" si="51"/>
        <v>319909.4424</v>
      </c>
      <c r="AD86" s="131">
        <f t="shared" si="51"/>
        <v>376221.2304</v>
      </c>
      <c r="AE86" s="131">
        <f t="shared" si="51"/>
        <v>433596.554</v>
      </c>
      <c r="AF86" s="131">
        <f t="shared" si="51"/>
        <v>490646.3498</v>
      </c>
      <c r="AG86" s="131">
        <f t="shared" si="51"/>
        <v>543231.635</v>
      </c>
      <c r="AH86" s="131">
        <f t="shared" si="51"/>
        <v>594715.3157</v>
      </c>
      <c r="AI86" s="131">
        <f t="shared" si="51"/>
        <v>644176.6719</v>
      </c>
      <c r="AJ86" s="131">
        <f t="shared" si="51"/>
        <v>692333.9045</v>
      </c>
      <c r="AK86" s="131">
        <f t="shared" si="51"/>
        <v>737893.4355</v>
      </c>
      <c r="AL86" s="131">
        <f t="shared" si="51"/>
        <v>782480.6502</v>
      </c>
      <c r="AM86" s="131">
        <f t="shared" si="51"/>
        <v>826616.652</v>
      </c>
      <c r="AN86" s="131">
        <f t="shared" si="51"/>
        <v>857506.758</v>
      </c>
      <c r="AO86" s="131">
        <f t="shared" si="51"/>
        <v>878071.6918</v>
      </c>
      <c r="AP86" s="131">
        <f t="shared" si="51"/>
        <v>896372.2569</v>
      </c>
      <c r="AQ86" s="131">
        <f t="shared" si="51"/>
        <v>914255.6496</v>
      </c>
      <c r="AR86" s="131">
        <f t="shared" si="51"/>
        <v>931747.5555</v>
      </c>
      <c r="AS86" s="131">
        <f t="shared" si="51"/>
        <v>949024.779</v>
      </c>
      <c r="AT86" s="131">
        <f t="shared" si="51"/>
        <v>965951.4007</v>
      </c>
      <c r="AU86" s="131">
        <f t="shared" si="51"/>
        <v>982549.9438</v>
      </c>
      <c r="AV86" s="131">
        <f t="shared" si="51"/>
        <v>998841.8606</v>
      </c>
      <c r="AW86" s="131">
        <f t="shared" si="51"/>
        <v>1014847.587</v>
      </c>
      <c r="AX86" s="131">
        <f t="shared" si="51"/>
        <v>1030586.594</v>
      </c>
      <c r="AY86" s="131">
        <f t="shared" si="51"/>
        <v>1055987.643</v>
      </c>
      <c r="AZ86" s="131">
        <f t="shared" si="51"/>
        <v>1081053.647</v>
      </c>
      <c r="BA86" s="131">
        <f t="shared" si="51"/>
        <v>1105794.683</v>
      </c>
      <c r="BB86" s="131">
        <f t="shared" si="51"/>
        <v>1130069.142</v>
      </c>
      <c r="BC86" s="131">
        <f t="shared" si="51"/>
        <v>1153901.329</v>
      </c>
      <c r="BD86" s="131">
        <f t="shared" si="51"/>
        <v>1177314.607</v>
      </c>
      <c r="BE86" s="131">
        <f t="shared" si="51"/>
        <v>1200331.436</v>
      </c>
      <c r="BF86" s="131">
        <f t="shared" si="51"/>
        <v>1222973.413</v>
      </c>
      <c r="BG86" s="131">
        <f t="shared" si="51"/>
        <v>1245261.306</v>
      </c>
      <c r="BH86" s="131">
        <f t="shared" si="51"/>
        <v>1267215.09</v>
      </c>
      <c r="BI86" s="131">
        <f t="shared" si="51"/>
        <v>1288853.977</v>
      </c>
      <c r="BJ86" s="131">
        <f t="shared" si="51"/>
        <v>1310196.453</v>
      </c>
      <c r="BK86" s="131">
        <f t="shared" si="51"/>
        <v>1334036.655</v>
      </c>
      <c r="BL86" s="131">
        <f t="shared" si="51"/>
        <v>1357847.621</v>
      </c>
      <c r="BM86" s="131">
        <f t="shared" si="51"/>
        <v>1380171.756</v>
      </c>
      <c r="BN86" s="131">
        <f t="shared" si="51"/>
        <v>1399323.372</v>
      </c>
      <c r="BO86" s="131">
        <f t="shared" si="51"/>
        <v>1418410.508</v>
      </c>
      <c r="BP86" s="131">
        <f t="shared" si="51"/>
        <v>1437445.599</v>
      </c>
      <c r="BQ86" s="131">
        <f t="shared" si="51"/>
        <v>1456440.806</v>
      </c>
      <c r="BR86" s="131">
        <f t="shared" si="51"/>
        <v>1475408.039</v>
      </c>
      <c r="BS86" s="131">
        <f t="shared" si="51"/>
        <v>1494358.972</v>
      </c>
      <c r="BT86" s="131">
        <f t="shared" si="51"/>
        <v>1513305.054</v>
      </c>
      <c r="BU86" s="131">
        <f t="shared" si="51"/>
        <v>1532257.53</v>
      </c>
      <c r="BV86" s="131">
        <f t="shared" si="51"/>
        <v>1551227.454</v>
      </c>
      <c r="BW86" s="131">
        <f t="shared" si="51"/>
        <v>1571859.65</v>
      </c>
      <c r="BX86" s="131">
        <f t="shared" si="51"/>
        <v>1593136.993</v>
      </c>
      <c r="BY86" s="131">
        <f t="shared" si="51"/>
        <v>1610214.801</v>
      </c>
      <c r="BZ86" s="131">
        <f t="shared" si="51"/>
        <v>1623894.933</v>
      </c>
      <c r="CA86" s="131">
        <f t="shared" si="51"/>
        <v>1637403.075</v>
      </c>
      <c r="CB86" s="131">
        <f t="shared" si="51"/>
        <v>1650755.348</v>
      </c>
      <c r="CC86" s="131">
        <f t="shared" si="51"/>
        <v>1663967.194</v>
      </c>
      <c r="CD86" s="131">
        <f t="shared" si="51"/>
        <v>1677053.399</v>
      </c>
      <c r="CE86" s="131">
        <f t="shared" si="51"/>
        <v>1690028.129</v>
      </c>
      <c r="CF86" s="131">
        <f t="shared" si="51"/>
        <v>1702904.951</v>
      </c>
      <c r="CG86" s="131">
        <f t="shared" si="51"/>
        <v>1715696.864</v>
      </c>
      <c r="CH86" s="131">
        <f t="shared" si="51"/>
        <v>1728416.321</v>
      </c>
      <c r="CI86" s="1"/>
      <c r="CJ86" s="1"/>
      <c r="CK86" s="1"/>
      <c r="CL86" s="1"/>
      <c r="CM86" s="1"/>
      <c r="CN86" s="1"/>
      <c r="CO86" s="1"/>
      <c r="CP86" s="1"/>
    </row>
    <row r="87" ht="15.75" customHeight="1">
      <c r="A87" s="1" t="s">
        <v>130</v>
      </c>
      <c r="B87" s="1"/>
      <c r="C87" s="1"/>
      <c r="D87" s="137">
        <f t="shared" ref="D87:CH87" si="52">C42+D79</f>
        <v>198722</v>
      </c>
      <c r="E87" s="137">
        <f t="shared" si="52"/>
        <v>135656</v>
      </c>
      <c r="F87" s="137">
        <f t="shared" si="52"/>
        <v>167745</v>
      </c>
      <c r="G87" s="137">
        <f t="shared" si="52"/>
        <v>231352</v>
      </c>
      <c r="H87" s="137">
        <f t="shared" si="52"/>
        <v>260579</v>
      </c>
      <c r="I87" s="137">
        <f t="shared" si="52"/>
        <v>263127</v>
      </c>
      <c r="J87" s="137">
        <f t="shared" si="52"/>
        <v>252297</v>
      </c>
      <c r="K87" s="137">
        <f t="shared" si="52"/>
        <v>183923</v>
      </c>
      <c r="L87" s="137">
        <f t="shared" si="52"/>
        <v>179600</v>
      </c>
      <c r="M87" s="137">
        <f t="shared" si="52"/>
        <v>142793</v>
      </c>
      <c r="N87" s="137">
        <f t="shared" si="52"/>
        <v>175831</v>
      </c>
      <c r="O87" s="137">
        <f t="shared" si="52"/>
        <v>146558</v>
      </c>
      <c r="P87" s="137">
        <f t="shared" si="52"/>
        <v>189001</v>
      </c>
      <c r="Q87" s="137">
        <f t="shared" si="52"/>
        <v>183663</v>
      </c>
      <c r="R87" s="137">
        <f t="shared" si="52"/>
        <v>198027</v>
      </c>
      <c r="S87" s="137">
        <f t="shared" si="52"/>
        <v>249975</v>
      </c>
      <c r="T87" s="137">
        <f t="shared" si="52"/>
        <v>228575</v>
      </c>
      <c r="U87" s="137">
        <f t="shared" si="52"/>
        <v>157038</v>
      </c>
      <c r="V87" s="137">
        <f t="shared" si="52"/>
        <v>181669</v>
      </c>
      <c r="W87" s="137">
        <f t="shared" si="52"/>
        <v>229763</v>
      </c>
      <c r="X87" s="137">
        <f t="shared" si="52"/>
        <v>241681</v>
      </c>
      <c r="Y87" s="137">
        <f t="shared" si="52"/>
        <v>257356</v>
      </c>
      <c r="Z87" s="137">
        <f t="shared" si="52"/>
        <v>192063.512</v>
      </c>
      <c r="AA87" s="131">
        <f t="shared" si="52"/>
        <v>235365.5974</v>
      </c>
      <c r="AB87" s="131">
        <f t="shared" si="52"/>
        <v>289479.3104</v>
      </c>
      <c r="AC87" s="131">
        <f t="shared" si="52"/>
        <v>348675.7426</v>
      </c>
      <c r="AD87" s="131">
        <f t="shared" si="52"/>
        <v>407258.908</v>
      </c>
      <c r="AE87" s="131">
        <f t="shared" si="52"/>
        <v>465111.6698</v>
      </c>
      <c r="AF87" s="131">
        <f t="shared" si="52"/>
        <v>521433.9204</v>
      </c>
      <c r="AG87" s="131">
        <f t="shared" si="52"/>
        <v>581873.0358</v>
      </c>
      <c r="AH87" s="131">
        <f t="shared" si="52"/>
        <v>639556.02</v>
      </c>
      <c r="AI87" s="131">
        <f t="shared" si="52"/>
        <v>694598.8437</v>
      </c>
      <c r="AJ87" s="131">
        <f t="shared" si="52"/>
        <v>747959.0902</v>
      </c>
      <c r="AK87" s="131">
        <f t="shared" si="52"/>
        <v>793384.8325</v>
      </c>
      <c r="AL87" s="131">
        <f t="shared" si="52"/>
        <v>837093.2041</v>
      </c>
      <c r="AM87" s="131">
        <f t="shared" si="52"/>
        <v>879370.5229</v>
      </c>
      <c r="AN87" s="131">
        <f t="shared" si="52"/>
        <v>915680.5795</v>
      </c>
      <c r="AO87" s="131">
        <f t="shared" si="52"/>
        <v>931558.1829</v>
      </c>
      <c r="AP87" s="131">
        <f t="shared" si="52"/>
        <v>944380.1118</v>
      </c>
      <c r="AQ87" s="131">
        <f t="shared" si="52"/>
        <v>956937.2069</v>
      </c>
      <c r="AR87" s="131">
        <f t="shared" si="52"/>
        <v>969245.5828</v>
      </c>
      <c r="AS87" s="131">
        <f t="shared" si="52"/>
        <v>981784.9201</v>
      </c>
      <c r="AT87" s="131">
        <f t="shared" si="52"/>
        <v>994084.5746</v>
      </c>
      <c r="AU87" s="131">
        <f t="shared" si="52"/>
        <v>1006159.497</v>
      </c>
      <c r="AV87" s="131">
        <f t="shared" si="52"/>
        <v>1018023.916</v>
      </c>
      <c r="AW87" s="131">
        <f t="shared" si="52"/>
        <v>1029691.38</v>
      </c>
      <c r="AX87" s="131">
        <f t="shared" si="52"/>
        <v>1041174.787</v>
      </c>
      <c r="AY87" s="131">
        <f t="shared" si="52"/>
        <v>1062457.341</v>
      </c>
      <c r="AZ87" s="131">
        <f t="shared" si="52"/>
        <v>1083520.562</v>
      </c>
      <c r="BA87" s="131">
        <f t="shared" si="52"/>
        <v>1104374.544</v>
      </c>
      <c r="BB87" s="131">
        <f t="shared" si="52"/>
        <v>1124785.807</v>
      </c>
      <c r="BC87" s="131">
        <f t="shared" si="52"/>
        <v>1144775.596</v>
      </c>
      <c r="BD87" s="131">
        <f t="shared" si="52"/>
        <v>1164364.316</v>
      </c>
      <c r="BE87" s="131">
        <f t="shared" si="52"/>
        <v>1183571.561</v>
      </c>
      <c r="BF87" s="131">
        <f t="shared" si="52"/>
        <v>1202416.151</v>
      </c>
      <c r="BG87" s="131">
        <f t="shared" si="52"/>
        <v>1220916.162</v>
      </c>
      <c r="BH87" s="131">
        <f t="shared" si="52"/>
        <v>1239088.961</v>
      </c>
      <c r="BI87" s="131">
        <f t="shared" si="52"/>
        <v>1256951.228</v>
      </c>
      <c r="BJ87" s="131">
        <f t="shared" si="52"/>
        <v>1274518.992</v>
      </c>
      <c r="BK87" s="131">
        <f t="shared" si="52"/>
        <v>1294501.726</v>
      </c>
      <c r="BL87" s="131">
        <f t="shared" si="52"/>
        <v>1316618.767</v>
      </c>
      <c r="BM87" s="131">
        <f t="shared" si="52"/>
        <v>1337959.561</v>
      </c>
      <c r="BN87" s="131">
        <f t="shared" si="52"/>
        <v>1357695.269</v>
      </c>
      <c r="BO87" s="131">
        <f t="shared" si="52"/>
        <v>1377155.581</v>
      </c>
      <c r="BP87" s="131">
        <f t="shared" si="52"/>
        <v>1396356.467</v>
      </c>
      <c r="BQ87" s="131">
        <f t="shared" si="52"/>
        <v>1415313.374</v>
      </c>
      <c r="BR87" s="131">
        <f t="shared" si="52"/>
        <v>1434041.243</v>
      </c>
      <c r="BS87" s="131">
        <f t="shared" si="52"/>
        <v>1452554.536</v>
      </c>
      <c r="BT87" s="131">
        <f t="shared" si="52"/>
        <v>1470867.253</v>
      </c>
      <c r="BU87" s="131">
        <f t="shared" si="52"/>
        <v>1488992.958</v>
      </c>
      <c r="BV87" s="131">
        <f t="shared" si="52"/>
        <v>1506944.793</v>
      </c>
      <c r="BW87" s="131">
        <f t="shared" si="52"/>
        <v>1526322.116</v>
      </c>
      <c r="BX87" s="131">
        <f t="shared" si="52"/>
        <v>1545783.818</v>
      </c>
      <c r="BY87" s="131">
        <f t="shared" si="52"/>
        <v>1558757.88</v>
      </c>
      <c r="BZ87" s="131">
        <f t="shared" si="52"/>
        <v>1570266.731</v>
      </c>
      <c r="CA87" s="131">
        <f t="shared" si="52"/>
        <v>1581680.718</v>
      </c>
      <c r="CB87" s="131">
        <f t="shared" si="52"/>
        <v>1593008.486</v>
      </c>
      <c r="CC87" s="131">
        <f t="shared" si="52"/>
        <v>1604258.328</v>
      </c>
      <c r="CD87" s="131">
        <f t="shared" si="52"/>
        <v>1615438.201</v>
      </c>
      <c r="CE87" s="131">
        <f t="shared" si="52"/>
        <v>1626555.735</v>
      </c>
      <c r="CF87" s="131">
        <f t="shared" si="52"/>
        <v>1637618.253</v>
      </c>
      <c r="CG87" s="131">
        <f t="shared" si="52"/>
        <v>1648632.78</v>
      </c>
      <c r="CH87" s="131">
        <f t="shared" si="52"/>
        <v>1659606.059</v>
      </c>
      <c r="CI87" s="1"/>
      <c r="CJ87" s="1"/>
      <c r="CK87" s="1"/>
      <c r="CL87" s="1"/>
      <c r="CM87" s="1"/>
      <c r="CN87" s="1"/>
      <c r="CO87" s="1"/>
      <c r="CP87" s="1"/>
    </row>
    <row r="88" ht="15.75" customHeight="1">
      <c r="A88" s="1" t="s">
        <v>89</v>
      </c>
      <c r="B88" s="1"/>
      <c r="C88" s="1"/>
      <c r="D88" s="117">
        <f t="shared" ref="D88:CH88" si="53">C43+D80</f>
        <v>190265</v>
      </c>
      <c r="E88" s="117">
        <f t="shared" si="53"/>
        <v>28191</v>
      </c>
      <c r="F88" s="117">
        <f t="shared" si="53"/>
        <v>36206</v>
      </c>
      <c r="G88" s="117">
        <f t="shared" si="53"/>
        <v>24613</v>
      </c>
      <c r="H88" s="117">
        <f t="shared" si="53"/>
        <v>27877</v>
      </c>
      <c r="I88" s="117">
        <f t="shared" si="53"/>
        <v>34083</v>
      </c>
      <c r="J88" s="117">
        <f t="shared" si="53"/>
        <v>33389</v>
      </c>
      <c r="K88" s="117">
        <f t="shared" si="53"/>
        <v>28075</v>
      </c>
      <c r="L88" s="117">
        <f t="shared" si="53"/>
        <v>30875</v>
      </c>
      <c r="M88" s="117">
        <f t="shared" si="53"/>
        <v>20170</v>
      </c>
      <c r="N88" s="117">
        <f t="shared" si="53"/>
        <v>25774</v>
      </c>
      <c r="O88" s="117">
        <f t="shared" si="53"/>
        <v>31205</v>
      </c>
      <c r="P88" s="117">
        <f t="shared" si="53"/>
        <v>32887</v>
      </c>
      <c r="Q88" s="117">
        <f t="shared" si="53"/>
        <v>19962</v>
      </c>
      <c r="R88" s="117">
        <f t="shared" si="53"/>
        <v>31985</v>
      </c>
      <c r="S88" s="117">
        <f t="shared" si="53"/>
        <v>35203</v>
      </c>
      <c r="T88" s="117">
        <f t="shared" si="53"/>
        <v>24907</v>
      </c>
      <c r="U88" s="117">
        <f t="shared" si="53"/>
        <v>23099</v>
      </c>
      <c r="V88" s="117">
        <f t="shared" si="53"/>
        <v>20529</v>
      </c>
      <c r="W88" s="117">
        <f t="shared" si="53"/>
        <v>22532</v>
      </c>
      <c r="X88" s="117">
        <f t="shared" si="53"/>
        <v>12374</v>
      </c>
      <c r="Y88" s="117">
        <f t="shared" si="53"/>
        <v>17390</v>
      </c>
      <c r="Z88" s="137">
        <f t="shared" si="53"/>
        <v>25603.5</v>
      </c>
      <c r="AA88" s="131">
        <f t="shared" si="53"/>
        <v>38515.85609</v>
      </c>
      <c r="AB88" s="131">
        <f t="shared" si="53"/>
        <v>51281.62502</v>
      </c>
      <c r="AC88" s="131">
        <f t="shared" si="53"/>
        <v>62614.20245</v>
      </c>
      <c r="AD88" s="131">
        <f t="shared" si="53"/>
        <v>70831.49969</v>
      </c>
      <c r="AE88" s="131">
        <f t="shared" si="53"/>
        <v>79121.28497</v>
      </c>
      <c r="AF88" s="131">
        <f t="shared" si="53"/>
        <v>83080.17992</v>
      </c>
      <c r="AG88" s="131">
        <f t="shared" si="53"/>
        <v>86617.64985</v>
      </c>
      <c r="AH88" s="131">
        <f t="shared" si="53"/>
        <v>87787.35972</v>
      </c>
      <c r="AI88" s="131">
        <f t="shared" si="53"/>
        <v>85992.98915</v>
      </c>
      <c r="AJ88" s="131">
        <f t="shared" si="53"/>
        <v>87689.68269</v>
      </c>
      <c r="AK88" s="131">
        <f t="shared" si="53"/>
        <v>89328.86343</v>
      </c>
      <c r="AL88" s="131">
        <f t="shared" si="53"/>
        <v>90638.72033</v>
      </c>
      <c r="AM88" s="131">
        <f t="shared" si="53"/>
        <v>98381.54461</v>
      </c>
      <c r="AN88" s="131">
        <f t="shared" si="53"/>
        <v>103148.3363</v>
      </c>
      <c r="AO88" s="131">
        <f t="shared" si="53"/>
        <v>99055.73585</v>
      </c>
      <c r="AP88" s="131">
        <f t="shared" si="53"/>
        <v>95203.71072</v>
      </c>
      <c r="AQ88" s="131">
        <f t="shared" si="53"/>
        <v>92590.81446</v>
      </c>
      <c r="AR88" s="131">
        <f t="shared" si="53"/>
        <v>90868.78302</v>
      </c>
      <c r="AS88" s="131">
        <f t="shared" si="53"/>
        <v>89975.27672</v>
      </c>
      <c r="AT88" s="131">
        <f t="shared" si="53"/>
        <v>89491.07931</v>
      </c>
      <c r="AU88" s="131">
        <f t="shared" si="53"/>
        <v>89301.97386</v>
      </c>
      <c r="AV88" s="131">
        <f t="shared" si="53"/>
        <v>89325.96394</v>
      </c>
      <c r="AW88" s="131">
        <f t="shared" si="53"/>
        <v>89504.18755</v>
      </c>
      <c r="AX88" s="131">
        <f t="shared" si="53"/>
        <v>89794.39339</v>
      </c>
      <c r="AY88" s="131">
        <f t="shared" si="53"/>
        <v>92929.01109</v>
      </c>
      <c r="AZ88" s="131">
        <f t="shared" si="53"/>
        <v>96024.92158</v>
      </c>
      <c r="BA88" s="131">
        <f t="shared" si="53"/>
        <v>98591.86091</v>
      </c>
      <c r="BB88" s="131">
        <f t="shared" si="53"/>
        <v>100664.9678</v>
      </c>
      <c r="BC88" s="131">
        <f t="shared" si="53"/>
        <v>102373.9384</v>
      </c>
      <c r="BD88" s="131">
        <f t="shared" si="53"/>
        <v>103814.7596</v>
      </c>
      <c r="BE88" s="131">
        <f t="shared" si="53"/>
        <v>105058.4736</v>
      </c>
      <c r="BF88" s="131">
        <f t="shared" si="53"/>
        <v>106157.6634</v>
      </c>
      <c r="BG88" s="131">
        <f t="shared" si="53"/>
        <v>107151.2525</v>
      </c>
      <c r="BH88" s="131">
        <f t="shared" si="53"/>
        <v>108068.0565</v>
      </c>
      <c r="BI88" s="131">
        <f t="shared" si="53"/>
        <v>108929.4113</v>
      </c>
      <c r="BJ88" s="131">
        <f t="shared" si="53"/>
        <v>109751.1179</v>
      </c>
      <c r="BK88" s="131">
        <f t="shared" si="53"/>
        <v>110544.8814</v>
      </c>
      <c r="BL88" s="131">
        <f t="shared" si="53"/>
        <v>112362.0066</v>
      </c>
      <c r="BM88" s="131">
        <f t="shared" si="53"/>
        <v>113741.9915</v>
      </c>
      <c r="BN88" s="131">
        <f t="shared" si="53"/>
        <v>114442.2251</v>
      </c>
      <c r="BO88" s="131">
        <f t="shared" si="53"/>
        <v>115167.9534</v>
      </c>
      <c r="BP88" s="131">
        <f t="shared" si="53"/>
        <v>115914.7367</v>
      </c>
      <c r="BQ88" s="131">
        <f t="shared" si="53"/>
        <v>116679.33</v>
      </c>
      <c r="BR88" s="131">
        <f t="shared" si="53"/>
        <v>117459.3732</v>
      </c>
      <c r="BS88" s="131">
        <f t="shared" si="53"/>
        <v>118253.1622</v>
      </c>
      <c r="BT88" s="131">
        <f t="shared" si="53"/>
        <v>119059.4798</v>
      </c>
      <c r="BU88" s="131">
        <f t="shared" si="53"/>
        <v>119877.4697</v>
      </c>
      <c r="BV88" s="131">
        <f t="shared" si="53"/>
        <v>120706.5441</v>
      </c>
      <c r="BW88" s="131">
        <f t="shared" si="53"/>
        <v>121546.3154</v>
      </c>
      <c r="BX88" s="131">
        <f t="shared" si="53"/>
        <v>122511.1597</v>
      </c>
      <c r="BY88" s="131">
        <f t="shared" si="53"/>
        <v>120800.9973</v>
      </c>
      <c r="BZ88" s="131">
        <f t="shared" si="53"/>
        <v>119131.7051</v>
      </c>
      <c r="CA88" s="131">
        <f t="shared" si="53"/>
        <v>118040.4418</v>
      </c>
      <c r="CB88" s="131">
        <f t="shared" si="53"/>
        <v>117379.027</v>
      </c>
      <c r="CC88" s="131">
        <f t="shared" si="53"/>
        <v>117037.797</v>
      </c>
      <c r="CD88" s="131">
        <f t="shared" si="53"/>
        <v>116935.5914</v>
      </c>
      <c r="CE88" s="131">
        <f t="shared" si="53"/>
        <v>117012.3425</v>
      </c>
      <c r="CF88" s="131">
        <f t="shared" si="53"/>
        <v>117223.592</v>
      </c>
      <c r="CG88" s="131">
        <f t="shared" si="53"/>
        <v>117536.4335</v>
      </c>
      <c r="CH88" s="131">
        <f t="shared" si="53"/>
        <v>117926.5092</v>
      </c>
      <c r="CI88" s="1"/>
      <c r="CJ88" s="1"/>
      <c r="CK88" s="1"/>
      <c r="CL88" s="1"/>
      <c r="CM88" s="1"/>
      <c r="CN88" s="1"/>
      <c r="CO88" s="1"/>
      <c r="CP88" s="1"/>
    </row>
    <row r="89" ht="15.75" customHeight="1">
      <c r="A89" s="1" t="s">
        <v>94</v>
      </c>
      <c r="B89" s="1"/>
      <c r="C89" s="1"/>
      <c r="D89" s="117">
        <f t="shared" ref="D89:CH89" si="54">C44+D81</f>
        <v>23246</v>
      </c>
      <c r="E89" s="117">
        <f t="shared" si="54"/>
        <v>19262</v>
      </c>
      <c r="F89" s="117">
        <f t="shared" si="54"/>
        <v>35584</v>
      </c>
      <c r="G89" s="117">
        <f t="shared" si="54"/>
        <v>38012</v>
      </c>
      <c r="H89" s="117">
        <f t="shared" si="54"/>
        <v>18947</v>
      </c>
      <c r="I89" s="117">
        <f t="shared" si="54"/>
        <v>24431</v>
      </c>
      <c r="J89" s="117">
        <f t="shared" si="54"/>
        <v>24377</v>
      </c>
      <c r="K89" s="117">
        <f t="shared" si="54"/>
        <v>31110</v>
      </c>
      <c r="L89" s="117">
        <f t="shared" si="54"/>
        <v>34631</v>
      </c>
      <c r="M89" s="117">
        <f t="shared" si="54"/>
        <v>23462</v>
      </c>
      <c r="N89" s="117">
        <f t="shared" si="54"/>
        <v>19972</v>
      </c>
      <c r="O89" s="117">
        <f t="shared" si="54"/>
        <v>25369</v>
      </c>
      <c r="P89" s="117">
        <f t="shared" si="54"/>
        <v>15926</v>
      </c>
      <c r="Q89" s="117">
        <f t="shared" si="54"/>
        <v>24272</v>
      </c>
      <c r="R89" s="117">
        <f t="shared" si="54"/>
        <v>30004</v>
      </c>
      <c r="S89" s="117">
        <f t="shared" si="54"/>
        <v>11625</v>
      </c>
      <c r="T89" s="117">
        <f t="shared" si="54"/>
        <v>24058</v>
      </c>
      <c r="U89" s="117">
        <f t="shared" si="54"/>
        <v>26612</v>
      </c>
      <c r="V89" s="117">
        <f t="shared" si="54"/>
        <v>14777</v>
      </c>
      <c r="W89" s="117">
        <f t="shared" si="54"/>
        <v>34085</v>
      </c>
      <c r="X89" s="117">
        <f t="shared" si="54"/>
        <v>25976</v>
      </c>
      <c r="Y89" s="117">
        <f t="shared" si="54"/>
        <v>18089</v>
      </c>
      <c r="Z89" s="137">
        <f t="shared" si="54"/>
        <v>19160.08</v>
      </c>
      <c r="AA89" s="131">
        <f t="shared" si="54"/>
        <v>30039.7526</v>
      </c>
      <c r="AB89" s="131">
        <f t="shared" si="54"/>
        <v>41431.72795</v>
      </c>
      <c r="AC89" s="131">
        <f t="shared" si="54"/>
        <v>51464.53354</v>
      </c>
      <c r="AD89" s="131">
        <f t="shared" si="54"/>
        <v>59994.50966</v>
      </c>
      <c r="AE89" s="131">
        <f t="shared" si="54"/>
        <v>67494.6888</v>
      </c>
      <c r="AF89" s="131">
        <f t="shared" si="54"/>
        <v>70930.8196</v>
      </c>
      <c r="AG89" s="131">
        <f t="shared" si="54"/>
        <v>73894.79772</v>
      </c>
      <c r="AH89" s="131">
        <f t="shared" si="54"/>
        <v>75336.87793</v>
      </c>
      <c r="AI89" s="131">
        <f t="shared" si="54"/>
        <v>76433.99808</v>
      </c>
      <c r="AJ89" s="131">
        <f t="shared" si="54"/>
        <v>78228.40709</v>
      </c>
      <c r="AK89" s="131">
        <f t="shared" si="54"/>
        <v>80528.26273</v>
      </c>
      <c r="AL89" s="131">
        <f t="shared" si="54"/>
        <v>82397.09438</v>
      </c>
      <c r="AM89" s="131">
        <f t="shared" si="54"/>
        <v>84802.04379</v>
      </c>
      <c r="AN89" s="131">
        <f t="shared" si="54"/>
        <v>85390.94766</v>
      </c>
      <c r="AO89" s="131">
        <f t="shared" si="54"/>
        <v>86630.83377</v>
      </c>
      <c r="AP89" s="131">
        <f t="shared" si="54"/>
        <v>88538.09015</v>
      </c>
      <c r="AQ89" s="131">
        <f t="shared" si="54"/>
        <v>90106.04922</v>
      </c>
      <c r="AR89" s="131">
        <f t="shared" si="54"/>
        <v>91421.57108</v>
      </c>
      <c r="AS89" s="131">
        <f t="shared" si="54"/>
        <v>92749.22061</v>
      </c>
      <c r="AT89" s="131">
        <f t="shared" si="54"/>
        <v>93888.29214</v>
      </c>
      <c r="AU89" s="131">
        <f t="shared" si="54"/>
        <v>94887.54569</v>
      </c>
      <c r="AV89" s="131">
        <f t="shared" si="54"/>
        <v>95783.41419</v>
      </c>
      <c r="AW89" s="131">
        <f t="shared" si="54"/>
        <v>96603.12231</v>
      </c>
      <c r="AX89" s="131">
        <f t="shared" si="54"/>
        <v>97367.01625</v>
      </c>
      <c r="AY89" s="131">
        <f t="shared" si="54"/>
        <v>98090.3041</v>
      </c>
      <c r="AZ89" s="131">
        <f t="shared" si="54"/>
        <v>99410.48865</v>
      </c>
      <c r="BA89" s="131">
        <f t="shared" si="54"/>
        <v>100660.4819</v>
      </c>
      <c r="BB89" s="131">
        <f t="shared" si="54"/>
        <v>101752.1199</v>
      </c>
      <c r="BC89" s="131">
        <f t="shared" si="54"/>
        <v>102726.5674</v>
      </c>
      <c r="BD89" s="131">
        <f t="shared" si="54"/>
        <v>103614.5837</v>
      </c>
      <c r="BE89" s="131">
        <f t="shared" si="54"/>
        <v>104439.1555</v>
      </c>
      <c r="BF89" s="131">
        <f t="shared" si="54"/>
        <v>105217.4629</v>
      </c>
      <c r="BG89" s="131">
        <f t="shared" si="54"/>
        <v>105962.3495</v>
      </c>
      <c r="BH89" s="131">
        <f t="shared" si="54"/>
        <v>106683.4186</v>
      </c>
      <c r="BI89" s="131">
        <f t="shared" si="54"/>
        <v>107387.8539</v>
      </c>
      <c r="BJ89" s="131">
        <f t="shared" si="54"/>
        <v>108081.0312</v>
      </c>
      <c r="BK89" s="131">
        <f t="shared" si="54"/>
        <v>108766.9763</v>
      </c>
      <c r="BL89" s="131">
        <f t="shared" si="54"/>
        <v>110546.3552</v>
      </c>
      <c r="BM89" s="131">
        <f t="shared" si="54"/>
        <v>111882.8549</v>
      </c>
      <c r="BN89" s="131">
        <f t="shared" si="54"/>
        <v>112686.0231</v>
      </c>
      <c r="BO89" s="131">
        <f t="shared" si="54"/>
        <v>113472.0526</v>
      </c>
      <c r="BP89" s="131">
        <f t="shared" si="54"/>
        <v>114247.0398</v>
      </c>
      <c r="BQ89" s="131">
        <f t="shared" si="54"/>
        <v>115015.5687</v>
      </c>
      <c r="BR89" s="131">
        <f t="shared" si="54"/>
        <v>115781.0943</v>
      </c>
      <c r="BS89" s="131">
        <f t="shared" si="54"/>
        <v>116546.2289</v>
      </c>
      <c r="BT89" s="131">
        <f t="shared" si="54"/>
        <v>117312.9563</v>
      </c>
      <c r="BU89" s="131">
        <f t="shared" si="54"/>
        <v>118082.7916</v>
      </c>
      <c r="BV89" s="131">
        <f t="shared" si="54"/>
        <v>118856.9004</v>
      </c>
      <c r="BW89" s="131">
        <f t="shared" si="54"/>
        <v>119636.1885</v>
      </c>
      <c r="BX89" s="131">
        <f t="shared" si="54"/>
        <v>120504.0105</v>
      </c>
      <c r="BY89" s="131">
        <f t="shared" si="54"/>
        <v>118638.9934</v>
      </c>
      <c r="BZ89" s="131">
        <f t="shared" si="54"/>
        <v>116989.1304</v>
      </c>
      <c r="CA89" s="131">
        <f t="shared" si="54"/>
        <v>115895.1359</v>
      </c>
      <c r="CB89" s="131">
        <f t="shared" si="54"/>
        <v>115218.0675</v>
      </c>
      <c r="CC89" s="131">
        <f t="shared" si="54"/>
        <v>114854.129</v>
      </c>
      <c r="CD89" s="131">
        <f t="shared" si="54"/>
        <v>114725.7783</v>
      </c>
      <c r="CE89" s="131">
        <f t="shared" si="54"/>
        <v>114775.0864</v>
      </c>
      <c r="CF89" s="131">
        <f t="shared" si="54"/>
        <v>114958.775</v>
      </c>
      <c r="CG89" s="131">
        <f t="shared" si="54"/>
        <v>115244.5109</v>
      </c>
      <c r="CH89" s="131">
        <f t="shared" si="54"/>
        <v>115608.1369</v>
      </c>
      <c r="CI89" s="1"/>
      <c r="CJ89" s="1"/>
      <c r="CK89" s="1"/>
      <c r="CL89" s="1"/>
      <c r="CM89" s="1"/>
      <c r="CN89" s="1"/>
      <c r="CO89" s="1"/>
      <c r="CP89" s="1"/>
    </row>
    <row r="90" ht="15.75" customHeight="1">
      <c r="A90" s="1" t="s">
        <v>96</v>
      </c>
      <c r="B90" s="1"/>
      <c r="C90" s="1"/>
      <c r="D90" s="117">
        <f t="shared" ref="D90:CH90" si="55">C45+D82</f>
        <v>31911</v>
      </c>
      <c r="E90" s="117">
        <f t="shared" si="55"/>
        <v>29445</v>
      </c>
      <c r="F90" s="117">
        <f t="shared" si="55"/>
        <v>30838</v>
      </c>
      <c r="G90" s="117">
        <f t="shared" si="55"/>
        <v>20661</v>
      </c>
      <c r="H90" s="117">
        <f t="shared" si="55"/>
        <v>35955</v>
      </c>
      <c r="I90" s="117">
        <f t="shared" si="55"/>
        <v>34496</v>
      </c>
      <c r="J90" s="117">
        <f t="shared" si="55"/>
        <v>22629</v>
      </c>
      <c r="K90" s="117">
        <f t="shared" si="55"/>
        <v>24811</v>
      </c>
      <c r="L90" s="117">
        <f t="shared" si="55"/>
        <v>15036</v>
      </c>
      <c r="M90" s="117">
        <f t="shared" si="55"/>
        <v>38677</v>
      </c>
      <c r="N90" s="117">
        <f t="shared" si="55"/>
        <v>24075</v>
      </c>
      <c r="O90" s="117">
        <f t="shared" si="55"/>
        <v>20373</v>
      </c>
      <c r="P90" s="117">
        <f t="shared" si="55"/>
        <v>29931</v>
      </c>
      <c r="Q90" s="117">
        <f t="shared" si="55"/>
        <v>14905</v>
      </c>
      <c r="R90" s="117">
        <f t="shared" si="55"/>
        <v>16578</v>
      </c>
      <c r="S90" s="117">
        <f t="shared" si="55"/>
        <v>15802</v>
      </c>
      <c r="T90" s="117">
        <f t="shared" si="55"/>
        <v>21942</v>
      </c>
      <c r="U90" s="117">
        <f t="shared" si="55"/>
        <v>34154</v>
      </c>
      <c r="V90" s="117">
        <f t="shared" si="55"/>
        <v>28406</v>
      </c>
      <c r="W90" s="117">
        <f t="shared" si="55"/>
        <v>17769</v>
      </c>
      <c r="X90" s="117">
        <f t="shared" si="55"/>
        <v>30282</v>
      </c>
      <c r="Y90" s="117">
        <f t="shared" si="55"/>
        <v>22749</v>
      </c>
      <c r="Z90" s="137">
        <f t="shared" si="55"/>
        <v>17756</v>
      </c>
      <c r="AA90" s="131">
        <f t="shared" si="55"/>
        <v>102628</v>
      </c>
      <c r="AB90" s="131">
        <f t="shared" si="55"/>
        <v>163814</v>
      </c>
      <c r="AC90" s="131">
        <f t="shared" si="55"/>
        <v>205657</v>
      </c>
      <c r="AD90" s="131">
        <f t="shared" si="55"/>
        <v>226578.5</v>
      </c>
      <c r="AE90" s="131">
        <f t="shared" si="55"/>
        <v>237039.25</v>
      </c>
      <c r="AF90" s="131">
        <f t="shared" si="55"/>
        <v>242269.625</v>
      </c>
      <c r="AG90" s="131">
        <f t="shared" si="55"/>
        <v>244884.8125</v>
      </c>
      <c r="AH90" s="131">
        <f t="shared" si="55"/>
        <v>246192.4063</v>
      </c>
      <c r="AI90" s="131">
        <f t="shared" si="55"/>
        <v>246846.2031</v>
      </c>
      <c r="AJ90" s="131">
        <f t="shared" si="55"/>
        <v>247173.1016</v>
      </c>
      <c r="AK90" s="131">
        <f t="shared" si="55"/>
        <v>247336.5508</v>
      </c>
      <c r="AL90" s="131">
        <f t="shared" si="55"/>
        <v>247418.2754</v>
      </c>
      <c r="AM90" s="131">
        <f t="shared" si="55"/>
        <v>247459.1377</v>
      </c>
      <c r="AN90" s="131">
        <f t="shared" si="55"/>
        <v>247479.5688</v>
      </c>
      <c r="AO90" s="131">
        <f t="shared" si="55"/>
        <v>247489.7844</v>
      </c>
      <c r="AP90" s="131">
        <f t="shared" si="55"/>
        <v>247494.8922</v>
      </c>
      <c r="AQ90" s="131">
        <f t="shared" si="55"/>
        <v>247497.4461</v>
      </c>
      <c r="AR90" s="131">
        <f t="shared" si="55"/>
        <v>247498.7231</v>
      </c>
      <c r="AS90" s="131">
        <f t="shared" si="55"/>
        <v>247499.3615</v>
      </c>
      <c r="AT90" s="131">
        <f t="shared" si="55"/>
        <v>247499.6808</v>
      </c>
      <c r="AU90" s="131">
        <f t="shared" si="55"/>
        <v>247499.8404</v>
      </c>
      <c r="AV90" s="131">
        <f t="shared" si="55"/>
        <v>247499.9202</v>
      </c>
      <c r="AW90" s="131">
        <f t="shared" si="55"/>
        <v>247499.9601</v>
      </c>
      <c r="AX90" s="131">
        <f t="shared" si="55"/>
        <v>247499.98</v>
      </c>
      <c r="AY90" s="131">
        <f t="shared" si="55"/>
        <v>247499.99</v>
      </c>
      <c r="AZ90" s="131">
        <f t="shared" si="55"/>
        <v>247499.995</v>
      </c>
      <c r="BA90" s="131">
        <f t="shared" si="55"/>
        <v>247499.9975</v>
      </c>
      <c r="BB90" s="131">
        <f t="shared" si="55"/>
        <v>247499.9988</v>
      </c>
      <c r="BC90" s="131">
        <f t="shared" si="55"/>
        <v>247499.9994</v>
      </c>
      <c r="BD90" s="131">
        <f t="shared" si="55"/>
        <v>247499.9997</v>
      </c>
      <c r="BE90" s="131">
        <f t="shared" si="55"/>
        <v>247499.9998</v>
      </c>
      <c r="BF90" s="131">
        <f t="shared" si="55"/>
        <v>247499.9999</v>
      </c>
      <c r="BG90" s="131">
        <f t="shared" si="55"/>
        <v>247500</v>
      </c>
      <c r="BH90" s="131">
        <f t="shared" si="55"/>
        <v>247500</v>
      </c>
      <c r="BI90" s="131">
        <f t="shared" si="55"/>
        <v>247500</v>
      </c>
      <c r="BJ90" s="131">
        <f t="shared" si="55"/>
        <v>247500</v>
      </c>
      <c r="BK90" s="131">
        <f t="shared" si="55"/>
        <v>247500</v>
      </c>
      <c r="BL90" s="131">
        <f t="shared" si="55"/>
        <v>247500</v>
      </c>
      <c r="BM90" s="131">
        <f t="shared" si="55"/>
        <v>247500</v>
      </c>
      <c r="BN90" s="131">
        <f t="shared" si="55"/>
        <v>247500</v>
      </c>
      <c r="BO90" s="131">
        <f t="shared" si="55"/>
        <v>247500</v>
      </c>
      <c r="BP90" s="131">
        <f t="shared" si="55"/>
        <v>247500</v>
      </c>
      <c r="BQ90" s="131">
        <f t="shared" si="55"/>
        <v>247500</v>
      </c>
      <c r="BR90" s="131">
        <f t="shared" si="55"/>
        <v>247500</v>
      </c>
      <c r="BS90" s="131">
        <f t="shared" si="55"/>
        <v>247500</v>
      </c>
      <c r="BT90" s="131">
        <f t="shared" si="55"/>
        <v>247500</v>
      </c>
      <c r="BU90" s="131">
        <f t="shared" si="55"/>
        <v>247500</v>
      </c>
      <c r="BV90" s="131">
        <f t="shared" si="55"/>
        <v>247500</v>
      </c>
      <c r="BW90" s="131">
        <f t="shared" si="55"/>
        <v>247500</v>
      </c>
      <c r="BX90" s="131">
        <f t="shared" si="55"/>
        <v>247500</v>
      </c>
      <c r="BY90" s="131">
        <f t="shared" si="55"/>
        <v>247500</v>
      </c>
      <c r="BZ90" s="131">
        <f t="shared" si="55"/>
        <v>247500</v>
      </c>
      <c r="CA90" s="131">
        <f t="shared" si="55"/>
        <v>247500</v>
      </c>
      <c r="CB90" s="131">
        <f t="shared" si="55"/>
        <v>247500</v>
      </c>
      <c r="CC90" s="131">
        <f t="shared" si="55"/>
        <v>247500</v>
      </c>
      <c r="CD90" s="131">
        <f t="shared" si="55"/>
        <v>247500</v>
      </c>
      <c r="CE90" s="131">
        <f t="shared" si="55"/>
        <v>247500</v>
      </c>
      <c r="CF90" s="131">
        <f t="shared" si="55"/>
        <v>247500</v>
      </c>
      <c r="CG90" s="131">
        <f t="shared" si="55"/>
        <v>247500</v>
      </c>
      <c r="CH90" s="131">
        <f t="shared" si="55"/>
        <v>247500</v>
      </c>
      <c r="CI90" s="1"/>
      <c r="CJ90" s="1"/>
      <c r="CK90" s="1"/>
      <c r="CL90" s="1"/>
      <c r="CM90" s="1"/>
      <c r="CN90" s="1"/>
      <c r="CO90" s="1"/>
      <c r="CP90" s="1"/>
    </row>
    <row r="91" ht="15.75" customHeight="1">
      <c r="A91" s="119" t="s">
        <v>663</v>
      </c>
      <c r="B91" s="405"/>
      <c r="C91" s="405"/>
      <c r="D91" s="405"/>
      <c r="E91" s="405"/>
      <c r="F91" s="405"/>
      <c r="G91" s="405"/>
      <c r="H91" s="405"/>
      <c r="I91" s="405"/>
      <c r="J91" s="405"/>
      <c r="K91" s="405"/>
      <c r="L91" s="405"/>
      <c r="M91" s="405"/>
      <c r="N91" s="405"/>
      <c r="O91" s="405">
        <f t="shared" ref="O91:CH91" si="56">SUM(O85:O90)</f>
        <v>677261</v>
      </c>
      <c r="P91" s="405">
        <f t="shared" si="56"/>
        <v>719572</v>
      </c>
      <c r="Q91" s="405">
        <f t="shared" si="56"/>
        <v>656505</v>
      </c>
      <c r="R91" s="405">
        <f t="shared" si="56"/>
        <v>630931</v>
      </c>
      <c r="S91" s="405">
        <f t="shared" si="56"/>
        <v>696433</v>
      </c>
      <c r="T91" s="405">
        <f t="shared" si="56"/>
        <v>736406</v>
      </c>
      <c r="U91" s="405">
        <f t="shared" si="56"/>
        <v>613995</v>
      </c>
      <c r="V91" s="405">
        <f t="shared" si="56"/>
        <v>639577</v>
      </c>
      <c r="W91" s="405">
        <f t="shared" si="56"/>
        <v>822635</v>
      </c>
      <c r="X91" s="405">
        <f t="shared" si="56"/>
        <v>816475</v>
      </c>
      <c r="Y91" s="405">
        <f t="shared" si="56"/>
        <v>669025</v>
      </c>
      <c r="Z91" s="405">
        <f t="shared" si="56"/>
        <v>703252.247</v>
      </c>
      <c r="AA91" s="406">
        <f t="shared" si="56"/>
        <v>940391.8783</v>
      </c>
      <c r="AB91" s="406">
        <f t="shared" si="56"/>
        <v>1182237.078</v>
      </c>
      <c r="AC91" s="406">
        <f t="shared" si="56"/>
        <v>1420127.505</v>
      </c>
      <c r="AD91" s="406">
        <f t="shared" si="56"/>
        <v>1636083.129</v>
      </c>
      <c r="AE91" s="406">
        <f t="shared" si="56"/>
        <v>1841962.859</v>
      </c>
      <c r="AF91" s="406">
        <f t="shared" si="56"/>
        <v>2034518.742</v>
      </c>
      <c r="AG91" s="406">
        <f t="shared" si="56"/>
        <v>2224402.732</v>
      </c>
      <c r="AH91" s="406">
        <f t="shared" si="56"/>
        <v>2404622.608</v>
      </c>
      <c r="AI91" s="406">
        <f t="shared" si="56"/>
        <v>2575946.32</v>
      </c>
      <c r="AJ91" s="406">
        <f t="shared" si="56"/>
        <v>2750299.447</v>
      </c>
      <c r="AK91" s="406">
        <f t="shared" si="56"/>
        <v>2912290.823</v>
      </c>
      <c r="AL91" s="406">
        <f t="shared" si="56"/>
        <v>3072477.983</v>
      </c>
      <c r="AM91" s="406">
        <f t="shared" si="56"/>
        <v>3227280.908</v>
      </c>
      <c r="AN91" s="406">
        <f t="shared" si="56"/>
        <v>3341561.472</v>
      </c>
      <c r="AO91" s="406">
        <f t="shared" si="56"/>
        <v>3402690.428</v>
      </c>
      <c r="AP91" s="406">
        <f t="shared" si="56"/>
        <v>3456396.953</v>
      </c>
      <c r="AQ91" s="406">
        <f t="shared" si="56"/>
        <v>3509775.221</v>
      </c>
      <c r="AR91" s="406">
        <f t="shared" si="56"/>
        <v>3562639.072</v>
      </c>
      <c r="AS91" s="406">
        <f t="shared" si="56"/>
        <v>3616082.192</v>
      </c>
      <c r="AT91" s="406">
        <f t="shared" si="56"/>
        <v>3668695.296</v>
      </c>
      <c r="AU91" s="406">
        <f t="shared" si="56"/>
        <v>3720478.936</v>
      </c>
      <c r="AV91" s="406">
        <f t="shared" si="56"/>
        <v>3771450.389</v>
      </c>
      <c r="AW91" s="406">
        <f t="shared" si="56"/>
        <v>3821637.893</v>
      </c>
      <c r="AX91" s="406">
        <f t="shared" si="56"/>
        <v>3871076.613</v>
      </c>
      <c r="AY91" s="406">
        <f t="shared" si="56"/>
        <v>3954092.467</v>
      </c>
      <c r="AZ91" s="406">
        <f t="shared" si="56"/>
        <v>4036720.953</v>
      </c>
      <c r="BA91" s="406">
        <f t="shared" si="56"/>
        <v>4117836.207</v>
      </c>
      <c r="BB91" s="406">
        <f t="shared" si="56"/>
        <v>4196818.037</v>
      </c>
      <c r="BC91" s="406">
        <f t="shared" si="56"/>
        <v>4273912.243</v>
      </c>
      <c r="BD91" s="406">
        <f t="shared" si="56"/>
        <v>4349317.619</v>
      </c>
      <c r="BE91" s="406">
        <f t="shared" si="56"/>
        <v>4423197.469</v>
      </c>
      <c r="BF91" s="406">
        <f t="shared" si="56"/>
        <v>4495688.175</v>
      </c>
      <c r="BG91" s="406">
        <f t="shared" si="56"/>
        <v>4566905.573</v>
      </c>
      <c r="BH91" s="406">
        <f t="shared" si="56"/>
        <v>4636949.709</v>
      </c>
      <c r="BI91" s="406">
        <f t="shared" si="56"/>
        <v>4705908.387</v>
      </c>
      <c r="BJ91" s="406">
        <f t="shared" si="56"/>
        <v>4773859.827</v>
      </c>
      <c r="BK91" s="406">
        <f t="shared" si="56"/>
        <v>4849992.975</v>
      </c>
      <c r="BL91" s="406">
        <f t="shared" si="56"/>
        <v>4930375.095</v>
      </c>
      <c r="BM91" s="406">
        <f t="shared" si="56"/>
        <v>5005647.695</v>
      </c>
      <c r="BN91" s="406">
        <f t="shared" si="56"/>
        <v>5070984.421</v>
      </c>
      <c r="BO91" s="406">
        <f t="shared" si="56"/>
        <v>5135906.077</v>
      </c>
      <c r="BP91" s="406">
        <f t="shared" si="56"/>
        <v>5200458.312</v>
      </c>
      <c r="BQ91" s="406">
        <f t="shared" si="56"/>
        <v>5264685.337</v>
      </c>
      <c r="BR91" s="406">
        <f t="shared" si="56"/>
        <v>5328630.059</v>
      </c>
      <c r="BS91" s="406">
        <f t="shared" si="56"/>
        <v>5392334.192</v>
      </c>
      <c r="BT91" s="406">
        <f t="shared" si="56"/>
        <v>5455838.364</v>
      </c>
      <c r="BU91" s="406">
        <f t="shared" si="56"/>
        <v>5519182.199</v>
      </c>
      <c r="BV91" s="406">
        <f t="shared" si="56"/>
        <v>5582404.399</v>
      </c>
      <c r="BW91" s="406">
        <f t="shared" si="56"/>
        <v>5650906.725</v>
      </c>
      <c r="BX91" s="406">
        <f t="shared" si="56"/>
        <v>5721151.714</v>
      </c>
      <c r="BY91" s="406">
        <f t="shared" si="56"/>
        <v>5769731.147</v>
      </c>
      <c r="BZ91" s="406">
        <f t="shared" si="56"/>
        <v>5809482.103</v>
      </c>
      <c r="CA91" s="406">
        <f t="shared" si="56"/>
        <v>5849886.019</v>
      </c>
      <c r="CB91" s="406">
        <f t="shared" si="56"/>
        <v>5890700.461</v>
      </c>
      <c r="CC91" s="406">
        <f t="shared" si="56"/>
        <v>5931754.796</v>
      </c>
      <c r="CD91" s="406">
        <f t="shared" si="56"/>
        <v>5972931.372</v>
      </c>
      <c r="CE91" s="406">
        <f t="shared" si="56"/>
        <v>6014151.545</v>
      </c>
      <c r="CF91" s="406">
        <f t="shared" si="56"/>
        <v>6055365.3</v>
      </c>
      <c r="CG91" s="406">
        <f t="shared" si="56"/>
        <v>6096543.565</v>
      </c>
      <c r="CH91" s="406">
        <f t="shared" si="56"/>
        <v>6137672.501</v>
      </c>
      <c r="CI91" s="1"/>
      <c r="CJ91" s="1"/>
      <c r="CK91" s="1"/>
      <c r="CL91" s="1"/>
      <c r="CM91" s="1"/>
      <c r="CN91" s="1"/>
      <c r="CO91" s="1"/>
      <c r="CP91" s="1"/>
    </row>
    <row r="92" ht="15.75" customHeight="1">
      <c r="A92" s="1"/>
      <c r="B92" s="123"/>
      <c r="C92" s="123"/>
      <c r="D92" s="123"/>
      <c r="E92" s="123"/>
      <c r="F92" s="123"/>
      <c r="G92" s="123"/>
      <c r="H92" s="123"/>
      <c r="I92" s="123"/>
      <c r="J92" s="123"/>
      <c r="K92" s="123"/>
      <c r="L92" s="123"/>
      <c r="M92" s="123"/>
      <c r="N92" s="123"/>
      <c r="O92" s="123"/>
      <c r="P92" s="123"/>
      <c r="Q92" s="123"/>
      <c r="R92" s="123"/>
      <c r="S92" s="126"/>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3"/>
      <c r="BQ92" s="123"/>
      <c r="BR92" s="123"/>
      <c r="BS92" s="123"/>
      <c r="BT92" s="123"/>
      <c r="BU92" s="123"/>
      <c r="BV92" s="123"/>
      <c r="BW92" s="123"/>
      <c r="BX92" s="123"/>
      <c r="BY92" s="123"/>
      <c r="BZ92" s="123"/>
      <c r="CA92" s="123"/>
      <c r="CB92" s="123"/>
      <c r="CC92" s="123"/>
      <c r="CD92" s="123"/>
      <c r="CE92" s="123"/>
      <c r="CF92" s="123"/>
      <c r="CG92" s="123"/>
      <c r="CH92" s="123"/>
      <c r="CI92" s="1"/>
      <c r="CJ92" s="1"/>
      <c r="CK92" s="1"/>
      <c r="CL92" s="1"/>
      <c r="CM92" s="1"/>
      <c r="CN92" s="1"/>
      <c r="CO92" s="1"/>
      <c r="CP92" s="1"/>
    </row>
    <row r="93" ht="15.75" customHeight="1">
      <c r="A93" s="1" t="s">
        <v>129</v>
      </c>
      <c r="B93" s="368"/>
      <c r="C93" s="407">
        <f>Revenue!C6</f>
        <v>145221</v>
      </c>
      <c r="D93" s="407">
        <f>Revenue!D6</f>
        <v>268153</v>
      </c>
      <c r="E93" s="407">
        <f>Revenue!E6</f>
        <v>202602</v>
      </c>
      <c r="F93" s="407">
        <f>Revenue!F6</f>
        <v>249435</v>
      </c>
      <c r="G93" s="407">
        <f>Revenue!G6</f>
        <v>251204</v>
      </c>
      <c r="H93" s="407">
        <f>Revenue!H6</f>
        <v>175735</v>
      </c>
      <c r="I93" s="407">
        <f>Revenue!I6</f>
        <v>173627</v>
      </c>
      <c r="J93" s="407">
        <f>Revenue!J6</f>
        <v>163316</v>
      </c>
      <c r="K93" s="407">
        <f>Revenue!K6</f>
        <v>214926</v>
      </c>
      <c r="L93" s="407">
        <f>Revenue!L6</f>
        <v>242871</v>
      </c>
      <c r="M93" s="407">
        <f>Revenue!M6</f>
        <v>234725</v>
      </c>
      <c r="N93" s="407">
        <f>Revenue!N6</f>
        <v>201170</v>
      </c>
      <c r="O93" s="407">
        <f>Revenue!O6</f>
        <v>225168</v>
      </c>
      <c r="P93" s="407">
        <f>Revenue!P6</f>
        <v>202984</v>
      </c>
      <c r="Q93" s="407">
        <f>Revenue!Q6</f>
        <v>230137</v>
      </c>
      <c r="R93" s="407">
        <f>Revenue!R6</f>
        <v>215710</v>
      </c>
      <c r="S93" s="407">
        <f>Revenue!S6</f>
        <v>275885</v>
      </c>
      <c r="T93" s="407">
        <f>Revenue!T6</f>
        <v>196349</v>
      </c>
      <c r="U93" s="407">
        <f>Revenue!U6</f>
        <v>274969</v>
      </c>
      <c r="V93" s="407">
        <f>Revenue!V6</f>
        <v>270100</v>
      </c>
      <c r="W93" s="407">
        <f>Revenue!W6</f>
        <v>241649</v>
      </c>
      <c r="X93" s="407">
        <f>Revenue!X6</f>
        <v>195381</v>
      </c>
      <c r="Y93" s="407">
        <f>Revenue!Y6</f>
        <v>291011</v>
      </c>
      <c r="Z93" s="407">
        <f>Revenue!Z6</f>
        <v>424038.3587</v>
      </c>
      <c r="AA93" s="407">
        <f>Revenue!AA6</f>
        <v>504241.5363</v>
      </c>
      <c r="AB93" s="407">
        <f>Revenue!AB6</f>
        <v>582808.2623</v>
      </c>
      <c r="AC93" s="407">
        <f>Revenue!AC6</f>
        <v>656219.2844</v>
      </c>
      <c r="AD93" s="407">
        <f>Revenue!AD6</f>
        <v>729298.1637</v>
      </c>
      <c r="AE93" s="407">
        <f>Revenue!AE6</f>
        <v>810916.7567</v>
      </c>
      <c r="AF93" s="407">
        <f>Revenue!AF6</f>
        <v>888901.9038</v>
      </c>
      <c r="AG93" s="407">
        <f>Revenue!AG6</f>
        <v>964562.3903</v>
      </c>
      <c r="AH93" s="407">
        <f>Revenue!AH6</f>
        <v>1039304.834</v>
      </c>
      <c r="AI93" s="407">
        <f>Revenue!AI6</f>
        <v>1116079.352</v>
      </c>
      <c r="AJ93" s="407">
        <f>Revenue!AJ6</f>
        <v>1187157.271</v>
      </c>
      <c r="AK93" s="407">
        <f>Revenue!AK6</f>
        <v>1262204.801</v>
      </c>
      <c r="AL93" s="407">
        <f>Revenue!AL6</f>
        <v>1340193.399</v>
      </c>
      <c r="AM93" s="407">
        <f>Revenue!AM6</f>
        <v>1400947.54</v>
      </c>
      <c r="AN93" s="407">
        <f>Revenue!AN6</f>
        <v>1412547.753</v>
      </c>
      <c r="AO93" s="407">
        <f>Revenue!AO6</f>
        <v>1435663.774</v>
      </c>
      <c r="AP93" s="407">
        <f>Revenue!AP6</f>
        <v>1463030.47</v>
      </c>
      <c r="AQ93" s="407">
        <f>Revenue!AQ6</f>
        <v>1490534.739</v>
      </c>
      <c r="AR93" s="407">
        <f>Revenue!AR6</f>
        <v>1518058.964</v>
      </c>
      <c r="AS93" s="407">
        <f>Revenue!AS6</f>
        <v>1544868.694</v>
      </c>
      <c r="AT93" s="407">
        <f>Revenue!AT6</f>
        <v>1584805.768</v>
      </c>
      <c r="AU93" s="407">
        <f>Revenue!AU6</f>
        <v>1610842.016</v>
      </c>
      <c r="AV93" s="407">
        <f>Revenue!AV6</f>
        <v>1636433.352</v>
      </c>
      <c r="AW93" s="407">
        <f>Revenue!AW6</f>
        <v>1661609.333</v>
      </c>
      <c r="AX93" s="407">
        <f>Revenue!AX6</f>
        <v>1686397.772</v>
      </c>
      <c r="AY93" s="407">
        <f>Revenue!AY6</f>
        <v>1739238.992</v>
      </c>
      <c r="AZ93" s="407">
        <f>Revenue!AZ6</f>
        <v>1777119.667</v>
      </c>
      <c r="BA93" s="407">
        <f>Revenue!BA6</f>
        <v>1814093.164</v>
      </c>
      <c r="BB93" s="407">
        <f>Revenue!BB6</f>
        <v>1850394.164</v>
      </c>
      <c r="BC93" s="407">
        <f>Revenue!BC6</f>
        <v>1886085.975</v>
      </c>
      <c r="BD93" s="407">
        <f>Revenue!BD6</f>
        <v>1921205.146</v>
      </c>
      <c r="BE93" s="407">
        <f>Revenue!BE6</f>
        <v>1955783.201</v>
      </c>
      <c r="BF93" s="407">
        <f>Revenue!BF6</f>
        <v>1989849.94</v>
      </c>
      <c r="BG93" s="407">
        <f>Revenue!BG6</f>
        <v>2023433.974</v>
      </c>
      <c r="BH93" s="407">
        <f>Revenue!BH6</f>
        <v>2056562.845</v>
      </c>
      <c r="BI93" s="407">
        <f>Revenue!BI6</f>
        <v>2089263.077</v>
      </c>
      <c r="BJ93" s="407">
        <f>Revenue!BJ6</f>
        <v>2121560.221</v>
      </c>
      <c r="BK93" s="407">
        <f>Revenue!BK6</f>
        <v>2177703.884</v>
      </c>
      <c r="BL93" s="407">
        <f>Revenue!BL6</f>
        <v>2210505.931</v>
      </c>
      <c r="BM93" s="407">
        <f>Revenue!BM6</f>
        <v>2240108.088</v>
      </c>
      <c r="BN93" s="407">
        <f>Revenue!BN6</f>
        <v>2269833.804</v>
      </c>
      <c r="BO93" s="407">
        <f>Revenue!BO6</f>
        <v>2299513.652</v>
      </c>
      <c r="BP93" s="407">
        <f>Revenue!BP6</f>
        <v>2329137.542</v>
      </c>
      <c r="BQ93" s="407">
        <f>Revenue!BQ6</f>
        <v>2358718.982</v>
      </c>
      <c r="BR93" s="407">
        <f>Revenue!BR6</f>
        <v>2388274.732</v>
      </c>
      <c r="BS93" s="407">
        <f>Revenue!BS6</f>
        <v>2417821.78</v>
      </c>
      <c r="BT93" s="407">
        <f>Revenue!BT6</f>
        <v>2447376.898</v>
      </c>
      <c r="BU93" s="407">
        <f>Revenue!BU6</f>
        <v>2476956.595</v>
      </c>
      <c r="BV93" s="407">
        <f>Revenue!BV6</f>
        <v>2506577.134</v>
      </c>
      <c r="BW93" s="407">
        <f>Revenue!BW6</f>
        <v>2561373.418</v>
      </c>
      <c r="BX93" s="407">
        <f>Revenue!BX6</f>
        <v>2582415.164</v>
      </c>
      <c r="BY93" s="407">
        <f>Revenue!BY6</f>
        <v>2603208.601</v>
      </c>
      <c r="BZ93" s="407">
        <f>Revenue!BZ6</f>
        <v>2624466.562</v>
      </c>
      <c r="CA93" s="407">
        <f>Revenue!CA6</f>
        <v>2645601.904</v>
      </c>
      <c r="CB93" s="407">
        <f>Revenue!CB6</f>
        <v>2666545.797</v>
      </c>
      <c r="CC93" s="407">
        <f>Revenue!CC6</f>
        <v>2687306.365</v>
      </c>
      <c r="CD93" s="407">
        <f>Revenue!CD6</f>
        <v>2707902.517</v>
      </c>
      <c r="CE93" s="407">
        <f>Revenue!CE6</f>
        <v>2728354.052</v>
      </c>
      <c r="CF93" s="407">
        <f>Revenue!CF6</f>
        <v>2748680.209</v>
      </c>
      <c r="CG93" s="407">
        <f>Revenue!CG6</f>
        <v>2768899.477</v>
      </c>
      <c r="CH93" s="407">
        <f>Revenue!CH6</f>
        <v>2789029.597</v>
      </c>
      <c r="CI93" s="1"/>
      <c r="CJ93" s="1"/>
      <c r="CK93" s="1"/>
      <c r="CL93" s="1"/>
      <c r="CM93" s="1"/>
      <c r="CN93" s="1"/>
      <c r="CO93" s="1"/>
      <c r="CP93" s="1"/>
    </row>
    <row r="94" ht="15.75" customHeight="1">
      <c r="A94" s="1" t="s">
        <v>85</v>
      </c>
      <c r="B94" s="368"/>
      <c r="C94" s="408">
        <f>Revenue!C7</f>
        <v>157989</v>
      </c>
      <c r="D94" s="408">
        <f>Revenue!D7</f>
        <v>262015</v>
      </c>
      <c r="E94" s="408">
        <f>Revenue!E7</f>
        <v>239919</v>
      </c>
      <c r="F94" s="408">
        <f>Revenue!F7</f>
        <v>246852</v>
      </c>
      <c r="G94" s="408">
        <f>Revenue!G7</f>
        <v>168753</v>
      </c>
      <c r="H94" s="408">
        <f>Revenue!H7</f>
        <v>219427</v>
      </c>
      <c r="I94" s="408">
        <f>Revenue!I7</f>
        <v>179883</v>
      </c>
      <c r="J94" s="408">
        <f>Revenue!J7</f>
        <v>165543</v>
      </c>
      <c r="K94" s="408">
        <f>Revenue!K7</f>
        <v>227180</v>
      </c>
      <c r="L94" s="408">
        <f>Revenue!L7</f>
        <v>259006</v>
      </c>
      <c r="M94" s="408">
        <f>Revenue!M7</f>
        <v>234471</v>
      </c>
      <c r="N94" s="408">
        <f>Revenue!N7</f>
        <v>265758</v>
      </c>
      <c r="O94" s="408">
        <f>Revenue!O7</f>
        <v>231341</v>
      </c>
      <c r="P94" s="408">
        <f>Revenue!P7</f>
        <v>219777</v>
      </c>
      <c r="Q94" s="408">
        <f>Revenue!Q7</f>
        <v>140531</v>
      </c>
      <c r="R94" s="408">
        <f>Revenue!R7</f>
        <v>172522</v>
      </c>
      <c r="S94" s="408">
        <f>Revenue!S7</f>
        <v>167953</v>
      </c>
      <c r="T94" s="407">
        <f>Revenue!T7</f>
        <v>183441</v>
      </c>
      <c r="U94" s="407">
        <f>Revenue!U7</f>
        <v>128542</v>
      </c>
      <c r="V94" s="407">
        <f>Revenue!V7</f>
        <v>260968</v>
      </c>
      <c r="W94" s="407">
        <f>Revenue!W7</f>
        <v>274042</v>
      </c>
      <c r="X94" s="407">
        <f>Revenue!X7</f>
        <v>169044</v>
      </c>
      <c r="Y94" s="407">
        <f>Revenue!Y7</f>
        <v>185698</v>
      </c>
      <c r="Z94" s="407">
        <f>Revenue!Z7</f>
        <v>273479.9044</v>
      </c>
      <c r="AA94" s="407">
        <f>Revenue!AA7</f>
        <v>333775.5366</v>
      </c>
      <c r="AB94" s="407">
        <f>Revenue!AB7</f>
        <v>396850.6096</v>
      </c>
      <c r="AC94" s="407">
        <f>Revenue!AC7</f>
        <v>456755.2775</v>
      </c>
      <c r="AD94" s="407">
        <f>Revenue!AD7</f>
        <v>516926.4202</v>
      </c>
      <c r="AE94" s="407">
        <f>Revenue!AE7</f>
        <v>576580.2861</v>
      </c>
      <c r="AF94" s="407">
        <f>Revenue!AF7</f>
        <v>635351.6453</v>
      </c>
      <c r="AG94" s="407">
        <f>Revenue!AG7</f>
        <v>689760.3533</v>
      </c>
      <c r="AH94" s="407">
        <f>Revenue!AH7</f>
        <v>741903.5395</v>
      </c>
      <c r="AI94" s="407">
        <f>Revenue!AI7</f>
        <v>792652.34</v>
      </c>
      <c r="AJ94" s="407">
        <f>Revenue!AJ7</f>
        <v>837160.0566</v>
      </c>
      <c r="AK94" s="407">
        <f>Revenue!AK7</f>
        <v>883691.7047</v>
      </c>
      <c r="AL94" s="407">
        <f>Revenue!AL7</f>
        <v>930090.3147</v>
      </c>
      <c r="AM94" s="407">
        <f>Revenue!AM7</f>
        <v>963108.0723</v>
      </c>
      <c r="AN94" s="407">
        <f>Revenue!AN7</f>
        <v>969388.3742</v>
      </c>
      <c r="AO94" s="407">
        <f>Revenue!AO7</f>
        <v>984545.4786</v>
      </c>
      <c r="AP94" s="407">
        <f>Revenue!AP7</f>
        <v>1002925.257</v>
      </c>
      <c r="AQ94" s="407">
        <f>Revenue!AQ7</f>
        <v>1021443.071</v>
      </c>
      <c r="AR94" s="407">
        <f>Revenue!AR7</f>
        <v>1039992.013</v>
      </c>
      <c r="AS94" s="407">
        <f>Revenue!AS7</f>
        <v>1058038.469</v>
      </c>
      <c r="AT94" s="407">
        <f>Revenue!AT7</f>
        <v>1075720.438</v>
      </c>
      <c r="AU94" s="407">
        <f>Revenue!AU7</f>
        <v>1093077.647</v>
      </c>
      <c r="AV94" s="407">
        <f>Revenue!AV7</f>
        <v>1110134.187</v>
      </c>
      <c r="AW94" s="407">
        <f>Revenue!AW7</f>
        <v>1126910.942</v>
      </c>
      <c r="AX94" s="407">
        <f>Revenue!AX7</f>
        <v>1143427.508</v>
      </c>
      <c r="AY94" s="407">
        <f>Revenue!AY7</f>
        <v>1169957.427</v>
      </c>
      <c r="AZ94" s="407">
        <f>Revenue!AZ7</f>
        <v>1196178.47</v>
      </c>
      <c r="BA94" s="407">
        <f>Revenue!BA7</f>
        <v>1221737.596</v>
      </c>
      <c r="BB94" s="407">
        <f>Revenue!BB7</f>
        <v>1246810.15</v>
      </c>
      <c r="BC94" s="407">
        <f>Revenue!BC7</f>
        <v>1271442.998</v>
      </c>
      <c r="BD94" s="407">
        <f>Revenue!BD7</f>
        <v>1295662.943</v>
      </c>
      <c r="BE94" s="407">
        <f>Revenue!BE7</f>
        <v>1319493.015</v>
      </c>
      <c r="BF94" s="407">
        <f>Revenue!BF7</f>
        <v>1342954.951</v>
      </c>
      <c r="BG94" s="407">
        <f>Revenue!BG7</f>
        <v>1366069.598</v>
      </c>
      <c r="BH94" s="407">
        <f>Revenue!BH7</f>
        <v>1388856.997</v>
      </c>
      <c r="BI94" s="407">
        <f>Revenue!BI7</f>
        <v>1411336.429</v>
      </c>
      <c r="BJ94" s="407">
        <f>Revenue!BJ7</f>
        <v>1433526.447</v>
      </c>
      <c r="BK94" s="407">
        <f>Revenue!BK7</f>
        <v>1459305.982</v>
      </c>
      <c r="BL94" s="407">
        <f>Revenue!BL7</f>
        <v>1481460.363</v>
      </c>
      <c r="BM94" s="407">
        <f>Revenue!BM7</f>
        <v>1501419.466</v>
      </c>
      <c r="BN94" s="407">
        <f>Revenue!BN7</f>
        <v>1521478.331</v>
      </c>
      <c r="BO94" s="407">
        <f>Revenue!BO7</f>
        <v>1541509.029</v>
      </c>
      <c r="BP94" s="407">
        <f>Revenue!BP7</f>
        <v>1561503.092</v>
      </c>
      <c r="BQ94" s="407">
        <f>Revenue!BQ7</f>
        <v>1581469.747</v>
      </c>
      <c r="BR94" s="407">
        <f>Revenue!BR7</f>
        <v>1601420.673</v>
      </c>
      <c r="BS94" s="407">
        <f>Revenue!BS7</f>
        <v>1621367.72</v>
      </c>
      <c r="BT94" s="407">
        <f>Revenue!BT7</f>
        <v>1641322.582</v>
      </c>
      <c r="BU94" s="407">
        <f>Revenue!BU7</f>
        <v>1661296.766</v>
      </c>
      <c r="BV94" s="407">
        <f>Revenue!BV7</f>
        <v>1681301.595</v>
      </c>
      <c r="BW94" s="407">
        <f>Revenue!BW7</f>
        <v>1703656.174</v>
      </c>
      <c r="BX94" s="407">
        <f>Revenue!BX7</f>
        <v>1717395.503</v>
      </c>
      <c r="BY94" s="407">
        <f>Revenue!BY7</f>
        <v>1731196.241</v>
      </c>
      <c r="BZ94" s="407">
        <f>Revenue!BZ7</f>
        <v>1745358.099</v>
      </c>
      <c r="CA94" s="407">
        <f>Revenue!CA7</f>
        <v>1759439.834</v>
      </c>
      <c r="CB94" s="407">
        <f>Revenue!CB7</f>
        <v>1773388.798</v>
      </c>
      <c r="CC94" s="407">
        <f>Revenue!CC7</f>
        <v>1787210.066</v>
      </c>
      <c r="CD94" s="407">
        <f>Revenue!CD7</f>
        <v>1800916.819</v>
      </c>
      <c r="CE94" s="407">
        <f>Revenue!CE7</f>
        <v>1814522.936</v>
      </c>
      <c r="CF94" s="407">
        <f>Revenue!CF7</f>
        <v>1828041.899</v>
      </c>
      <c r="CG94" s="407">
        <f>Revenue!CG7</f>
        <v>1841486.653</v>
      </c>
      <c r="CH94" s="407">
        <f>Revenue!CH7</f>
        <v>1854869.607</v>
      </c>
      <c r="CI94" s="1"/>
      <c r="CJ94" s="1"/>
      <c r="CK94" s="1"/>
      <c r="CL94" s="1"/>
      <c r="CM94" s="1"/>
      <c r="CN94" s="1"/>
      <c r="CO94" s="1"/>
      <c r="CP94" s="1"/>
    </row>
    <row r="95" ht="15.75" customHeight="1">
      <c r="A95" s="1" t="s">
        <v>130</v>
      </c>
      <c r="B95" s="368"/>
      <c r="C95" s="407">
        <f>Revenue!C102</f>
        <v>203271</v>
      </c>
      <c r="D95" s="407">
        <f>Revenue!D102</f>
        <v>139789</v>
      </c>
      <c r="E95" s="407">
        <f>Revenue!E102</f>
        <v>173116</v>
      </c>
      <c r="F95" s="407">
        <f>Revenue!F102</f>
        <v>234675</v>
      </c>
      <c r="G95" s="407">
        <f>Revenue!G102</f>
        <v>268150</v>
      </c>
      <c r="H95" s="407">
        <f>Revenue!H102</f>
        <v>263187</v>
      </c>
      <c r="I95" s="407">
        <f>Revenue!I102</f>
        <v>261112</v>
      </c>
      <c r="J95" s="407">
        <f>Revenue!J102</f>
        <v>188247</v>
      </c>
      <c r="K95" s="407">
        <f>Revenue!K102</f>
        <v>181572</v>
      </c>
      <c r="L95" s="407">
        <f>Revenue!L102</f>
        <v>150133</v>
      </c>
      <c r="M95" s="407">
        <f>Revenue!M102</f>
        <v>184682</v>
      </c>
      <c r="N95" s="407">
        <f>Revenue!N102</f>
        <v>148278</v>
      </c>
      <c r="O95" s="407">
        <f>Revenue!O102</f>
        <v>193838</v>
      </c>
      <c r="P95" s="407">
        <f>Revenue!P102</f>
        <v>193578</v>
      </c>
      <c r="Q95" s="407">
        <f>Revenue!Q102</f>
        <v>203241</v>
      </c>
      <c r="R95" s="407">
        <f>Revenue!R102</f>
        <v>250416</v>
      </c>
      <c r="S95" s="407">
        <f>Revenue!S102</f>
        <v>237819</v>
      </c>
      <c r="T95" s="407">
        <f>Revenue!T8</f>
        <v>158273</v>
      </c>
      <c r="U95" s="407">
        <f>Revenue!U8</f>
        <v>191633</v>
      </c>
      <c r="V95" s="407">
        <f>Revenue!V8</f>
        <v>230583</v>
      </c>
      <c r="W95" s="407">
        <f>Revenue!W8</f>
        <v>247749</v>
      </c>
      <c r="X95" s="407">
        <f>Revenue!X8</f>
        <v>258341</v>
      </c>
      <c r="Y95" s="407">
        <f>Revenue!Y8</f>
        <v>207412</v>
      </c>
      <c r="Z95" s="407">
        <f>Revenue!Z8</f>
        <v>276010.975</v>
      </c>
      <c r="AA95" s="407">
        <f>Revenue!AA8</f>
        <v>350687.0274</v>
      </c>
      <c r="AB95" s="407">
        <f>Revenue!AB8</f>
        <v>425236.3339</v>
      </c>
      <c r="AC95" s="407">
        <f>Revenue!AC8</f>
        <v>493846.1583</v>
      </c>
      <c r="AD95" s="407">
        <f>Revenue!AD8</f>
        <v>557565.2007</v>
      </c>
      <c r="AE95" s="407">
        <f>Revenue!AE8</f>
        <v>618794.0664</v>
      </c>
      <c r="AF95" s="407">
        <f>Revenue!AF8</f>
        <v>679166.8654</v>
      </c>
      <c r="AG95" s="407">
        <f>Revenue!AG8</f>
        <v>737945.7206</v>
      </c>
      <c r="AH95" s="407">
        <f>Revenue!AH8</f>
        <v>798955.3159</v>
      </c>
      <c r="AI95" s="407">
        <f>Revenue!AI8</f>
        <v>857035.5227</v>
      </c>
      <c r="AJ95" s="407">
        <f>Revenue!AJ8</f>
        <v>909223.7479</v>
      </c>
      <c r="AK95" s="407">
        <f>Revenue!AK8</f>
        <v>954796.8069</v>
      </c>
      <c r="AL95" s="407">
        <f>Revenue!AL8</f>
        <v>1000310.763</v>
      </c>
      <c r="AM95" s="407">
        <f>Revenue!AM8</f>
        <v>1045803.08</v>
      </c>
      <c r="AN95" s="407">
        <f>Revenue!AN8</f>
        <v>1060837.482</v>
      </c>
      <c r="AO95" s="407">
        <f>Revenue!AO8</f>
        <v>1066689.864</v>
      </c>
      <c r="AP95" s="407">
        <f>Revenue!AP8</f>
        <v>1076646.148</v>
      </c>
      <c r="AQ95" s="407">
        <f>Revenue!AQ8</f>
        <v>1088887.103</v>
      </c>
      <c r="AR95" s="407">
        <f>Revenue!AR8</f>
        <v>1102294.281</v>
      </c>
      <c r="AS95" s="407">
        <f>Revenue!AS8</f>
        <v>1115918.837</v>
      </c>
      <c r="AT95" s="407">
        <f>Revenue!AT8</f>
        <v>1129283.422</v>
      </c>
      <c r="AU95" s="407">
        <f>Revenue!AU8</f>
        <v>1142410.106</v>
      </c>
      <c r="AV95" s="407">
        <f>Revenue!AV8</f>
        <v>1155316.089</v>
      </c>
      <c r="AW95" s="407">
        <f>Revenue!AW8</f>
        <v>1168016.417</v>
      </c>
      <c r="AX95" s="407">
        <f>Revenue!AX8</f>
        <v>1180524.946</v>
      </c>
      <c r="AY95" s="407">
        <f>Revenue!AY8</f>
        <v>1193131.617</v>
      </c>
      <c r="AZ95" s="407">
        <f>Revenue!AZ8</f>
        <v>1215896.824</v>
      </c>
      <c r="BA95" s="407">
        <f>Revenue!BA8</f>
        <v>1238203.963</v>
      </c>
      <c r="BB95" s="407">
        <f>Revenue!BB8</f>
        <v>1259966.901</v>
      </c>
      <c r="BC95" s="407">
        <f>Revenue!BC8</f>
        <v>1281262.865</v>
      </c>
      <c r="BD95" s="407">
        <f>Revenue!BD8</f>
        <v>1302132.414</v>
      </c>
      <c r="BE95" s="407">
        <f>Revenue!BE8</f>
        <v>1322602.735</v>
      </c>
      <c r="BF95" s="407">
        <f>Revenue!BF8</f>
        <v>1342695.826</v>
      </c>
      <c r="BG95" s="407">
        <f>Revenue!BG8</f>
        <v>1362431.372</v>
      </c>
      <c r="BH95" s="407">
        <f>Revenue!BH8</f>
        <v>1381827.782</v>
      </c>
      <c r="BI95" s="407">
        <f>Revenue!BI8</f>
        <v>1400902.562</v>
      </c>
      <c r="BJ95" s="407">
        <f>Revenue!BJ8</f>
        <v>1419672.474</v>
      </c>
      <c r="BK95" s="407">
        <f>Revenue!BK8</f>
        <v>1441122.851</v>
      </c>
      <c r="BL95" s="407">
        <f>Revenue!BL8</f>
        <v>1465179.478</v>
      </c>
      <c r="BM95" s="407">
        <f>Revenue!BM8</f>
        <v>1488062.037</v>
      </c>
      <c r="BN95" s="407">
        <f>Revenue!BN8</f>
        <v>1509147.715</v>
      </c>
      <c r="BO95" s="407">
        <f>Revenue!BO8</f>
        <v>1529904.053</v>
      </c>
      <c r="BP95" s="407">
        <f>Revenue!BP8</f>
        <v>1550377.039</v>
      </c>
      <c r="BQ95" s="407">
        <f>Revenue!BQ8</f>
        <v>1570593.034</v>
      </c>
      <c r="BR95" s="407">
        <f>Revenue!BR8</f>
        <v>1590571.194</v>
      </c>
      <c r="BS95" s="407">
        <f>Revenue!BS8</f>
        <v>1610327.838</v>
      </c>
      <c r="BT95" s="407">
        <f>Revenue!BT8</f>
        <v>1629877.987</v>
      </c>
      <c r="BU95" s="407">
        <f>Revenue!BU8</f>
        <v>1649235.922</v>
      </c>
      <c r="BV95" s="407">
        <f>Revenue!BV8</f>
        <v>1668415.386</v>
      </c>
      <c r="BW95" s="407">
        <f>Revenue!BW8</f>
        <v>1687429.669</v>
      </c>
      <c r="BX95" s="407">
        <f>Revenue!BX8</f>
        <v>1701265.07</v>
      </c>
      <c r="BY95" s="407">
        <f>Revenue!BY8</f>
        <v>1712809.028</v>
      </c>
      <c r="BZ95" s="407">
        <f>Revenue!BZ8</f>
        <v>1724389.739</v>
      </c>
      <c r="CA95" s="407">
        <f>Revenue!CA8</f>
        <v>1736419.269</v>
      </c>
      <c r="CB95" s="407">
        <f>Revenue!CB8</f>
        <v>1748552.268</v>
      </c>
      <c r="CC95" s="407">
        <f>Revenue!CC8</f>
        <v>1760673.347</v>
      </c>
      <c r="CD95" s="407">
        <f>Revenue!CD8</f>
        <v>1772747.379</v>
      </c>
      <c r="CE95" s="407">
        <f>Revenue!CE8</f>
        <v>1784767.117</v>
      </c>
      <c r="CF95" s="407">
        <f>Revenue!CF8</f>
        <v>1796734.866</v>
      </c>
      <c r="CG95" s="407">
        <f>Revenue!CG8</f>
        <v>1808656.08</v>
      </c>
      <c r="CH95" s="407">
        <f>Revenue!CH8</f>
        <v>1820537.127</v>
      </c>
      <c r="CI95" s="1"/>
      <c r="CJ95" s="1"/>
      <c r="CK95" s="1"/>
      <c r="CL95" s="1"/>
      <c r="CM95" s="1"/>
      <c r="CN95" s="1"/>
      <c r="CO95" s="1"/>
      <c r="CP95" s="1"/>
    </row>
    <row r="96" ht="15.75" customHeight="1">
      <c r="A96" s="1" t="s">
        <v>89</v>
      </c>
      <c r="B96" s="368"/>
      <c r="C96" s="407">
        <f>Revenue!C129</f>
        <v>195725</v>
      </c>
      <c r="D96" s="407">
        <f>Revenue!D129</f>
        <v>214613</v>
      </c>
      <c r="E96" s="407">
        <f>Revenue!E129</f>
        <v>197392</v>
      </c>
      <c r="F96" s="407">
        <f>Revenue!F129</f>
        <v>258277</v>
      </c>
      <c r="G96" s="407">
        <f>Revenue!G129</f>
        <v>139422</v>
      </c>
      <c r="H96" s="407">
        <f>Revenue!H129</f>
        <v>247130</v>
      </c>
      <c r="I96" s="407">
        <f>Revenue!I129</f>
        <v>139486</v>
      </c>
      <c r="J96" s="407">
        <f>Revenue!J129</f>
        <v>196567</v>
      </c>
      <c r="K96" s="407">
        <f>Revenue!K129</f>
        <v>153247</v>
      </c>
      <c r="L96" s="407">
        <f>Revenue!L129</f>
        <v>181294</v>
      </c>
      <c r="M96" s="407">
        <f>Revenue!M129</f>
        <v>169975</v>
      </c>
      <c r="N96" s="407">
        <f>Revenue!N129</f>
        <v>190504</v>
      </c>
      <c r="O96" s="407">
        <f>Revenue!O129</f>
        <v>266809</v>
      </c>
      <c r="P96" s="407">
        <f>Revenue!P129</f>
        <v>171318</v>
      </c>
      <c r="Q96" s="407">
        <f>Revenue!Q129</f>
        <v>241762</v>
      </c>
      <c r="R96" s="407">
        <f>Revenue!R129</f>
        <v>255611</v>
      </c>
      <c r="S96" s="407">
        <f>Revenue!S129</f>
        <v>205241</v>
      </c>
      <c r="T96" s="407">
        <f>Revenue!T9</f>
        <v>271510</v>
      </c>
      <c r="U96" s="407">
        <f>Revenue!U9</f>
        <v>256363</v>
      </c>
      <c r="V96" s="407">
        <f>Revenue!V9</f>
        <v>232452</v>
      </c>
      <c r="W96" s="407">
        <f>Revenue!W9</f>
        <v>156362</v>
      </c>
      <c r="X96" s="407">
        <f>Revenue!X9</f>
        <v>208832</v>
      </c>
      <c r="Y96" s="407">
        <f>Revenue!Y9</f>
        <v>145395</v>
      </c>
      <c r="Z96" s="407">
        <f>Revenue!Z9</f>
        <v>163491.3524</v>
      </c>
      <c r="AA96" s="407">
        <f>Revenue!AA9</f>
        <v>183044.7388</v>
      </c>
      <c r="AB96" s="407">
        <f>Revenue!AB9</f>
        <v>200459.0335</v>
      </c>
      <c r="AC96" s="407">
        <f>Revenue!AC9</f>
        <v>213223.6562</v>
      </c>
      <c r="AD96" s="407">
        <f>Revenue!AD9</f>
        <v>222673.5289</v>
      </c>
      <c r="AE96" s="407">
        <f>Revenue!AE9</f>
        <v>230681.7352</v>
      </c>
      <c r="AF96" s="407">
        <f>Revenue!AF9</f>
        <v>236383.8968</v>
      </c>
      <c r="AG96" s="407">
        <f>Revenue!AG9</f>
        <v>240530.91</v>
      </c>
      <c r="AH96" s="407">
        <f>Revenue!AH9</f>
        <v>242301.9064</v>
      </c>
      <c r="AI96" s="407">
        <f>Revenue!AI9</f>
        <v>241385.1234</v>
      </c>
      <c r="AJ96" s="407">
        <f>Revenue!AJ9</f>
        <v>244331.6618</v>
      </c>
      <c r="AK96" s="407">
        <f>Revenue!AK9</f>
        <v>246786.6721</v>
      </c>
      <c r="AL96" s="407">
        <f>Revenue!AL9</f>
        <v>249026.6499</v>
      </c>
      <c r="AM96" s="407">
        <f>Revenue!AM9</f>
        <v>256165.6355</v>
      </c>
      <c r="AN96" s="407">
        <f>Revenue!AN9</f>
        <v>250965.6349</v>
      </c>
      <c r="AO96" s="407">
        <f>Revenue!AO9</f>
        <v>246100.6974</v>
      </c>
      <c r="AP96" s="407">
        <f>Revenue!AP9</f>
        <v>242961.5661</v>
      </c>
      <c r="AQ96" s="407">
        <f>Revenue!AQ9</f>
        <v>241063.1936</v>
      </c>
      <c r="AR96" s="407">
        <f>Revenue!AR9</f>
        <v>240318.7559</v>
      </c>
      <c r="AS96" s="407">
        <f>Revenue!AS9</f>
        <v>240144.3862</v>
      </c>
      <c r="AT96" s="407">
        <f>Revenue!AT9</f>
        <v>240381.0082</v>
      </c>
      <c r="AU96" s="407">
        <f>Revenue!AU9</f>
        <v>240914.4205</v>
      </c>
      <c r="AV96" s="407">
        <f>Revenue!AV9</f>
        <v>241662.6428</v>
      </c>
      <c r="AW96" s="407">
        <f>Revenue!AW9</f>
        <v>242566.8292</v>
      </c>
      <c r="AX96" s="407">
        <f>Revenue!AX9</f>
        <v>243584.7447</v>
      </c>
      <c r="AY96" s="407">
        <f>Revenue!AY9</f>
        <v>248268.4075</v>
      </c>
      <c r="AZ96" s="407">
        <f>Revenue!AZ9</f>
        <v>252237.2445</v>
      </c>
      <c r="BA96" s="407">
        <f>Revenue!BA9</f>
        <v>255538.7403</v>
      </c>
      <c r="BB96" s="407">
        <f>Revenue!BB9</f>
        <v>258348.16</v>
      </c>
      <c r="BC96" s="407">
        <f>Revenue!BC9</f>
        <v>260795.2157</v>
      </c>
      <c r="BD96" s="407">
        <f>Revenue!BD9</f>
        <v>262975.9103</v>
      </c>
      <c r="BE96" s="407">
        <f>Revenue!BE9</f>
        <v>264961.3019</v>
      </c>
      <c r="BF96" s="407">
        <f>Revenue!BF9</f>
        <v>266803.9899</v>
      </c>
      <c r="BG96" s="407">
        <f>Revenue!BG9</f>
        <v>268542.9142</v>
      </c>
      <c r="BH96" s="407">
        <f>Revenue!BH9</f>
        <v>270206.9072</v>
      </c>
      <c r="BI96" s="407">
        <f>Revenue!BI9</f>
        <v>271817.3215</v>
      </c>
      <c r="BJ96" s="407">
        <f>Revenue!BJ9</f>
        <v>273389.9749</v>
      </c>
      <c r="BK96" s="407">
        <f>Revenue!BK9</f>
        <v>277845.5494</v>
      </c>
      <c r="BL96" s="407">
        <f>Revenue!BL9</f>
        <v>281710.394</v>
      </c>
      <c r="BM96" s="407">
        <f>Revenue!BM9</f>
        <v>284656.6556</v>
      </c>
      <c r="BN96" s="407">
        <f>Revenue!BN9</f>
        <v>287637.3694</v>
      </c>
      <c r="BO96" s="407">
        <f>Revenue!BO9</f>
        <v>290646.5361</v>
      </c>
      <c r="BP96" s="407">
        <f>Revenue!BP9</f>
        <v>293679.7702</v>
      </c>
      <c r="BQ96" s="407">
        <f>Revenue!BQ9</f>
        <v>296733.8826</v>
      </c>
      <c r="BR96" s="407">
        <f>Revenue!BR9</f>
        <v>299806.5706</v>
      </c>
      <c r="BS96" s="407">
        <f>Revenue!BS9</f>
        <v>302896.1889</v>
      </c>
      <c r="BT96" s="407">
        <f>Revenue!BT9</f>
        <v>306001.5806</v>
      </c>
      <c r="BU96" s="407">
        <f>Revenue!BU9</f>
        <v>309121.9515</v>
      </c>
      <c r="BV96" s="407">
        <f>Revenue!BV9</f>
        <v>312256.7776</v>
      </c>
      <c r="BW96" s="407">
        <f>Revenue!BW9</f>
        <v>315560.6213</v>
      </c>
      <c r="BX96" s="407">
        <f>Revenue!BX9</f>
        <v>315249.591</v>
      </c>
      <c r="BY96" s="407">
        <f>Revenue!BY9</f>
        <v>314993.7907</v>
      </c>
      <c r="BZ96" s="407">
        <f>Revenue!BZ9</f>
        <v>315519.1105</v>
      </c>
      <c r="CA96" s="407">
        <f>Revenue!CA9</f>
        <v>316625.3067</v>
      </c>
      <c r="CB96" s="407">
        <f>Revenue!CB9</f>
        <v>318164.1851</v>
      </c>
      <c r="CC96" s="407">
        <f>Revenue!CC9</f>
        <v>320026.0694</v>
      </c>
      <c r="CD96" s="407">
        <f>Revenue!CD9</f>
        <v>322129.7871</v>
      </c>
      <c r="CE96" s="407">
        <f>Revenue!CE9</f>
        <v>324415.2595</v>
      </c>
      <c r="CF96" s="407">
        <f>Revenue!CF9</f>
        <v>326838.0183</v>
      </c>
      <c r="CG96" s="407">
        <f>Revenue!CG9</f>
        <v>329365.1476</v>
      </c>
      <c r="CH96" s="407">
        <f>Revenue!CH9</f>
        <v>331972.281</v>
      </c>
      <c r="CI96" s="1"/>
      <c r="CJ96" s="1"/>
      <c r="CK96" s="1"/>
      <c r="CL96" s="1"/>
      <c r="CM96" s="1"/>
      <c r="CN96" s="1"/>
      <c r="CO96" s="1"/>
      <c r="CP96" s="1"/>
    </row>
    <row r="97" ht="15.75" customHeight="1">
      <c r="A97" s="1" t="s">
        <v>94</v>
      </c>
      <c r="B97" s="368"/>
      <c r="C97" s="407">
        <f>Revenue!C155</f>
        <v>32145</v>
      </c>
      <c r="D97" s="407">
        <f>Revenue!D155</f>
        <v>20023</v>
      </c>
      <c r="E97" s="407">
        <f>Revenue!E155</f>
        <v>38675</v>
      </c>
      <c r="F97" s="407">
        <f>Revenue!F155</f>
        <v>38382</v>
      </c>
      <c r="G97" s="407">
        <f>Revenue!G155</f>
        <v>25077</v>
      </c>
      <c r="H97" s="407">
        <f>Revenue!H155</f>
        <v>31269</v>
      </c>
      <c r="I97" s="407">
        <f>Revenue!I155</f>
        <v>26693</v>
      </c>
      <c r="J97" s="407">
        <f>Revenue!J155</f>
        <v>35918</v>
      </c>
      <c r="K97" s="407">
        <f>Revenue!K155</f>
        <v>38988</v>
      </c>
      <c r="L97" s="407">
        <f>Revenue!L155</f>
        <v>26246</v>
      </c>
      <c r="M97" s="407">
        <f>Revenue!M155</f>
        <v>25203</v>
      </c>
      <c r="N97" s="407">
        <f>Revenue!N155</f>
        <v>174623</v>
      </c>
      <c r="O97" s="407">
        <f>Revenue!O155</f>
        <v>183152</v>
      </c>
      <c r="P97" s="407">
        <f>Revenue!P155</f>
        <v>164354</v>
      </c>
      <c r="Q97" s="407">
        <f>Revenue!Q155</f>
        <v>220307</v>
      </c>
      <c r="R97" s="407">
        <f>Revenue!R155</f>
        <v>239857</v>
      </c>
      <c r="S97" s="407">
        <f>Revenue!S155</f>
        <v>228761</v>
      </c>
      <c r="T97" s="407">
        <f>Revenue!T10</f>
        <v>182009</v>
      </c>
      <c r="U97" s="407">
        <f>Revenue!U10</f>
        <v>186834</v>
      </c>
      <c r="V97" s="407">
        <f>Revenue!V10</f>
        <v>265471</v>
      </c>
      <c r="W97" s="407">
        <f>Revenue!W10</f>
        <v>256373</v>
      </c>
      <c r="X97" s="407">
        <f>Revenue!X10</f>
        <v>229020</v>
      </c>
      <c r="Y97" s="407">
        <f>Revenue!Y10</f>
        <v>222586</v>
      </c>
      <c r="Z97" s="407">
        <f>Revenue!Z10</f>
        <v>237288.2603</v>
      </c>
      <c r="AA97" s="407">
        <f>Revenue!AA10</f>
        <v>254182.8216</v>
      </c>
      <c r="AB97" s="407">
        <f>Revenue!AB10</f>
        <v>269240.6669</v>
      </c>
      <c r="AC97" s="407">
        <f>Revenue!AC10</f>
        <v>282267.6617</v>
      </c>
      <c r="AD97" s="407">
        <f>Revenue!AD10</f>
        <v>293903.0389</v>
      </c>
      <c r="AE97" s="407">
        <f>Revenue!AE10</f>
        <v>300046.4589</v>
      </c>
      <c r="AF97" s="407">
        <f>Revenue!AF10</f>
        <v>305551.8348</v>
      </c>
      <c r="AG97" s="407">
        <f>Revenue!AG10</f>
        <v>309000.5918</v>
      </c>
      <c r="AH97" s="407">
        <f>Revenue!AH10</f>
        <v>311983.1866</v>
      </c>
      <c r="AI97" s="407">
        <f>Revenue!AI10</f>
        <v>315908.0636</v>
      </c>
      <c r="AJ97" s="407">
        <f>Revenue!AJ10</f>
        <v>320515.9767</v>
      </c>
      <c r="AK97" s="407">
        <f>Revenue!AK10</f>
        <v>324541.4248</v>
      </c>
      <c r="AL97" s="407">
        <f>Revenue!AL10</f>
        <v>328217.4857</v>
      </c>
      <c r="AM97" s="407">
        <f>Revenue!AM10</f>
        <v>330505.8443</v>
      </c>
      <c r="AN97" s="407">
        <f>Revenue!AN10</f>
        <v>333665.665</v>
      </c>
      <c r="AO97" s="407">
        <f>Revenue!AO10</f>
        <v>337718.8864</v>
      </c>
      <c r="AP97" s="407">
        <f>Revenue!AP10</f>
        <v>341317.8945</v>
      </c>
      <c r="AQ97" s="407">
        <f>Revenue!AQ10</f>
        <v>344578.968</v>
      </c>
      <c r="AR97" s="407">
        <f>Revenue!AR10</f>
        <v>347856.2766</v>
      </c>
      <c r="AS97" s="407">
        <f>Revenue!AS10</f>
        <v>350881.1381</v>
      </c>
      <c r="AT97" s="407">
        <f>Revenue!AT10</f>
        <v>353718.8269</v>
      </c>
      <c r="AU97" s="407">
        <f>Revenue!AU10</f>
        <v>356418.1154</v>
      </c>
      <c r="AV97" s="407">
        <f>Revenue!AV10</f>
        <v>359015.4489</v>
      </c>
      <c r="AW97" s="407">
        <f>Revenue!AW10</f>
        <v>361538.0646</v>
      </c>
      <c r="AX97" s="407">
        <f>Revenue!AX10</f>
        <v>364006.3214</v>
      </c>
      <c r="AY97" s="407">
        <f>Revenue!AY10</f>
        <v>367273.6368</v>
      </c>
      <c r="AZ97" s="407">
        <f>Revenue!AZ10</f>
        <v>370446.9878</v>
      </c>
      <c r="BA97" s="407">
        <f>Revenue!BA10</f>
        <v>373408.3506</v>
      </c>
      <c r="BB97" s="407">
        <f>Revenue!BB10</f>
        <v>376212.8319</v>
      </c>
      <c r="BC97" s="407">
        <f>Revenue!BC10</f>
        <v>378901.6088</v>
      </c>
      <c r="BD97" s="407">
        <f>Revenue!BD10</f>
        <v>381505.4531</v>
      </c>
      <c r="BE97" s="407">
        <f>Revenue!BE10</f>
        <v>384047.3641</v>
      </c>
      <c r="BF97" s="407">
        <f>Revenue!BF10</f>
        <v>386544.5348</v>
      </c>
      <c r="BG97" s="407">
        <f>Revenue!BG10</f>
        <v>389009.8214</v>
      </c>
      <c r="BH97" s="407">
        <f>Revenue!BH10</f>
        <v>391452.8405</v>
      </c>
      <c r="BI97" s="407">
        <f>Revenue!BI10</f>
        <v>393880.7887</v>
      </c>
      <c r="BJ97" s="407">
        <f>Revenue!BJ10</f>
        <v>396299.0552</v>
      </c>
      <c r="BK97" s="407">
        <f>Revenue!BK10</f>
        <v>400181.0886</v>
      </c>
      <c r="BL97" s="407">
        <f>Revenue!BL10</f>
        <v>403970.2448</v>
      </c>
      <c r="BM97" s="407">
        <f>Revenue!BM10</f>
        <v>407045.4366</v>
      </c>
      <c r="BN97" s="407">
        <f>Revenue!BN10</f>
        <v>410097.6849</v>
      </c>
      <c r="BO97" s="407">
        <f>Revenue!BO10</f>
        <v>413135.151</v>
      </c>
      <c r="BP97" s="407">
        <f>Revenue!BP10</f>
        <v>416163.9715</v>
      </c>
      <c r="BQ97" s="407">
        <f>Revenue!BQ10</f>
        <v>419188.7715</v>
      </c>
      <c r="BR97" s="407">
        <f>Revenue!BR10</f>
        <v>422213.048</v>
      </c>
      <c r="BS97" s="407">
        <f>Revenue!BS10</f>
        <v>425239.4569</v>
      </c>
      <c r="BT97" s="407">
        <f>Revenue!BT10</f>
        <v>428270.0262</v>
      </c>
      <c r="BU97" s="407">
        <f>Revenue!BU10</f>
        <v>431306.3164</v>
      </c>
      <c r="BV97" s="407">
        <f>Revenue!BV10</f>
        <v>434349.5402</v>
      </c>
      <c r="BW97" s="407">
        <f>Revenue!BW10</f>
        <v>437511.2831</v>
      </c>
      <c r="BX97" s="407">
        <f>Revenue!BX10</f>
        <v>437014.607</v>
      </c>
      <c r="BY97" s="407">
        <f>Revenue!BY10</f>
        <v>436805.9551</v>
      </c>
      <c r="BZ97" s="407">
        <f>Revenue!BZ10</f>
        <v>437341.4376</v>
      </c>
      <c r="CA97" s="407">
        <f>Revenue!CA10</f>
        <v>438435.0543</v>
      </c>
      <c r="CB97" s="407">
        <f>Revenue!CB10</f>
        <v>439947.854</v>
      </c>
      <c r="CC97" s="407">
        <f>Revenue!CC10</f>
        <v>441776.0326</v>
      </c>
      <c r="CD97" s="407">
        <f>Revenue!CD10</f>
        <v>443842.0407</v>
      </c>
      <c r="CE97" s="407">
        <f>Revenue!CE10</f>
        <v>446087.9425</v>
      </c>
      <c r="CF97" s="407">
        <f>Revenue!CF10</f>
        <v>448470.4537</v>
      </c>
      <c r="CG97" s="407">
        <f>Revenue!CG10</f>
        <v>450957.2355</v>
      </c>
      <c r="CH97" s="407">
        <f>Revenue!CH10</f>
        <v>453524.1261</v>
      </c>
      <c r="CI97" s="1"/>
      <c r="CJ97" s="1"/>
      <c r="CK97" s="1"/>
      <c r="CL97" s="1"/>
      <c r="CM97" s="1"/>
      <c r="CN97" s="1"/>
      <c r="CO97" s="1"/>
      <c r="CP97" s="1"/>
    </row>
    <row r="98" ht="15.75" customHeight="1">
      <c r="A98" s="1" t="s">
        <v>96</v>
      </c>
      <c r="B98" s="368"/>
      <c r="C98" s="407">
        <f>Revenue!C11</f>
        <v>39950</v>
      </c>
      <c r="D98" s="407">
        <f>Revenue!D11</f>
        <v>38867</v>
      </c>
      <c r="E98" s="407">
        <f>Revenue!E11</f>
        <v>36759</v>
      </c>
      <c r="F98" s="407">
        <f>Revenue!F11</f>
        <v>25125</v>
      </c>
      <c r="G98" s="407">
        <f>Revenue!G11</f>
        <v>36781</v>
      </c>
      <c r="H98" s="407">
        <f>Revenue!H11</f>
        <v>37960</v>
      </c>
      <c r="I98" s="407">
        <f>Revenue!I11</f>
        <v>26320</v>
      </c>
      <c r="J98" s="407">
        <f>Revenue!J11</f>
        <v>26527</v>
      </c>
      <c r="K98" s="407">
        <f>Revenue!K11</f>
        <v>20651</v>
      </c>
      <c r="L98" s="407">
        <f>Revenue!L11</f>
        <v>39016</v>
      </c>
      <c r="M98" s="407">
        <f>Revenue!M11</f>
        <v>30718</v>
      </c>
      <c r="N98" s="407">
        <f>Revenue!N11</f>
        <v>20546</v>
      </c>
      <c r="O98" s="407">
        <f>Revenue!O11</f>
        <v>35731</v>
      </c>
      <c r="P98" s="407">
        <f>Revenue!P11</f>
        <v>22841</v>
      </c>
      <c r="Q98" s="407">
        <f>Revenue!Q11</f>
        <v>24132</v>
      </c>
      <c r="R98" s="407">
        <f>Revenue!R11</f>
        <v>24634</v>
      </c>
      <c r="S98" s="407">
        <f>Revenue!S11</f>
        <v>24667</v>
      </c>
      <c r="T98" s="407">
        <f>Revenue!T11</f>
        <v>35176</v>
      </c>
      <c r="U98" s="407">
        <f>Revenue!U11</f>
        <v>37262</v>
      </c>
      <c r="V98" s="407">
        <f>Revenue!V11</f>
        <v>25313</v>
      </c>
      <c r="W98" s="407">
        <f>Revenue!W11</f>
        <v>36298</v>
      </c>
      <c r="X98" s="407">
        <f>Revenue!X11</f>
        <v>23322</v>
      </c>
      <c r="Y98" s="407">
        <f>Revenue!Y11</f>
        <v>35512</v>
      </c>
      <c r="Z98" s="407">
        <f>Revenue!Z11</f>
        <v>50000</v>
      </c>
      <c r="AA98" s="409">
        <v>50000.0</v>
      </c>
      <c r="AB98" s="409">
        <v>50000.0</v>
      </c>
      <c r="AC98" s="409">
        <v>50000.0</v>
      </c>
      <c r="AD98" s="409">
        <v>50000.0</v>
      </c>
      <c r="AE98" s="409">
        <v>50000.0</v>
      </c>
      <c r="AF98" s="409">
        <v>50000.0</v>
      </c>
      <c r="AG98" s="409">
        <v>50000.0</v>
      </c>
      <c r="AH98" s="409">
        <v>50000.0</v>
      </c>
      <c r="AI98" s="409">
        <v>50000.0</v>
      </c>
      <c r="AJ98" s="409">
        <v>50000.0</v>
      </c>
      <c r="AK98" s="409">
        <v>50000.0</v>
      </c>
      <c r="AL98" s="409">
        <v>50000.0</v>
      </c>
      <c r="AM98" s="407">
        <v>75000.0</v>
      </c>
      <c r="AN98" s="407">
        <f>Revenue!AN11</f>
        <v>75000</v>
      </c>
      <c r="AO98" s="407">
        <f>Revenue!AO11</f>
        <v>75000</v>
      </c>
      <c r="AP98" s="407">
        <f>Revenue!AP11</f>
        <v>75000</v>
      </c>
      <c r="AQ98" s="407">
        <f>Revenue!AQ11</f>
        <v>75000</v>
      </c>
      <c r="AR98" s="407">
        <f>Revenue!AR11</f>
        <v>75000</v>
      </c>
      <c r="AS98" s="407">
        <f>Revenue!AS11</f>
        <v>75000</v>
      </c>
      <c r="AT98" s="407">
        <f>Revenue!AT11</f>
        <v>75000</v>
      </c>
      <c r="AU98" s="407">
        <f>Revenue!AU11</f>
        <v>75000</v>
      </c>
      <c r="AV98" s="407">
        <f>Revenue!AV11</f>
        <v>75000</v>
      </c>
      <c r="AW98" s="407">
        <f>Revenue!AW11</f>
        <v>75000</v>
      </c>
      <c r="AX98" s="407">
        <f>Revenue!AX11</f>
        <v>75000</v>
      </c>
      <c r="AY98" s="407">
        <f>Revenue!AY11</f>
        <v>100000</v>
      </c>
      <c r="AZ98" s="407">
        <f>Revenue!AZ11</f>
        <v>100000</v>
      </c>
      <c r="BA98" s="407">
        <f>Revenue!BA11</f>
        <v>100000</v>
      </c>
      <c r="BB98" s="407">
        <f>Revenue!BB11</f>
        <v>100000</v>
      </c>
      <c r="BC98" s="407">
        <f>Revenue!BC11</f>
        <v>100000</v>
      </c>
      <c r="BD98" s="407">
        <f>Revenue!BD11</f>
        <v>100000</v>
      </c>
      <c r="BE98" s="407">
        <f>Revenue!BE11</f>
        <v>100000</v>
      </c>
      <c r="BF98" s="407">
        <f>Revenue!BF11</f>
        <v>100000</v>
      </c>
      <c r="BG98" s="407">
        <f>Revenue!BG11</f>
        <v>100000</v>
      </c>
      <c r="BH98" s="407">
        <f>Revenue!BH11</f>
        <v>100000</v>
      </c>
      <c r="BI98" s="407">
        <f>Revenue!BI11</f>
        <v>100000</v>
      </c>
      <c r="BJ98" s="407">
        <f>Revenue!BJ11</f>
        <v>100000</v>
      </c>
      <c r="BK98" s="407">
        <f>Revenue!BK11</f>
        <v>100000</v>
      </c>
      <c r="BL98" s="407">
        <f>Revenue!BL11</f>
        <v>100000</v>
      </c>
      <c r="BM98" s="407">
        <f>Revenue!BM11</f>
        <v>100000</v>
      </c>
      <c r="BN98" s="407">
        <f>Revenue!BN11</f>
        <v>100000</v>
      </c>
      <c r="BO98" s="407">
        <f>Revenue!BO11</f>
        <v>100000</v>
      </c>
      <c r="BP98" s="407">
        <f>Revenue!BP11</f>
        <v>100000</v>
      </c>
      <c r="BQ98" s="407">
        <f>Revenue!BQ11</f>
        <v>100000</v>
      </c>
      <c r="BR98" s="407">
        <f>Revenue!BR11</f>
        <v>100000</v>
      </c>
      <c r="BS98" s="407">
        <f>Revenue!BS11</f>
        <v>100000</v>
      </c>
      <c r="BT98" s="407">
        <f>Revenue!BT11</f>
        <v>100000</v>
      </c>
      <c r="BU98" s="407">
        <f>Revenue!BU11</f>
        <v>100000</v>
      </c>
      <c r="BV98" s="407">
        <f>Revenue!BV11</f>
        <v>100000</v>
      </c>
      <c r="BW98" s="407">
        <f>Revenue!BW11</f>
        <v>100000</v>
      </c>
      <c r="BX98" s="407">
        <f>Revenue!BX11</f>
        <v>100000</v>
      </c>
      <c r="BY98" s="407">
        <f>Revenue!BY11</f>
        <v>100000</v>
      </c>
      <c r="BZ98" s="407">
        <f>Revenue!BZ11</f>
        <v>100000</v>
      </c>
      <c r="CA98" s="407">
        <f>Revenue!CA11</f>
        <v>100000</v>
      </c>
      <c r="CB98" s="407">
        <f>Revenue!CB11</f>
        <v>100000</v>
      </c>
      <c r="CC98" s="407">
        <f>Revenue!CC11</f>
        <v>100000</v>
      </c>
      <c r="CD98" s="407">
        <f>Revenue!CD11</f>
        <v>100000</v>
      </c>
      <c r="CE98" s="407">
        <f>Revenue!CE11</f>
        <v>100000</v>
      </c>
      <c r="CF98" s="407">
        <f>Revenue!CF11</f>
        <v>100000</v>
      </c>
      <c r="CG98" s="407">
        <f>Revenue!CG11</f>
        <v>100000</v>
      </c>
      <c r="CH98" s="407">
        <f>Revenue!CH11</f>
        <v>100000</v>
      </c>
      <c r="CI98" s="1"/>
      <c r="CJ98" s="1"/>
      <c r="CK98" s="1"/>
      <c r="CL98" s="1"/>
      <c r="CM98" s="1"/>
      <c r="CN98" s="1"/>
      <c r="CO98" s="1"/>
      <c r="CP98" s="1"/>
    </row>
    <row r="99" ht="15.75" customHeight="1">
      <c r="A99" s="119" t="s">
        <v>98</v>
      </c>
      <c r="B99" s="410"/>
      <c r="C99" s="405">
        <f t="shared" ref="C99:CH99" si="57">SUM(C93:C98)</f>
        <v>774301</v>
      </c>
      <c r="D99" s="405">
        <f t="shared" si="57"/>
        <v>943460</v>
      </c>
      <c r="E99" s="405">
        <f t="shared" si="57"/>
        <v>888463</v>
      </c>
      <c r="F99" s="405">
        <f t="shared" si="57"/>
        <v>1052746</v>
      </c>
      <c r="G99" s="405">
        <f t="shared" si="57"/>
        <v>889387</v>
      </c>
      <c r="H99" s="405">
        <f t="shared" si="57"/>
        <v>974708</v>
      </c>
      <c r="I99" s="405">
        <f t="shared" si="57"/>
        <v>807121</v>
      </c>
      <c r="J99" s="405">
        <f t="shared" si="57"/>
        <v>776118</v>
      </c>
      <c r="K99" s="405">
        <f t="shared" si="57"/>
        <v>836564</v>
      </c>
      <c r="L99" s="405">
        <f t="shared" si="57"/>
        <v>898566</v>
      </c>
      <c r="M99" s="405">
        <f t="shared" si="57"/>
        <v>879774</v>
      </c>
      <c r="N99" s="405">
        <f t="shared" si="57"/>
        <v>1000879</v>
      </c>
      <c r="O99" s="405">
        <f t="shared" si="57"/>
        <v>1136039</v>
      </c>
      <c r="P99" s="405">
        <f t="shared" si="57"/>
        <v>974852</v>
      </c>
      <c r="Q99" s="405">
        <f t="shared" si="57"/>
        <v>1060110</v>
      </c>
      <c r="R99" s="405">
        <f t="shared" si="57"/>
        <v>1158750</v>
      </c>
      <c r="S99" s="405">
        <f t="shared" si="57"/>
        <v>1140326</v>
      </c>
      <c r="T99" s="405">
        <f t="shared" si="57"/>
        <v>1026758</v>
      </c>
      <c r="U99" s="405">
        <f t="shared" si="57"/>
        <v>1075603</v>
      </c>
      <c r="V99" s="405">
        <f t="shared" si="57"/>
        <v>1284887</v>
      </c>
      <c r="W99" s="405">
        <f t="shared" si="57"/>
        <v>1212473</v>
      </c>
      <c r="X99" s="405">
        <f t="shared" si="57"/>
        <v>1083940</v>
      </c>
      <c r="Y99" s="405">
        <f t="shared" si="57"/>
        <v>1087614</v>
      </c>
      <c r="Z99" s="405">
        <f t="shared" si="57"/>
        <v>1424308.851</v>
      </c>
      <c r="AA99" s="406">
        <f t="shared" si="57"/>
        <v>1675931.661</v>
      </c>
      <c r="AB99" s="406">
        <f t="shared" si="57"/>
        <v>1924594.906</v>
      </c>
      <c r="AC99" s="406">
        <f t="shared" si="57"/>
        <v>2152312.038</v>
      </c>
      <c r="AD99" s="406">
        <f t="shared" si="57"/>
        <v>2370366.352</v>
      </c>
      <c r="AE99" s="406">
        <f t="shared" si="57"/>
        <v>2587019.303</v>
      </c>
      <c r="AF99" s="406">
        <f t="shared" si="57"/>
        <v>2795356.146</v>
      </c>
      <c r="AG99" s="406">
        <f t="shared" si="57"/>
        <v>2991799.966</v>
      </c>
      <c r="AH99" s="406">
        <f t="shared" si="57"/>
        <v>3184448.783</v>
      </c>
      <c r="AI99" s="406">
        <f t="shared" si="57"/>
        <v>3373060.401</v>
      </c>
      <c r="AJ99" s="406">
        <f t="shared" si="57"/>
        <v>3548388.714</v>
      </c>
      <c r="AK99" s="406">
        <f t="shared" si="57"/>
        <v>3722021.41</v>
      </c>
      <c r="AL99" s="406">
        <f t="shared" si="57"/>
        <v>3897838.612</v>
      </c>
      <c r="AM99" s="406">
        <f t="shared" si="57"/>
        <v>4071530.172</v>
      </c>
      <c r="AN99" s="406">
        <f t="shared" si="57"/>
        <v>4102404.909</v>
      </c>
      <c r="AO99" s="406">
        <f t="shared" si="57"/>
        <v>4145718.701</v>
      </c>
      <c r="AP99" s="406">
        <f t="shared" si="57"/>
        <v>4201881.335</v>
      </c>
      <c r="AQ99" s="406">
        <f t="shared" si="57"/>
        <v>4261507.074</v>
      </c>
      <c r="AR99" s="406">
        <f t="shared" si="57"/>
        <v>4323520.291</v>
      </c>
      <c r="AS99" s="406">
        <f t="shared" si="57"/>
        <v>4384851.525</v>
      </c>
      <c r="AT99" s="406">
        <f t="shared" si="57"/>
        <v>4458909.463</v>
      </c>
      <c r="AU99" s="406">
        <f t="shared" si="57"/>
        <v>4518662.306</v>
      </c>
      <c r="AV99" s="406">
        <f t="shared" si="57"/>
        <v>4577561.72</v>
      </c>
      <c r="AW99" s="406">
        <f t="shared" si="57"/>
        <v>4635641.586</v>
      </c>
      <c r="AX99" s="406">
        <f t="shared" si="57"/>
        <v>4692941.292</v>
      </c>
      <c r="AY99" s="406">
        <f t="shared" si="57"/>
        <v>4817870.08</v>
      </c>
      <c r="AZ99" s="406">
        <f t="shared" si="57"/>
        <v>4911879.193</v>
      </c>
      <c r="BA99" s="406">
        <f t="shared" si="57"/>
        <v>5002981.814</v>
      </c>
      <c r="BB99" s="406">
        <f t="shared" si="57"/>
        <v>5091732.207</v>
      </c>
      <c r="BC99" s="406">
        <f t="shared" si="57"/>
        <v>5178488.663</v>
      </c>
      <c r="BD99" s="406">
        <f t="shared" si="57"/>
        <v>5263481.866</v>
      </c>
      <c r="BE99" s="406">
        <f t="shared" si="57"/>
        <v>5346887.617</v>
      </c>
      <c r="BF99" s="406">
        <f t="shared" si="57"/>
        <v>5428849.242</v>
      </c>
      <c r="BG99" s="406">
        <f t="shared" si="57"/>
        <v>5509487.68</v>
      </c>
      <c r="BH99" s="406">
        <f t="shared" si="57"/>
        <v>5588907.371</v>
      </c>
      <c r="BI99" s="406">
        <f t="shared" si="57"/>
        <v>5667200.179</v>
      </c>
      <c r="BJ99" s="406">
        <f t="shared" si="57"/>
        <v>5744448.173</v>
      </c>
      <c r="BK99" s="406">
        <f t="shared" si="57"/>
        <v>5856159.355</v>
      </c>
      <c r="BL99" s="406">
        <f t="shared" si="57"/>
        <v>5942826.411</v>
      </c>
      <c r="BM99" s="406">
        <f t="shared" si="57"/>
        <v>6021291.683</v>
      </c>
      <c r="BN99" s="406">
        <f t="shared" si="57"/>
        <v>6098194.905</v>
      </c>
      <c r="BO99" s="406">
        <f t="shared" si="57"/>
        <v>6174708.421</v>
      </c>
      <c r="BP99" s="406">
        <f t="shared" si="57"/>
        <v>6250861.415</v>
      </c>
      <c r="BQ99" s="406">
        <f t="shared" si="57"/>
        <v>6326704.417</v>
      </c>
      <c r="BR99" s="406">
        <f t="shared" si="57"/>
        <v>6402286.218</v>
      </c>
      <c r="BS99" s="406">
        <f t="shared" si="57"/>
        <v>6477652.983</v>
      </c>
      <c r="BT99" s="406">
        <f t="shared" si="57"/>
        <v>6552849.074</v>
      </c>
      <c r="BU99" s="406">
        <f t="shared" si="57"/>
        <v>6627917.552</v>
      </c>
      <c r="BV99" s="406">
        <f t="shared" si="57"/>
        <v>6702900.432</v>
      </c>
      <c r="BW99" s="406">
        <f t="shared" si="57"/>
        <v>6805531.165</v>
      </c>
      <c r="BX99" s="406">
        <f t="shared" si="57"/>
        <v>6853339.936</v>
      </c>
      <c r="BY99" s="406">
        <f t="shared" si="57"/>
        <v>6899013.616</v>
      </c>
      <c r="BZ99" s="406">
        <f t="shared" si="57"/>
        <v>6947074.949</v>
      </c>
      <c r="CA99" s="406">
        <f t="shared" si="57"/>
        <v>6996521.368</v>
      </c>
      <c r="CB99" s="406">
        <f t="shared" si="57"/>
        <v>7046598.903</v>
      </c>
      <c r="CC99" s="406">
        <f t="shared" si="57"/>
        <v>7096991.88</v>
      </c>
      <c r="CD99" s="406">
        <f t="shared" si="57"/>
        <v>7147538.543</v>
      </c>
      <c r="CE99" s="406">
        <f t="shared" si="57"/>
        <v>7198147.307</v>
      </c>
      <c r="CF99" s="406">
        <f t="shared" si="57"/>
        <v>7248765.446</v>
      </c>
      <c r="CG99" s="406">
        <f t="shared" si="57"/>
        <v>7299364.593</v>
      </c>
      <c r="CH99" s="406">
        <f t="shared" si="57"/>
        <v>7349932.738</v>
      </c>
      <c r="CI99" s="1"/>
      <c r="CJ99" s="1"/>
      <c r="CK99" s="1"/>
      <c r="CL99" s="1"/>
      <c r="CM99" s="1"/>
      <c r="CN99" s="1"/>
      <c r="CO99" s="1"/>
      <c r="CP99" s="1"/>
    </row>
    <row r="100" ht="15.75" customHeight="1">
      <c r="A100" s="1"/>
      <c r="B100" s="368"/>
      <c r="C100" s="368"/>
      <c r="D100" s="368"/>
      <c r="E100" s="368"/>
      <c r="F100" s="368"/>
      <c r="G100" s="368"/>
      <c r="H100" s="368"/>
      <c r="I100" s="368"/>
      <c r="J100" s="368"/>
      <c r="K100" s="368"/>
      <c r="L100" s="368"/>
      <c r="M100" s="368"/>
      <c r="N100" s="368"/>
      <c r="O100" s="368"/>
      <c r="P100" s="368"/>
      <c r="Q100" s="368"/>
      <c r="R100" s="368"/>
      <c r="S100" s="368"/>
      <c r="T100" s="368"/>
      <c r="U100" s="366"/>
      <c r="V100" s="366"/>
      <c r="W100" s="366"/>
      <c r="X100" s="366"/>
      <c r="Y100" s="366"/>
      <c r="Z100" s="366"/>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3"/>
      <c r="BR100" s="123"/>
      <c r="BS100" s="123"/>
      <c r="BT100" s="123"/>
      <c r="BU100" s="123"/>
      <c r="BV100" s="123"/>
      <c r="BW100" s="123"/>
      <c r="BX100" s="123"/>
      <c r="BY100" s="123"/>
      <c r="BZ100" s="123"/>
      <c r="CA100" s="123"/>
      <c r="CB100" s="123"/>
      <c r="CC100" s="123"/>
      <c r="CD100" s="123"/>
      <c r="CE100" s="123"/>
      <c r="CF100" s="123"/>
      <c r="CG100" s="123"/>
      <c r="CH100" s="123"/>
      <c r="CI100" s="1"/>
      <c r="CJ100" s="1"/>
      <c r="CK100" s="1"/>
      <c r="CL100" s="1"/>
      <c r="CM100" s="1"/>
      <c r="CN100" s="1"/>
      <c r="CO100" s="1"/>
      <c r="CP100" s="1"/>
    </row>
    <row r="101" ht="15.75" customHeight="1">
      <c r="A101" s="1"/>
      <c r="B101" s="368"/>
      <c r="C101" s="368"/>
      <c r="D101" s="368"/>
      <c r="E101" s="368"/>
      <c r="F101" s="368"/>
      <c r="G101" s="368"/>
      <c r="H101" s="368"/>
      <c r="I101" s="368"/>
      <c r="J101" s="368"/>
      <c r="K101" s="368"/>
      <c r="L101" s="368"/>
      <c r="M101" s="368"/>
      <c r="N101" s="368"/>
      <c r="O101" s="368"/>
      <c r="P101" s="368"/>
      <c r="Q101" s="368"/>
      <c r="R101" s="368"/>
      <c r="S101" s="368"/>
      <c r="T101" s="368"/>
      <c r="U101" s="366"/>
      <c r="V101" s="366"/>
      <c r="W101" s="366"/>
      <c r="X101" s="366"/>
      <c r="Y101" s="366"/>
      <c r="Z101" s="366"/>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123"/>
      <c r="BV101" s="123"/>
      <c r="BW101" s="123"/>
      <c r="BX101" s="123"/>
      <c r="BY101" s="123"/>
      <c r="BZ101" s="123"/>
      <c r="CA101" s="123"/>
      <c r="CB101" s="123"/>
      <c r="CC101" s="123"/>
      <c r="CD101" s="123"/>
      <c r="CE101" s="123"/>
      <c r="CF101" s="123"/>
      <c r="CG101" s="123"/>
      <c r="CH101" s="123"/>
      <c r="CI101" s="1"/>
      <c r="CJ101" s="1"/>
      <c r="CK101" s="1"/>
      <c r="CL101" s="1"/>
      <c r="CM101" s="1"/>
      <c r="CN101" s="1"/>
      <c r="CO101" s="1"/>
      <c r="CP101" s="1"/>
    </row>
    <row r="102" ht="15.75" customHeight="1">
      <c r="A102" s="1" t="s">
        <v>129</v>
      </c>
      <c r="B102" s="368"/>
      <c r="C102" s="368">
        <v>2.0</v>
      </c>
      <c r="D102" s="368">
        <v>2.0</v>
      </c>
      <c r="E102" s="368">
        <v>2.0</v>
      </c>
      <c r="F102" s="368">
        <v>2.0</v>
      </c>
      <c r="G102" s="368">
        <v>2.0</v>
      </c>
      <c r="H102" s="368">
        <v>2.0</v>
      </c>
      <c r="I102" s="368">
        <v>2.0</v>
      </c>
      <c r="J102" s="368">
        <v>2.0</v>
      </c>
      <c r="K102" s="368">
        <v>2.0</v>
      </c>
      <c r="L102" s="368">
        <v>2.0</v>
      </c>
      <c r="M102" s="368">
        <v>2.0</v>
      </c>
      <c r="N102" s="368">
        <v>2.0</v>
      </c>
      <c r="O102" s="368">
        <v>2.0</v>
      </c>
      <c r="P102" s="368">
        <v>2.0</v>
      </c>
      <c r="Q102" s="368">
        <v>2.0</v>
      </c>
      <c r="R102" s="368">
        <v>2.0</v>
      </c>
      <c r="S102" s="368">
        <v>2.0</v>
      </c>
      <c r="T102" s="368">
        <v>2.0</v>
      </c>
      <c r="U102" s="368">
        <v>2.0</v>
      </c>
      <c r="V102" s="368">
        <v>2.0</v>
      </c>
      <c r="W102" s="368">
        <v>2.0</v>
      </c>
      <c r="X102" s="368">
        <v>2.0</v>
      </c>
      <c r="Y102" s="368">
        <v>2.0</v>
      </c>
      <c r="Z102" s="366">
        <f>'New Biz Sales'!Z88+'Portfolio Sales'!P81</f>
        <v>5.389790125</v>
      </c>
      <c r="AA102" s="366">
        <f>'New Biz Sales'!AA88+'Portfolio Sales'!Q81</f>
        <v>6.210698871</v>
      </c>
      <c r="AB102" s="366">
        <f>'New Biz Sales'!AB88+'Portfolio Sales'!R81</f>
        <v>6.996302314</v>
      </c>
      <c r="AC102" s="366">
        <f>'New Biz Sales'!AC88+'Portfolio Sales'!S81</f>
        <v>7.37710871</v>
      </c>
      <c r="AD102" s="366">
        <f>'New Biz Sales'!AD88+'Portfolio Sales'!T81</f>
        <v>7.645687603</v>
      </c>
      <c r="AE102" s="366">
        <f>'New Biz Sales'!AE88+'Portfolio Sales'!U81</f>
        <v>7.983240053</v>
      </c>
      <c r="AF102" s="366">
        <f>'New Biz Sales'!AF88+'Portfolio Sales'!V81</f>
        <v>8.059266513</v>
      </c>
      <c r="AG102" s="366">
        <f>'New Biz Sales'!AG88+'Portfolio Sales'!W81</f>
        <v>8.123588866</v>
      </c>
      <c r="AH102" s="366">
        <f>'New Biz Sales'!AH88+'Portfolio Sales'!X81</f>
        <v>8.183062941</v>
      </c>
      <c r="AI102" s="366">
        <f>'New Biz Sales'!AI88+'Portfolio Sales'!Y81</f>
        <v>8.404777386</v>
      </c>
      <c r="AJ102" s="366">
        <f>'New Biz Sales'!AJ88+'Portfolio Sales'!Z81</f>
        <v>8.266420992</v>
      </c>
      <c r="AK102" s="366">
        <f>'New Biz Sales'!AK88+'Portfolio Sales'!AA81</f>
        <v>8.395732012</v>
      </c>
      <c r="AL102" s="366">
        <f>'New Biz Sales'!AL88+'Portfolio Sales'!AB81</f>
        <v>8.571837649</v>
      </c>
      <c r="AM102" s="366">
        <f>'New Biz Sales'!AM88+'Portfolio Sales'!AC81</f>
        <v>7.444582704</v>
      </c>
      <c r="AN102" s="366">
        <f>'New Biz Sales'!AN88+'Portfolio Sales'!AD81</f>
        <v>6.481034598</v>
      </c>
      <c r="AO102" s="366">
        <f>'New Biz Sales'!AO88+'Portfolio Sales'!AE81</f>
        <v>6.347757372</v>
      </c>
      <c r="AP102" s="366">
        <f>'New Biz Sales'!AP88+'Portfolio Sales'!AF81</f>
        <v>6.397908031</v>
      </c>
      <c r="AQ102" s="366">
        <f>'New Biz Sales'!AQ88+'Portfolio Sales'!AG81</f>
        <v>6.448539807</v>
      </c>
      <c r="AR102" s="366">
        <f>'New Biz Sales'!AR88+'Portfolio Sales'!AH81</f>
        <v>6.483359983</v>
      </c>
      <c r="AS102" s="366">
        <f>'New Biz Sales'!AS88+'Portfolio Sales'!AI81</f>
        <v>6.534793372</v>
      </c>
      <c r="AT102" s="366">
        <f>'New Biz Sales'!AT88+'Portfolio Sales'!AJ81</f>
        <v>6.586721883</v>
      </c>
      <c r="AU102" s="366">
        <f>'New Biz Sales'!AU88+'Portfolio Sales'!AK81</f>
        <v>6.639150977</v>
      </c>
      <c r="AV102" s="366">
        <f>'New Biz Sales'!AV88+'Portfolio Sales'!AL81</f>
        <v>6.692086182</v>
      </c>
      <c r="AW102" s="366">
        <f>'New Biz Sales'!AW88+'Portfolio Sales'!AM81</f>
        <v>6.74553309</v>
      </c>
      <c r="AX102" s="366">
        <f>'New Biz Sales'!AX88+'Portfolio Sales'!AN81</f>
        <v>6.799497362</v>
      </c>
      <c r="AY102" s="366">
        <f>'New Biz Sales'!AY88+'Portfolio Sales'!AO81</f>
        <v>6.836216116</v>
      </c>
      <c r="AZ102" s="366">
        <f>'New Biz Sales'!AZ88+'Portfolio Sales'!AP81</f>
        <v>6.906426634</v>
      </c>
      <c r="BA102" s="366">
        <f>'New Biz Sales'!BA88+'Portfolio Sales'!AQ81</f>
        <v>6.960529353</v>
      </c>
      <c r="BB102" s="366">
        <f>'New Biz Sales'!BB88+'Portfolio Sales'!AR81</f>
        <v>7.015138006</v>
      </c>
      <c r="BC102" s="366">
        <f>'New Biz Sales'!BC88+'Portfolio Sales'!AS81</f>
        <v>7.070257949</v>
      </c>
      <c r="BD102" s="366">
        <f>'New Biz Sales'!BD88+'Portfolio Sales'!AT81</f>
        <v>7.125894602</v>
      </c>
      <c r="BE102" s="366">
        <f>'New Biz Sales'!BE88+'Portfolio Sales'!AU81</f>
        <v>7.182053443</v>
      </c>
      <c r="BF102" s="366">
        <f>'New Biz Sales'!BF88+'Portfolio Sales'!AV81</f>
        <v>7.238740016</v>
      </c>
      <c r="BG102" s="366">
        <f>'New Biz Sales'!BG88+'Portfolio Sales'!AW81</f>
        <v>7.295959925</v>
      </c>
      <c r="BH102" s="366">
        <f>'New Biz Sales'!BH88+'Portfolio Sales'!AX81</f>
        <v>7.353718838</v>
      </c>
      <c r="BI102" s="366">
        <f>'New Biz Sales'!BI88+'Portfolio Sales'!AY81</f>
        <v>7.412022489</v>
      </c>
      <c r="BJ102" s="366">
        <f>'New Biz Sales'!BJ88+'Portfolio Sales'!AZ81</f>
        <v>7.470876676</v>
      </c>
      <c r="BK102" s="366">
        <f>'New Biz Sales'!BK88+'Portfolio Sales'!BA81</f>
        <v>7.415523577</v>
      </c>
      <c r="BL102" s="366">
        <f>'New Biz Sales'!BL88+'Portfolio Sales'!BB81</f>
        <v>7.210949282</v>
      </c>
      <c r="BM102" s="366">
        <f>'New Biz Sales'!BM88+'Portfolio Sales'!BC81</f>
        <v>6.998711942</v>
      </c>
      <c r="BN102" s="366">
        <f>'New Biz Sales'!BN88+'Portfolio Sales'!BD81</f>
        <v>7.063143551</v>
      </c>
      <c r="BO102" s="366">
        <f>'New Biz Sales'!BO88+'Portfolio Sales'!BE81</f>
        <v>7.128500427</v>
      </c>
      <c r="BP102" s="366">
        <f>'New Biz Sales'!BP88+'Portfolio Sales'!BF81</f>
        <v>7.194802559</v>
      </c>
      <c r="BQ102" s="366">
        <f>'New Biz Sales'!BQ88+'Portfolio Sales'!BG81</f>
        <v>7.262070484</v>
      </c>
      <c r="BR102" s="366">
        <f>'New Biz Sales'!BR88+'Portfolio Sales'!BH81</f>
        <v>7.330325309</v>
      </c>
      <c r="BS102" s="366">
        <f>'New Biz Sales'!BS88+'Portfolio Sales'!BI81</f>
        <v>7.399588719</v>
      </c>
      <c r="BT102" s="366">
        <f>'New Biz Sales'!BT88+'Portfolio Sales'!BJ81</f>
        <v>7.469883004</v>
      </c>
      <c r="BU102" s="366">
        <f>'New Biz Sales'!BU88+'Portfolio Sales'!BK81</f>
        <v>7.54123107</v>
      </c>
      <c r="BV102" s="366">
        <f>'New Biz Sales'!BV88+'Portfolio Sales'!BL81</f>
        <v>7.613656463</v>
      </c>
      <c r="BW102" s="366">
        <f>'New Biz Sales'!BW88+'Portfolio Sales'!BM81</f>
        <v>7.74723063</v>
      </c>
      <c r="BX102" s="366">
        <f>'New Biz Sales'!BX88+'Portfolio Sales'!BN81</f>
        <v>7.408680178</v>
      </c>
      <c r="BY102" s="366">
        <f>'New Biz Sales'!BY88+'Portfolio Sales'!BO81</f>
        <v>7.155225746</v>
      </c>
      <c r="BZ102" s="366">
        <f>'New Biz Sales'!BZ88+'Portfolio Sales'!BP81</f>
        <v>7.188548975</v>
      </c>
      <c r="CA102" s="366">
        <f>'New Biz Sales'!CA88+'Portfolio Sales'!BQ81</f>
        <v>7.222765522</v>
      </c>
      <c r="CB102" s="366">
        <f>'New Biz Sales'!CB88+'Portfolio Sales'!BR81</f>
        <v>7.257869013</v>
      </c>
      <c r="CC102" s="366">
        <f>'New Biz Sales'!CC88+'Portfolio Sales'!BS81</f>
        <v>7.293853424</v>
      </c>
      <c r="CD102" s="366">
        <f>'New Biz Sales'!CD88+'Portfolio Sales'!BT81</f>
        <v>7.330713074</v>
      </c>
      <c r="CE102" s="366">
        <f>'New Biz Sales'!CE88+'Portfolio Sales'!BU81</f>
        <v>7.368442617</v>
      </c>
      <c r="CF102" s="366">
        <f>'New Biz Sales'!CF88+'Portfolio Sales'!BV81</f>
        <v>7.407037037</v>
      </c>
      <c r="CG102" s="366">
        <f>'New Biz Sales'!CG88+'Portfolio Sales'!BW81</f>
        <v>7.446491642</v>
      </c>
      <c r="CH102" s="366">
        <f>'New Biz Sales'!CH88+'Portfolio Sales'!BX81</f>
        <v>7.486802054</v>
      </c>
      <c r="CI102" s="1"/>
      <c r="CJ102" s="1"/>
      <c r="CK102" s="1"/>
      <c r="CL102" s="1"/>
      <c r="CM102" s="1"/>
      <c r="CN102" s="1"/>
      <c r="CO102" s="1"/>
      <c r="CP102" s="1"/>
    </row>
    <row r="103" ht="15.75" customHeight="1">
      <c r="A103" s="1" t="s">
        <v>85</v>
      </c>
      <c r="B103" s="368"/>
      <c r="C103" s="368">
        <v>2.0</v>
      </c>
      <c r="D103" s="368">
        <v>2.0</v>
      </c>
      <c r="E103" s="368">
        <v>2.0</v>
      </c>
      <c r="F103" s="368">
        <v>2.0</v>
      </c>
      <c r="G103" s="368">
        <v>2.0</v>
      </c>
      <c r="H103" s="368">
        <v>2.0</v>
      </c>
      <c r="I103" s="368">
        <v>2.0</v>
      </c>
      <c r="J103" s="368">
        <v>2.0</v>
      </c>
      <c r="K103" s="368">
        <v>2.0</v>
      </c>
      <c r="L103" s="368">
        <v>2.0</v>
      </c>
      <c r="M103" s="368">
        <v>2.0</v>
      </c>
      <c r="N103" s="368">
        <v>2.0</v>
      </c>
      <c r="O103" s="368">
        <v>2.0</v>
      </c>
      <c r="P103" s="368">
        <v>2.0</v>
      </c>
      <c r="Q103" s="368">
        <v>2.0</v>
      </c>
      <c r="R103" s="368">
        <v>2.0</v>
      </c>
      <c r="S103" s="368">
        <v>2.0</v>
      </c>
      <c r="T103" s="368">
        <v>2.0</v>
      </c>
      <c r="U103" s="368">
        <v>2.0</v>
      </c>
      <c r="V103" s="368">
        <v>2.0</v>
      </c>
      <c r="W103" s="368">
        <v>2.0</v>
      </c>
      <c r="X103" s="368">
        <v>2.0</v>
      </c>
      <c r="Y103" s="368">
        <v>2.0</v>
      </c>
      <c r="Z103" s="366">
        <f>'New Biz Sales'!Z89+'Portfolio Sales'!P82</f>
        <v>5.347624093</v>
      </c>
      <c r="AA103" s="366">
        <f>'New Biz Sales'!AA89+'Portfolio Sales'!Q82</f>
        <v>6.306498007</v>
      </c>
      <c r="AB103" s="366">
        <f>'New Biz Sales'!AB89+'Portfolio Sales'!R82</f>
        <v>7.17842322</v>
      </c>
      <c r="AC103" s="366">
        <f>'New Biz Sales'!AC89+'Portfolio Sales'!S82</f>
        <v>7.660893729</v>
      </c>
      <c r="AD103" s="366">
        <f>'New Biz Sales'!AD89+'Portfolio Sales'!T82</f>
        <v>8.040109263</v>
      </c>
      <c r="AE103" s="366">
        <f>'New Biz Sales'!AE89+'Portfolio Sales'!U82</f>
        <v>8.270288136</v>
      </c>
      <c r="AF103" s="366">
        <f>'New Biz Sales'!AF89+'Portfolio Sales'!V82</f>
        <v>8.174753555</v>
      </c>
      <c r="AG103" s="366">
        <f>'New Biz Sales'!AG89+'Portfolio Sales'!W82</f>
        <v>8.341206389</v>
      </c>
      <c r="AH103" s="366">
        <f>'New Biz Sales'!AH89+'Portfolio Sales'!X82</f>
        <v>8.404758686</v>
      </c>
      <c r="AI103" s="366">
        <f>'New Biz Sales'!AI89+'Portfolio Sales'!Y82</f>
        <v>8.533097689</v>
      </c>
      <c r="AJ103" s="366">
        <f>'New Biz Sales'!AJ89+'Portfolio Sales'!Z82</f>
        <v>8.43635801</v>
      </c>
      <c r="AK103" s="366">
        <f>'New Biz Sales'!AK89+'Portfolio Sales'!AA82</f>
        <v>8.573743084</v>
      </c>
      <c r="AL103" s="366">
        <f>'New Biz Sales'!AL89+'Portfolio Sales'!AB82</f>
        <v>8.760844585</v>
      </c>
      <c r="AM103" s="366">
        <f>'New Biz Sales'!AM89+'Portfolio Sales'!AC82</f>
        <v>7.56147389</v>
      </c>
      <c r="AN103" s="366">
        <f>'New Biz Sales'!AN89+'Portfolio Sales'!AD82</f>
        <v>6.642145169</v>
      </c>
      <c r="AO103" s="366">
        <f>'New Biz Sales'!AO89+'Portfolio Sales'!AE82</f>
        <v>6.512724188</v>
      </c>
      <c r="AP103" s="366">
        <f>'New Biz Sales'!AP89+'Portfolio Sales'!AF82</f>
        <v>6.5648493</v>
      </c>
      <c r="AQ103" s="366">
        <f>'New Biz Sales'!AQ89+'Portfolio Sales'!AG82</f>
        <v>6.617479786</v>
      </c>
      <c r="AR103" s="366">
        <f>'New Biz Sales'!AR89+'Portfolio Sales'!AH82</f>
        <v>6.653305597</v>
      </c>
      <c r="AS103" s="366">
        <f>'New Biz Sales'!AS89+'Portfolio Sales'!AI82</f>
        <v>6.706776091</v>
      </c>
      <c r="AT103" s="366">
        <f>'New Biz Sales'!AT89+'Portfolio Sales'!AJ82</f>
        <v>6.76076675</v>
      </c>
      <c r="AU103" s="366">
        <f>'New Biz Sales'!AU89+'Portfolio Sales'!AK82</f>
        <v>6.815283348</v>
      </c>
      <c r="AV103" s="366">
        <f>'New Biz Sales'!AV89+'Portfolio Sales'!AL82</f>
        <v>6.870331727</v>
      </c>
      <c r="AW103" s="366">
        <f>'New Biz Sales'!AW89+'Portfolio Sales'!AM82</f>
        <v>6.925917799</v>
      </c>
      <c r="AX103" s="366">
        <f>'New Biz Sales'!AX89+'Portfolio Sales'!AN82</f>
        <v>6.982047548</v>
      </c>
      <c r="AY103" s="366">
        <f>'New Biz Sales'!AY89+'Portfolio Sales'!AO82</f>
        <v>7.019848967</v>
      </c>
      <c r="AZ103" s="366">
        <f>'New Biz Sales'!AZ89+'Portfolio Sales'!AP82</f>
        <v>7.092011223</v>
      </c>
      <c r="BA103" s="366">
        <f>'New Biz Sales'!BA89+'Portfolio Sales'!AQ82</f>
        <v>7.148263833</v>
      </c>
      <c r="BB103" s="366">
        <f>'New Biz Sales'!BB89+'Portfolio Sales'!AR82</f>
        <v>7.205047826</v>
      </c>
      <c r="BC103" s="366">
        <f>'New Biz Sales'!BC89+'Portfolio Sales'!AS82</f>
        <v>7.262368862</v>
      </c>
      <c r="BD103" s="366">
        <f>'New Biz Sales'!BD89+'Portfolio Sales'!AT82</f>
        <v>7.320232667</v>
      </c>
      <c r="BE103" s="366">
        <f>'New Biz Sales'!BE89+'Portfolio Sales'!AU82</f>
        <v>7.378645033</v>
      </c>
      <c r="BF103" s="366">
        <f>'New Biz Sales'!BF89+'Portfolio Sales'!AV82</f>
        <v>7.437611816</v>
      </c>
      <c r="BG103" s="366">
        <f>'New Biz Sales'!BG89+'Portfolio Sales'!AW82</f>
        <v>7.49713894</v>
      </c>
      <c r="BH103" s="366">
        <f>'New Biz Sales'!BH89+'Portfolio Sales'!AX82</f>
        <v>7.557232395</v>
      </c>
      <c r="BI103" s="366">
        <f>'New Biz Sales'!BI89+'Portfolio Sales'!AY82</f>
        <v>7.617898242</v>
      </c>
      <c r="BJ103" s="366">
        <f>'New Biz Sales'!BJ89+'Portfolio Sales'!AZ82</f>
        <v>7.679142608</v>
      </c>
      <c r="BK103" s="366">
        <f>'New Biz Sales'!BK89+'Portfolio Sales'!BA82</f>
        <v>7.619042274</v>
      </c>
      <c r="BL103" s="366">
        <f>'New Biz Sales'!BL89+'Portfolio Sales'!BB82</f>
        <v>7.414669528</v>
      </c>
      <c r="BM103" s="366">
        <f>'New Biz Sales'!BM89+'Portfolio Sales'!BC82</f>
        <v>7.187947673</v>
      </c>
      <c r="BN103" s="366">
        <f>'New Biz Sales'!BN89+'Portfolio Sales'!BD82</f>
        <v>7.255163544</v>
      </c>
      <c r="BO103" s="366">
        <f>'New Biz Sales'!BO89+'Portfolio Sales'!BE82</f>
        <v>7.323356261</v>
      </c>
      <c r="BP103" s="366">
        <f>'New Biz Sales'!BP89+'Portfolio Sales'!BF82</f>
        <v>7.392547029</v>
      </c>
      <c r="BQ103" s="366">
        <f>'New Biz Sales'!BQ89+'Portfolio Sales'!BG82</f>
        <v>7.462757638</v>
      </c>
      <c r="BR103" s="366">
        <f>'New Biz Sales'!BR89+'Portfolio Sales'!BH82</f>
        <v>7.53401048</v>
      </c>
      <c r="BS103" s="366">
        <f>'New Biz Sales'!BS89+'Portfolio Sales'!BI82</f>
        <v>7.606328565</v>
      </c>
      <c r="BT103" s="366">
        <f>'New Biz Sales'!BT89+'Portfolio Sales'!BJ82</f>
        <v>7.679735539</v>
      </c>
      <c r="BU103" s="366">
        <f>'New Biz Sales'!BU89+'Portfolio Sales'!BK82</f>
        <v>7.754255711</v>
      </c>
      <c r="BV103" s="366">
        <f>'New Biz Sales'!BV89+'Portfolio Sales'!BL82</f>
        <v>7.829914063</v>
      </c>
      <c r="BW103" s="366">
        <f>'New Biz Sales'!BW89+'Portfolio Sales'!BM82</f>
        <v>7.970532812</v>
      </c>
      <c r="BX103" s="366">
        <f>'New Biz Sales'!BX89+'Portfolio Sales'!BN82</f>
        <v>7.636886334</v>
      </c>
      <c r="BY103" s="366">
        <f>'New Biz Sales'!BY89+'Portfolio Sales'!BO82</f>
        <v>7.366434531</v>
      </c>
      <c r="BZ103" s="366">
        <f>'New Biz Sales'!BZ89+'Portfolio Sales'!BP82</f>
        <v>7.400660648</v>
      </c>
      <c r="CA103" s="366">
        <f>'New Biz Sales'!CA89+'Portfolio Sales'!BQ82</f>
        <v>7.435829971</v>
      </c>
      <c r="CB103" s="366">
        <f>'New Biz Sales'!CB89+'Portfolio Sales'!BR82</f>
        <v>7.4719357</v>
      </c>
      <c r="CC103" s="366">
        <f>'New Biz Sales'!CC89+'Portfolio Sales'!BS82</f>
        <v>7.508971404</v>
      </c>
      <c r="CD103" s="366">
        <f>'New Biz Sales'!CD89+'Portfolio Sales'!BT82</f>
        <v>7.546931019</v>
      </c>
      <c r="CE103" s="366">
        <f>'New Biz Sales'!CE89+'Portfolio Sales'!BU82</f>
        <v>7.585808835</v>
      </c>
      <c r="CF103" s="366">
        <f>'New Biz Sales'!CF89+'Portfolio Sales'!BV82</f>
        <v>7.625599492</v>
      </c>
      <c r="CG103" s="366">
        <f>'New Biz Sales'!CG89+'Portfolio Sales'!BW82</f>
        <v>7.666297975</v>
      </c>
      <c r="CH103" s="366">
        <f>'New Biz Sales'!CH89+'Portfolio Sales'!BX82</f>
        <v>7.707899604</v>
      </c>
      <c r="CI103" s="1"/>
      <c r="CJ103" s="1"/>
      <c r="CK103" s="1"/>
      <c r="CL103" s="1"/>
      <c r="CM103" s="1"/>
      <c r="CN103" s="1"/>
      <c r="CO103" s="1"/>
      <c r="CP103" s="1"/>
    </row>
    <row r="104" ht="15.75" customHeight="1">
      <c r="A104" s="1" t="s">
        <v>130</v>
      </c>
      <c r="B104" s="368"/>
      <c r="C104" s="368">
        <v>2.0</v>
      </c>
      <c r="D104" s="368">
        <v>2.0</v>
      </c>
      <c r="E104" s="368">
        <v>2.0</v>
      </c>
      <c r="F104" s="368">
        <v>2.0</v>
      </c>
      <c r="G104" s="368">
        <v>2.0</v>
      </c>
      <c r="H104" s="368">
        <v>2.0</v>
      </c>
      <c r="I104" s="368">
        <v>2.0</v>
      </c>
      <c r="J104" s="368">
        <v>2.0</v>
      </c>
      <c r="K104" s="368">
        <v>2.0</v>
      </c>
      <c r="L104" s="368">
        <v>2.0</v>
      </c>
      <c r="M104" s="368">
        <v>2.0</v>
      </c>
      <c r="N104" s="368">
        <v>2.0</v>
      </c>
      <c r="O104" s="368">
        <v>2.0</v>
      </c>
      <c r="P104" s="368">
        <v>2.0</v>
      </c>
      <c r="Q104" s="368">
        <v>2.0</v>
      </c>
      <c r="R104" s="368">
        <v>2.0</v>
      </c>
      <c r="S104" s="368">
        <v>2.0</v>
      </c>
      <c r="T104" s="368">
        <v>2.0</v>
      </c>
      <c r="U104" s="368">
        <v>2.0</v>
      </c>
      <c r="V104" s="368">
        <v>2.0</v>
      </c>
      <c r="W104" s="368">
        <v>2.0</v>
      </c>
      <c r="X104" s="368">
        <v>2.0</v>
      </c>
      <c r="Y104" s="368">
        <v>2.0</v>
      </c>
      <c r="Z104" s="366">
        <f>'New Biz Sales'!Z90+'Portfolio Sales'!P83</f>
        <v>4.259788919</v>
      </c>
      <c r="AA104" s="366">
        <f>'New Biz Sales'!AA90+'Portfolio Sales'!Q83</f>
        <v>5.132881869</v>
      </c>
      <c r="AB104" s="366">
        <f>'New Biz Sales'!AB90+'Portfolio Sales'!R83</f>
        <v>5.707040094</v>
      </c>
      <c r="AC104" s="366">
        <f>'New Biz Sales'!AC90+'Portfolio Sales'!S83</f>
        <v>5.870945009</v>
      </c>
      <c r="AD104" s="366">
        <f>'New Biz Sales'!AD90+'Portfolio Sales'!T83</f>
        <v>5.999772137</v>
      </c>
      <c r="AE104" s="366">
        <f>'New Biz Sales'!AE90+'Portfolio Sales'!U83</f>
        <v>6.044792975</v>
      </c>
      <c r="AF104" s="366">
        <f>'New Biz Sales'!AF90+'Portfolio Sales'!V83</f>
        <v>6.045513506</v>
      </c>
      <c r="AG104" s="366">
        <f>'New Biz Sales'!AG90+'Portfolio Sales'!W83</f>
        <v>6.068176731</v>
      </c>
      <c r="AH104" s="366">
        <f>'New Biz Sales'!AH90+'Portfolio Sales'!X83</f>
        <v>6.089131722</v>
      </c>
      <c r="AI104" s="366">
        <f>'New Biz Sales'!AI90+'Portfolio Sales'!Y83</f>
        <v>6.1672502</v>
      </c>
      <c r="AJ104" s="366">
        <f>'New Biz Sales'!AJ90+'Portfolio Sales'!Z83</f>
        <v>5.747119476</v>
      </c>
      <c r="AK104" s="366">
        <f>'New Biz Sales'!AK90+'Portfolio Sales'!AA83</f>
        <v>5.785555626</v>
      </c>
      <c r="AL104" s="366">
        <f>'New Biz Sales'!AL90+'Portfolio Sales'!AB83</f>
        <v>5.837900913</v>
      </c>
      <c r="AM104" s="366">
        <f>'New Biz Sales'!AM90+'Portfolio Sales'!AC83</f>
        <v>5.515360924</v>
      </c>
      <c r="AN104" s="366">
        <f>'New Biz Sales'!AN90+'Portfolio Sales'!AD83</f>
        <v>4.236324882</v>
      </c>
      <c r="AO104" s="366">
        <f>'New Biz Sales'!AO90+'Portfolio Sales'!AE83</f>
        <v>4.08093335</v>
      </c>
      <c r="AP104" s="366">
        <f>'New Biz Sales'!AP90+'Portfolio Sales'!AF83</f>
        <v>4.106783632</v>
      </c>
      <c r="AQ104" s="366">
        <f>'New Biz Sales'!AQ90+'Portfolio Sales'!AG83</f>
        <v>4.1328313</v>
      </c>
      <c r="AR104" s="366">
        <f>'New Biz Sales'!AR90+'Portfolio Sales'!AH83</f>
        <v>4.149485108</v>
      </c>
      <c r="AS104" s="366">
        <f>'New Biz Sales'!AS90+'Portfolio Sales'!AI83</f>
        <v>4.17582916</v>
      </c>
      <c r="AT104" s="366">
        <f>'New Biz Sales'!AT90+'Portfolio Sales'!AJ83</f>
        <v>4.202374963</v>
      </c>
      <c r="AU104" s="366">
        <f>'New Biz Sales'!AU90+'Portfolio Sales'!AK83</f>
        <v>4.229124404</v>
      </c>
      <c r="AV104" s="366">
        <f>'New Biz Sales'!AV90+'Portfolio Sales'!AL83</f>
        <v>4.256079392</v>
      </c>
      <c r="AW104" s="366">
        <f>'New Biz Sales'!AW90+'Portfolio Sales'!AM83</f>
        <v>4.283241856</v>
      </c>
      <c r="AX104" s="366">
        <f>'New Biz Sales'!AX90+'Portfolio Sales'!AN83</f>
        <v>4.310613746</v>
      </c>
      <c r="AY104" s="366">
        <f>'New Biz Sales'!AY90+'Portfolio Sales'!AO83</f>
        <v>4.33296769</v>
      </c>
      <c r="AZ104" s="366">
        <f>'New Biz Sales'!AZ90+'Portfolio Sales'!AP83</f>
        <v>4.376841343</v>
      </c>
      <c r="BA104" s="366">
        <f>'New Biz Sales'!BA90+'Portfolio Sales'!AQ83</f>
        <v>4.404485219</v>
      </c>
      <c r="BB104" s="366">
        <f>'New Biz Sales'!BB90+'Portfolio Sales'!AR83</f>
        <v>4.432336599</v>
      </c>
      <c r="BC104" s="366">
        <f>'New Biz Sales'!BC90+'Portfolio Sales'!AS83</f>
        <v>4.460397352</v>
      </c>
      <c r="BD104" s="366">
        <f>'New Biz Sales'!BD90+'Portfolio Sales'!AT83</f>
        <v>4.488669369</v>
      </c>
      <c r="BE104" s="366">
        <f>'New Biz Sales'!BE90+'Portfolio Sales'!AU83</f>
        <v>4.517154557</v>
      </c>
      <c r="BF104" s="366">
        <f>'New Biz Sales'!BF90+'Portfolio Sales'!AV83</f>
        <v>4.545854845</v>
      </c>
      <c r="BG104" s="366">
        <f>'New Biz Sales'!BG90+'Portfolio Sales'!AW83</f>
        <v>4.574772181</v>
      </c>
      <c r="BH104" s="366">
        <f>'New Biz Sales'!BH90+'Portfolio Sales'!AX83</f>
        <v>4.603908535</v>
      </c>
      <c r="BI104" s="366">
        <f>'New Biz Sales'!BI90+'Portfolio Sales'!AY83</f>
        <v>4.633265895</v>
      </c>
      <c r="BJ104" s="366">
        <f>'New Biz Sales'!BJ90+'Portfolio Sales'!AZ83</f>
        <v>4.662846272</v>
      </c>
      <c r="BK104" s="366">
        <f>'New Biz Sales'!BK90+'Portfolio Sales'!BA83</f>
        <v>4.626472134</v>
      </c>
      <c r="BL104" s="366">
        <f>'New Biz Sales'!BL90+'Portfolio Sales'!BB83</f>
        <v>4.411402418</v>
      </c>
      <c r="BM104" s="366">
        <f>'New Biz Sales'!BM90+'Portfolio Sales'!BC83</f>
        <v>4.364502435</v>
      </c>
      <c r="BN104" s="366">
        <f>'New Biz Sales'!BN90+'Portfolio Sales'!BD83</f>
        <v>4.394500638</v>
      </c>
      <c r="BO104" s="366">
        <f>'New Biz Sales'!BO90+'Portfolio Sales'!BE83</f>
        <v>4.424816331</v>
      </c>
      <c r="BP104" s="366">
        <f>'New Biz Sales'!BP90+'Portfolio Sales'!BF83</f>
        <v>4.455455368</v>
      </c>
      <c r="BQ104" s="366">
        <f>'New Biz Sales'!BQ90+'Portfolio Sales'!BG83</f>
        <v>4.486423756</v>
      </c>
      <c r="BR104" s="366">
        <f>'New Biz Sales'!BR90+'Portfolio Sales'!BH83</f>
        <v>4.517727663</v>
      </c>
      <c r="BS104" s="366">
        <f>'New Biz Sales'!BS90+'Portfolio Sales'!BI83</f>
        <v>4.549373419</v>
      </c>
      <c r="BT104" s="366">
        <f>'New Biz Sales'!BT90+'Portfolio Sales'!BJ83</f>
        <v>4.581367523</v>
      </c>
      <c r="BU104" s="366">
        <f>'New Biz Sales'!BU90+'Portfolio Sales'!BK83</f>
        <v>4.613716646</v>
      </c>
      <c r="BV104" s="366">
        <f>'New Biz Sales'!BV90+'Portfolio Sales'!BL83</f>
        <v>4.646427641</v>
      </c>
      <c r="BW104" s="366">
        <f>'New Biz Sales'!BW90+'Portfolio Sales'!BM83</f>
        <v>4.69618418</v>
      </c>
      <c r="BX104" s="366">
        <f>'New Biz Sales'!BX90+'Portfolio Sales'!BN83</f>
        <v>4.347701935</v>
      </c>
      <c r="BY104" s="366">
        <f>'New Biz Sales'!BY90+'Portfolio Sales'!BO83</f>
        <v>4.288761844</v>
      </c>
      <c r="BZ104" s="366">
        <f>'New Biz Sales'!BZ90+'Portfolio Sales'!BP83</f>
        <v>4.309524421</v>
      </c>
      <c r="CA104" s="366">
        <f>'New Biz Sales'!CA90+'Portfolio Sales'!BQ83</f>
        <v>4.330592634</v>
      </c>
      <c r="CB104" s="366">
        <f>'New Biz Sales'!CB90+'Portfolio Sales'!BR83</f>
        <v>4.351965001</v>
      </c>
      <c r="CC104" s="366">
        <f>'New Biz Sales'!CC90+'Portfolio Sales'!BS83</f>
        <v>4.373640139</v>
      </c>
      <c r="CD104" s="366">
        <f>'New Biz Sales'!CD90+'Portfolio Sales'!BT83</f>
        <v>4.395616758</v>
      </c>
      <c r="CE104" s="366">
        <f>'New Biz Sales'!CE90+'Portfolio Sales'!BU83</f>
        <v>4.417893668</v>
      </c>
      <c r="CF104" s="366">
        <f>'New Biz Sales'!CF90+'Portfolio Sales'!BV83</f>
        <v>4.440469769</v>
      </c>
      <c r="CG104" s="366">
        <f>'New Biz Sales'!CG90+'Portfolio Sales'!BW83</f>
        <v>4.463344052</v>
      </c>
      <c r="CH104" s="366">
        <f>'New Biz Sales'!CH90+'Portfolio Sales'!BX83</f>
        <v>4.486515598</v>
      </c>
      <c r="CI104" s="1"/>
      <c r="CJ104" s="1"/>
      <c r="CK104" s="1"/>
      <c r="CL104" s="1"/>
      <c r="CM104" s="1"/>
      <c r="CN104" s="1"/>
      <c r="CO104" s="1"/>
      <c r="CP104" s="1"/>
    </row>
    <row r="105" ht="15.75" customHeight="1">
      <c r="A105" s="1" t="s">
        <v>89</v>
      </c>
      <c r="B105" s="368"/>
      <c r="C105" s="368">
        <v>2.0</v>
      </c>
      <c r="D105" s="368">
        <v>2.0</v>
      </c>
      <c r="E105" s="368">
        <v>2.0</v>
      </c>
      <c r="F105" s="368">
        <v>2.0</v>
      </c>
      <c r="G105" s="368">
        <v>2.0</v>
      </c>
      <c r="H105" s="368">
        <v>2.0</v>
      </c>
      <c r="I105" s="368">
        <v>2.0</v>
      </c>
      <c r="J105" s="368">
        <v>2.0</v>
      </c>
      <c r="K105" s="368">
        <v>2.0</v>
      </c>
      <c r="L105" s="368">
        <v>2.0</v>
      </c>
      <c r="M105" s="368">
        <v>2.0</v>
      </c>
      <c r="N105" s="368">
        <v>2.0</v>
      </c>
      <c r="O105" s="368">
        <v>2.0</v>
      </c>
      <c r="P105" s="368">
        <v>2.0</v>
      </c>
      <c r="Q105" s="368">
        <v>2.0</v>
      </c>
      <c r="R105" s="368">
        <v>2.0</v>
      </c>
      <c r="S105" s="368">
        <v>2.0</v>
      </c>
      <c r="T105" s="368">
        <v>2.0</v>
      </c>
      <c r="U105" s="368">
        <v>2.0</v>
      </c>
      <c r="V105" s="368">
        <v>2.0</v>
      </c>
      <c r="W105" s="368">
        <v>2.0</v>
      </c>
      <c r="X105" s="368">
        <v>2.0</v>
      </c>
      <c r="Y105" s="368">
        <v>2.0</v>
      </c>
      <c r="Z105" s="366">
        <f>'New Biz Sales'!Z91+'Portfolio Sales'!P84</f>
        <v>5.754187931</v>
      </c>
      <c r="AA105" s="366">
        <f>'New Biz Sales'!AA91+'Portfolio Sales'!Q84</f>
        <v>6.381768758</v>
      </c>
      <c r="AB105" s="366">
        <f>'New Biz Sales'!AB91+'Portfolio Sales'!R84</f>
        <v>7.200932545</v>
      </c>
      <c r="AC105" s="366">
        <f>'New Biz Sales'!AC91+'Portfolio Sales'!S84</f>
        <v>7.688276494</v>
      </c>
      <c r="AD105" s="366">
        <f>'New Biz Sales'!AD91+'Portfolio Sales'!T84</f>
        <v>8.071322488</v>
      </c>
      <c r="AE105" s="366">
        <f>'New Biz Sales'!AE91+'Portfolio Sales'!U84</f>
        <v>7.662653706</v>
      </c>
      <c r="AF105" s="366">
        <f>'New Biz Sales'!AF91+'Portfolio Sales'!V84</f>
        <v>7.638085243</v>
      </c>
      <c r="AG105" s="366">
        <f>'New Biz Sales'!AG91+'Portfolio Sales'!W84</f>
        <v>7.693694489</v>
      </c>
      <c r="AH105" s="366">
        <f>'New Biz Sales'!AH91+'Portfolio Sales'!X84</f>
        <v>7.745112205</v>
      </c>
      <c r="AI105" s="366">
        <f>'New Biz Sales'!AI91+'Portfolio Sales'!Y84</f>
        <v>7.936793209</v>
      </c>
      <c r="AJ105" s="366">
        <f>'New Biz Sales'!AJ91+'Portfolio Sales'!Z84</f>
        <v>9.059949281</v>
      </c>
      <c r="AK105" s="366">
        <f>'New Biz Sales'!AK91+'Portfolio Sales'!AA84</f>
        <v>9.220279024</v>
      </c>
      <c r="AL105" s="366">
        <f>'New Biz Sales'!AL91+'Portfolio Sales'!AB84</f>
        <v>9.438628328</v>
      </c>
      <c r="AM105" s="366">
        <f>'New Biz Sales'!AM91+'Portfolio Sales'!AC84</f>
        <v>7.923663063</v>
      </c>
      <c r="AN105" s="366">
        <f>'New Biz Sales'!AN91+'Portfolio Sales'!AD84</f>
        <v>7.068007315</v>
      </c>
      <c r="AO105" s="366">
        <f>'New Biz Sales'!AO91+'Portfolio Sales'!AE84</f>
        <v>6.943183467</v>
      </c>
      <c r="AP105" s="366">
        <f>'New Biz Sales'!AP91+'Portfolio Sales'!AF84</f>
        <v>6.999959573</v>
      </c>
      <c r="AQ105" s="366">
        <f>'New Biz Sales'!AQ91+'Portfolio Sales'!AG84</f>
        <v>7.05729557</v>
      </c>
      <c r="AR105" s="366">
        <f>'New Biz Sales'!AR91+'Portfolio Sales'!AH84</f>
        <v>7.076336125</v>
      </c>
      <c r="AS105" s="366">
        <f>'New Biz Sales'!AS91+'Portfolio Sales'!AI84</f>
        <v>7.13438974</v>
      </c>
      <c r="AT105" s="366">
        <f>'New Biz Sales'!AT91+'Portfolio Sales'!AJ84</f>
        <v>7.193017318</v>
      </c>
      <c r="AU105" s="366">
        <f>'New Biz Sales'!AU91+'Portfolio Sales'!AK84</f>
        <v>7.252225288</v>
      </c>
      <c r="AV105" s="366">
        <f>'New Biz Sales'!AV91+'Portfolio Sales'!AL84</f>
        <v>7.312020158</v>
      </c>
      <c r="AW105" s="366">
        <f>'New Biz Sales'!AW91+'Portfolio Sales'!AM84</f>
        <v>7.372408513</v>
      </c>
      <c r="AX105" s="366">
        <f>'New Biz Sales'!AX91+'Portfolio Sales'!AN84</f>
        <v>7.433397018</v>
      </c>
      <c r="AY105" s="366">
        <f>'New Biz Sales'!AY91+'Portfolio Sales'!AO84</f>
        <v>7.372587793</v>
      </c>
      <c r="AZ105" s="366">
        <f>'New Biz Sales'!AZ91+'Portfolio Sales'!AP84</f>
        <v>7.44846383</v>
      </c>
      <c r="BA105" s="366">
        <f>'New Biz Sales'!BA91+'Portfolio Sales'!AQ84</f>
        <v>7.508472249</v>
      </c>
      <c r="BB105" s="366">
        <f>'New Biz Sales'!BB91+'Portfolio Sales'!AR84</f>
        <v>7.569054569</v>
      </c>
      <c r="BC105" s="366">
        <f>'New Biz Sales'!BC91+'Portfolio Sales'!AS84</f>
        <v>7.63021695</v>
      </c>
      <c r="BD105" s="366">
        <f>'New Biz Sales'!BD91+'Portfolio Sales'!AT84</f>
        <v>7.691965622</v>
      </c>
      <c r="BE105" s="366">
        <f>'New Biz Sales'!BE91+'Portfolio Sales'!AU84</f>
        <v>7.754306884</v>
      </c>
      <c r="BF105" s="366">
        <f>'New Biz Sales'!BF91+'Portfolio Sales'!AV84</f>
        <v>7.817247109</v>
      </c>
      <c r="BG105" s="366">
        <f>'New Biz Sales'!BG91+'Portfolio Sales'!AW84</f>
        <v>7.880792743</v>
      </c>
      <c r="BH105" s="366">
        <f>'New Biz Sales'!BH91+'Portfolio Sales'!AX84</f>
        <v>7.944950305</v>
      </c>
      <c r="BI105" s="366">
        <f>'New Biz Sales'!BI91+'Portfolio Sales'!AY84</f>
        <v>8.009726389</v>
      </c>
      <c r="BJ105" s="366">
        <f>'New Biz Sales'!BJ91+'Portfolio Sales'!AZ84</f>
        <v>8.075127663</v>
      </c>
      <c r="BK105" s="366">
        <f>'New Biz Sales'!BK91+'Portfolio Sales'!BA84</f>
        <v>7.879574582</v>
      </c>
      <c r="BL105" s="366">
        <f>'New Biz Sales'!BL91+'Portfolio Sales'!BB84</f>
        <v>7.549842202</v>
      </c>
      <c r="BM105" s="366">
        <f>'New Biz Sales'!BM91+'Portfolio Sales'!BC84</f>
        <v>7.315026827</v>
      </c>
      <c r="BN105" s="366">
        <f>'New Biz Sales'!BN91+'Portfolio Sales'!BD84</f>
        <v>7.383917811</v>
      </c>
      <c r="BO105" s="366">
        <f>'New Biz Sales'!BO91+'Portfolio Sales'!BE84</f>
        <v>7.453815317</v>
      </c>
      <c r="BP105" s="366">
        <f>'New Biz Sales'!BP91+'Portfolio Sales'!BF84</f>
        <v>7.524741242</v>
      </c>
      <c r="BQ105" s="366">
        <f>'New Biz Sales'!BQ91+'Portfolio Sales'!BG84</f>
        <v>7.596718087</v>
      </c>
      <c r="BR105" s="366">
        <f>'New Biz Sales'!BR91+'Portfolio Sales'!BH84</f>
        <v>7.669768972</v>
      </c>
      <c r="BS105" s="366">
        <f>'New Biz Sales'!BS91+'Portfolio Sales'!BI84</f>
        <v>7.743917659</v>
      </c>
      <c r="BT105" s="366">
        <f>'New Biz Sales'!BT91+'Portfolio Sales'!BJ84</f>
        <v>7.819188567</v>
      </c>
      <c r="BU105" s="366">
        <f>'New Biz Sales'!BU91+'Portfolio Sales'!BK84</f>
        <v>7.895606795</v>
      </c>
      <c r="BV105" s="366">
        <f>'New Biz Sales'!BV91+'Portfolio Sales'!BL84</f>
        <v>7.973198145</v>
      </c>
      <c r="BW105" s="366">
        <f>'New Biz Sales'!BW91+'Portfolio Sales'!BM84</f>
        <v>8.11790647</v>
      </c>
      <c r="BX105" s="366">
        <f>'New Biz Sales'!BX91+'Portfolio Sales'!BN84</f>
        <v>7.784927729</v>
      </c>
      <c r="BY105" s="366">
        <f>'New Biz Sales'!BY91+'Portfolio Sales'!BO84</f>
        <v>7.504956092</v>
      </c>
      <c r="BZ105" s="366">
        <f>'New Biz Sales'!BZ91+'Portfolio Sales'!BP84</f>
        <v>7.539788182</v>
      </c>
      <c r="CA105" s="366">
        <f>'New Biz Sales'!CA91+'Portfolio Sales'!BQ84</f>
        <v>7.575592176</v>
      </c>
      <c r="CB105" s="366">
        <f>'New Biz Sales'!CB91+'Portfolio Sales'!BR84</f>
        <v>7.612361032</v>
      </c>
      <c r="CC105" s="366">
        <f>'New Biz Sales'!CC91+'Portfolio Sales'!BS84</f>
        <v>7.650088093</v>
      </c>
      <c r="CD105" s="366">
        <f>'New Biz Sales'!CD91+'Portfolio Sales'!BT84</f>
        <v>7.688767079</v>
      </c>
      <c r="CE105" s="366">
        <f>'New Biz Sales'!CE91+'Portfolio Sales'!BU84</f>
        <v>7.728392078</v>
      </c>
      <c r="CF105" s="366">
        <f>'New Biz Sales'!CF91+'Portfolio Sales'!BV84</f>
        <v>7.768957537</v>
      </c>
      <c r="CG105" s="366">
        <f>'New Biz Sales'!CG91+'Portfolio Sales'!BW84</f>
        <v>7.810458262</v>
      </c>
      <c r="CH105" s="366">
        <f>'New Biz Sales'!CH91+'Portfolio Sales'!BX84</f>
        <v>7.852889401</v>
      </c>
      <c r="CI105" s="1"/>
      <c r="CJ105" s="1"/>
      <c r="CK105" s="1"/>
      <c r="CL105" s="1"/>
      <c r="CM105" s="1"/>
      <c r="CN105" s="1"/>
      <c r="CO105" s="1"/>
      <c r="CP105" s="1"/>
    </row>
    <row r="106" ht="15.75" customHeight="1">
      <c r="A106" s="1" t="s">
        <v>94</v>
      </c>
      <c r="B106" s="368"/>
      <c r="C106" s="368">
        <v>2.0</v>
      </c>
      <c r="D106" s="368">
        <v>2.0</v>
      </c>
      <c r="E106" s="368">
        <v>2.0</v>
      </c>
      <c r="F106" s="368">
        <v>2.0</v>
      </c>
      <c r="G106" s="368">
        <v>2.0</v>
      </c>
      <c r="H106" s="368">
        <v>2.0</v>
      </c>
      <c r="I106" s="368">
        <v>2.0</v>
      </c>
      <c r="J106" s="368">
        <v>2.0</v>
      </c>
      <c r="K106" s="368">
        <v>2.0</v>
      </c>
      <c r="L106" s="368">
        <v>2.0</v>
      </c>
      <c r="M106" s="368">
        <v>2.0</v>
      </c>
      <c r="N106" s="368">
        <v>2.0</v>
      </c>
      <c r="O106" s="368">
        <v>2.0</v>
      </c>
      <c r="P106" s="368">
        <v>2.0</v>
      </c>
      <c r="Q106" s="368">
        <v>2.0</v>
      </c>
      <c r="R106" s="368">
        <v>2.0</v>
      </c>
      <c r="S106" s="368">
        <v>2.0</v>
      </c>
      <c r="T106" s="368">
        <v>2.0</v>
      </c>
      <c r="U106" s="368">
        <v>2.0</v>
      </c>
      <c r="V106" s="368">
        <v>2.0</v>
      </c>
      <c r="W106" s="368">
        <v>2.0</v>
      </c>
      <c r="X106" s="368">
        <v>2.0</v>
      </c>
      <c r="Y106" s="368">
        <v>2.0</v>
      </c>
      <c r="Z106" s="366">
        <f>'New Biz Sales'!Z92+'Portfolio Sales'!P85</f>
        <v>5.897344211</v>
      </c>
      <c r="AA106" s="366">
        <f>'New Biz Sales'!AA92+'Portfolio Sales'!Q85</f>
        <v>6.852210947</v>
      </c>
      <c r="AB106" s="366">
        <f>'New Biz Sales'!AB92+'Portfolio Sales'!R85</f>
        <v>7.200932545</v>
      </c>
      <c r="AC106" s="366">
        <f>'New Biz Sales'!AC92+'Portfolio Sales'!S85</f>
        <v>8.372845617</v>
      </c>
      <c r="AD106" s="366">
        <f>'New Biz Sales'!AD92+'Portfolio Sales'!T85</f>
        <v>9.631983732</v>
      </c>
      <c r="AE106" s="366">
        <f>'New Biz Sales'!AE92+'Portfolio Sales'!U85</f>
        <v>7.391388335</v>
      </c>
      <c r="AF106" s="366">
        <f>'New Biz Sales'!AF92+'Portfolio Sales'!V85</f>
        <v>7.392995118</v>
      </c>
      <c r="AG106" s="366">
        <f>'New Biz Sales'!AG92+'Portfolio Sales'!W85</f>
        <v>6.612356073</v>
      </c>
      <c r="AH106" s="366">
        <f>'New Biz Sales'!AH92+'Portfolio Sales'!X85</f>
        <v>6.64350916</v>
      </c>
      <c r="AI106" s="366">
        <f>'New Biz Sales'!AI92+'Portfolio Sales'!Y85</f>
        <v>7.664467946</v>
      </c>
      <c r="AJ106" s="366">
        <f>'New Biz Sales'!AJ92+'Portfolio Sales'!Z85</f>
        <v>9.416967184</v>
      </c>
      <c r="AK106" s="366">
        <f>'New Biz Sales'!AK92+'Portfolio Sales'!AA85</f>
        <v>9.590433187</v>
      </c>
      <c r="AL106" s="366">
        <f>'New Biz Sales'!AL92+'Portfolio Sales'!AB85</f>
        <v>9.826672456</v>
      </c>
      <c r="AM106" s="366">
        <f>'New Biz Sales'!AM92+'Portfolio Sales'!AC85</f>
        <v>8.288417112</v>
      </c>
      <c r="AN106" s="366">
        <f>'New Biz Sales'!AN92+'Portfolio Sales'!AD85</f>
        <v>8.961949119</v>
      </c>
      <c r="AO106" s="366">
        <f>'New Biz Sales'!AO92+'Portfolio Sales'!AE85</f>
        <v>9.245829027</v>
      </c>
      <c r="AP106" s="366">
        <f>'New Biz Sales'!AP92+'Portfolio Sales'!AF85</f>
        <v>9.316634753</v>
      </c>
      <c r="AQ106" s="366">
        <f>'New Biz Sales'!AQ92+'Portfolio Sales'!AG85</f>
        <v>9.388102004</v>
      </c>
      <c r="AR106" s="366">
        <f>'New Biz Sales'!AR92+'Portfolio Sales'!AH85</f>
        <v>9.416943428</v>
      </c>
      <c r="AS106" s="366">
        <f>'New Biz Sales'!AS92+'Portfolio Sales'!AI85</f>
        <v>9.489286253</v>
      </c>
      <c r="AT106" s="366">
        <f>'New Biz Sales'!AT92+'Portfolio Sales'!AJ85</f>
        <v>9.562306848</v>
      </c>
      <c r="AU106" s="366">
        <f>'New Biz Sales'!AU92+'Portfolio Sales'!AK85</f>
        <v>9.636012567</v>
      </c>
      <c r="AV106" s="366">
        <f>'New Biz Sales'!AV92+'Portfolio Sales'!AL85</f>
        <v>9.710410853</v>
      </c>
      <c r="AW106" s="366">
        <f>'New Biz Sales'!AW92+'Portfolio Sales'!AM85</f>
        <v>9.785509236</v>
      </c>
      <c r="AX106" s="366">
        <f>'New Biz Sales'!AX92+'Portfolio Sales'!AN85</f>
        <v>9.861315336</v>
      </c>
      <c r="AY106" s="366">
        <f>'New Biz Sales'!AY92+'Portfolio Sales'!AO85</f>
        <v>9.801469616</v>
      </c>
      <c r="AZ106" s="366">
        <f>'New Biz Sales'!AZ92+'Portfolio Sales'!AP85</f>
        <v>9.901879739</v>
      </c>
      <c r="BA106" s="366">
        <f>'New Biz Sales'!BA92+'Portfolio Sales'!AQ85</f>
        <v>9.976752152</v>
      </c>
      <c r="BB106" s="366">
        <f>'New Biz Sales'!BB92+'Portfolio Sales'!AR85</f>
        <v>10.05230403</v>
      </c>
      <c r="BC106" s="366">
        <f>'New Biz Sales'!BC92+'Portfolio Sales'!AS85</f>
        <v>10.12854242</v>
      </c>
      <c r="BD106" s="366">
        <f>'New Biz Sales'!BD92+'Portfolio Sales'!AT85</f>
        <v>10.20547448</v>
      </c>
      <c r="BE106" s="366">
        <f>'New Biz Sales'!BE92+'Portfolio Sales'!AU85</f>
        <v>10.28310743</v>
      </c>
      <c r="BF106" s="366">
        <f>'New Biz Sales'!BF92+'Portfolio Sales'!AV85</f>
        <v>10.36144857</v>
      </c>
      <c r="BG106" s="366">
        <f>'New Biz Sales'!BG92+'Portfolio Sales'!AW85</f>
        <v>10.44050528</v>
      </c>
      <c r="BH106" s="366">
        <f>'New Biz Sales'!BH92+'Portfolio Sales'!AX85</f>
        <v>10.52028503</v>
      </c>
      <c r="BI106" s="366">
        <f>'New Biz Sales'!BI92+'Portfolio Sales'!AY85</f>
        <v>10.60079538</v>
      </c>
      <c r="BJ106" s="366">
        <f>'New Biz Sales'!BJ92+'Portfolio Sales'!AZ85</f>
        <v>10.68204396</v>
      </c>
      <c r="BK106" s="366">
        <f>'New Biz Sales'!BK92+'Portfolio Sales'!BA85</f>
        <v>10.47261321</v>
      </c>
      <c r="BL106" s="366">
        <f>'New Biz Sales'!BL92+'Portfolio Sales'!BB85</f>
        <v>10.02055744</v>
      </c>
      <c r="BM106" s="366">
        <f>'New Biz Sales'!BM92+'Portfolio Sales'!BC85</f>
        <v>9.767004367</v>
      </c>
      <c r="BN106" s="366">
        <f>'New Biz Sales'!BN92+'Portfolio Sales'!BD85</f>
        <v>9.851841488</v>
      </c>
      <c r="BO106" s="366">
        <f>'New Biz Sales'!BO92+'Portfolio Sales'!BE85</f>
        <v>9.937840384</v>
      </c>
      <c r="BP106" s="366">
        <f>'New Biz Sales'!BP92+'Portfolio Sales'!BF85</f>
        <v>10.02502565</v>
      </c>
      <c r="BQ106" s="366">
        <f>'New Biz Sales'!BQ92+'Portfolio Sales'!BG85</f>
        <v>10.11342256</v>
      </c>
      <c r="BR106" s="366">
        <f>'New Biz Sales'!BR92+'Portfolio Sales'!BH85</f>
        <v>10.20305707</v>
      </c>
      <c r="BS106" s="366">
        <f>'New Biz Sales'!BS92+'Portfolio Sales'!BI85</f>
        <v>10.29395586</v>
      </c>
      <c r="BT106" s="366">
        <f>'New Biz Sales'!BT92+'Portfolio Sales'!BJ85</f>
        <v>10.38614635</v>
      </c>
      <c r="BU106" s="366">
        <f>'New Biz Sales'!BU92+'Portfolio Sales'!BK85</f>
        <v>10.4796567</v>
      </c>
      <c r="BV106" s="366">
        <f>'New Biz Sales'!BV92+'Portfolio Sales'!BL85</f>
        <v>10.57451586</v>
      </c>
      <c r="BW106" s="366">
        <f>'New Biz Sales'!BW92+'Portfolio Sales'!BM85</f>
        <v>10.74419007</v>
      </c>
      <c r="BX106" s="366">
        <f>'New Biz Sales'!BX92+'Portfolio Sales'!BN85</f>
        <v>10.20320075</v>
      </c>
      <c r="BY106" s="366">
        <f>'New Biz Sales'!BY92+'Portfolio Sales'!BO85</f>
        <v>9.898944179</v>
      </c>
      <c r="BZ106" s="366">
        <f>'New Biz Sales'!BZ92+'Portfolio Sales'!BP85</f>
        <v>9.945439057</v>
      </c>
      <c r="CA106" s="366">
        <f>'New Biz Sales'!CA92+'Portfolio Sales'!BQ85</f>
        <v>9.993055149</v>
      </c>
      <c r="CB106" s="366">
        <f>'New Biz Sales'!CB92+'Portfolio Sales'!BR85</f>
        <v>10.04178481</v>
      </c>
      <c r="CC106" s="366">
        <f>'New Biz Sales'!CC92+'Portfolio Sales'!BS85</f>
        <v>10.0916208</v>
      </c>
      <c r="CD106" s="366">
        <f>'New Biz Sales'!CD92+'Portfolio Sales'!BT85</f>
        <v>10.14255633</v>
      </c>
      <c r="CE106" s="366">
        <f>'New Biz Sales'!CE92+'Portfolio Sales'!BU85</f>
        <v>10.19458501</v>
      </c>
      <c r="CF106" s="366">
        <f>'New Biz Sales'!CF92+'Portfolio Sales'!BV85</f>
        <v>10.24770085</v>
      </c>
      <c r="CG106" s="366">
        <f>'New Biz Sales'!CG92+'Portfolio Sales'!BW85</f>
        <v>10.30189825</v>
      </c>
      <c r="CH106" s="366">
        <f>'New Biz Sales'!CH92+'Portfolio Sales'!BX85</f>
        <v>10.35717202</v>
      </c>
      <c r="CI106" s="1"/>
      <c r="CJ106" s="1"/>
      <c r="CK106" s="1"/>
      <c r="CL106" s="1"/>
      <c r="CM106" s="1"/>
      <c r="CN106" s="1"/>
      <c r="CO106" s="1"/>
      <c r="CP106" s="1"/>
    </row>
    <row r="107" ht="15.75" customHeight="1">
      <c r="A107" s="1" t="s">
        <v>96</v>
      </c>
      <c r="B107" s="368"/>
      <c r="C107" s="368">
        <v>2.0</v>
      </c>
      <c r="D107" s="368">
        <v>2.0</v>
      </c>
      <c r="E107" s="368">
        <v>2.0</v>
      </c>
      <c r="F107" s="368">
        <v>2.0</v>
      </c>
      <c r="G107" s="368">
        <v>2.0</v>
      </c>
      <c r="H107" s="368">
        <v>2.0</v>
      </c>
      <c r="I107" s="368">
        <v>2.0</v>
      </c>
      <c r="J107" s="368">
        <v>2.0</v>
      </c>
      <c r="K107" s="368">
        <v>2.0</v>
      </c>
      <c r="L107" s="368">
        <v>2.0</v>
      </c>
      <c r="M107" s="368">
        <v>2.0</v>
      </c>
      <c r="N107" s="368">
        <v>2.0</v>
      </c>
      <c r="O107" s="368">
        <v>2.0</v>
      </c>
      <c r="P107" s="368">
        <v>2.0</v>
      </c>
      <c r="Q107" s="368">
        <v>2.0</v>
      </c>
      <c r="R107" s="368">
        <v>2.0</v>
      </c>
      <c r="S107" s="368">
        <v>2.0</v>
      </c>
      <c r="T107" s="368">
        <v>2.0</v>
      </c>
      <c r="U107" s="368">
        <v>2.0</v>
      </c>
      <c r="V107" s="368">
        <v>2.0</v>
      </c>
      <c r="W107" s="368">
        <v>2.0</v>
      </c>
      <c r="X107" s="368">
        <v>2.0</v>
      </c>
      <c r="Y107" s="368">
        <v>2.0</v>
      </c>
      <c r="Z107" s="366">
        <f>'New Biz Sales'!Z93+'Portfolio Sales'!P86</f>
        <v>3.75</v>
      </c>
      <c r="AA107" s="366">
        <f>'New Biz Sales'!AA93+'Portfolio Sales'!Q86</f>
        <v>4.5</v>
      </c>
      <c r="AB107" s="366">
        <f>'New Biz Sales'!AB93+'Portfolio Sales'!R86</f>
        <v>4.95</v>
      </c>
      <c r="AC107" s="366">
        <f>'New Biz Sales'!AC93+'Portfolio Sales'!S86</f>
        <v>4.95</v>
      </c>
      <c r="AD107" s="366">
        <f>'New Biz Sales'!AD93+'Portfolio Sales'!T86</f>
        <v>4.95</v>
      </c>
      <c r="AE107" s="366">
        <f>'New Biz Sales'!AE93+'Portfolio Sales'!U86</f>
        <v>4.95</v>
      </c>
      <c r="AF107" s="366">
        <f>'New Biz Sales'!AF93+'Portfolio Sales'!V86</f>
        <v>4.95</v>
      </c>
      <c r="AG107" s="366">
        <f>'New Biz Sales'!AG93+'Portfolio Sales'!W86</f>
        <v>4.95</v>
      </c>
      <c r="AH107" s="366">
        <f>'New Biz Sales'!AH93+'Portfolio Sales'!X86</f>
        <v>4.95</v>
      </c>
      <c r="AI107" s="366">
        <f>'New Biz Sales'!AI93+'Portfolio Sales'!Y86</f>
        <v>4.95</v>
      </c>
      <c r="AJ107" s="366">
        <f>'New Biz Sales'!AJ93+'Portfolio Sales'!Z86</f>
        <v>4.95</v>
      </c>
      <c r="AK107" s="366">
        <f>'New Biz Sales'!AK93+'Portfolio Sales'!AA86</f>
        <v>4.95</v>
      </c>
      <c r="AL107" s="366">
        <f>'New Biz Sales'!AL93+'Portfolio Sales'!AB86</f>
        <v>4.95</v>
      </c>
      <c r="AM107" s="366">
        <f>'New Biz Sales'!AM93+'Portfolio Sales'!AC86</f>
        <v>4.95</v>
      </c>
      <c r="AN107" s="366">
        <f>'New Biz Sales'!AN93+'Portfolio Sales'!AD86</f>
        <v>4.95</v>
      </c>
      <c r="AO107" s="366">
        <f>'New Biz Sales'!AO93+'Portfolio Sales'!AE86</f>
        <v>4.95</v>
      </c>
      <c r="AP107" s="366">
        <f>'New Biz Sales'!AP93+'Portfolio Sales'!AF86</f>
        <v>4.95</v>
      </c>
      <c r="AQ107" s="366">
        <f>'New Biz Sales'!AQ93+'Portfolio Sales'!AG86</f>
        <v>4.95</v>
      </c>
      <c r="AR107" s="366">
        <f>'New Biz Sales'!AR93+'Portfolio Sales'!AH86</f>
        <v>4.95</v>
      </c>
      <c r="AS107" s="366">
        <f>'New Biz Sales'!AS93+'Portfolio Sales'!AI86</f>
        <v>4.95</v>
      </c>
      <c r="AT107" s="366">
        <f>'New Biz Sales'!AT93+'Portfolio Sales'!AJ86</f>
        <v>4.95</v>
      </c>
      <c r="AU107" s="366">
        <f>'New Biz Sales'!AU93+'Portfolio Sales'!AK86</f>
        <v>4.95</v>
      </c>
      <c r="AV107" s="366">
        <f>'New Biz Sales'!AV93+'Portfolio Sales'!AL86</f>
        <v>4.95</v>
      </c>
      <c r="AW107" s="366">
        <f>'New Biz Sales'!AW93+'Portfolio Sales'!AM86</f>
        <v>4.95</v>
      </c>
      <c r="AX107" s="366">
        <f>'New Biz Sales'!AX93+'Portfolio Sales'!AN86</f>
        <v>4.95</v>
      </c>
      <c r="AY107" s="366">
        <f>'New Biz Sales'!AY93+'Portfolio Sales'!AO86</f>
        <v>4.95</v>
      </c>
      <c r="AZ107" s="366">
        <f>'New Biz Sales'!AZ93+'Portfolio Sales'!AP86</f>
        <v>4.95</v>
      </c>
      <c r="BA107" s="366">
        <f>'New Biz Sales'!BA93+'Portfolio Sales'!AQ86</f>
        <v>4.95</v>
      </c>
      <c r="BB107" s="366">
        <f>'New Biz Sales'!BB93+'Portfolio Sales'!AR86</f>
        <v>4.95</v>
      </c>
      <c r="BC107" s="366">
        <f>'New Biz Sales'!BC93+'Portfolio Sales'!AS86</f>
        <v>4.95</v>
      </c>
      <c r="BD107" s="366">
        <f>'New Biz Sales'!BD93+'Portfolio Sales'!AT86</f>
        <v>4.95</v>
      </c>
      <c r="BE107" s="366">
        <f>'New Biz Sales'!BE93+'Portfolio Sales'!AU86</f>
        <v>4.95</v>
      </c>
      <c r="BF107" s="366">
        <f>'New Biz Sales'!BF93+'Portfolio Sales'!AV86</f>
        <v>4.95</v>
      </c>
      <c r="BG107" s="366">
        <f>'New Biz Sales'!BG93+'Portfolio Sales'!AW86</f>
        <v>4.95</v>
      </c>
      <c r="BH107" s="366">
        <f>'New Biz Sales'!BH93+'Portfolio Sales'!AX86</f>
        <v>4.95</v>
      </c>
      <c r="BI107" s="366">
        <f>'New Biz Sales'!BI93+'Portfolio Sales'!AY86</f>
        <v>4.95</v>
      </c>
      <c r="BJ107" s="366">
        <f>'New Biz Sales'!BJ93+'Portfolio Sales'!AZ86</f>
        <v>4.95</v>
      </c>
      <c r="BK107" s="366">
        <f>'New Biz Sales'!BK93+'Portfolio Sales'!BA86</f>
        <v>4.95</v>
      </c>
      <c r="BL107" s="366">
        <f>'New Biz Sales'!BL93+'Portfolio Sales'!BB86</f>
        <v>4.95</v>
      </c>
      <c r="BM107" s="366">
        <f>'New Biz Sales'!BM93+'Portfolio Sales'!BC86</f>
        <v>4.95</v>
      </c>
      <c r="BN107" s="366">
        <f>'New Biz Sales'!BN93+'Portfolio Sales'!BD86</f>
        <v>4.95</v>
      </c>
      <c r="BO107" s="366">
        <f>'New Biz Sales'!BO93+'Portfolio Sales'!BE86</f>
        <v>4.95</v>
      </c>
      <c r="BP107" s="366">
        <f>'New Biz Sales'!BP93+'Portfolio Sales'!BF86</f>
        <v>4.95</v>
      </c>
      <c r="BQ107" s="366">
        <f>'New Biz Sales'!BQ93+'Portfolio Sales'!BG86</f>
        <v>4.95</v>
      </c>
      <c r="BR107" s="366">
        <f>'New Biz Sales'!BR93+'Portfolio Sales'!BH86</f>
        <v>4.95</v>
      </c>
      <c r="BS107" s="366">
        <f>'New Biz Sales'!BS93+'Portfolio Sales'!BI86</f>
        <v>4.95</v>
      </c>
      <c r="BT107" s="366">
        <f>'New Biz Sales'!BT93+'Portfolio Sales'!BJ86</f>
        <v>4.95</v>
      </c>
      <c r="BU107" s="366">
        <f>'New Biz Sales'!BU93+'Portfolio Sales'!BK86</f>
        <v>4.95</v>
      </c>
      <c r="BV107" s="366">
        <f>'New Biz Sales'!BV93+'Portfolio Sales'!BL86</f>
        <v>4.95</v>
      </c>
      <c r="BW107" s="366">
        <f>'New Biz Sales'!BW93+'Portfolio Sales'!BM86</f>
        <v>4.95</v>
      </c>
      <c r="BX107" s="366">
        <f>'New Biz Sales'!BX93+'Portfolio Sales'!BN86</f>
        <v>4.95</v>
      </c>
      <c r="BY107" s="366">
        <f>'New Biz Sales'!BY93+'Portfolio Sales'!BO86</f>
        <v>4.95</v>
      </c>
      <c r="BZ107" s="366">
        <f>'New Biz Sales'!BZ93+'Portfolio Sales'!BP86</f>
        <v>4.95</v>
      </c>
      <c r="CA107" s="366">
        <f>'New Biz Sales'!CA93+'Portfolio Sales'!BQ86</f>
        <v>4.95</v>
      </c>
      <c r="CB107" s="366">
        <f>'New Biz Sales'!CB93+'Portfolio Sales'!BR86</f>
        <v>4.95</v>
      </c>
      <c r="CC107" s="366">
        <f>'New Biz Sales'!CC93+'Portfolio Sales'!BS86</f>
        <v>4.95</v>
      </c>
      <c r="CD107" s="366">
        <f>'New Biz Sales'!CD93+'Portfolio Sales'!BT86</f>
        <v>4.95</v>
      </c>
      <c r="CE107" s="366">
        <f>'New Biz Sales'!CE93+'Portfolio Sales'!BU86</f>
        <v>4.95</v>
      </c>
      <c r="CF107" s="366">
        <f>'New Biz Sales'!CF93+'Portfolio Sales'!BV86</f>
        <v>4.95</v>
      </c>
      <c r="CG107" s="366">
        <f>'New Biz Sales'!CG93+'Portfolio Sales'!BW86</f>
        <v>4.95</v>
      </c>
      <c r="CH107" s="366">
        <f>'New Biz Sales'!CH93+'Portfolio Sales'!BX86</f>
        <v>4.95</v>
      </c>
      <c r="CI107" s="1"/>
      <c r="CJ107" s="1"/>
      <c r="CK107" s="1"/>
      <c r="CL107" s="1"/>
      <c r="CM107" s="1"/>
      <c r="CN107" s="1"/>
      <c r="CO107" s="1"/>
      <c r="CP107" s="1"/>
    </row>
    <row r="108" ht="15.75" customHeight="1">
      <c r="A108" s="411" t="s">
        <v>664</v>
      </c>
      <c r="B108" s="412"/>
      <c r="C108" s="412">
        <f t="shared" ref="C108:CH108" si="58">SUM(C102:C107)</f>
        <v>12</v>
      </c>
      <c r="D108" s="412">
        <f t="shared" si="58"/>
        <v>12</v>
      </c>
      <c r="E108" s="412">
        <f t="shared" si="58"/>
        <v>12</v>
      </c>
      <c r="F108" s="412">
        <f t="shared" si="58"/>
        <v>12</v>
      </c>
      <c r="G108" s="412">
        <f t="shared" si="58"/>
        <v>12</v>
      </c>
      <c r="H108" s="412">
        <f t="shared" si="58"/>
        <v>12</v>
      </c>
      <c r="I108" s="412">
        <f t="shared" si="58"/>
        <v>12</v>
      </c>
      <c r="J108" s="412">
        <f t="shared" si="58"/>
        <v>12</v>
      </c>
      <c r="K108" s="412">
        <f t="shared" si="58"/>
        <v>12</v>
      </c>
      <c r="L108" s="412">
        <f t="shared" si="58"/>
        <v>12</v>
      </c>
      <c r="M108" s="412">
        <f t="shared" si="58"/>
        <v>12</v>
      </c>
      <c r="N108" s="412">
        <f t="shared" si="58"/>
        <v>12</v>
      </c>
      <c r="O108" s="412">
        <f t="shared" si="58"/>
        <v>12</v>
      </c>
      <c r="P108" s="412">
        <f t="shared" si="58"/>
        <v>12</v>
      </c>
      <c r="Q108" s="412">
        <f t="shared" si="58"/>
        <v>12</v>
      </c>
      <c r="R108" s="412">
        <f t="shared" si="58"/>
        <v>12</v>
      </c>
      <c r="S108" s="412">
        <f t="shared" si="58"/>
        <v>12</v>
      </c>
      <c r="T108" s="412">
        <f t="shared" si="58"/>
        <v>12</v>
      </c>
      <c r="U108" s="412">
        <f t="shared" si="58"/>
        <v>12</v>
      </c>
      <c r="V108" s="412">
        <f t="shared" si="58"/>
        <v>12</v>
      </c>
      <c r="W108" s="412">
        <f t="shared" si="58"/>
        <v>12</v>
      </c>
      <c r="X108" s="412">
        <f t="shared" si="58"/>
        <v>12</v>
      </c>
      <c r="Y108" s="412">
        <f t="shared" si="58"/>
        <v>12</v>
      </c>
      <c r="Z108" s="412">
        <f t="shared" si="58"/>
        <v>30.39873528</v>
      </c>
      <c r="AA108" s="412">
        <f t="shared" si="58"/>
        <v>35.38405845</v>
      </c>
      <c r="AB108" s="412">
        <f t="shared" si="58"/>
        <v>39.23363072</v>
      </c>
      <c r="AC108" s="412">
        <f t="shared" si="58"/>
        <v>41.92006956</v>
      </c>
      <c r="AD108" s="412">
        <f t="shared" si="58"/>
        <v>44.33887522</v>
      </c>
      <c r="AE108" s="412">
        <f t="shared" si="58"/>
        <v>42.3023632</v>
      </c>
      <c r="AF108" s="412">
        <f t="shared" si="58"/>
        <v>42.26061393</v>
      </c>
      <c r="AG108" s="412">
        <f t="shared" si="58"/>
        <v>41.78902255</v>
      </c>
      <c r="AH108" s="412">
        <f t="shared" si="58"/>
        <v>42.01557471</v>
      </c>
      <c r="AI108" s="412">
        <f t="shared" si="58"/>
        <v>43.65638643</v>
      </c>
      <c r="AJ108" s="412">
        <f t="shared" si="58"/>
        <v>45.87681494</v>
      </c>
      <c r="AK108" s="412">
        <f t="shared" si="58"/>
        <v>46.51574293</v>
      </c>
      <c r="AL108" s="412">
        <f t="shared" si="58"/>
        <v>47.38588393</v>
      </c>
      <c r="AM108" s="412">
        <f t="shared" si="58"/>
        <v>41.68349769</v>
      </c>
      <c r="AN108" s="412">
        <f t="shared" si="58"/>
        <v>38.33946108</v>
      </c>
      <c r="AO108" s="412">
        <f t="shared" si="58"/>
        <v>38.0804274</v>
      </c>
      <c r="AP108" s="412">
        <f t="shared" si="58"/>
        <v>38.33613529</v>
      </c>
      <c r="AQ108" s="412">
        <f t="shared" si="58"/>
        <v>38.59424847</v>
      </c>
      <c r="AR108" s="412">
        <f t="shared" si="58"/>
        <v>38.72943024</v>
      </c>
      <c r="AS108" s="412">
        <f t="shared" si="58"/>
        <v>38.99107462</v>
      </c>
      <c r="AT108" s="412">
        <f t="shared" si="58"/>
        <v>39.25518776</v>
      </c>
      <c r="AU108" s="412">
        <f t="shared" si="58"/>
        <v>39.52179658</v>
      </c>
      <c r="AV108" s="412">
        <f t="shared" si="58"/>
        <v>39.79092831</v>
      </c>
      <c r="AW108" s="412">
        <f t="shared" si="58"/>
        <v>40.06261049</v>
      </c>
      <c r="AX108" s="412">
        <f t="shared" si="58"/>
        <v>40.33687101</v>
      </c>
      <c r="AY108" s="412">
        <f t="shared" si="58"/>
        <v>40.31309018</v>
      </c>
      <c r="AZ108" s="412">
        <f t="shared" si="58"/>
        <v>40.67562277</v>
      </c>
      <c r="BA108" s="412">
        <f t="shared" si="58"/>
        <v>40.94850281</v>
      </c>
      <c r="BB108" s="412">
        <f t="shared" si="58"/>
        <v>41.22388103</v>
      </c>
      <c r="BC108" s="412">
        <f t="shared" si="58"/>
        <v>41.50178354</v>
      </c>
      <c r="BD108" s="412">
        <f t="shared" si="58"/>
        <v>41.78223674</v>
      </c>
      <c r="BE108" s="412">
        <f t="shared" si="58"/>
        <v>42.06526735</v>
      </c>
      <c r="BF108" s="412">
        <f t="shared" si="58"/>
        <v>42.35090235</v>
      </c>
      <c r="BG108" s="412">
        <f t="shared" si="58"/>
        <v>42.63916907</v>
      </c>
      <c r="BH108" s="412">
        <f t="shared" si="58"/>
        <v>42.9300951</v>
      </c>
      <c r="BI108" s="412">
        <f t="shared" si="58"/>
        <v>43.22370839</v>
      </c>
      <c r="BJ108" s="412">
        <f t="shared" si="58"/>
        <v>43.52003717</v>
      </c>
      <c r="BK108" s="412">
        <f t="shared" si="58"/>
        <v>42.96322578</v>
      </c>
      <c r="BL108" s="412">
        <f t="shared" si="58"/>
        <v>41.55742087</v>
      </c>
      <c r="BM108" s="412">
        <f t="shared" si="58"/>
        <v>40.58319324</v>
      </c>
      <c r="BN108" s="412">
        <f t="shared" si="58"/>
        <v>40.89856703</v>
      </c>
      <c r="BO108" s="412">
        <f t="shared" si="58"/>
        <v>41.21832872</v>
      </c>
      <c r="BP108" s="412">
        <f t="shared" si="58"/>
        <v>41.54257185</v>
      </c>
      <c r="BQ108" s="412">
        <f t="shared" si="58"/>
        <v>41.87139253</v>
      </c>
      <c r="BR108" s="412">
        <f t="shared" si="58"/>
        <v>42.2048895</v>
      </c>
      <c r="BS108" s="412">
        <f t="shared" si="58"/>
        <v>42.54316423</v>
      </c>
      <c r="BT108" s="412">
        <f t="shared" si="58"/>
        <v>42.88632098</v>
      </c>
      <c r="BU108" s="412">
        <f t="shared" si="58"/>
        <v>43.23446692</v>
      </c>
      <c r="BV108" s="412">
        <f t="shared" si="58"/>
        <v>43.58771217</v>
      </c>
      <c r="BW108" s="412">
        <f t="shared" si="58"/>
        <v>44.22604417</v>
      </c>
      <c r="BX108" s="412">
        <f t="shared" si="58"/>
        <v>42.33139693</v>
      </c>
      <c r="BY108" s="412">
        <f t="shared" si="58"/>
        <v>41.16432239</v>
      </c>
      <c r="BZ108" s="412">
        <f t="shared" si="58"/>
        <v>41.33396128</v>
      </c>
      <c r="CA108" s="412">
        <f t="shared" si="58"/>
        <v>41.50783545</v>
      </c>
      <c r="CB108" s="412">
        <f t="shared" si="58"/>
        <v>41.68591555</v>
      </c>
      <c r="CC108" s="412">
        <f t="shared" si="58"/>
        <v>41.86817386</v>
      </c>
      <c r="CD108" s="412">
        <f t="shared" si="58"/>
        <v>42.05458426</v>
      </c>
      <c r="CE108" s="412">
        <f t="shared" si="58"/>
        <v>42.24512221</v>
      </c>
      <c r="CF108" s="412">
        <f t="shared" si="58"/>
        <v>42.43976469</v>
      </c>
      <c r="CG108" s="412">
        <f t="shared" si="58"/>
        <v>42.63849018</v>
      </c>
      <c r="CH108" s="412">
        <f t="shared" si="58"/>
        <v>42.84127867</v>
      </c>
      <c r="CI108" s="1"/>
      <c r="CJ108" s="1"/>
      <c r="CK108" s="1"/>
      <c r="CL108" s="1"/>
      <c r="CM108" s="1"/>
      <c r="CN108" s="1"/>
      <c r="CO108" s="1"/>
      <c r="CP108" s="1"/>
    </row>
    <row r="109" ht="15.75" customHeight="1">
      <c r="A109" s="1"/>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3"/>
      <c r="BR109" s="123"/>
      <c r="BS109" s="123"/>
      <c r="BT109" s="123"/>
      <c r="BU109" s="123"/>
      <c r="BV109" s="123"/>
      <c r="BW109" s="123"/>
      <c r="BX109" s="123"/>
      <c r="BY109" s="123"/>
      <c r="BZ109" s="123"/>
      <c r="CA109" s="123"/>
      <c r="CB109" s="123"/>
      <c r="CC109" s="123"/>
      <c r="CD109" s="123"/>
      <c r="CE109" s="123"/>
      <c r="CF109" s="123"/>
      <c r="CG109" s="123"/>
      <c r="CH109" s="123"/>
      <c r="CI109" s="1"/>
      <c r="CJ109" s="1"/>
      <c r="CK109" s="1"/>
      <c r="CL109" s="1"/>
      <c r="CM109" s="1"/>
      <c r="CN109" s="1"/>
      <c r="CO109" s="1"/>
      <c r="CP109" s="1"/>
    </row>
    <row r="110" ht="15.75" customHeight="1">
      <c r="A110" s="1" t="s">
        <v>129</v>
      </c>
      <c r="B110" s="368"/>
      <c r="C110" s="368">
        <v>50.0</v>
      </c>
      <c r="D110" s="368">
        <f t="shared" ref="D110:CH110" si="59">C126</f>
        <v>51</v>
      </c>
      <c r="E110" s="368">
        <f t="shared" si="59"/>
        <v>52</v>
      </c>
      <c r="F110" s="368">
        <f t="shared" si="59"/>
        <v>53</v>
      </c>
      <c r="G110" s="368">
        <f t="shared" si="59"/>
        <v>54</v>
      </c>
      <c r="H110" s="368">
        <f t="shared" si="59"/>
        <v>55</v>
      </c>
      <c r="I110" s="368">
        <f t="shared" si="59"/>
        <v>56</v>
      </c>
      <c r="J110" s="368">
        <f t="shared" si="59"/>
        <v>57</v>
      </c>
      <c r="K110" s="368">
        <f t="shared" si="59"/>
        <v>58</v>
      </c>
      <c r="L110" s="368">
        <f t="shared" si="59"/>
        <v>59</v>
      </c>
      <c r="M110" s="368">
        <f t="shared" si="59"/>
        <v>60</v>
      </c>
      <c r="N110" s="368">
        <f t="shared" si="59"/>
        <v>61</v>
      </c>
      <c r="O110" s="368">
        <f t="shared" si="59"/>
        <v>62</v>
      </c>
      <c r="P110" s="368">
        <f t="shared" si="59"/>
        <v>63</v>
      </c>
      <c r="Q110" s="368">
        <f t="shared" si="59"/>
        <v>64</v>
      </c>
      <c r="R110" s="368">
        <f t="shared" si="59"/>
        <v>65</v>
      </c>
      <c r="S110" s="368">
        <f t="shared" si="59"/>
        <v>66</v>
      </c>
      <c r="T110" s="368">
        <f t="shared" si="59"/>
        <v>67</v>
      </c>
      <c r="U110" s="368">
        <f t="shared" si="59"/>
        <v>68</v>
      </c>
      <c r="V110" s="368">
        <f t="shared" si="59"/>
        <v>69</v>
      </c>
      <c r="W110" s="368">
        <f t="shared" si="59"/>
        <v>70</v>
      </c>
      <c r="X110" s="368">
        <f t="shared" si="59"/>
        <v>71</v>
      </c>
      <c r="Y110" s="368">
        <f t="shared" si="59"/>
        <v>72</v>
      </c>
      <c r="Z110" s="366">
        <f t="shared" si="59"/>
        <v>73</v>
      </c>
      <c r="AA110" s="123">
        <f t="shared" si="59"/>
        <v>72.38979013</v>
      </c>
      <c r="AB110" s="123">
        <f t="shared" si="59"/>
        <v>71.600489</v>
      </c>
      <c r="AC110" s="123">
        <f t="shared" si="59"/>
        <v>70.59679131</v>
      </c>
      <c r="AD110" s="123">
        <f t="shared" si="59"/>
        <v>69.97390002</v>
      </c>
      <c r="AE110" s="123">
        <f t="shared" si="59"/>
        <v>67.61958762</v>
      </c>
      <c r="AF110" s="123">
        <f t="shared" si="59"/>
        <v>67.60282768</v>
      </c>
      <c r="AG110" s="123">
        <f t="shared" si="59"/>
        <v>62.66209419</v>
      </c>
      <c r="AH110" s="123">
        <f t="shared" si="59"/>
        <v>60.78568306</v>
      </c>
      <c r="AI110" s="123">
        <f t="shared" si="59"/>
        <v>58.968746</v>
      </c>
      <c r="AJ110" s="123">
        <f t="shared" si="59"/>
        <v>55.37352338</v>
      </c>
      <c r="AK110" s="123">
        <f t="shared" si="59"/>
        <v>48.63994437</v>
      </c>
      <c r="AL110" s="123">
        <f t="shared" si="59"/>
        <v>46.03567639</v>
      </c>
      <c r="AM110" s="123">
        <f t="shared" si="59"/>
        <v>45.60751404</v>
      </c>
      <c r="AN110" s="123">
        <f t="shared" si="59"/>
        <v>43.05209674</v>
      </c>
      <c r="AO110" s="123">
        <f t="shared" si="59"/>
        <v>40.53313134</v>
      </c>
      <c r="AP110" s="123">
        <f t="shared" si="59"/>
        <v>38.88088871</v>
      </c>
      <c r="AQ110" s="123">
        <f t="shared" si="59"/>
        <v>38.27879674</v>
      </c>
      <c r="AR110" s="123">
        <f t="shared" si="59"/>
        <v>38.72733655</v>
      </c>
      <c r="AS110" s="123">
        <f t="shared" si="59"/>
        <v>40.21069653</v>
      </c>
      <c r="AT110" s="123">
        <f t="shared" si="59"/>
        <v>41.7454899</v>
      </c>
      <c r="AU110" s="123">
        <f t="shared" si="59"/>
        <v>44.33221179</v>
      </c>
      <c r="AV110" s="123">
        <f t="shared" si="59"/>
        <v>46.97136276</v>
      </c>
      <c r="AW110" s="123">
        <f t="shared" si="59"/>
        <v>50.66344894</v>
      </c>
      <c r="AX110" s="123">
        <f t="shared" si="59"/>
        <v>54.40898203</v>
      </c>
      <c r="AY110" s="123">
        <f t="shared" si="59"/>
        <v>58.2084794</v>
      </c>
      <c r="AZ110" s="123">
        <f t="shared" si="59"/>
        <v>63.04469551</v>
      </c>
      <c r="BA110" s="123">
        <f t="shared" si="59"/>
        <v>67.95112215</v>
      </c>
      <c r="BB110" s="123">
        <f t="shared" si="59"/>
        <v>72.9116515</v>
      </c>
      <c r="BC110" s="123">
        <f t="shared" si="59"/>
        <v>77.92678951</v>
      </c>
      <c r="BD110" s="123">
        <f t="shared" si="59"/>
        <v>82.99704746</v>
      </c>
      <c r="BE110" s="123">
        <f t="shared" si="59"/>
        <v>88.12294206</v>
      </c>
      <c r="BF110" s="123">
        <f t="shared" si="59"/>
        <v>93.3049955</v>
      </c>
      <c r="BG110" s="123">
        <f t="shared" si="59"/>
        <v>98.54373552</v>
      </c>
      <c r="BH110" s="123">
        <f t="shared" si="59"/>
        <v>103.8396954</v>
      </c>
      <c r="BI110" s="123">
        <f t="shared" si="59"/>
        <v>109.1934143</v>
      </c>
      <c r="BJ110" s="123">
        <f t="shared" si="59"/>
        <v>113.6054368</v>
      </c>
      <c r="BK110" s="123">
        <f t="shared" si="59"/>
        <v>118.0763134</v>
      </c>
      <c r="BL110" s="123">
        <f t="shared" si="59"/>
        <v>122.491837</v>
      </c>
      <c r="BM110" s="123">
        <f t="shared" si="59"/>
        <v>126.7027863</v>
      </c>
      <c r="BN110" s="123">
        <f t="shared" si="59"/>
        <v>130.7014982</v>
      </c>
      <c r="BO110" s="123">
        <f t="shared" si="59"/>
        <v>133.7646418</v>
      </c>
      <c r="BP110" s="123">
        <f t="shared" si="59"/>
        <v>136.8931422</v>
      </c>
      <c r="BQ110" s="123">
        <f t="shared" si="59"/>
        <v>140.0879448</v>
      </c>
      <c r="BR110" s="123">
        <f t="shared" si="59"/>
        <v>143.3500153</v>
      </c>
      <c r="BS110" s="123">
        <f t="shared" si="59"/>
        <v>146.6803406</v>
      </c>
      <c r="BT110" s="123">
        <f t="shared" si="59"/>
        <v>149.0799293</v>
      </c>
      <c r="BU110" s="123">
        <f t="shared" si="59"/>
        <v>151.5498123</v>
      </c>
      <c r="BV110" s="123">
        <f t="shared" si="59"/>
        <v>154.0910434</v>
      </c>
      <c r="BW110" s="123">
        <f t="shared" si="59"/>
        <v>156.7046998</v>
      </c>
      <c r="BX110" s="123">
        <f t="shared" si="59"/>
        <v>159.4519305</v>
      </c>
      <c r="BY110" s="123">
        <f t="shared" si="59"/>
        <v>161.8606106</v>
      </c>
      <c r="BZ110" s="123">
        <f t="shared" si="59"/>
        <v>163.0158364</v>
      </c>
      <c r="CA110" s="123">
        <f t="shared" si="59"/>
        <v>164.2043854</v>
      </c>
      <c r="CB110" s="123">
        <f t="shared" si="59"/>
        <v>165.4271509</v>
      </c>
      <c r="CC110" s="123">
        <f t="shared" si="59"/>
        <v>166.6850199</v>
      </c>
      <c r="CD110" s="123">
        <f t="shared" si="59"/>
        <v>167.9788733</v>
      </c>
      <c r="CE110" s="123">
        <f t="shared" si="59"/>
        <v>169.3095864</v>
      </c>
      <c r="CF110" s="123">
        <f t="shared" si="59"/>
        <v>170.678029</v>
      </c>
      <c r="CG110" s="123">
        <f t="shared" si="59"/>
        <v>172.085066</v>
      </c>
      <c r="CH110" s="123">
        <f t="shared" si="59"/>
        <v>173.5315577</v>
      </c>
      <c r="CI110" s="1"/>
      <c r="CJ110" s="1"/>
      <c r="CK110" s="1"/>
      <c r="CL110" s="1"/>
      <c r="CM110" s="1"/>
      <c r="CN110" s="1"/>
      <c r="CO110" s="1"/>
      <c r="CP110" s="1"/>
    </row>
    <row r="111" ht="15.75" customHeight="1">
      <c r="A111" s="1" t="s">
        <v>85</v>
      </c>
      <c r="B111" s="368"/>
      <c r="C111" s="368">
        <v>50.0</v>
      </c>
      <c r="D111" s="368">
        <f t="shared" ref="D111:CH111" si="60">C127</f>
        <v>51</v>
      </c>
      <c r="E111" s="368">
        <f t="shared" si="60"/>
        <v>52</v>
      </c>
      <c r="F111" s="368">
        <f t="shared" si="60"/>
        <v>53</v>
      </c>
      <c r="G111" s="368">
        <f t="shared" si="60"/>
        <v>54</v>
      </c>
      <c r="H111" s="368">
        <f t="shared" si="60"/>
        <v>55</v>
      </c>
      <c r="I111" s="368">
        <f t="shared" si="60"/>
        <v>56</v>
      </c>
      <c r="J111" s="368">
        <f t="shared" si="60"/>
        <v>57</v>
      </c>
      <c r="K111" s="368">
        <f t="shared" si="60"/>
        <v>58</v>
      </c>
      <c r="L111" s="368">
        <f t="shared" si="60"/>
        <v>59</v>
      </c>
      <c r="M111" s="368">
        <f t="shared" si="60"/>
        <v>60</v>
      </c>
      <c r="N111" s="368">
        <f t="shared" si="60"/>
        <v>61</v>
      </c>
      <c r="O111" s="368">
        <f t="shared" si="60"/>
        <v>62</v>
      </c>
      <c r="P111" s="368">
        <f t="shared" si="60"/>
        <v>63</v>
      </c>
      <c r="Q111" s="368">
        <f t="shared" si="60"/>
        <v>64</v>
      </c>
      <c r="R111" s="368">
        <f t="shared" si="60"/>
        <v>65</v>
      </c>
      <c r="S111" s="368">
        <f t="shared" si="60"/>
        <v>66</v>
      </c>
      <c r="T111" s="368">
        <f t="shared" si="60"/>
        <v>67</v>
      </c>
      <c r="U111" s="368">
        <f t="shared" si="60"/>
        <v>68</v>
      </c>
      <c r="V111" s="368">
        <f t="shared" si="60"/>
        <v>69</v>
      </c>
      <c r="W111" s="368">
        <f t="shared" si="60"/>
        <v>70</v>
      </c>
      <c r="X111" s="368">
        <f t="shared" si="60"/>
        <v>71</v>
      </c>
      <c r="Y111" s="368">
        <f t="shared" si="60"/>
        <v>72</v>
      </c>
      <c r="Z111" s="366">
        <f t="shared" si="60"/>
        <v>73</v>
      </c>
      <c r="AA111" s="123">
        <f t="shared" si="60"/>
        <v>76.34762409</v>
      </c>
      <c r="AB111" s="123">
        <f t="shared" si="60"/>
        <v>79.6541221</v>
      </c>
      <c r="AC111" s="123">
        <f t="shared" si="60"/>
        <v>82.83254532</v>
      </c>
      <c r="AD111" s="123">
        <f t="shared" si="60"/>
        <v>83.49343905</v>
      </c>
      <c r="AE111" s="123">
        <f t="shared" si="60"/>
        <v>84.53354831</v>
      </c>
      <c r="AF111" s="123">
        <f t="shared" si="60"/>
        <v>83.80383645</v>
      </c>
      <c r="AG111" s="123">
        <f t="shared" si="60"/>
        <v>82.97859</v>
      </c>
      <c r="AH111" s="123">
        <f t="shared" si="60"/>
        <v>75.31979639</v>
      </c>
      <c r="AI111" s="123">
        <f t="shared" si="60"/>
        <v>74.72455508</v>
      </c>
      <c r="AJ111" s="123">
        <f t="shared" si="60"/>
        <v>74.25765277</v>
      </c>
      <c r="AK111" s="123">
        <f t="shared" si="60"/>
        <v>66.69401078</v>
      </c>
      <c r="AL111" s="123">
        <f t="shared" si="60"/>
        <v>60.26775386</v>
      </c>
      <c r="AM111" s="123">
        <f t="shared" si="60"/>
        <v>55.02859845</v>
      </c>
      <c r="AN111" s="123">
        <f t="shared" si="60"/>
        <v>50.59007234</v>
      </c>
      <c r="AO111" s="123">
        <f t="shared" si="60"/>
        <v>46.2322175</v>
      </c>
      <c r="AP111" s="123">
        <f t="shared" si="60"/>
        <v>42.74494169</v>
      </c>
      <c r="AQ111" s="123">
        <f t="shared" si="60"/>
        <v>40.30979099</v>
      </c>
      <c r="AR111" s="123">
        <f t="shared" si="60"/>
        <v>38.92727078</v>
      </c>
      <c r="AS111" s="123">
        <f t="shared" si="60"/>
        <v>38.58057638</v>
      </c>
      <c r="AT111" s="123">
        <f t="shared" si="60"/>
        <v>39.28735247</v>
      </c>
      <c r="AU111" s="123">
        <f t="shared" si="60"/>
        <v>40.04811922</v>
      </c>
      <c r="AV111" s="123">
        <f t="shared" si="60"/>
        <v>41.86340257</v>
      </c>
      <c r="AW111" s="123">
        <f t="shared" si="60"/>
        <v>43.73373429</v>
      </c>
      <c r="AX111" s="123">
        <f t="shared" si="60"/>
        <v>46.65965209</v>
      </c>
      <c r="AY111" s="123">
        <f t="shared" si="60"/>
        <v>50.64169964</v>
      </c>
      <c r="AZ111" s="123">
        <f t="shared" si="60"/>
        <v>54.66154861</v>
      </c>
      <c r="BA111" s="123">
        <f t="shared" si="60"/>
        <v>59.75355983</v>
      </c>
      <c r="BB111" s="123">
        <f t="shared" si="60"/>
        <v>64.90182366</v>
      </c>
      <c r="BC111" s="123">
        <f t="shared" si="60"/>
        <v>70.10687149</v>
      </c>
      <c r="BD111" s="123">
        <f t="shared" si="60"/>
        <v>75.36924035</v>
      </c>
      <c r="BE111" s="123">
        <f t="shared" si="60"/>
        <v>80.68947302</v>
      </c>
      <c r="BF111" s="123">
        <f t="shared" si="60"/>
        <v>86.06811805</v>
      </c>
      <c r="BG111" s="123">
        <f t="shared" si="60"/>
        <v>91.50572987</v>
      </c>
      <c r="BH111" s="123">
        <f t="shared" si="60"/>
        <v>97.00286881</v>
      </c>
      <c r="BI111" s="123">
        <f t="shared" si="60"/>
        <v>102.5601012</v>
      </c>
      <c r="BJ111" s="123">
        <f t="shared" si="60"/>
        <v>108.1779994</v>
      </c>
      <c r="BK111" s="123">
        <f t="shared" si="60"/>
        <v>112.8571421</v>
      </c>
      <c r="BL111" s="123">
        <f t="shared" si="60"/>
        <v>117.4761843</v>
      </c>
      <c r="BM111" s="123">
        <f t="shared" si="60"/>
        <v>121.8908539</v>
      </c>
      <c r="BN111" s="123">
        <f t="shared" si="60"/>
        <v>126.0788015</v>
      </c>
      <c r="BO111" s="123">
        <f t="shared" si="60"/>
        <v>130.3339651</v>
      </c>
      <c r="BP111" s="123">
        <f t="shared" si="60"/>
        <v>133.6573213</v>
      </c>
      <c r="BQ111" s="123">
        <f t="shared" si="60"/>
        <v>137.0498684</v>
      </c>
      <c r="BR111" s="123">
        <f t="shared" si="60"/>
        <v>140.512626</v>
      </c>
      <c r="BS111" s="123">
        <f t="shared" si="60"/>
        <v>144.0466365</v>
      </c>
      <c r="BT111" s="123">
        <f t="shared" si="60"/>
        <v>147.652965</v>
      </c>
      <c r="BU111" s="123">
        <f t="shared" si="60"/>
        <v>150.3327006</v>
      </c>
      <c r="BV111" s="123">
        <f t="shared" si="60"/>
        <v>153.0869563</v>
      </c>
      <c r="BW111" s="123">
        <f t="shared" si="60"/>
        <v>155.9168704</v>
      </c>
      <c r="BX111" s="123">
        <f t="shared" si="60"/>
        <v>158.8874032</v>
      </c>
      <c r="BY111" s="123">
        <f t="shared" si="60"/>
        <v>161.5242895</v>
      </c>
      <c r="BZ111" s="123">
        <f t="shared" si="60"/>
        <v>162.890724</v>
      </c>
      <c r="CA111" s="123">
        <f t="shared" si="60"/>
        <v>164.2913847</v>
      </c>
      <c r="CB111" s="123">
        <f t="shared" si="60"/>
        <v>165.7272147</v>
      </c>
      <c r="CC111" s="123">
        <f t="shared" si="60"/>
        <v>167.1991504</v>
      </c>
      <c r="CD111" s="123">
        <f t="shared" si="60"/>
        <v>168.7081218</v>
      </c>
      <c r="CE111" s="123">
        <f t="shared" si="60"/>
        <v>170.2550528</v>
      </c>
      <c r="CF111" s="123">
        <f t="shared" si="60"/>
        <v>171.8408616</v>
      </c>
      <c r="CG111" s="123">
        <f t="shared" si="60"/>
        <v>173.4664611</v>
      </c>
      <c r="CH111" s="123">
        <f t="shared" si="60"/>
        <v>175.1327591</v>
      </c>
      <c r="CI111" s="1"/>
      <c r="CJ111" s="1"/>
      <c r="CK111" s="1"/>
      <c r="CL111" s="1"/>
      <c r="CM111" s="1"/>
      <c r="CN111" s="1"/>
      <c r="CO111" s="1"/>
      <c r="CP111" s="1"/>
    </row>
    <row r="112" ht="15.75" customHeight="1">
      <c r="A112" s="1" t="s">
        <v>130</v>
      </c>
      <c r="B112" s="368"/>
      <c r="C112" s="368">
        <v>50.0</v>
      </c>
      <c r="D112" s="368">
        <f t="shared" ref="D112:CH112" si="61">C128</f>
        <v>51</v>
      </c>
      <c r="E112" s="368">
        <f t="shared" si="61"/>
        <v>52</v>
      </c>
      <c r="F112" s="368">
        <f t="shared" si="61"/>
        <v>53</v>
      </c>
      <c r="G112" s="368">
        <f t="shared" si="61"/>
        <v>54</v>
      </c>
      <c r="H112" s="368">
        <f t="shared" si="61"/>
        <v>55</v>
      </c>
      <c r="I112" s="368">
        <f t="shared" si="61"/>
        <v>56</v>
      </c>
      <c r="J112" s="368">
        <f t="shared" si="61"/>
        <v>57</v>
      </c>
      <c r="K112" s="368">
        <f t="shared" si="61"/>
        <v>58</v>
      </c>
      <c r="L112" s="368">
        <f t="shared" si="61"/>
        <v>59</v>
      </c>
      <c r="M112" s="368">
        <f t="shared" si="61"/>
        <v>60</v>
      </c>
      <c r="N112" s="368">
        <f t="shared" si="61"/>
        <v>61</v>
      </c>
      <c r="O112" s="368">
        <f t="shared" si="61"/>
        <v>62</v>
      </c>
      <c r="P112" s="368">
        <f t="shared" si="61"/>
        <v>63</v>
      </c>
      <c r="Q112" s="368">
        <f t="shared" si="61"/>
        <v>64</v>
      </c>
      <c r="R112" s="368">
        <f t="shared" si="61"/>
        <v>65</v>
      </c>
      <c r="S112" s="368">
        <f t="shared" si="61"/>
        <v>66</v>
      </c>
      <c r="T112" s="368">
        <f t="shared" si="61"/>
        <v>67</v>
      </c>
      <c r="U112" s="368">
        <f t="shared" si="61"/>
        <v>68</v>
      </c>
      <c r="V112" s="368">
        <f t="shared" si="61"/>
        <v>69</v>
      </c>
      <c r="W112" s="368">
        <f t="shared" si="61"/>
        <v>70</v>
      </c>
      <c r="X112" s="368">
        <f t="shared" si="61"/>
        <v>71</v>
      </c>
      <c r="Y112" s="368">
        <f t="shared" si="61"/>
        <v>72</v>
      </c>
      <c r="Z112" s="366">
        <f t="shared" si="61"/>
        <v>73</v>
      </c>
      <c r="AA112" s="123">
        <f t="shared" si="61"/>
        <v>71.25978892</v>
      </c>
      <c r="AB112" s="123">
        <f t="shared" si="61"/>
        <v>70.39267079</v>
      </c>
      <c r="AC112" s="123">
        <f t="shared" si="61"/>
        <v>69.09971088</v>
      </c>
      <c r="AD112" s="123">
        <f t="shared" si="61"/>
        <v>66.97065589</v>
      </c>
      <c r="AE112" s="123">
        <f t="shared" si="61"/>
        <v>64.97042803</v>
      </c>
      <c r="AF112" s="123">
        <f t="shared" si="61"/>
        <v>62.015221</v>
      </c>
      <c r="AG112" s="123">
        <f t="shared" si="61"/>
        <v>54.06073451</v>
      </c>
      <c r="AH112" s="123">
        <f t="shared" si="61"/>
        <v>49.12891124</v>
      </c>
      <c r="AI112" s="123">
        <f t="shared" si="61"/>
        <v>45.21804296</v>
      </c>
      <c r="AJ112" s="123">
        <f t="shared" si="61"/>
        <v>40.38529316</v>
      </c>
      <c r="AK112" s="123">
        <f t="shared" si="61"/>
        <v>35.13241264</v>
      </c>
      <c r="AL112" s="123">
        <f t="shared" si="61"/>
        <v>25.91796826</v>
      </c>
      <c r="AM112" s="123">
        <f t="shared" si="61"/>
        <v>19.75586918</v>
      </c>
      <c r="AN112" s="123">
        <f t="shared" si="61"/>
        <v>15.2712301</v>
      </c>
      <c r="AO112" s="123">
        <f t="shared" si="61"/>
        <v>10.50755498</v>
      </c>
      <c r="AP112" s="123">
        <f t="shared" si="61"/>
        <v>6.588488332</v>
      </c>
      <c r="AQ112" s="123">
        <f t="shared" si="61"/>
        <v>3.695271964</v>
      </c>
      <c r="AR112" s="123">
        <f t="shared" si="61"/>
        <v>1.828103264</v>
      </c>
      <c r="AS112" s="123">
        <f t="shared" si="61"/>
        <v>1.977588372</v>
      </c>
      <c r="AT112" s="123">
        <f t="shared" si="61"/>
        <v>2.153417531</v>
      </c>
      <c r="AU112" s="123">
        <f t="shared" si="61"/>
        <v>3.355792494</v>
      </c>
      <c r="AV112" s="123">
        <f t="shared" si="61"/>
        <v>4.584916898</v>
      </c>
      <c r="AW112" s="123">
        <f t="shared" si="61"/>
        <v>6.840996291</v>
      </c>
      <c r="AX112" s="123">
        <f t="shared" si="61"/>
        <v>9.124238147</v>
      </c>
      <c r="AY112" s="123">
        <f t="shared" si="61"/>
        <v>12.43485189</v>
      </c>
      <c r="AZ112" s="123">
        <f t="shared" si="61"/>
        <v>15.76781958</v>
      </c>
      <c r="BA112" s="123">
        <f t="shared" si="61"/>
        <v>20.14466093</v>
      </c>
      <c r="BB112" s="123">
        <f t="shared" si="61"/>
        <v>24.54914615</v>
      </c>
      <c r="BC112" s="123">
        <f t="shared" si="61"/>
        <v>28.98148274</v>
      </c>
      <c r="BD112" s="123">
        <f t="shared" si="61"/>
        <v>33.4418801</v>
      </c>
      <c r="BE112" s="123">
        <f t="shared" si="61"/>
        <v>37.93054947</v>
      </c>
      <c r="BF112" s="123">
        <f t="shared" si="61"/>
        <v>42.44770402</v>
      </c>
      <c r="BG112" s="123">
        <f t="shared" si="61"/>
        <v>46.99355887</v>
      </c>
      <c r="BH112" s="123">
        <f t="shared" si="61"/>
        <v>51.56833105</v>
      </c>
      <c r="BI112" s="123">
        <f t="shared" si="61"/>
        <v>56.17223958</v>
      </c>
      <c r="BJ112" s="123">
        <f t="shared" si="61"/>
        <v>60.80550548</v>
      </c>
      <c r="BK112" s="123">
        <f t="shared" si="61"/>
        <v>64.46835175</v>
      </c>
      <c r="BL112" s="123">
        <f t="shared" si="61"/>
        <v>68.09482389</v>
      </c>
      <c r="BM112" s="123">
        <f t="shared" si="61"/>
        <v>71.5062263</v>
      </c>
      <c r="BN112" s="123">
        <f t="shared" si="61"/>
        <v>74.87072874</v>
      </c>
      <c r="BO112" s="123">
        <f t="shared" si="61"/>
        <v>78.26522938</v>
      </c>
      <c r="BP112" s="123">
        <f t="shared" si="61"/>
        <v>80.69004571</v>
      </c>
      <c r="BQ112" s="123">
        <f t="shared" si="61"/>
        <v>83.14550108</v>
      </c>
      <c r="BR112" s="123">
        <f t="shared" si="61"/>
        <v>85.63192483</v>
      </c>
      <c r="BS112" s="123">
        <f t="shared" si="61"/>
        <v>88.1496525</v>
      </c>
      <c r="BT112" s="123">
        <f t="shared" si="61"/>
        <v>90.69902591</v>
      </c>
      <c r="BU112" s="123">
        <f t="shared" si="61"/>
        <v>92.28039344</v>
      </c>
      <c r="BV112" s="123">
        <f t="shared" si="61"/>
        <v>93.89411008</v>
      </c>
      <c r="BW112" s="123">
        <f t="shared" si="61"/>
        <v>95.54053773</v>
      </c>
      <c r="BX112" s="123">
        <f t="shared" si="61"/>
        <v>97.23672191</v>
      </c>
      <c r="BY112" s="123">
        <f t="shared" si="61"/>
        <v>98.58442384</v>
      </c>
      <c r="BZ112" s="123">
        <f t="shared" si="61"/>
        <v>99.87318568</v>
      </c>
      <c r="CA112" s="123">
        <f t="shared" si="61"/>
        <v>101.1827101</v>
      </c>
      <c r="CB112" s="123">
        <f t="shared" si="61"/>
        <v>102.5133027</v>
      </c>
      <c r="CC112" s="123">
        <f t="shared" si="61"/>
        <v>102.8652677</v>
      </c>
      <c r="CD112" s="123">
        <f t="shared" si="61"/>
        <v>103.2389079</v>
      </c>
      <c r="CE112" s="123">
        <f t="shared" si="61"/>
        <v>103.6345246</v>
      </c>
      <c r="CF112" s="123">
        <f t="shared" si="61"/>
        <v>104.0524183</v>
      </c>
      <c r="CG112" s="123">
        <f t="shared" si="61"/>
        <v>104.4928881</v>
      </c>
      <c r="CH112" s="123">
        <f t="shared" si="61"/>
        <v>104.9562321</v>
      </c>
      <c r="CI112" s="1"/>
      <c r="CJ112" s="1"/>
      <c r="CK112" s="1"/>
      <c r="CL112" s="1"/>
      <c r="CM112" s="1"/>
      <c r="CN112" s="1"/>
      <c r="CO112" s="1"/>
      <c r="CP112" s="1"/>
    </row>
    <row r="113" ht="15.75" customHeight="1">
      <c r="A113" s="1" t="s">
        <v>89</v>
      </c>
      <c r="B113" s="368"/>
      <c r="C113" s="368">
        <v>50.0</v>
      </c>
      <c r="D113" s="368">
        <f t="shared" ref="D113:CH113" si="62">C129</f>
        <v>51</v>
      </c>
      <c r="E113" s="368">
        <f t="shared" si="62"/>
        <v>52</v>
      </c>
      <c r="F113" s="368">
        <f t="shared" si="62"/>
        <v>53</v>
      </c>
      <c r="G113" s="368">
        <f t="shared" si="62"/>
        <v>54</v>
      </c>
      <c r="H113" s="368">
        <f t="shared" si="62"/>
        <v>55</v>
      </c>
      <c r="I113" s="368">
        <f t="shared" si="62"/>
        <v>56</v>
      </c>
      <c r="J113" s="368">
        <f t="shared" si="62"/>
        <v>57</v>
      </c>
      <c r="K113" s="368">
        <f t="shared" si="62"/>
        <v>58</v>
      </c>
      <c r="L113" s="368">
        <f t="shared" si="62"/>
        <v>59</v>
      </c>
      <c r="M113" s="368">
        <f t="shared" si="62"/>
        <v>60</v>
      </c>
      <c r="N113" s="368">
        <f t="shared" si="62"/>
        <v>61</v>
      </c>
      <c r="O113" s="368">
        <f t="shared" si="62"/>
        <v>62</v>
      </c>
      <c r="P113" s="368">
        <f t="shared" si="62"/>
        <v>63</v>
      </c>
      <c r="Q113" s="368">
        <f t="shared" si="62"/>
        <v>64</v>
      </c>
      <c r="R113" s="368">
        <f t="shared" si="62"/>
        <v>65</v>
      </c>
      <c r="S113" s="368">
        <f t="shared" si="62"/>
        <v>66</v>
      </c>
      <c r="T113" s="368">
        <f t="shared" si="62"/>
        <v>67</v>
      </c>
      <c r="U113" s="368">
        <f t="shared" si="62"/>
        <v>68</v>
      </c>
      <c r="V113" s="368">
        <f t="shared" si="62"/>
        <v>69</v>
      </c>
      <c r="W113" s="368">
        <f t="shared" si="62"/>
        <v>70</v>
      </c>
      <c r="X113" s="368">
        <f t="shared" si="62"/>
        <v>71</v>
      </c>
      <c r="Y113" s="368">
        <f t="shared" si="62"/>
        <v>72</v>
      </c>
      <c r="Z113" s="366">
        <f t="shared" si="62"/>
        <v>73</v>
      </c>
      <c r="AA113" s="123">
        <f t="shared" si="62"/>
        <v>31.75418793</v>
      </c>
      <c r="AB113" s="123">
        <f t="shared" si="62"/>
        <v>-24.86404331</v>
      </c>
      <c r="AC113" s="123">
        <f t="shared" si="62"/>
        <v>-64.66311077</v>
      </c>
      <c r="AD113" s="123">
        <f t="shared" si="62"/>
        <v>-73.97483427</v>
      </c>
      <c r="AE113" s="123">
        <f t="shared" si="62"/>
        <v>-54.90351178</v>
      </c>
      <c r="AF113" s="123">
        <f t="shared" si="62"/>
        <v>-22.24085808</v>
      </c>
      <c r="AG113" s="123">
        <f t="shared" si="62"/>
        <v>12.39722716</v>
      </c>
      <c r="AH113" s="123">
        <f t="shared" si="62"/>
        <v>40.09092165</v>
      </c>
      <c r="AI113" s="123">
        <f t="shared" si="62"/>
        <v>55.83603386</v>
      </c>
      <c r="AJ113" s="123">
        <f t="shared" si="62"/>
        <v>58.77282707</v>
      </c>
      <c r="AK113" s="123">
        <f t="shared" si="62"/>
        <v>54.83277635</v>
      </c>
      <c r="AL113" s="123">
        <f t="shared" si="62"/>
        <v>45.05305537</v>
      </c>
      <c r="AM113" s="123">
        <f t="shared" si="62"/>
        <v>34.4916837</v>
      </c>
      <c r="AN113" s="123">
        <f t="shared" si="62"/>
        <v>25.41534676</v>
      </c>
      <c r="AO113" s="123">
        <f t="shared" si="62"/>
        <v>15.48335408</v>
      </c>
      <c r="AP113" s="123">
        <f t="shared" si="62"/>
        <v>9.426537543</v>
      </c>
      <c r="AQ113" s="123">
        <f t="shared" si="62"/>
        <v>7.426497116</v>
      </c>
      <c r="AR113" s="123">
        <f t="shared" si="62"/>
        <v>8.483792686</v>
      </c>
      <c r="AS113" s="123">
        <f t="shared" si="62"/>
        <v>11.56012881</v>
      </c>
      <c r="AT113" s="123">
        <f t="shared" si="62"/>
        <v>15.69451855</v>
      </c>
      <c r="AU113" s="123">
        <f t="shared" si="62"/>
        <v>20.88753587</v>
      </c>
      <c r="AV113" s="123">
        <f t="shared" si="62"/>
        <v>26.13976116</v>
      </c>
      <c r="AW113" s="123">
        <f t="shared" si="62"/>
        <v>30.45178131</v>
      </c>
      <c r="AX113" s="123">
        <f t="shared" si="62"/>
        <v>33.82418983</v>
      </c>
      <c r="AY113" s="123">
        <f t="shared" si="62"/>
        <v>35.25758684</v>
      </c>
      <c r="AZ113" s="123">
        <f t="shared" si="62"/>
        <v>35.63017464</v>
      </c>
      <c r="BA113" s="123">
        <f t="shared" si="62"/>
        <v>35.07863847</v>
      </c>
      <c r="BB113" s="123">
        <f t="shared" si="62"/>
        <v>33.58711072</v>
      </c>
      <c r="BC113" s="123">
        <f t="shared" si="62"/>
        <v>31.15616529</v>
      </c>
      <c r="BD113" s="123">
        <f t="shared" si="62"/>
        <v>28.78638224</v>
      </c>
      <c r="BE113" s="123">
        <f t="shared" si="62"/>
        <v>26.47834786</v>
      </c>
      <c r="BF113" s="123">
        <f t="shared" si="62"/>
        <v>25.23265474</v>
      </c>
      <c r="BG113" s="123">
        <f t="shared" si="62"/>
        <v>25.04990185</v>
      </c>
      <c r="BH113" s="123">
        <f t="shared" si="62"/>
        <v>24.93069459</v>
      </c>
      <c r="BI113" s="123">
        <f t="shared" si="62"/>
        <v>25.8756449</v>
      </c>
      <c r="BJ113" s="123">
        <f t="shared" si="62"/>
        <v>26.88537129</v>
      </c>
      <c r="BK113" s="123">
        <f t="shared" si="62"/>
        <v>27.96049895</v>
      </c>
      <c r="BL113" s="123">
        <f t="shared" si="62"/>
        <v>28.84007353</v>
      </c>
      <c r="BM113" s="123">
        <f t="shared" si="62"/>
        <v>29.38991573</v>
      </c>
      <c r="BN113" s="123">
        <f t="shared" si="62"/>
        <v>29.70494256</v>
      </c>
      <c r="BO113" s="123">
        <f t="shared" si="62"/>
        <v>29.08886037</v>
      </c>
      <c r="BP113" s="123">
        <f t="shared" si="62"/>
        <v>28.54267569</v>
      </c>
      <c r="BQ113" s="123">
        <f t="shared" si="62"/>
        <v>28.06741693</v>
      </c>
      <c r="BR113" s="123">
        <f t="shared" si="62"/>
        <v>27.66413502</v>
      </c>
      <c r="BS113" s="123">
        <f t="shared" si="62"/>
        <v>27.33390399</v>
      </c>
      <c r="BT113" s="123">
        <f t="shared" si="62"/>
        <v>27.07782165</v>
      </c>
      <c r="BU113" s="123">
        <f t="shared" si="62"/>
        <v>27.89701022</v>
      </c>
      <c r="BV113" s="123">
        <f t="shared" si="62"/>
        <v>28.79261701</v>
      </c>
      <c r="BW113" s="123">
        <f t="shared" si="62"/>
        <v>29.76581516</v>
      </c>
      <c r="BX113" s="123">
        <f t="shared" si="62"/>
        <v>30.88372163</v>
      </c>
      <c r="BY113" s="123">
        <f t="shared" si="62"/>
        <v>31.66864936</v>
      </c>
      <c r="BZ113" s="123">
        <f t="shared" si="62"/>
        <v>32.17360545</v>
      </c>
      <c r="CA113" s="123">
        <f t="shared" si="62"/>
        <v>31.71339363</v>
      </c>
      <c r="CB113" s="123">
        <f t="shared" si="62"/>
        <v>31.28898581</v>
      </c>
      <c r="CC113" s="123">
        <f t="shared" si="62"/>
        <v>30.90134684</v>
      </c>
      <c r="CD113" s="123">
        <f t="shared" si="62"/>
        <v>30.55143493</v>
      </c>
      <c r="CE113" s="123">
        <f t="shared" si="62"/>
        <v>30.24020201</v>
      </c>
      <c r="CF113" s="123">
        <f t="shared" si="62"/>
        <v>29.96859409</v>
      </c>
      <c r="CG113" s="123">
        <f t="shared" si="62"/>
        <v>29.73755163</v>
      </c>
      <c r="CH113" s="123">
        <f t="shared" si="62"/>
        <v>29.54800989</v>
      </c>
      <c r="CI113" s="1"/>
      <c r="CJ113" s="1"/>
      <c r="CK113" s="1"/>
      <c r="CL113" s="1"/>
      <c r="CM113" s="1"/>
      <c r="CN113" s="1"/>
      <c r="CO113" s="1"/>
      <c r="CP113" s="1"/>
    </row>
    <row r="114" ht="15.75" customHeight="1">
      <c r="A114" s="1" t="s">
        <v>94</v>
      </c>
      <c r="B114" s="368"/>
      <c r="C114" s="368">
        <v>50.0</v>
      </c>
      <c r="D114" s="368">
        <f t="shared" ref="D114:CH114" si="63">C130</f>
        <v>51</v>
      </c>
      <c r="E114" s="368">
        <f t="shared" si="63"/>
        <v>52</v>
      </c>
      <c r="F114" s="368">
        <f t="shared" si="63"/>
        <v>53</v>
      </c>
      <c r="G114" s="368">
        <f t="shared" si="63"/>
        <v>54</v>
      </c>
      <c r="H114" s="368">
        <f t="shared" si="63"/>
        <v>55</v>
      </c>
      <c r="I114" s="368">
        <f t="shared" si="63"/>
        <v>56</v>
      </c>
      <c r="J114" s="368">
        <f t="shared" si="63"/>
        <v>57</v>
      </c>
      <c r="K114" s="368">
        <f t="shared" si="63"/>
        <v>58</v>
      </c>
      <c r="L114" s="368">
        <f t="shared" si="63"/>
        <v>59</v>
      </c>
      <c r="M114" s="368">
        <f t="shared" si="63"/>
        <v>60</v>
      </c>
      <c r="N114" s="368">
        <f t="shared" si="63"/>
        <v>61</v>
      </c>
      <c r="O114" s="368">
        <f t="shared" si="63"/>
        <v>62</v>
      </c>
      <c r="P114" s="368">
        <f t="shared" si="63"/>
        <v>63</v>
      </c>
      <c r="Q114" s="368">
        <f t="shared" si="63"/>
        <v>64</v>
      </c>
      <c r="R114" s="368">
        <f t="shared" si="63"/>
        <v>65</v>
      </c>
      <c r="S114" s="368">
        <f t="shared" si="63"/>
        <v>66</v>
      </c>
      <c r="T114" s="368">
        <f t="shared" si="63"/>
        <v>67</v>
      </c>
      <c r="U114" s="368">
        <f t="shared" si="63"/>
        <v>68</v>
      </c>
      <c r="V114" s="368">
        <f t="shared" si="63"/>
        <v>69</v>
      </c>
      <c r="W114" s="368">
        <f t="shared" si="63"/>
        <v>70</v>
      </c>
      <c r="X114" s="368">
        <f t="shared" si="63"/>
        <v>71</v>
      </c>
      <c r="Y114" s="368">
        <f t="shared" si="63"/>
        <v>72</v>
      </c>
      <c r="Z114" s="366">
        <f t="shared" si="63"/>
        <v>73</v>
      </c>
      <c r="AA114" s="123">
        <f t="shared" si="63"/>
        <v>65.89734421</v>
      </c>
      <c r="AB114" s="123">
        <f t="shared" si="63"/>
        <v>50.74955516</v>
      </c>
      <c r="AC114" s="123">
        <f t="shared" si="63"/>
        <v>16.9504877</v>
      </c>
      <c r="AD114" s="123">
        <f t="shared" si="63"/>
        <v>-25.67666668</v>
      </c>
      <c r="AE114" s="123">
        <f t="shared" si="63"/>
        <v>-50.04468295</v>
      </c>
      <c r="AF114" s="123">
        <f t="shared" si="63"/>
        <v>-63.65329461</v>
      </c>
      <c r="AG114" s="123">
        <f t="shared" si="63"/>
        <v>-62.26029949</v>
      </c>
      <c r="AH114" s="123">
        <f t="shared" si="63"/>
        <v>-47.64794342</v>
      </c>
      <c r="AI114" s="123">
        <f t="shared" si="63"/>
        <v>-26.00443426</v>
      </c>
      <c r="AJ114" s="123">
        <f t="shared" si="63"/>
        <v>-0.339966316</v>
      </c>
      <c r="AK114" s="123">
        <f t="shared" si="63"/>
        <v>26.07700087</v>
      </c>
      <c r="AL114" s="123">
        <f t="shared" si="63"/>
        <v>48.66743406</v>
      </c>
      <c r="AM114" s="123">
        <f t="shared" si="63"/>
        <v>65.49410651</v>
      </c>
      <c r="AN114" s="123">
        <f t="shared" si="63"/>
        <v>73.78252362</v>
      </c>
      <c r="AO114" s="123">
        <f t="shared" si="63"/>
        <v>75.74447274</v>
      </c>
      <c r="AP114" s="123">
        <f t="shared" si="63"/>
        <v>71.99030177</v>
      </c>
      <c r="AQ114" s="123">
        <f t="shared" si="63"/>
        <v>64.30693652</v>
      </c>
      <c r="AR114" s="123">
        <f t="shared" si="63"/>
        <v>53.69503853</v>
      </c>
      <c r="AS114" s="123">
        <f t="shared" si="63"/>
        <v>43.11198195</v>
      </c>
      <c r="AT114" s="123">
        <f t="shared" si="63"/>
        <v>33.60126821</v>
      </c>
      <c r="AU114" s="123">
        <f t="shared" si="63"/>
        <v>26.16357505</v>
      </c>
      <c r="AV114" s="123">
        <f t="shared" si="63"/>
        <v>21.79958762</v>
      </c>
      <c r="AW114" s="123">
        <f t="shared" si="63"/>
        <v>20.50999848</v>
      </c>
      <c r="AX114" s="123">
        <f t="shared" si="63"/>
        <v>21.29550771</v>
      </c>
      <c r="AY114" s="123">
        <f t="shared" si="63"/>
        <v>24.15682305</v>
      </c>
      <c r="AZ114" s="123">
        <f t="shared" si="63"/>
        <v>27.95829266</v>
      </c>
      <c r="BA114" s="123">
        <f t="shared" si="63"/>
        <v>32.8601724</v>
      </c>
      <c r="BB114" s="123">
        <f t="shared" si="63"/>
        <v>36.83692456</v>
      </c>
      <c r="BC114" s="123">
        <f t="shared" si="63"/>
        <v>40.88922858</v>
      </c>
      <c r="BD114" s="123">
        <f t="shared" si="63"/>
        <v>44.017771</v>
      </c>
      <c r="BE114" s="123">
        <f t="shared" si="63"/>
        <v>45.22324549</v>
      </c>
      <c r="BF114" s="123">
        <f t="shared" si="63"/>
        <v>45.50635292</v>
      </c>
      <c r="BG114" s="123">
        <f t="shared" si="63"/>
        <v>44.86780149</v>
      </c>
      <c r="BH114" s="123">
        <f t="shared" si="63"/>
        <v>44.30830676</v>
      </c>
      <c r="BI114" s="123">
        <f t="shared" si="63"/>
        <v>42.82859179</v>
      </c>
      <c r="BJ114" s="123">
        <f t="shared" si="63"/>
        <v>41.42938717</v>
      </c>
      <c r="BK114" s="123">
        <f t="shared" si="63"/>
        <v>40.11143112</v>
      </c>
      <c r="BL114" s="123">
        <f t="shared" si="63"/>
        <v>39.58404433</v>
      </c>
      <c r="BM114" s="123">
        <f t="shared" si="63"/>
        <v>38.60460178</v>
      </c>
      <c r="BN114" s="123">
        <f t="shared" si="63"/>
        <v>37.37160614</v>
      </c>
      <c r="BO114" s="123">
        <f t="shared" si="63"/>
        <v>36.22344763</v>
      </c>
      <c r="BP114" s="123">
        <f t="shared" si="63"/>
        <v>36.16128802</v>
      </c>
      <c r="BQ114" s="123">
        <f t="shared" si="63"/>
        <v>36.18631367</v>
      </c>
      <c r="BR114" s="123">
        <f t="shared" si="63"/>
        <v>36.29973622</v>
      </c>
      <c r="BS114" s="123">
        <f t="shared" si="63"/>
        <v>37.5027933</v>
      </c>
      <c r="BT114" s="123">
        <f t="shared" si="63"/>
        <v>38.79674916</v>
      </c>
      <c r="BU114" s="123">
        <f t="shared" si="63"/>
        <v>40.18289551</v>
      </c>
      <c r="BV114" s="123">
        <f t="shared" si="63"/>
        <v>41.66255221</v>
      </c>
      <c r="BW114" s="123">
        <f t="shared" si="63"/>
        <v>42.23706807</v>
      </c>
      <c r="BX114" s="123">
        <f t="shared" si="63"/>
        <v>42.98125814</v>
      </c>
      <c r="BY114" s="123">
        <f t="shared" si="63"/>
        <v>43.1844589</v>
      </c>
      <c r="BZ114" s="123">
        <f t="shared" si="63"/>
        <v>42.08340307</v>
      </c>
      <c r="CA114" s="123">
        <f t="shared" si="63"/>
        <v>42.02884213</v>
      </c>
      <c r="CB114" s="123">
        <f t="shared" si="63"/>
        <v>42.02189728</v>
      </c>
      <c r="CC114" s="123">
        <f t="shared" si="63"/>
        <v>41.06368209</v>
      </c>
      <c r="CD114" s="123">
        <f t="shared" si="63"/>
        <v>41.15530289</v>
      </c>
      <c r="CE114" s="123">
        <f t="shared" si="63"/>
        <v>40.29785922</v>
      </c>
      <c r="CF114" s="123">
        <f t="shared" si="63"/>
        <v>39.49244424</v>
      </c>
      <c r="CG114" s="123">
        <f t="shared" si="63"/>
        <v>39.74014509</v>
      </c>
      <c r="CH114" s="123">
        <f t="shared" si="63"/>
        <v>40.04204334</v>
      </c>
      <c r="CI114" s="1"/>
      <c r="CJ114" s="1"/>
      <c r="CK114" s="1"/>
      <c r="CL114" s="1"/>
      <c r="CM114" s="1"/>
      <c r="CN114" s="1"/>
      <c r="CO114" s="1"/>
      <c r="CP114" s="1"/>
    </row>
    <row r="115" ht="15.75" customHeight="1">
      <c r="A115" s="1" t="s">
        <v>96</v>
      </c>
      <c r="B115" s="368"/>
      <c r="C115" s="368">
        <v>50.0</v>
      </c>
      <c r="D115" s="368">
        <f t="shared" ref="D115:CH115" si="64">C131</f>
        <v>51</v>
      </c>
      <c r="E115" s="368">
        <f t="shared" si="64"/>
        <v>52</v>
      </c>
      <c r="F115" s="368">
        <f t="shared" si="64"/>
        <v>53</v>
      </c>
      <c r="G115" s="368">
        <f t="shared" si="64"/>
        <v>54</v>
      </c>
      <c r="H115" s="368">
        <f t="shared" si="64"/>
        <v>55</v>
      </c>
      <c r="I115" s="368">
        <f t="shared" si="64"/>
        <v>56</v>
      </c>
      <c r="J115" s="368">
        <f t="shared" si="64"/>
        <v>57</v>
      </c>
      <c r="K115" s="368">
        <f t="shared" si="64"/>
        <v>58</v>
      </c>
      <c r="L115" s="368">
        <f t="shared" si="64"/>
        <v>59</v>
      </c>
      <c r="M115" s="368">
        <f t="shared" si="64"/>
        <v>60</v>
      </c>
      <c r="N115" s="368">
        <f t="shared" si="64"/>
        <v>61</v>
      </c>
      <c r="O115" s="368">
        <f t="shared" si="64"/>
        <v>62</v>
      </c>
      <c r="P115" s="368">
        <f t="shared" si="64"/>
        <v>63</v>
      </c>
      <c r="Q115" s="368">
        <f t="shared" si="64"/>
        <v>64</v>
      </c>
      <c r="R115" s="368">
        <f t="shared" si="64"/>
        <v>65</v>
      </c>
      <c r="S115" s="368">
        <f t="shared" si="64"/>
        <v>66</v>
      </c>
      <c r="T115" s="368">
        <f t="shared" si="64"/>
        <v>67</v>
      </c>
      <c r="U115" s="368">
        <f t="shared" si="64"/>
        <v>68</v>
      </c>
      <c r="V115" s="368">
        <f t="shared" si="64"/>
        <v>69</v>
      </c>
      <c r="W115" s="368">
        <f t="shared" si="64"/>
        <v>70</v>
      </c>
      <c r="X115" s="368">
        <f t="shared" si="64"/>
        <v>71</v>
      </c>
      <c r="Y115" s="368">
        <f t="shared" si="64"/>
        <v>72</v>
      </c>
      <c r="Z115" s="366">
        <f t="shared" si="64"/>
        <v>73</v>
      </c>
      <c r="AA115" s="366">
        <f t="shared" si="64"/>
        <v>40</v>
      </c>
      <c r="AB115" s="366">
        <f t="shared" si="64"/>
        <v>25</v>
      </c>
      <c r="AC115" s="366">
        <f t="shared" si="64"/>
        <v>17</v>
      </c>
      <c r="AD115" s="366">
        <f t="shared" si="64"/>
        <v>13</v>
      </c>
      <c r="AE115" s="366">
        <f t="shared" si="64"/>
        <v>11</v>
      </c>
      <c r="AF115" s="366">
        <f t="shared" si="64"/>
        <v>10</v>
      </c>
      <c r="AG115" s="366">
        <f t="shared" si="64"/>
        <v>10</v>
      </c>
      <c r="AH115" s="366">
        <f t="shared" si="64"/>
        <v>10</v>
      </c>
      <c r="AI115" s="366">
        <f t="shared" si="64"/>
        <v>10</v>
      </c>
      <c r="AJ115" s="366">
        <f t="shared" si="64"/>
        <v>10</v>
      </c>
      <c r="AK115" s="366">
        <f t="shared" si="64"/>
        <v>10</v>
      </c>
      <c r="AL115" s="366">
        <f t="shared" si="64"/>
        <v>10</v>
      </c>
      <c r="AM115" s="366">
        <f t="shared" si="64"/>
        <v>10</v>
      </c>
      <c r="AN115" s="366">
        <f t="shared" si="64"/>
        <v>10</v>
      </c>
      <c r="AO115" s="366">
        <f t="shared" si="64"/>
        <v>10</v>
      </c>
      <c r="AP115" s="366">
        <f t="shared" si="64"/>
        <v>10</v>
      </c>
      <c r="AQ115" s="366">
        <f t="shared" si="64"/>
        <v>10</v>
      </c>
      <c r="AR115" s="366">
        <f t="shared" si="64"/>
        <v>10</v>
      </c>
      <c r="AS115" s="366">
        <f t="shared" si="64"/>
        <v>10</v>
      </c>
      <c r="AT115" s="366">
        <f t="shared" si="64"/>
        <v>10</v>
      </c>
      <c r="AU115" s="366">
        <f t="shared" si="64"/>
        <v>10</v>
      </c>
      <c r="AV115" s="366">
        <f t="shared" si="64"/>
        <v>10</v>
      </c>
      <c r="AW115" s="366">
        <f t="shared" si="64"/>
        <v>10</v>
      </c>
      <c r="AX115" s="366">
        <f t="shared" si="64"/>
        <v>10</v>
      </c>
      <c r="AY115" s="366">
        <f t="shared" si="64"/>
        <v>10</v>
      </c>
      <c r="AZ115" s="366">
        <f t="shared" si="64"/>
        <v>10</v>
      </c>
      <c r="BA115" s="366">
        <f t="shared" si="64"/>
        <v>10</v>
      </c>
      <c r="BB115" s="366">
        <f t="shared" si="64"/>
        <v>10</v>
      </c>
      <c r="BC115" s="366">
        <f t="shared" si="64"/>
        <v>10</v>
      </c>
      <c r="BD115" s="366">
        <f t="shared" si="64"/>
        <v>10</v>
      </c>
      <c r="BE115" s="366">
        <f t="shared" si="64"/>
        <v>10</v>
      </c>
      <c r="BF115" s="366">
        <f t="shared" si="64"/>
        <v>10</v>
      </c>
      <c r="BG115" s="366">
        <f t="shared" si="64"/>
        <v>10</v>
      </c>
      <c r="BH115" s="366">
        <f t="shared" si="64"/>
        <v>10</v>
      </c>
      <c r="BI115" s="366">
        <f t="shared" si="64"/>
        <v>10</v>
      </c>
      <c r="BJ115" s="366">
        <f t="shared" si="64"/>
        <v>10</v>
      </c>
      <c r="BK115" s="366">
        <f t="shared" si="64"/>
        <v>10</v>
      </c>
      <c r="BL115" s="366">
        <f t="shared" si="64"/>
        <v>10</v>
      </c>
      <c r="BM115" s="366">
        <f t="shared" si="64"/>
        <v>10</v>
      </c>
      <c r="BN115" s="366">
        <f t="shared" si="64"/>
        <v>10</v>
      </c>
      <c r="BO115" s="366">
        <f t="shared" si="64"/>
        <v>10</v>
      </c>
      <c r="BP115" s="366">
        <f t="shared" si="64"/>
        <v>10</v>
      </c>
      <c r="BQ115" s="366">
        <f t="shared" si="64"/>
        <v>10</v>
      </c>
      <c r="BR115" s="366">
        <f t="shared" si="64"/>
        <v>10</v>
      </c>
      <c r="BS115" s="366">
        <f t="shared" si="64"/>
        <v>10</v>
      </c>
      <c r="BT115" s="366">
        <f t="shared" si="64"/>
        <v>10</v>
      </c>
      <c r="BU115" s="366">
        <f t="shared" si="64"/>
        <v>10</v>
      </c>
      <c r="BV115" s="366">
        <f t="shared" si="64"/>
        <v>10</v>
      </c>
      <c r="BW115" s="366">
        <f t="shared" si="64"/>
        <v>10</v>
      </c>
      <c r="BX115" s="366">
        <f t="shared" si="64"/>
        <v>10</v>
      </c>
      <c r="BY115" s="366">
        <f t="shared" si="64"/>
        <v>10</v>
      </c>
      <c r="BZ115" s="366">
        <f t="shared" si="64"/>
        <v>10</v>
      </c>
      <c r="CA115" s="366">
        <f t="shared" si="64"/>
        <v>10</v>
      </c>
      <c r="CB115" s="366">
        <f t="shared" si="64"/>
        <v>10</v>
      </c>
      <c r="CC115" s="366">
        <f t="shared" si="64"/>
        <v>10</v>
      </c>
      <c r="CD115" s="366">
        <f t="shared" si="64"/>
        <v>10</v>
      </c>
      <c r="CE115" s="366">
        <f t="shared" si="64"/>
        <v>10</v>
      </c>
      <c r="CF115" s="366">
        <f t="shared" si="64"/>
        <v>10</v>
      </c>
      <c r="CG115" s="366">
        <f t="shared" si="64"/>
        <v>10</v>
      </c>
      <c r="CH115" s="366">
        <f t="shared" si="64"/>
        <v>10</v>
      </c>
      <c r="CI115" s="366"/>
      <c r="CJ115" s="1"/>
      <c r="CK115" s="1"/>
      <c r="CL115" s="1"/>
      <c r="CM115" s="1"/>
      <c r="CN115" s="1"/>
      <c r="CO115" s="1"/>
      <c r="CP115" s="1"/>
    </row>
    <row r="116" ht="15.75" customHeight="1">
      <c r="A116" s="119" t="s">
        <v>665</v>
      </c>
      <c r="B116" s="412"/>
      <c r="C116" s="412">
        <f t="shared" ref="C116:CH116" si="65">SUM(C110:C115)</f>
        <v>300</v>
      </c>
      <c r="D116" s="412">
        <f t="shared" si="65"/>
        <v>306</v>
      </c>
      <c r="E116" s="412">
        <f t="shared" si="65"/>
        <v>312</v>
      </c>
      <c r="F116" s="412">
        <f t="shared" si="65"/>
        <v>318</v>
      </c>
      <c r="G116" s="412">
        <f t="shared" si="65"/>
        <v>324</v>
      </c>
      <c r="H116" s="412">
        <f t="shared" si="65"/>
        <v>330</v>
      </c>
      <c r="I116" s="412">
        <f t="shared" si="65"/>
        <v>336</v>
      </c>
      <c r="J116" s="412">
        <f t="shared" si="65"/>
        <v>342</v>
      </c>
      <c r="K116" s="412">
        <f t="shared" si="65"/>
        <v>348</v>
      </c>
      <c r="L116" s="412">
        <f t="shared" si="65"/>
        <v>354</v>
      </c>
      <c r="M116" s="412">
        <f t="shared" si="65"/>
        <v>360</v>
      </c>
      <c r="N116" s="412">
        <f t="shared" si="65"/>
        <v>366</v>
      </c>
      <c r="O116" s="412">
        <f t="shared" si="65"/>
        <v>372</v>
      </c>
      <c r="P116" s="412">
        <f t="shared" si="65"/>
        <v>378</v>
      </c>
      <c r="Q116" s="412">
        <f t="shared" si="65"/>
        <v>384</v>
      </c>
      <c r="R116" s="412">
        <f t="shared" si="65"/>
        <v>390</v>
      </c>
      <c r="S116" s="412">
        <f t="shared" si="65"/>
        <v>396</v>
      </c>
      <c r="T116" s="412">
        <f t="shared" si="65"/>
        <v>402</v>
      </c>
      <c r="U116" s="412">
        <f t="shared" si="65"/>
        <v>408</v>
      </c>
      <c r="V116" s="412">
        <f t="shared" si="65"/>
        <v>414</v>
      </c>
      <c r="W116" s="412">
        <f t="shared" si="65"/>
        <v>420</v>
      </c>
      <c r="X116" s="412">
        <f t="shared" si="65"/>
        <v>426</v>
      </c>
      <c r="Y116" s="412">
        <f t="shared" si="65"/>
        <v>432</v>
      </c>
      <c r="Z116" s="412">
        <f t="shared" si="65"/>
        <v>438</v>
      </c>
      <c r="AA116" s="412">
        <f t="shared" si="65"/>
        <v>357.6487353</v>
      </c>
      <c r="AB116" s="412">
        <f t="shared" si="65"/>
        <v>272.5327937</v>
      </c>
      <c r="AC116" s="412">
        <f t="shared" si="65"/>
        <v>191.8164244</v>
      </c>
      <c r="AD116" s="412">
        <f t="shared" si="65"/>
        <v>133.786494</v>
      </c>
      <c r="AE116" s="412">
        <f t="shared" si="65"/>
        <v>123.1753692</v>
      </c>
      <c r="AF116" s="412">
        <f t="shared" si="65"/>
        <v>137.5277324</v>
      </c>
      <c r="AG116" s="412">
        <f t="shared" si="65"/>
        <v>159.8383464</v>
      </c>
      <c r="AH116" s="412">
        <f t="shared" si="65"/>
        <v>187.6773689</v>
      </c>
      <c r="AI116" s="412">
        <f t="shared" si="65"/>
        <v>218.7429436</v>
      </c>
      <c r="AJ116" s="412">
        <f t="shared" si="65"/>
        <v>238.4493301</v>
      </c>
      <c r="AK116" s="412">
        <f t="shared" si="65"/>
        <v>241.376145</v>
      </c>
      <c r="AL116" s="412">
        <f t="shared" si="65"/>
        <v>235.9418879</v>
      </c>
      <c r="AM116" s="412">
        <f t="shared" si="65"/>
        <v>230.3777719</v>
      </c>
      <c r="AN116" s="412">
        <f t="shared" si="65"/>
        <v>218.1112696</v>
      </c>
      <c r="AO116" s="412">
        <f t="shared" si="65"/>
        <v>198.5007306</v>
      </c>
      <c r="AP116" s="412">
        <f t="shared" si="65"/>
        <v>179.631158</v>
      </c>
      <c r="AQ116" s="412">
        <f t="shared" si="65"/>
        <v>164.0172933</v>
      </c>
      <c r="AR116" s="412">
        <f t="shared" si="65"/>
        <v>151.6615418</v>
      </c>
      <c r="AS116" s="412">
        <f t="shared" si="65"/>
        <v>145.440972</v>
      </c>
      <c r="AT116" s="412">
        <f t="shared" si="65"/>
        <v>142.4820467</v>
      </c>
      <c r="AU116" s="412">
        <f t="shared" si="65"/>
        <v>144.7872344</v>
      </c>
      <c r="AV116" s="412">
        <f t="shared" si="65"/>
        <v>151.359031</v>
      </c>
      <c r="AW116" s="412">
        <f t="shared" si="65"/>
        <v>162.1999593</v>
      </c>
      <c r="AX116" s="412">
        <f t="shared" si="65"/>
        <v>175.3125698</v>
      </c>
      <c r="AY116" s="412">
        <f t="shared" si="65"/>
        <v>190.6994408</v>
      </c>
      <c r="AZ116" s="412">
        <f t="shared" si="65"/>
        <v>207.062531</v>
      </c>
      <c r="BA116" s="412">
        <f t="shared" si="65"/>
        <v>225.7881538</v>
      </c>
      <c r="BB116" s="412">
        <f t="shared" si="65"/>
        <v>242.7866566</v>
      </c>
      <c r="BC116" s="412">
        <f t="shared" si="65"/>
        <v>259.0605376</v>
      </c>
      <c r="BD116" s="412">
        <f t="shared" si="65"/>
        <v>274.6123211</v>
      </c>
      <c r="BE116" s="412">
        <f t="shared" si="65"/>
        <v>288.4445579</v>
      </c>
      <c r="BF116" s="412">
        <f t="shared" si="65"/>
        <v>302.5598252</v>
      </c>
      <c r="BG116" s="412">
        <f t="shared" si="65"/>
        <v>316.9607276</v>
      </c>
      <c r="BH116" s="412">
        <f t="shared" si="65"/>
        <v>331.6498967</v>
      </c>
      <c r="BI116" s="412">
        <f t="shared" si="65"/>
        <v>346.6299918</v>
      </c>
      <c r="BJ116" s="412">
        <f t="shared" si="65"/>
        <v>360.9037002</v>
      </c>
      <c r="BK116" s="412">
        <f t="shared" si="65"/>
        <v>373.4737373</v>
      </c>
      <c r="BL116" s="412">
        <f t="shared" si="65"/>
        <v>386.4869631</v>
      </c>
      <c r="BM116" s="412">
        <f t="shared" si="65"/>
        <v>398.094384</v>
      </c>
      <c r="BN116" s="412">
        <f t="shared" si="65"/>
        <v>408.7275772</v>
      </c>
      <c r="BO116" s="412">
        <f t="shared" si="65"/>
        <v>417.6761443</v>
      </c>
      <c r="BP116" s="412">
        <f t="shared" si="65"/>
        <v>425.944473</v>
      </c>
      <c r="BQ116" s="412">
        <f t="shared" si="65"/>
        <v>434.5370448</v>
      </c>
      <c r="BR116" s="412">
        <f t="shared" si="65"/>
        <v>443.4584373</v>
      </c>
      <c r="BS116" s="412">
        <f t="shared" si="65"/>
        <v>453.7133268</v>
      </c>
      <c r="BT116" s="412">
        <f t="shared" si="65"/>
        <v>463.3064911</v>
      </c>
      <c r="BU116" s="412">
        <f t="shared" si="65"/>
        <v>472.242812</v>
      </c>
      <c r="BV116" s="412">
        <f t="shared" si="65"/>
        <v>481.527279</v>
      </c>
      <c r="BW116" s="412">
        <f t="shared" si="65"/>
        <v>490.1649911</v>
      </c>
      <c r="BX116" s="412">
        <f t="shared" si="65"/>
        <v>499.4410353</v>
      </c>
      <c r="BY116" s="412">
        <f t="shared" si="65"/>
        <v>506.8224322</v>
      </c>
      <c r="BZ116" s="412">
        <f t="shared" si="65"/>
        <v>510.0367546</v>
      </c>
      <c r="CA116" s="412">
        <f t="shared" si="65"/>
        <v>513.4207159</v>
      </c>
      <c r="CB116" s="412">
        <f t="shared" si="65"/>
        <v>516.9785514</v>
      </c>
      <c r="CC116" s="412">
        <f t="shared" si="65"/>
        <v>518.7144669</v>
      </c>
      <c r="CD116" s="412">
        <f t="shared" si="65"/>
        <v>521.6326408</v>
      </c>
      <c r="CE116" s="412">
        <f t="shared" si="65"/>
        <v>523.737225</v>
      </c>
      <c r="CF116" s="412">
        <f t="shared" si="65"/>
        <v>526.0323473</v>
      </c>
      <c r="CG116" s="412">
        <f t="shared" si="65"/>
        <v>529.5221119</v>
      </c>
      <c r="CH116" s="412">
        <f t="shared" si="65"/>
        <v>533.2106021</v>
      </c>
      <c r="CI116" s="1"/>
      <c r="CJ116" s="1"/>
      <c r="CK116" s="1"/>
      <c r="CL116" s="1"/>
      <c r="CM116" s="1"/>
      <c r="CN116" s="1"/>
      <c r="CO116" s="1"/>
      <c r="CP116" s="1"/>
    </row>
    <row r="117" ht="15.75" customHeight="1">
      <c r="A117" s="1"/>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3"/>
      <c r="BQ117" s="123"/>
      <c r="BR117" s="123"/>
      <c r="BS117" s="123"/>
      <c r="BT117" s="123"/>
      <c r="BU117" s="123"/>
      <c r="BV117" s="123"/>
      <c r="BW117" s="123"/>
      <c r="BX117" s="123"/>
      <c r="BY117" s="123"/>
      <c r="BZ117" s="123"/>
      <c r="CA117" s="123"/>
      <c r="CB117" s="123"/>
      <c r="CC117" s="123"/>
      <c r="CD117" s="123"/>
      <c r="CE117" s="123"/>
      <c r="CF117" s="123"/>
      <c r="CG117" s="123"/>
      <c r="CH117" s="123"/>
      <c r="CI117" s="1"/>
      <c r="CJ117" s="1"/>
      <c r="CK117" s="1"/>
      <c r="CL117" s="1"/>
      <c r="CM117" s="1"/>
      <c r="CN117" s="1"/>
      <c r="CO117" s="1"/>
      <c r="CP117" s="1"/>
    </row>
    <row r="118" ht="15.75" customHeight="1">
      <c r="A118" s="1" t="s">
        <v>129</v>
      </c>
      <c r="B118" s="368"/>
      <c r="C118" s="368">
        <v>-1.0</v>
      </c>
      <c r="D118" s="368">
        <v>-1.0</v>
      </c>
      <c r="E118" s="368">
        <v>-1.0</v>
      </c>
      <c r="F118" s="368">
        <v>-1.0</v>
      </c>
      <c r="G118" s="368">
        <v>-1.0</v>
      </c>
      <c r="H118" s="368">
        <v>-1.0</v>
      </c>
      <c r="I118" s="368">
        <v>-1.0</v>
      </c>
      <c r="J118" s="368">
        <v>-1.0</v>
      </c>
      <c r="K118" s="368">
        <v>-1.0</v>
      </c>
      <c r="L118" s="368">
        <v>-1.0</v>
      </c>
      <c r="M118" s="368">
        <v>-1.0</v>
      </c>
      <c r="N118" s="368">
        <v>-1.0</v>
      </c>
      <c r="O118" s="368">
        <v>-1.0</v>
      </c>
      <c r="P118" s="368">
        <v>-1.0</v>
      </c>
      <c r="Q118" s="368">
        <v>-1.0</v>
      </c>
      <c r="R118" s="368">
        <v>-1.0</v>
      </c>
      <c r="S118" s="368">
        <v>-1.0</v>
      </c>
      <c r="T118" s="368">
        <v>-1.0</v>
      </c>
      <c r="U118" s="368">
        <v>-1.0</v>
      </c>
      <c r="V118" s="368">
        <v>-1.0</v>
      </c>
      <c r="W118" s="368">
        <v>-1.0</v>
      </c>
      <c r="X118" s="368">
        <v>-1.0</v>
      </c>
      <c r="Y118" s="368">
        <v>-1.0</v>
      </c>
      <c r="Z118" s="366">
        <f t="shared" ref="Z118:CH118" si="66">ROUND(Z77/Z143,0)</f>
        <v>-6</v>
      </c>
      <c r="AA118" s="123">
        <f t="shared" si="66"/>
        <v>-7</v>
      </c>
      <c r="AB118" s="123">
        <f t="shared" si="66"/>
        <v>-8</v>
      </c>
      <c r="AC118" s="123">
        <f t="shared" si="66"/>
        <v>-8</v>
      </c>
      <c r="AD118" s="123">
        <f t="shared" si="66"/>
        <v>-10</v>
      </c>
      <c r="AE118" s="123">
        <f t="shared" si="66"/>
        <v>-8</v>
      </c>
      <c r="AF118" s="123">
        <f t="shared" si="66"/>
        <v>-13</v>
      </c>
      <c r="AG118" s="123">
        <f t="shared" si="66"/>
        <v>-10</v>
      </c>
      <c r="AH118" s="123">
        <f t="shared" si="66"/>
        <v>-10</v>
      </c>
      <c r="AI118" s="123">
        <f t="shared" si="66"/>
        <v>-12</v>
      </c>
      <c r="AJ118" s="123">
        <f t="shared" si="66"/>
        <v>-15</v>
      </c>
      <c r="AK118" s="123">
        <f t="shared" si="66"/>
        <v>-11</v>
      </c>
      <c r="AL118" s="123">
        <f t="shared" si="66"/>
        <v>-9</v>
      </c>
      <c r="AM118" s="123">
        <f t="shared" si="66"/>
        <v>-10</v>
      </c>
      <c r="AN118" s="123">
        <f t="shared" si="66"/>
        <v>-9</v>
      </c>
      <c r="AO118" s="123">
        <f t="shared" si="66"/>
        <v>-8</v>
      </c>
      <c r="AP118" s="123">
        <f t="shared" si="66"/>
        <v>-7</v>
      </c>
      <c r="AQ118" s="123">
        <f t="shared" si="66"/>
        <v>-6</v>
      </c>
      <c r="AR118" s="123">
        <f t="shared" si="66"/>
        <v>-5</v>
      </c>
      <c r="AS118" s="123">
        <f t="shared" si="66"/>
        <v>-5</v>
      </c>
      <c r="AT118" s="123">
        <f t="shared" si="66"/>
        <v>-4</v>
      </c>
      <c r="AU118" s="123">
        <f t="shared" si="66"/>
        <v>-4</v>
      </c>
      <c r="AV118" s="123">
        <f t="shared" si="66"/>
        <v>-3</v>
      </c>
      <c r="AW118" s="123">
        <f t="shared" si="66"/>
        <v>-3</v>
      </c>
      <c r="AX118" s="123">
        <f t="shared" si="66"/>
        <v>-3</v>
      </c>
      <c r="AY118" s="123">
        <f t="shared" si="66"/>
        <v>-2</v>
      </c>
      <c r="AZ118" s="123">
        <f t="shared" si="66"/>
        <v>-2</v>
      </c>
      <c r="BA118" s="123">
        <f t="shared" si="66"/>
        <v>-2</v>
      </c>
      <c r="BB118" s="123">
        <f t="shared" si="66"/>
        <v>-2</v>
      </c>
      <c r="BC118" s="123">
        <f t="shared" si="66"/>
        <v>-2</v>
      </c>
      <c r="BD118" s="123">
        <f t="shared" si="66"/>
        <v>-2</v>
      </c>
      <c r="BE118" s="123">
        <f t="shared" si="66"/>
        <v>-2</v>
      </c>
      <c r="BF118" s="123">
        <f t="shared" si="66"/>
        <v>-2</v>
      </c>
      <c r="BG118" s="123">
        <f t="shared" si="66"/>
        <v>-2</v>
      </c>
      <c r="BH118" s="123">
        <f t="shared" si="66"/>
        <v>-2</v>
      </c>
      <c r="BI118" s="123">
        <f t="shared" si="66"/>
        <v>-3</v>
      </c>
      <c r="BJ118" s="123">
        <f t="shared" si="66"/>
        <v>-3</v>
      </c>
      <c r="BK118" s="123">
        <f t="shared" si="66"/>
        <v>-3</v>
      </c>
      <c r="BL118" s="123">
        <f t="shared" si="66"/>
        <v>-3</v>
      </c>
      <c r="BM118" s="123">
        <f t="shared" si="66"/>
        <v>-3</v>
      </c>
      <c r="BN118" s="123">
        <f t="shared" si="66"/>
        <v>-4</v>
      </c>
      <c r="BO118" s="123">
        <f t="shared" si="66"/>
        <v>-4</v>
      </c>
      <c r="BP118" s="123">
        <f t="shared" si="66"/>
        <v>-4</v>
      </c>
      <c r="BQ118" s="123">
        <f t="shared" si="66"/>
        <v>-4</v>
      </c>
      <c r="BR118" s="123">
        <f t="shared" si="66"/>
        <v>-4</v>
      </c>
      <c r="BS118" s="123">
        <f t="shared" si="66"/>
        <v>-5</v>
      </c>
      <c r="BT118" s="123">
        <f t="shared" si="66"/>
        <v>-5</v>
      </c>
      <c r="BU118" s="123">
        <f t="shared" si="66"/>
        <v>-5</v>
      </c>
      <c r="BV118" s="123">
        <f t="shared" si="66"/>
        <v>-5</v>
      </c>
      <c r="BW118" s="123">
        <f t="shared" si="66"/>
        <v>-5</v>
      </c>
      <c r="BX118" s="123">
        <f t="shared" si="66"/>
        <v>-5</v>
      </c>
      <c r="BY118" s="123">
        <f t="shared" si="66"/>
        <v>-6</v>
      </c>
      <c r="BZ118" s="123">
        <f t="shared" si="66"/>
        <v>-6</v>
      </c>
      <c r="CA118" s="123">
        <f t="shared" si="66"/>
        <v>-6</v>
      </c>
      <c r="CB118" s="123">
        <f t="shared" si="66"/>
        <v>-6</v>
      </c>
      <c r="CC118" s="123">
        <f t="shared" si="66"/>
        <v>-6</v>
      </c>
      <c r="CD118" s="123">
        <f t="shared" si="66"/>
        <v>-6</v>
      </c>
      <c r="CE118" s="123">
        <f t="shared" si="66"/>
        <v>-6</v>
      </c>
      <c r="CF118" s="123">
        <f t="shared" si="66"/>
        <v>-6</v>
      </c>
      <c r="CG118" s="123">
        <f t="shared" si="66"/>
        <v>-6</v>
      </c>
      <c r="CH118" s="123">
        <f t="shared" si="66"/>
        <v>-6</v>
      </c>
      <c r="CI118" s="1"/>
      <c r="CJ118" s="1"/>
      <c r="CK118" s="1"/>
      <c r="CL118" s="1"/>
      <c r="CM118" s="1"/>
      <c r="CN118" s="1"/>
      <c r="CO118" s="1"/>
      <c r="CP118" s="1"/>
    </row>
    <row r="119" ht="15.75" customHeight="1">
      <c r="A119" s="1" t="s">
        <v>85</v>
      </c>
      <c r="B119" s="368"/>
      <c r="C119" s="368">
        <v>-1.0</v>
      </c>
      <c r="D119" s="368">
        <v>-1.0</v>
      </c>
      <c r="E119" s="368">
        <v>-1.0</v>
      </c>
      <c r="F119" s="368">
        <v>-1.0</v>
      </c>
      <c r="G119" s="368">
        <v>-1.0</v>
      </c>
      <c r="H119" s="368">
        <v>-1.0</v>
      </c>
      <c r="I119" s="368">
        <v>-1.0</v>
      </c>
      <c r="J119" s="368">
        <v>-1.0</v>
      </c>
      <c r="K119" s="368">
        <v>-1.0</v>
      </c>
      <c r="L119" s="368">
        <v>-1.0</v>
      </c>
      <c r="M119" s="368">
        <v>-1.0</v>
      </c>
      <c r="N119" s="368">
        <v>-1.0</v>
      </c>
      <c r="O119" s="368">
        <v>-1.0</v>
      </c>
      <c r="P119" s="368">
        <v>-1.0</v>
      </c>
      <c r="Q119" s="368">
        <v>-1.0</v>
      </c>
      <c r="R119" s="368">
        <v>-1.0</v>
      </c>
      <c r="S119" s="368">
        <v>-1.0</v>
      </c>
      <c r="T119" s="368">
        <v>-1.0</v>
      </c>
      <c r="U119" s="368">
        <v>-1.0</v>
      </c>
      <c r="V119" s="368">
        <v>-1.0</v>
      </c>
      <c r="W119" s="368">
        <v>-1.0</v>
      </c>
      <c r="X119" s="368">
        <v>-1.0</v>
      </c>
      <c r="Y119" s="368">
        <v>-1.0</v>
      </c>
      <c r="Z119" s="366">
        <f t="shared" ref="Z119:CH119" si="67">ROUND(Z78/Z144,0)</f>
        <v>-2</v>
      </c>
      <c r="AA119" s="123">
        <f t="shared" si="67"/>
        <v>-3</v>
      </c>
      <c r="AB119" s="123">
        <f t="shared" si="67"/>
        <v>-4</v>
      </c>
      <c r="AC119" s="123">
        <f t="shared" si="67"/>
        <v>-7</v>
      </c>
      <c r="AD119" s="123">
        <f t="shared" si="67"/>
        <v>-7</v>
      </c>
      <c r="AE119" s="123">
        <f t="shared" si="67"/>
        <v>-9</v>
      </c>
      <c r="AF119" s="123">
        <f t="shared" si="67"/>
        <v>-9</v>
      </c>
      <c r="AG119" s="123">
        <f t="shared" si="67"/>
        <v>-16</v>
      </c>
      <c r="AH119" s="123">
        <f t="shared" si="67"/>
        <v>-9</v>
      </c>
      <c r="AI119" s="123">
        <f t="shared" si="67"/>
        <v>-9</v>
      </c>
      <c r="AJ119" s="123">
        <f t="shared" si="67"/>
        <v>-16</v>
      </c>
      <c r="AK119" s="123">
        <f t="shared" si="67"/>
        <v>-15</v>
      </c>
      <c r="AL119" s="123">
        <f t="shared" si="67"/>
        <v>-14</v>
      </c>
      <c r="AM119" s="123">
        <f t="shared" si="67"/>
        <v>-12</v>
      </c>
      <c r="AN119" s="123">
        <f t="shared" si="67"/>
        <v>-11</v>
      </c>
      <c r="AO119" s="123">
        <f t="shared" si="67"/>
        <v>-10</v>
      </c>
      <c r="AP119" s="123">
        <f t="shared" si="67"/>
        <v>-9</v>
      </c>
      <c r="AQ119" s="123">
        <f t="shared" si="67"/>
        <v>-8</v>
      </c>
      <c r="AR119" s="123">
        <f t="shared" si="67"/>
        <v>-7</v>
      </c>
      <c r="AS119" s="123">
        <f t="shared" si="67"/>
        <v>-6</v>
      </c>
      <c r="AT119" s="123">
        <f t="shared" si="67"/>
        <v>-6</v>
      </c>
      <c r="AU119" s="123">
        <f t="shared" si="67"/>
        <v>-5</v>
      </c>
      <c r="AV119" s="123">
        <f t="shared" si="67"/>
        <v>-5</v>
      </c>
      <c r="AW119" s="123">
        <f t="shared" si="67"/>
        <v>-4</v>
      </c>
      <c r="AX119" s="123">
        <f t="shared" si="67"/>
        <v>-3</v>
      </c>
      <c r="AY119" s="123">
        <f t="shared" si="67"/>
        <v>-3</v>
      </c>
      <c r="AZ119" s="123">
        <f t="shared" si="67"/>
        <v>-2</v>
      </c>
      <c r="BA119" s="123">
        <f t="shared" si="67"/>
        <v>-2</v>
      </c>
      <c r="BB119" s="123">
        <f t="shared" si="67"/>
        <v>-2</v>
      </c>
      <c r="BC119" s="123">
        <f t="shared" si="67"/>
        <v>-2</v>
      </c>
      <c r="BD119" s="123">
        <f t="shared" si="67"/>
        <v>-2</v>
      </c>
      <c r="BE119" s="123">
        <f t="shared" si="67"/>
        <v>-2</v>
      </c>
      <c r="BF119" s="123">
        <f t="shared" si="67"/>
        <v>-2</v>
      </c>
      <c r="BG119" s="123">
        <f t="shared" si="67"/>
        <v>-2</v>
      </c>
      <c r="BH119" s="123">
        <f t="shared" si="67"/>
        <v>-2</v>
      </c>
      <c r="BI119" s="123">
        <f t="shared" si="67"/>
        <v>-2</v>
      </c>
      <c r="BJ119" s="123">
        <f t="shared" si="67"/>
        <v>-3</v>
      </c>
      <c r="BK119" s="123">
        <f t="shared" si="67"/>
        <v>-3</v>
      </c>
      <c r="BL119" s="123">
        <f t="shared" si="67"/>
        <v>-3</v>
      </c>
      <c r="BM119" s="123">
        <f t="shared" si="67"/>
        <v>-3</v>
      </c>
      <c r="BN119" s="123">
        <f t="shared" si="67"/>
        <v>-3</v>
      </c>
      <c r="BO119" s="123">
        <f t="shared" si="67"/>
        <v>-4</v>
      </c>
      <c r="BP119" s="123">
        <f t="shared" si="67"/>
        <v>-4</v>
      </c>
      <c r="BQ119" s="123">
        <f t="shared" si="67"/>
        <v>-4</v>
      </c>
      <c r="BR119" s="123">
        <f t="shared" si="67"/>
        <v>-4</v>
      </c>
      <c r="BS119" s="123">
        <f t="shared" si="67"/>
        <v>-4</v>
      </c>
      <c r="BT119" s="123">
        <f t="shared" si="67"/>
        <v>-5</v>
      </c>
      <c r="BU119" s="123">
        <f t="shared" si="67"/>
        <v>-5</v>
      </c>
      <c r="BV119" s="123">
        <f t="shared" si="67"/>
        <v>-5</v>
      </c>
      <c r="BW119" s="123">
        <f t="shared" si="67"/>
        <v>-5</v>
      </c>
      <c r="BX119" s="123">
        <f t="shared" si="67"/>
        <v>-5</v>
      </c>
      <c r="BY119" s="123">
        <f t="shared" si="67"/>
        <v>-6</v>
      </c>
      <c r="BZ119" s="123">
        <f t="shared" si="67"/>
        <v>-6</v>
      </c>
      <c r="CA119" s="123">
        <f t="shared" si="67"/>
        <v>-6</v>
      </c>
      <c r="CB119" s="123">
        <f t="shared" si="67"/>
        <v>-6</v>
      </c>
      <c r="CC119" s="123">
        <f t="shared" si="67"/>
        <v>-6</v>
      </c>
      <c r="CD119" s="123">
        <f t="shared" si="67"/>
        <v>-6</v>
      </c>
      <c r="CE119" s="123">
        <f t="shared" si="67"/>
        <v>-6</v>
      </c>
      <c r="CF119" s="123">
        <f t="shared" si="67"/>
        <v>-6</v>
      </c>
      <c r="CG119" s="123">
        <f t="shared" si="67"/>
        <v>-6</v>
      </c>
      <c r="CH119" s="123">
        <f t="shared" si="67"/>
        <v>-7</v>
      </c>
      <c r="CI119" s="1"/>
      <c r="CJ119" s="1"/>
      <c r="CK119" s="1"/>
      <c r="CL119" s="1"/>
      <c r="CM119" s="1"/>
      <c r="CN119" s="1"/>
      <c r="CO119" s="1"/>
      <c r="CP119" s="1"/>
    </row>
    <row r="120" ht="15.75" customHeight="1">
      <c r="A120" s="1" t="s">
        <v>130</v>
      </c>
      <c r="B120" s="368"/>
      <c r="C120" s="368">
        <v>-1.0</v>
      </c>
      <c r="D120" s="368">
        <v>-1.0</v>
      </c>
      <c r="E120" s="368">
        <v>-1.0</v>
      </c>
      <c r="F120" s="368">
        <v>-1.0</v>
      </c>
      <c r="G120" s="368">
        <v>-1.0</v>
      </c>
      <c r="H120" s="368">
        <v>-1.0</v>
      </c>
      <c r="I120" s="368">
        <v>-1.0</v>
      </c>
      <c r="J120" s="368">
        <v>-1.0</v>
      </c>
      <c r="K120" s="368">
        <v>-1.0</v>
      </c>
      <c r="L120" s="368">
        <v>-1.0</v>
      </c>
      <c r="M120" s="368">
        <v>-1.0</v>
      </c>
      <c r="N120" s="368">
        <v>-1.0</v>
      </c>
      <c r="O120" s="368">
        <v>-1.0</v>
      </c>
      <c r="P120" s="368">
        <v>-1.0</v>
      </c>
      <c r="Q120" s="368">
        <v>-1.0</v>
      </c>
      <c r="R120" s="368">
        <v>-1.0</v>
      </c>
      <c r="S120" s="368">
        <v>-1.0</v>
      </c>
      <c r="T120" s="368">
        <v>-1.0</v>
      </c>
      <c r="U120" s="368">
        <v>-1.0</v>
      </c>
      <c r="V120" s="368">
        <v>-1.0</v>
      </c>
      <c r="W120" s="368">
        <v>-1.0</v>
      </c>
      <c r="X120" s="368">
        <v>-1.0</v>
      </c>
      <c r="Y120" s="368">
        <v>-1.0</v>
      </c>
      <c r="Z120" s="366">
        <f t="shared" ref="Z120:CH120" si="68">ROUND(Z79/Z145,0)</f>
        <v>-6</v>
      </c>
      <c r="AA120" s="123">
        <f t="shared" si="68"/>
        <v>-6</v>
      </c>
      <c r="AB120" s="123">
        <f t="shared" si="68"/>
        <v>-7</v>
      </c>
      <c r="AC120" s="123">
        <f t="shared" si="68"/>
        <v>-8</v>
      </c>
      <c r="AD120" s="123">
        <f t="shared" si="68"/>
        <v>-8</v>
      </c>
      <c r="AE120" s="123">
        <f t="shared" si="68"/>
        <v>-9</v>
      </c>
      <c r="AF120" s="123">
        <f t="shared" si="68"/>
        <v>-14</v>
      </c>
      <c r="AG120" s="123">
        <f t="shared" si="68"/>
        <v>-11</v>
      </c>
      <c r="AH120" s="123">
        <f t="shared" si="68"/>
        <v>-10</v>
      </c>
      <c r="AI120" s="123">
        <f t="shared" si="68"/>
        <v>-11</v>
      </c>
      <c r="AJ120" s="123">
        <f t="shared" si="68"/>
        <v>-11</v>
      </c>
      <c r="AK120" s="123">
        <f t="shared" si="68"/>
        <v>-15</v>
      </c>
      <c r="AL120" s="123">
        <f t="shared" si="68"/>
        <v>-12</v>
      </c>
      <c r="AM120" s="123">
        <f t="shared" si="68"/>
        <v>-10</v>
      </c>
      <c r="AN120" s="123">
        <f t="shared" si="68"/>
        <v>-9</v>
      </c>
      <c r="AO120" s="123">
        <f t="shared" si="68"/>
        <v>-8</v>
      </c>
      <c r="AP120" s="123">
        <f t="shared" si="68"/>
        <v>-7</v>
      </c>
      <c r="AQ120" s="123">
        <f t="shared" si="68"/>
        <v>-6</v>
      </c>
      <c r="AR120" s="123">
        <f t="shared" si="68"/>
        <v>-4</v>
      </c>
      <c r="AS120" s="123">
        <f t="shared" si="68"/>
        <v>-4</v>
      </c>
      <c r="AT120" s="123">
        <f t="shared" si="68"/>
        <v>-3</v>
      </c>
      <c r="AU120" s="123">
        <f t="shared" si="68"/>
        <v>-3</v>
      </c>
      <c r="AV120" s="123">
        <f t="shared" si="68"/>
        <v>-2</v>
      </c>
      <c r="AW120" s="123">
        <f t="shared" si="68"/>
        <v>-2</v>
      </c>
      <c r="AX120" s="123">
        <f t="shared" si="68"/>
        <v>-1</v>
      </c>
      <c r="AY120" s="123">
        <f t="shared" si="68"/>
        <v>-1</v>
      </c>
      <c r="AZ120" s="123">
        <f t="shared" si="68"/>
        <v>0</v>
      </c>
      <c r="BA120" s="123">
        <f t="shared" si="68"/>
        <v>0</v>
      </c>
      <c r="BB120" s="123">
        <f t="shared" si="68"/>
        <v>0</v>
      </c>
      <c r="BC120" s="123">
        <f t="shared" si="68"/>
        <v>0</v>
      </c>
      <c r="BD120" s="123">
        <f t="shared" si="68"/>
        <v>0</v>
      </c>
      <c r="BE120" s="123">
        <f t="shared" si="68"/>
        <v>0</v>
      </c>
      <c r="BF120" s="123">
        <f t="shared" si="68"/>
        <v>0</v>
      </c>
      <c r="BG120" s="123">
        <f t="shared" si="68"/>
        <v>0</v>
      </c>
      <c r="BH120" s="123">
        <f t="shared" si="68"/>
        <v>0</v>
      </c>
      <c r="BI120" s="123">
        <f t="shared" si="68"/>
        <v>0</v>
      </c>
      <c r="BJ120" s="123">
        <f t="shared" si="68"/>
        <v>-1</v>
      </c>
      <c r="BK120" s="123">
        <f t="shared" si="68"/>
        <v>-1</v>
      </c>
      <c r="BL120" s="123">
        <f t="shared" si="68"/>
        <v>-1</v>
      </c>
      <c r="BM120" s="123">
        <f t="shared" si="68"/>
        <v>-1</v>
      </c>
      <c r="BN120" s="123">
        <f t="shared" si="68"/>
        <v>-1</v>
      </c>
      <c r="BO120" s="123">
        <f t="shared" si="68"/>
        <v>-2</v>
      </c>
      <c r="BP120" s="123">
        <f t="shared" si="68"/>
        <v>-2</v>
      </c>
      <c r="BQ120" s="123">
        <f t="shared" si="68"/>
        <v>-2</v>
      </c>
      <c r="BR120" s="123">
        <f t="shared" si="68"/>
        <v>-2</v>
      </c>
      <c r="BS120" s="123">
        <f t="shared" si="68"/>
        <v>-2</v>
      </c>
      <c r="BT120" s="123">
        <f t="shared" si="68"/>
        <v>-3</v>
      </c>
      <c r="BU120" s="123">
        <f t="shared" si="68"/>
        <v>-3</v>
      </c>
      <c r="BV120" s="123">
        <f t="shared" si="68"/>
        <v>-3</v>
      </c>
      <c r="BW120" s="123">
        <f t="shared" si="68"/>
        <v>-3</v>
      </c>
      <c r="BX120" s="123">
        <f t="shared" si="68"/>
        <v>-3</v>
      </c>
      <c r="BY120" s="123">
        <f t="shared" si="68"/>
        <v>-3</v>
      </c>
      <c r="BZ120" s="123">
        <f t="shared" si="68"/>
        <v>-3</v>
      </c>
      <c r="CA120" s="123">
        <f t="shared" si="68"/>
        <v>-3</v>
      </c>
      <c r="CB120" s="123">
        <f t="shared" si="68"/>
        <v>-4</v>
      </c>
      <c r="CC120" s="123">
        <f t="shared" si="68"/>
        <v>-4</v>
      </c>
      <c r="CD120" s="123">
        <f t="shared" si="68"/>
        <v>-4</v>
      </c>
      <c r="CE120" s="123">
        <f t="shared" si="68"/>
        <v>-4</v>
      </c>
      <c r="CF120" s="123">
        <f t="shared" si="68"/>
        <v>-4</v>
      </c>
      <c r="CG120" s="123">
        <f t="shared" si="68"/>
        <v>-4</v>
      </c>
      <c r="CH120" s="123">
        <f t="shared" si="68"/>
        <v>-4</v>
      </c>
      <c r="CI120" s="1"/>
      <c r="CJ120" s="1"/>
      <c r="CK120" s="1"/>
      <c r="CL120" s="1"/>
      <c r="CM120" s="1"/>
      <c r="CN120" s="1"/>
      <c r="CO120" s="1"/>
      <c r="CP120" s="1"/>
    </row>
    <row r="121" ht="15.75" customHeight="1">
      <c r="A121" s="1" t="s">
        <v>89</v>
      </c>
      <c r="B121" s="368"/>
      <c r="C121" s="368">
        <v>-1.0</v>
      </c>
      <c r="D121" s="368">
        <v>-1.0</v>
      </c>
      <c r="E121" s="368">
        <v>-1.0</v>
      </c>
      <c r="F121" s="368">
        <v>-1.0</v>
      </c>
      <c r="G121" s="368">
        <v>-1.0</v>
      </c>
      <c r="H121" s="368">
        <v>-1.0</v>
      </c>
      <c r="I121" s="368">
        <v>-1.0</v>
      </c>
      <c r="J121" s="368">
        <v>-1.0</v>
      </c>
      <c r="K121" s="368">
        <v>-1.0</v>
      </c>
      <c r="L121" s="368">
        <v>-1.0</v>
      </c>
      <c r="M121" s="368">
        <v>-1.0</v>
      </c>
      <c r="N121" s="368">
        <v>-1.0</v>
      </c>
      <c r="O121" s="368">
        <v>-1.0</v>
      </c>
      <c r="P121" s="368">
        <v>-1.0</v>
      </c>
      <c r="Q121" s="368">
        <v>-1.0</v>
      </c>
      <c r="R121" s="368">
        <v>-1.0</v>
      </c>
      <c r="S121" s="368">
        <v>-1.0</v>
      </c>
      <c r="T121" s="368">
        <v>-1.0</v>
      </c>
      <c r="U121" s="368">
        <v>-1.0</v>
      </c>
      <c r="V121" s="368">
        <v>-1.0</v>
      </c>
      <c r="W121" s="368">
        <v>-1.0</v>
      </c>
      <c r="X121" s="368">
        <v>-1.0</v>
      </c>
      <c r="Y121" s="368">
        <v>-1.0</v>
      </c>
      <c r="Z121" s="366">
        <f t="shared" ref="Z121:CH121" si="69">ROUND(Z80/Z146,0)</f>
        <v>-47</v>
      </c>
      <c r="AA121" s="123">
        <f t="shared" si="69"/>
        <v>-63</v>
      </c>
      <c r="AB121" s="123">
        <f t="shared" si="69"/>
        <v>-47</v>
      </c>
      <c r="AC121" s="123">
        <f t="shared" si="69"/>
        <v>-17</v>
      </c>
      <c r="AD121" s="123">
        <f t="shared" si="69"/>
        <v>11</v>
      </c>
      <c r="AE121" s="123">
        <f t="shared" si="69"/>
        <v>25</v>
      </c>
      <c r="AF121" s="123">
        <f t="shared" si="69"/>
        <v>27</v>
      </c>
      <c r="AG121" s="123">
        <f t="shared" si="69"/>
        <v>20</v>
      </c>
      <c r="AH121" s="123">
        <f t="shared" si="69"/>
        <v>8</v>
      </c>
      <c r="AI121" s="123">
        <f t="shared" si="69"/>
        <v>-5</v>
      </c>
      <c r="AJ121" s="123">
        <f t="shared" si="69"/>
        <v>-13</v>
      </c>
      <c r="AK121" s="123">
        <f t="shared" si="69"/>
        <v>-19</v>
      </c>
      <c r="AL121" s="123">
        <f t="shared" si="69"/>
        <v>-20</v>
      </c>
      <c r="AM121" s="123">
        <f t="shared" si="69"/>
        <v>-17</v>
      </c>
      <c r="AN121" s="123">
        <f t="shared" si="69"/>
        <v>-17</v>
      </c>
      <c r="AO121" s="123">
        <f t="shared" si="69"/>
        <v>-13</v>
      </c>
      <c r="AP121" s="123">
        <f t="shared" si="69"/>
        <v>-9</v>
      </c>
      <c r="AQ121" s="123">
        <f t="shared" si="69"/>
        <v>-6</v>
      </c>
      <c r="AR121" s="123">
        <f t="shared" si="69"/>
        <v>-4</v>
      </c>
      <c r="AS121" s="123">
        <f t="shared" si="69"/>
        <v>-3</v>
      </c>
      <c r="AT121" s="123">
        <f t="shared" si="69"/>
        <v>-2</v>
      </c>
      <c r="AU121" s="123">
        <f t="shared" si="69"/>
        <v>-2</v>
      </c>
      <c r="AV121" s="123">
        <f t="shared" si="69"/>
        <v>-3</v>
      </c>
      <c r="AW121" s="123">
        <f t="shared" si="69"/>
        <v>-4</v>
      </c>
      <c r="AX121" s="123">
        <f t="shared" si="69"/>
        <v>-6</v>
      </c>
      <c r="AY121" s="123">
        <f t="shared" si="69"/>
        <v>-7</v>
      </c>
      <c r="AZ121" s="123">
        <f t="shared" si="69"/>
        <v>-8</v>
      </c>
      <c r="BA121" s="123">
        <f t="shared" si="69"/>
        <v>-9</v>
      </c>
      <c r="BB121" s="123">
        <f t="shared" si="69"/>
        <v>-10</v>
      </c>
      <c r="BC121" s="123">
        <f t="shared" si="69"/>
        <v>-10</v>
      </c>
      <c r="BD121" s="123">
        <f t="shared" si="69"/>
        <v>-10</v>
      </c>
      <c r="BE121" s="123">
        <f t="shared" si="69"/>
        <v>-9</v>
      </c>
      <c r="BF121" s="123">
        <f t="shared" si="69"/>
        <v>-8</v>
      </c>
      <c r="BG121" s="123">
        <f t="shared" si="69"/>
        <v>-8</v>
      </c>
      <c r="BH121" s="123">
        <f t="shared" si="69"/>
        <v>-7</v>
      </c>
      <c r="BI121" s="123">
        <f t="shared" si="69"/>
        <v>-7</v>
      </c>
      <c r="BJ121" s="123">
        <f t="shared" si="69"/>
        <v>-7</v>
      </c>
      <c r="BK121" s="123">
        <f t="shared" si="69"/>
        <v>-7</v>
      </c>
      <c r="BL121" s="123">
        <f t="shared" si="69"/>
        <v>-7</v>
      </c>
      <c r="BM121" s="123">
        <f t="shared" si="69"/>
        <v>-7</v>
      </c>
      <c r="BN121" s="123">
        <f t="shared" si="69"/>
        <v>-8</v>
      </c>
      <c r="BO121" s="123">
        <f t="shared" si="69"/>
        <v>-8</v>
      </c>
      <c r="BP121" s="123">
        <f t="shared" si="69"/>
        <v>-8</v>
      </c>
      <c r="BQ121" s="123">
        <f t="shared" si="69"/>
        <v>-8</v>
      </c>
      <c r="BR121" s="123">
        <f t="shared" si="69"/>
        <v>-8</v>
      </c>
      <c r="BS121" s="123">
        <f t="shared" si="69"/>
        <v>-8</v>
      </c>
      <c r="BT121" s="123">
        <f t="shared" si="69"/>
        <v>-7</v>
      </c>
      <c r="BU121" s="123">
        <f t="shared" si="69"/>
        <v>-7</v>
      </c>
      <c r="BV121" s="123">
        <f t="shared" si="69"/>
        <v>-7</v>
      </c>
      <c r="BW121" s="123">
        <f t="shared" si="69"/>
        <v>-7</v>
      </c>
      <c r="BX121" s="123">
        <f t="shared" si="69"/>
        <v>-7</v>
      </c>
      <c r="BY121" s="123">
        <f t="shared" si="69"/>
        <v>-7</v>
      </c>
      <c r="BZ121" s="123">
        <f t="shared" si="69"/>
        <v>-8</v>
      </c>
      <c r="CA121" s="123">
        <f t="shared" si="69"/>
        <v>-8</v>
      </c>
      <c r="CB121" s="123">
        <f t="shared" si="69"/>
        <v>-8</v>
      </c>
      <c r="CC121" s="123">
        <f t="shared" si="69"/>
        <v>-8</v>
      </c>
      <c r="CD121" s="123">
        <f t="shared" si="69"/>
        <v>-8</v>
      </c>
      <c r="CE121" s="123">
        <f t="shared" si="69"/>
        <v>-8</v>
      </c>
      <c r="CF121" s="123">
        <f t="shared" si="69"/>
        <v>-8</v>
      </c>
      <c r="CG121" s="123">
        <f t="shared" si="69"/>
        <v>-8</v>
      </c>
      <c r="CH121" s="123">
        <f t="shared" si="69"/>
        <v>-8</v>
      </c>
      <c r="CI121" s="1"/>
      <c r="CJ121" s="1"/>
      <c r="CK121" s="1"/>
      <c r="CL121" s="1"/>
      <c r="CM121" s="1"/>
      <c r="CN121" s="1"/>
      <c r="CO121" s="1"/>
      <c r="CP121" s="1"/>
    </row>
    <row r="122" ht="15.75" customHeight="1">
      <c r="A122" s="1" t="s">
        <v>94</v>
      </c>
      <c r="B122" s="368"/>
      <c r="C122" s="368">
        <v>-1.0</v>
      </c>
      <c r="D122" s="368">
        <v>-1.0</v>
      </c>
      <c r="E122" s="368">
        <v>-1.0</v>
      </c>
      <c r="F122" s="368">
        <v>-1.0</v>
      </c>
      <c r="G122" s="368">
        <v>-1.0</v>
      </c>
      <c r="H122" s="368">
        <v>-1.0</v>
      </c>
      <c r="I122" s="368">
        <v>-1.0</v>
      </c>
      <c r="J122" s="368">
        <v>-1.0</v>
      </c>
      <c r="K122" s="368">
        <v>-1.0</v>
      </c>
      <c r="L122" s="368">
        <v>-1.0</v>
      </c>
      <c r="M122" s="368">
        <v>-1.0</v>
      </c>
      <c r="N122" s="368">
        <v>-1.0</v>
      </c>
      <c r="O122" s="368">
        <v>-1.0</v>
      </c>
      <c r="P122" s="368">
        <v>-1.0</v>
      </c>
      <c r="Q122" s="368">
        <v>-1.0</v>
      </c>
      <c r="R122" s="368">
        <v>-1.0</v>
      </c>
      <c r="S122" s="368">
        <v>-1.0</v>
      </c>
      <c r="T122" s="368">
        <v>-1.0</v>
      </c>
      <c r="U122" s="368">
        <v>-1.0</v>
      </c>
      <c r="V122" s="368">
        <v>-1.0</v>
      </c>
      <c r="W122" s="368">
        <v>-1.0</v>
      </c>
      <c r="X122" s="368">
        <v>-1.0</v>
      </c>
      <c r="Y122" s="368">
        <v>-1.0</v>
      </c>
      <c r="Z122" s="366">
        <f t="shared" ref="Z122:CH122" si="70">ROUND(Z81/Z147,0)</f>
        <v>-13</v>
      </c>
      <c r="AA122" s="123">
        <f t="shared" si="70"/>
        <v>-22</v>
      </c>
      <c r="AB122" s="123">
        <f t="shared" si="70"/>
        <v>-41</v>
      </c>
      <c r="AC122" s="123">
        <f t="shared" si="70"/>
        <v>-51</v>
      </c>
      <c r="AD122" s="123">
        <f t="shared" si="70"/>
        <v>-34</v>
      </c>
      <c r="AE122" s="123">
        <f t="shared" si="70"/>
        <v>-21</v>
      </c>
      <c r="AF122" s="123">
        <f t="shared" si="70"/>
        <v>-6</v>
      </c>
      <c r="AG122" s="123">
        <f t="shared" si="70"/>
        <v>8</v>
      </c>
      <c r="AH122" s="123">
        <f t="shared" si="70"/>
        <v>15</v>
      </c>
      <c r="AI122" s="123">
        <f t="shared" si="70"/>
        <v>18</v>
      </c>
      <c r="AJ122" s="123">
        <f t="shared" si="70"/>
        <v>17</v>
      </c>
      <c r="AK122" s="123">
        <f t="shared" si="70"/>
        <v>13</v>
      </c>
      <c r="AL122" s="123">
        <f t="shared" si="70"/>
        <v>7</v>
      </c>
      <c r="AM122" s="123">
        <f t="shared" si="70"/>
        <v>0</v>
      </c>
      <c r="AN122" s="123">
        <f t="shared" si="70"/>
        <v>-7</v>
      </c>
      <c r="AO122" s="123">
        <f t="shared" si="70"/>
        <v>-13</v>
      </c>
      <c r="AP122" s="123">
        <f t="shared" si="70"/>
        <v>-17</v>
      </c>
      <c r="AQ122" s="123">
        <f t="shared" si="70"/>
        <v>-20</v>
      </c>
      <c r="AR122" s="123">
        <f t="shared" si="70"/>
        <v>-20</v>
      </c>
      <c r="AS122" s="123">
        <f t="shared" si="70"/>
        <v>-19</v>
      </c>
      <c r="AT122" s="123">
        <f t="shared" si="70"/>
        <v>-17</v>
      </c>
      <c r="AU122" s="123">
        <f t="shared" si="70"/>
        <v>-14</v>
      </c>
      <c r="AV122" s="123">
        <f t="shared" si="70"/>
        <v>-11</v>
      </c>
      <c r="AW122" s="123">
        <f t="shared" si="70"/>
        <v>-9</v>
      </c>
      <c r="AX122" s="123">
        <f t="shared" si="70"/>
        <v>-7</v>
      </c>
      <c r="AY122" s="123">
        <f t="shared" si="70"/>
        <v>-6</v>
      </c>
      <c r="AZ122" s="123">
        <f t="shared" si="70"/>
        <v>-5</v>
      </c>
      <c r="BA122" s="123">
        <f t="shared" si="70"/>
        <v>-6</v>
      </c>
      <c r="BB122" s="123">
        <f t="shared" si="70"/>
        <v>-6</v>
      </c>
      <c r="BC122" s="123">
        <f t="shared" si="70"/>
        <v>-7</v>
      </c>
      <c r="BD122" s="123">
        <f t="shared" si="70"/>
        <v>-9</v>
      </c>
      <c r="BE122" s="123">
        <f t="shared" si="70"/>
        <v>-10</v>
      </c>
      <c r="BF122" s="123">
        <f t="shared" si="70"/>
        <v>-11</v>
      </c>
      <c r="BG122" s="123">
        <f t="shared" si="70"/>
        <v>-11</v>
      </c>
      <c r="BH122" s="123">
        <f t="shared" si="70"/>
        <v>-12</v>
      </c>
      <c r="BI122" s="123">
        <f t="shared" si="70"/>
        <v>-12</v>
      </c>
      <c r="BJ122" s="123">
        <f t="shared" si="70"/>
        <v>-12</v>
      </c>
      <c r="BK122" s="123">
        <f t="shared" si="70"/>
        <v>-11</v>
      </c>
      <c r="BL122" s="123">
        <f t="shared" si="70"/>
        <v>-11</v>
      </c>
      <c r="BM122" s="123">
        <f t="shared" si="70"/>
        <v>-11</v>
      </c>
      <c r="BN122" s="123">
        <f t="shared" si="70"/>
        <v>-11</v>
      </c>
      <c r="BO122" s="123">
        <f t="shared" si="70"/>
        <v>-10</v>
      </c>
      <c r="BP122" s="123">
        <f t="shared" si="70"/>
        <v>-10</v>
      </c>
      <c r="BQ122" s="123">
        <f t="shared" si="70"/>
        <v>-10</v>
      </c>
      <c r="BR122" s="123">
        <f t="shared" si="70"/>
        <v>-9</v>
      </c>
      <c r="BS122" s="123">
        <f t="shared" si="70"/>
        <v>-9</v>
      </c>
      <c r="BT122" s="123">
        <f t="shared" si="70"/>
        <v>-9</v>
      </c>
      <c r="BU122" s="123">
        <f t="shared" si="70"/>
        <v>-9</v>
      </c>
      <c r="BV122" s="123">
        <f t="shared" si="70"/>
        <v>-10</v>
      </c>
      <c r="BW122" s="123">
        <f t="shared" si="70"/>
        <v>-10</v>
      </c>
      <c r="BX122" s="123">
        <f t="shared" si="70"/>
        <v>-10</v>
      </c>
      <c r="BY122" s="123">
        <f t="shared" si="70"/>
        <v>-11</v>
      </c>
      <c r="BZ122" s="123">
        <f t="shared" si="70"/>
        <v>-10</v>
      </c>
      <c r="CA122" s="123">
        <f t="shared" si="70"/>
        <v>-10</v>
      </c>
      <c r="CB122" s="123">
        <f t="shared" si="70"/>
        <v>-11</v>
      </c>
      <c r="CC122" s="123">
        <f t="shared" si="70"/>
        <v>-10</v>
      </c>
      <c r="CD122" s="123">
        <f t="shared" si="70"/>
        <v>-11</v>
      </c>
      <c r="CE122" s="123">
        <f t="shared" si="70"/>
        <v>-11</v>
      </c>
      <c r="CF122" s="123">
        <f t="shared" si="70"/>
        <v>-10</v>
      </c>
      <c r="CG122" s="123">
        <f t="shared" si="70"/>
        <v>-10</v>
      </c>
      <c r="CH122" s="123">
        <f t="shared" si="70"/>
        <v>-10</v>
      </c>
      <c r="CI122" s="1"/>
      <c r="CJ122" s="1"/>
      <c r="CK122" s="1"/>
      <c r="CL122" s="1"/>
      <c r="CM122" s="1"/>
      <c r="CN122" s="1"/>
      <c r="CO122" s="1"/>
      <c r="CP122" s="1"/>
    </row>
    <row r="123" ht="15.75" customHeight="1">
      <c r="A123" s="1" t="s">
        <v>96</v>
      </c>
      <c r="B123" s="368"/>
      <c r="C123" s="368">
        <v>-1.0</v>
      </c>
      <c r="D123" s="368">
        <v>-1.0</v>
      </c>
      <c r="E123" s="368">
        <v>-1.0</v>
      </c>
      <c r="F123" s="368">
        <v>-1.0</v>
      </c>
      <c r="G123" s="368">
        <v>-1.0</v>
      </c>
      <c r="H123" s="368">
        <v>-1.0</v>
      </c>
      <c r="I123" s="368">
        <v>-1.0</v>
      </c>
      <c r="J123" s="368">
        <v>-1.0</v>
      </c>
      <c r="K123" s="368">
        <v>-1.0</v>
      </c>
      <c r="L123" s="368">
        <v>-1.0</v>
      </c>
      <c r="M123" s="368">
        <v>-1.0</v>
      </c>
      <c r="N123" s="368">
        <v>-1.0</v>
      </c>
      <c r="O123" s="368">
        <v>-1.0</v>
      </c>
      <c r="P123" s="368">
        <v>-1.0</v>
      </c>
      <c r="Q123" s="368">
        <v>-1.0</v>
      </c>
      <c r="R123" s="368">
        <v>-1.0</v>
      </c>
      <c r="S123" s="368">
        <v>-1.0</v>
      </c>
      <c r="T123" s="368">
        <v>-1.0</v>
      </c>
      <c r="U123" s="368">
        <v>-1.0</v>
      </c>
      <c r="V123" s="368">
        <v>-1.0</v>
      </c>
      <c r="W123" s="368">
        <v>-1.0</v>
      </c>
      <c r="X123" s="368">
        <v>-1.0</v>
      </c>
      <c r="Y123" s="368">
        <v>-1.0</v>
      </c>
      <c r="Z123" s="366">
        <f t="shared" ref="Z123:CH123" si="71">Z115*-Z66</f>
        <v>-36.5</v>
      </c>
      <c r="AA123" s="123">
        <f t="shared" si="71"/>
        <v>-20</v>
      </c>
      <c r="AB123" s="123">
        <f t="shared" si="71"/>
        <v>-12.5</v>
      </c>
      <c r="AC123" s="123">
        <f t="shared" si="71"/>
        <v>-8.5</v>
      </c>
      <c r="AD123" s="123">
        <f t="shared" si="71"/>
        <v>-6.5</v>
      </c>
      <c r="AE123" s="123">
        <f t="shared" si="71"/>
        <v>-5.5</v>
      </c>
      <c r="AF123" s="123">
        <f t="shared" si="71"/>
        <v>-5</v>
      </c>
      <c r="AG123" s="123">
        <f t="shared" si="71"/>
        <v>-5</v>
      </c>
      <c r="AH123" s="123">
        <f t="shared" si="71"/>
        <v>-5</v>
      </c>
      <c r="AI123" s="123">
        <f t="shared" si="71"/>
        <v>-5</v>
      </c>
      <c r="AJ123" s="123">
        <f t="shared" si="71"/>
        <v>-5</v>
      </c>
      <c r="AK123" s="123">
        <f t="shared" si="71"/>
        <v>-5</v>
      </c>
      <c r="AL123" s="123">
        <f t="shared" si="71"/>
        <v>-5</v>
      </c>
      <c r="AM123" s="123">
        <f t="shared" si="71"/>
        <v>-5</v>
      </c>
      <c r="AN123" s="123">
        <f t="shared" si="71"/>
        <v>-5</v>
      </c>
      <c r="AO123" s="123">
        <f t="shared" si="71"/>
        <v>-5</v>
      </c>
      <c r="AP123" s="123">
        <f t="shared" si="71"/>
        <v>-5</v>
      </c>
      <c r="AQ123" s="123">
        <f t="shared" si="71"/>
        <v>-5</v>
      </c>
      <c r="AR123" s="123">
        <f t="shared" si="71"/>
        <v>-5</v>
      </c>
      <c r="AS123" s="123">
        <f t="shared" si="71"/>
        <v>-5</v>
      </c>
      <c r="AT123" s="123">
        <f t="shared" si="71"/>
        <v>-5</v>
      </c>
      <c r="AU123" s="123">
        <f t="shared" si="71"/>
        <v>-5</v>
      </c>
      <c r="AV123" s="123">
        <f t="shared" si="71"/>
        <v>-5</v>
      </c>
      <c r="AW123" s="123">
        <f t="shared" si="71"/>
        <v>-5</v>
      </c>
      <c r="AX123" s="123">
        <f t="shared" si="71"/>
        <v>-5</v>
      </c>
      <c r="AY123" s="123">
        <f t="shared" si="71"/>
        <v>-5</v>
      </c>
      <c r="AZ123" s="123">
        <f t="shared" si="71"/>
        <v>-5</v>
      </c>
      <c r="BA123" s="123">
        <f t="shared" si="71"/>
        <v>-5</v>
      </c>
      <c r="BB123" s="123">
        <f t="shared" si="71"/>
        <v>-5</v>
      </c>
      <c r="BC123" s="123">
        <f t="shared" si="71"/>
        <v>-5</v>
      </c>
      <c r="BD123" s="123">
        <f t="shared" si="71"/>
        <v>-5</v>
      </c>
      <c r="BE123" s="123">
        <f t="shared" si="71"/>
        <v>-5</v>
      </c>
      <c r="BF123" s="123">
        <f t="shared" si="71"/>
        <v>-5</v>
      </c>
      <c r="BG123" s="123">
        <f t="shared" si="71"/>
        <v>-5</v>
      </c>
      <c r="BH123" s="123">
        <f t="shared" si="71"/>
        <v>-5</v>
      </c>
      <c r="BI123" s="123">
        <f t="shared" si="71"/>
        <v>-5</v>
      </c>
      <c r="BJ123" s="123">
        <f t="shared" si="71"/>
        <v>-5</v>
      </c>
      <c r="BK123" s="123">
        <f t="shared" si="71"/>
        <v>-5</v>
      </c>
      <c r="BL123" s="123">
        <f t="shared" si="71"/>
        <v>-5</v>
      </c>
      <c r="BM123" s="123">
        <f t="shared" si="71"/>
        <v>-5</v>
      </c>
      <c r="BN123" s="123">
        <f t="shared" si="71"/>
        <v>-5</v>
      </c>
      <c r="BO123" s="123">
        <f t="shared" si="71"/>
        <v>-5</v>
      </c>
      <c r="BP123" s="123">
        <f t="shared" si="71"/>
        <v>-5</v>
      </c>
      <c r="BQ123" s="123">
        <f t="shared" si="71"/>
        <v>-5</v>
      </c>
      <c r="BR123" s="123">
        <f t="shared" si="71"/>
        <v>-5</v>
      </c>
      <c r="BS123" s="123">
        <f t="shared" si="71"/>
        <v>-5</v>
      </c>
      <c r="BT123" s="123">
        <f t="shared" si="71"/>
        <v>-5</v>
      </c>
      <c r="BU123" s="123">
        <f t="shared" si="71"/>
        <v>-5</v>
      </c>
      <c r="BV123" s="123">
        <f t="shared" si="71"/>
        <v>-5</v>
      </c>
      <c r="BW123" s="123">
        <f t="shared" si="71"/>
        <v>-5</v>
      </c>
      <c r="BX123" s="123">
        <f t="shared" si="71"/>
        <v>-5</v>
      </c>
      <c r="BY123" s="123">
        <f t="shared" si="71"/>
        <v>-5</v>
      </c>
      <c r="BZ123" s="123">
        <f t="shared" si="71"/>
        <v>-5</v>
      </c>
      <c r="CA123" s="123">
        <f t="shared" si="71"/>
        <v>-5</v>
      </c>
      <c r="CB123" s="123">
        <f t="shared" si="71"/>
        <v>-5</v>
      </c>
      <c r="CC123" s="123">
        <f t="shared" si="71"/>
        <v>-5</v>
      </c>
      <c r="CD123" s="123">
        <f t="shared" si="71"/>
        <v>-5</v>
      </c>
      <c r="CE123" s="123">
        <f t="shared" si="71"/>
        <v>-5</v>
      </c>
      <c r="CF123" s="123">
        <f t="shared" si="71"/>
        <v>-5</v>
      </c>
      <c r="CG123" s="123">
        <f t="shared" si="71"/>
        <v>-5</v>
      </c>
      <c r="CH123" s="123">
        <f t="shared" si="71"/>
        <v>-5</v>
      </c>
      <c r="CI123" s="1"/>
      <c r="CJ123" s="1"/>
      <c r="CK123" s="1"/>
      <c r="CL123" s="1"/>
      <c r="CM123" s="1"/>
      <c r="CN123" s="1"/>
      <c r="CO123" s="1"/>
      <c r="CP123" s="1"/>
    </row>
    <row r="124" ht="15.75" customHeight="1">
      <c r="A124" s="119" t="s">
        <v>666</v>
      </c>
      <c r="B124" s="412"/>
      <c r="C124" s="412">
        <f t="shared" ref="C124:CH124" si="72">SUM(C118:C123)</f>
        <v>-6</v>
      </c>
      <c r="D124" s="412">
        <f t="shared" si="72"/>
        <v>-6</v>
      </c>
      <c r="E124" s="412">
        <f t="shared" si="72"/>
        <v>-6</v>
      </c>
      <c r="F124" s="412">
        <f t="shared" si="72"/>
        <v>-6</v>
      </c>
      <c r="G124" s="412">
        <f t="shared" si="72"/>
        <v>-6</v>
      </c>
      <c r="H124" s="412">
        <f t="shared" si="72"/>
        <v>-6</v>
      </c>
      <c r="I124" s="412">
        <f t="shared" si="72"/>
        <v>-6</v>
      </c>
      <c r="J124" s="412">
        <f t="shared" si="72"/>
        <v>-6</v>
      </c>
      <c r="K124" s="412">
        <f t="shared" si="72"/>
        <v>-6</v>
      </c>
      <c r="L124" s="412">
        <f t="shared" si="72"/>
        <v>-6</v>
      </c>
      <c r="M124" s="412">
        <f t="shared" si="72"/>
        <v>-6</v>
      </c>
      <c r="N124" s="412">
        <f t="shared" si="72"/>
        <v>-6</v>
      </c>
      <c r="O124" s="412">
        <f t="shared" si="72"/>
        <v>-6</v>
      </c>
      <c r="P124" s="412">
        <f t="shared" si="72"/>
        <v>-6</v>
      </c>
      <c r="Q124" s="412">
        <f t="shared" si="72"/>
        <v>-6</v>
      </c>
      <c r="R124" s="412">
        <f t="shared" si="72"/>
        <v>-6</v>
      </c>
      <c r="S124" s="412">
        <f t="shared" si="72"/>
        <v>-6</v>
      </c>
      <c r="T124" s="412">
        <f t="shared" si="72"/>
        <v>-6</v>
      </c>
      <c r="U124" s="412">
        <f t="shared" si="72"/>
        <v>-6</v>
      </c>
      <c r="V124" s="412">
        <f t="shared" si="72"/>
        <v>-6</v>
      </c>
      <c r="W124" s="412">
        <f t="shared" si="72"/>
        <v>-6</v>
      </c>
      <c r="X124" s="412">
        <f t="shared" si="72"/>
        <v>-6</v>
      </c>
      <c r="Y124" s="412">
        <f t="shared" si="72"/>
        <v>-6</v>
      </c>
      <c r="Z124" s="412">
        <f t="shared" si="72"/>
        <v>-110.5</v>
      </c>
      <c r="AA124" s="412">
        <f t="shared" si="72"/>
        <v>-121</v>
      </c>
      <c r="AB124" s="412">
        <f t="shared" si="72"/>
        <v>-119.5</v>
      </c>
      <c r="AC124" s="412">
        <f t="shared" si="72"/>
        <v>-99.5</v>
      </c>
      <c r="AD124" s="412">
        <f t="shared" si="72"/>
        <v>-54.5</v>
      </c>
      <c r="AE124" s="412">
        <f t="shared" si="72"/>
        <v>-27.5</v>
      </c>
      <c r="AF124" s="412">
        <f t="shared" si="72"/>
        <v>-20</v>
      </c>
      <c r="AG124" s="412">
        <f t="shared" si="72"/>
        <v>-14</v>
      </c>
      <c r="AH124" s="412">
        <f t="shared" si="72"/>
        <v>-11</v>
      </c>
      <c r="AI124" s="412">
        <f t="shared" si="72"/>
        <v>-24</v>
      </c>
      <c r="AJ124" s="412">
        <f t="shared" si="72"/>
        <v>-43</v>
      </c>
      <c r="AK124" s="412">
        <f t="shared" si="72"/>
        <v>-52</v>
      </c>
      <c r="AL124" s="412">
        <f t="shared" si="72"/>
        <v>-53</v>
      </c>
      <c r="AM124" s="412">
        <f t="shared" si="72"/>
        <v>-54</v>
      </c>
      <c r="AN124" s="412">
        <f t="shared" si="72"/>
        <v>-58</v>
      </c>
      <c r="AO124" s="412">
        <f t="shared" si="72"/>
        <v>-57</v>
      </c>
      <c r="AP124" s="412">
        <f t="shared" si="72"/>
        <v>-54</v>
      </c>
      <c r="AQ124" s="412">
        <f t="shared" si="72"/>
        <v>-51</v>
      </c>
      <c r="AR124" s="412">
        <f t="shared" si="72"/>
        <v>-45</v>
      </c>
      <c r="AS124" s="412">
        <f t="shared" si="72"/>
        <v>-42</v>
      </c>
      <c r="AT124" s="412">
        <f t="shared" si="72"/>
        <v>-37</v>
      </c>
      <c r="AU124" s="412">
        <f t="shared" si="72"/>
        <v>-33</v>
      </c>
      <c r="AV124" s="412">
        <f t="shared" si="72"/>
        <v>-29</v>
      </c>
      <c r="AW124" s="412">
        <f t="shared" si="72"/>
        <v>-27</v>
      </c>
      <c r="AX124" s="412">
        <f t="shared" si="72"/>
        <v>-25</v>
      </c>
      <c r="AY124" s="412">
        <f t="shared" si="72"/>
        <v>-24</v>
      </c>
      <c r="AZ124" s="412">
        <f t="shared" si="72"/>
        <v>-22</v>
      </c>
      <c r="BA124" s="412">
        <f t="shared" si="72"/>
        <v>-24</v>
      </c>
      <c r="BB124" s="412">
        <f t="shared" si="72"/>
        <v>-25</v>
      </c>
      <c r="BC124" s="412">
        <f t="shared" si="72"/>
        <v>-26</v>
      </c>
      <c r="BD124" s="412">
        <f t="shared" si="72"/>
        <v>-28</v>
      </c>
      <c r="BE124" s="412">
        <f t="shared" si="72"/>
        <v>-28</v>
      </c>
      <c r="BF124" s="412">
        <f t="shared" si="72"/>
        <v>-28</v>
      </c>
      <c r="BG124" s="412">
        <f t="shared" si="72"/>
        <v>-28</v>
      </c>
      <c r="BH124" s="412">
        <f t="shared" si="72"/>
        <v>-28</v>
      </c>
      <c r="BI124" s="412">
        <f t="shared" si="72"/>
        <v>-29</v>
      </c>
      <c r="BJ124" s="412">
        <f t="shared" si="72"/>
        <v>-31</v>
      </c>
      <c r="BK124" s="412">
        <f t="shared" si="72"/>
        <v>-30</v>
      </c>
      <c r="BL124" s="412">
        <f t="shared" si="72"/>
        <v>-30</v>
      </c>
      <c r="BM124" s="412">
        <f t="shared" si="72"/>
        <v>-30</v>
      </c>
      <c r="BN124" s="412">
        <f t="shared" si="72"/>
        <v>-32</v>
      </c>
      <c r="BO124" s="412">
        <f t="shared" si="72"/>
        <v>-33</v>
      </c>
      <c r="BP124" s="412">
        <f t="shared" si="72"/>
        <v>-33</v>
      </c>
      <c r="BQ124" s="412">
        <f t="shared" si="72"/>
        <v>-33</v>
      </c>
      <c r="BR124" s="412">
        <f t="shared" si="72"/>
        <v>-32</v>
      </c>
      <c r="BS124" s="412">
        <f t="shared" si="72"/>
        <v>-33</v>
      </c>
      <c r="BT124" s="412">
        <f t="shared" si="72"/>
        <v>-34</v>
      </c>
      <c r="BU124" s="412">
        <f t="shared" si="72"/>
        <v>-34</v>
      </c>
      <c r="BV124" s="412">
        <f t="shared" si="72"/>
        <v>-35</v>
      </c>
      <c r="BW124" s="412">
        <f t="shared" si="72"/>
        <v>-35</v>
      </c>
      <c r="BX124" s="412">
        <f t="shared" si="72"/>
        <v>-35</v>
      </c>
      <c r="BY124" s="412">
        <f t="shared" si="72"/>
        <v>-38</v>
      </c>
      <c r="BZ124" s="412">
        <f t="shared" si="72"/>
        <v>-38</v>
      </c>
      <c r="CA124" s="412">
        <f t="shared" si="72"/>
        <v>-38</v>
      </c>
      <c r="CB124" s="412">
        <f t="shared" si="72"/>
        <v>-40</v>
      </c>
      <c r="CC124" s="412">
        <f t="shared" si="72"/>
        <v>-39</v>
      </c>
      <c r="CD124" s="412">
        <f t="shared" si="72"/>
        <v>-40</v>
      </c>
      <c r="CE124" s="412">
        <f t="shared" si="72"/>
        <v>-40</v>
      </c>
      <c r="CF124" s="412">
        <f t="shared" si="72"/>
        <v>-39</v>
      </c>
      <c r="CG124" s="412">
        <f t="shared" si="72"/>
        <v>-39</v>
      </c>
      <c r="CH124" s="412">
        <f t="shared" si="72"/>
        <v>-40</v>
      </c>
      <c r="CI124" s="1"/>
      <c r="CJ124" s="1"/>
      <c r="CK124" s="1"/>
      <c r="CL124" s="1"/>
      <c r="CM124" s="1"/>
      <c r="CN124" s="1"/>
      <c r="CO124" s="1"/>
      <c r="CP124" s="1"/>
    </row>
    <row r="125" ht="15.75" customHeight="1">
      <c r="A125" s="1"/>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c r="AB125" s="146"/>
      <c r="AC125" s="146"/>
      <c r="AD125" s="146"/>
      <c r="AE125" s="146"/>
      <c r="AF125" s="146"/>
      <c r="AG125" s="146"/>
      <c r="AH125" s="146"/>
      <c r="AI125" s="146"/>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6"/>
      <c r="BE125" s="146"/>
      <c r="BF125" s="146"/>
      <c r="BG125" s="146"/>
      <c r="BH125" s="146"/>
      <c r="BI125" s="146"/>
      <c r="BJ125" s="146"/>
      <c r="BK125" s="146"/>
      <c r="BL125" s="146"/>
      <c r="BM125" s="146"/>
      <c r="BN125" s="146"/>
      <c r="BO125" s="146"/>
      <c r="BP125" s="146"/>
      <c r="BQ125" s="146"/>
      <c r="BR125" s="146"/>
      <c r="BS125" s="146"/>
      <c r="BT125" s="146"/>
      <c r="BU125" s="146"/>
      <c r="BV125" s="146"/>
      <c r="BW125" s="146"/>
      <c r="BX125" s="146"/>
      <c r="BY125" s="146"/>
      <c r="BZ125" s="146"/>
      <c r="CA125" s="146"/>
      <c r="CB125" s="146"/>
      <c r="CC125" s="146"/>
      <c r="CD125" s="146"/>
      <c r="CE125" s="146"/>
      <c r="CF125" s="146"/>
      <c r="CG125" s="146"/>
      <c r="CH125" s="146"/>
      <c r="CI125" s="343"/>
      <c r="CJ125" s="343"/>
      <c r="CK125" s="343"/>
      <c r="CL125" s="343"/>
      <c r="CM125" s="343"/>
      <c r="CN125" s="343"/>
      <c r="CO125" s="343"/>
      <c r="CP125" s="343"/>
    </row>
    <row r="126" ht="15.75" customHeight="1">
      <c r="A126" s="343" t="s">
        <v>129</v>
      </c>
      <c r="B126" s="413"/>
      <c r="C126" s="413">
        <f t="shared" ref="C126:CH126" si="73">SUM(C102,C110,C118)</f>
        <v>51</v>
      </c>
      <c r="D126" s="413">
        <f t="shared" si="73"/>
        <v>52</v>
      </c>
      <c r="E126" s="413">
        <f t="shared" si="73"/>
        <v>53</v>
      </c>
      <c r="F126" s="413">
        <f t="shared" si="73"/>
        <v>54</v>
      </c>
      <c r="G126" s="413">
        <f t="shared" si="73"/>
        <v>55</v>
      </c>
      <c r="H126" s="413">
        <f t="shared" si="73"/>
        <v>56</v>
      </c>
      <c r="I126" s="413">
        <f t="shared" si="73"/>
        <v>57</v>
      </c>
      <c r="J126" s="413">
        <f t="shared" si="73"/>
        <v>58</v>
      </c>
      <c r="K126" s="413">
        <f t="shared" si="73"/>
        <v>59</v>
      </c>
      <c r="L126" s="413">
        <f t="shared" si="73"/>
        <v>60</v>
      </c>
      <c r="M126" s="413">
        <f t="shared" si="73"/>
        <v>61</v>
      </c>
      <c r="N126" s="413">
        <f t="shared" si="73"/>
        <v>62</v>
      </c>
      <c r="O126" s="413">
        <f t="shared" si="73"/>
        <v>63</v>
      </c>
      <c r="P126" s="413">
        <f t="shared" si="73"/>
        <v>64</v>
      </c>
      <c r="Q126" s="413">
        <f t="shared" si="73"/>
        <v>65</v>
      </c>
      <c r="R126" s="413">
        <f t="shared" si="73"/>
        <v>66</v>
      </c>
      <c r="S126" s="413">
        <f t="shared" si="73"/>
        <v>67</v>
      </c>
      <c r="T126" s="413">
        <f t="shared" si="73"/>
        <v>68</v>
      </c>
      <c r="U126" s="413">
        <f t="shared" si="73"/>
        <v>69</v>
      </c>
      <c r="V126" s="413">
        <f t="shared" si="73"/>
        <v>70</v>
      </c>
      <c r="W126" s="413">
        <f t="shared" si="73"/>
        <v>71</v>
      </c>
      <c r="X126" s="413">
        <f t="shared" si="73"/>
        <v>72</v>
      </c>
      <c r="Y126" s="413">
        <f t="shared" si="73"/>
        <v>73</v>
      </c>
      <c r="Z126" s="414">
        <f t="shared" si="73"/>
        <v>72.38979013</v>
      </c>
      <c r="AA126" s="414">
        <f t="shared" si="73"/>
        <v>71.600489</v>
      </c>
      <c r="AB126" s="414">
        <f t="shared" si="73"/>
        <v>70.59679131</v>
      </c>
      <c r="AC126" s="414">
        <f t="shared" si="73"/>
        <v>69.97390002</v>
      </c>
      <c r="AD126" s="414">
        <f t="shared" si="73"/>
        <v>67.61958762</v>
      </c>
      <c r="AE126" s="414">
        <f t="shared" si="73"/>
        <v>67.60282768</v>
      </c>
      <c r="AF126" s="414">
        <f t="shared" si="73"/>
        <v>62.66209419</v>
      </c>
      <c r="AG126" s="414">
        <f t="shared" si="73"/>
        <v>60.78568306</v>
      </c>
      <c r="AH126" s="414">
        <f t="shared" si="73"/>
        <v>58.968746</v>
      </c>
      <c r="AI126" s="414">
        <f t="shared" si="73"/>
        <v>55.37352338</v>
      </c>
      <c r="AJ126" s="414">
        <f t="shared" si="73"/>
        <v>48.63994437</v>
      </c>
      <c r="AK126" s="414">
        <f t="shared" si="73"/>
        <v>46.03567639</v>
      </c>
      <c r="AL126" s="414">
        <f t="shared" si="73"/>
        <v>45.60751404</v>
      </c>
      <c r="AM126" s="414">
        <f t="shared" si="73"/>
        <v>43.05209674</v>
      </c>
      <c r="AN126" s="414">
        <f t="shared" si="73"/>
        <v>40.53313134</v>
      </c>
      <c r="AO126" s="414">
        <f t="shared" si="73"/>
        <v>38.88088871</v>
      </c>
      <c r="AP126" s="414">
        <f t="shared" si="73"/>
        <v>38.27879674</v>
      </c>
      <c r="AQ126" s="414">
        <f t="shared" si="73"/>
        <v>38.72733655</v>
      </c>
      <c r="AR126" s="414">
        <f t="shared" si="73"/>
        <v>40.21069653</v>
      </c>
      <c r="AS126" s="414">
        <f t="shared" si="73"/>
        <v>41.7454899</v>
      </c>
      <c r="AT126" s="414">
        <f t="shared" si="73"/>
        <v>44.33221179</v>
      </c>
      <c r="AU126" s="414">
        <f t="shared" si="73"/>
        <v>46.97136276</v>
      </c>
      <c r="AV126" s="414">
        <f t="shared" si="73"/>
        <v>50.66344894</v>
      </c>
      <c r="AW126" s="414">
        <f t="shared" si="73"/>
        <v>54.40898203</v>
      </c>
      <c r="AX126" s="414">
        <f t="shared" si="73"/>
        <v>58.2084794</v>
      </c>
      <c r="AY126" s="414">
        <f t="shared" si="73"/>
        <v>63.04469551</v>
      </c>
      <c r="AZ126" s="414">
        <f t="shared" si="73"/>
        <v>67.95112215</v>
      </c>
      <c r="BA126" s="414">
        <f t="shared" si="73"/>
        <v>72.9116515</v>
      </c>
      <c r="BB126" s="414">
        <f t="shared" si="73"/>
        <v>77.92678951</v>
      </c>
      <c r="BC126" s="414">
        <f t="shared" si="73"/>
        <v>82.99704746</v>
      </c>
      <c r="BD126" s="414">
        <f t="shared" si="73"/>
        <v>88.12294206</v>
      </c>
      <c r="BE126" s="414">
        <f t="shared" si="73"/>
        <v>93.3049955</v>
      </c>
      <c r="BF126" s="414">
        <f t="shared" si="73"/>
        <v>98.54373552</v>
      </c>
      <c r="BG126" s="414">
        <f t="shared" si="73"/>
        <v>103.8396954</v>
      </c>
      <c r="BH126" s="414">
        <f t="shared" si="73"/>
        <v>109.1934143</v>
      </c>
      <c r="BI126" s="414">
        <f t="shared" si="73"/>
        <v>113.6054368</v>
      </c>
      <c r="BJ126" s="414">
        <f t="shared" si="73"/>
        <v>118.0763134</v>
      </c>
      <c r="BK126" s="414">
        <f t="shared" si="73"/>
        <v>122.491837</v>
      </c>
      <c r="BL126" s="414">
        <f t="shared" si="73"/>
        <v>126.7027863</v>
      </c>
      <c r="BM126" s="414">
        <f t="shared" si="73"/>
        <v>130.7014982</v>
      </c>
      <c r="BN126" s="414">
        <f t="shared" si="73"/>
        <v>133.7646418</v>
      </c>
      <c r="BO126" s="414">
        <f t="shared" si="73"/>
        <v>136.8931422</v>
      </c>
      <c r="BP126" s="414">
        <f t="shared" si="73"/>
        <v>140.0879448</v>
      </c>
      <c r="BQ126" s="414">
        <f t="shared" si="73"/>
        <v>143.3500153</v>
      </c>
      <c r="BR126" s="414">
        <f t="shared" si="73"/>
        <v>146.6803406</v>
      </c>
      <c r="BS126" s="414">
        <f t="shared" si="73"/>
        <v>149.0799293</v>
      </c>
      <c r="BT126" s="414">
        <f t="shared" si="73"/>
        <v>151.5498123</v>
      </c>
      <c r="BU126" s="414">
        <f t="shared" si="73"/>
        <v>154.0910434</v>
      </c>
      <c r="BV126" s="414">
        <f t="shared" si="73"/>
        <v>156.7046998</v>
      </c>
      <c r="BW126" s="414">
        <f t="shared" si="73"/>
        <v>159.4519305</v>
      </c>
      <c r="BX126" s="414">
        <f t="shared" si="73"/>
        <v>161.8606106</v>
      </c>
      <c r="BY126" s="414">
        <f t="shared" si="73"/>
        <v>163.0158364</v>
      </c>
      <c r="BZ126" s="414">
        <f t="shared" si="73"/>
        <v>164.2043854</v>
      </c>
      <c r="CA126" s="414">
        <f t="shared" si="73"/>
        <v>165.4271509</v>
      </c>
      <c r="CB126" s="414">
        <f t="shared" si="73"/>
        <v>166.6850199</v>
      </c>
      <c r="CC126" s="414">
        <f t="shared" si="73"/>
        <v>167.9788733</v>
      </c>
      <c r="CD126" s="414">
        <f t="shared" si="73"/>
        <v>169.3095864</v>
      </c>
      <c r="CE126" s="414">
        <f t="shared" si="73"/>
        <v>170.678029</v>
      </c>
      <c r="CF126" s="414">
        <f t="shared" si="73"/>
        <v>172.085066</v>
      </c>
      <c r="CG126" s="414">
        <f t="shared" si="73"/>
        <v>173.5315577</v>
      </c>
      <c r="CH126" s="414">
        <f t="shared" si="73"/>
        <v>175.0183597</v>
      </c>
      <c r="CI126" s="343"/>
      <c r="CJ126" s="343"/>
      <c r="CK126" s="343"/>
      <c r="CL126" s="343"/>
      <c r="CM126" s="343"/>
      <c r="CN126" s="343"/>
      <c r="CO126" s="343"/>
      <c r="CP126" s="343"/>
    </row>
    <row r="127" ht="15.75" customHeight="1">
      <c r="A127" s="343" t="s">
        <v>85</v>
      </c>
      <c r="B127" s="413"/>
      <c r="C127" s="413">
        <f t="shared" ref="C127:CH127" si="74">SUM(C103,C111,C119)</f>
        <v>51</v>
      </c>
      <c r="D127" s="413">
        <f t="shared" si="74"/>
        <v>52</v>
      </c>
      <c r="E127" s="413">
        <f t="shared" si="74"/>
        <v>53</v>
      </c>
      <c r="F127" s="413">
        <f t="shared" si="74"/>
        <v>54</v>
      </c>
      <c r="G127" s="413">
        <f t="shared" si="74"/>
        <v>55</v>
      </c>
      <c r="H127" s="413">
        <f t="shared" si="74"/>
        <v>56</v>
      </c>
      <c r="I127" s="413">
        <f t="shared" si="74"/>
        <v>57</v>
      </c>
      <c r="J127" s="413">
        <f t="shared" si="74"/>
        <v>58</v>
      </c>
      <c r="K127" s="413">
        <f t="shared" si="74"/>
        <v>59</v>
      </c>
      <c r="L127" s="413">
        <f t="shared" si="74"/>
        <v>60</v>
      </c>
      <c r="M127" s="413">
        <f t="shared" si="74"/>
        <v>61</v>
      </c>
      <c r="N127" s="413">
        <f t="shared" si="74"/>
        <v>62</v>
      </c>
      <c r="O127" s="413">
        <f t="shared" si="74"/>
        <v>63</v>
      </c>
      <c r="P127" s="413">
        <f t="shared" si="74"/>
        <v>64</v>
      </c>
      <c r="Q127" s="413">
        <f t="shared" si="74"/>
        <v>65</v>
      </c>
      <c r="R127" s="413">
        <f t="shared" si="74"/>
        <v>66</v>
      </c>
      <c r="S127" s="413">
        <f t="shared" si="74"/>
        <v>67</v>
      </c>
      <c r="T127" s="413">
        <f t="shared" si="74"/>
        <v>68</v>
      </c>
      <c r="U127" s="413">
        <f t="shared" si="74"/>
        <v>69</v>
      </c>
      <c r="V127" s="413">
        <f t="shared" si="74"/>
        <v>70</v>
      </c>
      <c r="W127" s="413">
        <f t="shared" si="74"/>
        <v>71</v>
      </c>
      <c r="X127" s="413">
        <f t="shared" si="74"/>
        <v>72</v>
      </c>
      <c r="Y127" s="413">
        <f t="shared" si="74"/>
        <v>73</v>
      </c>
      <c r="Z127" s="414">
        <f t="shared" si="74"/>
        <v>76.34762409</v>
      </c>
      <c r="AA127" s="414">
        <f t="shared" si="74"/>
        <v>79.6541221</v>
      </c>
      <c r="AB127" s="414">
        <f t="shared" si="74"/>
        <v>82.83254532</v>
      </c>
      <c r="AC127" s="414">
        <f t="shared" si="74"/>
        <v>83.49343905</v>
      </c>
      <c r="AD127" s="414">
        <f t="shared" si="74"/>
        <v>84.53354831</v>
      </c>
      <c r="AE127" s="414">
        <f t="shared" si="74"/>
        <v>83.80383645</v>
      </c>
      <c r="AF127" s="414">
        <f t="shared" si="74"/>
        <v>82.97859</v>
      </c>
      <c r="AG127" s="414">
        <f t="shared" si="74"/>
        <v>75.31979639</v>
      </c>
      <c r="AH127" s="414">
        <f t="shared" si="74"/>
        <v>74.72455508</v>
      </c>
      <c r="AI127" s="414">
        <f t="shared" si="74"/>
        <v>74.25765277</v>
      </c>
      <c r="AJ127" s="414">
        <f t="shared" si="74"/>
        <v>66.69401078</v>
      </c>
      <c r="AK127" s="414">
        <f t="shared" si="74"/>
        <v>60.26775386</v>
      </c>
      <c r="AL127" s="414">
        <f t="shared" si="74"/>
        <v>55.02859845</v>
      </c>
      <c r="AM127" s="414">
        <f t="shared" si="74"/>
        <v>50.59007234</v>
      </c>
      <c r="AN127" s="414">
        <f t="shared" si="74"/>
        <v>46.2322175</v>
      </c>
      <c r="AO127" s="414">
        <f t="shared" si="74"/>
        <v>42.74494169</v>
      </c>
      <c r="AP127" s="414">
        <f t="shared" si="74"/>
        <v>40.30979099</v>
      </c>
      <c r="AQ127" s="414">
        <f t="shared" si="74"/>
        <v>38.92727078</v>
      </c>
      <c r="AR127" s="414">
        <f t="shared" si="74"/>
        <v>38.58057638</v>
      </c>
      <c r="AS127" s="414">
        <f t="shared" si="74"/>
        <v>39.28735247</v>
      </c>
      <c r="AT127" s="414">
        <f t="shared" si="74"/>
        <v>40.04811922</v>
      </c>
      <c r="AU127" s="414">
        <f t="shared" si="74"/>
        <v>41.86340257</v>
      </c>
      <c r="AV127" s="414">
        <f t="shared" si="74"/>
        <v>43.73373429</v>
      </c>
      <c r="AW127" s="414">
        <f t="shared" si="74"/>
        <v>46.65965209</v>
      </c>
      <c r="AX127" s="414">
        <f t="shared" si="74"/>
        <v>50.64169964</v>
      </c>
      <c r="AY127" s="414">
        <f t="shared" si="74"/>
        <v>54.66154861</v>
      </c>
      <c r="AZ127" s="414">
        <f t="shared" si="74"/>
        <v>59.75355983</v>
      </c>
      <c r="BA127" s="414">
        <f t="shared" si="74"/>
        <v>64.90182366</v>
      </c>
      <c r="BB127" s="414">
        <f t="shared" si="74"/>
        <v>70.10687149</v>
      </c>
      <c r="BC127" s="414">
        <f t="shared" si="74"/>
        <v>75.36924035</v>
      </c>
      <c r="BD127" s="414">
        <f t="shared" si="74"/>
        <v>80.68947302</v>
      </c>
      <c r="BE127" s="414">
        <f t="shared" si="74"/>
        <v>86.06811805</v>
      </c>
      <c r="BF127" s="414">
        <f t="shared" si="74"/>
        <v>91.50572987</v>
      </c>
      <c r="BG127" s="414">
        <f t="shared" si="74"/>
        <v>97.00286881</v>
      </c>
      <c r="BH127" s="414">
        <f t="shared" si="74"/>
        <v>102.5601012</v>
      </c>
      <c r="BI127" s="414">
        <f t="shared" si="74"/>
        <v>108.1779994</v>
      </c>
      <c r="BJ127" s="414">
        <f t="shared" si="74"/>
        <v>112.8571421</v>
      </c>
      <c r="BK127" s="414">
        <f t="shared" si="74"/>
        <v>117.4761843</v>
      </c>
      <c r="BL127" s="414">
        <f t="shared" si="74"/>
        <v>121.8908539</v>
      </c>
      <c r="BM127" s="414">
        <f t="shared" si="74"/>
        <v>126.0788015</v>
      </c>
      <c r="BN127" s="414">
        <f t="shared" si="74"/>
        <v>130.3339651</v>
      </c>
      <c r="BO127" s="414">
        <f t="shared" si="74"/>
        <v>133.6573213</v>
      </c>
      <c r="BP127" s="414">
        <f t="shared" si="74"/>
        <v>137.0498684</v>
      </c>
      <c r="BQ127" s="414">
        <f t="shared" si="74"/>
        <v>140.512626</v>
      </c>
      <c r="BR127" s="414">
        <f t="shared" si="74"/>
        <v>144.0466365</v>
      </c>
      <c r="BS127" s="414">
        <f t="shared" si="74"/>
        <v>147.652965</v>
      </c>
      <c r="BT127" s="414">
        <f t="shared" si="74"/>
        <v>150.3327006</v>
      </c>
      <c r="BU127" s="414">
        <f t="shared" si="74"/>
        <v>153.0869563</v>
      </c>
      <c r="BV127" s="414">
        <f t="shared" si="74"/>
        <v>155.9168704</v>
      </c>
      <c r="BW127" s="414">
        <f t="shared" si="74"/>
        <v>158.8874032</v>
      </c>
      <c r="BX127" s="414">
        <f t="shared" si="74"/>
        <v>161.5242895</v>
      </c>
      <c r="BY127" s="414">
        <f t="shared" si="74"/>
        <v>162.890724</v>
      </c>
      <c r="BZ127" s="414">
        <f t="shared" si="74"/>
        <v>164.2913847</v>
      </c>
      <c r="CA127" s="414">
        <f t="shared" si="74"/>
        <v>165.7272147</v>
      </c>
      <c r="CB127" s="414">
        <f t="shared" si="74"/>
        <v>167.1991504</v>
      </c>
      <c r="CC127" s="414">
        <f t="shared" si="74"/>
        <v>168.7081218</v>
      </c>
      <c r="CD127" s="414">
        <f t="shared" si="74"/>
        <v>170.2550528</v>
      </c>
      <c r="CE127" s="414">
        <f t="shared" si="74"/>
        <v>171.8408616</v>
      </c>
      <c r="CF127" s="414">
        <f t="shared" si="74"/>
        <v>173.4664611</v>
      </c>
      <c r="CG127" s="414">
        <f t="shared" si="74"/>
        <v>175.1327591</v>
      </c>
      <c r="CH127" s="414">
        <f t="shared" si="74"/>
        <v>175.8406587</v>
      </c>
      <c r="CI127" s="343"/>
      <c r="CJ127" s="343"/>
      <c r="CK127" s="343"/>
      <c r="CL127" s="343"/>
      <c r="CM127" s="343"/>
      <c r="CN127" s="343"/>
      <c r="CO127" s="343"/>
      <c r="CP127" s="343"/>
    </row>
    <row r="128" ht="15.75" customHeight="1">
      <c r="A128" s="343" t="s">
        <v>130</v>
      </c>
      <c r="B128" s="413"/>
      <c r="C128" s="413">
        <f t="shared" ref="C128:CH128" si="75">SUM(C104,C112,C120)</f>
        <v>51</v>
      </c>
      <c r="D128" s="413">
        <f t="shared" si="75"/>
        <v>52</v>
      </c>
      <c r="E128" s="413">
        <f t="shared" si="75"/>
        <v>53</v>
      </c>
      <c r="F128" s="413">
        <f t="shared" si="75"/>
        <v>54</v>
      </c>
      <c r="G128" s="413">
        <f t="shared" si="75"/>
        <v>55</v>
      </c>
      <c r="H128" s="413">
        <f t="shared" si="75"/>
        <v>56</v>
      </c>
      <c r="I128" s="413">
        <f t="shared" si="75"/>
        <v>57</v>
      </c>
      <c r="J128" s="413">
        <f t="shared" si="75"/>
        <v>58</v>
      </c>
      <c r="K128" s="413">
        <f t="shared" si="75"/>
        <v>59</v>
      </c>
      <c r="L128" s="413">
        <f t="shared" si="75"/>
        <v>60</v>
      </c>
      <c r="M128" s="413">
        <f t="shared" si="75"/>
        <v>61</v>
      </c>
      <c r="N128" s="413">
        <f t="shared" si="75"/>
        <v>62</v>
      </c>
      <c r="O128" s="413">
        <f t="shared" si="75"/>
        <v>63</v>
      </c>
      <c r="P128" s="413">
        <f t="shared" si="75"/>
        <v>64</v>
      </c>
      <c r="Q128" s="413">
        <f t="shared" si="75"/>
        <v>65</v>
      </c>
      <c r="R128" s="413">
        <f t="shared" si="75"/>
        <v>66</v>
      </c>
      <c r="S128" s="413">
        <f t="shared" si="75"/>
        <v>67</v>
      </c>
      <c r="T128" s="413">
        <f t="shared" si="75"/>
        <v>68</v>
      </c>
      <c r="U128" s="413">
        <f t="shared" si="75"/>
        <v>69</v>
      </c>
      <c r="V128" s="413">
        <f t="shared" si="75"/>
        <v>70</v>
      </c>
      <c r="W128" s="413">
        <f t="shared" si="75"/>
        <v>71</v>
      </c>
      <c r="X128" s="413">
        <f t="shared" si="75"/>
        <v>72</v>
      </c>
      <c r="Y128" s="413">
        <f t="shared" si="75"/>
        <v>73</v>
      </c>
      <c r="Z128" s="414">
        <f t="shared" si="75"/>
        <v>71.25978892</v>
      </c>
      <c r="AA128" s="414">
        <f t="shared" si="75"/>
        <v>70.39267079</v>
      </c>
      <c r="AB128" s="414">
        <f t="shared" si="75"/>
        <v>69.09971088</v>
      </c>
      <c r="AC128" s="414">
        <f t="shared" si="75"/>
        <v>66.97065589</v>
      </c>
      <c r="AD128" s="414">
        <f t="shared" si="75"/>
        <v>64.97042803</v>
      </c>
      <c r="AE128" s="414">
        <f t="shared" si="75"/>
        <v>62.015221</v>
      </c>
      <c r="AF128" s="414">
        <f t="shared" si="75"/>
        <v>54.06073451</v>
      </c>
      <c r="AG128" s="414">
        <f t="shared" si="75"/>
        <v>49.12891124</v>
      </c>
      <c r="AH128" s="414">
        <f t="shared" si="75"/>
        <v>45.21804296</v>
      </c>
      <c r="AI128" s="414">
        <f t="shared" si="75"/>
        <v>40.38529316</v>
      </c>
      <c r="AJ128" s="414">
        <f t="shared" si="75"/>
        <v>35.13241264</v>
      </c>
      <c r="AK128" s="414">
        <f t="shared" si="75"/>
        <v>25.91796826</v>
      </c>
      <c r="AL128" s="414">
        <f t="shared" si="75"/>
        <v>19.75586918</v>
      </c>
      <c r="AM128" s="414">
        <f t="shared" si="75"/>
        <v>15.2712301</v>
      </c>
      <c r="AN128" s="414">
        <f t="shared" si="75"/>
        <v>10.50755498</v>
      </c>
      <c r="AO128" s="414">
        <f t="shared" si="75"/>
        <v>6.588488332</v>
      </c>
      <c r="AP128" s="414">
        <f t="shared" si="75"/>
        <v>3.695271964</v>
      </c>
      <c r="AQ128" s="414">
        <f t="shared" si="75"/>
        <v>1.828103264</v>
      </c>
      <c r="AR128" s="414">
        <f t="shared" si="75"/>
        <v>1.977588372</v>
      </c>
      <c r="AS128" s="414">
        <f t="shared" si="75"/>
        <v>2.153417531</v>
      </c>
      <c r="AT128" s="414">
        <f t="shared" si="75"/>
        <v>3.355792494</v>
      </c>
      <c r="AU128" s="414">
        <f t="shared" si="75"/>
        <v>4.584916898</v>
      </c>
      <c r="AV128" s="414">
        <f t="shared" si="75"/>
        <v>6.840996291</v>
      </c>
      <c r="AW128" s="414">
        <f t="shared" si="75"/>
        <v>9.124238147</v>
      </c>
      <c r="AX128" s="414">
        <f t="shared" si="75"/>
        <v>12.43485189</v>
      </c>
      <c r="AY128" s="414">
        <f t="shared" si="75"/>
        <v>15.76781958</v>
      </c>
      <c r="AZ128" s="414">
        <f t="shared" si="75"/>
        <v>20.14466093</v>
      </c>
      <c r="BA128" s="414">
        <f t="shared" si="75"/>
        <v>24.54914615</v>
      </c>
      <c r="BB128" s="414">
        <f t="shared" si="75"/>
        <v>28.98148274</v>
      </c>
      <c r="BC128" s="414">
        <f t="shared" si="75"/>
        <v>33.4418801</v>
      </c>
      <c r="BD128" s="414">
        <f t="shared" si="75"/>
        <v>37.93054947</v>
      </c>
      <c r="BE128" s="414">
        <f t="shared" si="75"/>
        <v>42.44770402</v>
      </c>
      <c r="BF128" s="414">
        <f t="shared" si="75"/>
        <v>46.99355887</v>
      </c>
      <c r="BG128" s="414">
        <f t="shared" si="75"/>
        <v>51.56833105</v>
      </c>
      <c r="BH128" s="414">
        <f t="shared" si="75"/>
        <v>56.17223958</v>
      </c>
      <c r="BI128" s="414">
        <f t="shared" si="75"/>
        <v>60.80550548</v>
      </c>
      <c r="BJ128" s="414">
        <f t="shared" si="75"/>
        <v>64.46835175</v>
      </c>
      <c r="BK128" s="414">
        <f t="shared" si="75"/>
        <v>68.09482389</v>
      </c>
      <c r="BL128" s="414">
        <f t="shared" si="75"/>
        <v>71.5062263</v>
      </c>
      <c r="BM128" s="414">
        <f t="shared" si="75"/>
        <v>74.87072874</v>
      </c>
      <c r="BN128" s="414">
        <f t="shared" si="75"/>
        <v>78.26522938</v>
      </c>
      <c r="BO128" s="414">
        <f t="shared" si="75"/>
        <v>80.69004571</v>
      </c>
      <c r="BP128" s="414">
        <f t="shared" si="75"/>
        <v>83.14550108</v>
      </c>
      <c r="BQ128" s="414">
        <f t="shared" si="75"/>
        <v>85.63192483</v>
      </c>
      <c r="BR128" s="414">
        <f t="shared" si="75"/>
        <v>88.1496525</v>
      </c>
      <c r="BS128" s="414">
        <f t="shared" si="75"/>
        <v>90.69902591</v>
      </c>
      <c r="BT128" s="414">
        <f t="shared" si="75"/>
        <v>92.28039344</v>
      </c>
      <c r="BU128" s="414">
        <f t="shared" si="75"/>
        <v>93.89411008</v>
      </c>
      <c r="BV128" s="414">
        <f t="shared" si="75"/>
        <v>95.54053773</v>
      </c>
      <c r="BW128" s="414">
        <f t="shared" si="75"/>
        <v>97.23672191</v>
      </c>
      <c r="BX128" s="414">
        <f t="shared" si="75"/>
        <v>98.58442384</v>
      </c>
      <c r="BY128" s="414">
        <f t="shared" si="75"/>
        <v>99.87318568</v>
      </c>
      <c r="BZ128" s="414">
        <f t="shared" si="75"/>
        <v>101.1827101</v>
      </c>
      <c r="CA128" s="414">
        <f t="shared" si="75"/>
        <v>102.5133027</v>
      </c>
      <c r="CB128" s="414">
        <f t="shared" si="75"/>
        <v>102.8652677</v>
      </c>
      <c r="CC128" s="414">
        <f t="shared" si="75"/>
        <v>103.2389079</v>
      </c>
      <c r="CD128" s="414">
        <f t="shared" si="75"/>
        <v>103.6345246</v>
      </c>
      <c r="CE128" s="414">
        <f t="shared" si="75"/>
        <v>104.0524183</v>
      </c>
      <c r="CF128" s="414">
        <f t="shared" si="75"/>
        <v>104.4928881</v>
      </c>
      <c r="CG128" s="414">
        <f t="shared" si="75"/>
        <v>104.9562321</v>
      </c>
      <c r="CH128" s="414">
        <f t="shared" si="75"/>
        <v>105.4427477</v>
      </c>
      <c r="CI128" s="343"/>
      <c r="CJ128" s="343"/>
      <c r="CK128" s="343"/>
      <c r="CL128" s="343"/>
      <c r="CM128" s="343"/>
      <c r="CN128" s="343"/>
      <c r="CO128" s="343"/>
      <c r="CP128" s="343"/>
    </row>
    <row r="129" ht="15.75" customHeight="1">
      <c r="A129" s="343" t="s">
        <v>89</v>
      </c>
      <c r="B129" s="413"/>
      <c r="C129" s="413">
        <f t="shared" ref="C129:CH129" si="76">SUM(C105,C113,C121)</f>
        <v>51</v>
      </c>
      <c r="D129" s="413">
        <f t="shared" si="76"/>
        <v>52</v>
      </c>
      <c r="E129" s="413">
        <f t="shared" si="76"/>
        <v>53</v>
      </c>
      <c r="F129" s="413">
        <f t="shared" si="76"/>
        <v>54</v>
      </c>
      <c r="G129" s="413">
        <f t="shared" si="76"/>
        <v>55</v>
      </c>
      <c r="H129" s="413">
        <f t="shared" si="76"/>
        <v>56</v>
      </c>
      <c r="I129" s="413">
        <f t="shared" si="76"/>
        <v>57</v>
      </c>
      <c r="J129" s="413">
        <f t="shared" si="76"/>
        <v>58</v>
      </c>
      <c r="K129" s="413">
        <f t="shared" si="76"/>
        <v>59</v>
      </c>
      <c r="L129" s="413">
        <f t="shared" si="76"/>
        <v>60</v>
      </c>
      <c r="M129" s="413">
        <f t="shared" si="76"/>
        <v>61</v>
      </c>
      <c r="N129" s="413">
        <f t="shared" si="76"/>
        <v>62</v>
      </c>
      <c r="O129" s="413">
        <f t="shared" si="76"/>
        <v>63</v>
      </c>
      <c r="P129" s="413">
        <f t="shared" si="76"/>
        <v>64</v>
      </c>
      <c r="Q129" s="413">
        <f t="shared" si="76"/>
        <v>65</v>
      </c>
      <c r="R129" s="413">
        <f t="shared" si="76"/>
        <v>66</v>
      </c>
      <c r="S129" s="413">
        <f t="shared" si="76"/>
        <v>67</v>
      </c>
      <c r="T129" s="413">
        <f t="shared" si="76"/>
        <v>68</v>
      </c>
      <c r="U129" s="413">
        <f t="shared" si="76"/>
        <v>69</v>
      </c>
      <c r="V129" s="413">
        <f t="shared" si="76"/>
        <v>70</v>
      </c>
      <c r="W129" s="413">
        <f t="shared" si="76"/>
        <v>71</v>
      </c>
      <c r="X129" s="413">
        <f t="shared" si="76"/>
        <v>72</v>
      </c>
      <c r="Y129" s="413">
        <f t="shared" si="76"/>
        <v>73</v>
      </c>
      <c r="Z129" s="414">
        <f t="shared" si="76"/>
        <v>31.75418793</v>
      </c>
      <c r="AA129" s="414">
        <f t="shared" si="76"/>
        <v>-24.86404331</v>
      </c>
      <c r="AB129" s="414">
        <f t="shared" si="76"/>
        <v>-64.66311077</v>
      </c>
      <c r="AC129" s="414">
        <f t="shared" si="76"/>
        <v>-73.97483427</v>
      </c>
      <c r="AD129" s="414">
        <f t="shared" si="76"/>
        <v>-54.90351178</v>
      </c>
      <c r="AE129" s="414">
        <f t="shared" si="76"/>
        <v>-22.24085808</v>
      </c>
      <c r="AF129" s="414">
        <f t="shared" si="76"/>
        <v>12.39722716</v>
      </c>
      <c r="AG129" s="414">
        <f t="shared" si="76"/>
        <v>40.09092165</v>
      </c>
      <c r="AH129" s="414">
        <f t="shared" si="76"/>
        <v>55.83603386</v>
      </c>
      <c r="AI129" s="414">
        <f t="shared" si="76"/>
        <v>58.77282707</v>
      </c>
      <c r="AJ129" s="414">
        <f t="shared" si="76"/>
        <v>54.83277635</v>
      </c>
      <c r="AK129" s="414">
        <f t="shared" si="76"/>
        <v>45.05305537</v>
      </c>
      <c r="AL129" s="414">
        <f t="shared" si="76"/>
        <v>34.4916837</v>
      </c>
      <c r="AM129" s="414">
        <f t="shared" si="76"/>
        <v>25.41534676</v>
      </c>
      <c r="AN129" s="414">
        <f t="shared" si="76"/>
        <v>15.48335408</v>
      </c>
      <c r="AO129" s="414">
        <f t="shared" si="76"/>
        <v>9.426537543</v>
      </c>
      <c r="AP129" s="414">
        <f t="shared" si="76"/>
        <v>7.426497116</v>
      </c>
      <c r="AQ129" s="414">
        <f t="shared" si="76"/>
        <v>8.483792686</v>
      </c>
      <c r="AR129" s="414">
        <f t="shared" si="76"/>
        <v>11.56012881</v>
      </c>
      <c r="AS129" s="414">
        <f t="shared" si="76"/>
        <v>15.69451855</v>
      </c>
      <c r="AT129" s="414">
        <f t="shared" si="76"/>
        <v>20.88753587</v>
      </c>
      <c r="AU129" s="414">
        <f t="shared" si="76"/>
        <v>26.13976116</v>
      </c>
      <c r="AV129" s="414">
        <f t="shared" si="76"/>
        <v>30.45178131</v>
      </c>
      <c r="AW129" s="414">
        <f t="shared" si="76"/>
        <v>33.82418983</v>
      </c>
      <c r="AX129" s="414">
        <f t="shared" si="76"/>
        <v>35.25758684</v>
      </c>
      <c r="AY129" s="414">
        <f t="shared" si="76"/>
        <v>35.63017464</v>
      </c>
      <c r="AZ129" s="414">
        <f t="shared" si="76"/>
        <v>35.07863847</v>
      </c>
      <c r="BA129" s="414">
        <f t="shared" si="76"/>
        <v>33.58711072</v>
      </c>
      <c r="BB129" s="414">
        <f t="shared" si="76"/>
        <v>31.15616529</v>
      </c>
      <c r="BC129" s="414">
        <f t="shared" si="76"/>
        <v>28.78638224</v>
      </c>
      <c r="BD129" s="414">
        <f t="shared" si="76"/>
        <v>26.47834786</v>
      </c>
      <c r="BE129" s="414">
        <f t="shared" si="76"/>
        <v>25.23265474</v>
      </c>
      <c r="BF129" s="414">
        <f t="shared" si="76"/>
        <v>25.04990185</v>
      </c>
      <c r="BG129" s="414">
        <f t="shared" si="76"/>
        <v>24.93069459</v>
      </c>
      <c r="BH129" s="414">
        <f t="shared" si="76"/>
        <v>25.8756449</v>
      </c>
      <c r="BI129" s="414">
        <f t="shared" si="76"/>
        <v>26.88537129</v>
      </c>
      <c r="BJ129" s="414">
        <f t="shared" si="76"/>
        <v>27.96049895</v>
      </c>
      <c r="BK129" s="414">
        <f t="shared" si="76"/>
        <v>28.84007353</v>
      </c>
      <c r="BL129" s="414">
        <f t="shared" si="76"/>
        <v>29.38991573</v>
      </c>
      <c r="BM129" s="414">
        <f t="shared" si="76"/>
        <v>29.70494256</v>
      </c>
      <c r="BN129" s="414">
        <f t="shared" si="76"/>
        <v>29.08886037</v>
      </c>
      <c r="BO129" s="414">
        <f t="shared" si="76"/>
        <v>28.54267569</v>
      </c>
      <c r="BP129" s="414">
        <f t="shared" si="76"/>
        <v>28.06741693</v>
      </c>
      <c r="BQ129" s="414">
        <f t="shared" si="76"/>
        <v>27.66413502</v>
      </c>
      <c r="BR129" s="414">
        <f t="shared" si="76"/>
        <v>27.33390399</v>
      </c>
      <c r="BS129" s="414">
        <f t="shared" si="76"/>
        <v>27.07782165</v>
      </c>
      <c r="BT129" s="414">
        <f t="shared" si="76"/>
        <v>27.89701022</v>
      </c>
      <c r="BU129" s="414">
        <f t="shared" si="76"/>
        <v>28.79261701</v>
      </c>
      <c r="BV129" s="414">
        <f t="shared" si="76"/>
        <v>29.76581516</v>
      </c>
      <c r="BW129" s="414">
        <f t="shared" si="76"/>
        <v>30.88372163</v>
      </c>
      <c r="BX129" s="414">
        <f t="shared" si="76"/>
        <v>31.66864936</v>
      </c>
      <c r="BY129" s="414">
        <f t="shared" si="76"/>
        <v>32.17360545</v>
      </c>
      <c r="BZ129" s="414">
        <f t="shared" si="76"/>
        <v>31.71339363</v>
      </c>
      <c r="CA129" s="414">
        <f t="shared" si="76"/>
        <v>31.28898581</v>
      </c>
      <c r="CB129" s="414">
        <f t="shared" si="76"/>
        <v>30.90134684</v>
      </c>
      <c r="CC129" s="414">
        <f t="shared" si="76"/>
        <v>30.55143493</v>
      </c>
      <c r="CD129" s="414">
        <f t="shared" si="76"/>
        <v>30.24020201</v>
      </c>
      <c r="CE129" s="414">
        <f t="shared" si="76"/>
        <v>29.96859409</v>
      </c>
      <c r="CF129" s="414">
        <f t="shared" si="76"/>
        <v>29.73755163</v>
      </c>
      <c r="CG129" s="414">
        <f t="shared" si="76"/>
        <v>29.54800989</v>
      </c>
      <c r="CH129" s="414">
        <f t="shared" si="76"/>
        <v>29.40089929</v>
      </c>
      <c r="CI129" s="343"/>
      <c r="CJ129" s="343"/>
      <c r="CK129" s="343"/>
      <c r="CL129" s="343"/>
      <c r="CM129" s="343"/>
      <c r="CN129" s="343"/>
      <c r="CO129" s="343"/>
      <c r="CP129" s="343"/>
    </row>
    <row r="130" ht="15.75" customHeight="1">
      <c r="A130" s="343" t="s">
        <v>94</v>
      </c>
      <c r="B130" s="413"/>
      <c r="C130" s="413">
        <f t="shared" ref="C130:CH130" si="77">SUM(C106,C114,C122)</f>
        <v>51</v>
      </c>
      <c r="D130" s="413">
        <f t="shared" si="77"/>
        <v>52</v>
      </c>
      <c r="E130" s="413">
        <f t="shared" si="77"/>
        <v>53</v>
      </c>
      <c r="F130" s="413">
        <f t="shared" si="77"/>
        <v>54</v>
      </c>
      <c r="G130" s="413">
        <f t="shared" si="77"/>
        <v>55</v>
      </c>
      <c r="H130" s="413">
        <f t="shared" si="77"/>
        <v>56</v>
      </c>
      <c r="I130" s="413">
        <f t="shared" si="77"/>
        <v>57</v>
      </c>
      <c r="J130" s="413">
        <f t="shared" si="77"/>
        <v>58</v>
      </c>
      <c r="K130" s="413">
        <f t="shared" si="77"/>
        <v>59</v>
      </c>
      <c r="L130" s="413">
        <f t="shared" si="77"/>
        <v>60</v>
      </c>
      <c r="M130" s="413">
        <f t="shared" si="77"/>
        <v>61</v>
      </c>
      <c r="N130" s="413">
        <f t="shared" si="77"/>
        <v>62</v>
      </c>
      <c r="O130" s="413">
        <f t="shared" si="77"/>
        <v>63</v>
      </c>
      <c r="P130" s="413">
        <f t="shared" si="77"/>
        <v>64</v>
      </c>
      <c r="Q130" s="413">
        <f t="shared" si="77"/>
        <v>65</v>
      </c>
      <c r="R130" s="413">
        <f t="shared" si="77"/>
        <v>66</v>
      </c>
      <c r="S130" s="413">
        <f t="shared" si="77"/>
        <v>67</v>
      </c>
      <c r="T130" s="413">
        <f t="shared" si="77"/>
        <v>68</v>
      </c>
      <c r="U130" s="413">
        <f t="shared" si="77"/>
        <v>69</v>
      </c>
      <c r="V130" s="413">
        <f t="shared" si="77"/>
        <v>70</v>
      </c>
      <c r="W130" s="413">
        <f t="shared" si="77"/>
        <v>71</v>
      </c>
      <c r="X130" s="413">
        <f t="shared" si="77"/>
        <v>72</v>
      </c>
      <c r="Y130" s="413">
        <f t="shared" si="77"/>
        <v>73</v>
      </c>
      <c r="Z130" s="414">
        <f t="shared" si="77"/>
        <v>65.89734421</v>
      </c>
      <c r="AA130" s="414">
        <f t="shared" si="77"/>
        <v>50.74955516</v>
      </c>
      <c r="AB130" s="414">
        <f t="shared" si="77"/>
        <v>16.9504877</v>
      </c>
      <c r="AC130" s="414">
        <f t="shared" si="77"/>
        <v>-25.67666668</v>
      </c>
      <c r="AD130" s="414">
        <f t="shared" si="77"/>
        <v>-50.04468295</v>
      </c>
      <c r="AE130" s="414">
        <f t="shared" si="77"/>
        <v>-63.65329461</v>
      </c>
      <c r="AF130" s="414">
        <f t="shared" si="77"/>
        <v>-62.26029949</v>
      </c>
      <c r="AG130" s="414">
        <f t="shared" si="77"/>
        <v>-47.64794342</v>
      </c>
      <c r="AH130" s="414">
        <f t="shared" si="77"/>
        <v>-26.00443426</v>
      </c>
      <c r="AI130" s="414">
        <f t="shared" si="77"/>
        <v>-0.339966316</v>
      </c>
      <c r="AJ130" s="414">
        <f t="shared" si="77"/>
        <v>26.07700087</v>
      </c>
      <c r="AK130" s="414">
        <f t="shared" si="77"/>
        <v>48.66743406</v>
      </c>
      <c r="AL130" s="414">
        <f t="shared" si="77"/>
        <v>65.49410651</v>
      </c>
      <c r="AM130" s="414">
        <f t="shared" si="77"/>
        <v>73.78252362</v>
      </c>
      <c r="AN130" s="414">
        <f t="shared" si="77"/>
        <v>75.74447274</v>
      </c>
      <c r="AO130" s="414">
        <f t="shared" si="77"/>
        <v>71.99030177</v>
      </c>
      <c r="AP130" s="414">
        <f t="shared" si="77"/>
        <v>64.30693652</v>
      </c>
      <c r="AQ130" s="414">
        <f t="shared" si="77"/>
        <v>53.69503853</v>
      </c>
      <c r="AR130" s="414">
        <f t="shared" si="77"/>
        <v>43.11198195</v>
      </c>
      <c r="AS130" s="414">
        <f t="shared" si="77"/>
        <v>33.60126821</v>
      </c>
      <c r="AT130" s="414">
        <f t="shared" si="77"/>
        <v>26.16357505</v>
      </c>
      <c r="AU130" s="414">
        <f t="shared" si="77"/>
        <v>21.79958762</v>
      </c>
      <c r="AV130" s="414">
        <f t="shared" si="77"/>
        <v>20.50999848</v>
      </c>
      <c r="AW130" s="414">
        <f t="shared" si="77"/>
        <v>21.29550771</v>
      </c>
      <c r="AX130" s="414">
        <f t="shared" si="77"/>
        <v>24.15682305</v>
      </c>
      <c r="AY130" s="414">
        <f t="shared" si="77"/>
        <v>27.95829266</v>
      </c>
      <c r="AZ130" s="414">
        <f t="shared" si="77"/>
        <v>32.8601724</v>
      </c>
      <c r="BA130" s="414">
        <f t="shared" si="77"/>
        <v>36.83692456</v>
      </c>
      <c r="BB130" s="414">
        <f t="shared" si="77"/>
        <v>40.88922858</v>
      </c>
      <c r="BC130" s="414">
        <f t="shared" si="77"/>
        <v>44.017771</v>
      </c>
      <c r="BD130" s="414">
        <f t="shared" si="77"/>
        <v>45.22324549</v>
      </c>
      <c r="BE130" s="414">
        <f t="shared" si="77"/>
        <v>45.50635292</v>
      </c>
      <c r="BF130" s="414">
        <f t="shared" si="77"/>
        <v>44.86780149</v>
      </c>
      <c r="BG130" s="414">
        <f t="shared" si="77"/>
        <v>44.30830676</v>
      </c>
      <c r="BH130" s="414">
        <f t="shared" si="77"/>
        <v>42.82859179</v>
      </c>
      <c r="BI130" s="414">
        <f t="shared" si="77"/>
        <v>41.42938717</v>
      </c>
      <c r="BJ130" s="414">
        <f t="shared" si="77"/>
        <v>40.11143112</v>
      </c>
      <c r="BK130" s="414">
        <f t="shared" si="77"/>
        <v>39.58404433</v>
      </c>
      <c r="BL130" s="414">
        <f t="shared" si="77"/>
        <v>38.60460178</v>
      </c>
      <c r="BM130" s="414">
        <f t="shared" si="77"/>
        <v>37.37160614</v>
      </c>
      <c r="BN130" s="414">
        <f t="shared" si="77"/>
        <v>36.22344763</v>
      </c>
      <c r="BO130" s="414">
        <f t="shared" si="77"/>
        <v>36.16128802</v>
      </c>
      <c r="BP130" s="414">
        <f t="shared" si="77"/>
        <v>36.18631367</v>
      </c>
      <c r="BQ130" s="414">
        <f t="shared" si="77"/>
        <v>36.29973622</v>
      </c>
      <c r="BR130" s="414">
        <f t="shared" si="77"/>
        <v>37.5027933</v>
      </c>
      <c r="BS130" s="414">
        <f t="shared" si="77"/>
        <v>38.79674916</v>
      </c>
      <c r="BT130" s="414">
        <f t="shared" si="77"/>
        <v>40.18289551</v>
      </c>
      <c r="BU130" s="414">
        <f t="shared" si="77"/>
        <v>41.66255221</v>
      </c>
      <c r="BV130" s="414">
        <f t="shared" si="77"/>
        <v>42.23706807</v>
      </c>
      <c r="BW130" s="414">
        <f t="shared" si="77"/>
        <v>42.98125814</v>
      </c>
      <c r="BX130" s="414">
        <f t="shared" si="77"/>
        <v>43.1844589</v>
      </c>
      <c r="BY130" s="414">
        <f t="shared" si="77"/>
        <v>42.08340307</v>
      </c>
      <c r="BZ130" s="414">
        <f t="shared" si="77"/>
        <v>42.02884213</v>
      </c>
      <c r="CA130" s="414">
        <f t="shared" si="77"/>
        <v>42.02189728</v>
      </c>
      <c r="CB130" s="414">
        <f t="shared" si="77"/>
        <v>41.06368209</v>
      </c>
      <c r="CC130" s="414">
        <f t="shared" si="77"/>
        <v>41.15530289</v>
      </c>
      <c r="CD130" s="414">
        <f t="shared" si="77"/>
        <v>40.29785922</v>
      </c>
      <c r="CE130" s="414">
        <f t="shared" si="77"/>
        <v>39.49244424</v>
      </c>
      <c r="CF130" s="414">
        <f t="shared" si="77"/>
        <v>39.74014509</v>
      </c>
      <c r="CG130" s="414">
        <f t="shared" si="77"/>
        <v>40.04204334</v>
      </c>
      <c r="CH130" s="414">
        <f t="shared" si="77"/>
        <v>40.39921536</v>
      </c>
      <c r="CI130" s="343"/>
      <c r="CJ130" s="343"/>
      <c r="CK130" s="343"/>
      <c r="CL130" s="343"/>
      <c r="CM130" s="343"/>
      <c r="CN130" s="343"/>
      <c r="CO130" s="343"/>
      <c r="CP130" s="343"/>
    </row>
    <row r="131" ht="15.75" customHeight="1">
      <c r="A131" s="343" t="s">
        <v>96</v>
      </c>
      <c r="B131" s="413"/>
      <c r="C131" s="413">
        <f t="shared" ref="C131:Y131" si="78">SUM(C107,C115,C123)</f>
        <v>51</v>
      </c>
      <c r="D131" s="413">
        <f t="shared" si="78"/>
        <v>52</v>
      </c>
      <c r="E131" s="413">
        <f t="shared" si="78"/>
        <v>53</v>
      </c>
      <c r="F131" s="413">
        <f t="shared" si="78"/>
        <v>54</v>
      </c>
      <c r="G131" s="413">
        <f t="shared" si="78"/>
        <v>55</v>
      </c>
      <c r="H131" s="413">
        <f t="shared" si="78"/>
        <v>56</v>
      </c>
      <c r="I131" s="413">
        <f t="shared" si="78"/>
        <v>57</v>
      </c>
      <c r="J131" s="413">
        <f t="shared" si="78"/>
        <v>58</v>
      </c>
      <c r="K131" s="413">
        <f t="shared" si="78"/>
        <v>59</v>
      </c>
      <c r="L131" s="413">
        <f t="shared" si="78"/>
        <v>60</v>
      </c>
      <c r="M131" s="413">
        <f t="shared" si="78"/>
        <v>61</v>
      </c>
      <c r="N131" s="413">
        <f t="shared" si="78"/>
        <v>62</v>
      </c>
      <c r="O131" s="413">
        <f t="shared" si="78"/>
        <v>63</v>
      </c>
      <c r="P131" s="413">
        <f t="shared" si="78"/>
        <v>64</v>
      </c>
      <c r="Q131" s="413">
        <f t="shared" si="78"/>
        <v>65</v>
      </c>
      <c r="R131" s="413">
        <f t="shared" si="78"/>
        <v>66</v>
      </c>
      <c r="S131" s="413">
        <f t="shared" si="78"/>
        <v>67</v>
      </c>
      <c r="T131" s="413">
        <f t="shared" si="78"/>
        <v>68</v>
      </c>
      <c r="U131" s="413">
        <f t="shared" si="78"/>
        <v>69</v>
      </c>
      <c r="V131" s="413">
        <f t="shared" si="78"/>
        <v>70</v>
      </c>
      <c r="W131" s="413">
        <f t="shared" si="78"/>
        <v>71</v>
      </c>
      <c r="X131" s="413">
        <f t="shared" si="78"/>
        <v>72</v>
      </c>
      <c r="Y131" s="413">
        <f t="shared" si="78"/>
        <v>73</v>
      </c>
      <c r="Z131" s="414">
        <f t="shared" ref="Z131:CH131" si="79">ROUND(SUM(Z107,Z115,Z123),0)</f>
        <v>40</v>
      </c>
      <c r="AA131" s="414">
        <f t="shared" si="79"/>
        <v>25</v>
      </c>
      <c r="AB131" s="414">
        <f t="shared" si="79"/>
        <v>17</v>
      </c>
      <c r="AC131" s="414">
        <f t="shared" si="79"/>
        <v>13</v>
      </c>
      <c r="AD131" s="414">
        <f t="shared" si="79"/>
        <v>11</v>
      </c>
      <c r="AE131" s="414">
        <f t="shared" si="79"/>
        <v>10</v>
      </c>
      <c r="AF131" s="414">
        <f t="shared" si="79"/>
        <v>10</v>
      </c>
      <c r="AG131" s="414">
        <f t="shared" si="79"/>
        <v>10</v>
      </c>
      <c r="AH131" s="414">
        <f t="shared" si="79"/>
        <v>10</v>
      </c>
      <c r="AI131" s="414">
        <f t="shared" si="79"/>
        <v>10</v>
      </c>
      <c r="AJ131" s="414">
        <f t="shared" si="79"/>
        <v>10</v>
      </c>
      <c r="AK131" s="414">
        <f t="shared" si="79"/>
        <v>10</v>
      </c>
      <c r="AL131" s="414">
        <f t="shared" si="79"/>
        <v>10</v>
      </c>
      <c r="AM131" s="414">
        <f t="shared" si="79"/>
        <v>10</v>
      </c>
      <c r="AN131" s="414">
        <f t="shared" si="79"/>
        <v>10</v>
      </c>
      <c r="AO131" s="414">
        <f t="shared" si="79"/>
        <v>10</v>
      </c>
      <c r="AP131" s="414">
        <f t="shared" si="79"/>
        <v>10</v>
      </c>
      <c r="AQ131" s="414">
        <f t="shared" si="79"/>
        <v>10</v>
      </c>
      <c r="AR131" s="414">
        <f t="shared" si="79"/>
        <v>10</v>
      </c>
      <c r="AS131" s="414">
        <f t="shared" si="79"/>
        <v>10</v>
      </c>
      <c r="AT131" s="414">
        <f t="shared" si="79"/>
        <v>10</v>
      </c>
      <c r="AU131" s="414">
        <f t="shared" si="79"/>
        <v>10</v>
      </c>
      <c r="AV131" s="414">
        <f t="shared" si="79"/>
        <v>10</v>
      </c>
      <c r="AW131" s="414">
        <f t="shared" si="79"/>
        <v>10</v>
      </c>
      <c r="AX131" s="414">
        <f t="shared" si="79"/>
        <v>10</v>
      </c>
      <c r="AY131" s="414">
        <f t="shared" si="79"/>
        <v>10</v>
      </c>
      <c r="AZ131" s="414">
        <f t="shared" si="79"/>
        <v>10</v>
      </c>
      <c r="BA131" s="414">
        <f t="shared" si="79"/>
        <v>10</v>
      </c>
      <c r="BB131" s="414">
        <f t="shared" si="79"/>
        <v>10</v>
      </c>
      <c r="BC131" s="414">
        <f t="shared" si="79"/>
        <v>10</v>
      </c>
      <c r="BD131" s="414">
        <f t="shared" si="79"/>
        <v>10</v>
      </c>
      <c r="BE131" s="414">
        <f t="shared" si="79"/>
        <v>10</v>
      </c>
      <c r="BF131" s="414">
        <f t="shared" si="79"/>
        <v>10</v>
      </c>
      <c r="BG131" s="414">
        <f t="shared" si="79"/>
        <v>10</v>
      </c>
      <c r="BH131" s="414">
        <f t="shared" si="79"/>
        <v>10</v>
      </c>
      <c r="BI131" s="414">
        <f t="shared" si="79"/>
        <v>10</v>
      </c>
      <c r="BJ131" s="414">
        <f t="shared" si="79"/>
        <v>10</v>
      </c>
      <c r="BK131" s="414">
        <f t="shared" si="79"/>
        <v>10</v>
      </c>
      <c r="BL131" s="414">
        <f t="shared" si="79"/>
        <v>10</v>
      </c>
      <c r="BM131" s="414">
        <f t="shared" si="79"/>
        <v>10</v>
      </c>
      <c r="BN131" s="414">
        <f t="shared" si="79"/>
        <v>10</v>
      </c>
      <c r="BO131" s="414">
        <f t="shared" si="79"/>
        <v>10</v>
      </c>
      <c r="BP131" s="414">
        <f t="shared" si="79"/>
        <v>10</v>
      </c>
      <c r="BQ131" s="414">
        <f t="shared" si="79"/>
        <v>10</v>
      </c>
      <c r="BR131" s="414">
        <f t="shared" si="79"/>
        <v>10</v>
      </c>
      <c r="BS131" s="414">
        <f t="shared" si="79"/>
        <v>10</v>
      </c>
      <c r="BT131" s="414">
        <f t="shared" si="79"/>
        <v>10</v>
      </c>
      <c r="BU131" s="414">
        <f t="shared" si="79"/>
        <v>10</v>
      </c>
      <c r="BV131" s="414">
        <f t="shared" si="79"/>
        <v>10</v>
      </c>
      <c r="BW131" s="414">
        <f t="shared" si="79"/>
        <v>10</v>
      </c>
      <c r="BX131" s="414">
        <f t="shared" si="79"/>
        <v>10</v>
      </c>
      <c r="BY131" s="414">
        <f t="shared" si="79"/>
        <v>10</v>
      </c>
      <c r="BZ131" s="414">
        <f t="shared" si="79"/>
        <v>10</v>
      </c>
      <c r="CA131" s="414">
        <f t="shared" si="79"/>
        <v>10</v>
      </c>
      <c r="CB131" s="414">
        <f t="shared" si="79"/>
        <v>10</v>
      </c>
      <c r="CC131" s="414">
        <f t="shared" si="79"/>
        <v>10</v>
      </c>
      <c r="CD131" s="414">
        <f t="shared" si="79"/>
        <v>10</v>
      </c>
      <c r="CE131" s="414">
        <f t="shared" si="79"/>
        <v>10</v>
      </c>
      <c r="CF131" s="414">
        <f t="shared" si="79"/>
        <v>10</v>
      </c>
      <c r="CG131" s="414">
        <f t="shared" si="79"/>
        <v>10</v>
      </c>
      <c r="CH131" s="414">
        <f t="shared" si="79"/>
        <v>10</v>
      </c>
      <c r="CI131" s="343"/>
      <c r="CJ131" s="343"/>
      <c r="CK131" s="343"/>
      <c r="CL131" s="343"/>
      <c r="CM131" s="343"/>
      <c r="CN131" s="343"/>
      <c r="CO131" s="343"/>
      <c r="CP131" s="343"/>
    </row>
    <row r="132" ht="15.75" customHeight="1">
      <c r="A132" s="346" t="s">
        <v>667</v>
      </c>
      <c r="B132" s="415"/>
      <c r="C132" s="415">
        <f t="shared" ref="C132:CH132" si="80">SUM(C126:C131)</f>
        <v>306</v>
      </c>
      <c r="D132" s="415">
        <f t="shared" si="80"/>
        <v>312</v>
      </c>
      <c r="E132" s="415">
        <f t="shared" si="80"/>
        <v>318</v>
      </c>
      <c r="F132" s="415">
        <f t="shared" si="80"/>
        <v>324</v>
      </c>
      <c r="G132" s="415">
        <f t="shared" si="80"/>
        <v>330</v>
      </c>
      <c r="H132" s="415">
        <f t="shared" si="80"/>
        <v>336</v>
      </c>
      <c r="I132" s="415">
        <f t="shared" si="80"/>
        <v>342</v>
      </c>
      <c r="J132" s="415">
        <f t="shared" si="80"/>
        <v>348</v>
      </c>
      <c r="K132" s="415">
        <f t="shared" si="80"/>
        <v>354</v>
      </c>
      <c r="L132" s="415">
        <f t="shared" si="80"/>
        <v>360</v>
      </c>
      <c r="M132" s="415">
        <f t="shared" si="80"/>
        <v>366</v>
      </c>
      <c r="N132" s="415">
        <f t="shared" si="80"/>
        <v>372</v>
      </c>
      <c r="O132" s="415">
        <f t="shared" si="80"/>
        <v>378</v>
      </c>
      <c r="P132" s="415">
        <f t="shared" si="80"/>
        <v>384</v>
      </c>
      <c r="Q132" s="415">
        <f t="shared" si="80"/>
        <v>390</v>
      </c>
      <c r="R132" s="415">
        <f t="shared" si="80"/>
        <v>396</v>
      </c>
      <c r="S132" s="415">
        <f t="shared" si="80"/>
        <v>402</v>
      </c>
      <c r="T132" s="415">
        <f t="shared" si="80"/>
        <v>408</v>
      </c>
      <c r="U132" s="415">
        <f t="shared" si="80"/>
        <v>414</v>
      </c>
      <c r="V132" s="415">
        <f t="shared" si="80"/>
        <v>420</v>
      </c>
      <c r="W132" s="415">
        <f t="shared" si="80"/>
        <v>426</v>
      </c>
      <c r="X132" s="415">
        <f t="shared" si="80"/>
        <v>432</v>
      </c>
      <c r="Y132" s="415">
        <f t="shared" si="80"/>
        <v>438</v>
      </c>
      <c r="Z132" s="415">
        <f t="shared" si="80"/>
        <v>357.6487353</v>
      </c>
      <c r="AA132" s="415">
        <f t="shared" si="80"/>
        <v>272.5327937</v>
      </c>
      <c r="AB132" s="415">
        <f t="shared" si="80"/>
        <v>191.8164244</v>
      </c>
      <c r="AC132" s="415">
        <f t="shared" si="80"/>
        <v>133.786494</v>
      </c>
      <c r="AD132" s="415">
        <f t="shared" si="80"/>
        <v>123.1753692</v>
      </c>
      <c r="AE132" s="415">
        <f t="shared" si="80"/>
        <v>137.5277324</v>
      </c>
      <c r="AF132" s="415">
        <f t="shared" si="80"/>
        <v>159.8383464</v>
      </c>
      <c r="AG132" s="415">
        <f t="shared" si="80"/>
        <v>187.6773689</v>
      </c>
      <c r="AH132" s="415">
        <f t="shared" si="80"/>
        <v>218.7429436</v>
      </c>
      <c r="AI132" s="415">
        <f t="shared" si="80"/>
        <v>238.4493301</v>
      </c>
      <c r="AJ132" s="415">
        <f t="shared" si="80"/>
        <v>241.376145</v>
      </c>
      <c r="AK132" s="415">
        <f t="shared" si="80"/>
        <v>235.9418879</v>
      </c>
      <c r="AL132" s="415">
        <f t="shared" si="80"/>
        <v>230.3777719</v>
      </c>
      <c r="AM132" s="415">
        <f t="shared" si="80"/>
        <v>218.1112696</v>
      </c>
      <c r="AN132" s="415">
        <f t="shared" si="80"/>
        <v>198.5007306</v>
      </c>
      <c r="AO132" s="415">
        <f t="shared" si="80"/>
        <v>179.631158</v>
      </c>
      <c r="AP132" s="415">
        <f t="shared" si="80"/>
        <v>164.0172933</v>
      </c>
      <c r="AQ132" s="415">
        <f t="shared" si="80"/>
        <v>151.6615418</v>
      </c>
      <c r="AR132" s="415">
        <f t="shared" si="80"/>
        <v>145.440972</v>
      </c>
      <c r="AS132" s="415">
        <f t="shared" si="80"/>
        <v>142.4820467</v>
      </c>
      <c r="AT132" s="415">
        <f t="shared" si="80"/>
        <v>144.7872344</v>
      </c>
      <c r="AU132" s="415">
        <f t="shared" si="80"/>
        <v>151.359031</v>
      </c>
      <c r="AV132" s="415">
        <f t="shared" si="80"/>
        <v>162.1999593</v>
      </c>
      <c r="AW132" s="415">
        <f t="shared" si="80"/>
        <v>175.3125698</v>
      </c>
      <c r="AX132" s="415">
        <f t="shared" si="80"/>
        <v>190.6994408</v>
      </c>
      <c r="AY132" s="415">
        <f t="shared" si="80"/>
        <v>207.062531</v>
      </c>
      <c r="AZ132" s="415">
        <f t="shared" si="80"/>
        <v>225.7881538</v>
      </c>
      <c r="BA132" s="415">
        <f t="shared" si="80"/>
        <v>242.7866566</v>
      </c>
      <c r="BB132" s="415">
        <f t="shared" si="80"/>
        <v>259.0605376</v>
      </c>
      <c r="BC132" s="415">
        <f t="shared" si="80"/>
        <v>274.6123211</v>
      </c>
      <c r="BD132" s="415">
        <f t="shared" si="80"/>
        <v>288.4445579</v>
      </c>
      <c r="BE132" s="415">
        <f t="shared" si="80"/>
        <v>302.5598252</v>
      </c>
      <c r="BF132" s="415">
        <f t="shared" si="80"/>
        <v>316.9607276</v>
      </c>
      <c r="BG132" s="415">
        <f t="shared" si="80"/>
        <v>331.6498967</v>
      </c>
      <c r="BH132" s="415">
        <f t="shared" si="80"/>
        <v>346.6299918</v>
      </c>
      <c r="BI132" s="415">
        <f t="shared" si="80"/>
        <v>360.9037002</v>
      </c>
      <c r="BJ132" s="415">
        <f t="shared" si="80"/>
        <v>373.4737373</v>
      </c>
      <c r="BK132" s="415">
        <f t="shared" si="80"/>
        <v>386.4869631</v>
      </c>
      <c r="BL132" s="415">
        <f t="shared" si="80"/>
        <v>398.094384</v>
      </c>
      <c r="BM132" s="415">
        <f t="shared" si="80"/>
        <v>408.7275772</v>
      </c>
      <c r="BN132" s="415">
        <f t="shared" si="80"/>
        <v>417.6761443</v>
      </c>
      <c r="BO132" s="415">
        <f t="shared" si="80"/>
        <v>425.944473</v>
      </c>
      <c r="BP132" s="415">
        <f t="shared" si="80"/>
        <v>434.5370448</v>
      </c>
      <c r="BQ132" s="415">
        <f t="shared" si="80"/>
        <v>443.4584373</v>
      </c>
      <c r="BR132" s="415">
        <f t="shared" si="80"/>
        <v>453.7133268</v>
      </c>
      <c r="BS132" s="415">
        <f t="shared" si="80"/>
        <v>463.3064911</v>
      </c>
      <c r="BT132" s="415">
        <f t="shared" si="80"/>
        <v>472.242812</v>
      </c>
      <c r="BU132" s="415">
        <f t="shared" si="80"/>
        <v>481.527279</v>
      </c>
      <c r="BV132" s="415">
        <f t="shared" si="80"/>
        <v>490.1649911</v>
      </c>
      <c r="BW132" s="415">
        <f t="shared" si="80"/>
        <v>499.4410353</v>
      </c>
      <c r="BX132" s="415">
        <f t="shared" si="80"/>
        <v>506.8224322</v>
      </c>
      <c r="BY132" s="415">
        <f t="shared" si="80"/>
        <v>510.0367546</v>
      </c>
      <c r="BZ132" s="415">
        <f t="shared" si="80"/>
        <v>513.4207159</v>
      </c>
      <c r="CA132" s="415">
        <f t="shared" si="80"/>
        <v>516.9785514</v>
      </c>
      <c r="CB132" s="415">
        <f t="shared" si="80"/>
        <v>518.7144669</v>
      </c>
      <c r="CC132" s="415">
        <f t="shared" si="80"/>
        <v>521.6326408</v>
      </c>
      <c r="CD132" s="415">
        <f t="shared" si="80"/>
        <v>523.737225</v>
      </c>
      <c r="CE132" s="415">
        <f t="shared" si="80"/>
        <v>526.0323473</v>
      </c>
      <c r="CF132" s="415">
        <f t="shared" si="80"/>
        <v>529.5221119</v>
      </c>
      <c r="CG132" s="415">
        <f t="shared" si="80"/>
        <v>533.2106021</v>
      </c>
      <c r="CH132" s="415">
        <f t="shared" si="80"/>
        <v>536.1018808</v>
      </c>
      <c r="CI132" s="1"/>
      <c r="CJ132" s="1"/>
      <c r="CK132" s="1"/>
      <c r="CL132" s="1"/>
      <c r="CM132" s="1"/>
      <c r="CN132" s="1"/>
      <c r="CO132" s="1"/>
      <c r="CP132" s="1"/>
    </row>
    <row r="133" ht="15.75" customHeight="1">
      <c r="A133" s="1"/>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c r="BS133" s="117"/>
      <c r="BT133" s="117"/>
      <c r="BU133" s="117"/>
      <c r="BV133" s="117"/>
      <c r="BW133" s="117"/>
      <c r="BX133" s="117"/>
      <c r="BY133" s="117"/>
      <c r="BZ133" s="117"/>
      <c r="CA133" s="117"/>
      <c r="CB133" s="117"/>
      <c r="CC133" s="117"/>
      <c r="CD133" s="117"/>
      <c r="CE133" s="117"/>
      <c r="CF133" s="117"/>
      <c r="CG133" s="117"/>
      <c r="CH133" s="117"/>
      <c r="CI133" s="1"/>
      <c r="CJ133" s="1"/>
      <c r="CK133" s="1"/>
      <c r="CL133" s="1"/>
      <c r="CM133" s="1"/>
      <c r="CN133" s="1"/>
      <c r="CO133" s="1"/>
      <c r="CP133" s="1"/>
    </row>
    <row r="134" ht="15.75" customHeight="1">
      <c r="A134" s="1"/>
      <c r="B134" s="416"/>
      <c r="C134" s="416"/>
      <c r="D134" s="416"/>
      <c r="E134" s="416"/>
      <c r="F134" s="416"/>
      <c r="G134" s="416"/>
      <c r="H134" s="416"/>
      <c r="I134" s="416"/>
      <c r="J134" s="416"/>
      <c r="K134" s="416"/>
      <c r="L134" s="416"/>
      <c r="M134" s="416"/>
      <c r="N134" s="416"/>
      <c r="O134" s="416"/>
      <c r="P134" s="416"/>
      <c r="Q134" s="416"/>
      <c r="R134" s="416"/>
      <c r="S134" s="416"/>
      <c r="T134" s="416"/>
      <c r="U134" s="416"/>
      <c r="V134" s="416"/>
      <c r="W134" s="416"/>
      <c r="X134" s="416"/>
      <c r="Y134" s="416"/>
      <c r="Z134" s="416"/>
      <c r="AA134" s="416"/>
      <c r="AB134" s="416"/>
      <c r="AC134" s="416"/>
      <c r="AD134" s="416"/>
      <c r="AE134" s="416"/>
      <c r="AF134" s="416"/>
      <c r="AG134" s="416"/>
      <c r="AH134" s="416"/>
      <c r="AI134" s="416"/>
      <c r="AJ134" s="416"/>
      <c r="AK134" s="416"/>
      <c r="AL134" s="416"/>
      <c r="AM134" s="416"/>
      <c r="AN134" s="416"/>
      <c r="AO134" s="416"/>
      <c r="AP134" s="416"/>
      <c r="AQ134" s="416"/>
      <c r="AR134" s="416"/>
      <c r="AS134" s="416"/>
      <c r="AT134" s="416"/>
      <c r="AU134" s="416"/>
      <c r="AV134" s="416"/>
      <c r="AW134" s="416"/>
      <c r="AX134" s="416"/>
      <c r="AY134" s="416"/>
      <c r="AZ134" s="416"/>
      <c r="BA134" s="416"/>
      <c r="BB134" s="416"/>
      <c r="BC134" s="416"/>
      <c r="BD134" s="416"/>
      <c r="BE134" s="416"/>
      <c r="BF134" s="416"/>
      <c r="BG134" s="416"/>
      <c r="BH134" s="416"/>
      <c r="BI134" s="416"/>
      <c r="BJ134" s="416"/>
      <c r="BK134" s="416"/>
      <c r="BL134" s="416"/>
      <c r="BM134" s="416"/>
      <c r="BN134" s="416"/>
      <c r="BO134" s="416"/>
      <c r="BP134" s="416"/>
      <c r="BQ134" s="416"/>
      <c r="BR134" s="416"/>
      <c r="BS134" s="416"/>
      <c r="BT134" s="416"/>
      <c r="BU134" s="416"/>
      <c r="BV134" s="416"/>
      <c r="BW134" s="416"/>
      <c r="BX134" s="416"/>
      <c r="BY134" s="416"/>
      <c r="BZ134" s="416"/>
      <c r="CA134" s="416"/>
      <c r="CB134" s="416"/>
      <c r="CC134" s="416"/>
      <c r="CD134" s="416"/>
      <c r="CE134" s="416"/>
      <c r="CF134" s="416"/>
      <c r="CG134" s="416"/>
      <c r="CH134" s="416"/>
      <c r="CI134" s="1"/>
      <c r="CJ134" s="1"/>
      <c r="CK134" s="1"/>
      <c r="CL134" s="1"/>
      <c r="CM134" s="1"/>
      <c r="CN134" s="1"/>
      <c r="CO134" s="1"/>
      <c r="CP134" s="1"/>
    </row>
    <row r="135" ht="15.75" customHeight="1">
      <c r="A135" s="1" t="s">
        <v>129</v>
      </c>
      <c r="B135" s="417"/>
      <c r="C135" s="417">
        <f t="shared" ref="C135:Y135" si="81">RANDBETWEEN(1000,10000)</f>
        <v>7946</v>
      </c>
      <c r="D135" s="417">
        <f t="shared" si="81"/>
        <v>5624</v>
      </c>
      <c r="E135" s="417">
        <f t="shared" si="81"/>
        <v>8851</v>
      </c>
      <c r="F135" s="417">
        <f t="shared" si="81"/>
        <v>7735</v>
      </c>
      <c r="G135" s="417">
        <f t="shared" si="81"/>
        <v>9712</v>
      </c>
      <c r="H135" s="417">
        <f t="shared" si="81"/>
        <v>8063</v>
      </c>
      <c r="I135" s="417">
        <f t="shared" si="81"/>
        <v>6428</v>
      </c>
      <c r="J135" s="417">
        <f t="shared" si="81"/>
        <v>5853</v>
      </c>
      <c r="K135" s="417">
        <f t="shared" si="81"/>
        <v>5232</v>
      </c>
      <c r="L135" s="417">
        <f t="shared" si="81"/>
        <v>1519</v>
      </c>
      <c r="M135" s="417">
        <f t="shared" si="81"/>
        <v>5711</v>
      </c>
      <c r="N135" s="417">
        <f t="shared" si="81"/>
        <v>1756</v>
      </c>
      <c r="O135" s="417">
        <f t="shared" si="81"/>
        <v>2520</v>
      </c>
      <c r="P135" s="417">
        <f t="shared" si="81"/>
        <v>3799</v>
      </c>
      <c r="Q135" s="417">
        <f t="shared" si="81"/>
        <v>7994</v>
      </c>
      <c r="R135" s="417">
        <f t="shared" si="81"/>
        <v>2209</v>
      </c>
      <c r="S135" s="417">
        <f t="shared" si="81"/>
        <v>5442</v>
      </c>
      <c r="T135" s="417">
        <f t="shared" si="81"/>
        <v>7825</v>
      </c>
      <c r="U135" s="417">
        <f t="shared" si="81"/>
        <v>9192</v>
      </c>
      <c r="V135" s="417">
        <f t="shared" si="81"/>
        <v>8930</v>
      </c>
      <c r="W135" s="417">
        <f t="shared" si="81"/>
        <v>6169</v>
      </c>
      <c r="X135" s="417">
        <f t="shared" si="81"/>
        <v>9149</v>
      </c>
      <c r="Y135" s="417">
        <f t="shared" si="81"/>
        <v>6266</v>
      </c>
      <c r="Z135" s="418">
        <f>'New Biz Sales'!Z96/13</f>
        <v>12692.30769</v>
      </c>
      <c r="AA135" s="418">
        <f>'New Biz Sales'!AA96/13</f>
        <v>12946.15385</v>
      </c>
      <c r="AB135" s="418">
        <f>'New Biz Sales'!AB96/13</f>
        <v>12946.15385</v>
      </c>
      <c r="AC135" s="418">
        <f>'New Biz Sales'!AC96/13</f>
        <v>12946.15385</v>
      </c>
      <c r="AD135" s="418">
        <f>'New Biz Sales'!AD96/13</f>
        <v>12946.15385</v>
      </c>
      <c r="AE135" s="418">
        <f>'New Biz Sales'!AE96/13</f>
        <v>12946.15385</v>
      </c>
      <c r="AF135" s="418">
        <f>'New Biz Sales'!AF96/13</f>
        <v>13205.07692</v>
      </c>
      <c r="AG135" s="418">
        <f>'New Biz Sales'!AG96/13</f>
        <v>13205.07692</v>
      </c>
      <c r="AH135" s="418">
        <f>'New Biz Sales'!AH96/13</f>
        <v>13205.07692</v>
      </c>
      <c r="AI135" s="418">
        <f>'New Biz Sales'!AI96/13</f>
        <v>13205.07692</v>
      </c>
      <c r="AJ135" s="418">
        <f>'New Biz Sales'!AJ96/13</f>
        <v>13205.07692</v>
      </c>
      <c r="AK135" s="418">
        <f>'New Biz Sales'!AK96/13</f>
        <v>13205.07692</v>
      </c>
      <c r="AL135" s="418">
        <f>'New Biz Sales'!AL96/13</f>
        <v>13205.07692</v>
      </c>
      <c r="AM135" s="418">
        <f>'New Biz Sales'!AM96/13</f>
        <v>13271.10231</v>
      </c>
      <c r="AN135" s="418">
        <f>'New Biz Sales'!AN96/13</f>
        <v>13271.10231</v>
      </c>
      <c r="AO135" s="418">
        <f>'New Biz Sales'!AO96/13</f>
        <v>13271.10231</v>
      </c>
      <c r="AP135" s="418">
        <f>'New Biz Sales'!AP96/13</f>
        <v>13271.10231</v>
      </c>
      <c r="AQ135" s="418">
        <f>'New Biz Sales'!AQ96/13</f>
        <v>13271.10231</v>
      </c>
      <c r="AR135" s="418">
        <f>'New Biz Sales'!AR96/13</f>
        <v>13337.45782</v>
      </c>
      <c r="AS135" s="418">
        <f>'New Biz Sales'!AS96/13</f>
        <v>13337.45782</v>
      </c>
      <c r="AT135" s="418">
        <f>'New Biz Sales'!AT96/13</f>
        <v>13337.45782</v>
      </c>
      <c r="AU135" s="418">
        <f>'New Biz Sales'!AU96/13</f>
        <v>13337.45782</v>
      </c>
      <c r="AV135" s="418">
        <f>'New Biz Sales'!AV96/13</f>
        <v>13337.45782</v>
      </c>
      <c r="AW135" s="418">
        <f>'New Biz Sales'!AW96/13</f>
        <v>13337.45782</v>
      </c>
      <c r="AX135" s="418">
        <f>'New Biz Sales'!AX96/13</f>
        <v>13337.45782</v>
      </c>
      <c r="AY135" s="418">
        <f>'New Biz Sales'!AY96/13</f>
        <v>13404.14511</v>
      </c>
      <c r="AZ135" s="418">
        <f>'New Biz Sales'!AZ96/13</f>
        <v>13404.14511</v>
      </c>
      <c r="BA135" s="418">
        <f>'New Biz Sales'!BA96/13</f>
        <v>13404.14511</v>
      </c>
      <c r="BB135" s="418">
        <f>'New Biz Sales'!BB96/13</f>
        <v>13404.14511</v>
      </c>
      <c r="BC135" s="418">
        <f>'New Biz Sales'!BC96/13</f>
        <v>13404.14511</v>
      </c>
      <c r="BD135" s="418">
        <f>'New Biz Sales'!BD96/13</f>
        <v>13404.14511</v>
      </c>
      <c r="BE135" s="418">
        <f>'New Biz Sales'!BE96/13</f>
        <v>13404.14511</v>
      </c>
      <c r="BF135" s="418">
        <f>'New Biz Sales'!BF96/13</f>
        <v>13404.14511</v>
      </c>
      <c r="BG135" s="418">
        <f>'New Biz Sales'!BG96/13</f>
        <v>13404.14511</v>
      </c>
      <c r="BH135" s="418">
        <f>'New Biz Sales'!BH96/13</f>
        <v>13404.14511</v>
      </c>
      <c r="BI135" s="418">
        <f>'New Biz Sales'!BI96/13</f>
        <v>13404.14511</v>
      </c>
      <c r="BJ135" s="418">
        <f>'New Biz Sales'!BJ96/13</f>
        <v>13404.14511</v>
      </c>
      <c r="BK135" s="418">
        <f>'New Biz Sales'!BK96/13</f>
        <v>13672.22801</v>
      </c>
      <c r="BL135" s="418">
        <f>'New Biz Sales'!BL96/13</f>
        <v>13945.67257</v>
      </c>
      <c r="BM135" s="418">
        <f>'New Biz Sales'!BM96/13</f>
        <v>13945.67257</v>
      </c>
      <c r="BN135" s="418">
        <f>'New Biz Sales'!BN96/13</f>
        <v>13945.67257</v>
      </c>
      <c r="BO135" s="418">
        <f>'New Biz Sales'!BO96/13</f>
        <v>13945.67257</v>
      </c>
      <c r="BP135" s="418">
        <f>'New Biz Sales'!BP96/13</f>
        <v>13945.67257</v>
      </c>
      <c r="BQ135" s="418">
        <f>'New Biz Sales'!BQ96/13</f>
        <v>13945.67257</v>
      </c>
      <c r="BR135" s="418">
        <f>'New Biz Sales'!BR96/13</f>
        <v>13945.67257</v>
      </c>
      <c r="BS135" s="418">
        <f>'New Biz Sales'!BS96/13</f>
        <v>13945.67257</v>
      </c>
      <c r="BT135" s="418">
        <f>'New Biz Sales'!BT96/13</f>
        <v>13945.67257</v>
      </c>
      <c r="BU135" s="418">
        <f>'New Biz Sales'!BU96/13</f>
        <v>13945.67257</v>
      </c>
      <c r="BV135" s="418">
        <f>'New Biz Sales'!BV96/13</f>
        <v>13945.67257</v>
      </c>
      <c r="BW135" s="418">
        <f>'New Biz Sales'!BW96/13</f>
        <v>13945.67257</v>
      </c>
      <c r="BX135" s="418">
        <f>'New Biz Sales'!BX96/13</f>
        <v>13945.67257</v>
      </c>
      <c r="BY135" s="418">
        <f>'New Biz Sales'!BY96/13</f>
        <v>13945.67257</v>
      </c>
      <c r="BZ135" s="418">
        <f>'New Biz Sales'!BZ96/13</f>
        <v>13945.67257</v>
      </c>
      <c r="CA135" s="418">
        <f>'New Biz Sales'!CA96/13</f>
        <v>13945.67257</v>
      </c>
      <c r="CB135" s="418">
        <f>'New Biz Sales'!CB96/13</f>
        <v>13945.67257</v>
      </c>
      <c r="CC135" s="418">
        <f>'New Biz Sales'!CC96/13</f>
        <v>13945.67257</v>
      </c>
      <c r="CD135" s="418">
        <f>'New Biz Sales'!CD96/13</f>
        <v>13945.67257</v>
      </c>
      <c r="CE135" s="418">
        <f>'New Biz Sales'!CE96/13</f>
        <v>13945.67257</v>
      </c>
      <c r="CF135" s="418">
        <f>'New Biz Sales'!CF96/13</f>
        <v>13945.67257</v>
      </c>
      <c r="CG135" s="418">
        <f>'New Biz Sales'!CG96/13</f>
        <v>13945.67257</v>
      </c>
      <c r="CH135" s="418">
        <f>'New Biz Sales'!CH96/13</f>
        <v>13945.67257</v>
      </c>
      <c r="CI135" s="1"/>
      <c r="CJ135" s="1"/>
      <c r="CK135" s="1"/>
      <c r="CL135" s="1"/>
      <c r="CM135" s="1"/>
      <c r="CN135" s="1"/>
      <c r="CO135" s="1"/>
      <c r="CP135" s="1"/>
    </row>
    <row r="136" ht="15.75" customHeight="1">
      <c r="A136" s="1" t="s">
        <v>85</v>
      </c>
      <c r="B136" s="417"/>
      <c r="C136" s="417">
        <f t="shared" ref="C136:Y136" si="82">RANDBETWEEN(1000,10000)</f>
        <v>2535</v>
      </c>
      <c r="D136" s="417">
        <f t="shared" si="82"/>
        <v>7606</v>
      </c>
      <c r="E136" s="417">
        <f t="shared" si="82"/>
        <v>9334</v>
      </c>
      <c r="F136" s="417">
        <f t="shared" si="82"/>
        <v>9232</v>
      </c>
      <c r="G136" s="417">
        <f t="shared" si="82"/>
        <v>7033</v>
      </c>
      <c r="H136" s="417">
        <f t="shared" si="82"/>
        <v>3966</v>
      </c>
      <c r="I136" s="417">
        <f t="shared" si="82"/>
        <v>5412</v>
      </c>
      <c r="J136" s="417">
        <f t="shared" si="82"/>
        <v>9840</v>
      </c>
      <c r="K136" s="417">
        <f t="shared" si="82"/>
        <v>6892</v>
      </c>
      <c r="L136" s="417">
        <f t="shared" si="82"/>
        <v>6939</v>
      </c>
      <c r="M136" s="417">
        <f t="shared" si="82"/>
        <v>6071</v>
      </c>
      <c r="N136" s="417">
        <f t="shared" si="82"/>
        <v>9053</v>
      </c>
      <c r="O136" s="417">
        <f t="shared" si="82"/>
        <v>7889</v>
      </c>
      <c r="P136" s="417">
        <f t="shared" si="82"/>
        <v>3845</v>
      </c>
      <c r="Q136" s="417">
        <f t="shared" si="82"/>
        <v>6629</v>
      </c>
      <c r="R136" s="417">
        <f t="shared" si="82"/>
        <v>6126</v>
      </c>
      <c r="S136" s="417">
        <f t="shared" si="82"/>
        <v>9355</v>
      </c>
      <c r="T136" s="417">
        <f t="shared" si="82"/>
        <v>8699</v>
      </c>
      <c r="U136" s="417">
        <f t="shared" si="82"/>
        <v>1149</v>
      </c>
      <c r="V136" s="417">
        <f t="shared" si="82"/>
        <v>2101</v>
      </c>
      <c r="W136" s="417">
        <f t="shared" si="82"/>
        <v>9590</v>
      </c>
      <c r="X136" s="417">
        <f t="shared" si="82"/>
        <v>1168</v>
      </c>
      <c r="Y136" s="417">
        <f t="shared" si="82"/>
        <v>7363</v>
      </c>
      <c r="Z136" s="418">
        <f>'New Biz Sales'!Z97/13</f>
        <v>9615.384615</v>
      </c>
      <c r="AA136" s="418">
        <f>'New Biz Sales'!AA97/13</f>
        <v>9807.692308</v>
      </c>
      <c r="AB136" s="418">
        <f>'New Biz Sales'!AB97/13</f>
        <v>9807.692308</v>
      </c>
      <c r="AC136" s="418">
        <f>'New Biz Sales'!AC97/13</f>
        <v>9807.692308</v>
      </c>
      <c r="AD136" s="418">
        <f>'New Biz Sales'!AD97/13</f>
        <v>9807.692308</v>
      </c>
      <c r="AE136" s="418">
        <f>'New Biz Sales'!AE97/13</f>
        <v>9807.692308</v>
      </c>
      <c r="AF136" s="418">
        <f>'New Biz Sales'!AF97/13</f>
        <v>10003.84615</v>
      </c>
      <c r="AG136" s="418">
        <f>'New Biz Sales'!AG97/13</f>
        <v>10003.84615</v>
      </c>
      <c r="AH136" s="418">
        <f>'New Biz Sales'!AH97/13</f>
        <v>10003.84615</v>
      </c>
      <c r="AI136" s="418">
        <f>'New Biz Sales'!AI97/13</f>
        <v>10003.84615</v>
      </c>
      <c r="AJ136" s="418">
        <f>'New Biz Sales'!AJ97/13</f>
        <v>10003.84615</v>
      </c>
      <c r="AK136" s="418">
        <f>'New Biz Sales'!AK97/13</f>
        <v>10003.84615</v>
      </c>
      <c r="AL136" s="418">
        <f>'New Biz Sales'!AL97/13</f>
        <v>10003.84615</v>
      </c>
      <c r="AM136" s="418">
        <f>'New Biz Sales'!AM97/13</f>
        <v>10053.86538</v>
      </c>
      <c r="AN136" s="418">
        <f>'New Biz Sales'!AN97/13</f>
        <v>10053.86538</v>
      </c>
      <c r="AO136" s="418">
        <f>'New Biz Sales'!AO97/13</f>
        <v>10053.86538</v>
      </c>
      <c r="AP136" s="418">
        <f>'New Biz Sales'!AP97/13</f>
        <v>10053.86538</v>
      </c>
      <c r="AQ136" s="418">
        <f>'New Biz Sales'!AQ97/13</f>
        <v>10053.86538</v>
      </c>
      <c r="AR136" s="418">
        <f>'New Biz Sales'!AR97/13</f>
        <v>10104.13471</v>
      </c>
      <c r="AS136" s="418">
        <f>'New Biz Sales'!AS97/13</f>
        <v>10104.13471</v>
      </c>
      <c r="AT136" s="418">
        <f>'New Biz Sales'!AT97/13</f>
        <v>10104.13471</v>
      </c>
      <c r="AU136" s="418">
        <f>'New Biz Sales'!AU97/13</f>
        <v>10104.13471</v>
      </c>
      <c r="AV136" s="418">
        <f>'New Biz Sales'!AV97/13</f>
        <v>10104.13471</v>
      </c>
      <c r="AW136" s="418">
        <f>'New Biz Sales'!AW97/13</f>
        <v>10104.13471</v>
      </c>
      <c r="AX136" s="418">
        <f>'New Biz Sales'!AX97/13</f>
        <v>10104.13471</v>
      </c>
      <c r="AY136" s="418">
        <f>'New Biz Sales'!AY97/13</f>
        <v>10154.65539</v>
      </c>
      <c r="AZ136" s="418">
        <f>'New Biz Sales'!AZ97/13</f>
        <v>10154.65539</v>
      </c>
      <c r="BA136" s="418">
        <f>'New Biz Sales'!BA97/13</f>
        <v>10154.65539</v>
      </c>
      <c r="BB136" s="418">
        <f>'New Biz Sales'!BB97/13</f>
        <v>10154.65539</v>
      </c>
      <c r="BC136" s="418">
        <f>'New Biz Sales'!BC97/13</f>
        <v>10154.65539</v>
      </c>
      <c r="BD136" s="418">
        <f>'New Biz Sales'!BD97/13</f>
        <v>10154.65539</v>
      </c>
      <c r="BE136" s="418">
        <f>'New Biz Sales'!BE97/13</f>
        <v>10154.65539</v>
      </c>
      <c r="BF136" s="418">
        <f>'New Biz Sales'!BF97/13</f>
        <v>10154.65539</v>
      </c>
      <c r="BG136" s="418">
        <f>'New Biz Sales'!BG97/13</f>
        <v>10154.65539</v>
      </c>
      <c r="BH136" s="418">
        <f>'New Biz Sales'!BH97/13</f>
        <v>10154.65539</v>
      </c>
      <c r="BI136" s="418">
        <f>'New Biz Sales'!BI97/13</f>
        <v>10154.65539</v>
      </c>
      <c r="BJ136" s="418">
        <f>'New Biz Sales'!BJ97/13</f>
        <v>10154.65539</v>
      </c>
      <c r="BK136" s="418">
        <f>'New Biz Sales'!BK97/13</f>
        <v>10357.74849</v>
      </c>
      <c r="BL136" s="418">
        <f>'New Biz Sales'!BL97/13</f>
        <v>10564.90346</v>
      </c>
      <c r="BM136" s="418">
        <f>'New Biz Sales'!BM97/13</f>
        <v>10564.90346</v>
      </c>
      <c r="BN136" s="418">
        <f>'New Biz Sales'!BN97/13</f>
        <v>10564.90346</v>
      </c>
      <c r="BO136" s="418">
        <f>'New Biz Sales'!BO97/13</f>
        <v>10564.90346</v>
      </c>
      <c r="BP136" s="418">
        <f>'New Biz Sales'!BP97/13</f>
        <v>10564.90346</v>
      </c>
      <c r="BQ136" s="418">
        <f>'New Biz Sales'!BQ97/13</f>
        <v>10564.90346</v>
      </c>
      <c r="BR136" s="418">
        <f>'New Biz Sales'!BR97/13</f>
        <v>10564.90346</v>
      </c>
      <c r="BS136" s="418">
        <f>'New Biz Sales'!BS97/13</f>
        <v>10564.90346</v>
      </c>
      <c r="BT136" s="418">
        <f>'New Biz Sales'!BT97/13</f>
        <v>10564.90346</v>
      </c>
      <c r="BU136" s="418">
        <f>'New Biz Sales'!BU97/13</f>
        <v>10564.90346</v>
      </c>
      <c r="BV136" s="418">
        <f>'New Biz Sales'!BV97/13</f>
        <v>10564.90346</v>
      </c>
      <c r="BW136" s="418">
        <f>'New Biz Sales'!BW97/13</f>
        <v>10564.90346</v>
      </c>
      <c r="BX136" s="418">
        <f>'New Biz Sales'!BX97/13</f>
        <v>10564.90346</v>
      </c>
      <c r="BY136" s="418">
        <f>'New Biz Sales'!BY97/13</f>
        <v>10564.90346</v>
      </c>
      <c r="BZ136" s="418">
        <f>'New Biz Sales'!BZ97/13</f>
        <v>10564.90346</v>
      </c>
      <c r="CA136" s="418">
        <f>'New Biz Sales'!CA97/13</f>
        <v>10564.90346</v>
      </c>
      <c r="CB136" s="418">
        <f>'New Biz Sales'!CB97/13</f>
        <v>10564.90346</v>
      </c>
      <c r="CC136" s="418">
        <f>'New Biz Sales'!CC97/13</f>
        <v>10564.90346</v>
      </c>
      <c r="CD136" s="418">
        <f>'New Biz Sales'!CD97/13</f>
        <v>10564.90346</v>
      </c>
      <c r="CE136" s="418">
        <f>'New Biz Sales'!CE97/13</f>
        <v>10564.90346</v>
      </c>
      <c r="CF136" s="418">
        <f>'New Biz Sales'!CF97/13</f>
        <v>10564.90346</v>
      </c>
      <c r="CG136" s="418">
        <f>'New Biz Sales'!CG97/13</f>
        <v>10564.90346</v>
      </c>
      <c r="CH136" s="418">
        <f>'New Biz Sales'!CH97/13</f>
        <v>10564.90346</v>
      </c>
      <c r="CI136" s="1"/>
      <c r="CJ136" s="1"/>
      <c r="CK136" s="1"/>
      <c r="CL136" s="1"/>
      <c r="CM136" s="1"/>
      <c r="CN136" s="1"/>
      <c r="CO136" s="1"/>
      <c r="CP136" s="1"/>
    </row>
    <row r="137" ht="15.75" customHeight="1">
      <c r="A137" s="1" t="s">
        <v>130</v>
      </c>
      <c r="B137" s="417"/>
      <c r="C137" s="417">
        <f t="shared" ref="C137:Y137" si="83">RANDBETWEEN(1000,10000)</f>
        <v>3476</v>
      </c>
      <c r="D137" s="417">
        <f t="shared" si="83"/>
        <v>1754</v>
      </c>
      <c r="E137" s="417">
        <f t="shared" si="83"/>
        <v>4687</v>
      </c>
      <c r="F137" s="417">
        <f t="shared" si="83"/>
        <v>5696</v>
      </c>
      <c r="G137" s="417">
        <f t="shared" si="83"/>
        <v>4368</v>
      </c>
      <c r="H137" s="417">
        <f t="shared" si="83"/>
        <v>8609</v>
      </c>
      <c r="I137" s="417">
        <f t="shared" si="83"/>
        <v>4057</v>
      </c>
      <c r="J137" s="417">
        <f t="shared" si="83"/>
        <v>3936</v>
      </c>
      <c r="K137" s="417">
        <f t="shared" si="83"/>
        <v>8557</v>
      </c>
      <c r="L137" s="417">
        <f t="shared" si="83"/>
        <v>1457</v>
      </c>
      <c r="M137" s="417">
        <f t="shared" si="83"/>
        <v>1502</v>
      </c>
      <c r="N137" s="417">
        <f t="shared" si="83"/>
        <v>7969</v>
      </c>
      <c r="O137" s="417">
        <f t="shared" si="83"/>
        <v>7396</v>
      </c>
      <c r="P137" s="417">
        <f t="shared" si="83"/>
        <v>6758</v>
      </c>
      <c r="Q137" s="417">
        <f t="shared" si="83"/>
        <v>6024</v>
      </c>
      <c r="R137" s="417">
        <f t="shared" si="83"/>
        <v>4646</v>
      </c>
      <c r="S137" s="417">
        <f t="shared" si="83"/>
        <v>7515</v>
      </c>
      <c r="T137" s="417">
        <f t="shared" si="83"/>
        <v>2032</v>
      </c>
      <c r="U137" s="417">
        <f t="shared" si="83"/>
        <v>7570</v>
      </c>
      <c r="V137" s="417">
        <f t="shared" si="83"/>
        <v>3649</v>
      </c>
      <c r="W137" s="417">
        <f t="shared" si="83"/>
        <v>9907</v>
      </c>
      <c r="X137" s="417">
        <f t="shared" si="83"/>
        <v>7639</v>
      </c>
      <c r="Y137" s="417">
        <f t="shared" si="83"/>
        <v>8454</v>
      </c>
      <c r="Z137" s="418">
        <f>'New Biz Sales'!Z98/13</f>
        <v>14580.76923</v>
      </c>
      <c r="AA137" s="418">
        <f>'New Biz Sales'!AA98/13</f>
        <v>14872.38462</v>
      </c>
      <c r="AB137" s="418">
        <f>'New Biz Sales'!AB98/13</f>
        <v>14872.38462</v>
      </c>
      <c r="AC137" s="418">
        <f>'New Biz Sales'!AC98/13</f>
        <v>14872.38462</v>
      </c>
      <c r="AD137" s="418">
        <f>'New Biz Sales'!AD98/13</f>
        <v>14872.38462</v>
      </c>
      <c r="AE137" s="418">
        <f>'New Biz Sales'!AE98/13</f>
        <v>14872.38462</v>
      </c>
      <c r="AF137" s="418">
        <f>'New Biz Sales'!AF98/13</f>
        <v>15169.83231</v>
      </c>
      <c r="AG137" s="418">
        <f>'New Biz Sales'!AG98/13</f>
        <v>15169.83231</v>
      </c>
      <c r="AH137" s="418">
        <f>'New Biz Sales'!AH98/13</f>
        <v>15169.83231</v>
      </c>
      <c r="AI137" s="418">
        <f>'New Biz Sales'!AI98/13</f>
        <v>15169.83231</v>
      </c>
      <c r="AJ137" s="418">
        <f>'New Biz Sales'!AJ98/13</f>
        <v>15169.83231</v>
      </c>
      <c r="AK137" s="418">
        <f>'New Biz Sales'!AK98/13</f>
        <v>15169.83231</v>
      </c>
      <c r="AL137" s="418">
        <f>'New Biz Sales'!AL98/13</f>
        <v>15169.83231</v>
      </c>
      <c r="AM137" s="418">
        <f>'New Biz Sales'!AM98/13</f>
        <v>15321.53063</v>
      </c>
      <c r="AN137" s="418">
        <f>'New Biz Sales'!AN98/13</f>
        <v>15321.53063</v>
      </c>
      <c r="AO137" s="418">
        <f>'New Biz Sales'!AO98/13</f>
        <v>15321.53063</v>
      </c>
      <c r="AP137" s="418">
        <f>'New Biz Sales'!AP98/13</f>
        <v>15321.53063</v>
      </c>
      <c r="AQ137" s="418">
        <f>'New Biz Sales'!AQ98/13</f>
        <v>15321.53063</v>
      </c>
      <c r="AR137" s="418">
        <f>'New Biz Sales'!AR98/13</f>
        <v>15474.74594</v>
      </c>
      <c r="AS137" s="418">
        <f>'New Biz Sales'!AS98/13</f>
        <v>15474.74594</v>
      </c>
      <c r="AT137" s="418">
        <f>'New Biz Sales'!AT98/13</f>
        <v>15474.74594</v>
      </c>
      <c r="AU137" s="418">
        <f>'New Biz Sales'!AU98/13</f>
        <v>15474.74594</v>
      </c>
      <c r="AV137" s="418">
        <f>'New Biz Sales'!AV98/13</f>
        <v>15474.74594</v>
      </c>
      <c r="AW137" s="418">
        <f>'New Biz Sales'!AW98/13</f>
        <v>15474.74594</v>
      </c>
      <c r="AX137" s="418">
        <f>'New Biz Sales'!AX98/13</f>
        <v>15474.74594</v>
      </c>
      <c r="AY137" s="418">
        <f>'New Biz Sales'!AY98/13</f>
        <v>15552.11967</v>
      </c>
      <c r="AZ137" s="418">
        <f>'New Biz Sales'!AZ98/13</f>
        <v>15552.11967</v>
      </c>
      <c r="BA137" s="418">
        <f>'New Biz Sales'!BA98/13</f>
        <v>15552.11967</v>
      </c>
      <c r="BB137" s="418">
        <f>'New Biz Sales'!BB98/13</f>
        <v>15552.11967</v>
      </c>
      <c r="BC137" s="418">
        <f>'New Biz Sales'!BC98/13</f>
        <v>15552.11967</v>
      </c>
      <c r="BD137" s="418">
        <f>'New Biz Sales'!BD98/13</f>
        <v>15552.11967</v>
      </c>
      <c r="BE137" s="418">
        <f>'New Biz Sales'!BE98/13</f>
        <v>15552.11967</v>
      </c>
      <c r="BF137" s="418">
        <f>'New Biz Sales'!BF98/13</f>
        <v>15552.11967</v>
      </c>
      <c r="BG137" s="418">
        <f>'New Biz Sales'!BG98/13</f>
        <v>15552.11967</v>
      </c>
      <c r="BH137" s="418">
        <f>'New Biz Sales'!BH98/13</f>
        <v>15552.11967</v>
      </c>
      <c r="BI137" s="418">
        <f>'New Biz Sales'!BI98/13</f>
        <v>15552.11967</v>
      </c>
      <c r="BJ137" s="418">
        <f>'New Biz Sales'!BJ98/13</f>
        <v>15552.11967</v>
      </c>
      <c r="BK137" s="418">
        <f>'New Biz Sales'!BK98/13</f>
        <v>16329.72565</v>
      </c>
      <c r="BL137" s="418">
        <f>'New Biz Sales'!BL98/13</f>
        <v>17146.21193</v>
      </c>
      <c r="BM137" s="418">
        <f>'New Biz Sales'!BM98/13</f>
        <v>17146.21193</v>
      </c>
      <c r="BN137" s="418">
        <f>'New Biz Sales'!BN98/13</f>
        <v>17146.21193</v>
      </c>
      <c r="BO137" s="418">
        <f>'New Biz Sales'!BO98/13</f>
        <v>17146.21193</v>
      </c>
      <c r="BP137" s="418">
        <f>'New Biz Sales'!BP98/13</f>
        <v>17146.21193</v>
      </c>
      <c r="BQ137" s="418">
        <f>'New Biz Sales'!BQ98/13</f>
        <v>17146.21193</v>
      </c>
      <c r="BR137" s="418">
        <f>'New Biz Sales'!BR98/13</f>
        <v>17146.21193</v>
      </c>
      <c r="BS137" s="418">
        <f>'New Biz Sales'!BS98/13</f>
        <v>17146.21193</v>
      </c>
      <c r="BT137" s="418">
        <f>'New Biz Sales'!BT98/13</f>
        <v>17146.21193</v>
      </c>
      <c r="BU137" s="418">
        <f>'New Biz Sales'!BU98/13</f>
        <v>17146.21193</v>
      </c>
      <c r="BV137" s="418">
        <f>'New Biz Sales'!BV98/13</f>
        <v>17146.21193</v>
      </c>
      <c r="BW137" s="418">
        <f>'New Biz Sales'!BW98/13</f>
        <v>17146.21193</v>
      </c>
      <c r="BX137" s="418">
        <f>'New Biz Sales'!BX98/13</f>
        <v>17146.21193</v>
      </c>
      <c r="BY137" s="418">
        <f>'New Biz Sales'!BY98/13</f>
        <v>17146.21193</v>
      </c>
      <c r="BZ137" s="418">
        <f>'New Biz Sales'!BZ98/13</f>
        <v>17146.21193</v>
      </c>
      <c r="CA137" s="418">
        <f>'New Biz Sales'!CA98/13</f>
        <v>17146.21193</v>
      </c>
      <c r="CB137" s="418">
        <f>'New Biz Sales'!CB98/13</f>
        <v>17146.21193</v>
      </c>
      <c r="CC137" s="418">
        <f>'New Biz Sales'!CC98/13</f>
        <v>17146.21193</v>
      </c>
      <c r="CD137" s="418">
        <f>'New Biz Sales'!CD98/13</f>
        <v>17146.21193</v>
      </c>
      <c r="CE137" s="418">
        <f>'New Biz Sales'!CE98/13</f>
        <v>17146.21193</v>
      </c>
      <c r="CF137" s="418">
        <f>'New Biz Sales'!CF98/13</f>
        <v>17146.21193</v>
      </c>
      <c r="CG137" s="418">
        <f>'New Biz Sales'!CG98/13</f>
        <v>17146.21193</v>
      </c>
      <c r="CH137" s="418">
        <f>'New Biz Sales'!CH98/13</f>
        <v>17146.21193</v>
      </c>
      <c r="CI137" s="1"/>
      <c r="CJ137" s="1"/>
      <c r="CK137" s="1"/>
      <c r="CL137" s="1"/>
      <c r="CM137" s="1"/>
      <c r="CN137" s="1"/>
      <c r="CO137" s="1"/>
      <c r="CP137" s="1"/>
    </row>
    <row r="138" ht="15.75" customHeight="1">
      <c r="A138" s="137" t="s">
        <v>89</v>
      </c>
      <c r="B138" s="418"/>
      <c r="C138" s="417">
        <f t="shared" ref="C138:Y138" si="84">RANDBETWEEN(1000,10000)</f>
        <v>2088</v>
      </c>
      <c r="D138" s="417">
        <f t="shared" si="84"/>
        <v>6093</v>
      </c>
      <c r="E138" s="417">
        <f t="shared" si="84"/>
        <v>5920</v>
      </c>
      <c r="F138" s="417">
        <f t="shared" si="84"/>
        <v>3843</v>
      </c>
      <c r="G138" s="417">
        <f t="shared" si="84"/>
        <v>8197</v>
      </c>
      <c r="H138" s="417">
        <f t="shared" si="84"/>
        <v>2646</v>
      </c>
      <c r="I138" s="417">
        <f t="shared" si="84"/>
        <v>3774</v>
      </c>
      <c r="J138" s="417">
        <f t="shared" si="84"/>
        <v>1409</v>
      </c>
      <c r="K138" s="417">
        <f t="shared" si="84"/>
        <v>8286</v>
      </c>
      <c r="L138" s="417">
        <f t="shared" si="84"/>
        <v>7912</v>
      </c>
      <c r="M138" s="417">
        <f t="shared" si="84"/>
        <v>3029</v>
      </c>
      <c r="N138" s="417">
        <f t="shared" si="84"/>
        <v>7522</v>
      </c>
      <c r="O138" s="417">
        <f t="shared" si="84"/>
        <v>6821</v>
      </c>
      <c r="P138" s="417">
        <f t="shared" si="84"/>
        <v>4691</v>
      </c>
      <c r="Q138" s="417">
        <f t="shared" si="84"/>
        <v>6923</v>
      </c>
      <c r="R138" s="417">
        <f t="shared" si="84"/>
        <v>4083</v>
      </c>
      <c r="S138" s="417">
        <f t="shared" si="84"/>
        <v>1787</v>
      </c>
      <c r="T138" s="417">
        <f t="shared" si="84"/>
        <v>3187</v>
      </c>
      <c r="U138" s="417">
        <f t="shared" si="84"/>
        <v>2887</v>
      </c>
      <c r="V138" s="417">
        <f t="shared" si="84"/>
        <v>8574</v>
      </c>
      <c r="W138" s="417">
        <f t="shared" si="84"/>
        <v>5268</v>
      </c>
      <c r="X138" s="417">
        <f t="shared" si="84"/>
        <v>6615</v>
      </c>
      <c r="Y138" s="417">
        <f t="shared" si="84"/>
        <v>9662</v>
      </c>
      <c r="Z138" s="418">
        <f>'New Biz Sales'!Z99/( 1/Z64)</f>
        <v>7875</v>
      </c>
      <c r="AA138" s="418">
        <f>'New Biz Sales'!AA99/( 1/AA64)</f>
        <v>7573.5</v>
      </c>
      <c r="AB138" s="418">
        <f>'New Biz Sales'!AB99/( 1/AB64)</f>
        <v>7573.5</v>
      </c>
      <c r="AC138" s="418">
        <f>'New Biz Sales'!AC99/( 1/AC64)</f>
        <v>7573.5</v>
      </c>
      <c r="AD138" s="418">
        <f>'New Biz Sales'!AD99/( 1/AD64)</f>
        <v>7573.5</v>
      </c>
      <c r="AE138" s="418">
        <f>'New Biz Sales'!AE99/( 1/AE64)</f>
        <v>7114.5</v>
      </c>
      <c r="AF138" s="418">
        <f>'New Biz Sales'!AF99/( 1/AF64)</f>
        <v>7564.32</v>
      </c>
      <c r="AG138" s="418">
        <f>'New Biz Sales'!AG99/( 1/AG64)</f>
        <v>7564.32</v>
      </c>
      <c r="AH138" s="418">
        <f>'New Biz Sales'!AH99/( 1/AH64)</f>
        <v>7800.705</v>
      </c>
      <c r="AI138" s="418">
        <f>'New Biz Sales'!AI99/( 1/AI64)</f>
        <v>8273.475</v>
      </c>
      <c r="AJ138" s="418">
        <f>'New Biz Sales'!AJ99/( 1/AJ64)</f>
        <v>7800.705</v>
      </c>
      <c r="AK138" s="418">
        <f>'New Biz Sales'!AK99/( 1/AK64)</f>
        <v>7800.705</v>
      </c>
      <c r="AL138" s="418">
        <f>'New Biz Sales'!AL99/( 1/AL64)</f>
        <v>7800.705</v>
      </c>
      <c r="AM138" s="418">
        <f>'New Biz Sales'!AM99/( 1/AM64)</f>
        <v>6932.69928</v>
      </c>
      <c r="AN138" s="418">
        <f>'New Biz Sales'!AN99/( 1/AN64)</f>
        <v>6932.69928</v>
      </c>
      <c r="AO138" s="418">
        <f>'New Biz Sales'!AO99/( 1/AO64)</f>
        <v>6932.69928</v>
      </c>
      <c r="AP138" s="418">
        <f>'New Biz Sales'!AP99/( 1/AP64)</f>
        <v>6932.69928</v>
      </c>
      <c r="AQ138" s="418">
        <f>'New Biz Sales'!AQ99/( 1/AQ64)</f>
        <v>6932.69928</v>
      </c>
      <c r="AR138" s="418">
        <f>'New Biz Sales'!AR99/( 1/AR64)</f>
        <v>7002.026273</v>
      </c>
      <c r="AS138" s="418">
        <f>'New Biz Sales'!AS99/( 1/AS64)</f>
        <v>7002.026273</v>
      </c>
      <c r="AT138" s="418">
        <f>'New Biz Sales'!AT99/( 1/AT64)</f>
        <v>7002.026273</v>
      </c>
      <c r="AU138" s="418">
        <f>'New Biz Sales'!AU99/( 1/AU64)</f>
        <v>7002.026273</v>
      </c>
      <c r="AV138" s="418">
        <f>'New Biz Sales'!AV99/( 1/AV64)</f>
        <v>7002.026273</v>
      </c>
      <c r="AW138" s="418">
        <f>'New Biz Sales'!AW99/( 1/AW64)</f>
        <v>7002.026273</v>
      </c>
      <c r="AX138" s="418">
        <f>'New Biz Sales'!AX99/( 1/AX64)</f>
        <v>7002.026273</v>
      </c>
      <c r="AY138" s="418">
        <f>'New Biz Sales'!AY99/( 1/AY64)</f>
        <v>6649.441971</v>
      </c>
      <c r="AZ138" s="418">
        <f>'New Biz Sales'!AZ99/( 1/AZ64)</f>
        <v>6649.441971</v>
      </c>
      <c r="BA138" s="418">
        <f>'New Biz Sales'!BA99/( 1/BA64)</f>
        <v>6649.441971</v>
      </c>
      <c r="BB138" s="418">
        <f>'New Biz Sales'!BB99/( 1/BB64)</f>
        <v>6649.441971</v>
      </c>
      <c r="BC138" s="418">
        <f>'New Biz Sales'!BC99/( 1/BC64)</f>
        <v>6649.441971</v>
      </c>
      <c r="BD138" s="418">
        <f>'New Biz Sales'!BD99/( 1/BD64)</f>
        <v>6649.441971</v>
      </c>
      <c r="BE138" s="418">
        <f>'New Biz Sales'!BE99/( 1/BE64)</f>
        <v>6649.441971</v>
      </c>
      <c r="BF138" s="418">
        <f>'New Biz Sales'!BF99/( 1/BF64)</f>
        <v>6649.441971</v>
      </c>
      <c r="BG138" s="418">
        <f>'New Biz Sales'!BG99/( 1/BG64)</f>
        <v>6649.441971</v>
      </c>
      <c r="BH138" s="418">
        <f>'New Biz Sales'!BH99/( 1/BH64)</f>
        <v>6649.441971</v>
      </c>
      <c r="BI138" s="418">
        <f>'New Biz Sales'!BI99/( 1/BI64)</f>
        <v>6649.441971</v>
      </c>
      <c r="BJ138" s="418">
        <f>'New Biz Sales'!BJ99/( 1/BJ64)</f>
        <v>6649.441971</v>
      </c>
      <c r="BK138" s="418">
        <f>'New Biz Sales'!BK99/( 1/BK64)</f>
        <v>6981.91407</v>
      </c>
      <c r="BL138" s="418">
        <f>'New Biz Sales'!BL99/( 1/BL64)</f>
        <v>7331.009773</v>
      </c>
      <c r="BM138" s="418">
        <f>'New Biz Sales'!BM99/( 1/BM64)</f>
        <v>7331.009773</v>
      </c>
      <c r="BN138" s="418">
        <f>'New Biz Sales'!BN99/( 1/BN64)</f>
        <v>7331.009773</v>
      </c>
      <c r="BO138" s="418">
        <f>'New Biz Sales'!BO99/( 1/BO64)</f>
        <v>7331.009773</v>
      </c>
      <c r="BP138" s="418">
        <f>'New Biz Sales'!BP99/( 1/BP64)</f>
        <v>7331.009773</v>
      </c>
      <c r="BQ138" s="418">
        <f>'New Biz Sales'!BQ99/( 1/BQ64)</f>
        <v>7331.009773</v>
      </c>
      <c r="BR138" s="418">
        <f>'New Biz Sales'!BR99/( 1/BR64)</f>
        <v>7331.009773</v>
      </c>
      <c r="BS138" s="418">
        <f>'New Biz Sales'!BS99/( 1/BS64)</f>
        <v>7331.009773</v>
      </c>
      <c r="BT138" s="418">
        <f>'New Biz Sales'!BT99/( 1/BT64)</f>
        <v>7331.009773</v>
      </c>
      <c r="BU138" s="418">
        <f>'New Biz Sales'!BU99/( 1/BU64)</f>
        <v>7331.009773</v>
      </c>
      <c r="BV138" s="418">
        <f>'New Biz Sales'!BV99/( 1/BV64)</f>
        <v>7331.009773</v>
      </c>
      <c r="BW138" s="418">
        <f>'New Biz Sales'!BW99/( 1/BW64)</f>
        <v>7331.009773</v>
      </c>
      <c r="BX138" s="418">
        <f>'New Biz Sales'!BX99/( 1/BX64)</f>
        <v>7331.009773</v>
      </c>
      <c r="BY138" s="418">
        <f>'New Biz Sales'!BY99/( 1/BY64)</f>
        <v>7331.009773</v>
      </c>
      <c r="BZ138" s="418">
        <f>'New Biz Sales'!BZ99/( 1/BZ64)</f>
        <v>7331.009773</v>
      </c>
      <c r="CA138" s="418">
        <f>'New Biz Sales'!CA99/( 1/CA64)</f>
        <v>7331.009773</v>
      </c>
      <c r="CB138" s="418">
        <f>'New Biz Sales'!CB99/( 1/CB64)</f>
        <v>7331.009773</v>
      </c>
      <c r="CC138" s="418">
        <f>'New Biz Sales'!CC99/( 1/CC64)</f>
        <v>7331.009773</v>
      </c>
      <c r="CD138" s="418">
        <f>'New Biz Sales'!CD99/( 1/CD64)</f>
        <v>7331.009773</v>
      </c>
      <c r="CE138" s="418">
        <f>'New Biz Sales'!CE99/( 1/CE64)</f>
        <v>7331.009773</v>
      </c>
      <c r="CF138" s="418">
        <f>'New Biz Sales'!CF99/( 1/CF64)</f>
        <v>7331.009773</v>
      </c>
      <c r="CG138" s="418">
        <f>'New Biz Sales'!CG99/( 1/CG64)</f>
        <v>7331.009773</v>
      </c>
      <c r="CH138" s="418">
        <f>'New Biz Sales'!CH99/( 1/CH64)</f>
        <v>7331.009773</v>
      </c>
      <c r="CI138" s="137"/>
      <c r="CJ138" s="137"/>
      <c r="CK138" s="137"/>
      <c r="CL138" s="137"/>
      <c r="CM138" s="137"/>
      <c r="CN138" s="137"/>
      <c r="CO138" s="137"/>
      <c r="CP138" s="137"/>
    </row>
    <row r="139" ht="15.75" customHeight="1">
      <c r="A139" s="137" t="s">
        <v>94</v>
      </c>
      <c r="B139" s="198"/>
      <c r="C139" s="417">
        <f t="shared" ref="C139:Y139" si="85">RANDBETWEEN(1000,10000)</f>
        <v>2180</v>
      </c>
      <c r="D139" s="417">
        <f t="shared" si="85"/>
        <v>4258</v>
      </c>
      <c r="E139" s="417">
        <f t="shared" si="85"/>
        <v>9359</v>
      </c>
      <c r="F139" s="417">
        <f t="shared" si="85"/>
        <v>7452</v>
      </c>
      <c r="G139" s="417">
        <f t="shared" si="85"/>
        <v>7050</v>
      </c>
      <c r="H139" s="417">
        <f t="shared" si="85"/>
        <v>8133</v>
      </c>
      <c r="I139" s="417">
        <f t="shared" si="85"/>
        <v>3645</v>
      </c>
      <c r="J139" s="417">
        <f t="shared" si="85"/>
        <v>6870</v>
      </c>
      <c r="K139" s="417">
        <f t="shared" si="85"/>
        <v>6333</v>
      </c>
      <c r="L139" s="417">
        <f t="shared" si="85"/>
        <v>7756</v>
      </c>
      <c r="M139" s="417">
        <f t="shared" si="85"/>
        <v>8874</v>
      </c>
      <c r="N139" s="417">
        <f t="shared" si="85"/>
        <v>5127</v>
      </c>
      <c r="O139" s="417">
        <f t="shared" si="85"/>
        <v>4531</v>
      </c>
      <c r="P139" s="417">
        <f t="shared" si="85"/>
        <v>1823</v>
      </c>
      <c r="Q139" s="417">
        <f t="shared" si="85"/>
        <v>9718</v>
      </c>
      <c r="R139" s="417">
        <f t="shared" si="85"/>
        <v>7107</v>
      </c>
      <c r="S139" s="417">
        <f t="shared" si="85"/>
        <v>3063</v>
      </c>
      <c r="T139" s="417">
        <f t="shared" si="85"/>
        <v>5687</v>
      </c>
      <c r="U139" s="417">
        <f t="shared" si="85"/>
        <v>7359</v>
      </c>
      <c r="V139" s="417">
        <f t="shared" si="85"/>
        <v>7704</v>
      </c>
      <c r="W139" s="417">
        <f t="shared" si="85"/>
        <v>8150</v>
      </c>
      <c r="X139" s="417">
        <f t="shared" si="85"/>
        <v>6026</v>
      </c>
      <c r="Y139" s="417">
        <f t="shared" si="85"/>
        <v>1706</v>
      </c>
      <c r="Z139" s="418">
        <f>'New Biz Sales'!Z100/( 1/Z65)</f>
        <v>3900</v>
      </c>
      <c r="AA139" s="418">
        <f>'New Biz Sales'!AA100/( 1/AA65)</f>
        <v>3978</v>
      </c>
      <c r="AB139" s="418">
        <f>'New Biz Sales'!AB100/( 1/AB65)</f>
        <v>3978</v>
      </c>
      <c r="AC139" s="418">
        <f>'New Biz Sales'!AC100/( 1/AC65)</f>
        <v>3978</v>
      </c>
      <c r="AD139" s="418">
        <f>'New Biz Sales'!AD100/( 1/AD65)</f>
        <v>3978</v>
      </c>
      <c r="AE139" s="418">
        <f>'New Biz Sales'!AE100/( 1/AE65)</f>
        <v>3978</v>
      </c>
      <c r="AF139" s="418">
        <f>'New Biz Sales'!AF100/( 1/AF65)</f>
        <v>4057.56</v>
      </c>
      <c r="AG139" s="418">
        <f>'New Biz Sales'!AG100/( 1/AG65)</f>
        <v>4057.56</v>
      </c>
      <c r="AH139" s="418">
        <f>'New Biz Sales'!AH100/( 1/AH65)</f>
        <v>4057.56</v>
      </c>
      <c r="AI139" s="418">
        <f>'New Biz Sales'!AI100/( 1/AI65)</f>
        <v>4057.56</v>
      </c>
      <c r="AJ139" s="418">
        <f>'New Biz Sales'!AJ100/( 1/AJ65)</f>
        <v>4057.56</v>
      </c>
      <c r="AK139" s="418">
        <f>'New Biz Sales'!AK100/( 1/AK65)</f>
        <v>4057.56</v>
      </c>
      <c r="AL139" s="418">
        <f>'New Biz Sales'!AL100/( 1/AL65)</f>
        <v>4057.56</v>
      </c>
      <c r="AM139" s="418">
        <f>'New Biz Sales'!AM100/( 1/AM65)</f>
        <v>3987.80118</v>
      </c>
      <c r="AN139" s="418">
        <f>'New Biz Sales'!AN100/( 1/AN65)</f>
        <v>3987.80118</v>
      </c>
      <c r="AO139" s="418">
        <f>'New Biz Sales'!AO100/( 1/AO65)</f>
        <v>3987.80118</v>
      </c>
      <c r="AP139" s="418">
        <f>'New Biz Sales'!AP100/( 1/AP65)</f>
        <v>3987.80118</v>
      </c>
      <c r="AQ139" s="418">
        <f>'New Biz Sales'!AQ100/( 1/AQ65)</f>
        <v>3987.80118</v>
      </c>
      <c r="AR139" s="418">
        <f>'New Biz Sales'!AR100/( 1/AR65)</f>
        <v>4027.679192</v>
      </c>
      <c r="AS139" s="418">
        <f>'New Biz Sales'!AS100/( 1/AS65)</f>
        <v>4027.679192</v>
      </c>
      <c r="AT139" s="418">
        <f>'New Biz Sales'!AT100/( 1/AT65)</f>
        <v>4027.679192</v>
      </c>
      <c r="AU139" s="418">
        <f>'New Biz Sales'!AU100/( 1/AU65)</f>
        <v>4027.679192</v>
      </c>
      <c r="AV139" s="418">
        <f>'New Biz Sales'!AV100/( 1/AV65)</f>
        <v>4027.679192</v>
      </c>
      <c r="AW139" s="418">
        <f>'New Biz Sales'!AW100/( 1/AW65)</f>
        <v>4027.679192</v>
      </c>
      <c r="AX139" s="418">
        <f>'New Biz Sales'!AX100/( 1/AX65)</f>
        <v>4027.679192</v>
      </c>
      <c r="AY139" s="418">
        <f>'New Biz Sales'!AY100/( 1/AY65)</f>
        <v>4148.509568</v>
      </c>
      <c r="AZ139" s="418">
        <f>'New Biz Sales'!AZ100/( 1/AZ65)</f>
        <v>4148.509568</v>
      </c>
      <c r="BA139" s="418">
        <f>'New Biz Sales'!BA100/( 1/BA65)</f>
        <v>4148.509568</v>
      </c>
      <c r="BB139" s="418">
        <f>'New Biz Sales'!BB100/( 1/BB65)</f>
        <v>4148.509568</v>
      </c>
      <c r="BC139" s="418">
        <f>'New Biz Sales'!BC100/( 1/BC65)</f>
        <v>4148.509568</v>
      </c>
      <c r="BD139" s="418">
        <f>'New Biz Sales'!BD100/( 1/BD65)</f>
        <v>4148.509568</v>
      </c>
      <c r="BE139" s="418">
        <f>'New Biz Sales'!BE100/( 1/BE65)</f>
        <v>4148.509568</v>
      </c>
      <c r="BF139" s="418">
        <f>'New Biz Sales'!BF100/( 1/BF65)</f>
        <v>4148.509568</v>
      </c>
      <c r="BG139" s="418">
        <f>'New Biz Sales'!BG100/( 1/BG65)</f>
        <v>4148.509568</v>
      </c>
      <c r="BH139" s="418">
        <f>'New Biz Sales'!BH100/( 1/BH65)</f>
        <v>4148.509568</v>
      </c>
      <c r="BI139" s="418">
        <f>'New Biz Sales'!BI100/( 1/BI65)</f>
        <v>4148.509568</v>
      </c>
      <c r="BJ139" s="418">
        <f>'New Biz Sales'!BJ100/( 1/BJ65)</f>
        <v>4148.509568</v>
      </c>
      <c r="BK139" s="418">
        <f>'New Biz Sales'!BK100/( 1/BK65)</f>
        <v>4355.935046</v>
      </c>
      <c r="BL139" s="418">
        <f>'New Biz Sales'!BL100/( 1/BL65)</f>
        <v>4573.731798</v>
      </c>
      <c r="BM139" s="418">
        <f>'New Biz Sales'!BM100/( 1/BM65)</f>
        <v>4573.731798</v>
      </c>
      <c r="BN139" s="418">
        <f>'New Biz Sales'!BN100/( 1/BN65)</f>
        <v>4573.731798</v>
      </c>
      <c r="BO139" s="418">
        <f>'New Biz Sales'!BO100/( 1/BO65)</f>
        <v>4573.731798</v>
      </c>
      <c r="BP139" s="418">
        <f>'New Biz Sales'!BP100/( 1/BP65)</f>
        <v>4573.731798</v>
      </c>
      <c r="BQ139" s="418">
        <f>'New Biz Sales'!BQ100/( 1/BQ65)</f>
        <v>4573.731798</v>
      </c>
      <c r="BR139" s="418">
        <f>'New Biz Sales'!BR100/( 1/BR65)</f>
        <v>4573.731798</v>
      </c>
      <c r="BS139" s="418">
        <f>'New Biz Sales'!BS100/( 1/BS65)</f>
        <v>4573.731798</v>
      </c>
      <c r="BT139" s="418">
        <f>'New Biz Sales'!BT100/( 1/BT65)</f>
        <v>4573.731798</v>
      </c>
      <c r="BU139" s="418">
        <f>'New Biz Sales'!BU100/( 1/BU65)</f>
        <v>4573.731798</v>
      </c>
      <c r="BV139" s="418">
        <f>'New Biz Sales'!BV100/( 1/BV65)</f>
        <v>4573.731798</v>
      </c>
      <c r="BW139" s="418">
        <f>'New Biz Sales'!BW100/( 1/BW65)</f>
        <v>4573.731798</v>
      </c>
      <c r="BX139" s="418">
        <f>'New Biz Sales'!BX100/( 1/BX65)</f>
        <v>4573.731798</v>
      </c>
      <c r="BY139" s="418">
        <f>'New Biz Sales'!BY100/( 1/BY65)</f>
        <v>4573.731798</v>
      </c>
      <c r="BZ139" s="418">
        <f>'New Biz Sales'!BZ100/( 1/BZ65)</f>
        <v>4573.731798</v>
      </c>
      <c r="CA139" s="418">
        <f>'New Biz Sales'!CA100/( 1/CA65)</f>
        <v>4573.731798</v>
      </c>
      <c r="CB139" s="418">
        <f>'New Biz Sales'!CB100/( 1/CB65)</f>
        <v>4573.731798</v>
      </c>
      <c r="CC139" s="418">
        <f>'New Biz Sales'!CC100/( 1/CC65)</f>
        <v>4573.731798</v>
      </c>
      <c r="CD139" s="418">
        <f>'New Biz Sales'!CD100/( 1/CD65)</f>
        <v>4573.731798</v>
      </c>
      <c r="CE139" s="418">
        <f>'New Biz Sales'!CE100/( 1/CE65)</f>
        <v>4573.731798</v>
      </c>
      <c r="CF139" s="418">
        <f>'New Biz Sales'!CF100/( 1/CF65)</f>
        <v>4573.731798</v>
      </c>
      <c r="CG139" s="418">
        <f>'New Biz Sales'!CG100/( 1/CG65)</f>
        <v>4573.731798</v>
      </c>
      <c r="CH139" s="418">
        <f>'New Biz Sales'!CH100/( 1/CH65)</f>
        <v>4573.731798</v>
      </c>
      <c r="CI139" s="1"/>
      <c r="CJ139" s="1"/>
      <c r="CK139" s="1"/>
      <c r="CL139" s="1"/>
      <c r="CM139" s="1"/>
      <c r="CN139" s="1"/>
      <c r="CO139" s="1"/>
      <c r="CP139" s="1"/>
    </row>
    <row r="140" ht="15.75" customHeight="1">
      <c r="A140" s="1" t="s">
        <v>96</v>
      </c>
      <c r="B140" s="131"/>
      <c r="C140" s="417">
        <f t="shared" ref="C140:Y140" si="86">RANDBETWEEN(1000,10000)</f>
        <v>1799</v>
      </c>
      <c r="D140" s="417">
        <f t="shared" si="86"/>
        <v>8831</v>
      </c>
      <c r="E140" s="417">
        <f t="shared" si="86"/>
        <v>3801</v>
      </c>
      <c r="F140" s="417">
        <f t="shared" si="86"/>
        <v>4577</v>
      </c>
      <c r="G140" s="417">
        <f t="shared" si="86"/>
        <v>9092</v>
      </c>
      <c r="H140" s="417">
        <f t="shared" si="86"/>
        <v>4898</v>
      </c>
      <c r="I140" s="417">
        <f t="shared" si="86"/>
        <v>4724</v>
      </c>
      <c r="J140" s="417">
        <f t="shared" si="86"/>
        <v>8833</v>
      </c>
      <c r="K140" s="417">
        <f t="shared" si="86"/>
        <v>9065</v>
      </c>
      <c r="L140" s="417">
        <f t="shared" si="86"/>
        <v>7318</v>
      </c>
      <c r="M140" s="417">
        <f t="shared" si="86"/>
        <v>6544</v>
      </c>
      <c r="N140" s="417">
        <f t="shared" si="86"/>
        <v>7399</v>
      </c>
      <c r="O140" s="417">
        <f t="shared" si="86"/>
        <v>2277</v>
      </c>
      <c r="P140" s="417">
        <f t="shared" si="86"/>
        <v>4336</v>
      </c>
      <c r="Q140" s="417">
        <f t="shared" si="86"/>
        <v>7310</v>
      </c>
      <c r="R140" s="417">
        <f t="shared" si="86"/>
        <v>4702</v>
      </c>
      <c r="S140" s="417">
        <f t="shared" si="86"/>
        <v>1391</v>
      </c>
      <c r="T140" s="417">
        <f t="shared" si="86"/>
        <v>4820</v>
      </c>
      <c r="U140" s="417">
        <f t="shared" si="86"/>
        <v>8770</v>
      </c>
      <c r="V140" s="417">
        <f t="shared" si="86"/>
        <v>8947</v>
      </c>
      <c r="W140" s="417">
        <f t="shared" si="86"/>
        <v>3312</v>
      </c>
      <c r="X140" s="417">
        <f t="shared" si="86"/>
        <v>1551</v>
      </c>
      <c r="Y140" s="417">
        <f t="shared" si="86"/>
        <v>7527</v>
      </c>
      <c r="Z140" s="418">
        <v>50000.0</v>
      </c>
      <c r="AA140" s="418">
        <v>50000.0</v>
      </c>
      <c r="AB140" s="418">
        <v>50000.0</v>
      </c>
      <c r="AC140" s="418">
        <v>50000.0</v>
      </c>
      <c r="AD140" s="418">
        <v>50000.0</v>
      </c>
      <c r="AE140" s="418">
        <v>50000.0</v>
      </c>
      <c r="AF140" s="418">
        <v>50000.0</v>
      </c>
      <c r="AG140" s="418">
        <v>50000.0</v>
      </c>
      <c r="AH140" s="418">
        <v>50000.0</v>
      </c>
      <c r="AI140" s="418">
        <v>50000.0</v>
      </c>
      <c r="AJ140" s="418">
        <v>50000.0</v>
      </c>
      <c r="AK140" s="418">
        <v>50000.0</v>
      </c>
      <c r="AL140" s="418">
        <v>50000.0</v>
      </c>
      <c r="AM140" s="418">
        <v>50000.0</v>
      </c>
      <c r="AN140" s="418">
        <v>50000.0</v>
      </c>
      <c r="AO140" s="418">
        <v>50000.0</v>
      </c>
      <c r="AP140" s="418">
        <v>50000.0</v>
      </c>
      <c r="AQ140" s="418">
        <v>50000.0</v>
      </c>
      <c r="AR140" s="418">
        <v>50000.0</v>
      </c>
      <c r="AS140" s="418">
        <v>50000.0</v>
      </c>
      <c r="AT140" s="418">
        <v>50000.0</v>
      </c>
      <c r="AU140" s="418">
        <v>50000.0</v>
      </c>
      <c r="AV140" s="418">
        <v>50000.0</v>
      </c>
      <c r="AW140" s="418">
        <v>50000.0</v>
      </c>
      <c r="AX140" s="418">
        <v>50000.0</v>
      </c>
      <c r="AY140" s="418">
        <v>50000.0</v>
      </c>
      <c r="AZ140" s="418">
        <v>50000.0</v>
      </c>
      <c r="BA140" s="418">
        <v>50000.0</v>
      </c>
      <c r="BB140" s="418">
        <v>50000.0</v>
      </c>
      <c r="BC140" s="418">
        <v>50000.0</v>
      </c>
      <c r="BD140" s="418">
        <v>50000.0</v>
      </c>
      <c r="BE140" s="418">
        <v>50000.0</v>
      </c>
      <c r="BF140" s="418">
        <v>50000.0</v>
      </c>
      <c r="BG140" s="418">
        <v>50000.0</v>
      </c>
      <c r="BH140" s="418">
        <v>50000.0</v>
      </c>
      <c r="BI140" s="418">
        <v>50000.0</v>
      </c>
      <c r="BJ140" s="418">
        <v>50000.0</v>
      </c>
      <c r="BK140" s="418">
        <v>50000.0</v>
      </c>
      <c r="BL140" s="418">
        <v>50000.0</v>
      </c>
      <c r="BM140" s="418">
        <v>50000.0</v>
      </c>
      <c r="BN140" s="418">
        <v>50000.0</v>
      </c>
      <c r="BO140" s="418">
        <v>50000.0</v>
      </c>
      <c r="BP140" s="418">
        <v>50000.0</v>
      </c>
      <c r="BQ140" s="418">
        <v>50000.0</v>
      </c>
      <c r="BR140" s="418">
        <v>50000.0</v>
      </c>
      <c r="BS140" s="418">
        <v>50000.0</v>
      </c>
      <c r="BT140" s="418">
        <v>50000.0</v>
      </c>
      <c r="BU140" s="418">
        <v>50000.0</v>
      </c>
      <c r="BV140" s="418">
        <v>50000.0</v>
      </c>
      <c r="BW140" s="418">
        <v>50000.0</v>
      </c>
      <c r="BX140" s="418">
        <v>50000.0</v>
      </c>
      <c r="BY140" s="418">
        <v>50000.0</v>
      </c>
      <c r="BZ140" s="418">
        <v>50000.0</v>
      </c>
      <c r="CA140" s="418">
        <v>50000.0</v>
      </c>
      <c r="CB140" s="418">
        <v>50000.0</v>
      </c>
      <c r="CC140" s="418">
        <v>50000.0</v>
      </c>
      <c r="CD140" s="418">
        <v>50000.0</v>
      </c>
      <c r="CE140" s="418">
        <v>50000.0</v>
      </c>
      <c r="CF140" s="418">
        <v>50000.0</v>
      </c>
      <c r="CG140" s="418">
        <v>50000.0</v>
      </c>
      <c r="CH140" s="418">
        <v>50000.0</v>
      </c>
      <c r="CI140" s="1"/>
      <c r="CJ140" s="1"/>
      <c r="CK140" s="1"/>
      <c r="CL140" s="1"/>
      <c r="CM140" s="1"/>
      <c r="CN140" s="1"/>
      <c r="CO140" s="1"/>
      <c r="CP140" s="1"/>
    </row>
    <row r="141" ht="15.75" customHeight="1">
      <c r="A141" s="119" t="s">
        <v>668</v>
      </c>
      <c r="B141" s="419"/>
      <c r="C141" s="419">
        <f t="shared" ref="C141:CH141" si="87">SUMPRODUCT(C135:C140,C102:C107)/SUM(C102:C107)</f>
        <v>3337.333333</v>
      </c>
      <c r="D141" s="419">
        <f t="shared" si="87"/>
        <v>5694.333333</v>
      </c>
      <c r="E141" s="419">
        <f t="shared" si="87"/>
        <v>6992</v>
      </c>
      <c r="F141" s="419">
        <f t="shared" si="87"/>
        <v>6422.5</v>
      </c>
      <c r="G141" s="419">
        <f t="shared" si="87"/>
        <v>7575.333333</v>
      </c>
      <c r="H141" s="419">
        <f t="shared" si="87"/>
        <v>6052.5</v>
      </c>
      <c r="I141" s="419">
        <f t="shared" si="87"/>
        <v>4673.333333</v>
      </c>
      <c r="J141" s="419">
        <f t="shared" si="87"/>
        <v>6123.5</v>
      </c>
      <c r="K141" s="419">
        <f t="shared" si="87"/>
        <v>7394.166667</v>
      </c>
      <c r="L141" s="419">
        <f t="shared" si="87"/>
        <v>5483.5</v>
      </c>
      <c r="M141" s="419">
        <f t="shared" si="87"/>
        <v>5288.5</v>
      </c>
      <c r="N141" s="419">
        <f t="shared" si="87"/>
        <v>6471</v>
      </c>
      <c r="O141" s="419">
        <f t="shared" si="87"/>
        <v>5239</v>
      </c>
      <c r="P141" s="419">
        <f t="shared" si="87"/>
        <v>4208.666667</v>
      </c>
      <c r="Q141" s="419">
        <f t="shared" si="87"/>
        <v>7433</v>
      </c>
      <c r="R141" s="419">
        <f t="shared" si="87"/>
        <v>4812.166667</v>
      </c>
      <c r="S141" s="419">
        <f t="shared" si="87"/>
        <v>4758.833333</v>
      </c>
      <c r="T141" s="419">
        <f t="shared" si="87"/>
        <v>5375</v>
      </c>
      <c r="U141" s="419">
        <f t="shared" si="87"/>
        <v>6154.5</v>
      </c>
      <c r="V141" s="419">
        <f t="shared" si="87"/>
        <v>6650.833333</v>
      </c>
      <c r="W141" s="419">
        <f t="shared" si="87"/>
        <v>7066</v>
      </c>
      <c r="X141" s="419">
        <f t="shared" si="87"/>
        <v>5358</v>
      </c>
      <c r="Y141" s="419">
        <f t="shared" si="87"/>
        <v>6829.666667</v>
      </c>
      <c r="Z141" s="419">
        <f t="shared" si="87"/>
        <v>14400.3757</v>
      </c>
      <c r="AA141" s="419">
        <f t="shared" si="87"/>
        <v>14672.86377</v>
      </c>
      <c r="AB141" s="419">
        <f t="shared" si="87"/>
        <v>14694.99073</v>
      </c>
      <c r="AC141" s="419">
        <f t="shared" si="87"/>
        <v>14241.15402</v>
      </c>
      <c r="AD141" s="419">
        <f t="shared" si="87"/>
        <v>13848.16989</v>
      </c>
      <c r="AE141" s="419">
        <f t="shared" si="87"/>
        <v>14320.33645</v>
      </c>
      <c r="AF141" s="419">
        <f t="shared" si="87"/>
        <v>14556.9603</v>
      </c>
      <c r="AG141" s="419">
        <f t="shared" si="87"/>
        <v>14723.90465</v>
      </c>
      <c r="AH141" s="419">
        <f t="shared" si="87"/>
        <v>14741.74214</v>
      </c>
      <c r="AI141" s="419">
        <f t="shared" si="87"/>
        <v>14526.38732</v>
      </c>
      <c r="AJ141" s="419">
        <f t="shared" si="87"/>
        <v>13887.65749</v>
      </c>
      <c r="AK141" s="419">
        <f t="shared" si="87"/>
        <v>13817.70981</v>
      </c>
      <c r="AL141" s="419">
        <f t="shared" si="87"/>
        <v>13725.4834</v>
      </c>
      <c r="AM141" s="419">
        <f t="shared" si="87"/>
        <v>14269.64138</v>
      </c>
      <c r="AN141" s="419">
        <f t="shared" si="87"/>
        <v>14343.8513</v>
      </c>
      <c r="AO141" s="419">
        <f t="shared" si="87"/>
        <v>14305.2876</v>
      </c>
      <c r="AP141" s="419">
        <f t="shared" si="87"/>
        <v>14268.8644</v>
      </c>
      <c r="AQ141" s="419">
        <f t="shared" si="87"/>
        <v>14232.58122</v>
      </c>
      <c r="AR141" s="419">
        <f t="shared" si="87"/>
        <v>14275.62397</v>
      </c>
      <c r="AS141" s="419">
        <f t="shared" si="87"/>
        <v>14239.63269</v>
      </c>
      <c r="AT141" s="419">
        <f t="shared" si="87"/>
        <v>14203.78147</v>
      </c>
      <c r="AU141" s="419">
        <f t="shared" si="87"/>
        <v>14168.07055</v>
      </c>
      <c r="AV141" s="419">
        <f t="shared" si="87"/>
        <v>14132.50011</v>
      </c>
      <c r="AW141" s="419">
        <f t="shared" si="87"/>
        <v>14097.07036</v>
      </c>
      <c r="AX141" s="419">
        <f t="shared" si="87"/>
        <v>14061.7815</v>
      </c>
      <c r="AY141" s="419">
        <f t="shared" si="87"/>
        <v>14077.05771</v>
      </c>
      <c r="AZ141" s="419">
        <f t="shared" si="87"/>
        <v>14032.16391</v>
      </c>
      <c r="BA141" s="419">
        <f t="shared" si="87"/>
        <v>13998.14268</v>
      </c>
      <c r="BB141" s="419">
        <f t="shared" si="87"/>
        <v>13964.26025</v>
      </c>
      <c r="BC141" s="419">
        <f t="shared" si="87"/>
        <v>13930.51673</v>
      </c>
      <c r="BD141" s="419">
        <f t="shared" si="87"/>
        <v>13896.91221</v>
      </c>
      <c r="BE141" s="419">
        <f t="shared" si="87"/>
        <v>13863.44679</v>
      </c>
      <c r="BF141" s="419">
        <f t="shared" si="87"/>
        <v>13830.12054</v>
      </c>
      <c r="BG141" s="419">
        <f t="shared" si="87"/>
        <v>13796.93355</v>
      </c>
      <c r="BH141" s="419">
        <f t="shared" si="87"/>
        <v>13763.8859</v>
      </c>
      <c r="BI141" s="419">
        <f t="shared" si="87"/>
        <v>13730.97765</v>
      </c>
      <c r="BJ141" s="419">
        <f t="shared" si="87"/>
        <v>13698.20887</v>
      </c>
      <c r="BK141" s="419">
        <f t="shared" si="87"/>
        <v>14058.1718</v>
      </c>
      <c r="BL141" s="419">
        <f t="shared" si="87"/>
        <v>14515.21636</v>
      </c>
      <c r="BM141" s="419">
        <f t="shared" si="87"/>
        <v>14640.90295</v>
      </c>
      <c r="BN141" s="419">
        <f t="shared" si="87"/>
        <v>14601.75079</v>
      </c>
      <c r="BO141" s="419">
        <f t="shared" si="87"/>
        <v>14562.65093</v>
      </c>
      <c r="BP141" s="419">
        <f t="shared" si="87"/>
        <v>14523.60294</v>
      </c>
      <c r="BQ141" s="419">
        <f t="shared" si="87"/>
        <v>14484.60641</v>
      </c>
      <c r="BR141" s="419">
        <f t="shared" si="87"/>
        <v>14445.66094</v>
      </c>
      <c r="BS141" s="419">
        <f t="shared" si="87"/>
        <v>14406.76616</v>
      </c>
      <c r="BT141" s="419">
        <f t="shared" si="87"/>
        <v>14367.92168</v>
      </c>
      <c r="BU141" s="419">
        <f t="shared" si="87"/>
        <v>14329.12719</v>
      </c>
      <c r="BV141" s="419">
        <f t="shared" si="87"/>
        <v>14290.38234</v>
      </c>
      <c r="BW141" s="419">
        <f t="shared" si="87"/>
        <v>14220.65952</v>
      </c>
      <c r="BX141" s="419">
        <f t="shared" si="87"/>
        <v>14405.06912</v>
      </c>
      <c r="BY141" s="419">
        <f t="shared" si="87"/>
        <v>14549.98193</v>
      </c>
      <c r="BZ141" s="419">
        <f t="shared" si="87"/>
        <v>14530.19376</v>
      </c>
      <c r="CA141" s="419">
        <f t="shared" si="87"/>
        <v>14510.04842</v>
      </c>
      <c r="CB141" s="419">
        <f t="shared" si="87"/>
        <v>14489.56018</v>
      </c>
      <c r="CC141" s="419">
        <f t="shared" si="87"/>
        <v>14468.74301</v>
      </c>
      <c r="CD141" s="419">
        <f t="shared" si="87"/>
        <v>14447.6106</v>
      </c>
      <c r="CE141" s="419">
        <f t="shared" si="87"/>
        <v>14426.17635</v>
      </c>
      <c r="CF141" s="419">
        <f t="shared" si="87"/>
        <v>14404.45334</v>
      </c>
      <c r="CG141" s="419">
        <f t="shared" si="87"/>
        <v>14382.4544</v>
      </c>
      <c r="CH141" s="419">
        <f t="shared" si="87"/>
        <v>14360.19203</v>
      </c>
      <c r="CI141" s="1"/>
      <c r="CJ141" s="1"/>
      <c r="CK141" s="1"/>
      <c r="CL141" s="1"/>
      <c r="CM141" s="1"/>
      <c r="CN141" s="1"/>
      <c r="CO141" s="1"/>
      <c r="CP141" s="1"/>
    </row>
    <row r="142" ht="15.75" customHeight="1">
      <c r="A142" s="1"/>
      <c r="B142" s="117"/>
      <c r="C142" s="117"/>
      <c r="D142" s="117"/>
      <c r="E142" s="117"/>
      <c r="F142" s="117"/>
      <c r="G142" s="117"/>
      <c r="H142" s="117"/>
      <c r="I142" s="117"/>
      <c r="J142" s="117"/>
      <c r="K142" s="117"/>
      <c r="L142" s="117"/>
      <c r="M142" s="117"/>
      <c r="N142" s="117"/>
      <c r="O142" s="117"/>
      <c r="P142" s="117"/>
      <c r="Q142" s="117"/>
      <c r="R142" s="117"/>
      <c r="S142" s="416"/>
      <c r="T142" s="137"/>
      <c r="U142" s="416"/>
      <c r="V142" s="316">
        <v>11760.0</v>
      </c>
      <c r="W142" s="416"/>
      <c r="X142" s="416"/>
      <c r="Y142" s="137"/>
      <c r="Z142" s="416"/>
      <c r="AA142" s="416"/>
      <c r="AB142" s="416"/>
      <c r="AC142" s="416"/>
      <c r="AD142" s="416"/>
      <c r="AE142" s="416"/>
      <c r="AF142" s="416"/>
      <c r="AG142" s="416"/>
      <c r="AH142" s="416"/>
      <c r="AI142" s="416"/>
      <c r="AJ142" s="416"/>
      <c r="AK142" s="416"/>
      <c r="AL142" s="416"/>
      <c r="AM142" s="416"/>
      <c r="AN142" s="416"/>
      <c r="AO142" s="416"/>
      <c r="AP142" s="416"/>
      <c r="AQ142" s="416"/>
      <c r="AR142" s="416"/>
      <c r="AS142" s="416"/>
      <c r="AT142" s="416"/>
      <c r="AU142" s="416"/>
      <c r="AV142" s="416"/>
      <c r="AW142" s="416"/>
      <c r="AX142" s="416"/>
      <c r="AY142" s="416"/>
      <c r="AZ142" s="416"/>
      <c r="BA142" s="416"/>
      <c r="BB142" s="416"/>
      <c r="BC142" s="416"/>
      <c r="BD142" s="416"/>
      <c r="BE142" s="416"/>
      <c r="BF142" s="416"/>
      <c r="BG142" s="416"/>
      <c r="BH142" s="416"/>
      <c r="BI142" s="416"/>
      <c r="BJ142" s="416"/>
      <c r="BK142" s="416"/>
      <c r="BL142" s="416"/>
      <c r="BM142" s="416"/>
      <c r="BN142" s="416"/>
      <c r="BO142" s="416"/>
      <c r="BP142" s="416"/>
      <c r="BQ142" s="416"/>
      <c r="BR142" s="416"/>
      <c r="BS142" s="416"/>
      <c r="BT142" s="416"/>
      <c r="BU142" s="416"/>
      <c r="BV142" s="416"/>
      <c r="BW142" s="416"/>
      <c r="BX142" s="416"/>
      <c r="BY142" s="416"/>
      <c r="BZ142" s="416"/>
      <c r="CA142" s="416"/>
      <c r="CB142" s="416"/>
      <c r="CC142" s="416"/>
      <c r="CD142" s="416"/>
      <c r="CE142" s="416"/>
      <c r="CF142" s="416"/>
      <c r="CG142" s="416"/>
      <c r="CH142" s="416"/>
      <c r="CI142" s="1"/>
      <c r="CJ142" s="1"/>
      <c r="CK142" s="1"/>
      <c r="CL142" s="1"/>
      <c r="CM142" s="1"/>
      <c r="CN142" s="1"/>
      <c r="CO142" s="1"/>
      <c r="CP142" s="1"/>
    </row>
    <row r="143" ht="15.75" customHeight="1">
      <c r="A143" s="1" t="s">
        <v>129</v>
      </c>
      <c r="B143" s="387"/>
      <c r="C143" s="417">
        <f t="shared" ref="C143:Y143" si="88">RANDBETWEEN(1000,10000)</f>
        <v>7168</v>
      </c>
      <c r="D143" s="417">
        <f t="shared" si="88"/>
        <v>6725</v>
      </c>
      <c r="E143" s="417">
        <f t="shared" si="88"/>
        <v>3021</v>
      </c>
      <c r="F143" s="417">
        <f t="shared" si="88"/>
        <v>8321</v>
      </c>
      <c r="G143" s="417">
        <f t="shared" si="88"/>
        <v>5468</v>
      </c>
      <c r="H143" s="417">
        <f t="shared" si="88"/>
        <v>3355</v>
      </c>
      <c r="I143" s="417">
        <f t="shared" si="88"/>
        <v>6818</v>
      </c>
      <c r="J143" s="417">
        <f t="shared" si="88"/>
        <v>5225</v>
      </c>
      <c r="K143" s="417">
        <f t="shared" si="88"/>
        <v>3518</v>
      </c>
      <c r="L143" s="417">
        <f t="shared" si="88"/>
        <v>4680</v>
      </c>
      <c r="M143" s="417">
        <f t="shared" si="88"/>
        <v>3854</v>
      </c>
      <c r="N143" s="417">
        <f t="shared" si="88"/>
        <v>1880</v>
      </c>
      <c r="O143" s="417">
        <f t="shared" si="88"/>
        <v>1254</v>
      </c>
      <c r="P143" s="417">
        <f t="shared" si="88"/>
        <v>3896</v>
      </c>
      <c r="Q143" s="417">
        <f t="shared" si="88"/>
        <v>3894</v>
      </c>
      <c r="R143" s="417">
        <f t="shared" si="88"/>
        <v>3455</v>
      </c>
      <c r="S143" s="417">
        <f t="shared" si="88"/>
        <v>2657</v>
      </c>
      <c r="T143" s="417">
        <f t="shared" si="88"/>
        <v>7472</v>
      </c>
      <c r="U143" s="417">
        <f t="shared" si="88"/>
        <v>3886</v>
      </c>
      <c r="V143" s="417">
        <f t="shared" si="88"/>
        <v>1236</v>
      </c>
      <c r="W143" s="417">
        <f t="shared" si="88"/>
        <v>5885</v>
      </c>
      <c r="X143" s="417">
        <f t="shared" si="88"/>
        <v>9092</v>
      </c>
      <c r="Y143" s="417">
        <f t="shared" si="88"/>
        <v>3732</v>
      </c>
      <c r="Z143" s="420">
        <f t="shared" ref="Z143:CH143" si="89">OFFSET(Z40,0,-12)/OFFSET(Z126,0,-12)</f>
        <v>3244.677419</v>
      </c>
      <c r="AA143" s="420">
        <f t="shared" si="89"/>
        <v>3574.095238</v>
      </c>
      <c r="AB143" s="420">
        <f t="shared" si="89"/>
        <v>3171.625</v>
      </c>
      <c r="AC143" s="420">
        <f t="shared" si="89"/>
        <v>3540.569231</v>
      </c>
      <c r="AD143" s="420">
        <f t="shared" si="89"/>
        <v>3268.333333</v>
      </c>
      <c r="AE143" s="420">
        <f t="shared" si="89"/>
        <v>4117.686567</v>
      </c>
      <c r="AF143" s="420">
        <f t="shared" si="89"/>
        <v>2887.485294</v>
      </c>
      <c r="AG143" s="420">
        <f t="shared" si="89"/>
        <v>3985.057971</v>
      </c>
      <c r="AH143" s="420">
        <f t="shared" si="89"/>
        <v>3858.571429</v>
      </c>
      <c r="AI143" s="420">
        <f t="shared" si="89"/>
        <v>3403.507042</v>
      </c>
      <c r="AJ143" s="420">
        <f t="shared" si="89"/>
        <v>2713.625</v>
      </c>
      <c r="AK143" s="420">
        <f t="shared" si="89"/>
        <v>3986.452055</v>
      </c>
      <c r="AL143" s="420">
        <f t="shared" si="89"/>
        <v>4695.719342</v>
      </c>
      <c r="AM143" s="420">
        <f t="shared" si="89"/>
        <v>5542.869592</v>
      </c>
      <c r="AN143" s="420">
        <f t="shared" si="89"/>
        <v>6531.950613</v>
      </c>
      <c r="AO143" s="420">
        <f t="shared" si="89"/>
        <v>7535.835048</v>
      </c>
      <c r="AP143" s="420">
        <f t="shared" si="89"/>
        <v>8787.109629</v>
      </c>
      <c r="AQ143" s="420">
        <f t="shared" si="89"/>
        <v>9806.567088</v>
      </c>
      <c r="AR143" s="420">
        <f t="shared" si="89"/>
        <v>11690.97668</v>
      </c>
      <c r="AS143" s="420">
        <f t="shared" si="89"/>
        <v>13180.298</v>
      </c>
      <c r="AT143" s="420">
        <f t="shared" si="89"/>
        <v>14738.19036</v>
      </c>
      <c r="AU143" s="420">
        <f t="shared" si="89"/>
        <v>16955.45613</v>
      </c>
      <c r="AV143" s="420">
        <f t="shared" si="89"/>
        <v>20684.11054</v>
      </c>
      <c r="AW143" s="420">
        <f t="shared" si="89"/>
        <v>23344.61552</v>
      </c>
      <c r="AX143" s="420">
        <f t="shared" si="89"/>
        <v>25119.58475</v>
      </c>
      <c r="AY143" s="420">
        <f t="shared" si="89"/>
        <v>27628.12768</v>
      </c>
      <c r="AZ143" s="420">
        <f t="shared" si="89"/>
        <v>30058.51547</v>
      </c>
      <c r="BA143" s="420">
        <f t="shared" si="89"/>
        <v>31998.39247</v>
      </c>
      <c r="BB143" s="420">
        <f t="shared" si="89"/>
        <v>33159.74617</v>
      </c>
      <c r="BC143" s="420">
        <f t="shared" si="89"/>
        <v>33412.24576</v>
      </c>
      <c r="BD143" s="420">
        <f t="shared" si="89"/>
        <v>32785.51506</v>
      </c>
      <c r="BE143" s="420">
        <f t="shared" si="89"/>
        <v>32152.12393</v>
      </c>
      <c r="BF143" s="420">
        <f t="shared" si="89"/>
        <v>30804.47239</v>
      </c>
      <c r="BG143" s="420">
        <f t="shared" si="89"/>
        <v>29563.3222</v>
      </c>
      <c r="BH143" s="420">
        <f t="shared" si="89"/>
        <v>27855.00712</v>
      </c>
      <c r="BI143" s="420">
        <f t="shared" si="89"/>
        <v>26346.01614</v>
      </c>
      <c r="BJ143" s="420">
        <f t="shared" si="89"/>
        <v>25002.23107</v>
      </c>
      <c r="BK143" s="420">
        <f t="shared" si="89"/>
        <v>23614.38657</v>
      </c>
      <c r="BL143" s="420">
        <f t="shared" si="89"/>
        <v>22395.30467</v>
      </c>
      <c r="BM143" s="420">
        <f t="shared" si="89"/>
        <v>21316.40902</v>
      </c>
      <c r="BN143" s="420">
        <f t="shared" si="89"/>
        <v>20353.43609</v>
      </c>
      <c r="BO143" s="420">
        <f t="shared" si="89"/>
        <v>19487.5074</v>
      </c>
      <c r="BP143" s="420">
        <f t="shared" si="89"/>
        <v>18703.70916</v>
      </c>
      <c r="BQ143" s="420">
        <f t="shared" si="89"/>
        <v>17990.09925</v>
      </c>
      <c r="BR143" s="420">
        <f t="shared" si="89"/>
        <v>17336.99861</v>
      </c>
      <c r="BS143" s="420">
        <f t="shared" si="89"/>
        <v>16736.47635</v>
      </c>
      <c r="BT143" s="420">
        <f t="shared" si="89"/>
        <v>16181.96948</v>
      </c>
      <c r="BU143" s="420">
        <f t="shared" si="89"/>
        <v>15805.91382</v>
      </c>
      <c r="BV143" s="420">
        <f t="shared" si="89"/>
        <v>15447.23827</v>
      </c>
      <c r="BW143" s="420">
        <f t="shared" si="89"/>
        <v>15152.27063</v>
      </c>
      <c r="BX143" s="420">
        <f t="shared" si="89"/>
        <v>14885.7175</v>
      </c>
      <c r="BY143" s="420">
        <f t="shared" si="89"/>
        <v>14628.70206</v>
      </c>
      <c r="BZ143" s="420">
        <f t="shared" si="89"/>
        <v>14486.92116</v>
      </c>
      <c r="CA143" s="420">
        <f t="shared" si="89"/>
        <v>14344.12041</v>
      </c>
      <c r="CB143" s="420">
        <f t="shared" si="89"/>
        <v>14200.58545</v>
      </c>
      <c r="CC143" s="420">
        <f t="shared" si="89"/>
        <v>14056.57832</v>
      </c>
      <c r="CD143" s="420">
        <f t="shared" si="89"/>
        <v>13912.33902</v>
      </c>
      <c r="CE143" s="420">
        <f t="shared" si="89"/>
        <v>13860.44081</v>
      </c>
      <c r="CF143" s="420">
        <f t="shared" si="89"/>
        <v>13803.8189</v>
      </c>
      <c r="CG143" s="420">
        <f t="shared" si="89"/>
        <v>13742.77792</v>
      </c>
      <c r="CH143" s="420">
        <f t="shared" si="89"/>
        <v>13677.61318</v>
      </c>
      <c r="CI143" s="1"/>
      <c r="CJ143" s="1"/>
      <c r="CK143" s="1"/>
      <c r="CL143" s="1"/>
      <c r="CM143" s="1"/>
      <c r="CN143" s="1"/>
      <c r="CO143" s="1"/>
      <c r="CP143" s="1"/>
    </row>
    <row r="144" ht="15.75" customHeight="1">
      <c r="A144" s="1" t="s">
        <v>85</v>
      </c>
      <c r="B144" s="387"/>
      <c r="C144" s="417">
        <f t="shared" ref="C144:Y144" si="90">RANDBETWEEN(1000,10000)</f>
        <v>8841</v>
      </c>
      <c r="D144" s="417">
        <f t="shared" si="90"/>
        <v>4678</v>
      </c>
      <c r="E144" s="417">
        <f t="shared" si="90"/>
        <v>2976</v>
      </c>
      <c r="F144" s="417">
        <f t="shared" si="90"/>
        <v>5292</v>
      </c>
      <c r="G144" s="417">
        <f t="shared" si="90"/>
        <v>8089</v>
      </c>
      <c r="H144" s="417">
        <f t="shared" si="90"/>
        <v>6388</v>
      </c>
      <c r="I144" s="417">
        <f t="shared" si="90"/>
        <v>2961</v>
      </c>
      <c r="J144" s="417">
        <f t="shared" si="90"/>
        <v>5414</v>
      </c>
      <c r="K144" s="417">
        <f t="shared" si="90"/>
        <v>4929</v>
      </c>
      <c r="L144" s="417">
        <f t="shared" si="90"/>
        <v>8107</v>
      </c>
      <c r="M144" s="417">
        <f t="shared" si="90"/>
        <v>2345</v>
      </c>
      <c r="N144" s="417">
        <f t="shared" si="90"/>
        <v>5429</v>
      </c>
      <c r="O144" s="417">
        <f t="shared" si="90"/>
        <v>7287</v>
      </c>
      <c r="P144" s="417">
        <f t="shared" si="90"/>
        <v>1028</v>
      </c>
      <c r="Q144" s="417">
        <f t="shared" si="90"/>
        <v>3941</v>
      </c>
      <c r="R144" s="417">
        <f t="shared" si="90"/>
        <v>1962</v>
      </c>
      <c r="S144" s="417">
        <f t="shared" si="90"/>
        <v>8360</v>
      </c>
      <c r="T144" s="417">
        <f t="shared" si="90"/>
        <v>1014</v>
      </c>
      <c r="U144" s="417">
        <f t="shared" si="90"/>
        <v>5337</v>
      </c>
      <c r="V144" s="417">
        <f t="shared" si="90"/>
        <v>9770</v>
      </c>
      <c r="W144" s="417">
        <f t="shared" si="90"/>
        <v>6106</v>
      </c>
      <c r="X144" s="417">
        <f t="shared" si="90"/>
        <v>3850</v>
      </c>
      <c r="Y144" s="417">
        <f t="shared" si="90"/>
        <v>4292</v>
      </c>
      <c r="Z144" s="420">
        <f t="shared" ref="Z144:CH144" si="91">OFFSET(Z41,0,-12)/OFFSET(Z127,0,-12)</f>
        <v>4286.419355</v>
      </c>
      <c r="AA144" s="420">
        <f t="shared" si="91"/>
        <v>3672.079365</v>
      </c>
      <c r="AB144" s="420">
        <f t="shared" si="91"/>
        <v>3434.015625</v>
      </c>
      <c r="AC144" s="420">
        <f t="shared" si="91"/>
        <v>2162.015385</v>
      </c>
      <c r="AD144" s="420">
        <f t="shared" si="91"/>
        <v>2613.969697</v>
      </c>
      <c r="AE144" s="420">
        <f t="shared" si="91"/>
        <v>2506.761194</v>
      </c>
      <c r="AF144" s="420">
        <f t="shared" si="91"/>
        <v>2697.661765</v>
      </c>
      <c r="AG144" s="420">
        <f t="shared" si="91"/>
        <v>1862.927536</v>
      </c>
      <c r="AH144" s="420">
        <f t="shared" si="91"/>
        <v>3728.114286</v>
      </c>
      <c r="AI144" s="420">
        <f t="shared" si="91"/>
        <v>3859.746479</v>
      </c>
      <c r="AJ144" s="420">
        <f t="shared" si="91"/>
        <v>2347.833333</v>
      </c>
      <c r="AK144" s="420">
        <f t="shared" si="91"/>
        <v>2543.808219</v>
      </c>
      <c r="AL144" s="420">
        <f t="shared" si="91"/>
        <v>2993.876459</v>
      </c>
      <c r="AM144" s="420">
        <f t="shared" si="91"/>
        <v>3505.497854</v>
      </c>
      <c r="AN144" s="420">
        <f t="shared" si="91"/>
        <v>4057.277619</v>
      </c>
      <c r="AO144" s="420">
        <f t="shared" si="91"/>
        <v>4731.451182</v>
      </c>
      <c r="AP144" s="420">
        <f t="shared" si="91"/>
        <v>5383.37923</v>
      </c>
      <c r="AQ144" s="420">
        <f t="shared" si="91"/>
        <v>6141.830937</v>
      </c>
      <c r="AR144" s="420">
        <f t="shared" si="91"/>
        <v>6898.470156</v>
      </c>
      <c r="AS144" s="420">
        <f t="shared" si="91"/>
        <v>8320.20014</v>
      </c>
      <c r="AT144" s="420">
        <f t="shared" si="91"/>
        <v>9083.964807</v>
      </c>
      <c r="AU144" s="420">
        <f t="shared" si="91"/>
        <v>9824.448272</v>
      </c>
      <c r="AV144" s="420">
        <f t="shared" si="91"/>
        <v>11646.17217</v>
      </c>
      <c r="AW144" s="420">
        <f t="shared" si="91"/>
        <v>13666.74199</v>
      </c>
      <c r="AX144" s="420">
        <f t="shared" si="91"/>
        <v>15812.1925</v>
      </c>
      <c r="AY144" s="420">
        <f t="shared" si="91"/>
        <v>17842.20996</v>
      </c>
      <c r="AZ144" s="420">
        <f t="shared" si="91"/>
        <v>19992.24872</v>
      </c>
      <c r="BA144" s="420">
        <f t="shared" si="91"/>
        <v>22073.9509</v>
      </c>
      <c r="BB144" s="420">
        <f t="shared" si="91"/>
        <v>23874.45691</v>
      </c>
      <c r="BC144" s="420">
        <f t="shared" si="91"/>
        <v>25195.36769</v>
      </c>
      <c r="BD144" s="420">
        <f t="shared" si="91"/>
        <v>25893.17074</v>
      </c>
      <c r="BE144" s="420">
        <f t="shared" si="91"/>
        <v>25880.87219</v>
      </c>
      <c r="BF144" s="420">
        <f t="shared" si="91"/>
        <v>25825.50988</v>
      </c>
      <c r="BG144" s="420">
        <f t="shared" si="91"/>
        <v>25115.31362</v>
      </c>
      <c r="BH144" s="420">
        <f t="shared" si="91"/>
        <v>24426.46701</v>
      </c>
      <c r="BI144" s="420">
        <f t="shared" si="91"/>
        <v>23249.80888</v>
      </c>
      <c r="BJ144" s="420">
        <f t="shared" si="91"/>
        <v>21743.62532</v>
      </c>
      <c r="BK144" s="420">
        <f t="shared" si="91"/>
        <v>20622.75619</v>
      </c>
      <c r="BL144" s="420">
        <f t="shared" si="91"/>
        <v>19297.10263</v>
      </c>
      <c r="BM144" s="420">
        <f t="shared" si="91"/>
        <v>18156.39026</v>
      </c>
      <c r="BN144" s="420">
        <f t="shared" si="91"/>
        <v>17162.85286</v>
      </c>
      <c r="BO144" s="420">
        <f t="shared" si="91"/>
        <v>16288.45105</v>
      </c>
      <c r="BP144" s="420">
        <f t="shared" si="91"/>
        <v>15511.92492</v>
      </c>
      <c r="BQ144" s="420">
        <f t="shared" si="91"/>
        <v>14816.85742</v>
      </c>
      <c r="BR144" s="420">
        <f t="shared" si="91"/>
        <v>14190.366</v>
      </c>
      <c r="BS144" s="420">
        <f t="shared" si="91"/>
        <v>13622.1968</v>
      </c>
      <c r="BT144" s="420">
        <f t="shared" si="91"/>
        <v>13104.08399</v>
      </c>
      <c r="BU144" s="420">
        <f t="shared" si="91"/>
        <v>12629.28798</v>
      </c>
      <c r="BV144" s="420">
        <f t="shared" si="91"/>
        <v>12300.28933</v>
      </c>
      <c r="BW144" s="420">
        <f t="shared" si="91"/>
        <v>12027.56786</v>
      </c>
      <c r="BX144" s="420">
        <f t="shared" si="91"/>
        <v>11782.53202</v>
      </c>
      <c r="BY144" s="420">
        <f t="shared" si="91"/>
        <v>11549.21931</v>
      </c>
      <c r="BZ144" s="420">
        <f t="shared" si="91"/>
        <v>11324.54977</v>
      </c>
      <c r="CA144" s="420">
        <f t="shared" si="91"/>
        <v>11191.16443</v>
      </c>
      <c r="CB144" s="420">
        <f t="shared" si="91"/>
        <v>11058.36264</v>
      </c>
      <c r="CC144" s="420">
        <f t="shared" si="91"/>
        <v>10926.30722</v>
      </c>
      <c r="CD144" s="420">
        <f t="shared" si="91"/>
        <v>10795.14365</v>
      </c>
      <c r="CE144" s="420">
        <f t="shared" si="91"/>
        <v>10665.00153</v>
      </c>
      <c r="CF144" s="420">
        <f t="shared" si="91"/>
        <v>10606.08046</v>
      </c>
      <c r="CG144" s="420">
        <f t="shared" si="91"/>
        <v>10544.20659</v>
      </c>
      <c r="CH144" s="420">
        <f t="shared" si="91"/>
        <v>10479.6212</v>
      </c>
      <c r="CI144" s="1"/>
      <c r="CJ144" s="1"/>
      <c r="CK144" s="1"/>
      <c r="CL144" s="1"/>
      <c r="CM144" s="1"/>
      <c r="CN144" s="1"/>
      <c r="CO144" s="1"/>
      <c r="CP144" s="1"/>
    </row>
    <row r="145" ht="15.75" customHeight="1">
      <c r="A145" s="1" t="s">
        <v>130</v>
      </c>
      <c r="B145" s="387"/>
      <c r="C145" s="417">
        <f t="shared" ref="C145:Y145" si="92">RANDBETWEEN(1000,10000)</f>
        <v>7965</v>
      </c>
      <c r="D145" s="417">
        <f t="shared" si="92"/>
        <v>7494</v>
      </c>
      <c r="E145" s="417">
        <f t="shared" si="92"/>
        <v>6290</v>
      </c>
      <c r="F145" s="417">
        <f t="shared" si="92"/>
        <v>4672</v>
      </c>
      <c r="G145" s="417">
        <f t="shared" si="92"/>
        <v>7060</v>
      </c>
      <c r="H145" s="417">
        <f t="shared" si="92"/>
        <v>8593</v>
      </c>
      <c r="I145" s="417">
        <f t="shared" si="92"/>
        <v>8787</v>
      </c>
      <c r="J145" s="417">
        <f t="shared" si="92"/>
        <v>6680</v>
      </c>
      <c r="K145" s="417">
        <f t="shared" si="92"/>
        <v>6375</v>
      </c>
      <c r="L145" s="417">
        <f t="shared" si="92"/>
        <v>5941</v>
      </c>
      <c r="M145" s="417">
        <f t="shared" si="92"/>
        <v>1732</v>
      </c>
      <c r="N145" s="417">
        <f t="shared" si="92"/>
        <v>2406</v>
      </c>
      <c r="O145" s="417">
        <f t="shared" si="92"/>
        <v>9985</v>
      </c>
      <c r="P145" s="417">
        <f t="shared" si="92"/>
        <v>2210</v>
      </c>
      <c r="Q145" s="417">
        <f t="shared" si="92"/>
        <v>1165</v>
      </c>
      <c r="R145" s="417">
        <f t="shared" si="92"/>
        <v>1552</v>
      </c>
      <c r="S145" s="417">
        <f t="shared" si="92"/>
        <v>1527</v>
      </c>
      <c r="T145" s="417">
        <f t="shared" si="92"/>
        <v>7174</v>
      </c>
      <c r="U145" s="417">
        <f t="shared" si="92"/>
        <v>6377</v>
      </c>
      <c r="V145" s="417">
        <f t="shared" si="92"/>
        <v>5476</v>
      </c>
      <c r="W145" s="417">
        <f t="shared" si="92"/>
        <v>6769</v>
      </c>
      <c r="X145" s="417">
        <f t="shared" si="92"/>
        <v>4935</v>
      </c>
      <c r="Y145" s="417">
        <f t="shared" si="92"/>
        <v>1369</v>
      </c>
      <c r="Z145" s="420">
        <f t="shared" ref="Z145:CH145" si="93">OFFSET(Z42,0,-12)/OFFSET(Z128,0,-12)</f>
        <v>2391.580645</v>
      </c>
      <c r="AA145" s="420">
        <f t="shared" si="93"/>
        <v>3076.793651</v>
      </c>
      <c r="AB145" s="420">
        <f t="shared" si="93"/>
        <v>3024.65625</v>
      </c>
      <c r="AC145" s="420">
        <f t="shared" si="93"/>
        <v>3126.784615</v>
      </c>
      <c r="AD145" s="420">
        <f t="shared" si="93"/>
        <v>3794.181818</v>
      </c>
      <c r="AE145" s="420">
        <f t="shared" si="93"/>
        <v>3549.537313</v>
      </c>
      <c r="AF145" s="420">
        <f t="shared" si="93"/>
        <v>2327.544118</v>
      </c>
      <c r="AG145" s="420">
        <f t="shared" si="93"/>
        <v>2777.289855</v>
      </c>
      <c r="AH145" s="420">
        <f t="shared" si="93"/>
        <v>3294.042857</v>
      </c>
      <c r="AI145" s="420">
        <f t="shared" si="93"/>
        <v>3489.422535</v>
      </c>
      <c r="AJ145" s="420">
        <f t="shared" si="93"/>
        <v>3588.069444</v>
      </c>
      <c r="AK145" s="420">
        <f t="shared" si="93"/>
        <v>2841.260274</v>
      </c>
      <c r="AL145" s="420">
        <f t="shared" si="93"/>
        <v>3566.871514</v>
      </c>
      <c r="AM145" s="420">
        <f t="shared" si="93"/>
        <v>4428.071662</v>
      </c>
      <c r="AN145" s="420">
        <f t="shared" si="93"/>
        <v>5417.629118</v>
      </c>
      <c r="AO145" s="420">
        <f t="shared" si="93"/>
        <v>6510.175076</v>
      </c>
      <c r="AP145" s="420">
        <f t="shared" si="93"/>
        <v>7641.781683</v>
      </c>
      <c r="AQ145" s="420">
        <f t="shared" si="93"/>
        <v>8949.611835</v>
      </c>
      <c r="AR145" s="420">
        <f t="shared" si="93"/>
        <v>11341.7502</v>
      </c>
      <c r="AS145" s="420">
        <f t="shared" si="93"/>
        <v>13717.50854</v>
      </c>
      <c r="AT145" s="420">
        <f t="shared" si="93"/>
        <v>16186.61665</v>
      </c>
      <c r="AU145" s="420">
        <f t="shared" si="93"/>
        <v>19515.89139</v>
      </c>
      <c r="AV145" s="420">
        <f t="shared" si="93"/>
        <v>23771.26608</v>
      </c>
      <c r="AW145" s="420">
        <f t="shared" si="93"/>
        <v>33997.67807</v>
      </c>
      <c r="AX145" s="420">
        <f t="shared" si="93"/>
        <v>46854.5916</v>
      </c>
      <c r="AY145" s="420">
        <f t="shared" si="93"/>
        <v>63117.00419</v>
      </c>
      <c r="AZ145" s="420">
        <f t="shared" si="93"/>
        <v>93322.14417</v>
      </c>
      <c r="BA145" s="420">
        <f t="shared" si="93"/>
        <v>150882.0048</v>
      </c>
      <c r="BB145" s="420">
        <f t="shared" si="93"/>
        <v>272592.2024</v>
      </c>
      <c r="BC145" s="420">
        <f t="shared" si="93"/>
        <v>558096.7598</v>
      </c>
      <c r="BD145" s="420">
        <f t="shared" si="93"/>
        <v>522584.8945</v>
      </c>
      <c r="BE145" s="420">
        <f t="shared" si="93"/>
        <v>485927.5083</v>
      </c>
      <c r="BF145" s="420">
        <f t="shared" si="93"/>
        <v>315608.09</v>
      </c>
      <c r="BG145" s="420">
        <f t="shared" si="93"/>
        <v>233723.783</v>
      </c>
      <c r="BH145" s="420">
        <f t="shared" si="93"/>
        <v>158439.7385</v>
      </c>
      <c r="BI145" s="420">
        <f t="shared" si="93"/>
        <v>120116.7092</v>
      </c>
      <c r="BJ145" s="420">
        <f t="shared" si="93"/>
        <v>89094.78366</v>
      </c>
      <c r="BK145" s="420">
        <f t="shared" si="93"/>
        <v>71655.06729</v>
      </c>
      <c r="BL145" s="420">
        <f t="shared" si="93"/>
        <v>57166.00179</v>
      </c>
      <c r="BM145" s="420">
        <f t="shared" si="93"/>
        <v>47776.55476</v>
      </c>
      <c r="BN145" s="420">
        <f t="shared" si="93"/>
        <v>41188.99113</v>
      </c>
      <c r="BO145" s="420">
        <f t="shared" si="93"/>
        <v>36306.0996</v>
      </c>
      <c r="BP145" s="420">
        <f t="shared" si="93"/>
        <v>32537.69473</v>
      </c>
      <c r="BQ145" s="420">
        <f t="shared" si="93"/>
        <v>29538.06144</v>
      </c>
      <c r="BR145" s="420">
        <f t="shared" si="93"/>
        <v>27091.24102</v>
      </c>
      <c r="BS145" s="420">
        <f t="shared" si="93"/>
        <v>25055.36907</v>
      </c>
      <c r="BT145" s="420">
        <f t="shared" si="93"/>
        <v>23333.40288</v>
      </c>
      <c r="BU145" s="420">
        <f t="shared" si="93"/>
        <v>21856.71055</v>
      </c>
      <c r="BV145" s="420">
        <f t="shared" si="93"/>
        <v>20894.53349</v>
      </c>
      <c r="BW145" s="420">
        <f t="shared" si="93"/>
        <v>20119.74873</v>
      </c>
      <c r="BX145" s="420">
        <f t="shared" si="93"/>
        <v>19470.43887</v>
      </c>
      <c r="BY145" s="420">
        <f t="shared" si="93"/>
        <v>18869.78087</v>
      </c>
      <c r="BZ145" s="420">
        <f t="shared" si="93"/>
        <v>18310.10169</v>
      </c>
      <c r="CA145" s="420">
        <f t="shared" si="93"/>
        <v>18007.48043</v>
      </c>
      <c r="CB145" s="420">
        <f t="shared" si="93"/>
        <v>17712.93251</v>
      </c>
      <c r="CC145" s="420">
        <f t="shared" si="93"/>
        <v>17426.19413</v>
      </c>
      <c r="CD145" s="420">
        <f t="shared" si="93"/>
        <v>17147.01211</v>
      </c>
      <c r="CE145" s="420">
        <f t="shared" si="93"/>
        <v>16875.14327</v>
      </c>
      <c r="CF145" s="420">
        <f t="shared" si="93"/>
        <v>16790.35268</v>
      </c>
      <c r="CG145" s="420">
        <f t="shared" si="93"/>
        <v>16700.73575</v>
      </c>
      <c r="CH145" s="420">
        <f t="shared" si="93"/>
        <v>16606.70396</v>
      </c>
      <c r="CI145" s="1"/>
      <c r="CJ145" s="1"/>
      <c r="CK145" s="1"/>
      <c r="CL145" s="1"/>
      <c r="CM145" s="1"/>
      <c r="CN145" s="1"/>
      <c r="CO145" s="1"/>
      <c r="CP145" s="1"/>
    </row>
    <row r="146" ht="15.75" customHeight="1">
      <c r="A146" s="1" t="s">
        <v>89</v>
      </c>
      <c r="B146" s="421"/>
      <c r="C146" s="417">
        <f t="shared" ref="C146:Y146" si="94">RANDBETWEEN(1000,10000)</f>
        <v>4472</v>
      </c>
      <c r="D146" s="417">
        <f t="shared" si="94"/>
        <v>1028</v>
      </c>
      <c r="E146" s="417">
        <f t="shared" si="94"/>
        <v>6523</v>
      </c>
      <c r="F146" s="417">
        <f t="shared" si="94"/>
        <v>7327</v>
      </c>
      <c r="G146" s="417">
        <f t="shared" si="94"/>
        <v>5079</v>
      </c>
      <c r="H146" s="417">
        <f t="shared" si="94"/>
        <v>5997</v>
      </c>
      <c r="I146" s="417">
        <f t="shared" si="94"/>
        <v>4263</v>
      </c>
      <c r="J146" s="417">
        <f t="shared" si="94"/>
        <v>8268</v>
      </c>
      <c r="K146" s="417">
        <f t="shared" si="94"/>
        <v>5320</v>
      </c>
      <c r="L146" s="417">
        <f t="shared" si="94"/>
        <v>8782</v>
      </c>
      <c r="M146" s="417">
        <f t="shared" si="94"/>
        <v>3325</v>
      </c>
      <c r="N146" s="417">
        <f t="shared" si="94"/>
        <v>7335</v>
      </c>
      <c r="O146" s="417">
        <f t="shared" si="94"/>
        <v>1343</v>
      </c>
      <c r="P146" s="417">
        <f t="shared" si="94"/>
        <v>1603</v>
      </c>
      <c r="Q146" s="417">
        <f t="shared" si="94"/>
        <v>9475</v>
      </c>
      <c r="R146" s="417">
        <f t="shared" si="94"/>
        <v>1712</v>
      </c>
      <c r="S146" s="417">
        <f t="shared" si="94"/>
        <v>7996</v>
      </c>
      <c r="T146" s="417">
        <f t="shared" si="94"/>
        <v>9284</v>
      </c>
      <c r="U146" s="417">
        <f t="shared" si="94"/>
        <v>5889</v>
      </c>
      <c r="V146" s="417">
        <f t="shared" si="94"/>
        <v>3248</v>
      </c>
      <c r="W146" s="417">
        <f t="shared" si="94"/>
        <v>6487</v>
      </c>
      <c r="X146" s="417">
        <f t="shared" si="94"/>
        <v>3182</v>
      </c>
      <c r="Y146" s="417">
        <f t="shared" si="94"/>
        <v>7755</v>
      </c>
      <c r="Z146" s="420">
        <f t="shared" ref="Z146:CH146" si="95">OFFSET(Z43,0,ROUND(-1/Z64,0))/OFFSET(Z129,0,ROUND(-1/Z64,0))</f>
        <v>292</v>
      </c>
      <c r="AA146" s="420">
        <f t="shared" si="95"/>
        <v>301.0277778</v>
      </c>
      <c r="AB146" s="420">
        <f t="shared" si="95"/>
        <v>539.5890411</v>
      </c>
      <c r="AC146" s="420">
        <f t="shared" si="95"/>
        <v>1810.354984</v>
      </c>
      <c r="AD146" s="420">
        <f t="shared" si="95"/>
        <v>-3078.330337</v>
      </c>
      <c r="AE146" s="420">
        <f t="shared" si="95"/>
        <v>-1445.244938</v>
      </c>
      <c r="AF146" s="420">
        <f t="shared" si="95"/>
        <v>-1429.1165</v>
      </c>
      <c r="AG146" s="420">
        <f t="shared" si="95"/>
        <v>-2088.546346</v>
      </c>
      <c r="AH146" s="420">
        <f t="shared" si="95"/>
        <v>-5493.346289</v>
      </c>
      <c r="AI146" s="420">
        <f t="shared" si="95"/>
        <v>10274.78929</v>
      </c>
      <c r="AJ146" s="420">
        <f t="shared" si="95"/>
        <v>3268.218954</v>
      </c>
      <c r="AK146" s="420">
        <f t="shared" si="95"/>
        <v>2369.382229</v>
      </c>
      <c r="AL146" s="420">
        <f t="shared" si="95"/>
        <v>2226.881536</v>
      </c>
      <c r="AM146" s="420">
        <f t="shared" si="95"/>
        <v>2226.881536</v>
      </c>
      <c r="AN146" s="420">
        <f t="shared" si="95"/>
        <v>2431.513973</v>
      </c>
      <c r="AO146" s="420">
        <f t="shared" si="95"/>
        <v>3002.71915</v>
      </c>
      <c r="AP146" s="420">
        <f t="shared" si="95"/>
        <v>3972.599629</v>
      </c>
      <c r="AQ146" s="420">
        <f t="shared" si="95"/>
        <v>5652.515264</v>
      </c>
      <c r="AR146" s="420">
        <f t="shared" si="95"/>
        <v>8910.255117</v>
      </c>
      <c r="AS146" s="420">
        <f t="shared" si="95"/>
        <v>14066.21432</v>
      </c>
      <c r="AT146" s="420">
        <f t="shared" si="95"/>
        <v>17364.38648</v>
      </c>
      <c r="AU146" s="420">
        <f t="shared" si="95"/>
        <v>14917.64336</v>
      </c>
      <c r="AV146" s="420">
        <f t="shared" si="95"/>
        <v>10840.16951</v>
      </c>
      <c r="AW146" s="420">
        <f t="shared" si="95"/>
        <v>7941.587111</v>
      </c>
      <c r="AX146" s="420">
        <f t="shared" si="95"/>
        <v>5954.556293</v>
      </c>
      <c r="AY146" s="420">
        <f t="shared" si="95"/>
        <v>4759.393928</v>
      </c>
      <c r="AZ146" s="420">
        <f t="shared" si="95"/>
        <v>4093.607581</v>
      </c>
      <c r="BA146" s="420">
        <f t="shared" si="95"/>
        <v>3697.407976</v>
      </c>
      <c r="BB146" s="420">
        <f t="shared" si="95"/>
        <v>3561.779349</v>
      </c>
      <c r="BC146" s="420">
        <f t="shared" si="95"/>
        <v>3641.952611</v>
      </c>
      <c r="BD146" s="420">
        <f t="shared" si="95"/>
        <v>3798.10193</v>
      </c>
      <c r="BE146" s="420">
        <f t="shared" si="95"/>
        <v>4050.176909</v>
      </c>
      <c r="BF146" s="420">
        <f t="shared" si="95"/>
        <v>4440.314099</v>
      </c>
      <c r="BG146" s="420">
        <f t="shared" si="95"/>
        <v>4873.492424</v>
      </c>
      <c r="BH146" s="420">
        <f t="shared" si="95"/>
        <v>5361.773742</v>
      </c>
      <c r="BI146" s="420">
        <f t="shared" si="95"/>
        <v>5685.343192</v>
      </c>
      <c r="BJ146" s="420">
        <f t="shared" si="95"/>
        <v>5780.421445</v>
      </c>
      <c r="BK146" s="420">
        <f t="shared" si="95"/>
        <v>5857.755534</v>
      </c>
      <c r="BL146" s="420">
        <f t="shared" si="95"/>
        <v>5688.820812</v>
      </c>
      <c r="BM146" s="420">
        <f t="shared" si="95"/>
        <v>5516.469157</v>
      </c>
      <c r="BN146" s="420">
        <f t="shared" si="95"/>
        <v>5342.71492</v>
      </c>
      <c r="BO146" s="420">
        <f t="shared" si="95"/>
        <v>5264.915475</v>
      </c>
      <c r="BP146" s="420">
        <f t="shared" si="95"/>
        <v>5229.868481</v>
      </c>
      <c r="BQ146" s="420">
        <f t="shared" si="95"/>
        <v>5206.260044</v>
      </c>
      <c r="BR146" s="420">
        <f t="shared" si="95"/>
        <v>5350.239489</v>
      </c>
      <c r="BS146" s="420">
        <f t="shared" si="95"/>
        <v>5487.976593</v>
      </c>
      <c r="BT146" s="420">
        <f t="shared" si="95"/>
        <v>5617.715753</v>
      </c>
      <c r="BU146" s="420">
        <f t="shared" si="95"/>
        <v>5737.713561</v>
      </c>
      <c r="BV146" s="420">
        <f t="shared" si="95"/>
        <v>5846.276867</v>
      </c>
      <c r="BW146" s="420">
        <f t="shared" si="95"/>
        <v>5941.806952</v>
      </c>
      <c r="BX146" s="420">
        <f t="shared" si="95"/>
        <v>5806.951332</v>
      </c>
      <c r="BY146" s="420">
        <f t="shared" si="95"/>
        <v>5665.235344</v>
      </c>
      <c r="BZ146" s="420">
        <f t="shared" si="95"/>
        <v>5518.134704</v>
      </c>
      <c r="CA146" s="420">
        <f t="shared" si="95"/>
        <v>5360.61111</v>
      </c>
      <c r="CB146" s="420">
        <f t="shared" si="95"/>
        <v>5154.769601</v>
      </c>
      <c r="CC146" s="420">
        <f t="shared" si="95"/>
        <v>5003.753496</v>
      </c>
      <c r="CD146" s="420">
        <f t="shared" si="95"/>
        <v>5029.86569</v>
      </c>
      <c r="CE146" s="420">
        <f t="shared" si="95"/>
        <v>5069.525349</v>
      </c>
      <c r="CF146" s="420">
        <f t="shared" si="95"/>
        <v>5118.197144</v>
      </c>
      <c r="CG146" s="420">
        <f t="shared" si="95"/>
        <v>5172.296155</v>
      </c>
      <c r="CH146" s="420">
        <f t="shared" si="95"/>
        <v>5228.959352</v>
      </c>
      <c r="CI146" s="1"/>
      <c r="CJ146" s="1"/>
      <c r="CK146" s="1"/>
      <c r="CL146" s="1"/>
      <c r="CM146" s="1"/>
      <c r="CN146" s="1"/>
      <c r="CO146" s="1"/>
      <c r="CP146" s="1"/>
    </row>
    <row r="147" ht="15.75" customHeight="1">
      <c r="A147" s="1" t="s">
        <v>94</v>
      </c>
      <c r="B147" s="356"/>
      <c r="C147" s="417">
        <f t="shared" ref="C147:Y147" si="96">RANDBETWEEN(1000,10000)</f>
        <v>7846</v>
      </c>
      <c r="D147" s="417">
        <f t="shared" si="96"/>
        <v>9601</v>
      </c>
      <c r="E147" s="417">
        <f t="shared" si="96"/>
        <v>3220</v>
      </c>
      <c r="F147" s="417">
        <f t="shared" si="96"/>
        <v>7264</v>
      </c>
      <c r="G147" s="417">
        <f t="shared" si="96"/>
        <v>8015</v>
      </c>
      <c r="H147" s="417">
        <f t="shared" si="96"/>
        <v>2578</v>
      </c>
      <c r="I147" s="417">
        <f t="shared" si="96"/>
        <v>2594</v>
      </c>
      <c r="J147" s="417">
        <f t="shared" si="96"/>
        <v>4891</v>
      </c>
      <c r="K147" s="417">
        <f t="shared" si="96"/>
        <v>3565</v>
      </c>
      <c r="L147" s="417">
        <f t="shared" si="96"/>
        <v>9721</v>
      </c>
      <c r="M147" s="417">
        <f t="shared" si="96"/>
        <v>6955</v>
      </c>
      <c r="N147" s="417">
        <f t="shared" si="96"/>
        <v>3931</v>
      </c>
      <c r="O147" s="417">
        <f t="shared" si="96"/>
        <v>8391</v>
      </c>
      <c r="P147" s="417">
        <f t="shared" si="96"/>
        <v>9215</v>
      </c>
      <c r="Q147" s="417">
        <f t="shared" si="96"/>
        <v>2072</v>
      </c>
      <c r="R147" s="417">
        <f t="shared" si="96"/>
        <v>4442</v>
      </c>
      <c r="S147" s="417">
        <f t="shared" si="96"/>
        <v>9714</v>
      </c>
      <c r="T147" s="417">
        <f t="shared" si="96"/>
        <v>9671</v>
      </c>
      <c r="U147" s="417">
        <f t="shared" si="96"/>
        <v>1049</v>
      </c>
      <c r="V147" s="417">
        <f t="shared" si="96"/>
        <v>2502</v>
      </c>
      <c r="W147" s="417">
        <f t="shared" si="96"/>
        <v>2063</v>
      </c>
      <c r="X147" s="417">
        <f t="shared" si="96"/>
        <v>1923</v>
      </c>
      <c r="Y147" s="417">
        <f t="shared" si="96"/>
        <v>8723</v>
      </c>
      <c r="Z147" s="420">
        <f t="shared" ref="Z147:CH147" si="97">OFFSET(Z44,0,ROUND(-1/Z65,0))/OFFSET(Z130,0,ROUND(-1/Z65,0))</f>
        <v>499.5714286</v>
      </c>
      <c r="AA147" s="420">
        <f t="shared" si="97"/>
        <v>486.0704225</v>
      </c>
      <c r="AB147" s="420">
        <f t="shared" si="97"/>
        <v>352.3611111</v>
      </c>
      <c r="AC147" s="420">
        <f t="shared" si="97"/>
        <v>354.6849315</v>
      </c>
      <c r="AD147" s="420">
        <f t="shared" si="97"/>
        <v>616.0227055</v>
      </c>
      <c r="AE147" s="420">
        <f t="shared" si="97"/>
        <v>1103.237681</v>
      </c>
      <c r="AF147" s="420">
        <f t="shared" si="97"/>
        <v>4102.930143</v>
      </c>
      <c r="AG147" s="420">
        <f t="shared" si="97"/>
        <v>-3157.483902</v>
      </c>
      <c r="AH147" s="420">
        <f t="shared" si="97"/>
        <v>-1822.552038</v>
      </c>
      <c r="AI147" s="420">
        <f t="shared" si="97"/>
        <v>-1505.852282</v>
      </c>
      <c r="AJ147" s="420">
        <f t="shared" si="97"/>
        <v>-1603.876556</v>
      </c>
      <c r="AK147" s="420">
        <f t="shared" si="97"/>
        <v>-2136.641888</v>
      </c>
      <c r="AL147" s="420">
        <f t="shared" si="97"/>
        <v>-3971.983607</v>
      </c>
      <c r="AM147" s="420">
        <f t="shared" si="97"/>
        <v>-310954.523</v>
      </c>
      <c r="AN147" s="420">
        <f t="shared" si="97"/>
        <v>4173.1017</v>
      </c>
      <c r="AO147" s="420">
        <f t="shared" si="97"/>
        <v>2287.924708</v>
      </c>
      <c r="AP147" s="420">
        <f t="shared" si="97"/>
        <v>1733.338948</v>
      </c>
      <c r="AQ147" s="420">
        <f t="shared" si="97"/>
        <v>1549.307866</v>
      </c>
      <c r="AR147" s="420">
        <f t="shared" si="97"/>
        <v>1531.090795</v>
      </c>
      <c r="AS147" s="420">
        <f t="shared" si="97"/>
        <v>1646.400744</v>
      </c>
      <c r="AT147" s="420">
        <f t="shared" si="97"/>
        <v>1875.752462</v>
      </c>
      <c r="AU147" s="420">
        <f t="shared" si="97"/>
        <v>2279.260269</v>
      </c>
      <c r="AV147" s="420">
        <f t="shared" si="97"/>
        <v>2879.994632</v>
      </c>
      <c r="AW147" s="420">
        <f t="shared" si="97"/>
        <v>3740.547449</v>
      </c>
      <c r="AX147" s="420">
        <f t="shared" si="97"/>
        <v>4855.025608</v>
      </c>
      <c r="AY147" s="420">
        <f t="shared" si="97"/>
        <v>5881.951421</v>
      </c>
      <c r="AZ147" s="420">
        <f t="shared" si="97"/>
        <v>6305.288079</v>
      </c>
      <c r="BA147" s="420">
        <f t="shared" si="97"/>
        <v>6120.730549</v>
      </c>
      <c r="BB147" s="420">
        <f t="shared" si="97"/>
        <v>5435.827433</v>
      </c>
      <c r="BC147" s="420">
        <f t="shared" si="97"/>
        <v>4759.934319</v>
      </c>
      <c r="BD147" s="420">
        <f t="shared" si="97"/>
        <v>4100.799782</v>
      </c>
      <c r="BE147" s="420">
        <f t="shared" si="97"/>
        <v>3697.766637</v>
      </c>
      <c r="BF147" s="420">
        <f t="shared" si="97"/>
        <v>3363.204361</v>
      </c>
      <c r="BG147" s="420">
        <f t="shared" si="97"/>
        <v>3151.172937</v>
      </c>
      <c r="BH147" s="420">
        <f t="shared" si="97"/>
        <v>3091.583799</v>
      </c>
      <c r="BI147" s="420">
        <f t="shared" si="97"/>
        <v>3095.246158</v>
      </c>
      <c r="BJ147" s="420">
        <f t="shared" si="97"/>
        <v>3161.521851</v>
      </c>
      <c r="BK147" s="420">
        <f t="shared" si="97"/>
        <v>3223.229048</v>
      </c>
      <c r="BL147" s="420">
        <f t="shared" si="97"/>
        <v>3356.60909</v>
      </c>
      <c r="BM147" s="420">
        <f t="shared" si="97"/>
        <v>3492.370962</v>
      </c>
      <c r="BN147" s="420">
        <f t="shared" si="97"/>
        <v>3630.013967</v>
      </c>
      <c r="BO147" s="420">
        <f t="shared" si="97"/>
        <v>3738.554034</v>
      </c>
      <c r="BP147" s="420">
        <f t="shared" si="97"/>
        <v>3879.751064</v>
      </c>
      <c r="BQ147" s="420">
        <f t="shared" si="97"/>
        <v>4036.525378</v>
      </c>
      <c r="BR147" s="420">
        <f t="shared" si="97"/>
        <v>4193.518145</v>
      </c>
      <c r="BS147" s="420">
        <f t="shared" si="97"/>
        <v>4229.416578</v>
      </c>
      <c r="BT147" s="420">
        <f t="shared" si="97"/>
        <v>4254.922812</v>
      </c>
      <c r="BU147" s="420">
        <f t="shared" si="97"/>
        <v>4269.859442</v>
      </c>
      <c r="BV147" s="420">
        <f t="shared" si="97"/>
        <v>4160.198064</v>
      </c>
      <c r="BW147" s="420">
        <f t="shared" si="97"/>
        <v>4047.902474</v>
      </c>
      <c r="BX147" s="420">
        <f t="shared" si="97"/>
        <v>3933.913278</v>
      </c>
      <c r="BY147" s="420">
        <f t="shared" si="97"/>
        <v>3819.072716</v>
      </c>
      <c r="BZ147" s="420">
        <f t="shared" si="97"/>
        <v>3791.824279</v>
      </c>
      <c r="CA147" s="420">
        <f t="shared" si="97"/>
        <v>3753.200582</v>
      </c>
      <c r="CB147" s="420">
        <f t="shared" si="97"/>
        <v>3677.725993</v>
      </c>
      <c r="CC147" s="420">
        <f t="shared" si="97"/>
        <v>3721.466032</v>
      </c>
      <c r="CD147" s="420">
        <f t="shared" si="97"/>
        <v>3691.451626</v>
      </c>
      <c r="CE147" s="420">
        <f t="shared" si="97"/>
        <v>3670.492392</v>
      </c>
      <c r="CF147" s="420">
        <f t="shared" si="97"/>
        <v>3744.278306</v>
      </c>
      <c r="CG147" s="420">
        <f t="shared" si="97"/>
        <v>3731.767762</v>
      </c>
      <c r="CH147" s="420">
        <f t="shared" si="97"/>
        <v>3812.809009</v>
      </c>
      <c r="CI147" s="1"/>
      <c r="CJ147" s="1"/>
      <c r="CK147" s="1"/>
      <c r="CL147" s="1"/>
      <c r="CM147" s="1"/>
      <c r="CN147" s="1"/>
      <c r="CO147" s="1"/>
      <c r="CP147" s="1"/>
    </row>
    <row r="148" ht="15.75" customHeight="1">
      <c r="A148" s="1" t="s">
        <v>96</v>
      </c>
      <c r="B148" s="356"/>
      <c r="C148" s="417">
        <f t="shared" ref="C148:Y148" si="98">RANDBETWEEN(1000,10000)</f>
        <v>5788</v>
      </c>
      <c r="D148" s="417">
        <f t="shared" si="98"/>
        <v>8600</v>
      </c>
      <c r="E148" s="417">
        <f t="shared" si="98"/>
        <v>2893</v>
      </c>
      <c r="F148" s="417">
        <f t="shared" si="98"/>
        <v>9468</v>
      </c>
      <c r="G148" s="417">
        <f t="shared" si="98"/>
        <v>3665</v>
      </c>
      <c r="H148" s="417">
        <f t="shared" si="98"/>
        <v>9220</v>
      </c>
      <c r="I148" s="417">
        <f t="shared" si="98"/>
        <v>9498</v>
      </c>
      <c r="J148" s="417">
        <f t="shared" si="98"/>
        <v>7673</v>
      </c>
      <c r="K148" s="417">
        <f t="shared" si="98"/>
        <v>1589</v>
      </c>
      <c r="L148" s="417">
        <f t="shared" si="98"/>
        <v>2967</v>
      </c>
      <c r="M148" s="417">
        <f t="shared" si="98"/>
        <v>3910</v>
      </c>
      <c r="N148" s="417">
        <f t="shared" si="98"/>
        <v>1239</v>
      </c>
      <c r="O148" s="417">
        <f t="shared" si="98"/>
        <v>2364</v>
      </c>
      <c r="P148" s="417">
        <f t="shared" si="98"/>
        <v>5122</v>
      </c>
      <c r="Q148" s="417">
        <f t="shared" si="98"/>
        <v>5234</v>
      </c>
      <c r="R148" s="417">
        <f t="shared" si="98"/>
        <v>8734</v>
      </c>
      <c r="S148" s="417">
        <f t="shared" si="98"/>
        <v>7530</v>
      </c>
      <c r="T148" s="417">
        <f t="shared" si="98"/>
        <v>3178</v>
      </c>
      <c r="U148" s="417">
        <f t="shared" si="98"/>
        <v>9223</v>
      </c>
      <c r="V148" s="417">
        <f t="shared" si="98"/>
        <v>5209</v>
      </c>
      <c r="W148" s="417">
        <f t="shared" si="98"/>
        <v>4520</v>
      </c>
      <c r="X148" s="417">
        <f t="shared" si="98"/>
        <v>9706</v>
      </c>
      <c r="Y148" s="417">
        <f t="shared" si="98"/>
        <v>5447</v>
      </c>
      <c r="Z148" s="356">
        <v>50000.0</v>
      </c>
      <c r="AA148" s="356">
        <v>50000.0</v>
      </c>
      <c r="AB148" s="356">
        <v>50000.0</v>
      </c>
      <c r="AC148" s="356">
        <v>50000.0</v>
      </c>
      <c r="AD148" s="356">
        <v>50000.0</v>
      </c>
      <c r="AE148" s="356">
        <v>50000.0</v>
      </c>
      <c r="AF148" s="356">
        <v>50000.0</v>
      </c>
      <c r="AG148" s="356">
        <v>50000.0</v>
      </c>
      <c r="AH148" s="356">
        <v>50000.0</v>
      </c>
      <c r="AI148" s="356">
        <v>50000.0</v>
      </c>
      <c r="AJ148" s="356">
        <v>50000.0</v>
      </c>
      <c r="AK148" s="356">
        <v>50000.0</v>
      </c>
      <c r="AL148" s="356">
        <v>50000.0</v>
      </c>
      <c r="AM148" s="356">
        <v>50000.0</v>
      </c>
      <c r="AN148" s="356">
        <v>50000.0</v>
      </c>
      <c r="AO148" s="356">
        <v>50000.0</v>
      </c>
      <c r="AP148" s="356">
        <v>50000.0</v>
      </c>
      <c r="AQ148" s="356">
        <v>50000.0</v>
      </c>
      <c r="AR148" s="356">
        <v>50000.0</v>
      </c>
      <c r="AS148" s="356">
        <v>50000.0</v>
      </c>
      <c r="AT148" s="356">
        <v>50000.0</v>
      </c>
      <c r="AU148" s="356">
        <v>50000.0</v>
      </c>
      <c r="AV148" s="356">
        <v>50000.0</v>
      </c>
      <c r="AW148" s="356">
        <v>50000.0</v>
      </c>
      <c r="AX148" s="356">
        <v>50000.0</v>
      </c>
      <c r="AY148" s="356">
        <v>50000.0</v>
      </c>
      <c r="AZ148" s="356">
        <v>50000.0</v>
      </c>
      <c r="BA148" s="356">
        <v>50000.0</v>
      </c>
      <c r="BB148" s="356">
        <v>50000.0</v>
      </c>
      <c r="BC148" s="356">
        <v>50000.0</v>
      </c>
      <c r="BD148" s="356">
        <v>50000.0</v>
      </c>
      <c r="BE148" s="356">
        <v>50000.0</v>
      </c>
      <c r="BF148" s="356">
        <v>50000.0</v>
      </c>
      <c r="BG148" s="356">
        <v>50000.0</v>
      </c>
      <c r="BH148" s="356">
        <v>50000.0</v>
      </c>
      <c r="BI148" s="356">
        <v>50000.0</v>
      </c>
      <c r="BJ148" s="356">
        <v>50000.0</v>
      </c>
      <c r="BK148" s="356">
        <v>50000.0</v>
      </c>
      <c r="BL148" s="356">
        <v>50000.0</v>
      </c>
      <c r="BM148" s="356">
        <v>50000.0</v>
      </c>
      <c r="BN148" s="356">
        <v>50000.0</v>
      </c>
      <c r="BO148" s="356">
        <v>50000.0</v>
      </c>
      <c r="BP148" s="356">
        <v>50000.0</v>
      </c>
      <c r="BQ148" s="356">
        <v>50000.0</v>
      </c>
      <c r="BR148" s="356">
        <v>50000.0</v>
      </c>
      <c r="BS148" s="356">
        <v>50000.0</v>
      </c>
      <c r="BT148" s="356">
        <v>50000.0</v>
      </c>
      <c r="BU148" s="356">
        <v>50000.0</v>
      </c>
      <c r="BV148" s="356">
        <v>50000.0</v>
      </c>
      <c r="BW148" s="356">
        <v>50000.0</v>
      </c>
      <c r="BX148" s="356">
        <v>50000.0</v>
      </c>
      <c r="BY148" s="356">
        <v>50000.0</v>
      </c>
      <c r="BZ148" s="356">
        <v>50000.0</v>
      </c>
      <c r="CA148" s="356">
        <v>50000.0</v>
      </c>
      <c r="CB148" s="356">
        <v>50000.0</v>
      </c>
      <c r="CC148" s="356">
        <v>50000.0</v>
      </c>
      <c r="CD148" s="356">
        <v>50000.0</v>
      </c>
      <c r="CE148" s="356">
        <v>50000.0</v>
      </c>
      <c r="CF148" s="356">
        <v>50000.0</v>
      </c>
      <c r="CG148" s="356">
        <v>50000.0</v>
      </c>
      <c r="CH148" s="356">
        <v>50000.0</v>
      </c>
      <c r="CI148" s="1"/>
      <c r="CJ148" s="1"/>
      <c r="CK148" s="1"/>
      <c r="CL148" s="1"/>
      <c r="CM148" s="1"/>
      <c r="CN148" s="1"/>
      <c r="CO148" s="1"/>
      <c r="CP148" s="1"/>
    </row>
    <row r="149" ht="15.75" customHeight="1">
      <c r="A149" s="119" t="s">
        <v>669</v>
      </c>
      <c r="B149" s="419"/>
      <c r="C149" s="419">
        <f t="shared" ref="C149:CH149" si="99">SUMPRODUCT(C143:C148,C118:C123)/SUM(C118:C123)</f>
        <v>7013.333333</v>
      </c>
      <c r="D149" s="419">
        <f t="shared" si="99"/>
        <v>6354.333333</v>
      </c>
      <c r="E149" s="419">
        <f t="shared" si="99"/>
        <v>4153.833333</v>
      </c>
      <c r="F149" s="419">
        <f t="shared" si="99"/>
        <v>7057.333333</v>
      </c>
      <c r="G149" s="419">
        <f t="shared" si="99"/>
        <v>6229.333333</v>
      </c>
      <c r="H149" s="419">
        <f t="shared" si="99"/>
        <v>6021.833333</v>
      </c>
      <c r="I149" s="419">
        <f t="shared" si="99"/>
        <v>5820.166667</v>
      </c>
      <c r="J149" s="419">
        <f t="shared" si="99"/>
        <v>6358.5</v>
      </c>
      <c r="K149" s="419">
        <f t="shared" si="99"/>
        <v>4216</v>
      </c>
      <c r="L149" s="419">
        <f t="shared" si="99"/>
        <v>6699.666667</v>
      </c>
      <c r="M149" s="419">
        <f t="shared" si="99"/>
        <v>3686.833333</v>
      </c>
      <c r="N149" s="419">
        <f t="shared" si="99"/>
        <v>3703.333333</v>
      </c>
      <c r="O149" s="419">
        <f t="shared" si="99"/>
        <v>5104</v>
      </c>
      <c r="P149" s="419">
        <f t="shared" si="99"/>
        <v>3845.666667</v>
      </c>
      <c r="Q149" s="422">
        <f t="shared" si="99"/>
        <v>4296.833333</v>
      </c>
      <c r="R149" s="422">
        <f t="shared" si="99"/>
        <v>3642.833333</v>
      </c>
      <c r="S149" s="422">
        <f t="shared" si="99"/>
        <v>6297.333333</v>
      </c>
      <c r="T149" s="422">
        <f t="shared" si="99"/>
        <v>6298.833333</v>
      </c>
      <c r="U149" s="422">
        <f t="shared" si="99"/>
        <v>5293.5</v>
      </c>
      <c r="V149" s="422">
        <f t="shared" si="99"/>
        <v>4573.5</v>
      </c>
      <c r="W149" s="422">
        <f t="shared" si="99"/>
        <v>5305</v>
      </c>
      <c r="X149" s="422">
        <f t="shared" si="99"/>
        <v>5448</v>
      </c>
      <c r="Y149" s="422">
        <f t="shared" si="99"/>
        <v>5219.666667</v>
      </c>
      <c r="Z149" s="422">
        <f t="shared" si="99"/>
        <v>17082.43272</v>
      </c>
      <c r="AA149" s="422">
        <f t="shared" si="99"/>
        <v>8959.950132</v>
      </c>
      <c r="AB149" s="422">
        <f t="shared" si="99"/>
        <v>6067.691604</v>
      </c>
      <c r="AC149" s="422">
        <f t="shared" si="99"/>
        <v>5450.632208</v>
      </c>
      <c r="AD149" s="422">
        <f t="shared" si="99"/>
        <v>8461.302412</v>
      </c>
      <c r="AE149" s="422">
        <f t="shared" si="99"/>
        <v>15336.26523</v>
      </c>
      <c r="AF149" s="422">
        <f t="shared" si="99"/>
        <v>20380.28044</v>
      </c>
      <c r="AG149" s="422">
        <f t="shared" si="99"/>
        <v>29802.74335</v>
      </c>
      <c r="AH149" s="422">
        <f t="shared" si="99"/>
        <v>38760.38385</v>
      </c>
      <c r="AI149" s="422">
        <f t="shared" si="99"/>
        <v>18435.11409</v>
      </c>
      <c r="AJ149" s="422">
        <f t="shared" si="99"/>
        <v>10174.21442</v>
      </c>
      <c r="AK149" s="422">
        <f t="shared" si="99"/>
        <v>8604.261671</v>
      </c>
      <c r="AL149" s="422">
        <f t="shared" si="99"/>
        <v>8477.73054</v>
      </c>
      <c r="AM149" s="422">
        <f t="shared" si="99"/>
        <v>7956.155054</v>
      </c>
      <c r="AN149" s="422">
        <f t="shared" si="99"/>
        <v>8150.40898</v>
      </c>
      <c r="AO149" s="422">
        <f t="shared" si="99"/>
        <v>8394.051982</v>
      </c>
      <c r="AP149" s="422">
        <f t="shared" si="99"/>
        <v>8864.311315</v>
      </c>
      <c r="AQ149" s="422">
        <f t="shared" si="99"/>
        <v>9344.568038</v>
      </c>
      <c r="AR149" s="422">
        <f t="shared" si="99"/>
        <v>10408.31137</v>
      </c>
      <c r="AS149" s="422">
        <f t="shared" si="99"/>
        <v>11766.02338</v>
      </c>
      <c r="AT149" s="422">
        <f t="shared" si="99"/>
        <v>12936.02608</v>
      </c>
      <c r="AU149" s="422">
        <f t="shared" si="99"/>
        <v>14764.74759</v>
      </c>
      <c r="AV149" s="422">
        <f t="shared" si="99"/>
        <v>16621.59221</v>
      </c>
      <c r="AW149" s="422">
        <f t="shared" si="99"/>
        <v>18819.53504</v>
      </c>
      <c r="AX149" s="422">
        <f t="shared" si="99"/>
        <v>19574.49761</v>
      </c>
      <c r="AY149" s="422">
        <f t="shared" si="99"/>
        <v>20437.80648</v>
      </c>
      <c r="AZ149" s="422">
        <f t="shared" si="99"/>
        <v>18835.31043</v>
      </c>
      <c r="BA149" s="422">
        <f t="shared" si="99"/>
        <v>17839.40591</v>
      </c>
      <c r="BB149" s="422">
        <f t="shared" si="99"/>
        <v>17292.04657</v>
      </c>
      <c r="BC149" s="422">
        <f t="shared" si="99"/>
        <v>16805.93436</v>
      </c>
      <c r="BD149" s="422">
        <f t="shared" si="99"/>
        <v>15794.48532</v>
      </c>
      <c r="BE149" s="422">
        <f t="shared" si="99"/>
        <v>15696.25896</v>
      </c>
      <c r="BF149" s="422">
        <f t="shared" si="99"/>
        <v>15563.49019</v>
      </c>
      <c r="BG149" s="422">
        <f t="shared" si="99"/>
        <v>15464.57548</v>
      </c>
      <c r="BH149" s="422">
        <f t="shared" si="99"/>
        <v>15328.37036</v>
      </c>
      <c r="BI149" s="422">
        <f t="shared" si="99"/>
        <v>15602.69043</v>
      </c>
      <c r="BJ149" s="422">
        <f t="shared" si="99"/>
        <v>17991.40533</v>
      </c>
      <c r="BK149" s="422">
        <f t="shared" si="99"/>
        <v>17694.21013</v>
      </c>
      <c r="BL149" s="422">
        <f t="shared" si="99"/>
        <v>16966.25565</v>
      </c>
      <c r="BM149" s="422">
        <f t="shared" si="99"/>
        <v>16440.87724</v>
      </c>
      <c r="BN149" s="422">
        <f t="shared" si="99"/>
        <v>15836.34897</v>
      </c>
      <c r="BO149" s="422">
        <f t="shared" si="99"/>
        <v>16521.84537</v>
      </c>
      <c r="BP149" s="422">
        <f t="shared" si="99"/>
        <v>16138.6177</v>
      </c>
      <c r="BQ149" s="422">
        <f t="shared" si="99"/>
        <v>15827.85708</v>
      </c>
      <c r="BR149" s="422">
        <f t="shared" si="99"/>
        <v>15963.60999</v>
      </c>
      <c r="BS149" s="422">
        <f t="shared" si="99"/>
        <v>15765.16573</v>
      </c>
      <c r="BT149" s="422">
        <f t="shared" si="99"/>
        <v>16001.43505</v>
      </c>
      <c r="BU149" s="422">
        <f t="shared" si="99"/>
        <v>15774.67266</v>
      </c>
      <c r="BV149" s="422">
        <f t="shared" si="99"/>
        <v>15255.63306</v>
      </c>
      <c r="BW149" s="422">
        <f t="shared" si="99"/>
        <v>15095.14606</v>
      </c>
      <c r="BX149" s="422">
        <f t="shared" si="99"/>
        <v>14906.86732</v>
      </c>
      <c r="BY149" s="422">
        <f t="shared" si="99"/>
        <v>14351.13995</v>
      </c>
      <c r="BZ149" s="422">
        <f t="shared" si="99"/>
        <v>14259.53819</v>
      </c>
      <c r="CA149" s="422">
        <f t="shared" si="99"/>
        <v>14148.71171</v>
      </c>
      <c r="CB149" s="422">
        <f t="shared" si="99"/>
        <v>13852.46403</v>
      </c>
      <c r="CC149" s="422">
        <f t="shared" si="99"/>
        <v>14021.71226</v>
      </c>
      <c r="CD149" s="422">
        <f t="shared" si="99"/>
        <v>13691.94595</v>
      </c>
      <c r="CE149" s="422">
        <f t="shared" si="99"/>
        <v>13639.62116</v>
      </c>
      <c r="CF149" s="422">
        <f t="shared" si="99"/>
        <v>13897.67095</v>
      </c>
      <c r="CG149" s="422">
        <f t="shared" si="99"/>
        <v>13877.4589</v>
      </c>
      <c r="CH149" s="422">
        <f t="shared" si="99"/>
        <v>13795.24021</v>
      </c>
      <c r="CI149" s="124"/>
      <c r="CJ149" s="124"/>
      <c r="CK149" s="124"/>
      <c r="CL149" s="124"/>
      <c r="CM149" s="124"/>
      <c r="CN149" s="124"/>
      <c r="CO149" s="124"/>
      <c r="CP149" s="124"/>
    </row>
    <row r="150" ht="15.75" customHeight="1">
      <c r="A150" s="1"/>
      <c r="B150" s="130"/>
      <c r="C150" s="130"/>
      <c r="D150" s="130"/>
      <c r="E150" s="130"/>
      <c r="F150" s="130"/>
      <c r="G150" s="130"/>
      <c r="H150" s="130"/>
      <c r="I150" s="130"/>
      <c r="J150" s="130"/>
      <c r="K150" s="130"/>
      <c r="L150" s="130"/>
      <c r="M150" s="130"/>
      <c r="N150" s="130"/>
      <c r="O150" s="130"/>
      <c r="P150" s="130"/>
      <c r="Q150" s="130"/>
      <c r="R150" s="130"/>
      <c r="S150" s="130"/>
      <c r="T150" s="130"/>
      <c r="U150" s="130"/>
      <c r="V150" s="356">
        <f>AVERAGE(S149:V149)</f>
        <v>5615.791667</v>
      </c>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c r="BB150" s="130"/>
      <c r="BC150" s="130"/>
      <c r="BD150" s="130"/>
      <c r="BE150" s="130"/>
      <c r="BF150" s="130"/>
      <c r="BG150" s="130"/>
      <c r="BH150" s="130"/>
      <c r="BI150" s="130"/>
      <c r="BJ150" s="130"/>
      <c r="BK150" s="130"/>
      <c r="BL150" s="130"/>
      <c r="BM150" s="130"/>
      <c r="BN150" s="130"/>
      <c r="BO150" s="130"/>
      <c r="BP150" s="130"/>
      <c r="BQ150" s="130"/>
      <c r="BR150" s="130"/>
      <c r="BS150" s="130"/>
      <c r="BT150" s="130"/>
      <c r="BU150" s="130"/>
      <c r="BV150" s="130"/>
      <c r="BW150" s="130"/>
      <c r="BX150" s="130"/>
      <c r="BY150" s="130"/>
      <c r="BZ150" s="130"/>
      <c r="CA150" s="130"/>
      <c r="CB150" s="130"/>
      <c r="CC150" s="130"/>
      <c r="CD150" s="130"/>
      <c r="CE150" s="130"/>
      <c r="CF150" s="130"/>
      <c r="CG150" s="130"/>
      <c r="CH150" s="130"/>
      <c r="CI150" s="1"/>
      <c r="CJ150" s="1"/>
      <c r="CK150" s="1"/>
      <c r="CL150" s="1"/>
      <c r="CM150" s="1"/>
      <c r="CN150" s="1"/>
      <c r="CO150" s="1"/>
      <c r="CP150" s="1"/>
    </row>
    <row r="151" ht="15.75" customHeight="1">
      <c r="A151" s="1" t="s">
        <v>129</v>
      </c>
      <c r="B151" s="423"/>
      <c r="C151" s="424">
        <f>'Ops Departments'!D30</f>
        <v>0.7507178714</v>
      </c>
      <c r="D151" s="424">
        <f>'Ops Departments'!E30</f>
        <v>0.8979575093</v>
      </c>
      <c r="E151" s="424">
        <f>'Ops Departments'!F30</f>
        <v>0.9031154678</v>
      </c>
      <c r="F151" s="424">
        <f>'Ops Departments'!G30</f>
        <v>0.8630986028</v>
      </c>
      <c r="G151" s="424">
        <f>'Ops Departments'!H30</f>
        <v>0.9170474992</v>
      </c>
      <c r="H151" s="424">
        <f>'Ops Departments'!I30</f>
        <v>0.849329957</v>
      </c>
      <c r="I151" s="424">
        <f>'Ops Departments'!J30</f>
        <v>0.8312992795</v>
      </c>
      <c r="J151" s="424">
        <f>'Ops Departments'!K30</f>
        <v>0.7807808176</v>
      </c>
      <c r="K151" s="424">
        <f>'Ops Departments'!L30</f>
        <v>0.8298065381</v>
      </c>
      <c r="L151" s="424">
        <f>'Ops Departments'!M30</f>
        <v>0.8862523727</v>
      </c>
      <c r="M151" s="424">
        <f>'Ops Departments'!N30</f>
        <v>0.8923335819</v>
      </c>
      <c r="N151" s="424">
        <f>'Ops Departments'!O30</f>
        <v>0.7958343689</v>
      </c>
      <c r="O151" s="424">
        <f>'Ops Departments'!P30</f>
        <v>0.8345724082</v>
      </c>
      <c r="P151" s="424">
        <f>'Ops Departments'!Q30</f>
        <v>0.8403568754</v>
      </c>
      <c r="Q151" s="424">
        <f>'Ops Departments'!R30</f>
        <v>0.9026188748</v>
      </c>
      <c r="R151" s="424">
        <f>'Ops Departments'!S30</f>
        <v>0.8586018265</v>
      </c>
      <c r="S151" s="424">
        <f>'Ops Departments'!T30</f>
        <v>0.883741414</v>
      </c>
      <c r="T151" s="424">
        <f>'Ops Departments'!U30</f>
        <v>0.8221228527</v>
      </c>
      <c r="U151" s="424">
        <f>'Ops Departments'!V30</f>
        <v>0.8647738472</v>
      </c>
      <c r="V151" s="424">
        <f>'Ops Departments'!W30</f>
        <v>0.971143751</v>
      </c>
      <c r="W151" s="424">
        <f>'Ops Departments'!X30</f>
        <v>0.9654121123</v>
      </c>
      <c r="X151" s="424">
        <f>'Ops Departments'!Y30</f>
        <v>0.9682736228</v>
      </c>
      <c r="Y151" s="424">
        <f>'Ops Departments'!Z30</f>
        <v>0.9662426321</v>
      </c>
      <c r="Z151" s="424">
        <f>'Ops Departments'!AA30</f>
        <v>0.7325253788</v>
      </c>
      <c r="AA151" s="424">
        <f>'Ops Departments'!AB30</f>
        <v>0.7122231411</v>
      </c>
      <c r="AB151" s="424">
        <f>'Ops Departments'!AC30</f>
        <v>0.7391172116</v>
      </c>
      <c r="AC151" s="424">
        <f>'Ops Departments'!AD30</f>
        <v>0.756992615</v>
      </c>
      <c r="AD151" s="424">
        <f>'Ops Departments'!AE30</f>
        <v>0.7804790504</v>
      </c>
      <c r="AE151" s="424">
        <f>'Ops Departments'!AF30</f>
        <v>0.7933966942</v>
      </c>
      <c r="AF151" s="424">
        <f>'Ops Departments'!AG30</f>
        <v>0.8105170612</v>
      </c>
      <c r="AG151" s="424">
        <f>'Ops Departments'!AH30</f>
        <v>0.8179165512</v>
      </c>
      <c r="AH151" s="424">
        <f>'Ops Departments'!AI30</f>
        <v>0.830111724</v>
      </c>
      <c r="AI151" s="424">
        <f>'Ops Departments'!AJ30</f>
        <v>0.835386719</v>
      </c>
      <c r="AJ151" s="424">
        <f>'Ops Departments'!AK30</f>
        <v>0.8444333725</v>
      </c>
      <c r="AK151" s="424">
        <f>'Ops Departments'!AL30</f>
        <v>0.8528982482</v>
      </c>
      <c r="AL151" s="424">
        <f>'Ops Departments'!AM30</f>
        <v>0.8504577914</v>
      </c>
      <c r="AM151" s="424">
        <f>'Ops Departments'!AN30</f>
        <v>0.8431833894</v>
      </c>
      <c r="AN151" s="424">
        <f>'Ops Departments'!AO30</f>
        <v>0.8253617282</v>
      </c>
      <c r="AO151" s="424">
        <f>'Ops Departments'!AP30</f>
        <v>0.8186010736</v>
      </c>
      <c r="AP151" s="424">
        <f>'Ops Departments'!AQ30</f>
        <v>0.8216704915</v>
      </c>
      <c r="AQ151" s="424">
        <f>'Ops Departments'!AR30</f>
        <v>0.8106034759</v>
      </c>
      <c r="AR151" s="424">
        <f>'Ops Departments'!AS30</f>
        <v>0.8137089966</v>
      </c>
      <c r="AS151" s="424">
        <f>'Ops Departments'!AT30</f>
        <v>0.803798798</v>
      </c>
      <c r="AT151" s="424">
        <f>'Ops Departments'!AU30</f>
        <v>0.7950874302</v>
      </c>
      <c r="AU151" s="424">
        <f>'Ops Departments'!AV30</f>
        <v>0.7830101561</v>
      </c>
      <c r="AV151" s="424">
        <f>'Ops Departments'!AW30</f>
        <v>0.7776102296</v>
      </c>
      <c r="AW151" s="424">
        <f>'Ops Departments'!AX30</f>
        <v>0.7681417602</v>
      </c>
      <c r="AX151" s="424">
        <f>'Ops Departments'!AY30</f>
        <v>0.7712384627</v>
      </c>
      <c r="AY151" s="424">
        <f>'Ops Departments'!AZ30</f>
        <v>0.7677260337</v>
      </c>
      <c r="AZ151" s="424">
        <f>'Ops Departments'!BA30</f>
        <v>0.756096594</v>
      </c>
      <c r="BA151" s="424">
        <f>'Ops Departments'!BB30</f>
        <v>0.7487941555</v>
      </c>
      <c r="BB151" s="424">
        <f>'Ops Departments'!BC30</f>
        <v>0.7338827481</v>
      </c>
      <c r="BC151" s="424">
        <f>'Ops Departments'!BD30</f>
        <v>0.7292714333</v>
      </c>
      <c r="BD151" s="424">
        <f>'Ops Departments'!BE30</f>
        <v>0.7264041468</v>
      </c>
      <c r="BE151" s="424">
        <f>'Ops Departments'!BF30</f>
        <v>0.7194279476</v>
      </c>
      <c r="BF151" s="424">
        <f>'Ops Departments'!BG30</f>
        <v>0.7239547224</v>
      </c>
      <c r="BG151" s="424">
        <f>'Ops Departments'!BH30</f>
        <v>0.7110770591</v>
      </c>
      <c r="BH151" s="424">
        <f>'Ops Departments'!BI30</f>
        <v>0.7045046908</v>
      </c>
      <c r="BI151" s="424">
        <f>'Ops Departments'!BJ30</f>
        <v>0.7088733083</v>
      </c>
      <c r="BJ151" s="424">
        <f>'Ops Departments'!BK30</f>
        <v>0.7059694348</v>
      </c>
      <c r="BK151" s="424">
        <f>'Ops Departments'!BL30</f>
        <v>0.6905042082</v>
      </c>
      <c r="BL151" s="424">
        <f>'Ops Departments'!BM30</f>
        <v>0.6948229757</v>
      </c>
      <c r="BM151" s="424">
        <f>'Ops Departments'!BN30</f>
        <v>0.6916232081</v>
      </c>
      <c r="BN151" s="424">
        <f>'Ops Departments'!BO30</f>
        <v>0.6954214015</v>
      </c>
      <c r="BO151" s="424">
        <f>'Ops Departments'!BP30</f>
        <v>0.6820681282</v>
      </c>
      <c r="BP151" s="424">
        <f>'Ops Departments'!BQ30</f>
        <v>0.6825154518</v>
      </c>
      <c r="BQ151" s="424">
        <f>'Ops Departments'!BR30</f>
        <v>0.6793604137</v>
      </c>
      <c r="BR151" s="424">
        <f>'Ops Departments'!BS30</f>
        <v>0.683098717</v>
      </c>
      <c r="BS151" s="424">
        <f>'Ops Departments'!BT30</f>
        <v>0.6692250286</v>
      </c>
      <c r="BT151" s="424">
        <f>'Ops Departments'!BU30</f>
        <v>0.6696668526</v>
      </c>
      <c r="BU151" s="424">
        <f>'Ops Departments'!BV30</f>
        <v>0.6668130959</v>
      </c>
      <c r="BV151" s="424">
        <f>'Ops Departments'!BW30</f>
        <v>0.6705285435</v>
      </c>
      <c r="BW151" s="424">
        <f>'Ops Departments'!BX30</f>
        <v>0.6593012008</v>
      </c>
      <c r="BX151" s="424">
        <f>'Ops Departments'!BY30</f>
        <v>0.6445395244</v>
      </c>
      <c r="BY151" s="424">
        <f>'Ops Departments'!BZ30</f>
        <v>0.6407101935</v>
      </c>
      <c r="BZ151" s="424">
        <f>'Ops Departments'!CA30</f>
        <v>0.6337761492</v>
      </c>
      <c r="CA151" s="424">
        <f>'Ops Departments'!CB30</f>
        <v>0.6237056178</v>
      </c>
      <c r="CB151" s="424">
        <f>'Ops Departments'!CC30</f>
        <v>0.6201501649</v>
      </c>
      <c r="CC151" s="424">
        <f>'Ops Departments'!CD30</f>
        <v>0.6197764591</v>
      </c>
      <c r="CD151" s="424">
        <f>'Ops Departments'!CE30</f>
        <v>0.622513731</v>
      </c>
      <c r="CE151" s="424">
        <f>'Ops Departments'!CF30</f>
        <v>0.6055393872</v>
      </c>
      <c r="CF151" s="424">
        <f>'Ops Departments'!CG30</f>
        <v>0.6083054163</v>
      </c>
      <c r="CG151" s="424">
        <f>'Ops Departments'!CH30</f>
        <v>0.6048993044</v>
      </c>
      <c r="CH151" s="424">
        <f>'Ops Departments'!CI30</f>
        <v>0.5984937743</v>
      </c>
      <c r="CI151" s="1"/>
      <c r="CJ151" s="1"/>
      <c r="CK151" s="1"/>
      <c r="CL151" s="1"/>
      <c r="CM151" s="1"/>
      <c r="CN151" s="1"/>
      <c r="CO151" s="1"/>
      <c r="CP151" s="1"/>
    </row>
    <row r="152" ht="15.75" customHeight="1">
      <c r="A152" s="1" t="s">
        <v>85</v>
      </c>
      <c r="B152" s="423"/>
      <c r="C152" s="424">
        <f>'Ops Departments'!D62</f>
        <v>0.8487173158</v>
      </c>
      <c r="D152" s="424">
        <f>'Ops Departments'!E62</f>
        <v>0.8829608992</v>
      </c>
      <c r="E152" s="424">
        <f>'Ops Departments'!F62</f>
        <v>0.8523668405</v>
      </c>
      <c r="F152" s="424">
        <f>'Ops Departments'!G62</f>
        <v>0.8883541555</v>
      </c>
      <c r="G152" s="424">
        <f>'Ops Departments'!H62</f>
        <v>0.7662915622</v>
      </c>
      <c r="H152" s="424">
        <f>'Ops Departments'!I62</f>
        <v>0.8606461374</v>
      </c>
      <c r="I152" s="424">
        <f>'Ops Departments'!J62</f>
        <v>0.8529043879</v>
      </c>
      <c r="J152" s="424">
        <f>'Ops Departments'!K62</f>
        <v>0.8684450566</v>
      </c>
      <c r="K152" s="424">
        <f>'Ops Departments'!L62</f>
        <v>0.8677436394</v>
      </c>
      <c r="L152" s="424">
        <f>'Ops Departments'!M62</f>
        <v>0.9023613353</v>
      </c>
      <c r="M152" s="424">
        <f>'Ops Departments'!N62</f>
        <v>0.8603494675</v>
      </c>
      <c r="N152" s="424">
        <f>'Ops Departments'!O62</f>
        <v>0.9029191972</v>
      </c>
      <c r="O152" s="424">
        <f>'Ops Departments'!P62</f>
        <v>0.868056246</v>
      </c>
      <c r="P152" s="424">
        <f>'Ops Departments'!Q62</f>
        <v>0.8999030836</v>
      </c>
      <c r="Q152" s="424">
        <f>'Ops Departments'!R62</f>
        <v>0.7522539511</v>
      </c>
      <c r="R152" s="424">
        <f>'Ops Departments'!S62</f>
        <v>0.8458283581</v>
      </c>
      <c r="S152" s="424">
        <f>'Ops Departments'!T62</f>
        <v>0.7846004537</v>
      </c>
      <c r="T152" s="424">
        <f>'Ops Departments'!U62</f>
        <v>0.8326655437</v>
      </c>
      <c r="U152" s="424">
        <f>'Ops Departments'!V62</f>
        <v>0.7578612438</v>
      </c>
      <c r="V152" s="424">
        <f>'Ops Departments'!W62</f>
        <v>0.9335608983</v>
      </c>
      <c r="W152" s="424">
        <f>'Ops Departments'!X62</f>
        <v>0.9372486436</v>
      </c>
      <c r="X152" s="424">
        <f>'Ops Departments'!Y62</f>
        <v>0.9470002398</v>
      </c>
      <c r="Y152" s="424">
        <f>'Ops Departments'!Z62</f>
        <v>0.782604013</v>
      </c>
      <c r="Z152" s="424">
        <f>'Ops Departments'!AA62</f>
        <v>0.7032758546</v>
      </c>
      <c r="AA152" s="424">
        <f>'Ops Departments'!AB62</f>
        <v>0.6371010156</v>
      </c>
      <c r="AB152" s="424">
        <f>'Ops Departments'!AC62</f>
        <v>0.6762615053</v>
      </c>
      <c r="AC152" s="424">
        <f>'Ops Departments'!AD62</f>
        <v>0.7025923619</v>
      </c>
      <c r="AD152" s="424">
        <f>'Ops Departments'!AE62</f>
        <v>0.7169604966</v>
      </c>
      <c r="AE152" s="424">
        <f>'Ops Departments'!AF62</f>
        <v>0.7315002579</v>
      </c>
      <c r="AF152" s="424">
        <f>'Ops Departments'!AG62</f>
        <v>0.7560230223</v>
      </c>
      <c r="AG152" s="424">
        <f>'Ops Departments'!AH62</f>
        <v>0.7665891444</v>
      </c>
      <c r="AH152" s="424">
        <f>'Ops Departments'!AI62</f>
        <v>0.7771555103</v>
      </c>
      <c r="AI152" s="424">
        <f>'Ops Departments'!AJ62</f>
        <v>0.779912593</v>
      </c>
      <c r="AJ152" s="424">
        <f>'Ops Departments'!AK62</f>
        <v>0.787298731</v>
      </c>
      <c r="AK152" s="424">
        <f>'Ops Departments'!AL62</f>
        <v>0.7992292767</v>
      </c>
      <c r="AL152" s="424">
        <f>'Ops Departments'!AM62</f>
        <v>0.8052647603</v>
      </c>
      <c r="AM152" s="424">
        <f>'Ops Departments'!AN62</f>
        <v>0.8036371412</v>
      </c>
      <c r="AN152" s="424">
        <f>'Ops Departments'!AO62</f>
        <v>0.8064159342</v>
      </c>
      <c r="AO152" s="424">
        <f>'Ops Departments'!AP62</f>
        <v>0.8103704849</v>
      </c>
      <c r="AP152" s="424">
        <f>'Ops Departments'!AQ62</f>
        <v>0.8105854575</v>
      </c>
      <c r="AQ152" s="424">
        <f>'Ops Departments'!AR62</f>
        <v>0.8075798533</v>
      </c>
      <c r="AR152" s="424">
        <f>'Ops Departments'!AS62</f>
        <v>0.8120626888</v>
      </c>
      <c r="AS152" s="424">
        <f>'Ops Departments'!AT62</f>
        <v>0.811083642</v>
      </c>
      <c r="AT152" s="424">
        <f>'Ops Departments'!AU62</f>
        <v>0.8112935533</v>
      </c>
      <c r="AU152" s="424">
        <f>'Ops Departments'!AV62</f>
        <v>0.8077758466</v>
      </c>
      <c r="AV152" s="424">
        <f>'Ops Departments'!AW62</f>
        <v>0.8118476145</v>
      </c>
      <c r="AW152" s="424">
        <f>'Ops Departments'!AX62</f>
        <v>0.8158080542</v>
      </c>
      <c r="AX152" s="424">
        <f>'Ops Departments'!AY62</f>
        <v>0.8154377139</v>
      </c>
      <c r="AY152" s="424">
        <f>'Ops Departments'!AZ62</f>
        <v>0.8126583811</v>
      </c>
      <c r="AZ152" s="424">
        <f>'Ops Departments'!BA62</f>
        <v>0.8179281605</v>
      </c>
      <c r="BA152" s="424">
        <f>'Ops Departments'!BB62</f>
        <v>0.8229642131</v>
      </c>
      <c r="BB152" s="424">
        <f>'Ops Departments'!BC62</f>
        <v>0.8236280592</v>
      </c>
      <c r="BC152" s="424">
        <f>'Ops Departments'!BD62</f>
        <v>0.8201700502</v>
      </c>
      <c r="BD152" s="424">
        <f>'Ops Departments'!BE62</f>
        <v>0.824664119</v>
      </c>
      <c r="BE152" s="424">
        <f>'Ops Departments'!BF62</f>
        <v>0.8254975835</v>
      </c>
      <c r="BF152" s="424">
        <f>'Ops Departments'!BG62</f>
        <v>0.8257566747</v>
      </c>
      <c r="BG152" s="424">
        <f>'Ops Departments'!BH62</f>
        <v>0.8220240667</v>
      </c>
      <c r="BH152" s="424">
        <f>'Ops Departments'!BI62</f>
        <v>0.8261027118</v>
      </c>
      <c r="BI152" s="424">
        <f>'Ops Departments'!BJ62</f>
        <v>0.830049825</v>
      </c>
      <c r="BJ152" s="424">
        <f>'Ops Departments'!BK62</f>
        <v>0.8194969807</v>
      </c>
      <c r="BK152" s="424">
        <f>'Ops Departments'!BL62</f>
        <v>0.8146646067</v>
      </c>
      <c r="BL152" s="424">
        <f>'Ops Departments'!BM62</f>
        <v>0.7869536553</v>
      </c>
      <c r="BM152" s="424">
        <f>'Ops Departments'!BN62</f>
        <v>0.7752767319</v>
      </c>
      <c r="BN152" s="424">
        <f>'Ops Departments'!BO62</f>
        <v>0.7705814312</v>
      </c>
      <c r="BO152" s="424">
        <f>'Ops Departments'!BP62</f>
        <v>0.7655119028</v>
      </c>
      <c r="BP152" s="424">
        <f>'Ops Departments'!BQ62</f>
        <v>0.7682786448</v>
      </c>
      <c r="BQ152" s="424">
        <f>'Ops Departments'!BR62</f>
        <v>0.7620604088</v>
      </c>
      <c r="BR152" s="424">
        <f>'Ops Departments'!BS62</f>
        <v>0.744544484</v>
      </c>
      <c r="BS152" s="424">
        <f>'Ops Departments'!BT62</f>
        <v>0.7386808569</v>
      </c>
      <c r="BT152" s="424">
        <f>'Ops Departments'!BU62</f>
        <v>0.7430080265</v>
      </c>
      <c r="BU152" s="424">
        <f>'Ops Departments'!BV62</f>
        <v>0.7374301403</v>
      </c>
      <c r="BV152" s="424">
        <f>'Ops Departments'!BW62</f>
        <v>0.7381704923</v>
      </c>
      <c r="BW152" s="424">
        <f>'Ops Departments'!BX62</f>
        <v>0.7321840605</v>
      </c>
      <c r="BX152" s="424">
        <f>'Ops Departments'!BY62</f>
        <v>0.7345473054</v>
      </c>
      <c r="BY152" s="424">
        <f>'Ops Departments'!BZ62</f>
        <v>0.7377844545</v>
      </c>
      <c r="BZ152" s="424">
        <f>'Ops Departments'!CA62</f>
        <v>0.7376329712</v>
      </c>
      <c r="CA152" s="424">
        <f>'Ops Departments'!CB62</f>
        <v>0.7313971018</v>
      </c>
      <c r="CB152" s="424">
        <f>'Ops Departments'!CC62</f>
        <v>0.7238711612</v>
      </c>
      <c r="CC152" s="424">
        <f>'Ops Departments'!CD62</f>
        <v>0.7224012981</v>
      </c>
      <c r="CD152" s="424">
        <f>'Ops Departments'!CE62</f>
        <v>0.7223300615</v>
      </c>
      <c r="CE152" s="424">
        <f>'Ops Departments'!CF62</f>
        <v>0.7154281801</v>
      </c>
      <c r="CF152" s="424">
        <f>'Ops Departments'!CG62</f>
        <v>0.718668533</v>
      </c>
      <c r="CG152" s="424">
        <f>'Ops Departments'!CH62</f>
        <v>0.7126623501</v>
      </c>
      <c r="CH152" s="424">
        <f>'Ops Departments'!CI62</f>
        <v>0.7125989545</v>
      </c>
      <c r="CI152" s="1"/>
      <c r="CJ152" s="1"/>
      <c r="CK152" s="1"/>
      <c r="CL152" s="1"/>
      <c r="CM152" s="1"/>
      <c r="CN152" s="1"/>
      <c r="CO152" s="1"/>
      <c r="CP152" s="1"/>
    </row>
    <row r="153" ht="15.75" customHeight="1">
      <c r="A153" s="1" t="s">
        <v>130</v>
      </c>
      <c r="B153" s="423"/>
      <c r="C153" s="424">
        <f>'Ops Departments'!D94</f>
        <v>0.8436127141</v>
      </c>
      <c r="D153" s="424">
        <f>'Ops Departments'!E94</f>
        <v>0.7570910444</v>
      </c>
      <c r="E153" s="424">
        <f>'Ops Departments'!F94</f>
        <v>0.8538609949</v>
      </c>
      <c r="F153" s="424">
        <f>'Ops Departments'!G94</f>
        <v>0.8625162459</v>
      </c>
      <c r="G153" s="424">
        <f>'Ops Departments'!H94</f>
        <v>0.8753458885</v>
      </c>
      <c r="H153" s="424">
        <f>'Ops Departments'!I94</f>
        <v>0.862956757</v>
      </c>
      <c r="I153" s="424">
        <f>'Ops Departments'!J94</f>
        <v>0.8808059377</v>
      </c>
      <c r="J153" s="424">
        <f>'Ops Departments'!K94</f>
        <v>0.7961029923</v>
      </c>
      <c r="K153" s="424">
        <f>'Ops Departments'!L94</f>
        <v>0.8445795607</v>
      </c>
      <c r="L153" s="424">
        <f>'Ops Departments'!M94</f>
        <v>0.845543618</v>
      </c>
      <c r="M153" s="424">
        <f>'Ops Departments'!N94</f>
        <v>0.8187641459</v>
      </c>
      <c r="N153" s="424">
        <f>'Ops Departments'!O94</f>
        <v>0.7596204427</v>
      </c>
      <c r="O153" s="424">
        <f>'Ops Departments'!P94</f>
        <v>0.8537954374</v>
      </c>
      <c r="P153" s="424">
        <f>'Ops Departments'!Q94</f>
        <v>0.834557646</v>
      </c>
      <c r="Q153" s="424">
        <f>'Ops Departments'!R94</f>
        <v>0.8583209097</v>
      </c>
      <c r="R153" s="424">
        <f>'Ops Departments'!S94</f>
        <v>0.8880942112</v>
      </c>
      <c r="S153" s="424">
        <f>'Ops Departments'!T94</f>
        <v>0.8149264777</v>
      </c>
      <c r="T153" s="424">
        <f>'Ops Departments'!U94</f>
        <v>0.7872536693</v>
      </c>
      <c r="U153" s="424">
        <f>'Ops Departments'!V94</f>
        <v>0.8238716714</v>
      </c>
      <c r="V153" s="424">
        <f>'Ops Departments'!W94</f>
        <v>0.8879372757</v>
      </c>
      <c r="W153" s="424">
        <f>'Ops Departments'!X94</f>
        <v>0.8298112875</v>
      </c>
      <c r="X153" s="424">
        <f>'Ops Departments'!Y94</f>
        <v>0.8675510275</v>
      </c>
      <c r="Y153" s="424">
        <f>'Ops Departments'!Z94</f>
        <v>0.8296868069</v>
      </c>
      <c r="Z153" s="424">
        <f>'Ops Departments'!AA94</f>
        <v>0.7947190175</v>
      </c>
      <c r="AA153" s="424">
        <f>'Ops Departments'!AB94</f>
        <v>0.7742357111</v>
      </c>
      <c r="AB153" s="424">
        <f>'Ops Departments'!AC94</f>
        <v>0.8101726896</v>
      </c>
      <c r="AC153" s="424">
        <f>'Ops Departments'!AD94</f>
        <v>0.8348942543</v>
      </c>
      <c r="AD153" s="424">
        <f>'Ops Departments'!AE94</f>
        <v>0.8470714869</v>
      </c>
      <c r="AE153" s="424">
        <f>'Ops Departments'!AF94</f>
        <v>0.8511669182</v>
      </c>
      <c r="AF153" s="424">
        <f>'Ops Departments'!AG94</f>
        <v>0.8646701197</v>
      </c>
      <c r="AG153" s="424">
        <f>'Ops Departments'!AH94</f>
        <v>0.8672231548</v>
      </c>
      <c r="AH153" s="424">
        <f>'Ops Departments'!AI94</f>
        <v>0.8630356754</v>
      </c>
      <c r="AI153" s="424">
        <f>'Ops Departments'!AJ94</f>
        <v>0.8554637891</v>
      </c>
      <c r="AJ153" s="424">
        <f>'Ops Departments'!AK94</f>
        <v>0.8520555906</v>
      </c>
      <c r="AK153" s="424">
        <f>'Ops Departments'!AL94</f>
        <v>0.8535324484</v>
      </c>
      <c r="AL153" s="424">
        <f>'Ops Departments'!AM94</f>
        <v>0.8501516853</v>
      </c>
      <c r="AM153" s="424">
        <f>'Ops Departments'!AN94</f>
        <v>0.8440648351</v>
      </c>
      <c r="AN153" s="424">
        <f>'Ops Departments'!AO94</f>
        <v>0.847230952</v>
      </c>
      <c r="AO153" s="424">
        <f>'Ops Departments'!AP94</f>
        <v>0.8498016476</v>
      </c>
      <c r="AP153" s="424">
        <f>'Ops Departments'!AQ94</f>
        <v>0.8486153109</v>
      </c>
      <c r="AQ153" s="424">
        <f>'Ops Departments'!AR94</f>
        <v>0.845076178</v>
      </c>
      <c r="AR153" s="424">
        <f>'Ops Departments'!AS94</f>
        <v>0.8426617506</v>
      </c>
      <c r="AS153" s="424">
        <f>'Ops Departments'!AT94</f>
        <v>0.8410856863</v>
      </c>
      <c r="AT153" s="424">
        <f>'Ops Departments'!AU94</f>
        <v>0.8404404789</v>
      </c>
      <c r="AU153" s="424">
        <f>'Ops Departments'!AV94</f>
        <v>0.8365626332</v>
      </c>
      <c r="AV153" s="424">
        <f>'Ops Departments'!AW94</f>
        <v>0.8398703402</v>
      </c>
      <c r="AW153" s="424">
        <f>'Ops Departments'!AX94</f>
        <v>0.8431145158</v>
      </c>
      <c r="AX153" s="424">
        <f>'Ops Departments'!AY94</f>
        <v>0.842071501</v>
      </c>
      <c r="AY153" s="424">
        <f>'Ops Departments'!AZ94</f>
        <v>0.8293603182</v>
      </c>
      <c r="AZ153" s="424">
        <f>'Ops Departments'!BA94</f>
        <v>0.8338654514</v>
      </c>
      <c r="BA153" s="424">
        <f>'Ops Departments'!BB94</f>
        <v>0.8382200071</v>
      </c>
      <c r="BB153" s="424">
        <f>'Ops Departments'!BC94</f>
        <v>0.8382437645</v>
      </c>
      <c r="BC153" s="424">
        <f>'Ops Departments'!BD94</f>
        <v>0.8343629461</v>
      </c>
      <c r="BD153" s="424">
        <f>'Ops Departments'!BE94</f>
        <v>0.8382806408</v>
      </c>
      <c r="BE153" s="424">
        <f>'Ops Departments'!BF94</f>
        <v>0.8385711007</v>
      </c>
      <c r="BF153" s="424">
        <f>'Ops Departments'!BG94</f>
        <v>0.8329351522</v>
      </c>
      <c r="BG153" s="424">
        <f>'Ops Departments'!BH94</f>
        <v>0.8287230069</v>
      </c>
      <c r="BH153" s="424">
        <f>'Ops Departments'!BI94</f>
        <v>0.8324104233</v>
      </c>
      <c r="BI153" s="424">
        <f>'Ops Departments'!BJ94</f>
        <v>0.8359863642</v>
      </c>
      <c r="BJ153" s="424">
        <f>'Ops Departments'!BK94</f>
        <v>0.8304761262</v>
      </c>
      <c r="BK153" s="424">
        <f>'Ops Departments'!BL94</f>
        <v>0.8159560005</v>
      </c>
      <c r="BL153" s="424">
        <f>'Ops Departments'!BM94</f>
        <v>0.8199612299</v>
      </c>
      <c r="BM153" s="424">
        <f>'Ops Departments'!BN94</f>
        <v>0.8235906387</v>
      </c>
      <c r="BN153" s="424">
        <f>'Ops Departments'!BO94</f>
        <v>0.8233843777</v>
      </c>
      <c r="BO153" s="424">
        <f>'Ops Departments'!BP94</f>
        <v>0.8194414167</v>
      </c>
      <c r="BP153" s="424">
        <f>'Ops Departments'!BQ94</f>
        <v>0.8214629098</v>
      </c>
      <c r="BQ153" s="424">
        <f>'Ops Departments'!BR94</f>
        <v>0.8248024335</v>
      </c>
      <c r="BR153" s="424">
        <f>'Ops Departments'!BS94</f>
        <v>0.8216778849</v>
      </c>
      <c r="BS153" s="424">
        <f>'Ops Departments'!BT94</f>
        <v>0.8176107361</v>
      </c>
      <c r="BT153" s="424">
        <f>'Ops Departments'!BU94</f>
        <v>0.8208736859</v>
      </c>
      <c r="BU153" s="424">
        <f>'Ops Departments'!BV94</f>
        <v>0.8240477102</v>
      </c>
      <c r="BV153" s="424">
        <f>'Ops Departments'!BW94</f>
        <v>0.8236326509</v>
      </c>
      <c r="BW153" s="424">
        <f>'Ops Departments'!BX94</f>
        <v>0.8128564502</v>
      </c>
      <c r="BX153" s="424">
        <f>'Ops Departments'!BY94</f>
        <v>0.8149991938</v>
      </c>
      <c r="BY153" s="424">
        <f>'Ops Departments'!BZ94</f>
        <v>0.8173588947</v>
      </c>
      <c r="BZ153" s="424">
        <f>'Ops Departments'!CA94</f>
        <v>0.816320891</v>
      </c>
      <c r="CA153" s="424">
        <f>'Ops Departments'!CB94</f>
        <v>0.8124440747</v>
      </c>
      <c r="CB153" s="424">
        <f>'Ops Departments'!CC94</f>
        <v>0.8136384571</v>
      </c>
      <c r="CC153" s="424">
        <f>'Ops Departments'!CD94</f>
        <v>0.8160299274</v>
      </c>
      <c r="CD153" s="424">
        <f>'Ops Departments'!CE94</f>
        <v>0.8150702164</v>
      </c>
      <c r="CE153" s="424">
        <f>'Ops Departments'!CF94</f>
        <v>0.8110951663</v>
      </c>
      <c r="CF153" s="424">
        <f>'Ops Departments'!CG94</f>
        <v>0.813460475</v>
      </c>
      <c r="CG153" s="424">
        <f>'Ops Departments'!CH94</f>
        <v>0.8157966526</v>
      </c>
      <c r="CH153" s="424">
        <f>'Ops Departments'!CI94</f>
        <v>0.8148296911</v>
      </c>
      <c r="CI153" s="1"/>
      <c r="CJ153" s="1"/>
      <c r="CK153" s="1"/>
      <c r="CL153" s="1"/>
      <c r="CM153" s="1"/>
      <c r="CN153" s="1"/>
      <c r="CO153" s="1"/>
      <c r="CP153" s="1"/>
    </row>
    <row r="154" ht="15.75" customHeight="1">
      <c r="A154" s="1" t="s">
        <v>89</v>
      </c>
      <c r="B154" s="425"/>
      <c r="C154" s="424">
        <f>'Ops Departments'!D126</f>
        <v>0.8755958615</v>
      </c>
      <c r="D154" s="424">
        <f>'Ops Departments'!E126</f>
        <v>0.8354712902</v>
      </c>
      <c r="E154" s="424">
        <f>'Ops Departments'!F126</f>
        <v>0.8337419956</v>
      </c>
      <c r="F154" s="424">
        <f>'Ops Departments'!G126</f>
        <v>0.8933819117</v>
      </c>
      <c r="G154" s="424">
        <f>'Ops Departments'!H126</f>
        <v>0.7525426403</v>
      </c>
      <c r="H154" s="424">
        <f>'Ops Departments'!I126</f>
        <v>0.8880953344</v>
      </c>
      <c r="I154" s="424">
        <f>'Ops Departments'!J126</f>
        <v>0.7939793241</v>
      </c>
      <c r="J154" s="424">
        <f>'Ops Departments'!K126</f>
        <v>0.8122726602</v>
      </c>
      <c r="K154" s="424">
        <f>'Ops Departments'!L126</f>
        <v>0.7173713025</v>
      </c>
      <c r="L154" s="424">
        <f>'Ops Departments'!M126</f>
        <v>0.7950125211</v>
      </c>
      <c r="M154" s="424">
        <f>'Ops Departments'!N126</f>
        <v>0.8230916311</v>
      </c>
      <c r="N154" s="424">
        <f>'Ops Departments'!O126</f>
        <v>0.825116533</v>
      </c>
      <c r="O154" s="424">
        <f>'Ops Departments'!P126</f>
        <v>0.8680779134</v>
      </c>
      <c r="P154" s="424">
        <f>'Ops Departments'!Q126</f>
        <v>0.7968864918</v>
      </c>
      <c r="Q154" s="424">
        <f>'Ops Departments'!R126</f>
        <v>0.8487520785</v>
      </c>
      <c r="R154" s="424">
        <f>'Ops Departments'!S126</f>
        <v>0.8505580746</v>
      </c>
      <c r="S154" s="424">
        <f>'Ops Departments'!T126</f>
        <v>0.8278024371</v>
      </c>
      <c r="T154" s="424">
        <f>'Ops Departments'!U126</f>
        <v>0.8748370226</v>
      </c>
      <c r="U154" s="424">
        <f>'Ops Departments'!V126</f>
        <v>0.9034494057</v>
      </c>
      <c r="V154" s="424">
        <f>'Ops Departments'!W126</f>
        <v>0.5829435752</v>
      </c>
      <c r="W154" s="424">
        <f>'Ops Departments'!X126</f>
        <v>0.5197304815</v>
      </c>
      <c r="X154" s="424">
        <f>'Ops Departments'!Y126</f>
        <v>0.8628083819</v>
      </c>
      <c r="Y154" s="424">
        <f>'Ops Departments'!Z126</f>
        <v>0.7865882596</v>
      </c>
      <c r="Z154" s="424">
        <f>'Ops Departments'!AA126</f>
        <v>0.8004599861</v>
      </c>
      <c r="AA154" s="424">
        <f>'Ops Departments'!AB126</f>
        <v>0.8104679368</v>
      </c>
      <c r="AB154" s="424">
        <f>'Ops Departments'!AC126</f>
        <v>0.8345876011</v>
      </c>
      <c r="AC154" s="424">
        <f>'Ops Departments'!AD126</f>
        <v>0.8512808025</v>
      </c>
      <c r="AD154" s="424">
        <f>'Ops Departments'!AE126</f>
        <v>0.8576277332</v>
      </c>
      <c r="AE154" s="424">
        <f>'Ops Departments'!AF126</f>
        <v>0.8577294041</v>
      </c>
      <c r="AF154" s="424">
        <f>'Ops Departments'!AG126</f>
        <v>0.8674516439</v>
      </c>
      <c r="AG154" s="424">
        <f>'Ops Departments'!AH126</f>
        <v>0.8493089541</v>
      </c>
      <c r="AH154" s="424">
        <f>'Ops Departments'!AI126</f>
        <v>0.8497111141</v>
      </c>
      <c r="AI154" s="424">
        <f>'Ops Departments'!AJ126</f>
        <v>0.8459186086</v>
      </c>
      <c r="AJ154" s="424">
        <f>'Ops Departments'!AK126</f>
        <v>0.8463278551</v>
      </c>
      <c r="AK154" s="424">
        <f>'Ops Departments'!AL126</f>
        <v>0.8516962293</v>
      </c>
      <c r="AL154" s="424">
        <f>'Ops Departments'!AM126</f>
        <v>0.8518772792</v>
      </c>
      <c r="AM154" s="424">
        <f>'Ops Departments'!AN126</f>
        <v>0.8318242744</v>
      </c>
      <c r="AN154" s="424">
        <f>'Ops Departments'!AO126</f>
        <v>0.831635444</v>
      </c>
      <c r="AO154" s="424">
        <f>'Ops Departments'!AP126</f>
        <v>0.8316338649</v>
      </c>
      <c r="AP154" s="424">
        <f>'Ops Departments'!AQ126</f>
        <v>0.8282325456</v>
      </c>
      <c r="AQ154" s="424">
        <f>'Ops Departments'!AR126</f>
        <v>0.8243399058</v>
      </c>
      <c r="AR154" s="424">
        <f>'Ops Departments'!AS126</f>
        <v>0.8262771434</v>
      </c>
      <c r="AS154" s="424">
        <f>'Ops Departments'!AT126</f>
        <v>0.8040372387</v>
      </c>
      <c r="AT154" s="424">
        <f>'Ops Departments'!AU126</f>
        <v>0.8022903496</v>
      </c>
      <c r="AU154" s="424">
        <f>'Ops Departments'!AV126</f>
        <v>0.7987090649</v>
      </c>
      <c r="AV154" s="424">
        <f>'Ops Departments'!AW126</f>
        <v>0.8012433132</v>
      </c>
      <c r="AW154" s="424">
        <f>'Ops Departments'!AX126</f>
        <v>0.8038314121</v>
      </c>
      <c r="AX154" s="424">
        <f>'Ops Departments'!AY126</f>
        <v>0.8022228244</v>
      </c>
      <c r="AY154" s="424">
        <f>'Ops Departments'!AZ126</f>
        <v>0.8002021464</v>
      </c>
      <c r="AZ154" s="424">
        <f>'Ops Departments'!BA126</f>
        <v>0.8047947921</v>
      </c>
      <c r="BA154" s="424">
        <f>'Ops Departments'!BB126</f>
        <v>0.8089414888</v>
      </c>
      <c r="BB154" s="424">
        <f>'Ops Departments'!BC126</f>
        <v>0.8085952447</v>
      </c>
      <c r="BC154" s="424">
        <f>'Ops Departments'!BD126</f>
        <v>0.8049157433</v>
      </c>
      <c r="BD154" s="424">
        <f>'Ops Departments'!BE126</f>
        <v>0.808276136</v>
      </c>
      <c r="BE154" s="424">
        <f>'Ops Departments'!BF126</f>
        <v>0.8079811699</v>
      </c>
      <c r="BF154" s="424">
        <f>'Ops Departments'!BG126</f>
        <v>0.8071349627</v>
      </c>
      <c r="BG154" s="424">
        <f>'Ops Departments'!BH126</f>
        <v>0.8031060814</v>
      </c>
      <c r="BH154" s="424">
        <f>'Ops Departments'!BI126</f>
        <v>0.8061210889</v>
      </c>
      <c r="BI154" s="424">
        <f>'Ops Departments'!BJ126</f>
        <v>0.8090514155</v>
      </c>
      <c r="BJ154" s="424">
        <f>'Ops Departments'!BK126</f>
        <v>0.8080163132</v>
      </c>
      <c r="BK154" s="424">
        <f>'Ops Departments'!BL126</f>
        <v>0.805512028</v>
      </c>
      <c r="BL154" s="424">
        <f>'Ops Departments'!BM126</f>
        <v>0.8093926264</v>
      </c>
      <c r="BM154" s="424">
        <f>'Ops Departments'!BN126</f>
        <v>0.8126857213</v>
      </c>
      <c r="BN154" s="424">
        <f>'Ops Departments'!BO126</f>
        <v>0.8122511454</v>
      </c>
      <c r="BO154" s="424">
        <f>'Ops Departments'!BP126</f>
        <v>0.810364758</v>
      </c>
      <c r="BP154" s="424">
        <f>'Ops Departments'!BQ126</f>
        <v>0.8121673926</v>
      </c>
      <c r="BQ154" s="424">
        <f>'Ops Departments'!BR126</f>
        <v>0.8153102699</v>
      </c>
      <c r="BR154" s="424">
        <f>'Ops Departments'!BS126</f>
        <v>0.8120110401</v>
      </c>
      <c r="BS154" s="424">
        <f>'Ops Departments'!BT126</f>
        <v>0.8100222032</v>
      </c>
      <c r="BT154" s="424">
        <f>'Ops Departments'!BU126</f>
        <v>0.8131242846</v>
      </c>
      <c r="BU154" s="424">
        <f>'Ops Departments'!BV126</f>
        <v>0.8161578084</v>
      </c>
      <c r="BV154" s="424">
        <f>'Ops Departments'!BW126</f>
        <v>0.8156213193</v>
      </c>
      <c r="BW154" s="424">
        <f>'Ops Departments'!BX126</f>
        <v>0.8137332512</v>
      </c>
      <c r="BX154" s="424">
        <f>'Ops Departments'!BY126</f>
        <v>0.8141325175</v>
      </c>
      <c r="BY154" s="424">
        <f>'Ops Departments'!BZ126</f>
        <v>0.8156621879</v>
      </c>
      <c r="BZ154" s="424">
        <f>'Ops Departments'!CA126</f>
        <v>0.8140751688</v>
      </c>
      <c r="CA154" s="424">
        <f>'Ops Departments'!CB126</f>
        <v>0.8120614532</v>
      </c>
      <c r="CB154" s="424">
        <f>'Ops Departments'!CC126</f>
        <v>0.8130375756</v>
      </c>
      <c r="CC154" s="424">
        <f>'Ops Departments'!CD126</f>
        <v>0.8153301111</v>
      </c>
      <c r="CD154" s="424">
        <f>'Ops Departments'!CE126</f>
        <v>0.8143603644</v>
      </c>
      <c r="CE154" s="424">
        <f>'Ops Departments'!CF126</f>
        <v>0.8124632688</v>
      </c>
      <c r="CF154" s="424">
        <f>'Ops Departments'!CG126</f>
        <v>0.8149183858</v>
      </c>
      <c r="CG154" s="424">
        <f>'Ops Departments'!CH126</f>
        <v>0.8173789081</v>
      </c>
      <c r="CH154" s="424">
        <f>'Ops Departments'!CI126</f>
        <v>0.8165608253</v>
      </c>
      <c r="CI154" s="1"/>
      <c r="CJ154" s="1"/>
      <c r="CK154" s="1"/>
      <c r="CL154" s="1"/>
      <c r="CM154" s="1"/>
      <c r="CN154" s="1"/>
      <c r="CO154" s="1"/>
      <c r="CP154" s="1"/>
    </row>
    <row r="155" ht="15.75" customHeight="1">
      <c r="A155" s="1" t="s">
        <v>94</v>
      </c>
      <c r="B155" s="425"/>
      <c r="C155" s="424">
        <f>'Ops Departments'!D192</f>
        <v>-0.1661222585</v>
      </c>
      <c r="D155" s="424">
        <f>'Ops Departments'!E192</f>
        <v>-0.4155720921</v>
      </c>
      <c r="E155" s="424">
        <f>'Ops Departments'!F192</f>
        <v>0.22177117</v>
      </c>
      <c r="F155" s="424">
        <f>'Ops Departments'!G192</f>
        <v>-0.2173414621</v>
      </c>
      <c r="G155" s="424">
        <f>'Ops Departments'!H192</f>
        <v>-0.229692547</v>
      </c>
      <c r="H155" s="424">
        <f>'Ops Departments'!I192</f>
        <v>0.2579551633</v>
      </c>
      <c r="I155" s="424">
        <f>'Ops Departments'!J192</f>
        <v>-0.1953695725</v>
      </c>
      <c r="J155" s="424">
        <f>'Ops Departments'!K192</f>
        <v>0.1165710786</v>
      </c>
      <c r="K155" s="424">
        <f>'Ops Departments'!L192</f>
        <v>0.07320201088</v>
      </c>
      <c r="L155" s="424">
        <f>'Ops Departments'!M192</f>
        <v>-0.01234473825</v>
      </c>
      <c r="M155" s="424">
        <f>'Ops Departments'!N192</f>
        <v>-0.2607229298</v>
      </c>
      <c r="N155" s="424">
        <f>'Ops Departments'!O192</f>
        <v>0.7847076273</v>
      </c>
      <c r="O155" s="424">
        <f>'Ops Departments'!P192</f>
        <v>0.8481971259</v>
      </c>
      <c r="P155" s="424">
        <f>'Ops Departments'!Q192</f>
        <v>0.78392981</v>
      </c>
      <c r="Q155" s="424">
        <f>'Ops Departments'!R192</f>
        <v>0.9087863754</v>
      </c>
      <c r="R155" s="424">
        <f>'Ops Departments'!S192</f>
        <v>0.8358980559</v>
      </c>
      <c r="S155" s="424">
        <f>'Ops Departments'!T192</f>
        <v>0.8704455742</v>
      </c>
      <c r="T155" s="424">
        <f>'Ops Departments'!U192</f>
        <v>0.7911916444</v>
      </c>
      <c r="U155" s="424">
        <f>'Ops Departments'!V192</f>
        <v>0.8251121316</v>
      </c>
      <c r="V155" s="424">
        <f>'Ops Departments'!W192</f>
        <v>0.8074254542</v>
      </c>
      <c r="W155" s="424">
        <f>'Ops Departments'!X192</f>
        <v>0.7973008386</v>
      </c>
      <c r="X155" s="424">
        <f>'Ops Departments'!Y192</f>
        <v>0.8502707187</v>
      </c>
      <c r="Y155" s="424">
        <f>'Ops Departments'!Z192</f>
        <v>0.818182635</v>
      </c>
      <c r="Z155" s="424">
        <f>'Ops Departments'!AA192</f>
        <v>0.7385529332</v>
      </c>
      <c r="AA155" s="424">
        <f>'Ops Departments'!AB192</f>
        <v>0.7623193105</v>
      </c>
      <c r="AB155" s="424">
        <f>'Ops Departments'!AC192</f>
        <v>0.7869403998</v>
      </c>
      <c r="AC155" s="424">
        <f>'Ops Departments'!AD192</f>
        <v>0.8048157995</v>
      </c>
      <c r="AD155" s="424">
        <f>'Ops Departments'!AE192</f>
        <v>0.8124845184</v>
      </c>
      <c r="AE155" s="424">
        <f>'Ops Departments'!AF192</f>
        <v>0.8114660245</v>
      </c>
      <c r="AF155" s="424">
        <f>'Ops Departments'!AG192</f>
        <v>0.8217557766</v>
      </c>
      <c r="AG155" s="424">
        <f>'Ops Departments'!AH192</f>
        <v>0.8304194642</v>
      </c>
      <c r="AH155" s="424">
        <f>'Ops Departments'!AI192</f>
        <v>0.8312634299</v>
      </c>
      <c r="AI155" s="424">
        <f>'Ops Departments'!AJ192</f>
        <v>0.8072816192</v>
      </c>
      <c r="AJ155" s="424">
        <f>'Ops Departments'!AK192</f>
        <v>0.808529564</v>
      </c>
      <c r="AK155" s="424">
        <f>'Ops Departments'!AL192</f>
        <v>0.8146084166</v>
      </c>
      <c r="AL155" s="424">
        <f>'Ops Departments'!AM192</f>
        <v>0.8154106826</v>
      </c>
      <c r="AM155" s="424">
        <f>'Ops Departments'!AN192</f>
        <v>0.8143029641</v>
      </c>
      <c r="AN155" s="424">
        <f>'Ops Departments'!AO192</f>
        <v>0.8172521586</v>
      </c>
      <c r="AO155" s="424">
        <f>'Ops Departments'!AP192</f>
        <v>0.8205703381</v>
      </c>
      <c r="AP155" s="424">
        <f>'Ops Departments'!AQ192</f>
        <v>0.8196765459</v>
      </c>
      <c r="AQ155" s="424">
        <f>'Ops Departments'!AR192</f>
        <v>0.7986601146</v>
      </c>
      <c r="AR155" s="424">
        <f>'Ops Departments'!AS192</f>
        <v>0.8021729071</v>
      </c>
      <c r="AS155" s="424">
        <f>'Ops Departments'!AT192</f>
        <v>0.805849491</v>
      </c>
      <c r="AT155" s="424">
        <f>'Ops Departments'!AU192</f>
        <v>0.8050426527</v>
      </c>
      <c r="AU155" s="424">
        <f>'Ops Departments'!AV192</f>
        <v>0.8010534483</v>
      </c>
      <c r="AV155" s="424">
        <f>'Ops Departments'!AW192</f>
        <v>0.8041619467</v>
      </c>
      <c r="AW155" s="424">
        <f>'Ops Departments'!AX192</f>
        <v>0.8072065753</v>
      </c>
      <c r="AX155" s="424">
        <f>'Ops Departments'!AY192</f>
        <v>0.805968861</v>
      </c>
      <c r="AY155" s="424">
        <f>'Ops Departments'!AZ192</f>
        <v>0.79889097</v>
      </c>
      <c r="AZ155" s="424">
        <f>'Ops Departments'!BA192</f>
        <v>0.8026000516</v>
      </c>
      <c r="BA155" s="424">
        <f>'Ops Departments'!BB192</f>
        <v>0.8061665839</v>
      </c>
      <c r="BB155" s="424">
        <f>'Ops Departments'!BC192</f>
        <v>0.8054347854</v>
      </c>
      <c r="BC155" s="424">
        <f>'Ops Departments'!BD192</f>
        <v>0.8012026387</v>
      </c>
      <c r="BD155" s="424">
        <f>'Ops Departments'!BE192</f>
        <v>0.8044109854</v>
      </c>
      <c r="BE155" s="424">
        <f>'Ops Departments'!BF192</f>
        <v>0.8040341836</v>
      </c>
      <c r="BF155" s="424">
        <f>'Ops Departments'!BG192</f>
        <v>0.803155826</v>
      </c>
      <c r="BG155" s="424">
        <f>'Ops Departments'!BH192</f>
        <v>0.7987554291</v>
      </c>
      <c r="BH155" s="424">
        <f>'Ops Departments'!BI192</f>
        <v>0.8018001663</v>
      </c>
      <c r="BI155" s="424">
        <f>'Ops Departments'!BJ192</f>
        <v>0.804777267</v>
      </c>
      <c r="BJ155" s="424">
        <f>'Ops Departments'!BK192</f>
        <v>0.8038003739</v>
      </c>
      <c r="BK155" s="424">
        <f>'Ops Departments'!BL192</f>
        <v>0.7333712268</v>
      </c>
      <c r="BL155" s="424">
        <f>'Ops Departments'!BM192</f>
        <v>0.2714223139</v>
      </c>
      <c r="BM155" s="424">
        <f>'Ops Departments'!BN192</f>
        <v>0.1240292142</v>
      </c>
      <c r="BN155" s="424">
        <f>'Ops Departments'!BO192</f>
        <v>0.1278747295</v>
      </c>
      <c r="BO155" s="424">
        <f>'Ops Departments'!BP192</f>
        <v>0.1040461006</v>
      </c>
      <c r="BP155" s="424">
        <f>'Ops Departments'!BQ192</f>
        <v>0.1101711007</v>
      </c>
      <c r="BQ155" s="424">
        <f>'Ops Departments'!BR192</f>
        <v>0.1175723998</v>
      </c>
      <c r="BR155" s="424">
        <f>'Ops Departments'!BS192</f>
        <v>0.118473476</v>
      </c>
      <c r="BS155" s="424">
        <f>'Ops Departments'!BT192</f>
        <v>0.09420582179</v>
      </c>
      <c r="BT155" s="424">
        <f>'Ops Departments'!BU192</f>
        <v>0.1015894724</v>
      </c>
      <c r="BU155" s="424">
        <f>'Ops Departments'!BV192</f>
        <v>0.0710953411</v>
      </c>
      <c r="BV155" s="424">
        <f>'Ops Departments'!BW192</f>
        <v>0.0750081566</v>
      </c>
      <c r="BW155" s="424">
        <f>'Ops Departments'!BX192</f>
        <v>0.02003509759</v>
      </c>
      <c r="BX155" s="424">
        <f>'Ops Departments'!BY192</f>
        <v>0.02115574755</v>
      </c>
      <c r="BY155" s="424">
        <f>'Ops Departments'!BZ192</f>
        <v>0.02354651739</v>
      </c>
      <c r="BZ155" s="424">
        <f>'Ops Departments'!CA192</f>
        <v>0.02365475061</v>
      </c>
      <c r="CA155" s="424">
        <f>'Ops Departments'!CB192</f>
        <v>-0.005323503619</v>
      </c>
      <c r="CB155" s="424">
        <f>'Ops Departments'!CC192</f>
        <v>-0.001479969805</v>
      </c>
      <c r="CC155" s="424">
        <f>'Ops Departments'!CD192</f>
        <v>0.004029569941</v>
      </c>
      <c r="CD155" s="424">
        <f>'Ops Departments'!CE192</f>
        <v>0.006527517803</v>
      </c>
      <c r="CE155" s="424">
        <f>'Ops Departments'!CF192</f>
        <v>-0.02137428829</v>
      </c>
      <c r="CF155" s="424">
        <f>'Ops Departments'!CG192</f>
        <v>-0.01499767418</v>
      </c>
      <c r="CG155" s="424">
        <f>'Ops Departments'!CH192</f>
        <v>-0.008529924116</v>
      </c>
      <c r="CH155" s="424">
        <f>'Ops Departments'!CI192</f>
        <v>-0.005287115401</v>
      </c>
      <c r="CI155" s="1"/>
      <c r="CJ155" s="1"/>
      <c r="CK155" s="1"/>
      <c r="CL155" s="1"/>
      <c r="CM155" s="1"/>
      <c r="CN155" s="1"/>
      <c r="CO155" s="1"/>
      <c r="CP155" s="1"/>
    </row>
    <row r="156" ht="15.75" customHeight="1">
      <c r="A156" s="1" t="s">
        <v>96</v>
      </c>
      <c r="B156" s="425"/>
      <c r="C156" s="424">
        <f>'Ops Departments'!D224</f>
        <v>0.05637046308</v>
      </c>
      <c r="D156" s="424">
        <f>'Ops Departments'!E224</f>
        <v>0.2009674017</v>
      </c>
      <c r="E156" s="424">
        <f>'Ops Departments'!F224</f>
        <v>0.3201120814</v>
      </c>
      <c r="F156" s="424">
        <f>'Ops Departments'!G224</f>
        <v>-0.2280199005</v>
      </c>
      <c r="G156" s="424">
        <f>'Ops Departments'!H224</f>
        <v>0.1823767706</v>
      </c>
      <c r="H156" s="424">
        <f>'Ops Departments'!I224</f>
        <v>0.3140674394</v>
      </c>
      <c r="I156" s="424">
        <f>'Ops Departments'!J224</f>
        <v>-0.01747720365</v>
      </c>
      <c r="J156" s="424">
        <f>'Ops Departments'!K224</f>
        <v>-0.05115542655</v>
      </c>
      <c r="K156" s="424">
        <f>'Ops Departments'!L224</f>
        <v>-0.6052975643</v>
      </c>
      <c r="L156" s="424">
        <f>'Ops Departments'!M224</f>
        <v>0.2290598729</v>
      </c>
      <c r="M156" s="424">
        <f>'Ops Departments'!N224</f>
        <v>-0.0995181978</v>
      </c>
      <c r="N156" s="424">
        <f>'Ops Departments'!O224</f>
        <v>-1.17760148</v>
      </c>
      <c r="O156" s="424">
        <f>'Ops Departments'!P224</f>
        <v>0.1047549747</v>
      </c>
      <c r="P156" s="424">
        <f>'Ops Departments'!Q224</f>
        <v>-0.2213563329</v>
      </c>
      <c r="Q156" s="424">
        <f>'Ops Departments'!R224</f>
        <v>-0.2722526106</v>
      </c>
      <c r="R156" s="424">
        <f>'Ops Departments'!S224</f>
        <v>-0.2514410977</v>
      </c>
      <c r="S156" s="424">
        <f>'Ops Departments'!T224</f>
        <v>-0.3476304374</v>
      </c>
      <c r="T156" s="424">
        <f>'Ops Departments'!U224</f>
        <v>0.2435751649</v>
      </c>
      <c r="U156" s="424">
        <f>'Ops Departments'!V224</f>
        <v>0.2408351672</v>
      </c>
      <c r="V156" s="424">
        <f>'Ops Departments'!W224</f>
        <v>0.6157603387</v>
      </c>
      <c r="W156" s="424">
        <f>'Ops Departments'!X224</f>
        <v>0.297870435</v>
      </c>
      <c r="X156" s="424">
        <f>'Ops Departments'!Y224</f>
        <v>-0.6112254524</v>
      </c>
      <c r="Y156" s="424">
        <f>'Ops Departments'!Z224</f>
        <v>0.0207535481</v>
      </c>
      <c r="Z156" s="424">
        <f>'Ops Departments'!AA224</f>
        <v>0.7820326068</v>
      </c>
      <c r="AA156" s="424">
        <f>'Ops Departments'!AB224</f>
        <v>0.7838641818</v>
      </c>
      <c r="AB156" s="424">
        <f>'Ops Departments'!AC224</f>
        <v>0.8026976341</v>
      </c>
      <c r="AC156" s="424">
        <f>'Ops Departments'!AD224</f>
        <v>0.8164263131</v>
      </c>
      <c r="AD156" s="424">
        <f>'Ops Departments'!AE224</f>
        <v>0.8208277994</v>
      </c>
      <c r="AE156" s="424">
        <f>'Ops Departments'!AF224</f>
        <v>0.8178683312</v>
      </c>
      <c r="AF156" s="424">
        <f>'Ops Departments'!AG224</f>
        <v>0.8264191022</v>
      </c>
      <c r="AG156" s="424">
        <f>'Ops Departments'!AH224</f>
        <v>0.833846263</v>
      </c>
      <c r="AH156" s="424">
        <f>'Ops Departments'!AI224</f>
        <v>0.8336780094</v>
      </c>
      <c r="AI156" s="424">
        <f>'Ops Departments'!AJ224</f>
        <v>0.8286437139</v>
      </c>
      <c r="AJ156" s="424">
        <f>'Ops Departments'!AK224</f>
        <v>0.8287453651</v>
      </c>
      <c r="AK156" s="424">
        <f>'Ops Departments'!AL224</f>
        <v>0.8338063432</v>
      </c>
      <c r="AL156" s="424">
        <f>'Ops Departments'!AM224</f>
        <v>0.8336788543</v>
      </c>
      <c r="AM156" s="424">
        <f>'Ops Departments'!AN224</f>
        <v>0.8590309791</v>
      </c>
      <c r="AN156" s="424">
        <f>'Ops Departments'!AO224</f>
        <v>0.8611388355</v>
      </c>
      <c r="AO156" s="424">
        <f>'Ops Departments'!AP224</f>
        <v>0.8633174139</v>
      </c>
      <c r="AP156" s="424">
        <f>'Ops Departments'!AQ224</f>
        <v>0.8614474317</v>
      </c>
      <c r="AQ156" s="424">
        <f>'Ops Departments'!AR224</f>
        <v>0.8573630035</v>
      </c>
      <c r="AR156" s="424">
        <f>'Ops Departments'!AS224</f>
        <v>0.8598465207</v>
      </c>
      <c r="AS156" s="424">
        <f>'Ops Departments'!AT224</f>
        <v>0.8625985742</v>
      </c>
      <c r="AT156" s="424">
        <f>'Ops Departments'!AU224</f>
        <v>0.8609454567</v>
      </c>
      <c r="AU156" s="424">
        <f>'Ops Departments'!AV224</f>
        <v>0.8566881563</v>
      </c>
      <c r="AV156" s="424">
        <f>'Ops Departments'!AW224</f>
        <v>0.8590368616</v>
      </c>
      <c r="AW156" s="424">
        <f>'Ops Departments'!AX224</f>
        <v>0.8613570561</v>
      </c>
      <c r="AX156" s="424">
        <f>'Ops Departments'!AY224</f>
        <v>0.8594225477</v>
      </c>
      <c r="AY156" s="424">
        <f>'Ops Departments'!AZ224</f>
        <v>0.8705099518</v>
      </c>
      <c r="AZ156" s="424">
        <f>'Ops Departments'!BA224</f>
        <v>0.7287615161</v>
      </c>
      <c r="BA156" s="424">
        <f>'Ops Departments'!BB224</f>
        <v>0.7314960565</v>
      </c>
      <c r="BB156" s="424">
        <f>'Ops Departments'!BC224</f>
        <v>0.7299899289</v>
      </c>
      <c r="BC156" s="424">
        <f>'Ops Departments'!BD224</f>
        <v>0.7201640404</v>
      </c>
      <c r="BD156" s="424">
        <f>'Ops Departments'!BE224</f>
        <v>0.7226562441</v>
      </c>
      <c r="BE156" s="424">
        <f>'Ops Departments'!BF224</f>
        <v>0.7215880653</v>
      </c>
      <c r="BF156" s="424">
        <f>'Ops Departments'!BG224</f>
        <v>0.7200371688</v>
      </c>
      <c r="BG156" s="424">
        <f>'Ops Departments'!BH224</f>
        <v>0.7098556339</v>
      </c>
      <c r="BH156" s="424">
        <f>'Ops Departments'!BI224</f>
        <v>0.7122381062</v>
      </c>
      <c r="BI156" s="424">
        <f>'Ops Departments'!BJ224</f>
        <v>0.7145621848</v>
      </c>
      <c r="BJ156" s="424">
        <f>'Ops Departments'!BK224</f>
        <v>0.7129397552</v>
      </c>
      <c r="BK156" s="424">
        <f>'Ops Departments'!BL224</f>
        <v>0.7010938949</v>
      </c>
      <c r="BL156" s="424">
        <f>'Ops Departments'!BM224</f>
        <v>0.7034265532</v>
      </c>
      <c r="BM156" s="424">
        <f>'Ops Departments'!BN224</f>
        <v>0.7055082248</v>
      </c>
      <c r="BN156" s="424">
        <f>'Ops Departments'!BO224</f>
        <v>0.7039056964</v>
      </c>
      <c r="BO156" s="424">
        <f>'Ops Departments'!BP224</f>
        <v>0.6932933783</v>
      </c>
      <c r="BP156" s="424">
        <f>'Ops Departments'!BQ224</f>
        <v>0.6939865273</v>
      </c>
      <c r="BQ156" s="424">
        <f>'Ops Departments'!BR224</f>
        <v>0.6960452565</v>
      </c>
      <c r="BR156" s="424">
        <f>'Ops Departments'!BS224</f>
        <v>0.691683926</v>
      </c>
      <c r="BS156" s="424">
        <f>'Ops Departments'!BT224</f>
        <v>0.6807269046</v>
      </c>
      <c r="BT156" s="424">
        <f>'Ops Departments'!BU224</f>
        <v>0.682797567</v>
      </c>
      <c r="BU156" s="424">
        <f>'Ops Departments'!BV224</f>
        <v>0.6848160147</v>
      </c>
      <c r="BV156" s="424">
        <f>'Ops Departments'!BW224</f>
        <v>0.6832796702</v>
      </c>
      <c r="BW156" s="424">
        <f>'Ops Departments'!BX224</f>
        <v>0.6721121924</v>
      </c>
      <c r="BX156" s="424">
        <f>'Ops Departments'!BY224</f>
        <v>0.6728383886</v>
      </c>
      <c r="BY156" s="424">
        <f>'Ops Departments'!BZ224</f>
        <v>0.6745278653</v>
      </c>
      <c r="BZ156" s="424">
        <f>'Ops Departments'!CA224</f>
        <v>0.6728154014</v>
      </c>
      <c r="CA156" s="424">
        <f>'Ops Departments'!CB224</f>
        <v>0.6618604329</v>
      </c>
      <c r="CB156" s="424">
        <f>'Ops Departments'!CC224</f>
        <v>0.6623427196</v>
      </c>
      <c r="CC156" s="424">
        <f>'Ops Departments'!CD224</f>
        <v>0.6640294788</v>
      </c>
      <c r="CD156" s="424">
        <f>'Ops Departments'!CE224</f>
        <v>0.6623742111</v>
      </c>
      <c r="CE156" s="424">
        <f>'Ops Departments'!CF224</f>
        <v>0.6510526116</v>
      </c>
      <c r="CF156" s="424">
        <f>'Ops Departments'!CG224</f>
        <v>0.6527208763</v>
      </c>
      <c r="CG156" s="424">
        <f>'Ops Departments'!CH224</f>
        <v>0.6543689109</v>
      </c>
      <c r="CH156" s="424">
        <f>'Ops Departments'!CI224</f>
        <v>0.6527221889</v>
      </c>
      <c r="CI156" s="1"/>
      <c r="CJ156" s="1"/>
      <c r="CK156" s="1"/>
      <c r="CL156" s="1"/>
      <c r="CM156" s="1"/>
      <c r="CN156" s="1"/>
      <c r="CO156" s="1"/>
      <c r="CP156" s="1"/>
    </row>
    <row r="157" ht="15.75" customHeight="1">
      <c r="A157" s="119" t="s">
        <v>670</v>
      </c>
      <c r="B157" s="426"/>
      <c r="C157" s="426">
        <f>'IS Proforma'!P42</f>
        <v>0.9786736202</v>
      </c>
      <c r="D157" s="426">
        <f>'IS Proforma'!Q42</f>
        <v>0.9806449368</v>
      </c>
      <c r="E157" s="426">
        <f>'IS Proforma'!R42</f>
        <v>0.9837126126</v>
      </c>
      <c r="F157" s="426">
        <f>'IS Proforma'!S42</f>
        <v>0.9844146996</v>
      </c>
      <c r="G157" s="426">
        <f>'IS Proforma'!T42</f>
        <v>0.9816682612</v>
      </c>
      <c r="H157" s="426">
        <f>'IS Proforma'!U42</f>
        <v>0.9834525773</v>
      </c>
      <c r="I157" s="426">
        <f>'IS Proforma'!V42</f>
        <v>0.9797314892</v>
      </c>
      <c r="J157" s="426">
        <f>'IS Proforma'!W42</f>
        <v>0.9759165053</v>
      </c>
      <c r="K157" s="426">
        <f>'IS Proforma'!X42</f>
        <v>0.9797277575</v>
      </c>
      <c r="L157" s="426">
        <f>'IS Proforma'!Y42</f>
        <v>0.9830404378</v>
      </c>
      <c r="M157" s="426">
        <f>'IS Proforma'!Z42</f>
        <v>0.9794407298</v>
      </c>
      <c r="N157" s="426">
        <f>'IS Proforma'!AA42</f>
        <v>0.9800428569</v>
      </c>
      <c r="O157" s="426">
        <f>'IS Proforma'!AB42</f>
        <v>0.9831501005</v>
      </c>
      <c r="P157" s="426">
        <f>'IS Proforma'!AC42</f>
        <v>0.9788024487</v>
      </c>
      <c r="Q157" s="426">
        <f>'IS Proforma'!AD42</f>
        <v>0.9790411837</v>
      </c>
      <c r="R157" s="426">
        <f>'IS Proforma'!AE42</f>
        <v>0.9810870725</v>
      </c>
      <c r="S157" s="426">
        <f>'IS Proforma'!AF42</f>
        <v>0.9830540664</v>
      </c>
      <c r="T157" s="426">
        <f>'IS Proforma'!AG42</f>
        <v>0.9821659551</v>
      </c>
      <c r="U157" s="426">
        <f>'IS Proforma'!AH42</f>
        <v>0.981280873</v>
      </c>
      <c r="V157" s="426">
        <f>'IS Proforma'!AI42</f>
        <v>0.9860513056</v>
      </c>
      <c r="W157" s="426">
        <f>'IS Proforma'!AJ42</f>
        <v>0.9825494118</v>
      </c>
      <c r="X157" s="426">
        <f>'IS Proforma'!AK42</f>
        <v>0.980574769</v>
      </c>
      <c r="Y157" s="426">
        <f>'IS Proforma'!AL42</f>
        <v>0.983668858</v>
      </c>
      <c r="Z157" s="426">
        <f>'IS Proforma'!AM42</f>
        <v>0.8684559216</v>
      </c>
      <c r="AA157" s="426">
        <f>'IS Proforma'!AN42</f>
        <v>0.8819563631</v>
      </c>
      <c r="AB157" s="426">
        <f>'IS Proforma'!AO42</f>
        <v>0.8896338475</v>
      </c>
      <c r="AC157" s="426">
        <f>'IS Proforma'!AP42</f>
        <v>0.8945743498</v>
      </c>
      <c r="AD157" s="426">
        <f>'IS Proforma'!AQ42</f>
        <v>0.9009693324</v>
      </c>
      <c r="AE157" s="426">
        <f>'IS Proforma'!AR42</f>
        <v>0.9053485719</v>
      </c>
      <c r="AF157" s="426">
        <f>'IS Proforma'!AS42</f>
        <v>0.9122923769</v>
      </c>
      <c r="AG157" s="426">
        <f>'IS Proforma'!AT42</f>
        <v>0.9104555673</v>
      </c>
      <c r="AH157" s="426">
        <f>'IS Proforma'!AU42</f>
        <v>0.9134471569</v>
      </c>
      <c r="AI157" s="426">
        <f>'IS Proforma'!AV42</f>
        <v>0.9130773841</v>
      </c>
      <c r="AJ157" s="426">
        <f>'IS Proforma'!AW42</f>
        <v>0.9127355283</v>
      </c>
      <c r="AK157" s="426">
        <f>'IS Proforma'!AX42</f>
        <v>0.9147573948</v>
      </c>
      <c r="AL157" s="426">
        <f>'IS Proforma'!AY42</f>
        <v>0.9131210569</v>
      </c>
      <c r="AM157" s="426">
        <f>'IS Proforma'!AZ42</f>
        <v>0.8987396446</v>
      </c>
      <c r="AN157" s="426">
        <f>'IS Proforma'!BA42</f>
        <v>0.8928049531</v>
      </c>
      <c r="AO157" s="426">
        <f>'IS Proforma'!BB42</f>
        <v>0.8904911363</v>
      </c>
      <c r="AP157" s="426">
        <f>'IS Proforma'!BC42</f>
        <v>0.8916951954</v>
      </c>
      <c r="AQ157" s="426">
        <f>'IS Proforma'!BD42</f>
        <v>0.8872022315</v>
      </c>
      <c r="AR157" s="426">
        <f>'IS Proforma'!BE42</f>
        <v>0.887062769</v>
      </c>
      <c r="AS157" s="426">
        <f>'IS Proforma'!BF42</f>
        <v>0.8806526036</v>
      </c>
      <c r="AT157" s="426">
        <f>'IS Proforma'!BG42</f>
        <v>0.8776498718</v>
      </c>
      <c r="AU157" s="426">
        <f>'IS Proforma'!BH42</f>
        <v>0.8725489571</v>
      </c>
      <c r="AV157" s="426">
        <f>'IS Proforma'!BI42</f>
        <v>0.8709111442</v>
      </c>
      <c r="AW157" s="426">
        <f>'IS Proforma'!BJ42</f>
        <v>0.8677989062</v>
      </c>
      <c r="AX157" s="426">
        <f>'IS Proforma'!BK42</f>
        <v>0.8691758353</v>
      </c>
      <c r="AY157" s="426">
        <f>'IS Proforma'!BL42</f>
        <v>0.863531826</v>
      </c>
      <c r="AZ157" s="426">
        <f>'IS Proforma'!BM42</f>
        <v>0.8569247775</v>
      </c>
      <c r="BA157" s="426">
        <f>'IS Proforma'!BN42</f>
        <v>0.8548200916</v>
      </c>
      <c r="BB157" s="426">
        <f>'IS Proforma'!BO42</f>
        <v>0.8480755036</v>
      </c>
      <c r="BC157" s="426">
        <f>'IS Proforma'!BP42</f>
        <v>0.8453258754</v>
      </c>
      <c r="BD157" s="426">
        <f>'IS Proforma'!BQ42</f>
        <v>0.8447396162</v>
      </c>
      <c r="BE157" s="426">
        <f>'IS Proforma'!BR42</f>
        <v>0.8426181995</v>
      </c>
      <c r="BF157" s="426">
        <f>'IS Proforma'!BS42</f>
        <v>0.8433444836</v>
      </c>
      <c r="BG157" s="426">
        <f>'IS Proforma'!BT42</f>
        <v>0.8374762327</v>
      </c>
      <c r="BH157" s="426">
        <f>'IS Proforma'!BU42</f>
        <v>0.8354518963</v>
      </c>
      <c r="BI157" s="426">
        <f>'IS Proforma'!BV42</f>
        <v>0.8374304291</v>
      </c>
      <c r="BJ157" s="426">
        <f>'IS Proforma'!BW42</f>
        <v>0.8328422458</v>
      </c>
      <c r="BK157" s="426">
        <f>'IS Proforma'!BX42</f>
        <v>0.8179791036</v>
      </c>
      <c r="BL157" s="426">
        <f>'IS Proforma'!BY42</f>
        <v>0.7807311814</v>
      </c>
      <c r="BM157" s="426">
        <f>'IS Proforma'!BZ42</f>
        <v>0.7663410644</v>
      </c>
      <c r="BN157" s="426">
        <f>'IS Proforma'!CA42</f>
        <v>0.7660173311</v>
      </c>
      <c r="BO157" s="426">
        <f>'IS Proforma'!CB42</f>
        <v>0.7587818251</v>
      </c>
      <c r="BP157" s="426">
        <f>'IS Proforma'!CC42</f>
        <v>0.7601388097</v>
      </c>
      <c r="BQ157" s="426">
        <f>'IS Proforma'!CD42</f>
        <v>0.7575457182</v>
      </c>
      <c r="BR157" s="426">
        <f>'IS Proforma'!CE42</f>
        <v>0.7562761063</v>
      </c>
      <c r="BS157" s="426">
        <f>'IS Proforma'!CF42</f>
        <v>0.7485876254</v>
      </c>
      <c r="BT157" s="426">
        <f>'IS Proforma'!CG42</f>
        <v>0.7499206098</v>
      </c>
      <c r="BU157" s="426">
        <f>'IS Proforma'!CH42</f>
        <v>0.7450824143</v>
      </c>
      <c r="BV157" s="426">
        <f>'IS Proforma'!CI42</f>
        <v>0.7476313765</v>
      </c>
      <c r="BW157" s="426">
        <f>'IS Proforma'!CJ42</f>
        <v>0.7369076878</v>
      </c>
      <c r="BX157" s="426">
        <f>'IS Proforma'!CK42</f>
        <v>0.7314665652</v>
      </c>
      <c r="BY157" s="426">
        <f>'IS Proforma'!CL42</f>
        <v>0.7306774545</v>
      </c>
      <c r="BZ157" s="426">
        <f>'IS Proforma'!CM42</f>
        <v>0.7287398883</v>
      </c>
      <c r="CA157" s="426">
        <f>'IS Proforma'!CN42</f>
        <v>0.7217642817</v>
      </c>
      <c r="CB157" s="426">
        <f>'IS Proforma'!CO42</f>
        <v>0.7187528913</v>
      </c>
      <c r="CC157" s="426">
        <f>'IS Proforma'!CP42</f>
        <v>0.7181685081</v>
      </c>
      <c r="CD157" s="426">
        <f>'IS Proforma'!CQ42</f>
        <v>0.7199565109</v>
      </c>
      <c r="CE157" s="426">
        <f>'IS Proforma'!CR42</f>
        <v>0.7101427841</v>
      </c>
      <c r="CF157" s="426">
        <f>'IS Proforma'!CS42</f>
        <v>0.711954345</v>
      </c>
      <c r="CG157" s="426">
        <f>'IS Proforma'!CT42</f>
        <v>0.7091027722</v>
      </c>
      <c r="CH157" s="426">
        <f>'IS Proforma'!CU42</f>
        <v>0.707437619</v>
      </c>
      <c r="CI157" s="119"/>
      <c r="CJ157" s="119"/>
      <c r="CK157" s="119"/>
      <c r="CL157" s="119"/>
      <c r="CM157" s="119"/>
      <c r="CN157" s="119"/>
      <c r="CO157" s="119"/>
      <c r="CP157" s="119"/>
    </row>
    <row r="158" ht="15.75"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404">
        <v>0.542</v>
      </c>
      <c r="W158" s="137"/>
      <c r="X158" s="137"/>
      <c r="Y158" s="137"/>
      <c r="Z158" s="137"/>
      <c r="AA158" s="137"/>
      <c r="AB158" s="137"/>
      <c r="AC158" s="137"/>
      <c r="AD158" s="137"/>
      <c r="AE158" s="137"/>
      <c r="AF158" s="137"/>
      <c r="AG158" s="137"/>
      <c r="AH158" s="137"/>
      <c r="AI158" s="137"/>
      <c r="AJ158" s="137"/>
      <c r="AK158" s="137"/>
      <c r="AL158" s="137"/>
      <c r="AM158" s="137"/>
      <c r="AN158" s="137"/>
      <c r="AO158" s="137"/>
      <c r="AP158" s="137"/>
      <c r="AQ158" s="137"/>
      <c r="AR158" s="137"/>
      <c r="AS158" s="137"/>
      <c r="AT158" s="137"/>
      <c r="AU158" s="137"/>
      <c r="AV158" s="137"/>
      <c r="AW158" s="137"/>
      <c r="AX158" s="137"/>
      <c r="AY158" s="137"/>
      <c r="AZ158" s="13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c r="CL158" s="137"/>
      <c r="CM158" s="137"/>
      <c r="CN158" s="137"/>
      <c r="CO158" s="137"/>
      <c r="CP158" s="137"/>
    </row>
    <row r="159" ht="15.75" customHeight="1">
      <c r="A159" s="137" t="s">
        <v>129</v>
      </c>
      <c r="B159" s="198"/>
      <c r="C159" s="198">
        <f t="shared" ref="C159:CH159" si="100">C135*C151</f>
        <v>5965.204206</v>
      </c>
      <c r="D159" s="198">
        <f t="shared" si="100"/>
        <v>5050.113032</v>
      </c>
      <c r="E159" s="198">
        <f t="shared" si="100"/>
        <v>7993.475005</v>
      </c>
      <c r="F159" s="198">
        <f t="shared" si="100"/>
        <v>6676.067693</v>
      </c>
      <c r="G159" s="198">
        <f t="shared" si="100"/>
        <v>8906.365313</v>
      </c>
      <c r="H159" s="198">
        <f t="shared" si="100"/>
        <v>6848.147444</v>
      </c>
      <c r="I159" s="198">
        <f t="shared" si="100"/>
        <v>5343.591769</v>
      </c>
      <c r="J159" s="198">
        <f t="shared" si="100"/>
        <v>4569.910125</v>
      </c>
      <c r="K159" s="198">
        <f t="shared" si="100"/>
        <v>4341.547807</v>
      </c>
      <c r="L159" s="198">
        <f t="shared" si="100"/>
        <v>1346.217354</v>
      </c>
      <c r="M159" s="198">
        <f t="shared" si="100"/>
        <v>5096.117086</v>
      </c>
      <c r="N159" s="198">
        <f t="shared" si="100"/>
        <v>1397.485152</v>
      </c>
      <c r="O159" s="198">
        <f t="shared" si="100"/>
        <v>2103.122469</v>
      </c>
      <c r="P159" s="198">
        <f t="shared" si="100"/>
        <v>3192.51577</v>
      </c>
      <c r="Q159" s="198">
        <f t="shared" si="100"/>
        <v>7215.535286</v>
      </c>
      <c r="R159" s="198">
        <f t="shared" si="100"/>
        <v>1896.651435</v>
      </c>
      <c r="S159" s="198">
        <f t="shared" si="100"/>
        <v>4809.320775</v>
      </c>
      <c r="T159" s="198">
        <f t="shared" si="100"/>
        <v>6433.111322</v>
      </c>
      <c r="U159" s="198">
        <f t="shared" si="100"/>
        <v>7949.001204</v>
      </c>
      <c r="V159" s="198">
        <f t="shared" si="100"/>
        <v>8672.313697</v>
      </c>
      <c r="W159" s="198">
        <f t="shared" si="100"/>
        <v>5955.627321</v>
      </c>
      <c r="X159" s="198">
        <f t="shared" si="100"/>
        <v>8858.735375</v>
      </c>
      <c r="Y159" s="198">
        <f t="shared" si="100"/>
        <v>6054.476333</v>
      </c>
      <c r="Z159" s="198">
        <f t="shared" si="100"/>
        <v>9297.4375</v>
      </c>
      <c r="AA159" s="198">
        <f t="shared" si="100"/>
        <v>9220.550358</v>
      </c>
      <c r="AB159" s="198">
        <f t="shared" si="100"/>
        <v>9568.725131</v>
      </c>
      <c r="AC159" s="198">
        <f t="shared" si="100"/>
        <v>9800.142854</v>
      </c>
      <c r="AD159" s="198">
        <f t="shared" si="100"/>
        <v>10104.20186</v>
      </c>
      <c r="AE159" s="198">
        <f t="shared" si="100"/>
        <v>10271.43566</v>
      </c>
      <c r="AF159" s="198">
        <f t="shared" si="100"/>
        <v>10702.94014</v>
      </c>
      <c r="AG159" s="198">
        <f t="shared" si="100"/>
        <v>10800.65098</v>
      </c>
      <c r="AH159" s="198">
        <f t="shared" si="100"/>
        <v>10961.68917</v>
      </c>
      <c r="AI159" s="198">
        <f t="shared" si="100"/>
        <v>11031.34589</v>
      </c>
      <c r="AJ159" s="198">
        <f t="shared" si="100"/>
        <v>11150.80764</v>
      </c>
      <c r="AK159" s="198">
        <f t="shared" si="100"/>
        <v>11262.58697</v>
      </c>
      <c r="AL159" s="198">
        <f t="shared" si="100"/>
        <v>11230.36055</v>
      </c>
      <c r="AM159" s="198">
        <f t="shared" si="100"/>
        <v>11189.97302</v>
      </c>
      <c r="AN159" s="198">
        <f t="shared" si="100"/>
        <v>10953.45994</v>
      </c>
      <c r="AO159" s="198">
        <f t="shared" si="100"/>
        <v>10863.7386</v>
      </c>
      <c r="AP159" s="198">
        <f t="shared" si="100"/>
        <v>10904.47316</v>
      </c>
      <c r="AQ159" s="198">
        <f t="shared" si="100"/>
        <v>10757.60166</v>
      </c>
      <c r="AR159" s="198">
        <f t="shared" si="100"/>
        <v>10852.80942</v>
      </c>
      <c r="AS159" s="198">
        <f t="shared" si="100"/>
        <v>10720.63256</v>
      </c>
      <c r="AT159" s="198">
        <f t="shared" si="100"/>
        <v>10604.44506</v>
      </c>
      <c r="AU159" s="198">
        <f t="shared" si="100"/>
        <v>10443.36493</v>
      </c>
      <c r="AV159" s="198">
        <f t="shared" si="100"/>
        <v>10371.34364</v>
      </c>
      <c r="AW159" s="198">
        <f t="shared" si="100"/>
        <v>10245.05833</v>
      </c>
      <c r="AX159" s="198">
        <f t="shared" si="100"/>
        <v>10286.36047</v>
      </c>
      <c r="AY159" s="198">
        <f t="shared" si="100"/>
        <v>10290.71116</v>
      </c>
      <c r="AZ159" s="198">
        <f t="shared" si="100"/>
        <v>10134.82846</v>
      </c>
      <c r="BA159" s="198">
        <f t="shared" si="100"/>
        <v>10036.94552</v>
      </c>
      <c r="BB159" s="198">
        <f t="shared" si="100"/>
        <v>9837.070848</v>
      </c>
      <c r="BC159" s="198">
        <f t="shared" si="100"/>
        <v>9775.260115</v>
      </c>
      <c r="BD159" s="198">
        <f t="shared" si="100"/>
        <v>9736.826591</v>
      </c>
      <c r="BE159" s="198">
        <f t="shared" si="100"/>
        <v>9643.316604</v>
      </c>
      <c r="BF159" s="198">
        <f t="shared" si="100"/>
        <v>9703.994151</v>
      </c>
      <c r="BG159" s="198">
        <f t="shared" si="100"/>
        <v>9531.380084</v>
      </c>
      <c r="BH159" s="198">
        <f t="shared" si="100"/>
        <v>9443.283105</v>
      </c>
      <c r="BI159" s="198">
        <f t="shared" si="100"/>
        <v>9501.840688</v>
      </c>
      <c r="BJ159" s="198">
        <f t="shared" si="100"/>
        <v>9462.916746</v>
      </c>
      <c r="BK159" s="198">
        <f t="shared" si="100"/>
        <v>9440.730976</v>
      </c>
      <c r="BL159" s="198">
        <f t="shared" si="100"/>
        <v>9689.773713</v>
      </c>
      <c r="BM159" s="198">
        <f t="shared" si="100"/>
        <v>9645.150803</v>
      </c>
      <c r="BN159" s="198">
        <f t="shared" si="100"/>
        <v>9698.119164</v>
      </c>
      <c r="BO159" s="198">
        <f t="shared" si="100"/>
        <v>9511.898787</v>
      </c>
      <c r="BP159" s="198">
        <f t="shared" si="100"/>
        <v>9518.137016</v>
      </c>
      <c r="BQ159" s="198">
        <f t="shared" si="100"/>
        <v>9474.137887</v>
      </c>
      <c r="BR159" s="198">
        <f t="shared" si="100"/>
        <v>9526.271041</v>
      </c>
      <c r="BS159" s="198">
        <f t="shared" si="100"/>
        <v>9332.793125</v>
      </c>
      <c r="BT159" s="198">
        <f t="shared" si="100"/>
        <v>9338.954658</v>
      </c>
      <c r="BU159" s="198">
        <f t="shared" si="100"/>
        <v>9299.157101</v>
      </c>
      <c r="BV159" s="198">
        <f t="shared" si="100"/>
        <v>9350.971517</v>
      </c>
      <c r="BW159" s="198">
        <f t="shared" si="100"/>
        <v>9194.398672</v>
      </c>
      <c r="BX159" s="198">
        <f t="shared" si="100"/>
        <v>8988.537166</v>
      </c>
      <c r="BY159" s="198">
        <f t="shared" si="100"/>
        <v>8935.134571</v>
      </c>
      <c r="BZ159" s="198">
        <f t="shared" si="100"/>
        <v>8838.43466</v>
      </c>
      <c r="CA159" s="198">
        <f t="shared" si="100"/>
        <v>8697.994326</v>
      </c>
      <c r="CB159" s="198">
        <f t="shared" si="100"/>
        <v>8648.411145</v>
      </c>
      <c r="CC159" s="198">
        <f t="shared" si="100"/>
        <v>8643.199566</v>
      </c>
      <c r="CD159" s="198">
        <f t="shared" si="100"/>
        <v>8681.372664</v>
      </c>
      <c r="CE159" s="198">
        <f t="shared" si="100"/>
        <v>8444.654022</v>
      </c>
      <c r="CF159" s="198">
        <f t="shared" si="100"/>
        <v>8483.228159</v>
      </c>
      <c r="CG159" s="198">
        <f t="shared" si="100"/>
        <v>8435.727637</v>
      </c>
      <c r="CH159" s="198">
        <f t="shared" si="100"/>
        <v>8346.398212</v>
      </c>
      <c r="CI159" s="137"/>
      <c r="CJ159" s="137"/>
      <c r="CK159" s="137"/>
      <c r="CL159" s="137"/>
      <c r="CM159" s="137"/>
      <c r="CN159" s="137"/>
      <c r="CO159" s="137"/>
      <c r="CP159" s="137"/>
    </row>
    <row r="160" ht="15.75" customHeight="1">
      <c r="A160" s="137" t="s">
        <v>85</v>
      </c>
      <c r="B160" s="198"/>
      <c r="C160" s="198">
        <f t="shared" ref="C160:CH160" si="101">C136*C152</f>
        <v>2151.498395</v>
      </c>
      <c r="D160" s="198">
        <f t="shared" si="101"/>
        <v>6715.800599</v>
      </c>
      <c r="E160" s="198">
        <f t="shared" si="101"/>
        <v>7955.992089</v>
      </c>
      <c r="F160" s="198">
        <f t="shared" si="101"/>
        <v>8201.285564</v>
      </c>
      <c r="G160" s="198">
        <f t="shared" si="101"/>
        <v>5389.328557</v>
      </c>
      <c r="H160" s="198">
        <f t="shared" si="101"/>
        <v>3413.322581</v>
      </c>
      <c r="I160" s="198">
        <f t="shared" si="101"/>
        <v>4615.918547</v>
      </c>
      <c r="J160" s="198">
        <f t="shared" si="101"/>
        <v>8545.499357</v>
      </c>
      <c r="K160" s="198">
        <f t="shared" si="101"/>
        <v>5980.489163</v>
      </c>
      <c r="L160" s="198">
        <f t="shared" si="101"/>
        <v>6261.485305</v>
      </c>
      <c r="M160" s="198">
        <f t="shared" si="101"/>
        <v>5223.181617</v>
      </c>
      <c r="N160" s="198">
        <f t="shared" si="101"/>
        <v>8174.127492</v>
      </c>
      <c r="O160" s="198">
        <f t="shared" si="101"/>
        <v>6848.095724</v>
      </c>
      <c r="P160" s="198">
        <f t="shared" si="101"/>
        <v>3460.127356</v>
      </c>
      <c r="Q160" s="198">
        <f t="shared" si="101"/>
        <v>4986.691442</v>
      </c>
      <c r="R160" s="198">
        <f t="shared" si="101"/>
        <v>5181.544522</v>
      </c>
      <c r="S160" s="198">
        <f t="shared" si="101"/>
        <v>7339.937244</v>
      </c>
      <c r="T160" s="198">
        <f t="shared" si="101"/>
        <v>7243.357565</v>
      </c>
      <c r="U160" s="198">
        <f t="shared" si="101"/>
        <v>870.7825691</v>
      </c>
      <c r="V160" s="198">
        <f t="shared" si="101"/>
        <v>1961.411447</v>
      </c>
      <c r="W160" s="198">
        <f t="shared" si="101"/>
        <v>8988.214492</v>
      </c>
      <c r="X160" s="198">
        <f t="shared" si="101"/>
        <v>1106.09628</v>
      </c>
      <c r="Y160" s="198">
        <f t="shared" si="101"/>
        <v>5762.313347</v>
      </c>
      <c r="Z160" s="198">
        <f t="shared" si="101"/>
        <v>6762.267833</v>
      </c>
      <c r="AA160" s="198">
        <f t="shared" si="101"/>
        <v>6248.49073</v>
      </c>
      <c r="AB160" s="198">
        <f t="shared" si="101"/>
        <v>6632.564764</v>
      </c>
      <c r="AC160" s="198">
        <f t="shared" si="101"/>
        <v>6890.809703</v>
      </c>
      <c r="AD160" s="198">
        <f t="shared" si="101"/>
        <v>7031.727947</v>
      </c>
      <c r="AE160" s="198">
        <f t="shared" si="101"/>
        <v>7174.329452</v>
      </c>
      <c r="AF160" s="198">
        <f t="shared" si="101"/>
        <v>7563.138004</v>
      </c>
      <c r="AG160" s="198">
        <f t="shared" si="101"/>
        <v>7668.839864</v>
      </c>
      <c r="AH160" s="198">
        <f t="shared" si="101"/>
        <v>7774.544162</v>
      </c>
      <c r="AI160" s="198">
        <f t="shared" si="101"/>
        <v>7802.125594</v>
      </c>
      <c r="AJ160" s="198">
        <f t="shared" si="101"/>
        <v>7876.015382</v>
      </c>
      <c r="AK160" s="198">
        <f t="shared" si="101"/>
        <v>7995.366726</v>
      </c>
      <c r="AL160" s="198">
        <f t="shared" si="101"/>
        <v>8055.744775</v>
      </c>
      <c r="AM160" s="198">
        <f t="shared" si="101"/>
        <v>8079.659636</v>
      </c>
      <c r="AN160" s="198">
        <f t="shared" si="101"/>
        <v>8107.597246</v>
      </c>
      <c r="AO160" s="198">
        <f t="shared" si="101"/>
        <v>8147.355767</v>
      </c>
      <c r="AP160" s="198">
        <f t="shared" si="101"/>
        <v>8149.517072</v>
      </c>
      <c r="AQ160" s="198">
        <f t="shared" si="101"/>
        <v>8119.299133</v>
      </c>
      <c r="AR160" s="198">
        <f t="shared" si="101"/>
        <v>8205.190802</v>
      </c>
      <c r="AS160" s="198">
        <f t="shared" si="101"/>
        <v>8195.298381</v>
      </c>
      <c r="AT160" s="198">
        <f t="shared" si="101"/>
        <v>8197.419354</v>
      </c>
      <c r="AU160" s="198">
        <f t="shared" si="101"/>
        <v>8161.87597</v>
      </c>
      <c r="AV160" s="198">
        <f t="shared" si="101"/>
        <v>8203.017662</v>
      </c>
      <c r="AW160" s="198">
        <f t="shared" si="101"/>
        <v>8243.034478</v>
      </c>
      <c r="AX160" s="198">
        <f t="shared" si="101"/>
        <v>8239.29251</v>
      </c>
      <c r="AY160" s="198">
        <f t="shared" si="101"/>
        <v>8252.265806</v>
      </c>
      <c r="AZ160" s="198">
        <f t="shared" si="101"/>
        <v>8305.7786</v>
      </c>
      <c r="BA160" s="198">
        <f t="shared" si="101"/>
        <v>8356.917979</v>
      </c>
      <c r="BB160" s="198">
        <f t="shared" si="101"/>
        <v>8363.659106</v>
      </c>
      <c r="BC160" s="198">
        <f t="shared" si="101"/>
        <v>8328.544217</v>
      </c>
      <c r="BD160" s="198">
        <f t="shared" si="101"/>
        <v>8374.179937</v>
      </c>
      <c r="BE160" s="198">
        <f t="shared" si="101"/>
        <v>8382.643481</v>
      </c>
      <c r="BF160" s="198">
        <f t="shared" si="101"/>
        <v>8385.274464</v>
      </c>
      <c r="BG160" s="198">
        <f t="shared" si="101"/>
        <v>8347.371115</v>
      </c>
      <c r="BH160" s="198">
        <f t="shared" si="101"/>
        <v>8388.788351</v>
      </c>
      <c r="BI160" s="198">
        <f t="shared" si="101"/>
        <v>8428.869926</v>
      </c>
      <c r="BJ160" s="198">
        <f t="shared" si="101"/>
        <v>8321.709429</v>
      </c>
      <c r="BK160" s="198">
        <f t="shared" si="101"/>
        <v>8438.091102</v>
      </c>
      <c r="BL160" s="198">
        <f t="shared" si="101"/>
        <v>8314.089398</v>
      </c>
      <c r="BM160" s="198">
        <f t="shared" si="101"/>
        <v>8190.723829</v>
      </c>
      <c r="BN160" s="198">
        <f t="shared" si="101"/>
        <v>8141.118431</v>
      </c>
      <c r="BO160" s="198">
        <f t="shared" si="101"/>
        <v>8087.559353</v>
      </c>
      <c r="BP160" s="198">
        <f t="shared" si="101"/>
        <v>8116.789714</v>
      </c>
      <c r="BQ160" s="198">
        <f t="shared" si="101"/>
        <v>8051.094652</v>
      </c>
      <c r="BR160" s="198">
        <f t="shared" si="101"/>
        <v>7866.040597</v>
      </c>
      <c r="BS160" s="198">
        <f t="shared" si="101"/>
        <v>7804.091943</v>
      </c>
      <c r="BT160" s="198">
        <f t="shared" si="101"/>
        <v>7849.808072</v>
      </c>
      <c r="BU160" s="198">
        <f t="shared" si="101"/>
        <v>7790.878243</v>
      </c>
      <c r="BV160" s="198">
        <f t="shared" si="101"/>
        <v>7798.69999</v>
      </c>
      <c r="BW160" s="198">
        <f t="shared" si="101"/>
        <v>7735.453916</v>
      </c>
      <c r="BX160" s="198">
        <f t="shared" si="101"/>
        <v>7760.421371</v>
      </c>
      <c r="BY160" s="198">
        <f t="shared" si="101"/>
        <v>7794.621538</v>
      </c>
      <c r="BZ160" s="198">
        <f t="shared" si="101"/>
        <v>7793.021132</v>
      </c>
      <c r="CA160" s="198">
        <f t="shared" si="101"/>
        <v>7727.139773</v>
      </c>
      <c r="CB160" s="198">
        <f t="shared" si="101"/>
        <v>7647.628938</v>
      </c>
      <c r="CC160" s="198">
        <f t="shared" si="101"/>
        <v>7632.099976</v>
      </c>
      <c r="CD160" s="198">
        <f t="shared" si="101"/>
        <v>7631.347367</v>
      </c>
      <c r="CE160" s="198">
        <f t="shared" si="101"/>
        <v>7558.429657</v>
      </c>
      <c r="CF160" s="198">
        <f t="shared" si="101"/>
        <v>7592.663673</v>
      </c>
      <c r="CG160" s="198">
        <f t="shared" si="101"/>
        <v>7529.20893</v>
      </c>
      <c r="CH160" s="198">
        <f t="shared" si="101"/>
        <v>7528.539162</v>
      </c>
      <c r="CI160" s="137"/>
      <c r="CJ160" s="137"/>
      <c r="CK160" s="137"/>
      <c r="CL160" s="137"/>
      <c r="CM160" s="137"/>
      <c r="CN160" s="137"/>
      <c r="CO160" s="137"/>
      <c r="CP160" s="137"/>
    </row>
    <row r="161" ht="15.75" customHeight="1">
      <c r="A161" s="137" t="s">
        <v>130</v>
      </c>
      <c r="B161" s="198"/>
      <c r="C161" s="198">
        <f t="shared" ref="C161:CH161" si="102">C137*C153</f>
        <v>2932.397794</v>
      </c>
      <c r="D161" s="198">
        <f t="shared" si="102"/>
        <v>1327.937692</v>
      </c>
      <c r="E161" s="198">
        <f t="shared" si="102"/>
        <v>4002.046483</v>
      </c>
      <c r="F161" s="198">
        <f t="shared" si="102"/>
        <v>4912.892536</v>
      </c>
      <c r="G161" s="198">
        <f t="shared" si="102"/>
        <v>3823.510841</v>
      </c>
      <c r="H161" s="198">
        <f t="shared" si="102"/>
        <v>7429.194721</v>
      </c>
      <c r="I161" s="198">
        <f t="shared" si="102"/>
        <v>3573.429689</v>
      </c>
      <c r="J161" s="198">
        <f t="shared" si="102"/>
        <v>3133.461378</v>
      </c>
      <c r="K161" s="198">
        <f t="shared" si="102"/>
        <v>7227.067301</v>
      </c>
      <c r="L161" s="198">
        <f t="shared" si="102"/>
        <v>1231.957051</v>
      </c>
      <c r="M161" s="198">
        <f t="shared" si="102"/>
        <v>1229.783747</v>
      </c>
      <c r="N161" s="198">
        <f t="shared" si="102"/>
        <v>6053.415308</v>
      </c>
      <c r="O161" s="198">
        <f t="shared" si="102"/>
        <v>6314.671055</v>
      </c>
      <c r="P161" s="198">
        <f t="shared" si="102"/>
        <v>5639.940572</v>
      </c>
      <c r="Q161" s="198">
        <f t="shared" si="102"/>
        <v>5170.52516</v>
      </c>
      <c r="R161" s="198">
        <f t="shared" si="102"/>
        <v>4126.085705</v>
      </c>
      <c r="S161" s="198">
        <f t="shared" si="102"/>
        <v>6124.17248</v>
      </c>
      <c r="T161" s="198">
        <f t="shared" si="102"/>
        <v>1599.699456</v>
      </c>
      <c r="U161" s="198">
        <f t="shared" si="102"/>
        <v>6236.708552</v>
      </c>
      <c r="V161" s="198">
        <f t="shared" si="102"/>
        <v>3240.083119</v>
      </c>
      <c r="W161" s="198">
        <f t="shared" si="102"/>
        <v>8220.940425</v>
      </c>
      <c r="X161" s="198">
        <f t="shared" si="102"/>
        <v>6627.222299</v>
      </c>
      <c r="Y161" s="198">
        <f t="shared" si="102"/>
        <v>7014.172266</v>
      </c>
      <c r="Z161" s="198">
        <f t="shared" si="102"/>
        <v>11587.6146</v>
      </c>
      <c r="AA161" s="198">
        <f t="shared" si="102"/>
        <v>11514.73128</v>
      </c>
      <c r="AB161" s="198">
        <f t="shared" si="102"/>
        <v>12049.19984</v>
      </c>
      <c r="AC161" s="198">
        <f t="shared" si="102"/>
        <v>12416.86846</v>
      </c>
      <c r="AD161" s="198">
        <f t="shared" si="102"/>
        <v>12597.97295</v>
      </c>
      <c r="AE161" s="198">
        <f t="shared" si="102"/>
        <v>12658.88178</v>
      </c>
      <c r="AF161" s="198">
        <f t="shared" si="102"/>
        <v>13116.90072</v>
      </c>
      <c r="AG161" s="198">
        <f t="shared" si="102"/>
        <v>13155.62983</v>
      </c>
      <c r="AH161" s="198">
        <f t="shared" si="102"/>
        <v>13092.10647</v>
      </c>
      <c r="AI161" s="198">
        <f t="shared" si="102"/>
        <v>12977.24223</v>
      </c>
      <c r="AJ161" s="198">
        <f t="shared" si="102"/>
        <v>12925.54043</v>
      </c>
      <c r="AK161" s="198">
        <f t="shared" si="102"/>
        <v>12947.94411</v>
      </c>
      <c r="AL161" s="198">
        <f t="shared" si="102"/>
        <v>12896.6585</v>
      </c>
      <c r="AM161" s="198">
        <f t="shared" si="102"/>
        <v>12932.36522</v>
      </c>
      <c r="AN161" s="198">
        <f t="shared" si="102"/>
        <v>12980.87498</v>
      </c>
      <c r="AO161" s="198">
        <f t="shared" si="102"/>
        <v>13020.26197</v>
      </c>
      <c r="AP161" s="198">
        <f t="shared" si="102"/>
        <v>13002.08548</v>
      </c>
      <c r="AQ161" s="198">
        <f t="shared" si="102"/>
        <v>12947.86055</v>
      </c>
      <c r="AR161" s="198">
        <f t="shared" si="102"/>
        <v>13039.9765</v>
      </c>
      <c r="AS161" s="198">
        <f t="shared" si="102"/>
        <v>13015.58731</v>
      </c>
      <c r="AT161" s="198">
        <f t="shared" si="102"/>
        <v>13005.60289</v>
      </c>
      <c r="AU161" s="198">
        <f t="shared" si="102"/>
        <v>12945.59421</v>
      </c>
      <c r="AV161" s="198">
        <f t="shared" si="102"/>
        <v>12996.78013</v>
      </c>
      <c r="AW161" s="198">
        <f t="shared" si="102"/>
        <v>13046.98293</v>
      </c>
      <c r="AX161" s="198">
        <f t="shared" si="102"/>
        <v>13030.84254</v>
      </c>
      <c r="AY161" s="198">
        <f t="shared" si="102"/>
        <v>12898.31092</v>
      </c>
      <c r="AZ161" s="198">
        <f t="shared" si="102"/>
        <v>12968.37529</v>
      </c>
      <c r="BA161" s="198">
        <f t="shared" si="102"/>
        <v>13036.09786</v>
      </c>
      <c r="BB161" s="198">
        <f t="shared" si="102"/>
        <v>13036.46734</v>
      </c>
      <c r="BC161" s="198">
        <f t="shared" si="102"/>
        <v>12976.11238</v>
      </c>
      <c r="BD161" s="198">
        <f t="shared" si="102"/>
        <v>13037.04084</v>
      </c>
      <c r="BE161" s="198">
        <f t="shared" si="102"/>
        <v>13041.55811</v>
      </c>
      <c r="BF161" s="198">
        <f t="shared" si="102"/>
        <v>12953.90716</v>
      </c>
      <c r="BG161" s="198">
        <f t="shared" si="102"/>
        <v>12888.39937</v>
      </c>
      <c r="BH161" s="198">
        <f t="shared" si="102"/>
        <v>12945.74651</v>
      </c>
      <c r="BI161" s="198">
        <f t="shared" si="102"/>
        <v>13001.35998</v>
      </c>
      <c r="BJ161" s="198">
        <f t="shared" si="102"/>
        <v>12915.66409</v>
      </c>
      <c r="BK161" s="198">
        <f t="shared" si="102"/>
        <v>13324.33763</v>
      </c>
      <c r="BL161" s="198">
        <f t="shared" si="102"/>
        <v>14059.22902</v>
      </c>
      <c r="BM161" s="198">
        <f t="shared" si="102"/>
        <v>14121.45964</v>
      </c>
      <c r="BN161" s="198">
        <f t="shared" si="102"/>
        <v>14117.92304</v>
      </c>
      <c r="BO161" s="198">
        <f t="shared" si="102"/>
        <v>14050.3162</v>
      </c>
      <c r="BP161" s="198">
        <f t="shared" si="102"/>
        <v>14084.97715</v>
      </c>
      <c r="BQ161" s="198">
        <f t="shared" si="102"/>
        <v>14142.23733</v>
      </c>
      <c r="BR161" s="198">
        <f t="shared" si="102"/>
        <v>14088.66316</v>
      </c>
      <c r="BS161" s="198">
        <f t="shared" si="102"/>
        <v>14018.92696</v>
      </c>
      <c r="BT161" s="198">
        <f t="shared" si="102"/>
        <v>14074.87419</v>
      </c>
      <c r="BU161" s="198">
        <f t="shared" si="102"/>
        <v>14129.29668</v>
      </c>
      <c r="BV161" s="198">
        <f t="shared" si="102"/>
        <v>14122.17999</v>
      </c>
      <c r="BW161" s="198">
        <f t="shared" si="102"/>
        <v>13937.40897</v>
      </c>
      <c r="BX161" s="198">
        <f t="shared" si="102"/>
        <v>13974.1489</v>
      </c>
      <c r="BY161" s="198">
        <f t="shared" si="102"/>
        <v>14014.60883</v>
      </c>
      <c r="BZ161" s="198">
        <f t="shared" si="102"/>
        <v>13996.811</v>
      </c>
      <c r="CA161" s="198">
        <f t="shared" si="102"/>
        <v>13930.33829</v>
      </c>
      <c r="CB161" s="198">
        <f t="shared" si="102"/>
        <v>13950.81742</v>
      </c>
      <c r="CC161" s="198">
        <f t="shared" si="102"/>
        <v>13991.82208</v>
      </c>
      <c r="CD161" s="198">
        <f t="shared" si="102"/>
        <v>13975.36667</v>
      </c>
      <c r="CE161" s="198">
        <f t="shared" si="102"/>
        <v>13907.20962</v>
      </c>
      <c r="CF161" s="198">
        <f t="shared" si="102"/>
        <v>13947.7657</v>
      </c>
      <c r="CG161" s="198">
        <f t="shared" si="102"/>
        <v>13987.8223</v>
      </c>
      <c r="CH161" s="198">
        <f t="shared" si="102"/>
        <v>13971.24257</v>
      </c>
      <c r="CI161" s="137"/>
      <c r="CJ161" s="137"/>
      <c r="CK161" s="137"/>
      <c r="CL161" s="137"/>
      <c r="CM161" s="137"/>
      <c r="CN161" s="137"/>
      <c r="CO161" s="137"/>
      <c r="CP161" s="137"/>
    </row>
    <row r="162" ht="15.75" customHeight="1">
      <c r="A162" s="137" t="s">
        <v>89</v>
      </c>
      <c r="B162" s="427"/>
      <c r="C162" s="427">
        <f t="shared" ref="C162:CH162" si="103">C138*C154</f>
        <v>1828.244159</v>
      </c>
      <c r="D162" s="198">
        <f t="shared" si="103"/>
        <v>5090.526571</v>
      </c>
      <c r="E162" s="198">
        <f t="shared" si="103"/>
        <v>4935.752614</v>
      </c>
      <c r="F162" s="427">
        <f t="shared" si="103"/>
        <v>3433.266687</v>
      </c>
      <c r="G162" s="427">
        <f t="shared" si="103"/>
        <v>6168.592023</v>
      </c>
      <c r="H162" s="198">
        <f t="shared" si="103"/>
        <v>2349.900255</v>
      </c>
      <c r="I162" s="198">
        <f t="shared" si="103"/>
        <v>2996.477969</v>
      </c>
      <c r="J162" s="198">
        <f t="shared" si="103"/>
        <v>1144.492178</v>
      </c>
      <c r="K162" s="198">
        <f t="shared" si="103"/>
        <v>5944.138613</v>
      </c>
      <c r="L162" s="198">
        <f t="shared" si="103"/>
        <v>6290.139067</v>
      </c>
      <c r="M162" s="198">
        <f t="shared" si="103"/>
        <v>2493.144551</v>
      </c>
      <c r="N162" s="198">
        <f t="shared" si="103"/>
        <v>6206.526561</v>
      </c>
      <c r="O162" s="198">
        <f t="shared" si="103"/>
        <v>5921.159447</v>
      </c>
      <c r="P162" s="198">
        <f t="shared" si="103"/>
        <v>3738.194533</v>
      </c>
      <c r="Q162" s="198">
        <f t="shared" si="103"/>
        <v>5875.910639</v>
      </c>
      <c r="R162" s="198">
        <f t="shared" si="103"/>
        <v>3472.828618</v>
      </c>
      <c r="S162" s="198">
        <f t="shared" si="103"/>
        <v>1479.282955</v>
      </c>
      <c r="T162" s="198">
        <f t="shared" si="103"/>
        <v>2788.105591</v>
      </c>
      <c r="U162" s="198">
        <f t="shared" si="103"/>
        <v>2608.258434</v>
      </c>
      <c r="V162" s="198">
        <f t="shared" si="103"/>
        <v>4998.158214</v>
      </c>
      <c r="W162" s="198">
        <f t="shared" si="103"/>
        <v>2737.940176</v>
      </c>
      <c r="X162" s="198">
        <f t="shared" si="103"/>
        <v>5707.477446</v>
      </c>
      <c r="Y162" s="198">
        <f t="shared" si="103"/>
        <v>7600.015764</v>
      </c>
      <c r="Z162" s="198">
        <f t="shared" si="103"/>
        <v>6303.622391</v>
      </c>
      <c r="AA162" s="198">
        <f t="shared" si="103"/>
        <v>6138.078919</v>
      </c>
      <c r="AB162" s="198">
        <f t="shared" si="103"/>
        <v>6320.749197</v>
      </c>
      <c r="AC162" s="198">
        <f t="shared" si="103"/>
        <v>6447.175158</v>
      </c>
      <c r="AD162" s="198">
        <f t="shared" si="103"/>
        <v>6495.243637</v>
      </c>
      <c r="AE162" s="198">
        <f t="shared" si="103"/>
        <v>6102.315846</v>
      </c>
      <c r="AF162" s="198">
        <f t="shared" si="103"/>
        <v>6561.681819</v>
      </c>
      <c r="AG162" s="198">
        <f t="shared" si="103"/>
        <v>6424.444708</v>
      </c>
      <c r="AH162" s="198">
        <f t="shared" si="103"/>
        <v>6628.345736</v>
      </c>
      <c r="AI162" s="198">
        <f t="shared" si="103"/>
        <v>6998.68646</v>
      </c>
      <c r="AJ162" s="198">
        <f t="shared" si="103"/>
        <v>6601.953931</v>
      </c>
      <c r="AK162" s="198">
        <f t="shared" si="103"/>
        <v>6643.831034</v>
      </c>
      <c r="AL162" s="198">
        <f t="shared" si="103"/>
        <v>6645.243351</v>
      </c>
      <c r="AM162" s="198">
        <f t="shared" si="103"/>
        <v>5766.787549</v>
      </c>
      <c r="AN162" s="198">
        <f t="shared" si="103"/>
        <v>5765.478444</v>
      </c>
      <c r="AO162" s="198">
        <f t="shared" si="103"/>
        <v>5765.467496</v>
      </c>
      <c r="AP162" s="198">
        <f t="shared" si="103"/>
        <v>5741.887172</v>
      </c>
      <c r="AQ162" s="198">
        <f t="shared" si="103"/>
        <v>5714.900672</v>
      </c>
      <c r="AR162" s="198">
        <f t="shared" si="103"/>
        <v>5785.614267</v>
      </c>
      <c r="AS162" s="198">
        <f t="shared" si="103"/>
        <v>5629.88987</v>
      </c>
      <c r="AT162" s="198">
        <f t="shared" si="103"/>
        <v>5617.658106</v>
      </c>
      <c r="AU162" s="198">
        <f t="shared" si="103"/>
        <v>5592.581857</v>
      </c>
      <c r="AV162" s="198">
        <f t="shared" si="103"/>
        <v>5610.32673</v>
      </c>
      <c r="AW162" s="198">
        <f t="shared" si="103"/>
        <v>5628.448666</v>
      </c>
      <c r="AX162" s="198">
        <f t="shared" si="103"/>
        <v>5617.185293</v>
      </c>
      <c r="AY162" s="198">
        <f t="shared" si="103"/>
        <v>5320.897738</v>
      </c>
      <c r="AZ162" s="198">
        <f t="shared" si="103"/>
        <v>5351.436269</v>
      </c>
      <c r="BA162" s="198">
        <f t="shared" si="103"/>
        <v>5379.009488</v>
      </c>
      <c r="BB162" s="198">
        <f t="shared" si="103"/>
        <v>5376.707158</v>
      </c>
      <c r="BC162" s="198">
        <f t="shared" si="103"/>
        <v>5352.240527</v>
      </c>
      <c r="BD162" s="198">
        <f t="shared" si="103"/>
        <v>5374.585263</v>
      </c>
      <c r="BE162" s="198">
        <f t="shared" si="103"/>
        <v>5372.623903</v>
      </c>
      <c r="BF162" s="198">
        <f t="shared" si="103"/>
        <v>5366.997098</v>
      </c>
      <c r="BG162" s="198">
        <f t="shared" si="103"/>
        <v>5340.207285</v>
      </c>
      <c r="BH162" s="198">
        <f t="shared" si="103"/>
        <v>5360.255402</v>
      </c>
      <c r="BI162" s="198">
        <f t="shared" si="103"/>
        <v>5379.740439</v>
      </c>
      <c r="BJ162" s="198">
        <f t="shared" si="103"/>
        <v>5372.857586</v>
      </c>
      <c r="BK162" s="198">
        <f t="shared" si="103"/>
        <v>5624.015761</v>
      </c>
      <c r="BL162" s="198">
        <f t="shared" si="103"/>
        <v>5933.665254</v>
      </c>
      <c r="BM162" s="198">
        <f t="shared" si="103"/>
        <v>5957.806966</v>
      </c>
      <c r="BN162" s="198">
        <f t="shared" si="103"/>
        <v>5954.621085</v>
      </c>
      <c r="BO162" s="198">
        <f t="shared" si="103"/>
        <v>5940.79196</v>
      </c>
      <c r="BP162" s="198">
        <f t="shared" si="103"/>
        <v>5954.007092</v>
      </c>
      <c r="BQ162" s="198">
        <f t="shared" si="103"/>
        <v>5977.047557</v>
      </c>
      <c r="BR162" s="198">
        <f t="shared" si="103"/>
        <v>5952.860871</v>
      </c>
      <c r="BS162" s="198">
        <f t="shared" si="103"/>
        <v>5938.280688</v>
      </c>
      <c r="BT162" s="198">
        <f t="shared" si="103"/>
        <v>5961.022077</v>
      </c>
      <c r="BU162" s="198">
        <f t="shared" si="103"/>
        <v>5983.26087</v>
      </c>
      <c r="BV162" s="198">
        <f t="shared" si="103"/>
        <v>5979.327863</v>
      </c>
      <c r="BW162" s="198">
        <f t="shared" si="103"/>
        <v>5965.486417</v>
      </c>
      <c r="BX162" s="198">
        <f t="shared" si="103"/>
        <v>5968.413442</v>
      </c>
      <c r="BY162" s="198">
        <f t="shared" si="103"/>
        <v>5979.627471</v>
      </c>
      <c r="BZ162" s="198">
        <f t="shared" si="103"/>
        <v>5967.993018</v>
      </c>
      <c r="CA162" s="198">
        <f t="shared" si="103"/>
        <v>5953.23045</v>
      </c>
      <c r="CB162" s="198">
        <f t="shared" si="103"/>
        <v>5960.386413</v>
      </c>
      <c r="CC162" s="198">
        <f t="shared" si="103"/>
        <v>5977.193013</v>
      </c>
      <c r="CD162" s="198">
        <f t="shared" si="103"/>
        <v>5970.08379</v>
      </c>
      <c r="CE162" s="198">
        <f t="shared" si="103"/>
        <v>5956.176164</v>
      </c>
      <c r="CF162" s="198">
        <f t="shared" si="103"/>
        <v>5974.174651</v>
      </c>
      <c r="CG162" s="198">
        <f t="shared" si="103"/>
        <v>5992.212763</v>
      </c>
      <c r="CH162" s="198">
        <f t="shared" si="103"/>
        <v>5986.215391</v>
      </c>
      <c r="CI162" s="137"/>
      <c r="CJ162" s="137"/>
      <c r="CK162" s="137"/>
      <c r="CL162" s="137"/>
      <c r="CM162" s="137"/>
      <c r="CN162" s="137"/>
      <c r="CO162" s="137"/>
      <c r="CP162" s="137"/>
    </row>
    <row r="163" ht="15.75" customHeight="1">
      <c r="A163" s="137" t="s">
        <v>94</v>
      </c>
      <c r="B163" s="427"/>
      <c r="C163" s="427">
        <f t="shared" ref="C163:CH163" si="104">C139*C155</f>
        <v>-362.1465236</v>
      </c>
      <c r="D163" s="427">
        <f t="shared" si="104"/>
        <v>-1769.505968</v>
      </c>
      <c r="E163" s="427">
        <f t="shared" si="104"/>
        <v>2075.55638</v>
      </c>
      <c r="F163" s="427">
        <f t="shared" si="104"/>
        <v>-1619.628576</v>
      </c>
      <c r="G163" s="427">
        <f t="shared" si="104"/>
        <v>-1619.332456</v>
      </c>
      <c r="H163" s="427">
        <f t="shared" si="104"/>
        <v>2097.949343</v>
      </c>
      <c r="I163" s="427">
        <f t="shared" si="104"/>
        <v>-712.1220919</v>
      </c>
      <c r="J163" s="427">
        <f t="shared" si="104"/>
        <v>800.8433098</v>
      </c>
      <c r="K163" s="427">
        <f t="shared" si="104"/>
        <v>463.5883349</v>
      </c>
      <c r="L163" s="198">
        <f t="shared" si="104"/>
        <v>-95.74578983</v>
      </c>
      <c r="M163" s="198">
        <f t="shared" si="104"/>
        <v>-2313.655279</v>
      </c>
      <c r="N163" s="427">
        <f t="shared" si="104"/>
        <v>4023.196005</v>
      </c>
      <c r="O163" s="198">
        <f t="shared" si="104"/>
        <v>3843.181177</v>
      </c>
      <c r="P163" s="198">
        <f t="shared" si="104"/>
        <v>1429.104044</v>
      </c>
      <c r="Q163" s="198">
        <f t="shared" si="104"/>
        <v>8831.585996</v>
      </c>
      <c r="R163" s="198">
        <f t="shared" si="104"/>
        <v>5940.727483</v>
      </c>
      <c r="S163" s="198">
        <f t="shared" si="104"/>
        <v>2666.174794</v>
      </c>
      <c r="T163" s="198">
        <f t="shared" si="104"/>
        <v>4499.506882</v>
      </c>
      <c r="U163" s="198">
        <f t="shared" si="104"/>
        <v>6072.000177</v>
      </c>
      <c r="V163" s="198">
        <f t="shared" si="104"/>
        <v>6220.405699</v>
      </c>
      <c r="W163" s="198">
        <f t="shared" si="104"/>
        <v>6498.001834</v>
      </c>
      <c r="X163" s="198">
        <f t="shared" si="104"/>
        <v>5123.731351</v>
      </c>
      <c r="Y163" s="198">
        <f t="shared" si="104"/>
        <v>1395.819575</v>
      </c>
      <c r="Z163" s="198">
        <f t="shared" si="104"/>
        <v>2880.35644</v>
      </c>
      <c r="AA163" s="198">
        <f t="shared" si="104"/>
        <v>3032.506217</v>
      </c>
      <c r="AB163" s="198">
        <f t="shared" si="104"/>
        <v>3130.44891</v>
      </c>
      <c r="AC163" s="198">
        <f t="shared" si="104"/>
        <v>3201.55725</v>
      </c>
      <c r="AD163" s="198">
        <f t="shared" si="104"/>
        <v>3232.063414</v>
      </c>
      <c r="AE163" s="198">
        <f t="shared" si="104"/>
        <v>3228.011846</v>
      </c>
      <c r="AF163" s="198">
        <f t="shared" si="104"/>
        <v>3334.323369</v>
      </c>
      <c r="AG163" s="198">
        <f t="shared" si="104"/>
        <v>3369.476801</v>
      </c>
      <c r="AH163" s="198">
        <f t="shared" si="104"/>
        <v>3372.901243</v>
      </c>
      <c r="AI163" s="198">
        <f t="shared" si="104"/>
        <v>3275.593607</v>
      </c>
      <c r="AJ163" s="198">
        <f t="shared" si="104"/>
        <v>3280.657218</v>
      </c>
      <c r="AK163" s="198">
        <f t="shared" si="104"/>
        <v>3305.322527</v>
      </c>
      <c r="AL163" s="198">
        <f t="shared" si="104"/>
        <v>3308.577769</v>
      </c>
      <c r="AM163" s="198">
        <f t="shared" si="104"/>
        <v>3247.278321</v>
      </c>
      <c r="AN163" s="198">
        <f t="shared" si="104"/>
        <v>3259.039122</v>
      </c>
      <c r="AO163" s="198">
        <f t="shared" si="104"/>
        <v>3272.271363</v>
      </c>
      <c r="AP163" s="198">
        <f t="shared" si="104"/>
        <v>3268.707097</v>
      </c>
      <c r="AQ163" s="198">
        <f t="shared" si="104"/>
        <v>3184.897747</v>
      </c>
      <c r="AR163" s="198">
        <f t="shared" si="104"/>
        <v>3230.895126</v>
      </c>
      <c r="AS163" s="198">
        <f t="shared" si="104"/>
        <v>3245.703227</v>
      </c>
      <c r="AT163" s="198">
        <f t="shared" si="104"/>
        <v>3242.453541</v>
      </c>
      <c r="AU163" s="198">
        <f t="shared" si="104"/>
        <v>3226.386305</v>
      </c>
      <c r="AV163" s="198">
        <f t="shared" si="104"/>
        <v>3238.90634</v>
      </c>
      <c r="AW163" s="198">
        <f t="shared" si="104"/>
        <v>3251.169127</v>
      </c>
      <c r="AX163" s="198">
        <f t="shared" si="104"/>
        <v>3246.184011</v>
      </c>
      <c r="AY163" s="198">
        <f t="shared" si="104"/>
        <v>3314.206832</v>
      </c>
      <c r="AZ163" s="198">
        <f t="shared" si="104"/>
        <v>3329.593993</v>
      </c>
      <c r="BA163" s="198">
        <f t="shared" si="104"/>
        <v>3344.389786</v>
      </c>
      <c r="BB163" s="198">
        <f t="shared" si="104"/>
        <v>3341.353913</v>
      </c>
      <c r="BC163" s="198">
        <f t="shared" si="104"/>
        <v>3323.796812</v>
      </c>
      <c r="BD163" s="198">
        <f t="shared" si="104"/>
        <v>3337.106669</v>
      </c>
      <c r="BE163" s="198">
        <f t="shared" si="104"/>
        <v>3335.543503</v>
      </c>
      <c r="BF163" s="198">
        <f t="shared" si="104"/>
        <v>3331.899629</v>
      </c>
      <c r="BG163" s="198">
        <f t="shared" si="104"/>
        <v>3313.64454</v>
      </c>
      <c r="BH163" s="198">
        <f t="shared" si="104"/>
        <v>3326.275661</v>
      </c>
      <c r="BI163" s="198">
        <f t="shared" si="104"/>
        <v>3338.626192</v>
      </c>
      <c r="BJ163" s="198">
        <f t="shared" si="104"/>
        <v>3334.573541</v>
      </c>
      <c r="BK163" s="198">
        <f t="shared" si="104"/>
        <v>3194.517428</v>
      </c>
      <c r="BL163" s="198">
        <f t="shared" si="104"/>
        <v>1241.412868</v>
      </c>
      <c r="BM163" s="198">
        <f t="shared" si="104"/>
        <v>567.2763608</v>
      </c>
      <c r="BN163" s="198">
        <f t="shared" si="104"/>
        <v>584.8647167</v>
      </c>
      <c r="BO163" s="198">
        <f t="shared" si="104"/>
        <v>475.8789589</v>
      </c>
      <c r="BP163" s="198">
        <f t="shared" si="104"/>
        <v>503.8930665</v>
      </c>
      <c r="BQ163" s="198">
        <f t="shared" si="104"/>
        <v>537.7446238</v>
      </c>
      <c r="BR163" s="198">
        <f t="shared" si="104"/>
        <v>541.8659045</v>
      </c>
      <c r="BS163" s="198">
        <f t="shared" si="104"/>
        <v>430.8721627</v>
      </c>
      <c r="BT163" s="198">
        <f t="shared" si="104"/>
        <v>464.6430004</v>
      </c>
      <c r="BU163" s="198">
        <f t="shared" si="104"/>
        <v>325.1710223</v>
      </c>
      <c r="BV163" s="198">
        <f t="shared" si="104"/>
        <v>343.067191</v>
      </c>
      <c r="BW163" s="198">
        <f t="shared" si="104"/>
        <v>91.63516292</v>
      </c>
      <c r="BX163" s="198">
        <f t="shared" si="104"/>
        <v>96.76071529</v>
      </c>
      <c r="BY163" s="198">
        <f t="shared" si="104"/>
        <v>107.6954553</v>
      </c>
      <c r="BZ163" s="198">
        <f t="shared" si="104"/>
        <v>108.190485</v>
      </c>
      <c r="CA163" s="198">
        <f t="shared" si="104"/>
        <v>-24.34827778</v>
      </c>
      <c r="CB163" s="198">
        <f t="shared" si="104"/>
        <v>-6.768984957</v>
      </c>
      <c r="CC163" s="198">
        <f t="shared" si="104"/>
        <v>18.43017217</v>
      </c>
      <c r="CD163" s="198">
        <f t="shared" si="104"/>
        <v>29.85511574</v>
      </c>
      <c r="CE163" s="198">
        <f t="shared" si="104"/>
        <v>-97.76026202</v>
      </c>
      <c r="CF163" s="198">
        <f t="shared" si="104"/>
        <v>-68.5953393</v>
      </c>
      <c r="CG163" s="198">
        <f t="shared" si="104"/>
        <v>-39.01358517</v>
      </c>
      <c r="CH163" s="198">
        <f t="shared" si="104"/>
        <v>-24.18184783</v>
      </c>
      <c r="CI163" s="137"/>
      <c r="CJ163" s="137"/>
      <c r="CK163" s="137"/>
      <c r="CL163" s="137"/>
      <c r="CM163" s="137"/>
      <c r="CN163" s="137"/>
      <c r="CO163" s="137"/>
      <c r="CP163" s="137"/>
    </row>
    <row r="164" ht="15.75" customHeight="1">
      <c r="A164" s="137" t="s">
        <v>96</v>
      </c>
      <c r="B164" s="427"/>
      <c r="C164" s="427">
        <f t="shared" ref="C164:CH164" si="105">C140*C156</f>
        <v>101.4104631</v>
      </c>
      <c r="D164" s="427">
        <f t="shared" si="105"/>
        <v>1774.743124</v>
      </c>
      <c r="E164" s="427">
        <f t="shared" si="105"/>
        <v>1216.746021</v>
      </c>
      <c r="F164" s="427">
        <f t="shared" si="105"/>
        <v>-1043.647085</v>
      </c>
      <c r="G164" s="427">
        <f t="shared" si="105"/>
        <v>1658.169598</v>
      </c>
      <c r="H164" s="427">
        <f t="shared" si="105"/>
        <v>1538.302318</v>
      </c>
      <c r="I164" s="427">
        <f t="shared" si="105"/>
        <v>-82.56231003</v>
      </c>
      <c r="J164" s="427">
        <f t="shared" si="105"/>
        <v>-451.8558827</v>
      </c>
      <c r="K164" s="427">
        <f t="shared" si="105"/>
        <v>-5487.02242</v>
      </c>
      <c r="L164" s="198">
        <f t="shared" si="105"/>
        <v>1676.26015</v>
      </c>
      <c r="M164" s="198">
        <f t="shared" si="105"/>
        <v>-651.2470864</v>
      </c>
      <c r="N164" s="198">
        <f t="shared" si="105"/>
        <v>-8713.073348</v>
      </c>
      <c r="O164" s="198">
        <f t="shared" si="105"/>
        <v>238.5270773</v>
      </c>
      <c r="P164" s="198">
        <f t="shared" si="105"/>
        <v>-959.8010595</v>
      </c>
      <c r="Q164" s="198">
        <f t="shared" si="105"/>
        <v>-1990.166584</v>
      </c>
      <c r="R164" s="198">
        <f t="shared" si="105"/>
        <v>-1182.276041</v>
      </c>
      <c r="S164" s="198">
        <f t="shared" si="105"/>
        <v>-483.5539385</v>
      </c>
      <c r="T164" s="198">
        <f t="shared" si="105"/>
        <v>1174.032295</v>
      </c>
      <c r="U164" s="198">
        <f t="shared" si="105"/>
        <v>2112.124416</v>
      </c>
      <c r="V164" s="198">
        <f t="shared" si="105"/>
        <v>5509.20775</v>
      </c>
      <c r="W164" s="198">
        <f t="shared" si="105"/>
        <v>986.5468809</v>
      </c>
      <c r="X164" s="198">
        <f t="shared" si="105"/>
        <v>-948.0106766</v>
      </c>
      <c r="Y164" s="198">
        <f t="shared" si="105"/>
        <v>156.2119565</v>
      </c>
      <c r="Z164" s="198">
        <f t="shared" si="105"/>
        <v>39101.63034</v>
      </c>
      <c r="AA164" s="198">
        <f t="shared" si="105"/>
        <v>39193.20909</v>
      </c>
      <c r="AB164" s="198">
        <f t="shared" si="105"/>
        <v>40134.8817</v>
      </c>
      <c r="AC164" s="198">
        <f t="shared" si="105"/>
        <v>40821.31565</v>
      </c>
      <c r="AD164" s="198">
        <f t="shared" si="105"/>
        <v>41041.38997</v>
      </c>
      <c r="AE164" s="198">
        <f t="shared" si="105"/>
        <v>40893.41656</v>
      </c>
      <c r="AF164" s="198">
        <f t="shared" si="105"/>
        <v>41320.95511</v>
      </c>
      <c r="AG164" s="198">
        <f t="shared" si="105"/>
        <v>41692.31315</v>
      </c>
      <c r="AH164" s="198">
        <f t="shared" si="105"/>
        <v>41683.90047</v>
      </c>
      <c r="AI164" s="198">
        <f t="shared" si="105"/>
        <v>41432.1857</v>
      </c>
      <c r="AJ164" s="198">
        <f t="shared" si="105"/>
        <v>41437.26825</v>
      </c>
      <c r="AK164" s="198">
        <f t="shared" si="105"/>
        <v>41690.31716</v>
      </c>
      <c r="AL164" s="198">
        <f t="shared" si="105"/>
        <v>41683.94271</v>
      </c>
      <c r="AM164" s="198">
        <f t="shared" si="105"/>
        <v>42951.54895</v>
      </c>
      <c r="AN164" s="198">
        <f t="shared" si="105"/>
        <v>43056.94177</v>
      </c>
      <c r="AO164" s="198">
        <f t="shared" si="105"/>
        <v>43165.87069</v>
      </c>
      <c r="AP164" s="198">
        <f t="shared" si="105"/>
        <v>43072.37158</v>
      </c>
      <c r="AQ164" s="198">
        <f t="shared" si="105"/>
        <v>42868.15018</v>
      </c>
      <c r="AR164" s="198">
        <f t="shared" si="105"/>
        <v>42992.32604</v>
      </c>
      <c r="AS164" s="198">
        <f t="shared" si="105"/>
        <v>43129.92871</v>
      </c>
      <c r="AT164" s="198">
        <f t="shared" si="105"/>
        <v>43047.27283</v>
      </c>
      <c r="AU164" s="198">
        <f t="shared" si="105"/>
        <v>42834.40782</v>
      </c>
      <c r="AV164" s="198">
        <f t="shared" si="105"/>
        <v>42951.84308</v>
      </c>
      <c r="AW164" s="198">
        <f t="shared" si="105"/>
        <v>43067.8528</v>
      </c>
      <c r="AX164" s="198">
        <f t="shared" si="105"/>
        <v>42971.12738</v>
      </c>
      <c r="AY164" s="198">
        <f t="shared" si="105"/>
        <v>43525.49759</v>
      </c>
      <c r="AZ164" s="198">
        <f t="shared" si="105"/>
        <v>36438.0758</v>
      </c>
      <c r="BA164" s="198">
        <f t="shared" si="105"/>
        <v>36574.80282</v>
      </c>
      <c r="BB164" s="198">
        <f t="shared" si="105"/>
        <v>36499.49644</v>
      </c>
      <c r="BC164" s="198">
        <f t="shared" si="105"/>
        <v>36008.20202</v>
      </c>
      <c r="BD164" s="198">
        <f t="shared" si="105"/>
        <v>36132.8122</v>
      </c>
      <c r="BE164" s="198">
        <f t="shared" si="105"/>
        <v>36079.40327</v>
      </c>
      <c r="BF164" s="198">
        <f t="shared" si="105"/>
        <v>36001.85844</v>
      </c>
      <c r="BG164" s="198">
        <f t="shared" si="105"/>
        <v>35492.7817</v>
      </c>
      <c r="BH164" s="198">
        <f t="shared" si="105"/>
        <v>35611.90531</v>
      </c>
      <c r="BI164" s="198">
        <f t="shared" si="105"/>
        <v>35728.10924</v>
      </c>
      <c r="BJ164" s="198">
        <f t="shared" si="105"/>
        <v>35646.98776</v>
      </c>
      <c r="BK164" s="198">
        <f t="shared" si="105"/>
        <v>35054.69475</v>
      </c>
      <c r="BL164" s="198">
        <f t="shared" si="105"/>
        <v>35171.32766</v>
      </c>
      <c r="BM164" s="198">
        <f t="shared" si="105"/>
        <v>35275.41124</v>
      </c>
      <c r="BN164" s="198">
        <f t="shared" si="105"/>
        <v>35195.28482</v>
      </c>
      <c r="BO164" s="198">
        <f t="shared" si="105"/>
        <v>34664.66891</v>
      </c>
      <c r="BP164" s="198">
        <f t="shared" si="105"/>
        <v>34699.32637</v>
      </c>
      <c r="BQ164" s="198">
        <f t="shared" si="105"/>
        <v>34802.26282</v>
      </c>
      <c r="BR164" s="198">
        <f t="shared" si="105"/>
        <v>34584.1963</v>
      </c>
      <c r="BS164" s="198">
        <f t="shared" si="105"/>
        <v>34036.34523</v>
      </c>
      <c r="BT164" s="198">
        <f t="shared" si="105"/>
        <v>34139.87835</v>
      </c>
      <c r="BU164" s="198">
        <f t="shared" si="105"/>
        <v>34240.80073</v>
      </c>
      <c r="BV164" s="198">
        <f t="shared" si="105"/>
        <v>34163.98351</v>
      </c>
      <c r="BW164" s="198">
        <f t="shared" si="105"/>
        <v>33605.60962</v>
      </c>
      <c r="BX164" s="198">
        <f t="shared" si="105"/>
        <v>33641.91943</v>
      </c>
      <c r="BY164" s="198">
        <f t="shared" si="105"/>
        <v>33726.39327</v>
      </c>
      <c r="BZ164" s="198">
        <f t="shared" si="105"/>
        <v>33640.77007</v>
      </c>
      <c r="CA164" s="198">
        <f t="shared" si="105"/>
        <v>33093.02164</v>
      </c>
      <c r="CB164" s="198">
        <f t="shared" si="105"/>
        <v>33117.13598</v>
      </c>
      <c r="CC164" s="198">
        <f t="shared" si="105"/>
        <v>33201.47394</v>
      </c>
      <c r="CD164" s="198">
        <f t="shared" si="105"/>
        <v>33118.71055</v>
      </c>
      <c r="CE164" s="198">
        <f t="shared" si="105"/>
        <v>32552.63058</v>
      </c>
      <c r="CF164" s="198">
        <f t="shared" si="105"/>
        <v>32636.04382</v>
      </c>
      <c r="CG164" s="198">
        <f t="shared" si="105"/>
        <v>32718.44554</v>
      </c>
      <c r="CH164" s="198">
        <f t="shared" si="105"/>
        <v>32636.10944</v>
      </c>
      <c r="CI164" s="137"/>
      <c r="CJ164" s="137"/>
      <c r="CK164" s="137"/>
      <c r="CL164" s="137"/>
      <c r="CM164" s="137"/>
      <c r="CN164" s="137"/>
      <c r="CO164" s="137"/>
      <c r="CP164" s="137"/>
    </row>
    <row r="165" ht="15.75" customHeight="1">
      <c r="A165" s="357" t="s">
        <v>671</v>
      </c>
      <c r="B165" s="428"/>
      <c r="C165" s="428">
        <f t="shared" ref="C165:CH165" si="106">C141*C157</f>
        <v>3266.160095</v>
      </c>
      <c r="D165" s="428">
        <f t="shared" si="106"/>
        <v>5584.119152</v>
      </c>
      <c r="E165" s="428">
        <f t="shared" si="106"/>
        <v>6878.118587</v>
      </c>
      <c r="F165" s="428">
        <f t="shared" si="106"/>
        <v>6322.403408</v>
      </c>
      <c r="G165" s="428">
        <f t="shared" si="106"/>
        <v>7436.464302</v>
      </c>
      <c r="H165" s="428">
        <f t="shared" si="106"/>
        <v>5952.346724</v>
      </c>
      <c r="I165" s="428">
        <f t="shared" si="106"/>
        <v>4578.611826</v>
      </c>
      <c r="J165" s="428">
        <f t="shared" si="106"/>
        <v>5976.02472</v>
      </c>
      <c r="K165" s="428">
        <f t="shared" si="106"/>
        <v>7244.270327</v>
      </c>
      <c r="L165" s="428">
        <f t="shared" si="106"/>
        <v>5390.502241</v>
      </c>
      <c r="M165" s="428">
        <f t="shared" si="106"/>
        <v>5179.772299</v>
      </c>
      <c r="N165" s="428">
        <f t="shared" si="106"/>
        <v>6341.857327</v>
      </c>
      <c r="O165" s="428">
        <f t="shared" si="106"/>
        <v>5150.723376</v>
      </c>
      <c r="P165" s="428">
        <f t="shared" si="106"/>
        <v>4119.453239</v>
      </c>
      <c r="Q165" s="428">
        <f t="shared" si="106"/>
        <v>7277.213118</v>
      </c>
      <c r="R165" s="428">
        <f t="shared" si="106"/>
        <v>4721.154507</v>
      </c>
      <c r="S165" s="428">
        <f t="shared" si="106"/>
        <v>4678.19046</v>
      </c>
      <c r="T165" s="428">
        <f t="shared" si="106"/>
        <v>5279.142009</v>
      </c>
      <c r="U165" s="428">
        <f t="shared" si="106"/>
        <v>6039.293133</v>
      </c>
      <c r="V165" s="428">
        <f t="shared" si="106"/>
        <v>6558.062892</v>
      </c>
      <c r="W165" s="428">
        <f t="shared" si="106"/>
        <v>6942.694143</v>
      </c>
      <c r="X165" s="428">
        <f t="shared" si="106"/>
        <v>5253.919612</v>
      </c>
      <c r="Y165" s="428">
        <f t="shared" si="106"/>
        <v>6718.130411</v>
      </c>
      <c r="Z165" s="428">
        <f t="shared" si="106"/>
        <v>12506.09155</v>
      </c>
      <c r="AA165" s="428">
        <f t="shared" si="106"/>
        <v>12940.82557</v>
      </c>
      <c r="AB165" s="428">
        <f t="shared" si="106"/>
        <v>13073.16115</v>
      </c>
      <c r="AC165" s="428">
        <f t="shared" si="106"/>
        <v>12739.77109</v>
      </c>
      <c r="AD165" s="428">
        <f t="shared" si="106"/>
        <v>12476.77638</v>
      </c>
      <c r="AE165" s="428">
        <f t="shared" si="106"/>
        <v>12964.89616</v>
      </c>
      <c r="AF165" s="428">
        <f t="shared" si="106"/>
        <v>13280.20392</v>
      </c>
      <c r="AG165" s="428">
        <f t="shared" si="106"/>
        <v>13405.46096</v>
      </c>
      <c r="AH165" s="428">
        <f t="shared" si="106"/>
        <v>13465.80244</v>
      </c>
      <c r="AI165" s="428">
        <f t="shared" si="106"/>
        <v>13263.71574</v>
      </c>
      <c r="AJ165" s="428">
        <f t="shared" si="106"/>
        <v>12675.75839</v>
      </c>
      <c r="AK165" s="428">
        <f t="shared" si="106"/>
        <v>12639.85222</v>
      </c>
      <c r="AL165" s="428">
        <f t="shared" si="106"/>
        <v>12533.02791</v>
      </c>
      <c r="AM165" s="428">
        <f t="shared" si="106"/>
        <v>12824.69242</v>
      </c>
      <c r="AN165" s="428">
        <f t="shared" si="106"/>
        <v>12806.26148</v>
      </c>
      <c r="AO165" s="428">
        <f t="shared" si="106"/>
        <v>12738.73181</v>
      </c>
      <c r="AP165" s="428">
        <f t="shared" si="106"/>
        <v>12723.47783</v>
      </c>
      <c r="AQ165" s="428">
        <f t="shared" si="106"/>
        <v>12627.17782</v>
      </c>
      <c r="AR165" s="428">
        <f t="shared" si="106"/>
        <v>12663.37453</v>
      </c>
      <c r="AS165" s="428">
        <f t="shared" si="106"/>
        <v>12540.1696</v>
      </c>
      <c r="AT165" s="428">
        <f t="shared" si="106"/>
        <v>12465.94699</v>
      </c>
      <c r="AU165" s="428">
        <f t="shared" si="106"/>
        <v>12362.33518</v>
      </c>
      <c r="AV165" s="428">
        <f t="shared" si="106"/>
        <v>12308.15184</v>
      </c>
      <c r="AW165" s="428">
        <f t="shared" si="106"/>
        <v>12233.42224</v>
      </c>
      <c r="AX165" s="428">
        <f t="shared" si="106"/>
        <v>12222.16068</v>
      </c>
      <c r="AY165" s="428">
        <f t="shared" si="106"/>
        <v>12155.98735</v>
      </c>
      <c r="AZ165" s="428">
        <f t="shared" si="106"/>
        <v>12024.50894</v>
      </c>
      <c r="BA165" s="428">
        <f t="shared" si="106"/>
        <v>11965.89361</v>
      </c>
      <c r="BB165" s="428">
        <f t="shared" si="106"/>
        <v>11842.74705</v>
      </c>
      <c r="BC165" s="428">
        <f t="shared" si="106"/>
        <v>11775.82625</v>
      </c>
      <c r="BD165" s="428">
        <f t="shared" si="106"/>
        <v>11739.27229</v>
      </c>
      <c r="BE165" s="428">
        <f t="shared" si="106"/>
        <v>11681.59257</v>
      </c>
      <c r="BF165" s="428">
        <f t="shared" si="106"/>
        <v>11663.55587</v>
      </c>
      <c r="BG165" s="428">
        <f t="shared" si="106"/>
        <v>11554.60393</v>
      </c>
      <c r="BH165" s="428">
        <f t="shared" si="106"/>
        <v>11499.06458</v>
      </c>
      <c r="BI165" s="428">
        <f t="shared" si="106"/>
        <v>11498.73851</v>
      </c>
      <c r="BJ165" s="428">
        <f t="shared" si="106"/>
        <v>11408.44704</v>
      </c>
      <c r="BK165" s="428">
        <f t="shared" si="106"/>
        <v>11499.29077</v>
      </c>
      <c r="BL165" s="428">
        <f t="shared" si="106"/>
        <v>11332.48202</v>
      </c>
      <c r="BM165" s="428">
        <f t="shared" si="106"/>
        <v>11219.92515</v>
      </c>
      <c r="BN165" s="428">
        <f t="shared" si="106"/>
        <v>11185.19417</v>
      </c>
      <c r="BO165" s="428">
        <f t="shared" si="106"/>
        <v>11049.87485</v>
      </c>
      <c r="BP165" s="428">
        <f t="shared" si="106"/>
        <v>11039.95425</v>
      </c>
      <c r="BQ165" s="428">
        <f t="shared" si="106"/>
        <v>10972.75157</v>
      </c>
      <c r="BR165" s="428">
        <f t="shared" si="106"/>
        <v>10924.90821</v>
      </c>
      <c r="BS165" s="428">
        <f t="shared" si="106"/>
        <v>10784.72687</v>
      </c>
      <c r="BT165" s="428">
        <f t="shared" si="106"/>
        <v>10774.80059</v>
      </c>
      <c r="BU165" s="428">
        <f t="shared" si="106"/>
        <v>10676.38068</v>
      </c>
      <c r="BV165" s="428">
        <f t="shared" si="106"/>
        <v>10683.93822</v>
      </c>
      <c r="BW165" s="428">
        <f t="shared" si="106"/>
        <v>10479.31333</v>
      </c>
      <c r="BX165" s="428">
        <f t="shared" si="106"/>
        <v>10536.82643</v>
      </c>
      <c r="BY165" s="428">
        <f t="shared" si="106"/>
        <v>10631.34376</v>
      </c>
      <c r="BZ165" s="428">
        <f t="shared" si="106"/>
        <v>10588.73178</v>
      </c>
      <c r="CA165" s="428">
        <f t="shared" si="106"/>
        <v>10472.83468</v>
      </c>
      <c r="CB165" s="428">
        <f t="shared" si="106"/>
        <v>10414.41327</v>
      </c>
      <c r="CC165" s="428">
        <f t="shared" si="106"/>
        <v>10390.99558</v>
      </c>
      <c r="CD165" s="428">
        <f t="shared" si="106"/>
        <v>10401.65132</v>
      </c>
      <c r="CE165" s="428">
        <f t="shared" si="106"/>
        <v>10244.64503</v>
      </c>
      <c r="CF165" s="428">
        <f t="shared" si="106"/>
        <v>10255.31315</v>
      </c>
      <c r="CG165" s="428">
        <f t="shared" si="106"/>
        <v>10198.63829</v>
      </c>
      <c r="CH165" s="428">
        <f t="shared" si="106"/>
        <v>10158.94006</v>
      </c>
      <c r="CI165" s="137"/>
      <c r="CJ165" s="137"/>
      <c r="CK165" s="137"/>
      <c r="CL165" s="137"/>
      <c r="CM165" s="137"/>
      <c r="CN165" s="137"/>
      <c r="CO165" s="137"/>
      <c r="CP165" s="137"/>
    </row>
    <row r="166" ht="15.75"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356">
        <f>V142*V158</f>
        <v>6373.92</v>
      </c>
      <c r="W166" s="137"/>
      <c r="X166" s="137"/>
      <c r="Y166" s="137"/>
      <c r="Z166" s="137"/>
      <c r="AA166" s="137"/>
      <c r="AB166" s="137"/>
      <c r="AC166" s="137"/>
      <c r="AD166" s="137"/>
      <c r="AE166" s="137"/>
      <c r="AF166" s="137"/>
      <c r="AG166" s="137"/>
      <c r="AH166" s="137"/>
      <c r="AI166" s="137"/>
      <c r="AJ166" s="137"/>
      <c r="AK166" s="137"/>
      <c r="AL166" s="137"/>
      <c r="AM166" s="137"/>
      <c r="AN166" s="137"/>
      <c r="AO166" s="137"/>
      <c r="AP166" s="137"/>
      <c r="AQ166" s="137"/>
      <c r="AR166" s="137"/>
      <c r="AS166" s="137"/>
      <c r="AT166" s="137"/>
      <c r="AU166" s="137"/>
      <c r="AV166" s="137"/>
      <c r="AW166" s="137"/>
      <c r="AX166" s="137"/>
      <c r="AY166" s="137"/>
      <c r="AZ166" s="137"/>
      <c r="BA166" s="137"/>
      <c r="BB166" s="137"/>
      <c r="BC166" s="137"/>
      <c r="BD166" s="137"/>
      <c r="BE166" s="137"/>
      <c r="BF166" s="137"/>
      <c r="BG166" s="137"/>
      <c r="BH166" s="137"/>
      <c r="BI166" s="137"/>
      <c r="BJ166" s="137"/>
      <c r="BK166" s="137"/>
      <c r="BL166" s="137"/>
      <c r="BM166" s="137"/>
      <c r="BN166" s="137"/>
      <c r="BO166" s="137"/>
      <c r="BP166" s="137"/>
      <c r="BQ166" s="137"/>
      <c r="BR166" s="137"/>
      <c r="BS166" s="137"/>
      <c r="BT166" s="137"/>
      <c r="BU166" s="137"/>
      <c r="BV166" s="137"/>
      <c r="BW166" s="137"/>
      <c r="BX166" s="137"/>
      <c r="BY166" s="137"/>
      <c r="BZ166" s="137"/>
      <c r="CA166" s="137"/>
      <c r="CB166" s="137"/>
      <c r="CC166" s="137"/>
      <c r="CD166" s="137"/>
      <c r="CE166" s="137"/>
      <c r="CF166" s="137"/>
      <c r="CG166" s="137"/>
      <c r="CH166" s="137"/>
      <c r="CI166" s="137"/>
      <c r="CJ166" s="137"/>
      <c r="CK166" s="137"/>
      <c r="CL166" s="137"/>
      <c r="CM166" s="137"/>
      <c r="CN166" s="137"/>
      <c r="CO166" s="137"/>
      <c r="CP166" s="137"/>
    </row>
    <row r="167" ht="15.75" customHeight="1">
      <c r="A167" s="137" t="s">
        <v>129</v>
      </c>
      <c r="B167" s="198"/>
      <c r="C167" s="198">
        <f t="shared" ref="C167:CH167" si="107">C159/C61</f>
        <v>99420.0701</v>
      </c>
      <c r="D167" s="198">
        <f t="shared" si="107"/>
        <v>84168.55054</v>
      </c>
      <c r="E167" s="198">
        <f t="shared" si="107"/>
        <v>133224.5834</v>
      </c>
      <c r="F167" s="198">
        <f t="shared" si="107"/>
        <v>111267.7949</v>
      </c>
      <c r="G167" s="198">
        <f t="shared" si="107"/>
        <v>148439.4219</v>
      </c>
      <c r="H167" s="198">
        <f t="shared" si="107"/>
        <v>114135.7907</v>
      </c>
      <c r="I167" s="198">
        <f t="shared" si="107"/>
        <v>89059.86281</v>
      </c>
      <c r="J167" s="198">
        <f t="shared" si="107"/>
        <v>76165.16875</v>
      </c>
      <c r="K167" s="198">
        <f t="shared" si="107"/>
        <v>72359.13012</v>
      </c>
      <c r="L167" s="198">
        <f t="shared" si="107"/>
        <v>22436.9559</v>
      </c>
      <c r="M167" s="198">
        <f t="shared" si="107"/>
        <v>84935.28477</v>
      </c>
      <c r="N167" s="198">
        <f t="shared" si="107"/>
        <v>23291.4192</v>
      </c>
      <c r="O167" s="198">
        <f t="shared" si="107"/>
        <v>35052.04114</v>
      </c>
      <c r="P167" s="198">
        <f t="shared" si="107"/>
        <v>53208.59616</v>
      </c>
      <c r="Q167" s="198">
        <f t="shared" si="107"/>
        <v>120258.9214</v>
      </c>
      <c r="R167" s="198">
        <f t="shared" si="107"/>
        <v>31610.85725</v>
      </c>
      <c r="S167" s="198">
        <f t="shared" si="107"/>
        <v>80155.34625</v>
      </c>
      <c r="T167" s="198">
        <f t="shared" si="107"/>
        <v>107218.522</v>
      </c>
      <c r="U167" s="198">
        <f t="shared" si="107"/>
        <v>132483.3534</v>
      </c>
      <c r="V167" s="198">
        <f t="shared" si="107"/>
        <v>144538.5616</v>
      </c>
      <c r="W167" s="198">
        <f t="shared" si="107"/>
        <v>99260.45535</v>
      </c>
      <c r="X167" s="198">
        <f t="shared" si="107"/>
        <v>147645.5896</v>
      </c>
      <c r="Y167" s="198">
        <f t="shared" si="107"/>
        <v>100907.9389</v>
      </c>
      <c r="Z167" s="198">
        <f t="shared" si="107"/>
        <v>138767.7239</v>
      </c>
      <c r="AA167" s="198">
        <f t="shared" si="107"/>
        <v>133631.1646</v>
      </c>
      <c r="AB167" s="198">
        <f t="shared" si="107"/>
        <v>144324.6626</v>
      </c>
      <c r="AC167" s="198">
        <f t="shared" si="107"/>
        <v>154090.2964</v>
      </c>
      <c r="AD167" s="198">
        <f t="shared" si="107"/>
        <v>165914.6447</v>
      </c>
      <c r="AE167" s="198">
        <f t="shared" si="107"/>
        <v>176485.1489</v>
      </c>
      <c r="AF167" s="198">
        <f t="shared" si="107"/>
        <v>192845.7683</v>
      </c>
      <c r="AG167" s="198">
        <f t="shared" si="107"/>
        <v>204557.7836</v>
      </c>
      <c r="AH167" s="198">
        <f t="shared" si="107"/>
        <v>218796.191</v>
      </c>
      <c r="AI167" s="198">
        <f t="shared" si="107"/>
        <v>232728.8161</v>
      </c>
      <c r="AJ167" s="198">
        <f t="shared" si="107"/>
        <v>249458.7839</v>
      </c>
      <c r="AK167" s="198">
        <f t="shared" si="107"/>
        <v>268156.8327</v>
      </c>
      <c r="AL167" s="198">
        <f t="shared" si="107"/>
        <v>285759.8106</v>
      </c>
      <c r="AM167" s="198">
        <f t="shared" si="107"/>
        <v>233124.438</v>
      </c>
      <c r="AN167" s="198">
        <f t="shared" si="107"/>
        <v>228197.082</v>
      </c>
      <c r="AO167" s="198">
        <f t="shared" si="107"/>
        <v>226327.8874</v>
      </c>
      <c r="AP167" s="198">
        <f t="shared" si="107"/>
        <v>227176.5241</v>
      </c>
      <c r="AQ167" s="198">
        <f t="shared" si="107"/>
        <v>224116.7012</v>
      </c>
      <c r="AR167" s="198">
        <f t="shared" si="107"/>
        <v>226100.1962</v>
      </c>
      <c r="AS167" s="198">
        <f t="shared" si="107"/>
        <v>223346.5117</v>
      </c>
      <c r="AT167" s="198">
        <f t="shared" si="107"/>
        <v>220925.9388</v>
      </c>
      <c r="AU167" s="198">
        <f t="shared" si="107"/>
        <v>217570.1027</v>
      </c>
      <c r="AV167" s="198">
        <f t="shared" si="107"/>
        <v>216069.6591</v>
      </c>
      <c r="AW167" s="198">
        <f t="shared" si="107"/>
        <v>213438.7151</v>
      </c>
      <c r="AX167" s="198">
        <f t="shared" si="107"/>
        <v>214299.1764</v>
      </c>
      <c r="AY167" s="198">
        <f t="shared" si="107"/>
        <v>257267.779</v>
      </c>
      <c r="AZ167" s="198">
        <f t="shared" si="107"/>
        <v>253370.7116</v>
      </c>
      <c r="BA167" s="198">
        <f t="shared" si="107"/>
        <v>250923.6379</v>
      </c>
      <c r="BB167" s="198">
        <f t="shared" si="107"/>
        <v>245926.7712</v>
      </c>
      <c r="BC167" s="198">
        <f t="shared" si="107"/>
        <v>244381.5029</v>
      </c>
      <c r="BD167" s="198">
        <f t="shared" si="107"/>
        <v>243420.6648</v>
      </c>
      <c r="BE167" s="198">
        <f t="shared" si="107"/>
        <v>241082.9151</v>
      </c>
      <c r="BF167" s="198">
        <f t="shared" si="107"/>
        <v>242599.8538</v>
      </c>
      <c r="BG167" s="198">
        <f t="shared" si="107"/>
        <v>238284.5021</v>
      </c>
      <c r="BH167" s="198">
        <f t="shared" si="107"/>
        <v>236082.0776</v>
      </c>
      <c r="BI167" s="198">
        <f t="shared" si="107"/>
        <v>237546.0172</v>
      </c>
      <c r="BJ167" s="198">
        <f t="shared" si="107"/>
        <v>236572.9186</v>
      </c>
      <c r="BK167" s="198">
        <f t="shared" si="107"/>
        <v>248440.2888</v>
      </c>
      <c r="BL167" s="198">
        <f t="shared" si="107"/>
        <v>254994.0451</v>
      </c>
      <c r="BM167" s="198">
        <f t="shared" si="107"/>
        <v>253819.758</v>
      </c>
      <c r="BN167" s="198">
        <f t="shared" si="107"/>
        <v>255213.6622</v>
      </c>
      <c r="BO167" s="198">
        <f t="shared" si="107"/>
        <v>250313.126</v>
      </c>
      <c r="BP167" s="198">
        <f t="shared" si="107"/>
        <v>250477.2899</v>
      </c>
      <c r="BQ167" s="198">
        <f t="shared" si="107"/>
        <v>249319.4181</v>
      </c>
      <c r="BR167" s="198">
        <f t="shared" si="107"/>
        <v>250691.3432</v>
      </c>
      <c r="BS167" s="198">
        <f t="shared" si="107"/>
        <v>245599.8191</v>
      </c>
      <c r="BT167" s="198">
        <f t="shared" si="107"/>
        <v>245761.9647</v>
      </c>
      <c r="BU167" s="198">
        <f t="shared" si="107"/>
        <v>244714.6606</v>
      </c>
      <c r="BV167" s="198">
        <f t="shared" si="107"/>
        <v>246078.1978</v>
      </c>
      <c r="BW167" s="198">
        <f t="shared" si="107"/>
        <v>248497.2614</v>
      </c>
      <c r="BX167" s="198">
        <f t="shared" si="107"/>
        <v>242933.4369</v>
      </c>
      <c r="BY167" s="198">
        <f t="shared" si="107"/>
        <v>241490.1236</v>
      </c>
      <c r="BZ167" s="198">
        <f t="shared" si="107"/>
        <v>238876.6124</v>
      </c>
      <c r="CA167" s="198">
        <f t="shared" si="107"/>
        <v>235080.9277</v>
      </c>
      <c r="CB167" s="198">
        <f t="shared" si="107"/>
        <v>233740.8417</v>
      </c>
      <c r="CC167" s="198">
        <f t="shared" si="107"/>
        <v>233599.9883</v>
      </c>
      <c r="CD167" s="198">
        <f t="shared" si="107"/>
        <v>234631.6936</v>
      </c>
      <c r="CE167" s="198">
        <f t="shared" si="107"/>
        <v>228233.8925</v>
      </c>
      <c r="CF167" s="198">
        <f t="shared" si="107"/>
        <v>229276.4367</v>
      </c>
      <c r="CG167" s="198">
        <f t="shared" si="107"/>
        <v>227992.6388</v>
      </c>
      <c r="CH167" s="198">
        <f t="shared" si="107"/>
        <v>225578.33</v>
      </c>
      <c r="CI167" s="137"/>
      <c r="CJ167" s="137"/>
      <c r="CK167" s="137"/>
      <c r="CL167" s="137"/>
      <c r="CM167" s="137"/>
      <c r="CN167" s="137"/>
      <c r="CO167" s="137"/>
      <c r="CP167" s="137"/>
    </row>
    <row r="168" ht="15.75" customHeight="1">
      <c r="A168" s="137" t="s">
        <v>85</v>
      </c>
      <c r="B168" s="198"/>
      <c r="C168" s="198">
        <f t="shared" ref="C168:CH168" si="108">C160/C62</f>
        <v>35858.30659</v>
      </c>
      <c r="D168" s="427">
        <f t="shared" si="108"/>
        <v>111930.01</v>
      </c>
      <c r="E168" s="427">
        <f t="shared" si="108"/>
        <v>132599.8681</v>
      </c>
      <c r="F168" s="198">
        <f t="shared" si="108"/>
        <v>136688.0927</v>
      </c>
      <c r="G168" s="198">
        <f t="shared" si="108"/>
        <v>89822.14262</v>
      </c>
      <c r="H168" s="198">
        <f t="shared" si="108"/>
        <v>56888.70968</v>
      </c>
      <c r="I168" s="198">
        <f t="shared" si="108"/>
        <v>76931.97578</v>
      </c>
      <c r="J168" s="198">
        <f t="shared" si="108"/>
        <v>142424.9893</v>
      </c>
      <c r="K168" s="198">
        <f t="shared" si="108"/>
        <v>99674.81938</v>
      </c>
      <c r="L168" s="198">
        <f t="shared" si="108"/>
        <v>104358.0884</v>
      </c>
      <c r="M168" s="198">
        <f t="shared" si="108"/>
        <v>87053.02696</v>
      </c>
      <c r="N168" s="198">
        <f t="shared" si="108"/>
        <v>136235.4582</v>
      </c>
      <c r="O168" s="427">
        <f t="shared" si="108"/>
        <v>114134.9287</v>
      </c>
      <c r="P168" s="198">
        <f t="shared" si="108"/>
        <v>57668.78927</v>
      </c>
      <c r="Q168" s="198">
        <f t="shared" si="108"/>
        <v>83111.52403</v>
      </c>
      <c r="R168" s="198">
        <f t="shared" si="108"/>
        <v>86359.07536</v>
      </c>
      <c r="S168" s="198">
        <f t="shared" si="108"/>
        <v>122332.2874</v>
      </c>
      <c r="T168" s="198">
        <f t="shared" si="108"/>
        <v>120722.6261</v>
      </c>
      <c r="U168" s="198">
        <f t="shared" si="108"/>
        <v>14513.04282</v>
      </c>
      <c r="V168" s="198">
        <f t="shared" si="108"/>
        <v>32690.19079</v>
      </c>
      <c r="W168" s="198">
        <f t="shared" si="108"/>
        <v>149803.5749</v>
      </c>
      <c r="X168" s="198">
        <f t="shared" si="108"/>
        <v>18434.938</v>
      </c>
      <c r="Y168" s="198">
        <f t="shared" si="108"/>
        <v>96038.55579</v>
      </c>
      <c r="Z168" s="198">
        <f t="shared" si="108"/>
        <v>147005.8225</v>
      </c>
      <c r="AA168" s="198">
        <f t="shared" si="108"/>
        <v>127520.219</v>
      </c>
      <c r="AB168" s="198">
        <f t="shared" si="108"/>
        <v>136613.0744</v>
      </c>
      <c r="AC168" s="198">
        <f t="shared" si="108"/>
        <v>143260.077</v>
      </c>
      <c r="AD168" s="198">
        <f t="shared" si="108"/>
        <v>147570.3662</v>
      </c>
      <c r="AE168" s="198">
        <f t="shared" si="108"/>
        <v>151998.5053</v>
      </c>
      <c r="AF168" s="198">
        <f t="shared" si="108"/>
        <v>161778.353</v>
      </c>
      <c r="AG168" s="198">
        <f t="shared" si="108"/>
        <v>150369.4091</v>
      </c>
      <c r="AH168" s="198">
        <f t="shared" si="108"/>
        <v>152442.0424</v>
      </c>
      <c r="AI168" s="198">
        <f t="shared" si="108"/>
        <v>152982.8548</v>
      </c>
      <c r="AJ168" s="198">
        <f t="shared" si="108"/>
        <v>154431.6742</v>
      </c>
      <c r="AK168" s="198">
        <f t="shared" si="108"/>
        <v>159907.3345</v>
      </c>
      <c r="AL168" s="198">
        <f t="shared" si="108"/>
        <v>161114.8955</v>
      </c>
      <c r="AM168" s="198">
        <f t="shared" si="108"/>
        <v>161593.1927</v>
      </c>
      <c r="AN168" s="198">
        <f t="shared" si="108"/>
        <v>162151.9449</v>
      </c>
      <c r="AO168" s="198">
        <f t="shared" si="108"/>
        <v>162947.1153</v>
      </c>
      <c r="AP168" s="198">
        <f t="shared" si="108"/>
        <v>162990.3414</v>
      </c>
      <c r="AQ168" s="198">
        <f t="shared" si="108"/>
        <v>162385.9827</v>
      </c>
      <c r="AR168" s="198">
        <f t="shared" si="108"/>
        <v>164103.816</v>
      </c>
      <c r="AS168" s="198">
        <f t="shared" si="108"/>
        <v>163905.9676</v>
      </c>
      <c r="AT168" s="198">
        <f t="shared" si="108"/>
        <v>163948.3871</v>
      </c>
      <c r="AU168" s="198">
        <f t="shared" si="108"/>
        <v>163237.5194</v>
      </c>
      <c r="AV168" s="198">
        <f t="shared" si="108"/>
        <v>164060.3532</v>
      </c>
      <c r="AW168" s="198">
        <f t="shared" si="108"/>
        <v>164860.6896</v>
      </c>
      <c r="AX168" s="198">
        <f t="shared" si="108"/>
        <v>164785.8502</v>
      </c>
      <c r="AY168" s="198">
        <f t="shared" si="108"/>
        <v>201274.7757</v>
      </c>
      <c r="AZ168" s="198">
        <f t="shared" si="108"/>
        <v>202579.9658</v>
      </c>
      <c r="BA168" s="198">
        <f t="shared" si="108"/>
        <v>203827.2678</v>
      </c>
      <c r="BB168" s="198">
        <f t="shared" si="108"/>
        <v>203991.6855</v>
      </c>
      <c r="BC168" s="198">
        <f t="shared" si="108"/>
        <v>203135.2248</v>
      </c>
      <c r="BD168" s="198">
        <f t="shared" si="108"/>
        <v>204248.2912</v>
      </c>
      <c r="BE168" s="198">
        <f t="shared" si="108"/>
        <v>204454.7191</v>
      </c>
      <c r="BF168" s="198">
        <f t="shared" si="108"/>
        <v>204518.8894</v>
      </c>
      <c r="BG168" s="198">
        <f t="shared" si="108"/>
        <v>203594.4174</v>
      </c>
      <c r="BH168" s="198">
        <f t="shared" si="108"/>
        <v>204604.5939</v>
      </c>
      <c r="BI168" s="198">
        <f t="shared" si="108"/>
        <v>205582.1933</v>
      </c>
      <c r="BJ168" s="198">
        <f t="shared" si="108"/>
        <v>202968.5226</v>
      </c>
      <c r="BK168" s="198">
        <f t="shared" si="108"/>
        <v>216361.3103</v>
      </c>
      <c r="BL168" s="198">
        <f t="shared" si="108"/>
        <v>213181.7794</v>
      </c>
      <c r="BM168" s="198">
        <f t="shared" si="108"/>
        <v>210018.5597</v>
      </c>
      <c r="BN168" s="198">
        <f t="shared" si="108"/>
        <v>208746.6264</v>
      </c>
      <c r="BO168" s="198">
        <f t="shared" si="108"/>
        <v>207373.3167</v>
      </c>
      <c r="BP168" s="198">
        <f t="shared" si="108"/>
        <v>208122.8132</v>
      </c>
      <c r="BQ168" s="198">
        <f t="shared" si="108"/>
        <v>206438.3244</v>
      </c>
      <c r="BR168" s="198">
        <f t="shared" si="108"/>
        <v>201693.3486</v>
      </c>
      <c r="BS168" s="198">
        <f t="shared" si="108"/>
        <v>200104.9216</v>
      </c>
      <c r="BT168" s="198">
        <f t="shared" si="108"/>
        <v>201277.1301</v>
      </c>
      <c r="BU168" s="198">
        <f t="shared" si="108"/>
        <v>199766.1088</v>
      </c>
      <c r="BV168" s="198">
        <f t="shared" si="108"/>
        <v>199966.6664</v>
      </c>
      <c r="BW168" s="198">
        <f t="shared" si="108"/>
        <v>203564.5767</v>
      </c>
      <c r="BX168" s="198">
        <f t="shared" si="108"/>
        <v>204221.615</v>
      </c>
      <c r="BY168" s="198">
        <f t="shared" si="108"/>
        <v>205121.6194</v>
      </c>
      <c r="BZ168" s="198">
        <f t="shared" si="108"/>
        <v>205079.5035</v>
      </c>
      <c r="CA168" s="198">
        <f t="shared" si="108"/>
        <v>203345.7835</v>
      </c>
      <c r="CB168" s="198">
        <f t="shared" si="108"/>
        <v>201253.3931</v>
      </c>
      <c r="CC168" s="198">
        <f t="shared" si="108"/>
        <v>200844.7362</v>
      </c>
      <c r="CD168" s="198">
        <f t="shared" si="108"/>
        <v>200824.9307</v>
      </c>
      <c r="CE168" s="198">
        <f t="shared" si="108"/>
        <v>198906.0436</v>
      </c>
      <c r="CF168" s="198">
        <f t="shared" si="108"/>
        <v>199806.9388</v>
      </c>
      <c r="CG168" s="198">
        <f t="shared" si="108"/>
        <v>198137.0771</v>
      </c>
      <c r="CH168" s="198">
        <f t="shared" si="108"/>
        <v>198119.4516</v>
      </c>
      <c r="CI168" s="137"/>
      <c r="CJ168" s="137"/>
      <c r="CK168" s="137"/>
      <c r="CL168" s="137"/>
      <c r="CM168" s="137"/>
      <c r="CN168" s="137"/>
      <c r="CO168" s="137"/>
      <c r="CP168" s="137"/>
    </row>
    <row r="169" ht="15.75" customHeight="1">
      <c r="A169" s="137" t="s">
        <v>130</v>
      </c>
      <c r="B169" s="198"/>
      <c r="C169" s="198">
        <f t="shared" ref="C169:CH169" si="109">C161/C63</f>
        <v>48873.29657</v>
      </c>
      <c r="D169" s="427">
        <f t="shared" si="109"/>
        <v>22132.29486</v>
      </c>
      <c r="E169" s="198">
        <f t="shared" si="109"/>
        <v>66700.77472</v>
      </c>
      <c r="F169" s="198">
        <f t="shared" si="109"/>
        <v>81881.54227</v>
      </c>
      <c r="G169" s="198">
        <f t="shared" si="109"/>
        <v>63725.18068</v>
      </c>
      <c r="H169" s="198">
        <f t="shared" si="109"/>
        <v>123819.912</v>
      </c>
      <c r="I169" s="198">
        <f t="shared" si="109"/>
        <v>59557.16149</v>
      </c>
      <c r="J169" s="198">
        <f t="shared" si="109"/>
        <v>52224.3563</v>
      </c>
      <c r="K169" s="427">
        <f t="shared" si="109"/>
        <v>120451.1217</v>
      </c>
      <c r="L169" s="198">
        <f t="shared" si="109"/>
        <v>20532.61752</v>
      </c>
      <c r="M169" s="198">
        <f t="shared" si="109"/>
        <v>20496.39579</v>
      </c>
      <c r="N169" s="198">
        <f t="shared" si="109"/>
        <v>100890.2551</v>
      </c>
      <c r="O169" s="427">
        <f t="shared" si="109"/>
        <v>105244.5176</v>
      </c>
      <c r="P169" s="198">
        <f t="shared" si="109"/>
        <v>93999.00953</v>
      </c>
      <c r="Q169" s="198">
        <f t="shared" si="109"/>
        <v>86175.41933</v>
      </c>
      <c r="R169" s="198">
        <f t="shared" si="109"/>
        <v>68768.09509</v>
      </c>
      <c r="S169" s="198">
        <f t="shared" si="109"/>
        <v>102069.5413</v>
      </c>
      <c r="T169" s="198">
        <f t="shared" si="109"/>
        <v>26661.6576</v>
      </c>
      <c r="U169" s="198">
        <f t="shared" si="109"/>
        <v>103945.1425</v>
      </c>
      <c r="V169" s="198">
        <f t="shared" si="109"/>
        <v>54001.38532</v>
      </c>
      <c r="W169" s="198">
        <f t="shared" si="109"/>
        <v>137015.6738</v>
      </c>
      <c r="X169" s="198">
        <f t="shared" si="109"/>
        <v>110453.705</v>
      </c>
      <c r="Y169" s="198">
        <f t="shared" si="109"/>
        <v>116902.8711</v>
      </c>
      <c r="Z169" s="198">
        <f t="shared" si="109"/>
        <v>156589.3865</v>
      </c>
      <c r="AA169" s="198">
        <f t="shared" si="109"/>
        <v>155604.4767</v>
      </c>
      <c r="AB169" s="198">
        <f t="shared" si="109"/>
        <v>168992.9852</v>
      </c>
      <c r="AC169" s="198">
        <f t="shared" si="109"/>
        <v>181003.9135</v>
      </c>
      <c r="AD169" s="198">
        <f t="shared" si="109"/>
        <v>191168.0266</v>
      </c>
      <c r="AE169" s="198">
        <f t="shared" si="109"/>
        <v>200298.7623</v>
      </c>
      <c r="AF169" s="198">
        <f t="shared" si="109"/>
        <v>216808.2763</v>
      </c>
      <c r="AG169" s="198">
        <f t="shared" si="109"/>
        <v>257953.5261</v>
      </c>
      <c r="AH169" s="198">
        <f t="shared" si="109"/>
        <v>256707.97</v>
      </c>
      <c r="AI169" s="198">
        <f t="shared" si="109"/>
        <v>254455.7299</v>
      </c>
      <c r="AJ169" s="198">
        <f t="shared" si="109"/>
        <v>253441.9691</v>
      </c>
      <c r="AK169" s="198">
        <f t="shared" si="109"/>
        <v>258958.8822</v>
      </c>
      <c r="AL169" s="198">
        <f t="shared" si="109"/>
        <v>257933.17</v>
      </c>
      <c r="AM169" s="198">
        <f t="shared" si="109"/>
        <v>258647.3045</v>
      </c>
      <c r="AN169" s="198">
        <f t="shared" si="109"/>
        <v>259617.4997</v>
      </c>
      <c r="AO169" s="198">
        <f t="shared" si="109"/>
        <v>260405.2395</v>
      </c>
      <c r="AP169" s="198">
        <f t="shared" si="109"/>
        <v>260041.7096</v>
      </c>
      <c r="AQ169" s="198">
        <f t="shared" si="109"/>
        <v>258957.2109</v>
      </c>
      <c r="AR169" s="198">
        <f t="shared" si="109"/>
        <v>260799.53</v>
      </c>
      <c r="AS169" s="198">
        <f t="shared" si="109"/>
        <v>260311.7461</v>
      </c>
      <c r="AT169" s="198">
        <f t="shared" si="109"/>
        <v>260112.0577</v>
      </c>
      <c r="AU169" s="198">
        <f t="shared" si="109"/>
        <v>258911.8842</v>
      </c>
      <c r="AV169" s="198">
        <f t="shared" si="109"/>
        <v>259935.6027</v>
      </c>
      <c r="AW169" s="198">
        <f t="shared" si="109"/>
        <v>260939.6586</v>
      </c>
      <c r="AX169" s="198">
        <f t="shared" si="109"/>
        <v>260616.8508</v>
      </c>
      <c r="AY169" s="198">
        <f t="shared" si="109"/>
        <v>314592.9492</v>
      </c>
      <c r="AZ169" s="198">
        <f t="shared" si="109"/>
        <v>316301.8362</v>
      </c>
      <c r="BA169" s="198">
        <f t="shared" si="109"/>
        <v>317953.6063</v>
      </c>
      <c r="BB169" s="198">
        <f t="shared" si="109"/>
        <v>317962.618</v>
      </c>
      <c r="BC169" s="198">
        <f t="shared" si="109"/>
        <v>316490.5459</v>
      </c>
      <c r="BD169" s="198">
        <f t="shared" si="109"/>
        <v>317976.6059</v>
      </c>
      <c r="BE169" s="198">
        <f t="shared" si="109"/>
        <v>318086.7831</v>
      </c>
      <c r="BF169" s="198">
        <f t="shared" si="109"/>
        <v>315948.9552</v>
      </c>
      <c r="BG169" s="198">
        <f t="shared" si="109"/>
        <v>314351.2042</v>
      </c>
      <c r="BH169" s="198">
        <f t="shared" si="109"/>
        <v>315749.915</v>
      </c>
      <c r="BI169" s="198">
        <f t="shared" si="109"/>
        <v>317106.3409</v>
      </c>
      <c r="BJ169" s="198">
        <f t="shared" si="109"/>
        <v>315016.1974</v>
      </c>
      <c r="BK169" s="198">
        <f t="shared" si="109"/>
        <v>341649.6829</v>
      </c>
      <c r="BL169" s="198">
        <f t="shared" si="109"/>
        <v>360493.0519</v>
      </c>
      <c r="BM169" s="198">
        <f t="shared" si="109"/>
        <v>362088.7086</v>
      </c>
      <c r="BN169" s="198">
        <f t="shared" si="109"/>
        <v>361998.0267</v>
      </c>
      <c r="BO169" s="198">
        <f t="shared" si="109"/>
        <v>360264.5179</v>
      </c>
      <c r="BP169" s="198">
        <f t="shared" si="109"/>
        <v>361153.2602</v>
      </c>
      <c r="BQ169" s="198">
        <f t="shared" si="109"/>
        <v>362621.4699</v>
      </c>
      <c r="BR169" s="198">
        <f t="shared" si="109"/>
        <v>361247.7732</v>
      </c>
      <c r="BS169" s="198">
        <f t="shared" si="109"/>
        <v>359459.6656</v>
      </c>
      <c r="BT169" s="198">
        <f t="shared" si="109"/>
        <v>360894.2099</v>
      </c>
      <c r="BU169" s="198">
        <f t="shared" si="109"/>
        <v>362289.6585</v>
      </c>
      <c r="BV169" s="198">
        <f t="shared" si="109"/>
        <v>362107.1792</v>
      </c>
      <c r="BW169" s="198">
        <f t="shared" si="109"/>
        <v>366773.9201</v>
      </c>
      <c r="BX169" s="198">
        <f t="shared" si="109"/>
        <v>367740.7606</v>
      </c>
      <c r="BY169" s="198">
        <f t="shared" si="109"/>
        <v>368805.4956</v>
      </c>
      <c r="BZ169" s="198">
        <f t="shared" si="109"/>
        <v>368337.1316</v>
      </c>
      <c r="CA169" s="198">
        <f t="shared" si="109"/>
        <v>366587.8497</v>
      </c>
      <c r="CB169" s="198">
        <f t="shared" si="109"/>
        <v>367126.7743</v>
      </c>
      <c r="CC169" s="198">
        <f t="shared" si="109"/>
        <v>368205.8442</v>
      </c>
      <c r="CD169" s="198">
        <f t="shared" si="109"/>
        <v>367772.8071</v>
      </c>
      <c r="CE169" s="198">
        <f t="shared" si="109"/>
        <v>365979.2005</v>
      </c>
      <c r="CF169" s="198">
        <f t="shared" si="109"/>
        <v>367046.4659</v>
      </c>
      <c r="CG169" s="198">
        <f t="shared" si="109"/>
        <v>368100.5868</v>
      </c>
      <c r="CH169" s="198">
        <f t="shared" si="109"/>
        <v>367664.2782</v>
      </c>
      <c r="CI169" s="137"/>
      <c r="CJ169" s="137"/>
      <c r="CK169" s="137"/>
      <c r="CL169" s="137"/>
      <c r="CM169" s="137"/>
      <c r="CN169" s="137"/>
      <c r="CO169" s="137"/>
      <c r="CP169" s="137"/>
    </row>
    <row r="170" ht="15.75" customHeight="1">
      <c r="A170" s="137" t="s">
        <v>89</v>
      </c>
      <c r="B170" s="137"/>
      <c r="C170" s="137"/>
      <c r="D170" s="427">
        <f t="shared" ref="D170:CH170" si="110">D162/D64</f>
        <v>84842.10952</v>
      </c>
      <c r="E170" s="427">
        <f t="shared" si="110"/>
        <v>82262.54357</v>
      </c>
      <c r="F170" s="427">
        <f t="shared" si="110"/>
        <v>57221.11144</v>
      </c>
      <c r="G170" s="427">
        <f t="shared" si="110"/>
        <v>102809.867</v>
      </c>
      <c r="H170" s="427">
        <f t="shared" si="110"/>
        <v>39165.00425</v>
      </c>
      <c r="I170" s="198">
        <f t="shared" si="110"/>
        <v>49941.29949</v>
      </c>
      <c r="J170" s="427">
        <f t="shared" si="110"/>
        <v>19074.86964</v>
      </c>
      <c r="K170" s="198">
        <f t="shared" si="110"/>
        <v>99068.97688</v>
      </c>
      <c r="L170" s="198">
        <f t="shared" si="110"/>
        <v>104835.6511</v>
      </c>
      <c r="M170" s="198">
        <f t="shared" si="110"/>
        <v>41552.40918</v>
      </c>
      <c r="N170" s="198">
        <f t="shared" si="110"/>
        <v>103442.1094</v>
      </c>
      <c r="O170" s="198">
        <f t="shared" si="110"/>
        <v>98685.99079</v>
      </c>
      <c r="P170" s="198">
        <f t="shared" si="110"/>
        <v>62303.24222</v>
      </c>
      <c r="Q170" s="198">
        <f t="shared" si="110"/>
        <v>97931.84399</v>
      </c>
      <c r="R170" s="198">
        <f t="shared" si="110"/>
        <v>57880.47697</v>
      </c>
      <c r="S170" s="198">
        <f t="shared" si="110"/>
        <v>24654.71592</v>
      </c>
      <c r="T170" s="198">
        <f t="shared" si="110"/>
        <v>46468.42652</v>
      </c>
      <c r="U170" s="198">
        <f t="shared" si="110"/>
        <v>43470.97391</v>
      </c>
      <c r="V170" s="198">
        <f t="shared" si="110"/>
        <v>83302.63689</v>
      </c>
      <c r="W170" s="198">
        <f t="shared" si="110"/>
        <v>45632.33627</v>
      </c>
      <c r="X170" s="198">
        <f t="shared" si="110"/>
        <v>95124.6241</v>
      </c>
      <c r="Y170" s="198">
        <f t="shared" si="110"/>
        <v>126666.9294</v>
      </c>
      <c r="Z170" s="198">
        <f t="shared" si="110"/>
        <v>18010.34969</v>
      </c>
      <c r="AA170" s="198">
        <f t="shared" si="110"/>
        <v>18600.23915</v>
      </c>
      <c r="AB170" s="198">
        <f t="shared" si="110"/>
        <v>19153.78545</v>
      </c>
      <c r="AC170" s="198">
        <f t="shared" si="110"/>
        <v>19536.89442</v>
      </c>
      <c r="AD170" s="198">
        <f t="shared" si="110"/>
        <v>19682.55648</v>
      </c>
      <c r="AE170" s="198">
        <f t="shared" si="110"/>
        <v>19684.88982</v>
      </c>
      <c r="AF170" s="198">
        <f t="shared" si="110"/>
        <v>20505.25569</v>
      </c>
      <c r="AG170" s="198">
        <f t="shared" si="110"/>
        <v>20076.38971</v>
      </c>
      <c r="AH170" s="198">
        <f t="shared" si="110"/>
        <v>20085.89617</v>
      </c>
      <c r="AI170" s="198">
        <f t="shared" si="110"/>
        <v>19996.24703</v>
      </c>
      <c r="AJ170" s="198">
        <f t="shared" si="110"/>
        <v>20005.921</v>
      </c>
      <c r="AK170" s="198">
        <f t="shared" si="110"/>
        <v>20132.82132</v>
      </c>
      <c r="AL170" s="198">
        <f t="shared" si="110"/>
        <v>20137.10106</v>
      </c>
      <c r="AM170" s="198">
        <f t="shared" si="110"/>
        <v>20449.60124</v>
      </c>
      <c r="AN170" s="198">
        <f t="shared" si="110"/>
        <v>20444.95902</v>
      </c>
      <c r="AO170" s="198">
        <f t="shared" si="110"/>
        <v>20444.9202</v>
      </c>
      <c r="AP170" s="198">
        <f t="shared" si="110"/>
        <v>20361.30203</v>
      </c>
      <c r="AQ170" s="198">
        <f t="shared" si="110"/>
        <v>20265.60522</v>
      </c>
      <c r="AR170" s="198">
        <f t="shared" si="110"/>
        <v>20516.36265</v>
      </c>
      <c r="AS170" s="198">
        <f t="shared" si="110"/>
        <v>19964.14847</v>
      </c>
      <c r="AT170" s="198">
        <f t="shared" si="110"/>
        <v>19920.77343</v>
      </c>
      <c r="AU170" s="198">
        <f t="shared" si="110"/>
        <v>19831.85056</v>
      </c>
      <c r="AV170" s="198">
        <f t="shared" si="110"/>
        <v>19894.77564</v>
      </c>
      <c r="AW170" s="198">
        <f t="shared" si="110"/>
        <v>19959.03782</v>
      </c>
      <c r="AX170" s="198">
        <f t="shared" si="110"/>
        <v>19919.09678</v>
      </c>
      <c r="AY170" s="198">
        <f t="shared" si="110"/>
        <v>20464.9913</v>
      </c>
      <c r="AZ170" s="198">
        <f t="shared" si="110"/>
        <v>20582.44719</v>
      </c>
      <c r="BA170" s="198">
        <f t="shared" si="110"/>
        <v>20688.49803</v>
      </c>
      <c r="BB170" s="198">
        <f t="shared" si="110"/>
        <v>20679.64292</v>
      </c>
      <c r="BC170" s="198">
        <f t="shared" si="110"/>
        <v>20585.54049</v>
      </c>
      <c r="BD170" s="198">
        <f t="shared" si="110"/>
        <v>20671.48178</v>
      </c>
      <c r="BE170" s="198">
        <f t="shared" si="110"/>
        <v>20663.93809</v>
      </c>
      <c r="BF170" s="198">
        <f t="shared" si="110"/>
        <v>20642.29653</v>
      </c>
      <c r="BG170" s="198">
        <f t="shared" si="110"/>
        <v>20539.25879</v>
      </c>
      <c r="BH170" s="198">
        <f t="shared" si="110"/>
        <v>20616.36693</v>
      </c>
      <c r="BI170" s="198">
        <f t="shared" si="110"/>
        <v>20691.30938</v>
      </c>
      <c r="BJ170" s="198">
        <f t="shared" si="110"/>
        <v>20664.83687</v>
      </c>
      <c r="BK170" s="198">
        <f t="shared" si="110"/>
        <v>21630.82985</v>
      </c>
      <c r="BL170" s="198">
        <f t="shared" si="110"/>
        <v>22821.78944</v>
      </c>
      <c r="BM170" s="198">
        <f t="shared" si="110"/>
        <v>22914.64218</v>
      </c>
      <c r="BN170" s="198">
        <f t="shared" si="110"/>
        <v>22902.38879</v>
      </c>
      <c r="BO170" s="198">
        <f t="shared" si="110"/>
        <v>22849.19985</v>
      </c>
      <c r="BP170" s="198">
        <f t="shared" si="110"/>
        <v>22900.02728</v>
      </c>
      <c r="BQ170" s="198">
        <f t="shared" si="110"/>
        <v>22988.64445</v>
      </c>
      <c r="BR170" s="198">
        <f t="shared" si="110"/>
        <v>22895.61873</v>
      </c>
      <c r="BS170" s="198">
        <f t="shared" si="110"/>
        <v>22839.54111</v>
      </c>
      <c r="BT170" s="198">
        <f t="shared" si="110"/>
        <v>22927.00799</v>
      </c>
      <c r="BU170" s="198">
        <f t="shared" si="110"/>
        <v>23012.54181</v>
      </c>
      <c r="BV170" s="198">
        <f t="shared" si="110"/>
        <v>22997.41486</v>
      </c>
      <c r="BW170" s="198">
        <f t="shared" si="110"/>
        <v>22944.17853</v>
      </c>
      <c r="BX170" s="198">
        <f t="shared" si="110"/>
        <v>22955.43632</v>
      </c>
      <c r="BY170" s="198">
        <f t="shared" si="110"/>
        <v>22998.5672</v>
      </c>
      <c r="BZ170" s="198">
        <f t="shared" si="110"/>
        <v>22953.8193</v>
      </c>
      <c r="CA170" s="198">
        <f t="shared" si="110"/>
        <v>22897.04019</v>
      </c>
      <c r="CB170" s="198">
        <f t="shared" si="110"/>
        <v>22924.56313</v>
      </c>
      <c r="CC170" s="198">
        <f t="shared" si="110"/>
        <v>22989.2039</v>
      </c>
      <c r="CD170" s="198">
        <f t="shared" si="110"/>
        <v>22961.86073</v>
      </c>
      <c r="CE170" s="198">
        <f t="shared" si="110"/>
        <v>22908.36986</v>
      </c>
      <c r="CF170" s="198">
        <f t="shared" si="110"/>
        <v>22977.59481</v>
      </c>
      <c r="CG170" s="198">
        <f t="shared" si="110"/>
        <v>23046.97217</v>
      </c>
      <c r="CH170" s="198">
        <f t="shared" si="110"/>
        <v>23023.90535</v>
      </c>
      <c r="CI170" s="137"/>
      <c r="CJ170" s="137"/>
      <c r="CK170" s="137"/>
      <c r="CL170" s="137"/>
      <c r="CM170" s="137"/>
      <c r="CN170" s="137"/>
      <c r="CO170" s="137"/>
      <c r="CP170" s="137"/>
    </row>
    <row r="171" ht="15.75" customHeight="1">
      <c r="A171" s="137" t="s">
        <v>94</v>
      </c>
      <c r="B171" s="427"/>
      <c r="C171" s="427">
        <f t="shared" ref="C171:CH171" si="111">C163/C65</f>
        <v>-6035.775393</v>
      </c>
      <c r="D171" s="427">
        <f t="shared" si="111"/>
        <v>-29491.76614</v>
      </c>
      <c r="E171" s="427">
        <f t="shared" si="111"/>
        <v>34592.60633</v>
      </c>
      <c r="F171" s="427">
        <f t="shared" si="111"/>
        <v>-26993.8096</v>
      </c>
      <c r="G171" s="427">
        <f t="shared" si="111"/>
        <v>-26988.87427</v>
      </c>
      <c r="H171" s="427">
        <f t="shared" si="111"/>
        <v>34965.82238</v>
      </c>
      <c r="I171" s="427">
        <f t="shared" si="111"/>
        <v>-11868.70153</v>
      </c>
      <c r="J171" s="427">
        <f t="shared" si="111"/>
        <v>13347.3885</v>
      </c>
      <c r="K171" s="427">
        <f t="shared" si="111"/>
        <v>7726.472248</v>
      </c>
      <c r="L171" s="427">
        <f t="shared" si="111"/>
        <v>-1595.763164</v>
      </c>
      <c r="M171" s="427">
        <f t="shared" si="111"/>
        <v>-38560.92132</v>
      </c>
      <c r="N171" s="427">
        <f t="shared" si="111"/>
        <v>67053.26675</v>
      </c>
      <c r="O171" s="427">
        <f t="shared" si="111"/>
        <v>64053.01962</v>
      </c>
      <c r="P171" s="427">
        <f t="shared" si="111"/>
        <v>23818.40073</v>
      </c>
      <c r="Q171" s="198">
        <f t="shared" si="111"/>
        <v>147193.0999</v>
      </c>
      <c r="R171" s="198">
        <f t="shared" si="111"/>
        <v>99012.12472</v>
      </c>
      <c r="S171" s="198">
        <f t="shared" si="111"/>
        <v>44436.24656</v>
      </c>
      <c r="T171" s="198">
        <f t="shared" si="111"/>
        <v>74991.78136</v>
      </c>
      <c r="U171" s="198">
        <f t="shared" si="111"/>
        <v>101200.0029</v>
      </c>
      <c r="V171" s="198">
        <f t="shared" si="111"/>
        <v>103673.4283</v>
      </c>
      <c r="W171" s="198">
        <f t="shared" si="111"/>
        <v>108300.0306</v>
      </c>
      <c r="X171" s="198">
        <f t="shared" si="111"/>
        <v>85395.52252</v>
      </c>
      <c r="Y171" s="198">
        <f t="shared" si="111"/>
        <v>23263.65959</v>
      </c>
      <c r="Z171" s="198">
        <f t="shared" si="111"/>
        <v>11078.294</v>
      </c>
      <c r="AA171" s="198">
        <f t="shared" si="111"/>
        <v>11663.48545</v>
      </c>
      <c r="AB171" s="198">
        <f t="shared" si="111"/>
        <v>12040.18812</v>
      </c>
      <c r="AC171" s="198">
        <f t="shared" si="111"/>
        <v>12313.68173</v>
      </c>
      <c r="AD171" s="198">
        <f t="shared" si="111"/>
        <v>12431.01313</v>
      </c>
      <c r="AE171" s="198">
        <f t="shared" si="111"/>
        <v>12415.43018</v>
      </c>
      <c r="AF171" s="198">
        <f t="shared" si="111"/>
        <v>12824.32065</v>
      </c>
      <c r="AG171" s="198">
        <f t="shared" si="111"/>
        <v>12959.52616</v>
      </c>
      <c r="AH171" s="198">
        <f t="shared" si="111"/>
        <v>12972.69709</v>
      </c>
      <c r="AI171" s="198">
        <f t="shared" si="111"/>
        <v>12598.43695</v>
      </c>
      <c r="AJ171" s="198">
        <f t="shared" si="111"/>
        <v>12617.91238</v>
      </c>
      <c r="AK171" s="198">
        <f t="shared" si="111"/>
        <v>12712.77895</v>
      </c>
      <c r="AL171" s="198">
        <f t="shared" si="111"/>
        <v>12725.29911</v>
      </c>
      <c r="AM171" s="198">
        <f t="shared" si="111"/>
        <v>12835.09218</v>
      </c>
      <c r="AN171" s="198">
        <f t="shared" si="111"/>
        <v>12881.57756</v>
      </c>
      <c r="AO171" s="198">
        <f t="shared" si="111"/>
        <v>12933.8789</v>
      </c>
      <c r="AP171" s="198">
        <f t="shared" si="111"/>
        <v>12919.7909</v>
      </c>
      <c r="AQ171" s="198">
        <f t="shared" si="111"/>
        <v>12588.52865</v>
      </c>
      <c r="AR171" s="198">
        <f t="shared" si="111"/>
        <v>12770.33647</v>
      </c>
      <c r="AS171" s="198">
        <f t="shared" si="111"/>
        <v>12828.86651</v>
      </c>
      <c r="AT171" s="198">
        <f t="shared" si="111"/>
        <v>12816.0219</v>
      </c>
      <c r="AU171" s="198">
        <f t="shared" si="111"/>
        <v>12752.51504</v>
      </c>
      <c r="AV171" s="198">
        <f t="shared" si="111"/>
        <v>12802.00134</v>
      </c>
      <c r="AW171" s="198">
        <f t="shared" si="111"/>
        <v>12850.47086</v>
      </c>
      <c r="AX171" s="198">
        <f t="shared" si="111"/>
        <v>12830.76684</v>
      </c>
      <c r="AY171" s="198">
        <f t="shared" si="111"/>
        <v>13099.63175</v>
      </c>
      <c r="AZ171" s="198">
        <f t="shared" si="111"/>
        <v>13160.45056</v>
      </c>
      <c r="BA171" s="198">
        <f t="shared" si="111"/>
        <v>13218.93196</v>
      </c>
      <c r="BB171" s="198">
        <f t="shared" si="111"/>
        <v>13206.93246</v>
      </c>
      <c r="BC171" s="198">
        <f t="shared" si="111"/>
        <v>13137.53681</v>
      </c>
      <c r="BD171" s="198">
        <f t="shared" si="111"/>
        <v>13190.14494</v>
      </c>
      <c r="BE171" s="198">
        <f t="shared" si="111"/>
        <v>13183.96642</v>
      </c>
      <c r="BF171" s="198">
        <f t="shared" si="111"/>
        <v>13169.56375</v>
      </c>
      <c r="BG171" s="198">
        <f t="shared" si="111"/>
        <v>13097.40925</v>
      </c>
      <c r="BH171" s="198">
        <f t="shared" si="111"/>
        <v>13147.33463</v>
      </c>
      <c r="BI171" s="198">
        <f t="shared" si="111"/>
        <v>13196.15096</v>
      </c>
      <c r="BJ171" s="198">
        <f t="shared" si="111"/>
        <v>13180.13257</v>
      </c>
      <c r="BK171" s="198">
        <f t="shared" si="111"/>
        <v>12626.5511</v>
      </c>
      <c r="BL171" s="198">
        <f t="shared" si="111"/>
        <v>4906.770229</v>
      </c>
      <c r="BM171" s="198">
        <f t="shared" si="111"/>
        <v>2242.199054</v>
      </c>
      <c r="BN171" s="198">
        <f t="shared" si="111"/>
        <v>2311.718248</v>
      </c>
      <c r="BO171" s="198">
        <f t="shared" si="111"/>
        <v>1880.944501</v>
      </c>
      <c r="BP171" s="198">
        <f t="shared" si="111"/>
        <v>1991.6722</v>
      </c>
      <c r="BQ171" s="198">
        <f t="shared" si="111"/>
        <v>2125.472821</v>
      </c>
      <c r="BR171" s="198">
        <f t="shared" si="111"/>
        <v>2141.762468</v>
      </c>
      <c r="BS171" s="198">
        <f t="shared" si="111"/>
        <v>1703.052027</v>
      </c>
      <c r="BT171" s="198">
        <f t="shared" si="111"/>
        <v>1836.533598</v>
      </c>
      <c r="BU171" s="198">
        <f t="shared" si="111"/>
        <v>1285.260958</v>
      </c>
      <c r="BV171" s="198">
        <f t="shared" si="111"/>
        <v>1355.996802</v>
      </c>
      <c r="BW171" s="198">
        <f t="shared" si="111"/>
        <v>362.1943198</v>
      </c>
      <c r="BX171" s="198">
        <f t="shared" si="111"/>
        <v>382.4534201</v>
      </c>
      <c r="BY171" s="198">
        <f t="shared" si="111"/>
        <v>425.6737364</v>
      </c>
      <c r="BZ171" s="198">
        <f t="shared" si="111"/>
        <v>427.6303756</v>
      </c>
      <c r="CA171" s="198">
        <f t="shared" si="111"/>
        <v>-96.23825209</v>
      </c>
      <c r="CB171" s="198">
        <f t="shared" si="111"/>
        <v>-26.75488125</v>
      </c>
      <c r="CC171" s="198">
        <f t="shared" si="111"/>
        <v>72.84653033</v>
      </c>
      <c r="CD171" s="198">
        <f t="shared" si="111"/>
        <v>118.00441</v>
      </c>
      <c r="CE171" s="198">
        <f t="shared" si="111"/>
        <v>-386.4041977</v>
      </c>
      <c r="CF171" s="198">
        <f t="shared" si="111"/>
        <v>-271.1278233</v>
      </c>
      <c r="CG171" s="198">
        <f t="shared" si="111"/>
        <v>-154.2038939</v>
      </c>
      <c r="CH171" s="198">
        <f t="shared" si="111"/>
        <v>-95.58042621</v>
      </c>
      <c r="CI171" s="137"/>
      <c r="CJ171" s="137"/>
      <c r="CK171" s="137"/>
      <c r="CL171" s="137"/>
      <c r="CM171" s="137"/>
      <c r="CN171" s="137"/>
      <c r="CO171" s="137"/>
      <c r="CP171" s="137"/>
    </row>
    <row r="172" ht="15.75" customHeight="1">
      <c r="A172" s="137" t="s">
        <v>96</v>
      </c>
      <c r="B172" s="427"/>
      <c r="C172" s="427">
        <f t="shared" ref="C172:N172" si="112">C164/C66</f>
        <v>202.8209262</v>
      </c>
      <c r="D172" s="427">
        <f t="shared" si="112"/>
        <v>3549.486248</v>
      </c>
      <c r="E172" s="427">
        <f t="shared" si="112"/>
        <v>2433.492043</v>
      </c>
      <c r="F172" s="427">
        <f t="shared" si="112"/>
        <v>-2087.294169</v>
      </c>
      <c r="G172" s="427">
        <f t="shared" si="112"/>
        <v>3316.339197</v>
      </c>
      <c r="H172" s="427">
        <f t="shared" si="112"/>
        <v>3076.604636</v>
      </c>
      <c r="I172" s="427">
        <f t="shared" si="112"/>
        <v>-165.1246201</v>
      </c>
      <c r="J172" s="427">
        <f t="shared" si="112"/>
        <v>-903.7117654</v>
      </c>
      <c r="K172" s="427">
        <f t="shared" si="112"/>
        <v>-10974.04484</v>
      </c>
      <c r="L172" s="198">
        <f t="shared" si="112"/>
        <v>3352.520299</v>
      </c>
      <c r="M172" s="198">
        <f t="shared" si="112"/>
        <v>-1302.494173</v>
      </c>
      <c r="N172" s="198">
        <f t="shared" si="112"/>
        <v>-17426.1467</v>
      </c>
      <c r="O172" s="198">
        <f t="shared" ref="O172:V172" si="113">IFERROR(O164/O66,0)</f>
        <v>477.0541547</v>
      </c>
      <c r="P172" s="198">
        <f t="shared" si="113"/>
        <v>-1919.602119</v>
      </c>
      <c r="Q172" s="198">
        <f t="shared" si="113"/>
        <v>-3980.333168</v>
      </c>
      <c r="R172" s="198">
        <f t="shared" si="113"/>
        <v>-2364.552082</v>
      </c>
      <c r="S172" s="198">
        <f t="shared" si="113"/>
        <v>-967.1078769</v>
      </c>
      <c r="T172" s="198">
        <f t="shared" si="113"/>
        <v>2348.064589</v>
      </c>
      <c r="U172" s="198">
        <f t="shared" si="113"/>
        <v>4224.248833</v>
      </c>
      <c r="V172" s="198">
        <f t="shared" si="113"/>
        <v>11018.4155</v>
      </c>
      <c r="W172" s="198">
        <f t="shared" ref="W172:CH172" si="114">W164/W66</f>
        <v>1973.093762</v>
      </c>
      <c r="X172" s="198">
        <f t="shared" si="114"/>
        <v>-1896.021353</v>
      </c>
      <c r="Y172" s="198">
        <f t="shared" si="114"/>
        <v>312.423913</v>
      </c>
      <c r="Z172" s="198">
        <f t="shared" si="114"/>
        <v>78203.26068</v>
      </c>
      <c r="AA172" s="198">
        <f t="shared" si="114"/>
        <v>78386.41818</v>
      </c>
      <c r="AB172" s="198">
        <f t="shared" si="114"/>
        <v>80269.76341</v>
      </c>
      <c r="AC172" s="198">
        <f t="shared" si="114"/>
        <v>81642.63131</v>
      </c>
      <c r="AD172" s="198">
        <f t="shared" si="114"/>
        <v>82082.77994</v>
      </c>
      <c r="AE172" s="198">
        <f t="shared" si="114"/>
        <v>81786.83312</v>
      </c>
      <c r="AF172" s="198">
        <f t="shared" si="114"/>
        <v>82641.91022</v>
      </c>
      <c r="AG172" s="198">
        <f t="shared" si="114"/>
        <v>83384.6263</v>
      </c>
      <c r="AH172" s="198">
        <f t="shared" si="114"/>
        <v>83367.80094</v>
      </c>
      <c r="AI172" s="198">
        <f t="shared" si="114"/>
        <v>82864.37139</v>
      </c>
      <c r="AJ172" s="198">
        <f t="shared" si="114"/>
        <v>82874.53651</v>
      </c>
      <c r="AK172" s="198">
        <f t="shared" si="114"/>
        <v>83380.63432</v>
      </c>
      <c r="AL172" s="198">
        <f t="shared" si="114"/>
        <v>83367.88543</v>
      </c>
      <c r="AM172" s="198">
        <f t="shared" si="114"/>
        <v>85903.09791</v>
      </c>
      <c r="AN172" s="198">
        <f t="shared" si="114"/>
        <v>86113.88355</v>
      </c>
      <c r="AO172" s="198">
        <f t="shared" si="114"/>
        <v>86331.74139</v>
      </c>
      <c r="AP172" s="198">
        <f t="shared" si="114"/>
        <v>86144.74317</v>
      </c>
      <c r="AQ172" s="198">
        <f t="shared" si="114"/>
        <v>85736.30035</v>
      </c>
      <c r="AR172" s="198">
        <f t="shared" si="114"/>
        <v>85984.65207</v>
      </c>
      <c r="AS172" s="198">
        <f t="shared" si="114"/>
        <v>86259.85742</v>
      </c>
      <c r="AT172" s="198">
        <f t="shared" si="114"/>
        <v>86094.54567</v>
      </c>
      <c r="AU172" s="198">
        <f t="shared" si="114"/>
        <v>85668.81563</v>
      </c>
      <c r="AV172" s="198">
        <f t="shared" si="114"/>
        <v>85903.68616</v>
      </c>
      <c r="AW172" s="198">
        <f t="shared" si="114"/>
        <v>86135.70561</v>
      </c>
      <c r="AX172" s="198">
        <f t="shared" si="114"/>
        <v>85942.25477</v>
      </c>
      <c r="AY172" s="198">
        <f t="shared" si="114"/>
        <v>87050.99518</v>
      </c>
      <c r="AZ172" s="198">
        <f t="shared" si="114"/>
        <v>72876.15161</v>
      </c>
      <c r="BA172" s="198">
        <f t="shared" si="114"/>
        <v>73149.60565</v>
      </c>
      <c r="BB172" s="198">
        <f t="shared" si="114"/>
        <v>72998.99289</v>
      </c>
      <c r="BC172" s="198">
        <f t="shared" si="114"/>
        <v>72016.40404</v>
      </c>
      <c r="BD172" s="198">
        <f t="shared" si="114"/>
        <v>72265.62441</v>
      </c>
      <c r="BE172" s="198">
        <f t="shared" si="114"/>
        <v>72158.80653</v>
      </c>
      <c r="BF172" s="198">
        <f t="shared" si="114"/>
        <v>72003.71688</v>
      </c>
      <c r="BG172" s="198">
        <f t="shared" si="114"/>
        <v>70985.56339</v>
      </c>
      <c r="BH172" s="198">
        <f t="shared" si="114"/>
        <v>71223.81062</v>
      </c>
      <c r="BI172" s="198">
        <f t="shared" si="114"/>
        <v>71456.21848</v>
      </c>
      <c r="BJ172" s="198">
        <f t="shared" si="114"/>
        <v>71293.97552</v>
      </c>
      <c r="BK172" s="198">
        <f t="shared" si="114"/>
        <v>70109.38949</v>
      </c>
      <c r="BL172" s="198">
        <f t="shared" si="114"/>
        <v>70342.65532</v>
      </c>
      <c r="BM172" s="198">
        <f t="shared" si="114"/>
        <v>70550.82248</v>
      </c>
      <c r="BN172" s="198">
        <f t="shared" si="114"/>
        <v>70390.56964</v>
      </c>
      <c r="BO172" s="198">
        <f t="shared" si="114"/>
        <v>69329.33783</v>
      </c>
      <c r="BP172" s="198">
        <f t="shared" si="114"/>
        <v>69398.65273</v>
      </c>
      <c r="BQ172" s="198">
        <f t="shared" si="114"/>
        <v>69604.52565</v>
      </c>
      <c r="BR172" s="198">
        <f t="shared" si="114"/>
        <v>69168.3926</v>
      </c>
      <c r="BS172" s="198">
        <f t="shared" si="114"/>
        <v>68072.69046</v>
      </c>
      <c r="BT172" s="198">
        <f t="shared" si="114"/>
        <v>68279.7567</v>
      </c>
      <c r="BU172" s="198">
        <f t="shared" si="114"/>
        <v>68481.60147</v>
      </c>
      <c r="BV172" s="198">
        <f t="shared" si="114"/>
        <v>68327.96702</v>
      </c>
      <c r="BW172" s="198">
        <f t="shared" si="114"/>
        <v>67211.21924</v>
      </c>
      <c r="BX172" s="198">
        <f t="shared" si="114"/>
        <v>67283.83886</v>
      </c>
      <c r="BY172" s="198">
        <f t="shared" si="114"/>
        <v>67452.78653</v>
      </c>
      <c r="BZ172" s="198">
        <f t="shared" si="114"/>
        <v>67281.54014</v>
      </c>
      <c r="CA172" s="198">
        <f t="shared" si="114"/>
        <v>66186.04329</v>
      </c>
      <c r="CB172" s="198">
        <f t="shared" si="114"/>
        <v>66234.27196</v>
      </c>
      <c r="CC172" s="198">
        <f t="shared" si="114"/>
        <v>66402.94788</v>
      </c>
      <c r="CD172" s="198">
        <f t="shared" si="114"/>
        <v>66237.42111</v>
      </c>
      <c r="CE172" s="198">
        <f t="shared" si="114"/>
        <v>65105.26116</v>
      </c>
      <c r="CF172" s="198">
        <f t="shared" si="114"/>
        <v>65272.08763</v>
      </c>
      <c r="CG172" s="198">
        <f t="shared" si="114"/>
        <v>65436.89109</v>
      </c>
      <c r="CH172" s="198">
        <f t="shared" si="114"/>
        <v>65272.21889</v>
      </c>
      <c r="CI172" s="137"/>
      <c r="CJ172" s="137"/>
      <c r="CK172" s="137"/>
      <c r="CL172" s="137"/>
      <c r="CM172" s="137"/>
      <c r="CN172" s="137"/>
      <c r="CO172" s="137"/>
      <c r="CP172" s="137"/>
    </row>
    <row r="173" ht="15.75" customHeight="1">
      <c r="A173" s="357" t="s">
        <v>672</v>
      </c>
      <c r="B173" s="429"/>
      <c r="C173" s="429">
        <f t="shared" ref="C173:CH173" si="115">C165/C67</f>
        <v>141998.3733</v>
      </c>
      <c r="D173" s="429">
        <f t="shared" si="115"/>
        <v>121615.6858</v>
      </c>
      <c r="E173" s="422">
        <f t="shared" si="115"/>
        <v>225567.2864</v>
      </c>
      <c r="F173" s="422">
        <f t="shared" si="115"/>
        <v>235924.0568</v>
      </c>
      <c r="G173" s="422">
        <f t="shared" si="115"/>
        <v>195424.1597</v>
      </c>
      <c r="H173" s="422">
        <f t="shared" si="115"/>
        <v>141417.3877</v>
      </c>
      <c r="I173" s="422">
        <f t="shared" si="115"/>
        <v>123442.5049</v>
      </c>
      <c r="J173" s="422">
        <f t="shared" si="115"/>
        <v>119155.8043</v>
      </c>
      <c r="K173" s="422">
        <f t="shared" si="115"/>
        <v>149758.5934</v>
      </c>
      <c r="L173" s="422">
        <f t="shared" si="115"/>
        <v>155506.1128</v>
      </c>
      <c r="M173" s="422">
        <f t="shared" si="115"/>
        <v>110439.076</v>
      </c>
      <c r="N173" s="422">
        <f t="shared" si="115"/>
        <v>118399.2774</v>
      </c>
      <c r="O173" s="422">
        <f t="shared" si="115"/>
        <v>157684.9539</v>
      </c>
      <c r="P173" s="422">
        <f t="shared" si="115"/>
        <v>94427.65959</v>
      </c>
      <c r="Q173" s="422">
        <f t="shared" si="115"/>
        <v>144838.382</v>
      </c>
      <c r="R173" s="422">
        <f t="shared" si="115"/>
        <v>89589.433</v>
      </c>
      <c r="S173" s="422">
        <f t="shared" si="115"/>
        <v>127264.0488</v>
      </c>
      <c r="T173" s="422">
        <f t="shared" si="115"/>
        <v>107191.6833</v>
      </c>
      <c r="U173" s="422">
        <f t="shared" si="115"/>
        <v>248379.9875</v>
      </c>
      <c r="V173" s="422">
        <f t="shared" si="115"/>
        <v>155282.1929</v>
      </c>
      <c r="W173" s="422">
        <f t="shared" si="115"/>
        <v>233309.9435</v>
      </c>
      <c r="X173" s="422">
        <f t="shared" si="115"/>
        <v>94573.82768</v>
      </c>
      <c r="Y173" s="422">
        <f t="shared" si="115"/>
        <v>218739.8403</v>
      </c>
      <c r="Z173" s="422">
        <f t="shared" si="115"/>
        <v>172440.5107</v>
      </c>
      <c r="AA173" s="422">
        <f t="shared" si="115"/>
        <v>100948.85</v>
      </c>
      <c r="AB173" s="422">
        <f t="shared" si="115"/>
        <v>85894.69766</v>
      </c>
      <c r="AC173" s="422">
        <f t="shared" si="115"/>
        <v>78150.71713</v>
      </c>
      <c r="AD173" s="422">
        <f t="shared" si="115"/>
        <v>76666.31452</v>
      </c>
      <c r="AE173" s="422">
        <f t="shared" si="115"/>
        <v>82276.16915</v>
      </c>
      <c r="AF173" s="422">
        <f t="shared" si="115"/>
        <v>87330.78114</v>
      </c>
      <c r="AG173" s="422">
        <f t="shared" si="115"/>
        <v>92262.51825</v>
      </c>
      <c r="AH173" s="422">
        <f t="shared" si="115"/>
        <v>95934.47083</v>
      </c>
      <c r="AI173" s="422">
        <f t="shared" si="115"/>
        <v>97607.35979</v>
      </c>
      <c r="AJ173" s="422">
        <f t="shared" si="115"/>
        <v>97260.52653</v>
      </c>
      <c r="AK173" s="422">
        <f t="shared" si="115"/>
        <v>100580.3829</v>
      </c>
      <c r="AL173" s="422">
        <f t="shared" si="115"/>
        <v>103030.2825</v>
      </c>
      <c r="AM173" s="422">
        <f t="shared" si="115"/>
        <v>106283.4113</v>
      </c>
      <c r="AN173" s="422">
        <f t="shared" si="115"/>
        <v>106108.2591</v>
      </c>
      <c r="AO173" s="422">
        <f t="shared" si="115"/>
        <v>106582.0465</v>
      </c>
      <c r="AP173" s="422">
        <f t="shared" si="115"/>
        <v>107503.0463</v>
      </c>
      <c r="AQ173" s="422">
        <f t="shared" si="115"/>
        <v>107643.3981</v>
      </c>
      <c r="AR173" s="422">
        <f t="shared" si="115"/>
        <v>108876.6277</v>
      </c>
      <c r="AS173" s="422">
        <f t="shared" si="115"/>
        <v>108631.0952</v>
      </c>
      <c r="AT173" s="422">
        <f t="shared" si="115"/>
        <v>108756.9968</v>
      </c>
      <c r="AU173" s="422">
        <f t="shared" si="115"/>
        <v>108581.8672</v>
      </c>
      <c r="AV173" s="422">
        <f t="shared" si="115"/>
        <v>108802.7137</v>
      </c>
      <c r="AW173" s="422">
        <f t="shared" si="115"/>
        <v>108809.5461</v>
      </c>
      <c r="AX173" s="422">
        <f t="shared" si="115"/>
        <v>109353.9811</v>
      </c>
      <c r="AY173" s="422">
        <f t="shared" si="115"/>
        <v>118460.3719</v>
      </c>
      <c r="AZ173" s="422">
        <f t="shared" si="115"/>
        <v>118170.6176</v>
      </c>
      <c r="BA173" s="422">
        <f t="shared" si="115"/>
        <v>118561.9278</v>
      </c>
      <c r="BB173" s="422">
        <f t="shared" si="115"/>
        <v>118300.0815</v>
      </c>
      <c r="BC173" s="422">
        <f t="shared" si="115"/>
        <v>118577.6859</v>
      </c>
      <c r="BD173" s="422">
        <f t="shared" si="115"/>
        <v>119140.6651</v>
      </c>
      <c r="BE173" s="422">
        <f t="shared" si="115"/>
        <v>119466.2234</v>
      </c>
      <c r="BF173" s="422">
        <f t="shared" si="115"/>
        <v>120173.5489</v>
      </c>
      <c r="BG173" s="422">
        <f t="shared" si="115"/>
        <v>119915.5471</v>
      </c>
      <c r="BH173" s="422">
        <f t="shared" si="115"/>
        <v>120180.1229</v>
      </c>
      <c r="BI173" s="422">
        <f t="shared" si="115"/>
        <v>120998.0493</v>
      </c>
      <c r="BJ173" s="422">
        <f t="shared" si="115"/>
        <v>120843.5128</v>
      </c>
      <c r="BK173" s="422">
        <f t="shared" si="115"/>
        <v>125180.9806</v>
      </c>
      <c r="BL173" s="422">
        <f t="shared" si="115"/>
        <v>124086.5687</v>
      </c>
      <c r="BM173" s="422">
        <f t="shared" si="115"/>
        <v>123434.7191</v>
      </c>
      <c r="BN173" s="422">
        <f t="shared" si="115"/>
        <v>123799.6159</v>
      </c>
      <c r="BO173" s="422">
        <f t="shared" si="115"/>
        <v>123026.1097</v>
      </c>
      <c r="BP173" s="422">
        <f t="shared" si="115"/>
        <v>123626.2812</v>
      </c>
      <c r="BQ173" s="422">
        <f t="shared" si="115"/>
        <v>123567.8774</v>
      </c>
      <c r="BR173" s="422">
        <f t="shared" si="115"/>
        <v>123708.7824</v>
      </c>
      <c r="BS173" s="422">
        <f t="shared" si="115"/>
        <v>122781.7626</v>
      </c>
      <c r="BT173" s="422">
        <f t="shared" si="115"/>
        <v>123318.4713</v>
      </c>
      <c r="BU173" s="422">
        <f t="shared" si="115"/>
        <v>122826.4991</v>
      </c>
      <c r="BV173" s="422">
        <f t="shared" si="115"/>
        <v>123539.566</v>
      </c>
      <c r="BW173" s="422">
        <f t="shared" si="115"/>
        <v>123152.5855</v>
      </c>
      <c r="BX173" s="422">
        <f t="shared" si="115"/>
        <v>124035.7499</v>
      </c>
      <c r="BY173" s="422">
        <f t="shared" si="115"/>
        <v>125759.2018</v>
      </c>
      <c r="BZ173" s="422">
        <f t="shared" si="115"/>
        <v>125944.5069</v>
      </c>
      <c r="CA173" s="422">
        <f t="shared" si="115"/>
        <v>125173.0678</v>
      </c>
      <c r="CB173" s="422">
        <f t="shared" si="115"/>
        <v>125021.1588</v>
      </c>
      <c r="CC173" s="422">
        <f t="shared" si="115"/>
        <v>125240.9103</v>
      </c>
      <c r="CD173" s="422">
        <f t="shared" si="115"/>
        <v>125836.2887</v>
      </c>
      <c r="CE173" s="422">
        <f t="shared" si="115"/>
        <v>124370.2347</v>
      </c>
      <c r="CF173" s="422">
        <f t="shared" si="115"/>
        <v>124912.6296</v>
      </c>
      <c r="CG173" s="422">
        <f t="shared" si="115"/>
        <v>124616.3726</v>
      </c>
      <c r="CH173" s="422">
        <f t="shared" si="115"/>
        <v>124510.6104</v>
      </c>
      <c r="CI173" s="137"/>
      <c r="CJ173" s="137"/>
      <c r="CK173" s="137"/>
      <c r="CL173" s="137"/>
      <c r="CM173" s="137"/>
      <c r="CN173" s="137"/>
      <c r="CO173" s="137"/>
      <c r="CP173" s="137"/>
    </row>
    <row r="174" ht="15.75"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c r="AY174" s="137"/>
      <c r="AZ174" s="137"/>
      <c r="BA174" s="137"/>
      <c r="BB174" s="137"/>
      <c r="BC174" s="137"/>
      <c r="BD174" s="137"/>
      <c r="BE174" s="137"/>
      <c r="BF174" s="137"/>
      <c r="BG174" s="137"/>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c r="CL174" s="137"/>
      <c r="CM174" s="137"/>
      <c r="CN174" s="137"/>
      <c r="CO174" s="137"/>
      <c r="CP174" s="137"/>
    </row>
    <row r="175" ht="15.75" customHeight="1">
      <c r="A175" s="1" t="s">
        <v>608</v>
      </c>
      <c r="C175" s="131">
        <f t="shared" ref="C175:T175" si="116">SUM(C40:C42)</f>
        <v>506481</v>
      </c>
      <c r="D175" s="131">
        <f t="shared" si="116"/>
        <v>669957</v>
      </c>
      <c r="E175" s="131">
        <f t="shared" si="116"/>
        <v>615637</v>
      </c>
      <c r="F175" s="131">
        <f t="shared" si="116"/>
        <v>730962</v>
      </c>
      <c r="G175" s="131">
        <f t="shared" si="116"/>
        <v>688107</v>
      </c>
      <c r="H175" s="131">
        <f t="shared" si="116"/>
        <v>658349</v>
      </c>
      <c r="I175" s="131">
        <f t="shared" si="116"/>
        <v>614622</v>
      </c>
      <c r="J175" s="131">
        <f t="shared" si="116"/>
        <v>517106</v>
      </c>
      <c r="K175" s="131">
        <f t="shared" si="116"/>
        <v>623678</v>
      </c>
      <c r="L175" s="131">
        <f t="shared" si="116"/>
        <v>652010</v>
      </c>
      <c r="M175" s="131">
        <f t="shared" si="116"/>
        <v>653878</v>
      </c>
      <c r="N175" s="131">
        <f t="shared" si="116"/>
        <v>615206</v>
      </c>
      <c r="O175" s="131">
        <f t="shared" si="116"/>
        <v>650347</v>
      </c>
      <c r="P175" s="131">
        <f t="shared" si="116"/>
        <v>616339</v>
      </c>
      <c r="Q175" s="131">
        <f t="shared" si="116"/>
        <v>573909</v>
      </c>
      <c r="R175" s="131">
        <f t="shared" si="116"/>
        <v>638648</v>
      </c>
      <c r="S175" s="131">
        <f t="shared" si="116"/>
        <v>681657</v>
      </c>
      <c r="T175" s="131">
        <f t="shared" si="116"/>
        <v>538063</v>
      </c>
      <c r="U175" s="131">
        <f>SUM(U93:U95)</f>
        <v>595144</v>
      </c>
      <c r="V175" s="131">
        <f t="shared" ref="V175:CH175" si="117">SUM(V40:V42)</f>
        <v>761651</v>
      </c>
      <c r="W175" s="131">
        <f t="shared" si="117"/>
        <v>763440</v>
      </c>
      <c r="X175" s="131">
        <f t="shared" si="117"/>
        <v>622766</v>
      </c>
      <c r="Y175" s="131">
        <f t="shared" si="117"/>
        <v>684121</v>
      </c>
      <c r="Z175" s="131">
        <f t="shared" si="117"/>
        <v>822672.0033</v>
      </c>
      <c r="AA175" s="131">
        <f t="shared" si="117"/>
        <v>987803.318</v>
      </c>
      <c r="AB175" s="131">
        <f t="shared" si="117"/>
        <v>1171565.992</v>
      </c>
      <c r="AC175" s="131">
        <f t="shared" si="117"/>
        <v>1358347.594</v>
      </c>
      <c r="AD175" s="131">
        <f t="shared" si="117"/>
        <v>1545746.705</v>
      </c>
      <c r="AE175" s="131">
        <f t="shared" si="117"/>
        <v>1732672.816</v>
      </c>
      <c r="AF175" s="131">
        <f t="shared" si="117"/>
        <v>1918149.755</v>
      </c>
      <c r="AG175" s="131">
        <f t="shared" si="117"/>
        <v>2101775.456</v>
      </c>
      <c r="AH175" s="131">
        <f t="shared" si="117"/>
        <v>2279814.96</v>
      </c>
      <c r="AI175" s="131">
        <f t="shared" si="117"/>
        <v>2456578.81</v>
      </c>
      <c r="AJ175" s="131">
        <f t="shared" si="117"/>
        <v>2617945.847</v>
      </c>
      <c r="AK175" s="131">
        <f t="shared" si="117"/>
        <v>2779499.749</v>
      </c>
      <c r="AL175" s="131">
        <f t="shared" si="117"/>
        <v>2941417.788</v>
      </c>
      <c r="AM175" s="131">
        <f t="shared" si="117"/>
        <v>3055961.813</v>
      </c>
      <c r="AN175" s="131">
        <f t="shared" si="117"/>
        <v>3123239.308</v>
      </c>
      <c r="AO175" s="131">
        <f t="shared" si="117"/>
        <v>3181760.009</v>
      </c>
      <c r="AP175" s="131">
        <f t="shared" si="117"/>
        <v>3238991.875</v>
      </c>
      <c r="AQ175" s="131">
        <f t="shared" si="117"/>
        <v>3295012.695</v>
      </c>
      <c r="AR175" s="131">
        <f t="shared" si="117"/>
        <v>3350759.659</v>
      </c>
      <c r="AS175" s="131">
        <f t="shared" si="117"/>
        <v>3405401.928</v>
      </c>
      <c r="AT175" s="131">
        <f t="shared" si="117"/>
        <v>3459008.752</v>
      </c>
      <c r="AU175" s="131">
        <f t="shared" si="117"/>
        <v>3511646.138</v>
      </c>
      <c r="AV175" s="131">
        <f t="shared" si="117"/>
        <v>3563377.012</v>
      </c>
      <c r="AW175" s="131">
        <f t="shared" si="117"/>
        <v>3614261.372</v>
      </c>
      <c r="AX175" s="131">
        <f t="shared" si="117"/>
        <v>3664356.434</v>
      </c>
      <c r="AY175" s="131">
        <f t="shared" si="117"/>
        <v>3745877.774</v>
      </c>
      <c r="AZ175" s="131">
        <f t="shared" si="117"/>
        <v>3826446.382</v>
      </c>
      <c r="BA175" s="131">
        <f t="shared" si="117"/>
        <v>3905471.049</v>
      </c>
      <c r="BB175" s="131">
        <f t="shared" si="117"/>
        <v>3983029.885</v>
      </c>
      <c r="BC175" s="131">
        <f t="shared" si="117"/>
        <v>4059197.988</v>
      </c>
      <c r="BD175" s="131">
        <f t="shared" si="117"/>
        <v>4134047.565</v>
      </c>
      <c r="BE175" s="131">
        <f t="shared" si="117"/>
        <v>4207648.053</v>
      </c>
      <c r="BF175" s="131">
        <f t="shared" si="117"/>
        <v>4280066.234</v>
      </c>
      <c r="BG175" s="131">
        <f t="shared" si="117"/>
        <v>4351366.343</v>
      </c>
      <c r="BH175" s="131">
        <f t="shared" si="117"/>
        <v>4421610.175</v>
      </c>
      <c r="BI175" s="131">
        <f t="shared" si="117"/>
        <v>4490857.184</v>
      </c>
      <c r="BJ175" s="131">
        <f t="shared" si="117"/>
        <v>4559164.583</v>
      </c>
      <c r="BK175" s="131">
        <f t="shared" si="117"/>
        <v>4639032.99</v>
      </c>
      <c r="BL175" s="131">
        <f t="shared" si="117"/>
        <v>4714502.379</v>
      </c>
      <c r="BM175" s="131">
        <f t="shared" si="117"/>
        <v>4780899.251</v>
      </c>
      <c r="BN175" s="131">
        <f t="shared" si="117"/>
        <v>4846855.602</v>
      </c>
      <c r="BO175" s="131">
        <f t="shared" si="117"/>
        <v>4912417.195</v>
      </c>
      <c r="BP175" s="131">
        <f t="shared" si="117"/>
        <v>4977628.624</v>
      </c>
      <c r="BQ175" s="131">
        <f t="shared" si="117"/>
        <v>5042533.382</v>
      </c>
      <c r="BR175" s="131">
        <f t="shared" si="117"/>
        <v>5107173.917</v>
      </c>
      <c r="BS175" s="131">
        <f t="shared" si="117"/>
        <v>5171591.69</v>
      </c>
      <c r="BT175" s="131">
        <f t="shared" si="117"/>
        <v>5235827.234</v>
      </c>
      <c r="BU175" s="131">
        <f t="shared" si="117"/>
        <v>5299920.203</v>
      </c>
      <c r="BV175" s="131">
        <f t="shared" si="117"/>
        <v>5363909.434</v>
      </c>
      <c r="BW175" s="131">
        <f t="shared" si="117"/>
        <v>5434994.242</v>
      </c>
      <c r="BX175" s="131">
        <f t="shared" si="117"/>
        <v>5489185.157</v>
      </c>
      <c r="BY175" s="131">
        <f t="shared" si="117"/>
        <v>5533937.281</v>
      </c>
      <c r="BZ175" s="131">
        <f t="shared" si="117"/>
        <v>5578189.702</v>
      </c>
      <c r="CA175" s="131">
        <f t="shared" si="117"/>
        <v>5621988.85</v>
      </c>
      <c r="CB175" s="131">
        <f t="shared" si="117"/>
        <v>5665379.225</v>
      </c>
      <c r="CC175" s="131">
        <f t="shared" si="117"/>
        <v>5708403.48</v>
      </c>
      <c r="CD175" s="131">
        <f t="shared" si="117"/>
        <v>5751102.501</v>
      </c>
      <c r="CE175" s="131">
        <f t="shared" si="117"/>
        <v>5793515.483</v>
      </c>
      <c r="CF175" s="131">
        <f t="shared" si="117"/>
        <v>5835680.005</v>
      </c>
      <c r="CG175" s="131">
        <f t="shared" si="117"/>
        <v>5877632.096</v>
      </c>
      <c r="CH175" s="131">
        <f t="shared" si="117"/>
        <v>5919406.308</v>
      </c>
      <c r="CI175" s="1"/>
      <c r="CJ175" s="1"/>
      <c r="CK175" s="1"/>
      <c r="CL175" s="1"/>
      <c r="CM175" s="1"/>
      <c r="CN175" s="1"/>
      <c r="CO175" s="1"/>
      <c r="CP175" s="1"/>
    </row>
    <row r="176" ht="15.75" customHeight="1">
      <c r="A176" s="129"/>
      <c r="B176" s="30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row>
    <row r="177" ht="15.75" customHeight="1">
      <c r="A177" s="129"/>
      <c r="B177" s="30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row>
    <row r="178" ht="15.75" customHeight="1">
      <c r="CI178" s="1"/>
      <c r="CJ178" s="1"/>
      <c r="CK178" s="1"/>
      <c r="CL178" s="1"/>
      <c r="CM178" s="1"/>
      <c r="CN178" s="1"/>
      <c r="CO178" s="1"/>
      <c r="CP178" s="1"/>
    </row>
    <row r="179" ht="15.75" customHeight="1">
      <c r="CI179" s="1"/>
      <c r="CJ179" s="1"/>
      <c r="CK179" s="1"/>
      <c r="CL179" s="1"/>
      <c r="CM179" s="1"/>
      <c r="CN179" s="1"/>
      <c r="CO179" s="1"/>
      <c r="CP179" s="1"/>
    </row>
    <row r="180" ht="15.75" customHeight="1">
      <c r="CI180" s="1"/>
      <c r="CJ180" s="1"/>
      <c r="CK180" s="1"/>
      <c r="CL180" s="1"/>
      <c r="CM180" s="1"/>
      <c r="CN180" s="1"/>
      <c r="CO180" s="1"/>
      <c r="CP180" s="1"/>
    </row>
    <row r="181" ht="15.75" customHeight="1">
      <c r="CI181" s="1"/>
      <c r="CJ181" s="1"/>
      <c r="CK181" s="1"/>
      <c r="CL181" s="1"/>
      <c r="CM181" s="1"/>
      <c r="CN181" s="1"/>
      <c r="CO181" s="1"/>
      <c r="CP181" s="1"/>
    </row>
    <row r="182" ht="15.75" customHeight="1">
      <c r="CI182" s="1"/>
      <c r="CJ182" s="1"/>
      <c r="CK182" s="1"/>
      <c r="CL182" s="1"/>
      <c r="CM182" s="1"/>
      <c r="CN182" s="1"/>
      <c r="CO182" s="1"/>
      <c r="CP182" s="1"/>
    </row>
    <row r="183" ht="15.75" customHeight="1">
      <c r="CI183" s="1"/>
      <c r="CJ183" s="1"/>
      <c r="CK183" s="1"/>
      <c r="CL183" s="1"/>
      <c r="CM183" s="1"/>
      <c r="CN183" s="1"/>
      <c r="CO183" s="1"/>
      <c r="CP183" s="1"/>
    </row>
    <row r="184" ht="15.75" customHeight="1">
      <c r="CI184" s="1"/>
      <c r="CJ184" s="1"/>
      <c r="CK184" s="1"/>
      <c r="CL184" s="1"/>
      <c r="CM184" s="1"/>
      <c r="CN184" s="1"/>
      <c r="CO184" s="1"/>
      <c r="CP184" s="1"/>
    </row>
    <row r="185" ht="15.75" customHeight="1">
      <c r="CI185" s="1"/>
      <c r="CJ185" s="1"/>
      <c r="CK185" s="1"/>
      <c r="CL185" s="1"/>
      <c r="CM185" s="1"/>
      <c r="CN185" s="1"/>
      <c r="CO185" s="1"/>
      <c r="CP185" s="1"/>
    </row>
    <row r="186" ht="15.75" customHeight="1">
      <c r="CI186" s="1"/>
      <c r="CJ186" s="1"/>
      <c r="CK186" s="1"/>
      <c r="CL186" s="1"/>
      <c r="CM186" s="1"/>
      <c r="CN186" s="1"/>
      <c r="CO186" s="1"/>
      <c r="CP186" s="1"/>
    </row>
    <row r="187" ht="15.75" customHeight="1">
      <c r="CI187" s="1"/>
      <c r="CJ187" s="1"/>
      <c r="CK187" s="1"/>
      <c r="CL187" s="1"/>
      <c r="CM187" s="1"/>
      <c r="CN187" s="1"/>
      <c r="CO187" s="1"/>
      <c r="CP187" s="1"/>
    </row>
    <row r="188" ht="15.75" customHeight="1">
      <c r="CI188" s="1"/>
      <c r="CJ188" s="1"/>
      <c r="CK188" s="1"/>
      <c r="CL188" s="1"/>
      <c r="CM188" s="1"/>
      <c r="CN188" s="1"/>
      <c r="CO188" s="1"/>
      <c r="CP188" s="1"/>
    </row>
    <row r="189" ht="15.75" customHeight="1">
      <c r="CI189" s="1"/>
      <c r="CJ189" s="1"/>
      <c r="CK189" s="1"/>
      <c r="CL189" s="1"/>
      <c r="CM189" s="1"/>
      <c r="CN189" s="1"/>
      <c r="CO189" s="1"/>
      <c r="CP189" s="1"/>
    </row>
    <row r="190" ht="15.75" customHeight="1">
      <c r="CI190" s="1"/>
      <c r="CJ190" s="1"/>
      <c r="CK190" s="1"/>
      <c r="CL190" s="1"/>
      <c r="CM190" s="1"/>
      <c r="CN190" s="1"/>
      <c r="CO190" s="1"/>
      <c r="CP190" s="1"/>
    </row>
    <row r="191" ht="15.75" customHeight="1">
      <c r="CI191" s="1"/>
      <c r="CJ191" s="1"/>
      <c r="CK191" s="1"/>
      <c r="CL191" s="1"/>
      <c r="CM191" s="1"/>
      <c r="CN191" s="1"/>
      <c r="CO191" s="1"/>
      <c r="CP191" s="1"/>
    </row>
    <row r="192" ht="15.75" customHeight="1">
      <c r="CI192" s="1"/>
      <c r="CJ192" s="1"/>
      <c r="CK192" s="1"/>
      <c r="CL192" s="1"/>
      <c r="CM192" s="1"/>
      <c r="CN192" s="1"/>
      <c r="CO192" s="1"/>
      <c r="CP192" s="1"/>
    </row>
    <row r="193" ht="15.75" customHeight="1">
      <c r="CI193" s="1"/>
      <c r="CJ193" s="1"/>
      <c r="CK193" s="1"/>
      <c r="CL193" s="1"/>
      <c r="CM193" s="1"/>
      <c r="CN193" s="1"/>
      <c r="CO193" s="1"/>
      <c r="CP193" s="1"/>
    </row>
    <row r="194" ht="15.75" customHeight="1">
      <c r="CI194" s="1"/>
      <c r="CJ194" s="1"/>
      <c r="CK194" s="1"/>
      <c r="CL194" s="1"/>
      <c r="CM194" s="1"/>
      <c r="CN194" s="1"/>
      <c r="CO194" s="1"/>
      <c r="CP194" s="1"/>
    </row>
    <row r="195" ht="15.75" customHeight="1">
      <c r="CI195" s="1"/>
      <c r="CJ195" s="1"/>
      <c r="CK195" s="1"/>
      <c r="CL195" s="1"/>
      <c r="CM195" s="1"/>
      <c r="CN195" s="1"/>
      <c r="CO195" s="1"/>
      <c r="CP195" s="1"/>
    </row>
    <row r="196" ht="15.75" customHeight="1">
      <c r="CI196" s="1"/>
      <c r="CJ196" s="1"/>
      <c r="CK196" s="1"/>
      <c r="CL196" s="1"/>
      <c r="CM196" s="1"/>
      <c r="CN196" s="1"/>
      <c r="CO196" s="1"/>
      <c r="CP196" s="1"/>
    </row>
    <row r="197" ht="15.75" customHeight="1">
      <c r="CI197" s="1"/>
      <c r="CJ197" s="1"/>
      <c r="CK197" s="1"/>
      <c r="CL197" s="1"/>
      <c r="CM197" s="1"/>
      <c r="CN197" s="1"/>
      <c r="CO197" s="1"/>
      <c r="CP197" s="1"/>
    </row>
    <row r="198" ht="15.75" customHeight="1">
      <c r="CI198" s="1"/>
      <c r="CJ198" s="1"/>
      <c r="CK198" s="1"/>
      <c r="CL198" s="1"/>
      <c r="CM198" s="1"/>
      <c r="CN198" s="1"/>
      <c r="CO198" s="1"/>
      <c r="CP198" s="1"/>
    </row>
    <row r="199" ht="15.75" customHeight="1">
      <c r="CI199" s="1"/>
      <c r="CJ199" s="1"/>
      <c r="CK199" s="1"/>
      <c r="CL199" s="1"/>
      <c r="CM199" s="1"/>
      <c r="CN199" s="1"/>
      <c r="CO199" s="1"/>
      <c r="CP199" s="1"/>
    </row>
    <row r="200" ht="15.75" customHeight="1">
      <c r="CI200" s="1"/>
      <c r="CJ200" s="1"/>
      <c r="CK200" s="1"/>
      <c r="CL200" s="1"/>
      <c r="CM200" s="1"/>
      <c r="CN200" s="1"/>
      <c r="CO200" s="1"/>
      <c r="CP200" s="1"/>
    </row>
    <row r="201" ht="15.75" customHeight="1">
      <c r="CI201" s="1"/>
      <c r="CJ201" s="1"/>
      <c r="CK201" s="1"/>
      <c r="CL201" s="1"/>
      <c r="CM201" s="1"/>
      <c r="CN201" s="1"/>
      <c r="CO201" s="1"/>
      <c r="CP201" s="1"/>
    </row>
    <row r="202" ht="15.75" customHeight="1">
      <c r="CI202" s="1"/>
      <c r="CJ202" s="1"/>
      <c r="CK202" s="1"/>
      <c r="CL202" s="1"/>
      <c r="CM202" s="1"/>
      <c r="CN202" s="1"/>
      <c r="CO202" s="1"/>
      <c r="CP202" s="1"/>
    </row>
    <row r="203" ht="15.75" customHeight="1">
      <c r="CI203" s="1"/>
      <c r="CJ203" s="1"/>
      <c r="CK203" s="1"/>
      <c r="CL203" s="1"/>
      <c r="CM203" s="1"/>
      <c r="CN203" s="1"/>
      <c r="CO203" s="1"/>
      <c r="CP203" s="1"/>
    </row>
    <row r="204" ht="15.75" customHeight="1">
      <c r="CI204" s="1"/>
      <c r="CJ204" s="1"/>
      <c r="CK204" s="1"/>
      <c r="CL204" s="1"/>
      <c r="CM204" s="1"/>
      <c r="CN204" s="1"/>
      <c r="CO204" s="1"/>
      <c r="CP204" s="1"/>
    </row>
    <row r="205" ht="15.75" customHeight="1">
      <c r="CI205" s="1"/>
      <c r="CJ205" s="1"/>
      <c r="CK205" s="1"/>
      <c r="CL205" s="1"/>
      <c r="CM205" s="1"/>
      <c r="CN205" s="1"/>
      <c r="CO205" s="1"/>
      <c r="CP205" s="1"/>
    </row>
    <row r="206" ht="15.75" customHeight="1">
      <c r="CI206" s="1"/>
      <c r="CJ206" s="1"/>
      <c r="CK206" s="1"/>
      <c r="CL206" s="1"/>
      <c r="CM206" s="1"/>
      <c r="CN206" s="1"/>
      <c r="CO206" s="1"/>
      <c r="CP206" s="1"/>
    </row>
    <row r="207" ht="15.75" customHeight="1">
      <c r="CI207" s="1"/>
      <c r="CJ207" s="1"/>
      <c r="CK207" s="1"/>
      <c r="CL207" s="1"/>
      <c r="CM207" s="1"/>
      <c r="CN207" s="1"/>
      <c r="CO207" s="1"/>
      <c r="CP207" s="1"/>
    </row>
    <row r="208" ht="15.75" customHeight="1">
      <c r="CI208" s="1"/>
      <c r="CJ208" s="1"/>
      <c r="CK208" s="1"/>
      <c r="CL208" s="1"/>
      <c r="CM208" s="1"/>
      <c r="CN208" s="1"/>
      <c r="CO208" s="1"/>
      <c r="CP208" s="1"/>
    </row>
    <row r="209" ht="15.75" customHeight="1">
      <c r="CI209" s="1"/>
      <c r="CJ209" s="1"/>
      <c r="CK209" s="1"/>
      <c r="CL209" s="1"/>
      <c r="CM209" s="1"/>
      <c r="CN209" s="1"/>
      <c r="CO209" s="1"/>
      <c r="CP209" s="1"/>
    </row>
    <row r="210" ht="15.75" customHeight="1">
      <c r="CI210" s="1"/>
      <c r="CJ210" s="1"/>
      <c r="CK210" s="1"/>
      <c r="CL210" s="1"/>
      <c r="CM210" s="1"/>
      <c r="CN210" s="1"/>
      <c r="CO210" s="1"/>
      <c r="CP210" s="1"/>
    </row>
    <row r="211" ht="15.75" customHeight="1">
      <c r="CI211" s="1"/>
      <c r="CJ211" s="1"/>
      <c r="CK211" s="1"/>
      <c r="CL211" s="1"/>
      <c r="CM211" s="1"/>
      <c r="CN211" s="1"/>
      <c r="CO211" s="1"/>
      <c r="CP211" s="1"/>
    </row>
    <row r="212" ht="15.75" customHeight="1">
      <c r="CI212" s="1"/>
      <c r="CJ212" s="1"/>
      <c r="CK212" s="1"/>
      <c r="CL212" s="1"/>
      <c r="CM212" s="1"/>
      <c r="CN212" s="1"/>
      <c r="CO212" s="1"/>
      <c r="CP212" s="1"/>
    </row>
    <row r="213" ht="15.75" customHeight="1">
      <c r="CI213" s="1"/>
      <c r="CJ213" s="1"/>
      <c r="CK213" s="1"/>
      <c r="CL213" s="1"/>
      <c r="CM213" s="1"/>
      <c r="CN213" s="1"/>
      <c r="CO213" s="1"/>
      <c r="CP213" s="1"/>
    </row>
    <row r="214" ht="15.75" customHeight="1">
      <c r="CI214" s="1"/>
      <c r="CJ214" s="1"/>
      <c r="CK214" s="1"/>
      <c r="CL214" s="1"/>
      <c r="CM214" s="1"/>
      <c r="CN214" s="1"/>
      <c r="CO214" s="1"/>
      <c r="CP214" s="1"/>
    </row>
    <row r="215" ht="15.75" customHeight="1">
      <c r="CI215" s="1"/>
      <c r="CJ215" s="1"/>
      <c r="CK215" s="1"/>
      <c r="CL215" s="1"/>
      <c r="CM215" s="1"/>
      <c r="CN215" s="1"/>
      <c r="CO215" s="1"/>
      <c r="CP215" s="1"/>
    </row>
    <row r="216" ht="15.75" customHeight="1">
      <c r="CI216" s="1"/>
      <c r="CJ216" s="1"/>
      <c r="CK216" s="1"/>
      <c r="CL216" s="1"/>
      <c r="CM216" s="1"/>
      <c r="CN216" s="1"/>
      <c r="CO216" s="1"/>
      <c r="CP216" s="1"/>
    </row>
    <row r="217" ht="15.75" customHeight="1">
      <c r="A217" s="379"/>
      <c r="V217" s="384"/>
      <c r="CI217" s="1"/>
      <c r="CJ217" s="1"/>
      <c r="CK217" s="1"/>
      <c r="CL217" s="1"/>
      <c r="CM217" s="1"/>
      <c r="CN217" s="1"/>
      <c r="CO217" s="1"/>
      <c r="CP217" s="1"/>
    </row>
    <row r="218" ht="15.75" customHeight="1">
      <c r="A218" s="379"/>
      <c r="CI218" s="1"/>
      <c r="CJ218" s="1"/>
      <c r="CK218" s="1"/>
      <c r="CL218" s="1"/>
      <c r="CM218" s="1"/>
      <c r="CN218" s="1"/>
      <c r="CO218" s="1"/>
      <c r="CP218" s="1"/>
    </row>
    <row r="219" ht="15.75" customHeight="1">
      <c r="B219" s="282"/>
      <c r="C219" s="430"/>
      <c r="D219" s="431"/>
      <c r="E219" s="431"/>
      <c r="F219" s="431"/>
      <c r="G219" s="431"/>
      <c r="H219" s="431"/>
      <c r="I219" s="431"/>
      <c r="J219" s="431"/>
      <c r="K219" s="431"/>
      <c r="L219" s="431"/>
      <c r="M219" s="431"/>
      <c r="N219" s="43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row>
    <row r="220" ht="15.75" customHeight="1">
      <c r="A220" s="1"/>
      <c r="B220" s="282"/>
      <c r="C220" s="430"/>
      <c r="D220" s="431"/>
      <c r="E220" s="431"/>
      <c r="F220" s="431"/>
      <c r="G220" s="431"/>
      <c r="H220" s="431"/>
      <c r="I220" s="431"/>
      <c r="J220" s="431"/>
      <c r="K220" s="431"/>
      <c r="L220" s="431"/>
      <c r="M220" s="431"/>
      <c r="N220" s="43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row>
    <row r="221" ht="15.75" customHeight="1">
      <c r="A221" s="1"/>
      <c r="B221" s="282"/>
      <c r="C221" s="430"/>
      <c r="D221" s="431"/>
      <c r="E221" s="431"/>
      <c r="F221" s="431"/>
      <c r="G221" s="431"/>
      <c r="H221" s="431"/>
      <c r="I221" s="431"/>
      <c r="J221" s="431"/>
      <c r="K221" s="431"/>
      <c r="L221" s="431"/>
      <c r="M221" s="431"/>
      <c r="N221" s="43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row>
    <row r="222" ht="15.75" customHeight="1">
      <c r="A222" s="431"/>
      <c r="B222" s="431"/>
      <c r="C222" s="431"/>
      <c r="D222" s="431"/>
      <c r="E222" s="431"/>
      <c r="F222" s="431"/>
      <c r="G222" s="431"/>
      <c r="H222" s="431"/>
      <c r="I222" s="431"/>
      <c r="J222" s="431"/>
      <c r="K222" s="431"/>
      <c r="L222" s="431"/>
      <c r="M222" s="431"/>
      <c r="N222" s="43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5.0" topLeftCell="C16" activePane="bottomRight" state="frozen"/>
      <selection activeCell="C1" sqref="C1" pane="topRight"/>
      <selection activeCell="A16" sqref="A16" pane="bottomLeft"/>
      <selection activeCell="C16" sqref="C16" pane="bottomRight"/>
    </sheetView>
  </sheetViews>
  <sheetFormatPr customHeight="1" defaultColWidth="14.43" defaultRowHeight="15.0" outlineLevelCol="1" outlineLevelRow="1"/>
  <cols>
    <col customWidth="1" min="1" max="1" width="36.86"/>
    <col customWidth="1" min="2" max="2" width="19.57"/>
    <col customWidth="1" min="3" max="6" width="12.57" outlineLevel="1"/>
    <col customWidth="1" min="7" max="7" width="11.57" outlineLevel="1"/>
    <col customWidth="1" min="8" max="14" width="14.29" outlineLevel="1"/>
    <col customWidth="1" min="15" max="26" width="14.29"/>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c r="A4" s="1"/>
      <c r="B4" s="1"/>
      <c r="C4" s="241">
        <v>44197.0</v>
      </c>
      <c r="D4" s="241">
        <v>44228.0</v>
      </c>
      <c r="E4" s="241">
        <v>44256.0</v>
      </c>
      <c r="F4" s="241">
        <v>44287.0</v>
      </c>
      <c r="G4" s="241">
        <v>44317.0</v>
      </c>
      <c r="H4" s="241">
        <v>44348.0</v>
      </c>
      <c r="I4" s="241">
        <v>44378.0</v>
      </c>
      <c r="J4" s="241">
        <v>44409.0</v>
      </c>
      <c r="K4" s="241">
        <v>44440.0</v>
      </c>
      <c r="L4" s="241">
        <v>44470.0</v>
      </c>
      <c r="M4" s="241">
        <v>44501.0</v>
      </c>
      <c r="N4" s="241">
        <v>44531.0</v>
      </c>
      <c r="O4" s="92">
        <v>44562.0</v>
      </c>
      <c r="P4" s="93">
        <v>44593.0</v>
      </c>
      <c r="Q4" s="93">
        <v>44621.0</v>
      </c>
      <c r="R4" s="93">
        <v>44652.0</v>
      </c>
      <c r="S4" s="93">
        <v>44682.0</v>
      </c>
      <c r="T4" s="93">
        <v>44713.0</v>
      </c>
      <c r="U4" s="93">
        <v>44743.0</v>
      </c>
      <c r="V4" s="93">
        <v>44774.0</v>
      </c>
      <c r="W4" s="95">
        <v>44805.0</v>
      </c>
      <c r="X4" s="95">
        <v>44835.0</v>
      </c>
      <c r="Y4" s="95">
        <v>44866.0</v>
      </c>
      <c r="Z4" s="95">
        <v>44896.0</v>
      </c>
      <c r="AA4" s="150">
        <v>44927.0</v>
      </c>
      <c r="AB4" s="97">
        <v>44958.0</v>
      </c>
      <c r="AC4" s="97">
        <v>44986.0</v>
      </c>
      <c r="AD4" s="97">
        <v>45017.0</v>
      </c>
      <c r="AE4" s="98">
        <v>45047.0</v>
      </c>
      <c r="AF4" s="98">
        <v>45078.0</v>
      </c>
      <c r="AG4" s="98">
        <v>45108.0</v>
      </c>
      <c r="AH4" s="98">
        <v>45139.0</v>
      </c>
      <c r="AI4" s="98">
        <v>45170.0</v>
      </c>
      <c r="AJ4" s="98">
        <v>45200.0</v>
      </c>
      <c r="AK4" s="98">
        <v>45231.0</v>
      </c>
      <c r="AL4" s="99">
        <v>45261.0</v>
      </c>
      <c r="AM4" s="100">
        <v>45292.0</v>
      </c>
      <c r="AN4" s="98">
        <v>45323.0</v>
      </c>
      <c r="AO4" s="98">
        <v>45352.0</v>
      </c>
      <c r="AP4" s="98">
        <v>45383.0</v>
      </c>
      <c r="AQ4" s="98">
        <v>45413.0</v>
      </c>
      <c r="AR4" s="98">
        <v>45444.0</v>
      </c>
      <c r="AS4" s="98">
        <v>45474.0</v>
      </c>
      <c r="AT4" s="98">
        <v>45505.0</v>
      </c>
      <c r="AU4" s="98">
        <v>45536.0</v>
      </c>
      <c r="AV4" s="98">
        <v>45566.0</v>
      </c>
      <c r="AW4" s="98">
        <v>45597.0</v>
      </c>
      <c r="AX4" s="99">
        <v>45627.0</v>
      </c>
      <c r="AY4" s="100">
        <v>45658.0</v>
      </c>
      <c r="AZ4" s="98">
        <v>45689.0</v>
      </c>
      <c r="BA4" s="98">
        <v>45717.0</v>
      </c>
      <c r="BB4" s="98">
        <v>45748.0</v>
      </c>
      <c r="BC4" s="98">
        <v>45778.0</v>
      </c>
      <c r="BD4" s="98">
        <v>45809.0</v>
      </c>
      <c r="BE4" s="98">
        <v>45839.0</v>
      </c>
      <c r="BF4" s="98">
        <v>45870.0</v>
      </c>
      <c r="BG4" s="98">
        <v>45901.0</v>
      </c>
      <c r="BH4" s="98">
        <v>45931.0</v>
      </c>
      <c r="BI4" s="98">
        <v>45962.0</v>
      </c>
      <c r="BJ4" s="99">
        <v>45992.0</v>
      </c>
      <c r="BK4" s="100">
        <v>46023.0</v>
      </c>
      <c r="BL4" s="98">
        <v>46054.0</v>
      </c>
      <c r="BM4" s="98">
        <v>46082.0</v>
      </c>
      <c r="BN4" s="98">
        <v>46113.0</v>
      </c>
      <c r="BO4" s="98">
        <v>46143.0</v>
      </c>
      <c r="BP4" s="98">
        <v>46174.0</v>
      </c>
      <c r="BQ4" s="98">
        <v>46204.0</v>
      </c>
      <c r="BR4" s="98">
        <v>46235.0</v>
      </c>
      <c r="BS4" s="98">
        <v>46266.0</v>
      </c>
      <c r="BT4" s="98">
        <v>46296.0</v>
      </c>
      <c r="BU4" s="98">
        <v>46327.0</v>
      </c>
      <c r="BV4" s="99">
        <v>46357.0</v>
      </c>
      <c r="BW4" s="100">
        <v>46388.0</v>
      </c>
      <c r="BX4" s="98">
        <v>46419.0</v>
      </c>
      <c r="BY4" s="98">
        <v>46447.0</v>
      </c>
      <c r="BZ4" s="98">
        <v>46478.0</v>
      </c>
      <c r="CA4" s="98">
        <v>46508.0</v>
      </c>
      <c r="CB4" s="98">
        <v>46539.0</v>
      </c>
      <c r="CC4" s="98">
        <v>46569.0</v>
      </c>
      <c r="CD4" s="98">
        <v>46600.0</v>
      </c>
      <c r="CE4" s="98">
        <v>46631.0</v>
      </c>
      <c r="CF4" s="98">
        <v>46661.0</v>
      </c>
      <c r="CG4" s="98">
        <v>46692.0</v>
      </c>
      <c r="CH4" s="99">
        <v>46722.0</v>
      </c>
      <c r="CI4" s="280"/>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outlineLevel="1">
      <c r="A6" s="432" t="s">
        <v>47</v>
      </c>
      <c r="B6" s="432"/>
      <c r="C6" s="433">
        <f t="shared" ref="C6:CH6" si="1">C46</f>
        <v>145221</v>
      </c>
      <c r="D6" s="433">
        <f t="shared" si="1"/>
        <v>268153</v>
      </c>
      <c r="E6" s="433">
        <f t="shared" si="1"/>
        <v>202602</v>
      </c>
      <c r="F6" s="433">
        <f t="shared" si="1"/>
        <v>249435</v>
      </c>
      <c r="G6" s="433">
        <f t="shared" si="1"/>
        <v>251204</v>
      </c>
      <c r="H6" s="433">
        <f t="shared" si="1"/>
        <v>175735</v>
      </c>
      <c r="I6" s="433">
        <f t="shared" si="1"/>
        <v>173627</v>
      </c>
      <c r="J6" s="433">
        <f t="shared" si="1"/>
        <v>163316</v>
      </c>
      <c r="K6" s="433">
        <f t="shared" si="1"/>
        <v>214926</v>
      </c>
      <c r="L6" s="433">
        <f t="shared" si="1"/>
        <v>242871</v>
      </c>
      <c r="M6" s="433">
        <f t="shared" si="1"/>
        <v>234725</v>
      </c>
      <c r="N6" s="433">
        <f t="shared" si="1"/>
        <v>201170</v>
      </c>
      <c r="O6" s="433">
        <f t="shared" si="1"/>
        <v>225168</v>
      </c>
      <c r="P6" s="433">
        <f t="shared" si="1"/>
        <v>202984</v>
      </c>
      <c r="Q6" s="433">
        <f t="shared" si="1"/>
        <v>230137</v>
      </c>
      <c r="R6" s="433">
        <f t="shared" si="1"/>
        <v>215710</v>
      </c>
      <c r="S6" s="433">
        <f t="shared" si="1"/>
        <v>275885</v>
      </c>
      <c r="T6" s="433">
        <f t="shared" si="1"/>
        <v>196349</v>
      </c>
      <c r="U6" s="433">
        <f t="shared" si="1"/>
        <v>274969</v>
      </c>
      <c r="V6" s="433">
        <f t="shared" si="1"/>
        <v>270100</v>
      </c>
      <c r="W6" s="433">
        <f t="shared" si="1"/>
        <v>241649</v>
      </c>
      <c r="X6" s="433">
        <f t="shared" si="1"/>
        <v>195381</v>
      </c>
      <c r="Y6" s="433">
        <f t="shared" si="1"/>
        <v>291011</v>
      </c>
      <c r="Z6" s="434">
        <f t="shared" si="1"/>
        <v>424038.3587</v>
      </c>
      <c r="AA6" s="434">
        <f t="shared" si="1"/>
        <v>504241.5363</v>
      </c>
      <c r="AB6" s="434">
        <f t="shared" si="1"/>
        <v>582808.2623</v>
      </c>
      <c r="AC6" s="434">
        <f t="shared" si="1"/>
        <v>656219.2844</v>
      </c>
      <c r="AD6" s="434">
        <f t="shared" si="1"/>
        <v>729298.1637</v>
      </c>
      <c r="AE6" s="434">
        <f t="shared" si="1"/>
        <v>810916.7567</v>
      </c>
      <c r="AF6" s="434">
        <f t="shared" si="1"/>
        <v>888901.9038</v>
      </c>
      <c r="AG6" s="434">
        <f t="shared" si="1"/>
        <v>964562.3903</v>
      </c>
      <c r="AH6" s="434">
        <f t="shared" si="1"/>
        <v>1039304.834</v>
      </c>
      <c r="AI6" s="434">
        <f t="shared" si="1"/>
        <v>1116079.352</v>
      </c>
      <c r="AJ6" s="434">
        <f t="shared" si="1"/>
        <v>1187157.271</v>
      </c>
      <c r="AK6" s="434">
        <f t="shared" si="1"/>
        <v>1262204.801</v>
      </c>
      <c r="AL6" s="434">
        <f t="shared" si="1"/>
        <v>1340193.399</v>
      </c>
      <c r="AM6" s="434">
        <f t="shared" si="1"/>
        <v>1400947.54</v>
      </c>
      <c r="AN6" s="434">
        <f t="shared" si="1"/>
        <v>1412547.753</v>
      </c>
      <c r="AO6" s="434">
        <f t="shared" si="1"/>
        <v>1435663.774</v>
      </c>
      <c r="AP6" s="434">
        <f t="shared" si="1"/>
        <v>1463030.47</v>
      </c>
      <c r="AQ6" s="434">
        <f t="shared" si="1"/>
        <v>1490534.739</v>
      </c>
      <c r="AR6" s="434">
        <f t="shared" si="1"/>
        <v>1518058.964</v>
      </c>
      <c r="AS6" s="434">
        <f t="shared" si="1"/>
        <v>1544868.694</v>
      </c>
      <c r="AT6" s="434">
        <f t="shared" si="1"/>
        <v>1584805.768</v>
      </c>
      <c r="AU6" s="434">
        <f t="shared" si="1"/>
        <v>1610842.016</v>
      </c>
      <c r="AV6" s="434">
        <f t="shared" si="1"/>
        <v>1636433.352</v>
      </c>
      <c r="AW6" s="434">
        <f t="shared" si="1"/>
        <v>1661609.333</v>
      </c>
      <c r="AX6" s="434">
        <f t="shared" si="1"/>
        <v>1686397.772</v>
      </c>
      <c r="AY6" s="434">
        <f t="shared" si="1"/>
        <v>1739238.992</v>
      </c>
      <c r="AZ6" s="434">
        <f t="shared" si="1"/>
        <v>1777119.667</v>
      </c>
      <c r="BA6" s="434">
        <f t="shared" si="1"/>
        <v>1814093.164</v>
      </c>
      <c r="BB6" s="434">
        <f t="shared" si="1"/>
        <v>1850394.164</v>
      </c>
      <c r="BC6" s="434">
        <f t="shared" si="1"/>
        <v>1886085.975</v>
      </c>
      <c r="BD6" s="434">
        <f t="shared" si="1"/>
        <v>1921205.146</v>
      </c>
      <c r="BE6" s="434">
        <f t="shared" si="1"/>
        <v>1955783.201</v>
      </c>
      <c r="BF6" s="434">
        <f t="shared" si="1"/>
        <v>1989849.94</v>
      </c>
      <c r="BG6" s="434">
        <f t="shared" si="1"/>
        <v>2023433.974</v>
      </c>
      <c r="BH6" s="434">
        <f t="shared" si="1"/>
        <v>2056562.845</v>
      </c>
      <c r="BI6" s="434">
        <f t="shared" si="1"/>
        <v>2089263.077</v>
      </c>
      <c r="BJ6" s="434">
        <f t="shared" si="1"/>
        <v>2121560.221</v>
      </c>
      <c r="BK6" s="434">
        <f t="shared" si="1"/>
        <v>2177703.884</v>
      </c>
      <c r="BL6" s="434">
        <f t="shared" si="1"/>
        <v>2210505.931</v>
      </c>
      <c r="BM6" s="434">
        <f t="shared" si="1"/>
        <v>2240108.088</v>
      </c>
      <c r="BN6" s="434">
        <f t="shared" si="1"/>
        <v>2269833.804</v>
      </c>
      <c r="BO6" s="434">
        <f t="shared" si="1"/>
        <v>2299513.652</v>
      </c>
      <c r="BP6" s="434">
        <f t="shared" si="1"/>
        <v>2329137.542</v>
      </c>
      <c r="BQ6" s="434">
        <f t="shared" si="1"/>
        <v>2358718.982</v>
      </c>
      <c r="BR6" s="434">
        <f t="shared" si="1"/>
        <v>2388274.732</v>
      </c>
      <c r="BS6" s="434">
        <f t="shared" si="1"/>
        <v>2417821.78</v>
      </c>
      <c r="BT6" s="434">
        <f t="shared" si="1"/>
        <v>2447376.898</v>
      </c>
      <c r="BU6" s="434">
        <f t="shared" si="1"/>
        <v>2476956.595</v>
      </c>
      <c r="BV6" s="434">
        <f t="shared" si="1"/>
        <v>2506577.134</v>
      </c>
      <c r="BW6" s="434">
        <f t="shared" si="1"/>
        <v>2561373.418</v>
      </c>
      <c r="BX6" s="434">
        <f t="shared" si="1"/>
        <v>2582415.164</v>
      </c>
      <c r="BY6" s="434">
        <f t="shared" si="1"/>
        <v>2603208.601</v>
      </c>
      <c r="BZ6" s="434">
        <f t="shared" si="1"/>
        <v>2624466.562</v>
      </c>
      <c r="CA6" s="434">
        <f t="shared" si="1"/>
        <v>2645601.904</v>
      </c>
      <c r="CB6" s="434">
        <f t="shared" si="1"/>
        <v>2666545.797</v>
      </c>
      <c r="CC6" s="434">
        <f t="shared" si="1"/>
        <v>2687306.365</v>
      </c>
      <c r="CD6" s="434">
        <f t="shared" si="1"/>
        <v>2707902.517</v>
      </c>
      <c r="CE6" s="434">
        <f t="shared" si="1"/>
        <v>2728354.052</v>
      </c>
      <c r="CF6" s="434">
        <f t="shared" si="1"/>
        <v>2748680.209</v>
      </c>
      <c r="CG6" s="434">
        <f t="shared" si="1"/>
        <v>2768899.477</v>
      </c>
      <c r="CH6" s="434">
        <f t="shared" si="1"/>
        <v>2789029.597</v>
      </c>
      <c r="CI6" s="434"/>
    </row>
    <row r="7" outlineLevel="1">
      <c r="A7" s="432" t="s">
        <v>85</v>
      </c>
      <c r="B7" s="432"/>
      <c r="C7" s="433">
        <f t="shared" ref="C7:CH7" si="2">C74</f>
        <v>157989</v>
      </c>
      <c r="D7" s="433">
        <f t="shared" si="2"/>
        <v>262015</v>
      </c>
      <c r="E7" s="433">
        <f t="shared" si="2"/>
        <v>239919</v>
      </c>
      <c r="F7" s="433">
        <f t="shared" si="2"/>
        <v>246852</v>
      </c>
      <c r="G7" s="433">
        <f t="shared" si="2"/>
        <v>168753</v>
      </c>
      <c r="H7" s="433">
        <f t="shared" si="2"/>
        <v>219427</v>
      </c>
      <c r="I7" s="433">
        <f t="shared" si="2"/>
        <v>179883</v>
      </c>
      <c r="J7" s="433">
        <f t="shared" si="2"/>
        <v>165543</v>
      </c>
      <c r="K7" s="433">
        <f t="shared" si="2"/>
        <v>227180</v>
      </c>
      <c r="L7" s="433">
        <f t="shared" si="2"/>
        <v>259006</v>
      </c>
      <c r="M7" s="433">
        <f t="shared" si="2"/>
        <v>234471</v>
      </c>
      <c r="N7" s="433">
        <f t="shared" si="2"/>
        <v>265758</v>
      </c>
      <c r="O7" s="433">
        <f t="shared" si="2"/>
        <v>231341</v>
      </c>
      <c r="P7" s="433">
        <f t="shared" si="2"/>
        <v>219777</v>
      </c>
      <c r="Q7" s="433">
        <f t="shared" si="2"/>
        <v>140531</v>
      </c>
      <c r="R7" s="433">
        <f t="shared" si="2"/>
        <v>172522</v>
      </c>
      <c r="S7" s="433">
        <f t="shared" si="2"/>
        <v>167953</v>
      </c>
      <c r="T7" s="433">
        <f t="shared" si="2"/>
        <v>183441</v>
      </c>
      <c r="U7" s="433">
        <f t="shared" si="2"/>
        <v>128542</v>
      </c>
      <c r="V7" s="433">
        <f t="shared" si="2"/>
        <v>260968</v>
      </c>
      <c r="W7" s="433">
        <f t="shared" si="2"/>
        <v>274042</v>
      </c>
      <c r="X7" s="433">
        <f t="shared" si="2"/>
        <v>169044</v>
      </c>
      <c r="Y7" s="433">
        <f t="shared" si="2"/>
        <v>185698</v>
      </c>
      <c r="Z7" s="434">
        <f t="shared" si="2"/>
        <v>273479.9044</v>
      </c>
      <c r="AA7" s="434">
        <f t="shared" si="2"/>
        <v>333775.5366</v>
      </c>
      <c r="AB7" s="434">
        <f t="shared" si="2"/>
        <v>396850.6096</v>
      </c>
      <c r="AC7" s="434">
        <f t="shared" si="2"/>
        <v>456755.2775</v>
      </c>
      <c r="AD7" s="434">
        <f t="shared" si="2"/>
        <v>516926.4202</v>
      </c>
      <c r="AE7" s="434">
        <f t="shared" si="2"/>
        <v>576580.2861</v>
      </c>
      <c r="AF7" s="434">
        <f t="shared" si="2"/>
        <v>635351.6453</v>
      </c>
      <c r="AG7" s="434">
        <f t="shared" si="2"/>
        <v>689760.3533</v>
      </c>
      <c r="AH7" s="434">
        <f t="shared" si="2"/>
        <v>741903.5395</v>
      </c>
      <c r="AI7" s="434">
        <f t="shared" si="2"/>
        <v>792652.34</v>
      </c>
      <c r="AJ7" s="434">
        <f t="shared" si="2"/>
        <v>837160.0566</v>
      </c>
      <c r="AK7" s="434">
        <f t="shared" si="2"/>
        <v>883691.7047</v>
      </c>
      <c r="AL7" s="434">
        <f t="shared" si="2"/>
        <v>930090.3147</v>
      </c>
      <c r="AM7" s="434">
        <f t="shared" si="2"/>
        <v>963108.0723</v>
      </c>
      <c r="AN7" s="434">
        <f t="shared" si="2"/>
        <v>969388.3742</v>
      </c>
      <c r="AO7" s="434">
        <f t="shared" si="2"/>
        <v>984545.4786</v>
      </c>
      <c r="AP7" s="434">
        <f t="shared" si="2"/>
        <v>1002925.257</v>
      </c>
      <c r="AQ7" s="434">
        <f t="shared" si="2"/>
        <v>1021443.071</v>
      </c>
      <c r="AR7" s="434">
        <f t="shared" si="2"/>
        <v>1039992.013</v>
      </c>
      <c r="AS7" s="434">
        <f t="shared" si="2"/>
        <v>1058038.469</v>
      </c>
      <c r="AT7" s="434">
        <f t="shared" si="2"/>
        <v>1075720.438</v>
      </c>
      <c r="AU7" s="434">
        <f t="shared" si="2"/>
        <v>1093077.647</v>
      </c>
      <c r="AV7" s="434">
        <f t="shared" si="2"/>
        <v>1110134.187</v>
      </c>
      <c r="AW7" s="434">
        <f t="shared" si="2"/>
        <v>1126910.942</v>
      </c>
      <c r="AX7" s="434">
        <f t="shared" si="2"/>
        <v>1143427.508</v>
      </c>
      <c r="AY7" s="434">
        <f t="shared" si="2"/>
        <v>1169957.427</v>
      </c>
      <c r="AZ7" s="434">
        <f t="shared" si="2"/>
        <v>1196178.47</v>
      </c>
      <c r="BA7" s="434">
        <f t="shared" si="2"/>
        <v>1221737.596</v>
      </c>
      <c r="BB7" s="434">
        <f t="shared" si="2"/>
        <v>1246810.15</v>
      </c>
      <c r="BC7" s="434">
        <f t="shared" si="2"/>
        <v>1271442.998</v>
      </c>
      <c r="BD7" s="434">
        <f t="shared" si="2"/>
        <v>1295662.943</v>
      </c>
      <c r="BE7" s="434">
        <f t="shared" si="2"/>
        <v>1319493.015</v>
      </c>
      <c r="BF7" s="434">
        <f t="shared" si="2"/>
        <v>1342954.951</v>
      </c>
      <c r="BG7" s="434">
        <f t="shared" si="2"/>
        <v>1366069.598</v>
      </c>
      <c r="BH7" s="434">
        <f t="shared" si="2"/>
        <v>1388856.997</v>
      </c>
      <c r="BI7" s="434">
        <f t="shared" si="2"/>
        <v>1411336.429</v>
      </c>
      <c r="BJ7" s="434">
        <f t="shared" si="2"/>
        <v>1433526.447</v>
      </c>
      <c r="BK7" s="434">
        <f t="shared" si="2"/>
        <v>1459305.982</v>
      </c>
      <c r="BL7" s="434">
        <f t="shared" si="2"/>
        <v>1481460.363</v>
      </c>
      <c r="BM7" s="434">
        <f t="shared" si="2"/>
        <v>1501419.466</v>
      </c>
      <c r="BN7" s="434">
        <f t="shared" si="2"/>
        <v>1521478.331</v>
      </c>
      <c r="BO7" s="434">
        <f t="shared" si="2"/>
        <v>1541509.029</v>
      </c>
      <c r="BP7" s="434">
        <f t="shared" si="2"/>
        <v>1561503.092</v>
      </c>
      <c r="BQ7" s="434">
        <f t="shared" si="2"/>
        <v>1581469.747</v>
      </c>
      <c r="BR7" s="434">
        <f t="shared" si="2"/>
        <v>1601420.673</v>
      </c>
      <c r="BS7" s="434">
        <f t="shared" si="2"/>
        <v>1621367.72</v>
      </c>
      <c r="BT7" s="434">
        <f t="shared" si="2"/>
        <v>1641322.582</v>
      </c>
      <c r="BU7" s="434">
        <f t="shared" si="2"/>
        <v>1661296.766</v>
      </c>
      <c r="BV7" s="434">
        <f t="shared" si="2"/>
        <v>1681301.595</v>
      </c>
      <c r="BW7" s="434">
        <f t="shared" si="2"/>
        <v>1703656.174</v>
      </c>
      <c r="BX7" s="434">
        <f t="shared" si="2"/>
        <v>1717395.503</v>
      </c>
      <c r="BY7" s="434">
        <f t="shared" si="2"/>
        <v>1731196.241</v>
      </c>
      <c r="BZ7" s="434">
        <f t="shared" si="2"/>
        <v>1745358.099</v>
      </c>
      <c r="CA7" s="434">
        <f t="shared" si="2"/>
        <v>1759439.834</v>
      </c>
      <c r="CB7" s="434">
        <f t="shared" si="2"/>
        <v>1773388.798</v>
      </c>
      <c r="CC7" s="434">
        <f t="shared" si="2"/>
        <v>1787210.066</v>
      </c>
      <c r="CD7" s="434">
        <f t="shared" si="2"/>
        <v>1800916.819</v>
      </c>
      <c r="CE7" s="434">
        <f t="shared" si="2"/>
        <v>1814522.936</v>
      </c>
      <c r="CF7" s="434">
        <f t="shared" si="2"/>
        <v>1828041.899</v>
      </c>
      <c r="CG7" s="434">
        <f t="shared" si="2"/>
        <v>1841486.653</v>
      </c>
      <c r="CH7" s="434">
        <f t="shared" si="2"/>
        <v>1854869.607</v>
      </c>
      <c r="CI7" s="434"/>
    </row>
    <row r="8" outlineLevel="1">
      <c r="A8" s="432" t="s">
        <v>168</v>
      </c>
      <c r="B8" s="432"/>
      <c r="C8" s="433">
        <f t="shared" ref="C8:CH8" si="3">C102</f>
        <v>203271</v>
      </c>
      <c r="D8" s="433">
        <f t="shared" si="3"/>
        <v>139789</v>
      </c>
      <c r="E8" s="433">
        <f t="shared" si="3"/>
        <v>173116</v>
      </c>
      <c r="F8" s="433">
        <f t="shared" si="3"/>
        <v>234675</v>
      </c>
      <c r="G8" s="433">
        <f t="shared" si="3"/>
        <v>268150</v>
      </c>
      <c r="H8" s="433">
        <f t="shared" si="3"/>
        <v>263187</v>
      </c>
      <c r="I8" s="433">
        <f t="shared" si="3"/>
        <v>261112</v>
      </c>
      <c r="J8" s="433">
        <f t="shared" si="3"/>
        <v>188247</v>
      </c>
      <c r="K8" s="433">
        <f t="shared" si="3"/>
        <v>181572</v>
      </c>
      <c r="L8" s="433">
        <f t="shared" si="3"/>
        <v>150133</v>
      </c>
      <c r="M8" s="433">
        <f t="shared" si="3"/>
        <v>184682</v>
      </c>
      <c r="N8" s="433">
        <f t="shared" si="3"/>
        <v>148278</v>
      </c>
      <c r="O8" s="433">
        <f t="shared" si="3"/>
        <v>193838</v>
      </c>
      <c r="P8" s="433">
        <f t="shared" si="3"/>
        <v>193578</v>
      </c>
      <c r="Q8" s="433">
        <f t="shared" si="3"/>
        <v>203241</v>
      </c>
      <c r="R8" s="433">
        <f t="shared" si="3"/>
        <v>250416</v>
      </c>
      <c r="S8" s="433">
        <f t="shared" si="3"/>
        <v>237819</v>
      </c>
      <c r="T8" s="433">
        <f t="shared" si="3"/>
        <v>158273</v>
      </c>
      <c r="U8" s="433">
        <f t="shared" si="3"/>
        <v>191633</v>
      </c>
      <c r="V8" s="433">
        <f t="shared" si="3"/>
        <v>230583</v>
      </c>
      <c r="W8" s="433">
        <f t="shared" si="3"/>
        <v>247749</v>
      </c>
      <c r="X8" s="433">
        <f t="shared" si="3"/>
        <v>258341</v>
      </c>
      <c r="Y8" s="433">
        <f t="shared" si="3"/>
        <v>207412</v>
      </c>
      <c r="Z8" s="434">
        <f t="shared" si="3"/>
        <v>276010.975</v>
      </c>
      <c r="AA8" s="434">
        <f t="shared" si="3"/>
        <v>350687.0274</v>
      </c>
      <c r="AB8" s="434">
        <f t="shared" si="3"/>
        <v>425236.3339</v>
      </c>
      <c r="AC8" s="434">
        <f t="shared" si="3"/>
        <v>493846.1583</v>
      </c>
      <c r="AD8" s="434">
        <f t="shared" si="3"/>
        <v>557565.2007</v>
      </c>
      <c r="AE8" s="434">
        <f t="shared" si="3"/>
        <v>618794.0664</v>
      </c>
      <c r="AF8" s="434">
        <f t="shared" si="3"/>
        <v>679166.8654</v>
      </c>
      <c r="AG8" s="434">
        <f t="shared" si="3"/>
        <v>737945.7206</v>
      </c>
      <c r="AH8" s="434">
        <f t="shared" si="3"/>
        <v>798955.3159</v>
      </c>
      <c r="AI8" s="434">
        <f t="shared" si="3"/>
        <v>857035.5227</v>
      </c>
      <c r="AJ8" s="434">
        <f t="shared" si="3"/>
        <v>909223.7479</v>
      </c>
      <c r="AK8" s="434">
        <f t="shared" si="3"/>
        <v>954796.8069</v>
      </c>
      <c r="AL8" s="434">
        <f t="shared" si="3"/>
        <v>1000310.763</v>
      </c>
      <c r="AM8" s="434">
        <f t="shared" si="3"/>
        <v>1045803.08</v>
      </c>
      <c r="AN8" s="434">
        <f t="shared" si="3"/>
        <v>1060837.482</v>
      </c>
      <c r="AO8" s="434">
        <f t="shared" si="3"/>
        <v>1066689.864</v>
      </c>
      <c r="AP8" s="434">
        <f t="shared" si="3"/>
        <v>1076646.148</v>
      </c>
      <c r="AQ8" s="434">
        <f t="shared" si="3"/>
        <v>1088887.103</v>
      </c>
      <c r="AR8" s="434">
        <f t="shared" si="3"/>
        <v>1102294.281</v>
      </c>
      <c r="AS8" s="434">
        <f t="shared" si="3"/>
        <v>1115918.837</v>
      </c>
      <c r="AT8" s="434">
        <f t="shared" si="3"/>
        <v>1129283.422</v>
      </c>
      <c r="AU8" s="434">
        <f t="shared" si="3"/>
        <v>1142410.106</v>
      </c>
      <c r="AV8" s="434">
        <f t="shared" si="3"/>
        <v>1155316.089</v>
      </c>
      <c r="AW8" s="434">
        <f t="shared" si="3"/>
        <v>1168016.417</v>
      </c>
      <c r="AX8" s="434">
        <f t="shared" si="3"/>
        <v>1180524.946</v>
      </c>
      <c r="AY8" s="434">
        <f t="shared" si="3"/>
        <v>1193131.617</v>
      </c>
      <c r="AZ8" s="434">
        <f t="shared" si="3"/>
        <v>1215896.824</v>
      </c>
      <c r="BA8" s="434">
        <f t="shared" si="3"/>
        <v>1238203.963</v>
      </c>
      <c r="BB8" s="434">
        <f t="shared" si="3"/>
        <v>1259966.901</v>
      </c>
      <c r="BC8" s="434">
        <f t="shared" si="3"/>
        <v>1281262.865</v>
      </c>
      <c r="BD8" s="434">
        <f t="shared" si="3"/>
        <v>1302132.414</v>
      </c>
      <c r="BE8" s="434">
        <f t="shared" si="3"/>
        <v>1322602.735</v>
      </c>
      <c r="BF8" s="434">
        <f t="shared" si="3"/>
        <v>1342695.826</v>
      </c>
      <c r="BG8" s="434">
        <f t="shared" si="3"/>
        <v>1362431.372</v>
      </c>
      <c r="BH8" s="434">
        <f t="shared" si="3"/>
        <v>1381827.782</v>
      </c>
      <c r="BI8" s="434">
        <f t="shared" si="3"/>
        <v>1400902.562</v>
      </c>
      <c r="BJ8" s="434">
        <f t="shared" si="3"/>
        <v>1419672.474</v>
      </c>
      <c r="BK8" s="434">
        <f t="shared" si="3"/>
        <v>1441122.851</v>
      </c>
      <c r="BL8" s="434">
        <f t="shared" si="3"/>
        <v>1465179.478</v>
      </c>
      <c r="BM8" s="434">
        <f t="shared" si="3"/>
        <v>1488062.037</v>
      </c>
      <c r="BN8" s="434">
        <f t="shared" si="3"/>
        <v>1509147.715</v>
      </c>
      <c r="BO8" s="434">
        <f t="shared" si="3"/>
        <v>1529904.053</v>
      </c>
      <c r="BP8" s="434">
        <f t="shared" si="3"/>
        <v>1550377.039</v>
      </c>
      <c r="BQ8" s="434">
        <f t="shared" si="3"/>
        <v>1570593.034</v>
      </c>
      <c r="BR8" s="434">
        <f t="shared" si="3"/>
        <v>1590571.194</v>
      </c>
      <c r="BS8" s="434">
        <f t="shared" si="3"/>
        <v>1610327.838</v>
      </c>
      <c r="BT8" s="434">
        <f t="shared" si="3"/>
        <v>1629877.987</v>
      </c>
      <c r="BU8" s="434">
        <f t="shared" si="3"/>
        <v>1649235.922</v>
      </c>
      <c r="BV8" s="434">
        <f t="shared" si="3"/>
        <v>1668415.386</v>
      </c>
      <c r="BW8" s="434">
        <f t="shared" si="3"/>
        <v>1687429.669</v>
      </c>
      <c r="BX8" s="434">
        <f t="shared" si="3"/>
        <v>1701265.07</v>
      </c>
      <c r="BY8" s="434">
        <f t="shared" si="3"/>
        <v>1712809.028</v>
      </c>
      <c r="BZ8" s="434">
        <f t="shared" si="3"/>
        <v>1724389.739</v>
      </c>
      <c r="CA8" s="434">
        <f t="shared" si="3"/>
        <v>1736419.269</v>
      </c>
      <c r="CB8" s="434">
        <f t="shared" si="3"/>
        <v>1748552.268</v>
      </c>
      <c r="CC8" s="434">
        <f t="shared" si="3"/>
        <v>1760673.347</v>
      </c>
      <c r="CD8" s="434">
        <f t="shared" si="3"/>
        <v>1772747.379</v>
      </c>
      <c r="CE8" s="434">
        <f t="shared" si="3"/>
        <v>1784767.117</v>
      </c>
      <c r="CF8" s="434">
        <f t="shared" si="3"/>
        <v>1796734.866</v>
      </c>
      <c r="CG8" s="434">
        <f t="shared" si="3"/>
        <v>1808656.08</v>
      </c>
      <c r="CH8" s="434">
        <f t="shared" si="3"/>
        <v>1820537.127</v>
      </c>
      <c r="CI8" s="434"/>
    </row>
    <row r="9" outlineLevel="1">
      <c r="A9" s="432" t="s">
        <v>89</v>
      </c>
      <c r="B9" s="432"/>
      <c r="C9" s="433">
        <f t="shared" ref="C9:CH9" si="4">C129</f>
        <v>195725</v>
      </c>
      <c r="D9" s="433">
        <f t="shared" si="4"/>
        <v>214613</v>
      </c>
      <c r="E9" s="433">
        <f t="shared" si="4"/>
        <v>197392</v>
      </c>
      <c r="F9" s="433">
        <f t="shared" si="4"/>
        <v>258277</v>
      </c>
      <c r="G9" s="433">
        <f t="shared" si="4"/>
        <v>139422</v>
      </c>
      <c r="H9" s="433">
        <f t="shared" si="4"/>
        <v>247130</v>
      </c>
      <c r="I9" s="433">
        <f t="shared" si="4"/>
        <v>139486</v>
      </c>
      <c r="J9" s="433">
        <f t="shared" si="4"/>
        <v>196567</v>
      </c>
      <c r="K9" s="433">
        <f t="shared" si="4"/>
        <v>153247</v>
      </c>
      <c r="L9" s="433">
        <f t="shared" si="4"/>
        <v>181294</v>
      </c>
      <c r="M9" s="433">
        <f t="shared" si="4"/>
        <v>169975</v>
      </c>
      <c r="N9" s="433">
        <f t="shared" si="4"/>
        <v>190504</v>
      </c>
      <c r="O9" s="433">
        <f t="shared" si="4"/>
        <v>266809</v>
      </c>
      <c r="P9" s="433">
        <f t="shared" si="4"/>
        <v>171318</v>
      </c>
      <c r="Q9" s="433">
        <f t="shared" si="4"/>
        <v>241762</v>
      </c>
      <c r="R9" s="433">
        <f t="shared" si="4"/>
        <v>255611</v>
      </c>
      <c r="S9" s="433">
        <f t="shared" si="4"/>
        <v>205241</v>
      </c>
      <c r="T9" s="433">
        <f t="shared" si="4"/>
        <v>271510</v>
      </c>
      <c r="U9" s="433">
        <f t="shared" si="4"/>
        <v>256363</v>
      </c>
      <c r="V9" s="433">
        <f t="shared" si="4"/>
        <v>232452</v>
      </c>
      <c r="W9" s="433">
        <f t="shared" si="4"/>
        <v>156362</v>
      </c>
      <c r="X9" s="433">
        <f t="shared" si="4"/>
        <v>208832</v>
      </c>
      <c r="Y9" s="433">
        <f t="shared" si="4"/>
        <v>145395</v>
      </c>
      <c r="Z9" s="434">
        <f t="shared" si="4"/>
        <v>163491.3524</v>
      </c>
      <c r="AA9" s="434">
        <f t="shared" si="4"/>
        <v>183044.7388</v>
      </c>
      <c r="AB9" s="434">
        <f t="shared" si="4"/>
        <v>200459.0335</v>
      </c>
      <c r="AC9" s="434">
        <f t="shared" si="4"/>
        <v>213223.6562</v>
      </c>
      <c r="AD9" s="434">
        <f t="shared" si="4"/>
        <v>222673.5289</v>
      </c>
      <c r="AE9" s="434">
        <f t="shared" si="4"/>
        <v>230681.7352</v>
      </c>
      <c r="AF9" s="434">
        <f t="shared" si="4"/>
        <v>236383.8968</v>
      </c>
      <c r="AG9" s="434">
        <f t="shared" si="4"/>
        <v>240530.91</v>
      </c>
      <c r="AH9" s="434">
        <f t="shared" si="4"/>
        <v>242301.9064</v>
      </c>
      <c r="AI9" s="434">
        <f t="shared" si="4"/>
        <v>241385.1234</v>
      </c>
      <c r="AJ9" s="434">
        <f t="shared" si="4"/>
        <v>244331.6618</v>
      </c>
      <c r="AK9" s="434">
        <f t="shared" si="4"/>
        <v>246786.6721</v>
      </c>
      <c r="AL9" s="434">
        <f t="shared" si="4"/>
        <v>249026.6499</v>
      </c>
      <c r="AM9" s="434">
        <f t="shared" si="4"/>
        <v>256165.6355</v>
      </c>
      <c r="AN9" s="434">
        <f t="shared" si="4"/>
        <v>250965.6349</v>
      </c>
      <c r="AO9" s="434">
        <f t="shared" si="4"/>
        <v>246100.6974</v>
      </c>
      <c r="AP9" s="434">
        <f t="shared" si="4"/>
        <v>242961.5661</v>
      </c>
      <c r="AQ9" s="434">
        <f t="shared" si="4"/>
        <v>241063.1936</v>
      </c>
      <c r="AR9" s="434">
        <f t="shared" si="4"/>
        <v>240318.7559</v>
      </c>
      <c r="AS9" s="434">
        <f t="shared" si="4"/>
        <v>240144.3862</v>
      </c>
      <c r="AT9" s="434">
        <f t="shared" si="4"/>
        <v>240381.0082</v>
      </c>
      <c r="AU9" s="434">
        <f t="shared" si="4"/>
        <v>240914.4205</v>
      </c>
      <c r="AV9" s="434">
        <f t="shared" si="4"/>
        <v>241662.6428</v>
      </c>
      <c r="AW9" s="434">
        <f t="shared" si="4"/>
        <v>242566.8292</v>
      </c>
      <c r="AX9" s="434">
        <f t="shared" si="4"/>
        <v>243584.7447</v>
      </c>
      <c r="AY9" s="434">
        <f t="shared" si="4"/>
        <v>248268.4075</v>
      </c>
      <c r="AZ9" s="434">
        <f t="shared" si="4"/>
        <v>252237.2445</v>
      </c>
      <c r="BA9" s="434">
        <f t="shared" si="4"/>
        <v>255538.7403</v>
      </c>
      <c r="BB9" s="434">
        <f t="shared" si="4"/>
        <v>258348.16</v>
      </c>
      <c r="BC9" s="434">
        <f t="shared" si="4"/>
        <v>260795.2157</v>
      </c>
      <c r="BD9" s="434">
        <f t="shared" si="4"/>
        <v>262975.9103</v>
      </c>
      <c r="BE9" s="434">
        <f t="shared" si="4"/>
        <v>264961.3019</v>
      </c>
      <c r="BF9" s="434">
        <f t="shared" si="4"/>
        <v>266803.9899</v>
      </c>
      <c r="BG9" s="434">
        <f t="shared" si="4"/>
        <v>268542.9142</v>
      </c>
      <c r="BH9" s="434">
        <f t="shared" si="4"/>
        <v>270206.9072</v>
      </c>
      <c r="BI9" s="434">
        <f t="shared" si="4"/>
        <v>271817.3215</v>
      </c>
      <c r="BJ9" s="434">
        <f t="shared" si="4"/>
        <v>273389.9749</v>
      </c>
      <c r="BK9" s="434">
        <f t="shared" si="4"/>
        <v>277845.5494</v>
      </c>
      <c r="BL9" s="434">
        <f t="shared" si="4"/>
        <v>281710.394</v>
      </c>
      <c r="BM9" s="434">
        <f t="shared" si="4"/>
        <v>284656.6556</v>
      </c>
      <c r="BN9" s="434">
        <f t="shared" si="4"/>
        <v>287637.3694</v>
      </c>
      <c r="BO9" s="434">
        <f t="shared" si="4"/>
        <v>290646.5361</v>
      </c>
      <c r="BP9" s="434">
        <f t="shared" si="4"/>
        <v>293679.7702</v>
      </c>
      <c r="BQ9" s="434">
        <f t="shared" si="4"/>
        <v>296733.8826</v>
      </c>
      <c r="BR9" s="434">
        <f t="shared" si="4"/>
        <v>299806.5706</v>
      </c>
      <c r="BS9" s="434">
        <f t="shared" si="4"/>
        <v>302896.1889</v>
      </c>
      <c r="BT9" s="434">
        <f t="shared" si="4"/>
        <v>306001.5806</v>
      </c>
      <c r="BU9" s="434">
        <f t="shared" si="4"/>
        <v>309121.9515</v>
      </c>
      <c r="BV9" s="434">
        <f t="shared" si="4"/>
        <v>312256.7776</v>
      </c>
      <c r="BW9" s="434">
        <f t="shared" si="4"/>
        <v>315560.6213</v>
      </c>
      <c r="BX9" s="434">
        <f t="shared" si="4"/>
        <v>315249.591</v>
      </c>
      <c r="BY9" s="434">
        <f t="shared" si="4"/>
        <v>314993.7907</v>
      </c>
      <c r="BZ9" s="434">
        <f t="shared" si="4"/>
        <v>315519.1105</v>
      </c>
      <c r="CA9" s="434">
        <f t="shared" si="4"/>
        <v>316625.3067</v>
      </c>
      <c r="CB9" s="434">
        <f t="shared" si="4"/>
        <v>318164.1851</v>
      </c>
      <c r="CC9" s="434">
        <f t="shared" si="4"/>
        <v>320026.0694</v>
      </c>
      <c r="CD9" s="434">
        <f t="shared" si="4"/>
        <v>322129.7871</v>
      </c>
      <c r="CE9" s="434">
        <f t="shared" si="4"/>
        <v>324415.2595</v>
      </c>
      <c r="CF9" s="434">
        <f t="shared" si="4"/>
        <v>326838.0183</v>
      </c>
      <c r="CG9" s="434">
        <f t="shared" si="4"/>
        <v>329365.1476</v>
      </c>
      <c r="CH9" s="434">
        <f t="shared" si="4"/>
        <v>331972.281</v>
      </c>
      <c r="CI9" s="434"/>
    </row>
    <row r="10" outlineLevel="1">
      <c r="A10" s="432" t="s">
        <v>94</v>
      </c>
      <c r="B10" s="432"/>
      <c r="C10" s="433">
        <f t="shared" ref="C10:CH10" si="5">C155</f>
        <v>32145</v>
      </c>
      <c r="D10" s="433">
        <f t="shared" si="5"/>
        <v>20023</v>
      </c>
      <c r="E10" s="433">
        <f t="shared" si="5"/>
        <v>38675</v>
      </c>
      <c r="F10" s="433">
        <f t="shared" si="5"/>
        <v>38382</v>
      </c>
      <c r="G10" s="433">
        <f t="shared" si="5"/>
        <v>25077</v>
      </c>
      <c r="H10" s="433">
        <f t="shared" si="5"/>
        <v>31269</v>
      </c>
      <c r="I10" s="433">
        <f t="shared" si="5"/>
        <v>26693</v>
      </c>
      <c r="J10" s="433">
        <f t="shared" si="5"/>
        <v>35918</v>
      </c>
      <c r="K10" s="433">
        <f t="shared" si="5"/>
        <v>38988</v>
      </c>
      <c r="L10" s="433">
        <f t="shared" si="5"/>
        <v>26246</v>
      </c>
      <c r="M10" s="433">
        <f t="shared" si="5"/>
        <v>25203</v>
      </c>
      <c r="N10" s="433">
        <f t="shared" si="5"/>
        <v>174623</v>
      </c>
      <c r="O10" s="433">
        <f t="shared" si="5"/>
        <v>183152</v>
      </c>
      <c r="P10" s="433">
        <f t="shared" si="5"/>
        <v>164354</v>
      </c>
      <c r="Q10" s="433">
        <f t="shared" si="5"/>
        <v>220307</v>
      </c>
      <c r="R10" s="433">
        <f t="shared" si="5"/>
        <v>239857</v>
      </c>
      <c r="S10" s="433">
        <f t="shared" si="5"/>
        <v>228761</v>
      </c>
      <c r="T10" s="433">
        <f t="shared" si="5"/>
        <v>182009</v>
      </c>
      <c r="U10" s="433">
        <f t="shared" si="5"/>
        <v>186834</v>
      </c>
      <c r="V10" s="433">
        <f t="shared" si="5"/>
        <v>265471</v>
      </c>
      <c r="W10" s="433">
        <f t="shared" si="5"/>
        <v>256373</v>
      </c>
      <c r="X10" s="433">
        <f t="shared" si="5"/>
        <v>229020</v>
      </c>
      <c r="Y10" s="433">
        <f t="shared" si="5"/>
        <v>222586</v>
      </c>
      <c r="Z10" s="434">
        <f t="shared" si="5"/>
        <v>237288.2603</v>
      </c>
      <c r="AA10" s="434">
        <f t="shared" si="5"/>
        <v>254182.8216</v>
      </c>
      <c r="AB10" s="434">
        <f t="shared" si="5"/>
        <v>269240.6669</v>
      </c>
      <c r="AC10" s="434">
        <f t="shared" si="5"/>
        <v>282267.6617</v>
      </c>
      <c r="AD10" s="434">
        <f t="shared" si="5"/>
        <v>293903.0389</v>
      </c>
      <c r="AE10" s="434">
        <f t="shared" si="5"/>
        <v>300046.4589</v>
      </c>
      <c r="AF10" s="434">
        <f t="shared" si="5"/>
        <v>305551.8348</v>
      </c>
      <c r="AG10" s="434">
        <f t="shared" si="5"/>
        <v>309000.5918</v>
      </c>
      <c r="AH10" s="434">
        <f t="shared" si="5"/>
        <v>311983.1866</v>
      </c>
      <c r="AI10" s="434">
        <f t="shared" si="5"/>
        <v>315908.0636</v>
      </c>
      <c r="AJ10" s="434">
        <f t="shared" si="5"/>
        <v>320515.9767</v>
      </c>
      <c r="AK10" s="434">
        <f t="shared" si="5"/>
        <v>324541.4248</v>
      </c>
      <c r="AL10" s="434">
        <f t="shared" si="5"/>
        <v>328217.4857</v>
      </c>
      <c r="AM10" s="434">
        <f t="shared" si="5"/>
        <v>330505.8443</v>
      </c>
      <c r="AN10" s="434">
        <f t="shared" si="5"/>
        <v>333665.665</v>
      </c>
      <c r="AO10" s="434">
        <f t="shared" si="5"/>
        <v>337718.8864</v>
      </c>
      <c r="AP10" s="434">
        <f t="shared" si="5"/>
        <v>341317.8945</v>
      </c>
      <c r="AQ10" s="434">
        <f t="shared" si="5"/>
        <v>344578.968</v>
      </c>
      <c r="AR10" s="434">
        <f t="shared" si="5"/>
        <v>347856.2766</v>
      </c>
      <c r="AS10" s="434">
        <f t="shared" si="5"/>
        <v>350881.1381</v>
      </c>
      <c r="AT10" s="434">
        <f t="shared" si="5"/>
        <v>353718.8269</v>
      </c>
      <c r="AU10" s="434">
        <f t="shared" si="5"/>
        <v>356418.1154</v>
      </c>
      <c r="AV10" s="434">
        <f t="shared" si="5"/>
        <v>359015.4489</v>
      </c>
      <c r="AW10" s="434">
        <f t="shared" si="5"/>
        <v>361538.0646</v>
      </c>
      <c r="AX10" s="434">
        <f t="shared" si="5"/>
        <v>364006.3214</v>
      </c>
      <c r="AY10" s="434">
        <f t="shared" si="5"/>
        <v>367273.6368</v>
      </c>
      <c r="AZ10" s="434">
        <f t="shared" si="5"/>
        <v>370446.9878</v>
      </c>
      <c r="BA10" s="434">
        <f t="shared" si="5"/>
        <v>373408.3506</v>
      </c>
      <c r="BB10" s="434">
        <f t="shared" si="5"/>
        <v>376212.8319</v>
      </c>
      <c r="BC10" s="434">
        <f t="shared" si="5"/>
        <v>378901.6088</v>
      </c>
      <c r="BD10" s="434">
        <f t="shared" si="5"/>
        <v>381505.4531</v>
      </c>
      <c r="BE10" s="434">
        <f t="shared" si="5"/>
        <v>384047.3641</v>
      </c>
      <c r="BF10" s="434">
        <f t="shared" si="5"/>
        <v>386544.5348</v>
      </c>
      <c r="BG10" s="434">
        <f t="shared" si="5"/>
        <v>389009.8214</v>
      </c>
      <c r="BH10" s="434">
        <f t="shared" si="5"/>
        <v>391452.8405</v>
      </c>
      <c r="BI10" s="434">
        <f t="shared" si="5"/>
        <v>393880.7887</v>
      </c>
      <c r="BJ10" s="434">
        <f t="shared" si="5"/>
        <v>396299.0552</v>
      </c>
      <c r="BK10" s="434">
        <f t="shared" si="5"/>
        <v>400181.0886</v>
      </c>
      <c r="BL10" s="434">
        <f t="shared" si="5"/>
        <v>403970.2448</v>
      </c>
      <c r="BM10" s="434">
        <f t="shared" si="5"/>
        <v>407045.4366</v>
      </c>
      <c r="BN10" s="434">
        <f t="shared" si="5"/>
        <v>410097.6849</v>
      </c>
      <c r="BO10" s="434">
        <f t="shared" si="5"/>
        <v>413135.151</v>
      </c>
      <c r="BP10" s="434">
        <f t="shared" si="5"/>
        <v>416163.9715</v>
      </c>
      <c r="BQ10" s="434">
        <f t="shared" si="5"/>
        <v>419188.7715</v>
      </c>
      <c r="BR10" s="434">
        <f t="shared" si="5"/>
        <v>422213.048</v>
      </c>
      <c r="BS10" s="434">
        <f t="shared" si="5"/>
        <v>425239.4569</v>
      </c>
      <c r="BT10" s="434">
        <f t="shared" si="5"/>
        <v>428270.0262</v>
      </c>
      <c r="BU10" s="434">
        <f t="shared" si="5"/>
        <v>431306.3164</v>
      </c>
      <c r="BV10" s="434">
        <f t="shared" si="5"/>
        <v>434349.5402</v>
      </c>
      <c r="BW10" s="434">
        <f t="shared" si="5"/>
        <v>437511.2831</v>
      </c>
      <c r="BX10" s="434">
        <f t="shared" si="5"/>
        <v>437014.607</v>
      </c>
      <c r="BY10" s="434">
        <f t="shared" si="5"/>
        <v>436805.9551</v>
      </c>
      <c r="BZ10" s="434">
        <f t="shared" si="5"/>
        <v>437341.4376</v>
      </c>
      <c r="CA10" s="434">
        <f t="shared" si="5"/>
        <v>438435.0543</v>
      </c>
      <c r="CB10" s="434">
        <f t="shared" si="5"/>
        <v>439947.854</v>
      </c>
      <c r="CC10" s="434">
        <f t="shared" si="5"/>
        <v>441776.0326</v>
      </c>
      <c r="CD10" s="434">
        <f t="shared" si="5"/>
        <v>443842.0407</v>
      </c>
      <c r="CE10" s="434">
        <f t="shared" si="5"/>
        <v>446087.9425</v>
      </c>
      <c r="CF10" s="434">
        <f t="shared" si="5"/>
        <v>448470.4537</v>
      </c>
      <c r="CG10" s="434">
        <f t="shared" si="5"/>
        <v>450957.2355</v>
      </c>
      <c r="CH10" s="434">
        <f t="shared" si="5"/>
        <v>453524.1261</v>
      </c>
      <c r="CI10" s="434"/>
    </row>
    <row r="11" outlineLevel="1">
      <c r="A11" s="432" t="s">
        <v>96</v>
      </c>
      <c r="B11" s="432"/>
      <c r="C11" s="433">
        <f t="shared" ref="C11:CH11" si="6">C170</f>
        <v>39950</v>
      </c>
      <c r="D11" s="433">
        <f t="shared" si="6"/>
        <v>38867</v>
      </c>
      <c r="E11" s="433">
        <f t="shared" si="6"/>
        <v>36759</v>
      </c>
      <c r="F11" s="433">
        <f t="shared" si="6"/>
        <v>25125</v>
      </c>
      <c r="G11" s="433">
        <f t="shared" si="6"/>
        <v>36781</v>
      </c>
      <c r="H11" s="433">
        <f t="shared" si="6"/>
        <v>37960</v>
      </c>
      <c r="I11" s="433">
        <f t="shared" si="6"/>
        <v>26320</v>
      </c>
      <c r="J11" s="433">
        <f t="shared" si="6"/>
        <v>26527</v>
      </c>
      <c r="K11" s="433">
        <f t="shared" si="6"/>
        <v>20651</v>
      </c>
      <c r="L11" s="433">
        <f t="shared" si="6"/>
        <v>39016</v>
      </c>
      <c r="M11" s="433">
        <f t="shared" si="6"/>
        <v>30718</v>
      </c>
      <c r="N11" s="433">
        <f t="shared" si="6"/>
        <v>20546</v>
      </c>
      <c r="O11" s="433">
        <f t="shared" si="6"/>
        <v>35731</v>
      </c>
      <c r="P11" s="433">
        <f t="shared" si="6"/>
        <v>22841</v>
      </c>
      <c r="Q11" s="433">
        <f t="shared" si="6"/>
        <v>24132</v>
      </c>
      <c r="R11" s="433">
        <f t="shared" si="6"/>
        <v>24634</v>
      </c>
      <c r="S11" s="433">
        <f t="shared" si="6"/>
        <v>24667</v>
      </c>
      <c r="T11" s="433">
        <f t="shared" si="6"/>
        <v>35176</v>
      </c>
      <c r="U11" s="433">
        <f t="shared" si="6"/>
        <v>37262</v>
      </c>
      <c r="V11" s="433">
        <f t="shared" si="6"/>
        <v>25313</v>
      </c>
      <c r="W11" s="433">
        <f t="shared" si="6"/>
        <v>36298</v>
      </c>
      <c r="X11" s="433">
        <f t="shared" si="6"/>
        <v>23322</v>
      </c>
      <c r="Y11" s="433">
        <f t="shared" si="6"/>
        <v>35512</v>
      </c>
      <c r="Z11" s="434">
        <f t="shared" si="6"/>
        <v>50000</v>
      </c>
      <c r="AA11" s="434">
        <f t="shared" si="6"/>
        <v>50000</v>
      </c>
      <c r="AB11" s="434">
        <f t="shared" si="6"/>
        <v>50000</v>
      </c>
      <c r="AC11" s="434">
        <f t="shared" si="6"/>
        <v>50000</v>
      </c>
      <c r="AD11" s="434">
        <f t="shared" si="6"/>
        <v>50000</v>
      </c>
      <c r="AE11" s="434">
        <f t="shared" si="6"/>
        <v>50000</v>
      </c>
      <c r="AF11" s="434">
        <f t="shared" si="6"/>
        <v>50000</v>
      </c>
      <c r="AG11" s="434">
        <f t="shared" si="6"/>
        <v>50000</v>
      </c>
      <c r="AH11" s="434">
        <f t="shared" si="6"/>
        <v>50000</v>
      </c>
      <c r="AI11" s="434">
        <f t="shared" si="6"/>
        <v>50000</v>
      </c>
      <c r="AJ11" s="434">
        <f t="shared" si="6"/>
        <v>50000</v>
      </c>
      <c r="AK11" s="434">
        <f t="shared" si="6"/>
        <v>50000</v>
      </c>
      <c r="AL11" s="434">
        <f t="shared" si="6"/>
        <v>50000</v>
      </c>
      <c r="AM11" s="434">
        <f t="shared" si="6"/>
        <v>75000</v>
      </c>
      <c r="AN11" s="434">
        <f t="shared" si="6"/>
        <v>75000</v>
      </c>
      <c r="AO11" s="434">
        <f t="shared" si="6"/>
        <v>75000</v>
      </c>
      <c r="AP11" s="434">
        <f t="shared" si="6"/>
        <v>75000</v>
      </c>
      <c r="AQ11" s="434">
        <f t="shared" si="6"/>
        <v>75000</v>
      </c>
      <c r="AR11" s="434">
        <f t="shared" si="6"/>
        <v>75000</v>
      </c>
      <c r="AS11" s="434">
        <f t="shared" si="6"/>
        <v>75000</v>
      </c>
      <c r="AT11" s="434">
        <f t="shared" si="6"/>
        <v>75000</v>
      </c>
      <c r="AU11" s="434">
        <f t="shared" si="6"/>
        <v>75000</v>
      </c>
      <c r="AV11" s="434">
        <f t="shared" si="6"/>
        <v>75000</v>
      </c>
      <c r="AW11" s="434">
        <f t="shared" si="6"/>
        <v>75000</v>
      </c>
      <c r="AX11" s="434">
        <f t="shared" si="6"/>
        <v>75000</v>
      </c>
      <c r="AY11" s="434">
        <f t="shared" si="6"/>
        <v>100000</v>
      </c>
      <c r="AZ11" s="434">
        <f t="shared" si="6"/>
        <v>100000</v>
      </c>
      <c r="BA11" s="434">
        <f t="shared" si="6"/>
        <v>100000</v>
      </c>
      <c r="BB11" s="434">
        <f t="shared" si="6"/>
        <v>100000</v>
      </c>
      <c r="BC11" s="434">
        <f t="shared" si="6"/>
        <v>100000</v>
      </c>
      <c r="BD11" s="434">
        <f t="shared" si="6"/>
        <v>100000</v>
      </c>
      <c r="BE11" s="434">
        <f t="shared" si="6"/>
        <v>100000</v>
      </c>
      <c r="BF11" s="434">
        <f t="shared" si="6"/>
        <v>100000</v>
      </c>
      <c r="BG11" s="434">
        <f t="shared" si="6"/>
        <v>100000</v>
      </c>
      <c r="BH11" s="434">
        <f t="shared" si="6"/>
        <v>100000</v>
      </c>
      <c r="BI11" s="434">
        <f t="shared" si="6"/>
        <v>100000</v>
      </c>
      <c r="BJ11" s="434">
        <f t="shared" si="6"/>
        <v>100000</v>
      </c>
      <c r="BK11" s="434">
        <f t="shared" si="6"/>
        <v>100000</v>
      </c>
      <c r="BL11" s="434">
        <f t="shared" si="6"/>
        <v>100000</v>
      </c>
      <c r="BM11" s="434">
        <f t="shared" si="6"/>
        <v>100000</v>
      </c>
      <c r="BN11" s="434">
        <f t="shared" si="6"/>
        <v>100000</v>
      </c>
      <c r="BO11" s="434">
        <f t="shared" si="6"/>
        <v>100000</v>
      </c>
      <c r="BP11" s="434">
        <f t="shared" si="6"/>
        <v>100000</v>
      </c>
      <c r="BQ11" s="434">
        <f t="shared" si="6"/>
        <v>100000</v>
      </c>
      <c r="BR11" s="434">
        <f t="shared" si="6"/>
        <v>100000</v>
      </c>
      <c r="BS11" s="434">
        <f t="shared" si="6"/>
        <v>100000</v>
      </c>
      <c r="BT11" s="434">
        <f t="shared" si="6"/>
        <v>100000</v>
      </c>
      <c r="BU11" s="434">
        <f t="shared" si="6"/>
        <v>100000</v>
      </c>
      <c r="BV11" s="434">
        <f t="shared" si="6"/>
        <v>100000</v>
      </c>
      <c r="BW11" s="434">
        <f t="shared" si="6"/>
        <v>100000</v>
      </c>
      <c r="BX11" s="434">
        <f t="shared" si="6"/>
        <v>100000</v>
      </c>
      <c r="BY11" s="434">
        <f t="shared" si="6"/>
        <v>100000</v>
      </c>
      <c r="BZ11" s="434">
        <f t="shared" si="6"/>
        <v>100000</v>
      </c>
      <c r="CA11" s="434">
        <f t="shared" si="6"/>
        <v>100000</v>
      </c>
      <c r="CB11" s="434">
        <f t="shared" si="6"/>
        <v>100000</v>
      </c>
      <c r="CC11" s="434">
        <f t="shared" si="6"/>
        <v>100000</v>
      </c>
      <c r="CD11" s="434">
        <f t="shared" si="6"/>
        <v>100000</v>
      </c>
      <c r="CE11" s="434">
        <f t="shared" si="6"/>
        <v>100000</v>
      </c>
      <c r="CF11" s="434">
        <f t="shared" si="6"/>
        <v>100000</v>
      </c>
      <c r="CG11" s="434">
        <f t="shared" si="6"/>
        <v>100000</v>
      </c>
      <c r="CH11" s="434">
        <f t="shared" si="6"/>
        <v>100000</v>
      </c>
      <c r="CI11" s="434"/>
    </row>
    <row r="12" outlineLevel="1">
      <c r="A12" s="432" t="s">
        <v>72</v>
      </c>
      <c r="B12" s="432"/>
      <c r="C12" s="433">
        <f t="shared" ref="C12:CH12" si="7">SUM(C178,C184)</f>
        <v>-1149</v>
      </c>
      <c r="D12" s="433">
        <f t="shared" si="7"/>
        <v>-2038</v>
      </c>
      <c r="E12" s="433">
        <f t="shared" si="7"/>
        <v>5023</v>
      </c>
      <c r="F12" s="433">
        <f t="shared" si="7"/>
        <v>-1297</v>
      </c>
      <c r="G12" s="433">
        <f t="shared" si="7"/>
        <v>5789</v>
      </c>
      <c r="H12" s="433">
        <f t="shared" si="7"/>
        <v>-3042</v>
      </c>
      <c r="I12" s="433">
        <f t="shared" si="7"/>
        <v>2777</v>
      </c>
      <c r="J12" s="433">
        <f t="shared" si="7"/>
        <v>1676</v>
      </c>
      <c r="K12" s="433">
        <f t="shared" si="7"/>
        <v>3127</v>
      </c>
      <c r="L12" s="433">
        <f t="shared" si="7"/>
        <v>-1900</v>
      </c>
      <c r="M12" s="433">
        <f t="shared" si="7"/>
        <v>-7356</v>
      </c>
      <c r="N12" s="433">
        <f t="shared" si="7"/>
        <v>4009</v>
      </c>
      <c r="O12" s="433">
        <f t="shared" si="7"/>
        <v>-6964</v>
      </c>
      <c r="P12" s="433">
        <f t="shared" si="7"/>
        <v>-2787</v>
      </c>
      <c r="Q12" s="433">
        <f t="shared" si="7"/>
        <v>5092</v>
      </c>
      <c r="R12" s="433">
        <f t="shared" si="7"/>
        <v>6226</v>
      </c>
      <c r="S12" s="433">
        <f t="shared" si="7"/>
        <v>889</v>
      </c>
      <c r="T12" s="433">
        <f t="shared" si="7"/>
        <v>-374</v>
      </c>
      <c r="U12" s="433">
        <f t="shared" si="7"/>
        <v>8839</v>
      </c>
      <c r="V12" s="433">
        <f t="shared" si="7"/>
        <v>-2947</v>
      </c>
      <c r="W12" s="433">
        <f t="shared" si="7"/>
        <v>-8179</v>
      </c>
      <c r="X12" s="433">
        <f t="shared" si="7"/>
        <v>-7798</v>
      </c>
      <c r="Y12" s="433">
        <f t="shared" si="7"/>
        <v>-8579</v>
      </c>
      <c r="Z12" s="434">
        <f t="shared" si="7"/>
        <v>-8518.22</v>
      </c>
      <c r="AA12" s="434">
        <f t="shared" si="7"/>
        <v>-8475.2688</v>
      </c>
      <c r="AB12" s="434">
        <f t="shared" si="7"/>
        <v>-8430.599552</v>
      </c>
      <c r="AC12" s="434">
        <f t="shared" si="7"/>
        <v>-8384.143534</v>
      </c>
      <c r="AD12" s="434">
        <f t="shared" si="7"/>
        <v>-8335.829275</v>
      </c>
      <c r="AE12" s="434">
        <f t="shared" si="7"/>
        <v>-8285.582446</v>
      </c>
      <c r="AF12" s="434">
        <f t="shared" si="7"/>
        <v>1358.674256</v>
      </c>
      <c r="AG12" s="434">
        <f t="shared" si="7"/>
        <v>1413.021226</v>
      </c>
      <c r="AH12" s="434">
        <f t="shared" si="7"/>
        <v>1469.542075</v>
      </c>
      <c r="AI12" s="434">
        <f t="shared" si="7"/>
        <v>1528.323758</v>
      </c>
      <c r="AJ12" s="434">
        <f t="shared" si="7"/>
        <v>1589.456708</v>
      </c>
      <c r="AK12" s="434">
        <f t="shared" si="7"/>
        <v>1653.034977</v>
      </c>
      <c r="AL12" s="434">
        <f t="shared" si="7"/>
        <v>1719.156376</v>
      </c>
      <c r="AM12" s="434">
        <f t="shared" si="7"/>
        <v>1787.922631</v>
      </c>
      <c r="AN12" s="434">
        <f t="shared" si="7"/>
        <v>1859.439536</v>
      </c>
      <c r="AO12" s="434">
        <f t="shared" si="7"/>
        <v>1933.817117</v>
      </c>
      <c r="AP12" s="434">
        <f t="shared" si="7"/>
        <v>2011.169802</v>
      </c>
      <c r="AQ12" s="434">
        <f t="shared" si="7"/>
        <v>2091.616594</v>
      </c>
      <c r="AR12" s="434">
        <f t="shared" si="7"/>
        <v>2175.281258</v>
      </c>
      <c r="AS12" s="434">
        <f t="shared" si="7"/>
        <v>2262.292508</v>
      </c>
      <c r="AT12" s="434">
        <f t="shared" si="7"/>
        <v>2352.784209</v>
      </c>
      <c r="AU12" s="434">
        <f t="shared" si="7"/>
        <v>2446.895577</v>
      </c>
      <c r="AV12" s="434">
        <f t="shared" si="7"/>
        <v>2544.7714</v>
      </c>
      <c r="AW12" s="434">
        <f t="shared" si="7"/>
        <v>2646.562256</v>
      </c>
      <c r="AX12" s="434">
        <f t="shared" si="7"/>
        <v>2752.424746</v>
      </c>
      <c r="AY12" s="434">
        <f t="shared" si="7"/>
        <v>2862.521736</v>
      </c>
      <c r="AZ12" s="434">
        <f t="shared" si="7"/>
        <v>2977.022605</v>
      </c>
      <c r="BA12" s="434">
        <f t="shared" si="7"/>
        <v>3096.10351</v>
      </c>
      <c r="BB12" s="434">
        <f t="shared" si="7"/>
        <v>3219.94765</v>
      </c>
      <c r="BC12" s="434">
        <f t="shared" si="7"/>
        <v>3348.745556</v>
      </c>
      <c r="BD12" s="434">
        <f t="shared" si="7"/>
        <v>3482.695378</v>
      </c>
      <c r="BE12" s="434">
        <f t="shared" si="7"/>
        <v>3622.003193</v>
      </c>
      <c r="BF12" s="434">
        <f t="shared" si="7"/>
        <v>3766.883321</v>
      </c>
      <c r="BG12" s="434">
        <f t="shared" si="7"/>
        <v>3917.558654</v>
      </c>
      <c r="BH12" s="434">
        <f t="shared" si="7"/>
        <v>4074.261</v>
      </c>
      <c r="BI12" s="434">
        <f t="shared" si="7"/>
        <v>4237.23144</v>
      </c>
      <c r="BJ12" s="434">
        <f t="shared" si="7"/>
        <v>4406.720698</v>
      </c>
      <c r="BK12" s="434">
        <f t="shared" si="7"/>
        <v>4582.989526</v>
      </c>
      <c r="BL12" s="434">
        <f t="shared" si="7"/>
        <v>4766.309107</v>
      </c>
      <c r="BM12" s="434">
        <f t="shared" si="7"/>
        <v>4956.961471</v>
      </c>
      <c r="BN12" s="434">
        <f t="shared" si="7"/>
        <v>5155.23993</v>
      </c>
      <c r="BO12" s="434">
        <f t="shared" si="7"/>
        <v>5361.449527</v>
      </c>
      <c r="BP12" s="434">
        <f t="shared" si="7"/>
        <v>5575.907508</v>
      </c>
      <c r="BQ12" s="434">
        <f t="shared" si="7"/>
        <v>5798.943808</v>
      </c>
      <c r="BR12" s="434">
        <f t="shared" si="7"/>
        <v>6030.901561</v>
      </c>
      <c r="BS12" s="434">
        <f t="shared" si="7"/>
        <v>6272.137623</v>
      </c>
      <c r="BT12" s="434">
        <f t="shared" si="7"/>
        <v>6523.023128</v>
      </c>
      <c r="BU12" s="434">
        <f t="shared" si="7"/>
        <v>6783.944053</v>
      </c>
      <c r="BV12" s="434">
        <f t="shared" si="7"/>
        <v>7055.301815</v>
      </c>
      <c r="BW12" s="434">
        <f t="shared" si="7"/>
        <v>7337.513888</v>
      </c>
      <c r="BX12" s="434">
        <f t="shared" si="7"/>
        <v>7631.014444</v>
      </c>
      <c r="BY12" s="434">
        <f t="shared" si="7"/>
        <v>7936.255021</v>
      </c>
      <c r="BZ12" s="434">
        <f t="shared" si="7"/>
        <v>8253.705222</v>
      </c>
      <c r="CA12" s="434">
        <f t="shared" si="7"/>
        <v>8583.853431</v>
      </c>
      <c r="CB12" s="434">
        <f t="shared" si="7"/>
        <v>8927.207568</v>
      </c>
      <c r="CC12" s="434">
        <f t="shared" si="7"/>
        <v>9284.295871</v>
      </c>
      <c r="CD12" s="434">
        <f t="shared" si="7"/>
        <v>9655.667706</v>
      </c>
      <c r="CE12" s="434">
        <f t="shared" si="7"/>
        <v>10041.89441</v>
      </c>
      <c r="CF12" s="434">
        <f t="shared" si="7"/>
        <v>10443.57019</v>
      </c>
      <c r="CG12" s="434">
        <f t="shared" si="7"/>
        <v>10861.313</v>
      </c>
      <c r="CH12" s="434">
        <f t="shared" si="7"/>
        <v>11295.76552</v>
      </c>
      <c r="CI12" s="434"/>
    </row>
    <row r="13">
      <c r="A13" s="435" t="s">
        <v>98</v>
      </c>
      <c r="B13" s="436"/>
      <c r="C13" s="437">
        <f t="shared" ref="C13:CH13" si="8">SUM(C6:C12)</f>
        <v>773152</v>
      </c>
      <c r="D13" s="437">
        <f t="shared" si="8"/>
        <v>941422</v>
      </c>
      <c r="E13" s="437">
        <f t="shared" si="8"/>
        <v>893486</v>
      </c>
      <c r="F13" s="437">
        <f t="shared" si="8"/>
        <v>1051449</v>
      </c>
      <c r="G13" s="437">
        <f t="shared" si="8"/>
        <v>895176</v>
      </c>
      <c r="H13" s="437">
        <f t="shared" si="8"/>
        <v>971666</v>
      </c>
      <c r="I13" s="437">
        <f t="shared" si="8"/>
        <v>809898</v>
      </c>
      <c r="J13" s="437">
        <f t="shared" si="8"/>
        <v>777794</v>
      </c>
      <c r="K13" s="437">
        <f t="shared" si="8"/>
        <v>839691</v>
      </c>
      <c r="L13" s="437">
        <f t="shared" si="8"/>
        <v>896666</v>
      </c>
      <c r="M13" s="437">
        <f t="shared" si="8"/>
        <v>872418</v>
      </c>
      <c r="N13" s="437">
        <f t="shared" si="8"/>
        <v>1004888</v>
      </c>
      <c r="O13" s="437">
        <f t="shared" si="8"/>
        <v>1129075</v>
      </c>
      <c r="P13" s="437">
        <f t="shared" si="8"/>
        <v>972065</v>
      </c>
      <c r="Q13" s="437">
        <f t="shared" si="8"/>
        <v>1065202</v>
      </c>
      <c r="R13" s="437">
        <f t="shared" si="8"/>
        <v>1164976</v>
      </c>
      <c r="S13" s="437">
        <f t="shared" si="8"/>
        <v>1141215</v>
      </c>
      <c r="T13" s="437">
        <f t="shared" si="8"/>
        <v>1026384</v>
      </c>
      <c r="U13" s="437">
        <f t="shared" si="8"/>
        <v>1084442</v>
      </c>
      <c r="V13" s="437">
        <f t="shared" si="8"/>
        <v>1281940</v>
      </c>
      <c r="W13" s="437">
        <f t="shared" si="8"/>
        <v>1204294</v>
      </c>
      <c r="X13" s="437">
        <f t="shared" si="8"/>
        <v>1076142</v>
      </c>
      <c r="Y13" s="437">
        <f t="shared" si="8"/>
        <v>1079035</v>
      </c>
      <c r="Z13" s="438">
        <f t="shared" si="8"/>
        <v>1415790.631</v>
      </c>
      <c r="AA13" s="438">
        <f t="shared" si="8"/>
        <v>1667456.392</v>
      </c>
      <c r="AB13" s="438">
        <f t="shared" si="8"/>
        <v>1916164.307</v>
      </c>
      <c r="AC13" s="438">
        <f t="shared" si="8"/>
        <v>2143927.895</v>
      </c>
      <c r="AD13" s="438">
        <f t="shared" si="8"/>
        <v>2362030.523</v>
      </c>
      <c r="AE13" s="438">
        <f t="shared" si="8"/>
        <v>2578733.721</v>
      </c>
      <c r="AF13" s="438">
        <f t="shared" si="8"/>
        <v>2796714.82</v>
      </c>
      <c r="AG13" s="438">
        <f t="shared" si="8"/>
        <v>2993212.987</v>
      </c>
      <c r="AH13" s="438">
        <f t="shared" si="8"/>
        <v>3185918.325</v>
      </c>
      <c r="AI13" s="438">
        <f t="shared" si="8"/>
        <v>3374588.725</v>
      </c>
      <c r="AJ13" s="438">
        <f t="shared" si="8"/>
        <v>3549978.171</v>
      </c>
      <c r="AK13" s="438">
        <f t="shared" si="8"/>
        <v>3723674.445</v>
      </c>
      <c r="AL13" s="438">
        <f t="shared" si="8"/>
        <v>3899557.769</v>
      </c>
      <c r="AM13" s="438">
        <f t="shared" si="8"/>
        <v>4073318.095</v>
      </c>
      <c r="AN13" s="438">
        <f t="shared" si="8"/>
        <v>4104264.349</v>
      </c>
      <c r="AO13" s="438">
        <f t="shared" si="8"/>
        <v>4147652.518</v>
      </c>
      <c r="AP13" s="438">
        <f t="shared" si="8"/>
        <v>4203892.505</v>
      </c>
      <c r="AQ13" s="438">
        <f t="shared" si="8"/>
        <v>4263598.691</v>
      </c>
      <c r="AR13" s="438">
        <f t="shared" si="8"/>
        <v>4325695.573</v>
      </c>
      <c r="AS13" s="438">
        <f t="shared" si="8"/>
        <v>4387113.817</v>
      </c>
      <c r="AT13" s="438">
        <f t="shared" si="8"/>
        <v>4461262.247</v>
      </c>
      <c r="AU13" s="438">
        <f t="shared" si="8"/>
        <v>4521109.201</v>
      </c>
      <c r="AV13" s="438">
        <f t="shared" si="8"/>
        <v>4580106.491</v>
      </c>
      <c r="AW13" s="438">
        <f t="shared" si="8"/>
        <v>4638288.148</v>
      </c>
      <c r="AX13" s="438">
        <f t="shared" si="8"/>
        <v>4695693.717</v>
      </c>
      <c r="AY13" s="438">
        <f t="shared" si="8"/>
        <v>4820732.602</v>
      </c>
      <c r="AZ13" s="438">
        <f t="shared" si="8"/>
        <v>4914856.216</v>
      </c>
      <c r="BA13" s="438">
        <f t="shared" si="8"/>
        <v>5006077.918</v>
      </c>
      <c r="BB13" s="438">
        <f t="shared" si="8"/>
        <v>5094952.155</v>
      </c>
      <c r="BC13" s="438">
        <f t="shared" si="8"/>
        <v>5181837.409</v>
      </c>
      <c r="BD13" s="438">
        <f t="shared" si="8"/>
        <v>5266964.562</v>
      </c>
      <c r="BE13" s="438">
        <f t="shared" si="8"/>
        <v>5350509.62</v>
      </c>
      <c r="BF13" s="438">
        <f t="shared" si="8"/>
        <v>5432616.125</v>
      </c>
      <c r="BG13" s="438">
        <f t="shared" si="8"/>
        <v>5513405.239</v>
      </c>
      <c r="BH13" s="438">
        <f t="shared" si="8"/>
        <v>5592981.632</v>
      </c>
      <c r="BI13" s="438">
        <f t="shared" si="8"/>
        <v>5671437.41</v>
      </c>
      <c r="BJ13" s="438">
        <f t="shared" si="8"/>
        <v>5748854.893</v>
      </c>
      <c r="BK13" s="438">
        <f t="shared" si="8"/>
        <v>5860742.345</v>
      </c>
      <c r="BL13" s="438">
        <f t="shared" si="8"/>
        <v>5947592.72</v>
      </c>
      <c r="BM13" s="438">
        <f t="shared" si="8"/>
        <v>6026248.645</v>
      </c>
      <c r="BN13" s="438">
        <f t="shared" si="8"/>
        <v>6103350.145</v>
      </c>
      <c r="BO13" s="438">
        <f t="shared" si="8"/>
        <v>6180069.871</v>
      </c>
      <c r="BP13" s="438">
        <f t="shared" si="8"/>
        <v>6256437.323</v>
      </c>
      <c r="BQ13" s="438">
        <f t="shared" si="8"/>
        <v>6332503.361</v>
      </c>
      <c r="BR13" s="438">
        <f t="shared" si="8"/>
        <v>6408317.12</v>
      </c>
      <c r="BS13" s="438">
        <f t="shared" si="8"/>
        <v>6483925.121</v>
      </c>
      <c r="BT13" s="438">
        <f t="shared" si="8"/>
        <v>6559372.097</v>
      </c>
      <c r="BU13" s="438">
        <f t="shared" si="8"/>
        <v>6634701.496</v>
      </c>
      <c r="BV13" s="438">
        <f t="shared" si="8"/>
        <v>6709955.734</v>
      </c>
      <c r="BW13" s="438">
        <f t="shared" si="8"/>
        <v>6812868.679</v>
      </c>
      <c r="BX13" s="438">
        <f t="shared" si="8"/>
        <v>6860970.95</v>
      </c>
      <c r="BY13" s="438">
        <f t="shared" si="8"/>
        <v>6906949.871</v>
      </c>
      <c r="BZ13" s="438">
        <f t="shared" si="8"/>
        <v>6955328.654</v>
      </c>
      <c r="CA13" s="438">
        <f t="shared" si="8"/>
        <v>7005105.221</v>
      </c>
      <c r="CB13" s="438">
        <f t="shared" si="8"/>
        <v>7055526.11</v>
      </c>
      <c r="CC13" s="438">
        <f t="shared" si="8"/>
        <v>7106276.176</v>
      </c>
      <c r="CD13" s="438">
        <f t="shared" si="8"/>
        <v>7157194.211</v>
      </c>
      <c r="CE13" s="438">
        <f t="shared" si="8"/>
        <v>7208189.201</v>
      </c>
      <c r="CF13" s="438">
        <f t="shared" si="8"/>
        <v>7259209.016</v>
      </c>
      <c r="CG13" s="438">
        <f t="shared" si="8"/>
        <v>7310225.906</v>
      </c>
      <c r="CH13" s="438">
        <f t="shared" si="8"/>
        <v>7361228.504</v>
      </c>
      <c r="CI13" s="439"/>
    </row>
    <row r="14">
      <c r="A14" s="432" t="s">
        <v>325</v>
      </c>
      <c r="B14" s="432"/>
      <c r="C14" s="432"/>
      <c r="D14" s="433">
        <f t="shared" ref="D14:CH14" si="9">D13-C13</f>
        <v>168270</v>
      </c>
      <c r="E14" s="433">
        <f t="shared" si="9"/>
        <v>-47936</v>
      </c>
      <c r="F14" s="433">
        <f t="shared" si="9"/>
        <v>157963</v>
      </c>
      <c r="G14" s="433">
        <f t="shared" si="9"/>
        <v>-156273</v>
      </c>
      <c r="H14" s="433">
        <f t="shared" si="9"/>
        <v>76490</v>
      </c>
      <c r="I14" s="433">
        <f t="shared" si="9"/>
        <v>-161768</v>
      </c>
      <c r="J14" s="433">
        <f t="shared" si="9"/>
        <v>-32104</v>
      </c>
      <c r="K14" s="433">
        <f t="shared" si="9"/>
        <v>61897</v>
      </c>
      <c r="L14" s="433">
        <f t="shared" si="9"/>
        <v>56975</v>
      </c>
      <c r="M14" s="433">
        <f t="shared" si="9"/>
        <v>-24248</v>
      </c>
      <c r="N14" s="433">
        <f t="shared" si="9"/>
        <v>132470</v>
      </c>
      <c r="O14" s="433">
        <f t="shared" si="9"/>
        <v>124187</v>
      </c>
      <c r="P14" s="433">
        <f t="shared" si="9"/>
        <v>-157010</v>
      </c>
      <c r="Q14" s="433">
        <f t="shared" si="9"/>
        <v>93137</v>
      </c>
      <c r="R14" s="433">
        <f t="shared" si="9"/>
        <v>99774</v>
      </c>
      <c r="S14" s="433">
        <f t="shared" si="9"/>
        <v>-23761</v>
      </c>
      <c r="T14" s="433">
        <f t="shared" si="9"/>
        <v>-114831</v>
      </c>
      <c r="U14" s="433">
        <f t="shared" si="9"/>
        <v>58058</v>
      </c>
      <c r="V14" s="433">
        <f t="shared" si="9"/>
        <v>197498</v>
      </c>
      <c r="W14" s="433">
        <f t="shared" si="9"/>
        <v>-77646</v>
      </c>
      <c r="X14" s="433">
        <f t="shared" si="9"/>
        <v>-128152</v>
      </c>
      <c r="Y14" s="433">
        <f t="shared" si="9"/>
        <v>2893</v>
      </c>
      <c r="Z14" s="434">
        <f t="shared" si="9"/>
        <v>336755.6307</v>
      </c>
      <c r="AA14" s="434">
        <f t="shared" si="9"/>
        <v>251665.7612</v>
      </c>
      <c r="AB14" s="434">
        <f t="shared" si="9"/>
        <v>248707.9147</v>
      </c>
      <c r="AC14" s="434">
        <f t="shared" si="9"/>
        <v>227763.5879</v>
      </c>
      <c r="AD14" s="434">
        <f t="shared" si="9"/>
        <v>218102.6286</v>
      </c>
      <c r="AE14" s="434">
        <f t="shared" si="9"/>
        <v>216703.1977</v>
      </c>
      <c r="AF14" s="434">
        <f t="shared" si="9"/>
        <v>217981.0995</v>
      </c>
      <c r="AG14" s="434">
        <f t="shared" si="9"/>
        <v>196498.1668</v>
      </c>
      <c r="AH14" s="434">
        <f t="shared" si="9"/>
        <v>192705.3374</v>
      </c>
      <c r="AI14" s="434">
        <f t="shared" si="9"/>
        <v>188670.4005</v>
      </c>
      <c r="AJ14" s="434">
        <f t="shared" si="9"/>
        <v>175389.4457</v>
      </c>
      <c r="AK14" s="434">
        <f t="shared" si="9"/>
        <v>173696.2739</v>
      </c>
      <c r="AL14" s="434">
        <f t="shared" si="9"/>
        <v>175883.3241</v>
      </c>
      <c r="AM14" s="434">
        <f t="shared" si="9"/>
        <v>173760.3262</v>
      </c>
      <c r="AN14" s="434">
        <f t="shared" si="9"/>
        <v>30946.25367</v>
      </c>
      <c r="AO14" s="434">
        <f t="shared" si="9"/>
        <v>43388.16897</v>
      </c>
      <c r="AP14" s="434">
        <f t="shared" si="9"/>
        <v>56239.98748</v>
      </c>
      <c r="AQ14" s="434">
        <f t="shared" si="9"/>
        <v>59706.18555</v>
      </c>
      <c r="AR14" s="434">
        <f t="shared" si="9"/>
        <v>62096.88186</v>
      </c>
      <c r="AS14" s="434">
        <f t="shared" si="9"/>
        <v>61418.24467</v>
      </c>
      <c r="AT14" s="434">
        <f t="shared" si="9"/>
        <v>74148.42966</v>
      </c>
      <c r="AU14" s="434">
        <f t="shared" si="9"/>
        <v>59846.95433</v>
      </c>
      <c r="AV14" s="434">
        <f t="shared" si="9"/>
        <v>58997.29005</v>
      </c>
      <c r="AW14" s="434">
        <f t="shared" si="9"/>
        <v>58181.65697</v>
      </c>
      <c r="AX14" s="434">
        <f t="shared" si="9"/>
        <v>57405.56861</v>
      </c>
      <c r="AY14" s="434">
        <f t="shared" si="9"/>
        <v>125038.885</v>
      </c>
      <c r="AZ14" s="434">
        <f t="shared" si="9"/>
        <v>94123.6142</v>
      </c>
      <c r="BA14" s="434">
        <f t="shared" si="9"/>
        <v>91221.70185</v>
      </c>
      <c r="BB14" s="434">
        <f t="shared" si="9"/>
        <v>88874.2369</v>
      </c>
      <c r="BC14" s="434">
        <f t="shared" si="9"/>
        <v>86885.25419</v>
      </c>
      <c r="BD14" s="434">
        <f t="shared" si="9"/>
        <v>85127.15269</v>
      </c>
      <c r="BE14" s="434">
        <f t="shared" si="9"/>
        <v>83545.05844</v>
      </c>
      <c r="BF14" s="434">
        <f t="shared" si="9"/>
        <v>82106.50473</v>
      </c>
      <c r="BG14" s="434">
        <f t="shared" si="9"/>
        <v>80789.11364</v>
      </c>
      <c r="BH14" s="434">
        <f t="shared" si="9"/>
        <v>79576.39378</v>
      </c>
      <c r="BI14" s="434">
        <f t="shared" si="9"/>
        <v>78455.77766</v>
      </c>
      <c r="BJ14" s="434">
        <f t="shared" si="9"/>
        <v>77417.48335</v>
      </c>
      <c r="BK14" s="434">
        <f t="shared" si="9"/>
        <v>111887.4514</v>
      </c>
      <c r="BL14" s="434">
        <f t="shared" si="9"/>
        <v>86850.37488</v>
      </c>
      <c r="BM14" s="434">
        <f t="shared" si="9"/>
        <v>78655.92506</v>
      </c>
      <c r="BN14" s="434">
        <f t="shared" si="9"/>
        <v>77101.49985</v>
      </c>
      <c r="BO14" s="434">
        <f t="shared" si="9"/>
        <v>76719.72632</v>
      </c>
      <c r="BP14" s="434">
        <f t="shared" si="9"/>
        <v>76367.45167</v>
      </c>
      <c r="BQ14" s="434">
        <f t="shared" si="9"/>
        <v>76066.0384</v>
      </c>
      <c r="BR14" s="434">
        <f t="shared" si="9"/>
        <v>75813.75881</v>
      </c>
      <c r="BS14" s="434">
        <f t="shared" si="9"/>
        <v>75608.00114</v>
      </c>
      <c r="BT14" s="434">
        <f t="shared" si="9"/>
        <v>75446.97614</v>
      </c>
      <c r="BU14" s="434">
        <f t="shared" si="9"/>
        <v>75329.3992</v>
      </c>
      <c r="BV14" s="434">
        <f t="shared" si="9"/>
        <v>75254.23745</v>
      </c>
      <c r="BW14" s="434">
        <f t="shared" si="9"/>
        <v>102912.9452</v>
      </c>
      <c r="BX14" s="434">
        <f t="shared" si="9"/>
        <v>48102.27137</v>
      </c>
      <c r="BY14" s="434">
        <f t="shared" si="9"/>
        <v>45978.92065</v>
      </c>
      <c r="BZ14" s="434">
        <f t="shared" si="9"/>
        <v>48378.78346</v>
      </c>
      <c r="CA14" s="434">
        <f t="shared" si="9"/>
        <v>49776.56697</v>
      </c>
      <c r="CB14" s="434">
        <f t="shared" si="9"/>
        <v>50420.88887</v>
      </c>
      <c r="CC14" s="434">
        <f t="shared" si="9"/>
        <v>50750.06539</v>
      </c>
      <c r="CD14" s="434">
        <f t="shared" si="9"/>
        <v>50918.03502</v>
      </c>
      <c r="CE14" s="434">
        <f t="shared" si="9"/>
        <v>50994.99089</v>
      </c>
      <c r="CF14" s="434">
        <f t="shared" si="9"/>
        <v>51019.81451</v>
      </c>
      <c r="CG14" s="434">
        <f t="shared" si="9"/>
        <v>51016.88993</v>
      </c>
      <c r="CH14" s="434">
        <f t="shared" si="9"/>
        <v>51002.59809</v>
      </c>
      <c r="CI14" s="434"/>
    </row>
    <row r="15">
      <c r="A15" s="432" t="s">
        <v>51</v>
      </c>
      <c r="B15" s="432"/>
      <c r="C15" s="432"/>
      <c r="D15" s="440">
        <f t="shared" ref="D15:CH15" si="10">D13/C13-1</f>
        <v>0.2176415504</v>
      </c>
      <c r="E15" s="440">
        <f t="shared" si="10"/>
        <v>-0.05091871658</v>
      </c>
      <c r="F15" s="440">
        <f t="shared" si="10"/>
        <v>0.1767940404</v>
      </c>
      <c r="G15" s="440">
        <f t="shared" si="10"/>
        <v>-0.1486263242</v>
      </c>
      <c r="H15" s="440">
        <f t="shared" si="10"/>
        <v>0.08544688419</v>
      </c>
      <c r="I15" s="440">
        <f t="shared" si="10"/>
        <v>-0.1664851914</v>
      </c>
      <c r="J15" s="440">
        <f t="shared" si="10"/>
        <v>-0.03963955955</v>
      </c>
      <c r="K15" s="440">
        <f t="shared" si="10"/>
        <v>0.07958019733</v>
      </c>
      <c r="L15" s="440">
        <f t="shared" si="10"/>
        <v>0.06785234092</v>
      </c>
      <c r="M15" s="440">
        <f t="shared" si="10"/>
        <v>-0.02704239929</v>
      </c>
      <c r="N15" s="440">
        <f t="shared" si="10"/>
        <v>0.1518423508</v>
      </c>
      <c r="O15" s="440">
        <f t="shared" si="10"/>
        <v>0.1235829267</v>
      </c>
      <c r="P15" s="440">
        <f t="shared" si="10"/>
        <v>-0.1390607356</v>
      </c>
      <c r="Q15" s="440">
        <f t="shared" si="10"/>
        <v>0.09581355156</v>
      </c>
      <c r="R15" s="440">
        <f t="shared" si="10"/>
        <v>0.09366674114</v>
      </c>
      <c r="S15" s="440">
        <f t="shared" si="10"/>
        <v>-0.02039612833</v>
      </c>
      <c r="T15" s="440">
        <f t="shared" si="10"/>
        <v>-0.1006217058</v>
      </c>
      <c r="U15" s="440">
        <f t="shared" si="10"/>
        <v>0.0565655739</v>
      </c>
      <c r="V15" s="440">
        <f t="shared" si="10"/>
        <v>0.1821194679</v>
      </c>
      <c r="W15" s="441">
        <f t="shared" si="10"/>
        <v>-0.0605691374</v>
      </c>
      <c r="X15" s="441">
        <f t="shared" si="10"/>
        <v>-0.1064125537</v>
      </c>
      <c r="Y15" s="441">
        <f t="shared" si="10"/>
        <v>0.002688306933</v>
      </c>
      <c r="Z15" s="441">
        <f t="shared" si="10"/>
        <v>0.3120896271</v>
      </c>
      <c r="AA15" s="441">
        <f t="shared" si="10"/>
        <v>0.1777563403</v>
      </c>
      <c r="AB15" s="441">
        <f t="shared" si="10"/>
        <v>0.1491540744</v>
      </c>
      <c r="AC15" s="441">
        <f t="shared" si="10"/>
        <v>0.1188643308</v>
      </c>
      <c r="AD15" s="441">
        <f t="shared" si="10"/>
        <v>0.1017303936</v>
      </c>
      <c r="AE15" s="441">
        <f t="shared" si="10"/>
        <v>0.09174445276</v>
      </c>
      <c r="AF15" s="441">
        <f t="shared" si="10"/>
        <v>0.0845302862</v>
      </c>
      <c r="AG15" s="441">
        <f t="shared" si="10"/>
        <v>0.07026035169</v>
      </c>
      <c r="AH15" s="441">
        <f t="shared" si="10"/>
        <v>0.06438076349</v>
      </c>
      <c r="AI15" s="441">
        <f t="shared" si="10"/>
        <v>0.0592200996</v>
      </c>
      <c r="AJ15" s="441">
        <f t="shared" si="10"/>
        <v>0.05197357664</v>
      </c>
      <c r="AK15" s="441">
        <f t="shared" si="10"/>
        <v>0.04892882872</v>
      </c>
      <c r="AL15" s="441">
        <f t="shared" si="10"/>
        <v>0.0472338081</v>
      </c>
      <c r="AM15" s="441">
        <f t="shared" si="10"/>
        <v>0.04455898244</v>
      </c>
      <c r="AN15" s="441">
        <f t="shared" si="10"/>
        <v>0.007597308372</v>
      </c>
      <c r="AO15" s="441">
        <f t="shared" si="10"/>
        <v>0.01057148499</v>
      </c>
      <c r="AP15" s="441">
        <f t="shared" si="10"/>
        <v>0.01355947424</v>
      </c>
      <c r="AQ15" s="441">
        <f t="shared" si="10"/>
        <v>0.01420259568</v>
      </c>
      <c r="AR15" s="441">
        <f t="shared" si="10"/>
        <v>0.01456442934</v>
      </c>
      <c r="AS15" s="441">
        <f t="shared" si="10"/>
        <v>0.01419846673</v>
      </c>
      <c r="AT15" s="441">
        <f t="shared" si="10"/>
        <v>0.01690141463</v>
      </c>
      <c r="AU15" s="441">
        <f t="shared" si="10"/>
        <v>0.01341480303</v>
      </c>
      <c r="AV15" s="441">
        <f t="shared" si="10"/>
        <v>0.01304929552</v>
      </c>
      <c r="AW15" s="441">
        <f t="shared" si="10"/>
        <v>0.01270312319</v>
      </c>
      <c r="AX15" s="441">
        <f t="shared" si="10"/>
        <v>0.01237645588</v>
      </c>
      <c r="AY15" s="441">
        <f t="shared" si="10"/>
        <v>0.02662841586</v>
      </c>
      <c r="AZ15" s="441">
        <f t="shared" si="10"/>
        <v>0.01952475318</v>
      </c>
      <c r="BA15" s="441">
        <f t="shared" si="10"/>
        <v>0.01856040092</v>
      </c>
      <c r="BB15" s="441">
        <f t="shared" si="10"/>
        <v>0.0177532668</v>
      </c>
      <c r="BC15" s="441">
        <f t="shared" si="10"/>
        <v>0.01705320316</v>
      </c>
      <c r="BD15" s="441">
        <f t="shared" si="10"/>
        <v>0.01642798605</v>
      </c>
      <c r="BE15" s="441">
        <f t="shared" si="10"/>
        <v>0.01586208858</v>
      </c>
      <c r="BF15" s="441">
        <f t="shared" si="10"/>
        <v>0.01534554847</v>
      </c>
      <c r="BG15" s="441">
        <f t="shared" si="10"/>
        <v>0.01487112503</v>
      </c>
      <c r="BH15" s="441">
        <f t="shared" si="10"/>
        <v>0.01443325682</v>
      </c>
      <c r="BI15" s="441">
        <f t="shared" si="10"/>
        <v>0.01402754073</v>
      </c>
      <c r="BJ15" s="441">
        <f t="shared" si="10"/>
        <v>0.0136504166</v>
      </c>
      <c r="BK15" s="441">
        <f t="shared" si="10"/>
        <v>0.01946256315</v>
      </c>
      <c r="BL15" s="441">
        <f t="shared" si="10"/>
        <v>0.01481900581</v>
      </c>
      <c r="BM15" s="441">
        <f t="shared" si="10"/>
        <v>0.01322483377</v>
      </c>
      <c r="BN15" s="441">
        <f t="shared" si="10"/>
        <v>0.0127942779</v>
      </c>
      <c r="BO15" s="441">
        <f t="shared" si="10"/>
        <v>0.01257010076</v>
      </c>
      <c r="BP15" s="441">
        <f t="shared" si="10"/>
        <v>0.01235705312</v>
      </c>
      <c r="BQ15" s="441">
        <f t="shared" si="10"/>
        <v>0.0121580437</v>
      </c>
      <c r="BR15" s="441">
        <f t="shared" si="10"/>
        <v>0.01197216243</v>
      </c>
      <c r="BS15" s="441">
        <f t="shared" si="10"/>
        <v>0.01179841754</v>
      </c>
      <c r="BT15" s="441">
        <f t="shared" si="10"/>
        <v>0.01163600361</v>
      </c>
      <c r="BU15" s="441">
        <f t="shared" si="10"/>
        <v>0.01148423936</v>
      </c>
      <c r="BV15" s="441">
        <f t="shared" si="10"/>
        <v>0.01134252046</v>
      </c>
      <c r="BW15" s="441">
        <f t="shared" si="10"/>
        <v>0.01533735083</v>
      </c>
      <c r="BX15" s="441">
        <f t="shared" si="10"/>
        <v>0.007060501771</v>
      </c>
      <c r="BY15" s="441">
        <f t="shared" si="10"/>
        <v>0.006701518048</v>
      </c>
      <c r="BZ15" s="441">
        <f t="shared" si="10"/>
        <v>0.007004362904</v>
      </c>
      <c r="CA15" s="441">
        <f t="shared" si="10"/>
        <v>0.007156608903</v>
      </c>
      <c r="CB15" s="441">
        <f t="shared" si="10"/>
        <v>0.007197734692</v>
      </c>
      <c r="CC15" s="441">
        <f t="shared" si="10"/>
        <v>0.007192952672</v>
      </c>
      <c r="CD15" s="441">
        <f t="shared" si="10"/>
        <v>0.007165220399</v>
      </c>
      <c r="CE15" s="441">
        <f t="shared" si="10"/>
        <v>0.007124997505</v>
      </c>
      <c r="CF15" s="441">
        <f t="shared" si="10"/>
        <v>0.007078034869</v>
      </c>
      <c r="CG15" s="441">
        <f t="shared" si="10"/>
        <v>0.00702788552</v>
      </c>
      <c r="CH15" s="441">
        <f t="shared" si="10"/>
        <v>0.006976883991</v>
      </c>
      <c r="CI15" s="441"/>
    </row>
    <row r="16">
      <c r="A16" s="432" t="s">
        <v>84</v>
      </c>
      <c r="B16" s="432"/>
      <c r="C16" s="433">
        <f>C13-'IS Proforma'!P22</f>
        <v>-343587</v>
      </c>
      <c r="D16" s="433">
        <f>D13-'IS Proforma'!Q22</f>
        <v>-294327</v>
      </c>
      <c r="E16" s="433">
        <f>E13-'IS Proforma'!R22</f>
        <v>-400767</v>
      </c>
      <c r="F16" s="433">
        <f>F13-'IS Proforma'!S22</f>
        <v>-325297</v>
      </c>
      <c r="G16" s="433">
        <f>G13-'IS Proforma'!T22</f>
        <v>-392536</v>
      </c>
      <c r="H16" s="433">
        <f>H13-'IS Proforma'!U22</f>
        <v>-345941</v>
      </c>
      <c r="I16" s="433">
        <f>I13-'IS Proforma'!V22</f>
        <v>-361377</v>
      </c>
      <c r="J16" s="433">
        <f>J13-'IS Proforma'!W22</f>
        <v>-239085</v>
      </c>
      <c r="K16" s="433">
        <f>K13-'IS Proforma'!X22</f>
        <v>-359387</v>
      </c>
      <c r="L16" s="433">
        <f>L13-'IS Proforma'!Y22</f>
        <v>-448239</v>
      </c>
      <c r="M16" s="433">
        <f>M13-'IS Proforma'!Z22</f>
        <v>-339590</v>
      </c>
      <c r="N16" s="433">
        <f>N13-'IS Proforma'!AA22</f>
        <v>-117918</v>
      </c>
      <c r="O16" s="433">
        <f>O13-'IS Proforma'!AB22</f>
        <v>-217936</v>
      </c>
      <c r="P16" s="433">
        <f>P13-'IS Proforma'!AC22</f>
        <v>-128581</v>
      </c>
      <c r="Q16" s="433">
        <f>Q13-'IS Proforma'!AD22</f>
        <v>-156909</v>
      </c>
      <c r="R16" s="434">
        <f>R13-'IS Proforma'!AE22</f>
        <v>-106218</v>
      </c>
      <c r="S16" s="434">
        <f>S13-'IS Proforma'!AF22</f>
        <v>-222534</v>
      </c>
      <c r="T16" s="434">
        <f>T13-'IS Proforma'!AG22</f>
        <v>-141775</v>
      </c>
      <c r="U16" s="434">
        <f>U13-'IS Proforma'!AH22</f>
        <v>-239124</v>
      </c>
      <c r="V16" s="434">
        <f>V13-'IS Proforma'!AI22</f>
        <v>-214114</v>
      </c>
      <c r="W16" s="434">
        <f>W13-'IS Proforma'!AJ22</f>
        <v>-247233</v>
      </c>
      <c r="X16" s="434">
        <f>X13-'IS Proforma'!AK22</f>
        <v>-187009</v>
      </c>
      <c r="Y16" s="434">
        <f>Y13-'IS Proforma'!AL22</f>
        <v>-230059</v>
      </c>
      <c r="Z16" s="434">
        <f>Z13-'IS Proforma'!AM22</f>
        <v>0</v>
      </c>
      <c r="AA16" s="434">
        <f>AA13-'IS Proforma'!AN22</f>
        <v>-0.0000000002328306437</v>
      </c>
      <c r="AB16" s="434">
        <f>AB13-'IS Proforma'!AO22</f>
        <v>0</v>
      </c>
      <c r="AC16" s="434">
        <f>AC13-'IS Proforma'!AP22</f>
        <v>0.0000000004656612873</v>
      </c>
      <c r="AD16" s="434">
        <f>AD13-'IS Proforma'!AQ22</f>
        <v>-0.0000000004656612873</v>
      </c>
      <c r="AE16" s="434">
        <f>AE13-'IS Proforma'!AR22</f>
        <v>0</v>
      </c>
      <c r="AF16" s="434">
        <f>AF13-'IS Proforma'!AS22</f>
        <v>0</v>
      </c>
      <c r="AG16" s="434">
        <f>AG13-'IS Proforma'!AT22</f>
        <v>0</v>
      </c>
      <c r="AH16" s="434">
        <f>AH13-'IS Proforma'!AU22</f>
        <v>0</v>
      </c>
      <c r="AI16" s="434">
        <f>AI13-'IS Proforma'!AV22</f>
        <v>0</v>
      </c>
      <c r="AJ16" s="434">
        <f>AJ13-'IS Proforma'!AW22</f>
        <v>0.0000000004656612873</v>
      </c>
      <c r="AK16" s="434">
        <f>AK13-'IS Proforma'!AX22</f>
        <v>0.0000000004656612873</v>
      </c>
      <c r="AL16" s="434">
        <f>AL13-'IS Proforma'!AY22</f>
        <v>0</v>
      </c>
      <c r="AM16" s="434">
        <f>AM13-'IS Proforma'!AZ22</f>
        <v>-0.0000000004656612873</v>
      </c>
      <c r="AN16" s="434">
        <f>AN13-'IS Proforma'!BA22</f>
        <v>0</v>
      </c>
      <c r="AO16" s="434">
        <f>AO13-'IS Proforma'!BB22</f>
        <v>-0.0000000004656612873</v>
      </c>
      <c r="AP16" s="434">
        <f>AP13-'IS Proforma'!BC22</f>
        <v>0</v>
      </c>
      <c r="AQ16" s="434">
        <f>AQ13-'IS Proforma'!BD22</f>
        <v>0</v>
      </c>
      <c r="AR16" s="434">
        <f>AR13-'IS Proforma'!BE22</f>
        <v>0</v>
      </c>
      <c r="AS16" s="434">
        <f>AS13-'IS Proforma'!BF22</f>
        <v>0</v>
      </c>
      <c r="AT16" s="434">
        <f>AT13-'IS Proforma'!BG22</f>
        <v>0</v>
      </c>
      <c r="AU16" s="434">
        <f>AU13-'IS Proforma'!BH22</f>
        <v>-0.0000000009313225746</v>
      </c>
      <c r="AV16" s="434">
        <f>AV13-'IS Proforma'!BI22</f>
        <v>0.0000000009313225746</v>
      </c>
      <c r="AW16" s="434">
        <f>AW13-'IS Proforma'!BJ22</f>
        <v>0</v>
      </c>
      <c r="AX16" s="434">
        <f>AX13-'IS Proforma'!BK22</f>
        <v>0</v>
      </c>
      <c r="AY16" s="434">
        <f>AY13-'IS Proforma'!BL22</f>
        <v>0.0000000009313225746</v>
      </c>
      <c r="AZ16" s="434">
        <f>AZ13-'IS Proforma'!BM22</f>
        <v>0.0000000009313225746</v>
      </c>
      <c r="BA16" s="434">
        <f>BA13-'IS Proforma'!BN22</f>
        <v>0</v>
      </c>
      <c r="BB16" s="434">
        <f>BB13-'IS Proforma'!BO22</f>
        <v>0</v>
      </c>
      <c r="BC16" s="434">
        <f>BC13-'IS Proforma'!BP22</f>
        <v>0</v>
      </c>
      <c r="BD16" s="434">
        <f>BD13-'IS Proforma'!BQ22</f>
        <v>0</v>
      </c>
      <c r="BE16" s="434">
        <f>BE13-'IS Proforma'!BR22</f>
        <v>0.0000000009313225746</v>
      </c>
      <c r="BF16" s="434">
        <f>BF13-'IS Proforma'!BS22</f>
        <v>0</v>
      </c>
      <c r="BG16" s="434">
        <f>BG13-'IS Proforma'!BT22</f>
        <v>0</v>
      </c>
      <c r="BH16" s="434">
        <f>BH13-'IS Proforma'!BU22</f>
        <v>0</v>
      </c>
      <c r="BI16" s="434">
        <f>BI13-'IS Proforma'!BV22</f>
        <v>0</v>
      </c>
      <c r="BJ16" s="434">
        <f>BJ13-'IS Proforma'!BW22</f>
        <v>0</v>
      </c>
      <c r="BK16" s="434">
        <f>BK13-'IS Proforma'!BX22</f>
        <v>0</v>
      </c>
      <c r="BL16" s="434">
        <f>BL13-'IS Proforma'!BY22</f>
        <v>0</v>
      </c>
      <c r="BM16" s="434">
        <f>BM13-'IS Proforma'!BZ22</f>
        <v>0</v>
      </c>
      <c r="BN16" s="434">
        <f>BN13-'IS Proforma'!CA22</f>
        <v>0</v>
      </c>
      <c r="BO16" s="434">
        <f>BO13-'IS Proforma'!CB22</f>
        <v>0</v>
      </c>
      <c r="BP16" s="434">
        <f>BP13-'IS Proforma'!CC22</f>
        <v>-0.000000001862645149</v>
      </c>
      <c r="BQ16" s="434">
        <f>BQ13-'IS Proforma'!CD22</f>
        <v>0.0000000009313225746</v>
      </c>
      <c r="BR16" s="434">
        <f>BR13-'IS Proforma'!CE22</f>
        <v>0.0000000009313225746</v>
      </c>
      <c r="BS16" s="434">
        <f>BS13-'IS Proforma'!CF22</f>
        <v>0.0000000009313225746</v>
      </c>
      <c r="BT16" s="434">
        <f>BT13-'IS Proforma'!CG22</f>
        <v>0</v>
      </c>
      <c r="BU16" s="434">
        <f>BU13-'IS Proforma'!CH22</f>
        <v>0</v>
      </c>
      <c r="BV16" s="434">
        <f>BV13-'IS Proforma'!CI22</f>
        <v>0</v>
      </c>
      <c r="BW16" s="434">
        <f>BW13-'IS Proforma'!CJ22</f>
        <v>0</v>
      </c>
      <c r="BX16" s="434">
        <f>BX13-'IS Proforma'!CK22</f>
        <v>0</v>
      </c>
      <c r="BY16" s="434">
        <f>BY13-'IS Proforma'!CL22</f>
        <v>-0.0000000009313225746</v>
      </c>
      <c r="BZ16" s="434">
        <f>BZ13-'IS Proforma'!CM22</f>
        <v>0.0000000009313225746</v>
      </c>
      <c r="CA16" s="434">
        <f>CA13-'IS Proforma'!CN22</f>
        <v>-0.0000000009313225746</v>
      </c>
      <c r="CB16" s="434">
        <f>CB13-'IS Proforma'!CO22</f>
        <v>-0.0000000009313225746</v>
      </c>
      <c r="CC16" s="434">
        <f>CC13-'IS Proforma'!CP22</f>
        <v>0.0000000009313225746</v>
      </c>
      <c r="CD16" s="434">
        <f>CD13-'IS Proforma'!CQ22</f>
        <v>-0.0000000009313225746</v>
      </c>
      <c r="CE16" s="434">
        <f>CE13-'IS Proforma'!CR22</f>
        <v>0</v>
      </c>
      <c r="CF16" s="434">
        <f>CF13-'IS Proforma'!CS22</f>
        <v>-0.0000000009313225746</v>
      </c>
      <c r="CG16" s="434">
        <f>CG13-'IS Proforma'!CT22</f>
        <v>0.0000000009313225746</v>
      </c>
      <c r="CH16" s="434">
        <f>CH13-'IS Proforma'!CU22</f>
        <v>0</v>
      </c>
      <c r="CI16" s="434"/>
    </row>
    <row r="17">
      <c r="A17" s="1"/>
      <c r="B17" s="1"/>
      <c r="C17" s="1"/>
      <c r="D17" s="1"/>
      <c r="E17" s="1"/>
      <c r="F17" s="1"/>
      <c r="G17" s="1"/>
      <c r="H17" s="1"/>
      <c r="I17" s="1"/>
      <c r="J17" s="1"/>
      <c r="K17" s="1"/>
      <c r="L17" s="1"/>
      <c r="M17" s="1"/>
      <c r="N17" s="1"/>
      <c r="O17" s="1"/>
      <c r="P17" s="1"/>
      <c r="Q17" s="1"/>
      <c r="R17" s="1"/>
      <c r="S17" s="1"/>
      <c r="T17" s="1"/>
      <c r="U17" s="1"/>
      <c r="V17" s="1"/>
      <c r="W17" s="1"/>
      <c r="X17" s="1"/>
      <c r="Y17" s="1"/>
      <c r="Z17" s="117"/>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c r="A18" s="1"/>
      <c r="B18" s="1"/>
      <c r="C18" s="1"/>
      <c r="D18" s="1"/>
      <c r="E18" s="1"/>
      <c r="F18" s="1"/>
      <c r="G18" s="1"/>
      <c r="H18" s="1"/>
      <c r="I18" s="1"/>
      <c r="J18" s="1"/>
      <c r="K18" s="1"/>
      <c r="L18" s="1"/>
      <c r="M18" s="1"/>
      <c r="N18" s="1"/>
      <c r="O18" s="1"/>
      <c r="P18" s="1"/>
      <c r="Q18" s="1"/>
      <c r="R18" s="1"/>
      <c r="S18" s="1"/>
      <c r="T18" s="1"/>
      <c r="U18" s="1"/>
      <c r="V18" s="1"/>
      <c r="W18" s="1"/>
      <c r="X18" s="1"/>
      <c r="Y18" s="1"/>
      <c r="Z18" s="117"/>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c r="A19" s="1"/>
      <c r="B19" s="1"/>
      <c r="C19" s="1"/>
      <c r="D19" s="1"/>
      <c r="E19" s="1"/>
      <c r="F19" s="1"/>
      <c r="G19" s="1"/>
      <c r="H19" s="1"/>
      <c r="I19" s="1"/>
      <c r="J19" s="1"/>
      <c r="K19" s="1"/>
      <c r="L19" s="1"/>
      <c r="M19" s="1"/>
      <c r="N19" s="1"/>
      <c r="O19" s="1"/>
      <c r="P19" s="1"/>
      <c r="Q19" s="1"/>
      <c r="R19" s="1"/>
      <c r="S19" s="1"/>
      <c r="T19" s="1"/>
      <c r="U19" s="1"/>
      <c r="V19" s="1"/>
      <c r="W19" s="1"/>
      <c r="X19" s="1"/>
      <c r="Y19" s="1"/>
      <c r="Z19" s="117"/>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c r="A20" s="232" t="s">
        <v>47</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ht="15.0" customHeight="1" outlineLevel="1">
      <c r="A22" s="1" t="s">
        <v>673</v>
      </c>
      <c r="B22" s="1"/>
      <c r="C22" s="442">
        <f>Retention!C102</f>
        <v>2</v>
      </c>
      <c r="D22" s="442">
        <f>Retention!D102</f>
        <v>2</v>
      </c>
      <c r="E22" s="442">
        <f>Retention!E102</f>
        <v>2</v>
      </c>
      <c r="F22" s="442">
        <f>Retention!F102</f>
        <v>2</v>
      </c>
      <c r="G22" s="442">
        <f>Retention!G102</f>
        <v>2</v>
      </c>
      <c r="H22" s="442">
        <f>Retention!H102</f>
        <v>2</v>
      </c>
      <c r="I22" s="442">
        <f>Retention!I102</f>
        <v>2</v>
      </c>
      <c r="J22" s="442">
        <f>Retention!J102</f>
        <v>2</v>
      </c>
      <c r="K22" s="442">
        <f>Retention!K102</f>
        <v>2</v>
      </c>
      <c r="L22" s="442">
        <f>Retention!L102</f>
        <v>2</v>
      </c>
      <c r="M22" s="442">
        <f>Retention!M102</f>
        <v>2</v>
      </c>
      <c r="N22" s="442">
        <f>Retention!N102</f>
        <v>2</v>
      </c>
      <c r="O22" s="442">
        <f>Retention!O102</f>
        <v>2</v>
      </c>
      <c r="P22" s="442">
        <f>Retention!P102</f>
        <v>2</v>
      </c>
      <c r="Q22" s="442">
        <f>Retention!Q102</f>
        <v>2</v>
      </c>
      <c r="R22" s="442">
        <f>Retention!R102</f>
        <v>2</v>
      </c>
      <c r="S22" s="442">
        <f>Retention!S102</f>
        <v>2</v>
      </c>
      <c r="T22" s="442">
        <f>Retention!T102</f>
        <v>2</v>
      </c>
      <c r="U22" s="442">
        <f>Retention!U102</f>
        <v>2</v>
      </c>
      <c r="V22" s="442">
        <f>Retention!V102</f>
        <v>2</v>
      </c>
      <c r="W22" s="442">
        <f>Retention!W102</f>
        <v>2</v>
      </c>
      <c r="X22" s="442">
        <f>Retention!X102</f>
        <v>2</v>
      </c>
      <c r="Y22" s="442">
        <f>Retention!Y102</f>
        <v>2</v>
      </c>
      <c r="Z22" s="442">
        <f>Retention!Z102</f>
        <v>5.389790125</v>
      </c>
      <c r="AA22" s="442">
        <f>Retention!AA102</f>
        <v>6.210698871</v>
      </c>
      <c r="AB22" s="442">
        <f>Retention!AB102</f>
        <v>6.996302314</v>
      </c>
      <c r="AC22" s="442">
        <f>Retention!AC102</f>
        <v>7.37710871</v>
      </c>
      <c r="AD22" s="442">
        <f>Retention!AD102</f>
        <v>7.645687603</v>
      </c>
      <c r="AE22" s="442">
        <f>Retention!AE102</f>
        <v>7.983240053</v>
      </c>
      <c r="AF22" s="442">
        <f>Retention!AF102</f>
        <v>8.059266513</v>
      </c>
      <c r="AG22" s="442">
        <f>Retention!AG102</f>
        <v>8.123588866</v>
      </c>
      <c r="AH22" s="442">
        <f>Retention!AH102</f>
        <v>8.183062941</v>
      </c>
      <c r="AI22" s="442">
        <f>Retention!AI102</f>
        <v>8.404777386</v>
      </c>
      <c r="AJ22" s="442">
        <f>Retention!AJ102</f>
        <v>8.266420992</v>
      </c>
      <c r="AK22" s="442">
        <f>Retention!AK102</f>
        <v>8.395732012</v>
      </c>
      <c r="AL22" s="442">
        <f>Retention!AL102</f>
        <v>8.571837649</v>
      </c>
      <c r="AM22" s="442">
        <f>Retention!AM102</f>
        <v>7.444582704</v>
      </c>
      <c r="AN22" s="442">
        <f>Retention!AN102</f>
        <v>6.481034598</v>
      </c>
      <c r="AO22" s="442">
        <f>Retention!AO102</f>
        <v>6.347757372</v>
      </c>
      <c r="AP22" s="442">
        <f>Retention!AP102</f>
        <v>6.397908031</v>
      </c>
      <c r="AQ22" s="442">
        <f>Retention!AQ102</f>
        <v>6.448539807</v>
      </c>
      <c r="AR22" s="442">
        <f>Retention!AR102</f>
        <v>6.483359983</v>
      </c>
      <c r="AS22" s="442">
        <f>Retention!AS102</f>
        <v>6.534793372</v>
      </c>
      <c r="AT22" s="442">
        <f>Retention!AT102</f>
        <v>6.586721883</v>
      </c>
      <c r="AU22" s="442">
        <f>Retention!AU102</f>
        <v>6.639150977</v>
      </c>
      <c r="AV22" s="442">
        <f>Retention!AV102</f>
        <v>6.692086182</v>
      </c>
      <c r="AW22" s="442">
        <f>Retention!AW102</f>
        <v>6.74553309</v>
      </c>
      <c r="AX22" s="442">
        <f>Retention!AX102</f>
        <v>6.799497362</v>
      </c>
      <c r="AY22" s="442">
        <f>Retention!AY102</f>
        <v>6.836216116</v>
      </c>
      <c r="AZ22" s="442">
        <f>Retention!AZ102</f>
        <v>6.906426634</v>
      </c>
      <c r="BA22" s="442">
        <f>Retention!BA102</f>
        <v>6.960529353</v>
      </c>
      <c r="BB22" s="442">
        <f>Retention!BB102</f>
        <v>7.015138006</v>
      </c>
      <c r="BC22" s="442">
        <f>Retention!BC102</f>
        <v>7.070257949</v>
      </c>
      <c r="BD22" s="442">
        <f>Retention!BD102</f>
        <v>7.125894602</v>
      </c>
      <c r="BE22" s="442">
        <f>Retention!BE102</f>
        <v>7.182053443</v>
      </c>
      <c r="BF22" s="442">
        <f>Retention!BF102</f>
        <v>7.238740016</v>
      </c>
      <c r="BG22" s="442">
        <f>Retention!BG102</f>
        <v>7.295959925</v>
      </c>
      <c r="BH22" s="442">
        <f>Retention!BH102</f>
        <v>7.353718838</v>
      </c>
      <c r="BI22" s="442">
        <f>Retention!BI102</f>
        <v>7.412022489</v>
      </c>
      <c r="BJ22" s="442">
        <f>Retention!BJ102</f>
        <v>7.470876676</v>
      </c>
      <c r="BK22" s="442">
        <f>Retention!BK102</f>
        <v>7.415523577</v>
      </c>
      <c r="BL22" s="442">
        <f>Retention!BL102</f>
        <v>7.210949282</v>
      </c>
      <c r="BM22" s="442">
        <f>Retention!BM102</f>
        <v>6.998711942</v>
      </c>
      <c r="BN22" s="442">
        <f>Retention!BN102</f>
        <v>7.063143551</v>
      </c>
      <c r="BO22" s="442">
        <f>Retention!BO102</f>
        <v>7.128500427</v>
      </c>
      <c r="BP22" s="442">
        <f>Retention!BP102</f>
        <v>7.194802559</v>
      </c>
      <c r="BQ22" s="442">
        <f>Retention!BQ102</f>
        <v>7.262070484</v>
      </c>
      <c r="BR22" s="442">
        <f>Retention!BR102</f>
        <v>7.330325309</v>
      </c>
      <c r="BS22" s="442">
        <f>Retention!BS102</f>
        <v>7.399588719</v>
      </c>
      <c r="BT22" s="442">
        <f>Retention!BT102</f>
        <v>7.469883004</v>
      </c>
      <c r="BU22" s="442">
        <f>Retention!BU102</f>
        <v>7.54123107</v>
      </c>
      <c r="BV22" s="442">
        <f>Retention!BV102</f>
        <v>7.613656463</v>
      </c>
      <c r="BW22" s="442">
        <f>Retention!BW102</f>
        <v>7.74723063</v>
      </c>
      <c r="BX22" s="442">
        <f>Retention!BX102</f>
        <v>7.408680178</v>
      </c>
      <c r="BY22" s="442">
        <f>Retention!BY102</f>
        <v>7.155225746</v>
      </c>
      <c r="BZ22" s="442">
        <f>Retention!BZ102</f>
        <v>7.188548975</v>
      </c>
      <c r="CA22" s="442">
        <f>Retention!CA102</f>
        <v>7.222765522</v>
      </c>
      <c r="CB22" s="442">
        <f>Retention!CB102</f>
        <v>7.257869013</v>
      </c>
      <c r="CC22" s="442">
        <f>Retention!CC102</f>
        <v>7.293853424</v>
      </c>
      <c r="CD22" s="442">
        <f>Retention!CD102</f>
        <v>7.330713074</v>
      </c>
      <c r="CE22" s="442">
        <f>Retention!CE102</f>
        <v>7.368442617</v>
      </c>
      <c r="CF22" s="442">
        <f>Retention!CF102</f>
        <v>7.407037037</v>
      </c>
      <c r="CG22" s="442">
        <f>Retention!CG102</f>
        <v>7.446491642</v>
      </c>
      <c r="CH22" s="442">
        <f>Retention!CH102</f>
        <v>7.486802054</v>
      </c>
      <c r="CI22" s="442"/>
    </row>
    <row r="23" ht="15.0" customHeight="1" outlineLevel="1">
      <c r="A23" s="1" t="s">
        <v>674</v>
      </c>
      <c r="B23" s="1"/>
      <c r="C23" s="442">
        <f>Retention!C110</f>
        <v>50</v>
      </c>
      <c r="D23" s="442">
        <f>Retention!D110</f>
        <v>51</v>
      </c>
      <c r="E23" s="442">
        <f>Retention!E110</f>
        <v>52</v>
      </c>
      <c r="F23" s="442">
        <f>Retention!F110</f>
        <v>53</v>
      </c>
      <c r="G23" s="442">
        <f>Retention!G110</f>
        <v>54</v>
      </c>
      <c r="H23" s="442">
        <f>Retention!H110</f>
        <v>55</v>
      </c>
      <c r="I23" s="442">
        <f>Retention!I110</f>
        <v>56</v>
      </c>
      <c r="J23" s="442">
        <f>Retention!J110</f>
        <v>57</v>
      </c>
      <c r="K23" s="442">
        <f>Retention!K110</f>
        <v>58</v>
      </c>
      <c r="L23" s="442">
        <f>Retention!L110</f>
        <v>59</v>
      </c>
      <c r="M23" s="442">
        <f>Retention!M110</f>
        <v>60</v>
      </c>
      <c r="N23" s="442">
        <f>Retention!N110</f>
        <v>61</v>
      </c>
      <c r="O23" s="442">
        <f>Retention!O110</f>
        <v>62</v>
      </c>
      <c r="P23" s="442">
        <f>Retention!P110</f>
        <v>63</v>
      </c>
      <c r="Q23" s="442">
        <f>Retention!Q110</f>
        <v>64</v>
      </c>
      <c r="R23" s="442">
        <f>Retention!R110</f>
        <v>65</v>
      </c>
      <c r="S23" s="442">
        <f>Retention!S110</f>
        <v>66</v>
      </c>
      <c r="T23" s="442">
        <f>Retention!T110</f>
        <v>67</v>
      </c>
      <c r="U23" s="442">
        <f>Retention!U110</f>
        <v>68</v>
      </c>
      <c r="V23" s="442">
        <f>Retention!V110</f>
        <v>69</v>
      </c>
      <c r="W23" s="442">
        <f>Retention!W110</f>
        <v>70</v>
      </c>
      <c r="X23" s="442">
        <f>Retention!X110</f>
        <v>71</v>
      </c>
      <c r="Y23" s="442">
        <f>Retention!Y110</f>
        <v>72</v>
      </c>
      <c r="Z23" s="442">
        <f>Retention!Z110</f>
        <v>73</v>
      </c>
      <c r="AA23" s="442">
        <f>Retention!AA110</f>
        <v>72.38979013</v>
      </c>
      <c r="AB23" s="442">
        <f>Retention!AB110</f>
        <v>71.600489</v>
      </c>
      <c r="AC23" s="442">
        <f>Retention!AC110</f>
        <v>70.59679131</v>
      </c>
      <c r="AD23" s="442">
        <f>Retention!AD110</f>
        <v>69.97390002</v>
      </c>
      <c r="AE23" s="442">
        <f>Retention!AE110</f>
        <v>67.61958762</v>
      </c>
      <c r="AF23" s="442">
        <f>Retention!AF110</f>
        <v>67.60282768</v>
      </c>
      <c r="AG23" s="442">
        <f>Retention!AG110</f>
        <v>62.66209419</v>
      </c>
      <c r="AH23" s="442">
        <f>Retention!AH110</f>
        <v>60.78568306</v>
      </c>
      <c r="AI23" s="442">
        <f>Retention!AI110</f>
        <v>58.968746</v>
      </c>
      <c r="AJ23" s="442">
        <f>Retention!AJ110</f>
        <v>55.37352338</v>
      </c>
      <c r="AK23" s="442">
        <f>Retention!AK110</f>
        <v>48.63994437</v>
      </c>
      <c r="AL23" s="442">
        <f>Retention!AL110</f>
        <v>46.03567639</v>
      </c>
      <c r="AM23" s="442">
        <f>Retention!AM110</f>
        <v>45.60751404</v>
      </c>
      <c r="AN23" s="442">
        <f>Retention!AN110</f>
        <v>43.05209674</v>
      </c>
      <c r="AO23" s="442">
        <f>Retention!AO110</f>
        <v>40.53313134</v>
      </c>
      <c r="AP23" s="442">
        <f>Retention!AP110</f>
        <v>38.88088871</v>
      </c>
      <c r="AQ23" s="442">
        <f>Retention!AQ110</f>
        <v>38.27879674</v>
      </c>
      <c r="AR23" s="442">
        <f>Retention!AR110</f>
        <v>38.72733655</v>
      </c>
      <c r="AS23" s="442">
        <f>Retention!AS110</f>
        <v>40.21069653</v>
      </c>
      <c r="AT23" s="442">
        <f>Retention!AT110</f>
        <v>41.7454899</v>
      </c>
      <c r="AU23" s="442">
        <f>Retention!AU110</f>
        <v>44.33221179</v>
      </c>
      <c r="AV23" s="442">
        <f>Retention!AV110</f>
        <v>46.97136276</v>
      </c>
      <c r="AW23" s="442">
        <f>Retention!AW110</f>
        <v>50.66344894</v>
      </c>
      <c r="AX23" s="442">
        <f>Retention!AX110</f>
        <v>54.40898203</v>
      </c>
      <c r="AY23" s="442">
        <f>Retention!AY110</f>
        <v>58.2084794</v>
      </c>
      <c r="AZ23" s="442">
        <f>Retention!AZ110</f>
        <v>63.04469551</v>
      </c>
      <c r="BA23" s="442">
        <f>Retention!BA110</f>
        <v>67.95112215</v>
      </c>
      <c r="BB23" s="442">
        <f>Retention!BB110</f>
        <v>72.9116515</v>
      </c>
      <c r="BC23" s="442">
        <f>Retention!BC110</f>
        <v>77.92678951</v>
      </c>
      <c r="BD23" s="442">
        <f>Retention!BD110</f>
        <v>82.99704746</v>
      </c>
      <c r="BE23" s="442">
        <f>Retention!BE110</f>
        <v>88.12294206</v>
      </c>
      <c r="BF23" s="442">
        <f>Retention!BF110</f>
        <v>93.3049955</v>
      </c>
      <c r="BG23" s="442">
        <f>Retention!BG110</f>
        <v>98.54373552</v>
      </c>
      <c r="BH23" s="442">
        <f>Retention!BH110</f>
        <v>103.8396954</v>
      </c>
      <c r="BI23" s="442">
        <f>Retention!BI110</f>
        <v>109.1934143</v>
      </c>
      <c r="BJ23" s="442">
        <f>Retention!BJ110</f>
        <v>113.6054368</v>
      </c>
      <c r="BK23" s="442">
        <f>Retention!BK110</f>
        <v>118.0763134</v>
      </c>
      <c r="BL23" s="442">
        <f>Retention!BL110</f>
        <v>122.491837</v>
      </c>
      <c r="BM23" s="442">
        <f>Retention!BM110</f>
        <v>126.7027863</v>
      </c>
      <c r="BN23" s="442">
        <f>Retention!BN110</f>
        <v>130.7014982</v>
      </c>
      <c r="BO23" s="442">
        <f>Retention!BO110</f>
        <v>133.7646418</v>
      </c>
      <c r="BP23" s="442">
        <f>Retention!BP110</f>
        <v>136.8931422</v>
      </c>
      <c r="BQ23" s="442">
        <f>Retention!BQ110</f>
        <v>140.0879448</v>
      </c>
      <c r="BR23" s="442">
        <f>Retention!BR110</f>
        <v>143.3500153</v>
      </c>
      <c r="BS23" s="442">
        <f>Retention!BS110</f>
        <v>146.6803406</v>
      </c>
      <c r="BT23" s="442">
        <f>Retention!BT110</f>
        <v>149.0799293</v>
      </c>
      <c r="BU23" s="442">
        <f>Retention!BU110</f>
        <v>151.5498123</v>
      </c>
      <c r="BV23" s="442">
        <f>Retention!BV110</f>
        <v>154.0910434</v>
      </c>
      <c r="BW23" s="442">
        <f>Retention!BW110</f>
        <v>156.7046998</v>
      </c>
      <c r="BX23" s="442">
        <f>Retention!BX110</f>
        <v>159.4519305</v>
      </c>
      <c r="BY23" s="442">
        <f>Retention!BY110</f>
        <v>161.8606106</v>
      </c>
      <c r="BZ23" s="442">
        <f>Retention!BZ110</f>
        <v>163.0158364</v>
      </c>
      <c r="CA23" s="442">
        <f>Retention!CA110</f>
        <v>164.2043854</v>
      </c>
      <c r="CB23" s="442">
        <f>Retention!CB110</f>
        <v>165.4271509</v>
      </c>
      <c r="CC23" s="442">
        <f>Retention!CC110</f>
        <v>166.6850199</v>
      </c>
      <c r="CD23" s="442">
        <f>Retention!CD110</f>
        <v>167.9788733</v>
      </c>
      <c r="CE23" s="442">
        <f>Retention!CE110</f>
        <v>169.3095864</v>
      </c>
      <c r="CF23" s="442">
        <f>Retention!CF110</f>
        <v>170.678029</v>
      </c>
      <c r="CG23" s="442">
        <f>Retention!CG110</f>
        <v>172.085066</v>
      </c>
      <c r="CH23" s="442">
        <f>Retention!CH110</f>
        <v>173.5315577</v>
      </c>
      <c r="CI23" s="442"/>
    </row>
    <row r="24" ht="15.0" customHeight="1" outlineLevel="1">
      <c r="A24" s="1" t="s">
        <v>675</v>
      </c>
      <c r="B24" s="1"/>
      <c r="C24" s="443">
        <f>Retention!C118</f>
        <v>-1</v>
      </c>
      <c r="D24" s="443">
        <f>Retention!D118</f>
        <v>-1</v>
      </c>
      <c r="E24" s="443">
        <f>Retention!E118</f>
        <v>-1</v>
      </c>
      <c r="F24" s="443">
        <f>Retention!F118</f>
        <v>-1</v>
      </c>
      <c r="G24" s="443">
        <f>Retention!G118</f>
        <v>-1</v>
      </c>
      <c r="H24" s="443">
        <f>Retention!H118</f>
        <v>-1</v>
      </c>
      <c r="I24" s="443">
        <f>Retention!I118</f>
        <v>-1</v>
      </c>
      <c r="J24" s="443">
        <f>Retention!J118</f>
        <v>-1</v>
      </c>
      <c r="K24" s="443">
        <f>Retention!K118</f>
        <v>-1</v>
      </c>
      <c r="L24" s="443">
        <f>Retention!L118</f>
        <v>-1</v>
      </c>
      <c r="M24" s="443">
        <f>Retention!M118</f>
        <v>-1</v>
      </c>
      <c r="N24" s="443">
        <f>Retention!N118</f>
        <v>-1</v>
      </c>
      <c r="O24" s="442">
        <f>Retention!O118</f>
        <v>-1</v>
      </c>
      <c r="P24" s="442">
        <f>Retention!P118</f>
        <v>-1</v>
      </c>
      <c r="Q24" s="442">
        <f>Retention!Q118</f>
        <v>-1</v>
      </c>
      <c r="R24" s="442">
        <f>Retention!R118</f>
        <v>-1</v>
      </c>
      <c r="S24" s="442">
        <f>Retention!S118</f>
        <v>-1</v>
      </c>
      <c r="T24" s="442">
        <f>Retention!T118</f>
        <v>-1</v>
      </c>
      <c r="U24" s="442">
        <f>Retention!U118</f>
        <v>-1</v>
      </c>
      <c r="V24" s="442">
        <f>Retention!V118</f>
        <v>-1</v>
      </c>
      <c r="W24" s="442">
        <f>Retention!W118</f>
        <v>-1</v>
      </c>
      <c r="X24" s="442">
        <f>Retention!X118</f>
        <v>-1</v>
      </c>
      <c r="Y24" s="442">
        <f>Retention!Y118</f>
        <v>-1</v>
      </c>
      <c r="Z24" s="442">
        <f>Retention!Z118</f>
        <v>-6</v>
      </c>
      <c r="AA24" s="442">
        <f>Retention!AA118</f>
        <v>-7</v>
      </c>
      <c r="AB24" s="442">
        <f>Retention!AB118</f>
        <v>-8</v>
      </c>
      <c r="AC24" s="442">
        <f>Retention!AC118</f>
        <v>-8</v>
      </c>
      <c r="AD24" s="442">
        <f>Retention!AD118</f>
        <v>-10</v>
      </c>
      <c r="AE24" s="442">
        <f>Retention!AE118</f>
        <v>-8</v>
      </c>
      <c r="AF24" s="442">
        <f>Retention!AF118</f>
        <v>-13</v>
      </c>
      <c r="AG24" s="442">
        <f>Retention!AG118</f>
        <v>-10</v>
      </c>
      <c r="AH24" s="442">
        <f>Retention!AH118</f>
        <v>-10</v>
      </c>
      <c r="AI24" s="442">
        <f>Retention!AI118</f>
        <v>-12</v>
      </c>
      <c r="AJ24" s="442">
        <f>Retention!AJ118</f>
        <v>-15</v>
      </c>
      <c r="AK24" s="442">
        <f>Retention!AK118</f>
        <v>-11</v>
      </c>
      <c r="AL24" s="442">
        <f>Retention!AL118</f>
        <v>-9</v>
      </c>
      <c r="AM24" s="442">
        <f>Retention!AM118</f>
        <v>-10</v>
      </c>
      <c r="AN24" s="442">
        <f>Retention!AN118</f>
        <v>-9</v>
      </c>
      <c r="AO24" s="442">
        <f>Retention!AO118</f>
        <v>-8</v>
      </c>
      <c r="AP24" s="442">
        <f>Retention!AP118</f>
        <v>-7</v>
      </c>
      <c r="AQ24" s="442">
        <f>Retention!AQ118</f>
        <v>-6</v>
      </c>
      <c r="AR24" s="442">
        <f>Retention!AR118</f>
        <v>-5</v>
      </c>
      <c r="AS24" s="442">
        <f>Retention!AS118</f>
        <v>-5</v>
      </c>
      <c r="AT24" s="442">
        <f>Retention!AT118</f>
        <v>-4</v>
      </c>
      <c r="AU24" s="442">
        <f>Retention!AU118</f>
        <v>-4</v>
      </c>
      <c r="AV24" s="442">
        <f>Retention!AV118</f>
        <v>-3</v>
      </c>
      <c r="AW24" s="442">
        <f>Retention!AW118</f>
        <v>-3</v>
      </c>
      <c r="AX24" s="442">
        <f>Retention!AX118</f>
        <v>-3</v>
      </c>
      <c r="AY24" s="442">
        <f>Retention!AY118</f>
        <v>-2</v>
      </c>
      <c r="AZ24" s="442">
        <f>Retention!AZ118</f>
        <v>-2</v>
      </c>
      <c r="BA24" s="442">
        <f>Retention!BA118</f>
        <v>-2</v>
      </c>
      <c r="BB24" s="442">
        <f>Retention!BB118</f>
        <v>-2</v>
      </c>
      <c r="BC24" s="442">
        <f>Retention!BC118</f>
        <v>-2</v>
      </c>
      <c r="BD24" s="442">
        <f>Retention!BD118</f>
        <v>-2</v>
      </c>
      <c r="BE24" s="442">
        <f>Retention!BE118</f>
        <v>-2</v>
      </c>
      <c r="BF24" s="442">
        <f>Retention!BF118</f>
        <v>-2</v>
      </c>
      <c r="BG24" s="442">
        <f>Retention!BG118</f>
        <v>-2</v>
      </c>
      <c r="BH24" s="442">
        <f>Retention!BH118</f>
        <v>-2</v>
      </c>
      <c r="BI24" s="442">
        <f>Retention!BI118</f>
        <v>-3</v>
      </c>
      <c r="BJ24" s="442">
        <f>Retention!BJ118</f>
        <v>-3</v>
      </c>
      <c r="BK24" s="442">
        <f>Retention!BK118</f>
        <v>-3</v>
      </c>
      <c r="BL24" s="442">
        <f>Retention!BL118</f>
        <v>-3</v>
      </c>
      <c r="BM24" s="442">
        <f>Retention!BM118</f>
        <v>-3</v>
      </c>
      <c r="BN24" s="442">
        <f>Retention!BN118</f>
        <v>-4</v>
      </c>
      <c r="BO24" s="442">
        <f>Retention!BO118</f>
        <v>-4</v>
      </c>
      <c r="BP24" s="442">
        <f>Retention!BP118</f>
        <v>-4</v>
      </c>
      <c r="BQ24" s="442">
        <f>Retention!BQ118</f>
        <v>-4</v>
      </c>
      <c r="BR24" s="442">
        <f>Retention!BR118</f>
        <v>-4</v>
      </c>
      <c r="BS24" s="442">
        <f>Retention!BS118</f>
        <v>-5</v>
      </c>
      <c r="BT24" s="442">
        <f>Retention!BT118</f>
        <v>-5</v>
      </c>
      <c r="BU24" s="442">
        <f>Retention!BU118</f>
        <v>-5</v>
      </c>
      <c r="BV24" s="442">
        <f>Retention!BV118</f>
        <v>-5</v>
      </c>
      <c r="BW24" s="442">
        <f>Retention!BW118</f>
        <v>-5</v>
      </c>
      <c r="BX24" s="442">
        <f>Retention!BX118</f>
        <v>-5</v>
      </c>
      <c r="BY24" s="442">
        <f>Retention!BY118</f>
        <v>-6</v>
      </c>
      <c r="BZ24" s="442">
        <f>Retention!BZ118</f>
        <v>-6</v>
      </c>
      <c r="CA24" s="442">
        <f>Retention!CA118</f>
        <v>-6</v>
      </c>
      <c r="CB24" s="442">
        <f>Retention!CB118</f>
        <v>-6</v>
      </c>
      <c r="CC24" s="442">
        <f>Retention!CC118</f>
        <v>-6</v>
      </c>
      <c r="CD24" s="442">
        <f>Retention!CD118</f>
        <v>-6</v>
      </c>
      <c r="CE24" s="442">
        <f>Retention!CE118</f>
        <v>-6</v>
      </c>
      <c r="CF24" s="442">
        <f>Retention!CF118</f>
        <v>-6</v>
      </c>
      <c r="CG24" s="442">
        <f>Retention!CG118</f>
        <v>-6</v>
      </c>
      <c r="CH24" s="442">
        <f>Retention!CH118</f>
        <v>-6</v>
      </c>
      <c r="CI24" s="442"/>
    </row>
    <row r="25" ht="15.0" customHeight="1" outlineLevel="1">
      <c r="A25" s="1" t="s">
        <v>676</v>
      </c>
      <c r="B25" s="1"/>
      <c r="C25" s="442">
        <f>Retention!C126</f>
        <v>51</v>
      </c>
      <c r="D25" s="442">
        <f>Retention!D126</f>
        <v>52</v>
      </c>
      <c r="E25" s="442">
        <f>Retention!E126</f>
        <v>53</v>
      </c>
      <c r="F25" s="442">
        <f>Retention!F126</f>
        <v>54</v>
      </c>
      <c r="G25" s="442">
        <f>Retention!G126</f>
        <v>55</v>
      </c>
      <c r="H25" s="442">
        <f>Retention!H126</f>
        <v>56</v>
      </c>
      <c r="I25" s="442">
        <f>Retention!I126</f>
        <v>57</v>
      </c>
      <c r="J25" s="442">
        <f>Retention!J126</f>
        <v>58</v>
      </c>
      <c r="K25" s="442">
        <f>Retention!K126</f>
        <v>59</v>
      </c>
      <c r="L25" s="444">
        <f>Retention!L126</f>
        <v>60</v>
      </c>
      <c r="M25" s="444">
        <f>Retention!M126</f>
        <v>61</v>
      </c>
      <c r="N25" s="444">
        <f>Retention!N126</f>
        <v>62</v>
      </c>
      <c r="O25" s="444">
        <f>Retention!O126</f>
        <v>63</v>
      </c>
      <c r="P25" s="444">
        <f>Retention!P126</f>
        <v>64</v>
      </c>
      <c r="Q25" s="444">
        <f>Retention!Q126</f>
        <v>65</v>
      </c>
      <c r="R25" s="444">
        <f>Retention!R126</f>
        <v>66</v>
      </c>
      <c r="S25" s="444">
        <f>Retention!S126</f>
        <v>67</v>
      </c>
      <c r="T25" s="444">
        <f>Retention!T126</f>
        <v>68</v>
      </c>
      <c r="U25" s="444">
        <f>Retention!U126</f>
        <v>69</v>
      </c>
      <c r="V25" s="444">
        <f>Retention!V126</f>
        <v>70</v>
      </c>
      <c r="W25" s="444">
        <f>Retention!W126</f>
        <v>71</v>
      </c>
      <c r="X25" s="444">
        <f>Retention!X126</f>
        <v>72</v>
      </c>
      <c r="Y25" s="444">
        <f>Retention!Y126</f>
        <v>73</v>
      </c>
      <c r="Z25" s="444">
        <f>Retention!Z126</f>
        <v>72.38979013</v>
      </c>
      <c r="AA25" s="444">
        <f>Retention!AA126</f>
        <v>71.600489</v>
      </c>
      <c r="AB25" s="444">
        <f>Retention!AB126</f>
        <v>70.59679131</v>
      </c>
      <c r="AC25" s="444">
        <f>Retention!AC126</f>
        <v>69.97390002</v>
      </c>
      <c r="AD25" s="444">
        <f>Retention!AD126</f>
        <v>67.61958762</v>
      </c>
      <c r="AE25" s="444">
        <f>Retention!AE126</f>
        <v>67.60282768</v>
      </c>
      <c r="AF25" s="444">
        <f>Retention!AF126</f>
        <v>62.66209419</v>
      </c>
      <c r="AG25" s="444">
        <f>Retention!AG126</f>
        <v>60.78568306</v>
      </c>
      <c r="AH25" s="444">
        <f>Retention!AH126</f>
        <v>58.968746</v>
      </c>
      <c r="AI25" s="444">
        <f>Retention!AI126</f>
        <v>55.37352338</v>
      </c>
      <c r="AJ25" s="444">
        <f>Retention!AJ126</f>
        <v>48.63994437</v>
      </c>
      <c r="AK25" s="444">
        <f>Retention!AK126</f>
        <v>46.03567639</v>
      </c>
      <c r="AL25" s="444">
        <f>Retention!AL126</f>
        <v>45.60751404</v>
      </c>
      <c r="AM25" s="444">
        <f>Retention!AM126</f>
        <v>43.05209674</v>
      </c>
      <c r="AN25" s="444">
        <f>Retention!AN126</f>
        <v>40.53313134</v>
      </c>
      <c r="AO25" s="444">
        <f>Retention!AO126</f>
        <v>38.88088871</v>
      </c>
      <c r="AP25" s="444">
        <f>Retention!AP126</f>
        <v>38.27879674</v>
      </c>
      <c r="AQ25" s="444">
        <f>Retention!AQ126</f>
        <v>38.72733655</v>
      </c>
      <c r="AR25" s="444">
        <f>Retention!AR126</f>
        <v>40.21069653</v>
      </c>
      <c r="AS25" s="444">
        <f>Retention!AS126</f>
        <v>41.7454899</v>
      </c>
      <c r="AT25" s="444">
        <f>Retention!AT126</f>
        <v>44.33221179</v>
      </c>
      <c r="AU25" s="444">
        <f>Retention!AU126</f>
        <v>46.97136276</v>
      </c>
      <c r="AV25" s="444">
        <f>Retention!AV126</f>
        <v>50.66344894</v>
      </c>
      <c r="AW25" s="444">
        <f>Retention!AW126</f>
        <v>54.40898203</v>
      </c>
      <c r="AX25" s="444">
        <f>Retention!AX126</f>
        <v>58.2084794</v>
      </c>
      <c r="AY25" s="444">
        <f>Retention!AY126</f>
        <v>63.04469551</v>
      </c>
      <c r="AZ25" s="444">
        <f>Retention!AZ126</f>
        <v>67.95112215</v>
      </c>
      <c r="BA25" s="444">
        <f>Retention!BA126</f>
        <v>72.9116515</v>
      </c>
      <c r="BB25" s="444">
        <f>Retention!BB126</f>
        <v>77.92678951</v>
      </c>
      <c r="BC25" s="444">
        <f>Retention!BC126</f>
        <v>82.99704746</v>
      </c>
      <c r="BD25" s="444">
        <f>Retention!BD126</f>
        <v>88.12294206</v>
      </c>
      <c r="BE25" s="444">
        <f>Retention!BE126</f>
        <v>93.3049955</v>
      </c>
      <c r="BF25" s="444">
        <f>Retention!BF126</f>
        <v>98.54373552</v>
      </c>
      <c r="BG25" s="444">
        <f>Retention!BG126</f>
        <v>103.8396954</v>
      </c>
      <c r="BH25" s="444">
        <f>Retention!BH126</f>
        <v>109.1934143</v>
      </c>
      <c r="BI25" s="444">
        <f>Retention!BI126</f>
        <v>113.6054368</v>
      </c>
      <c r="BJ25" s="444">
        <f>Retention!BJ126</f>
        <v>118.0763134</v>
      </c>
      <c r="BK25" s="444">
        <f>Retention!BK126</f>
        <v>122.491837</v>
      </c>
      <c r="BL25" s="444">
        <f>Retention!BL126</f>
        <v>126.7027863</v>
      </c>
      <c r="BM25" s="444">
        <f>Retention!BM126</f>
        <v>130.7014982</v>
      </c>
      <c r="BN25" s="444">
        <f>Retention!BN126</f>
        <v>133.7646418</v>
      </c>
      <c r="BO25" s="444">
        <f>Retention!BO126</f>
        <v>136.8931422</v>
      </c>
      <c r="BP25" s="444">
        <f>Retention!BP126</f>
        <v>140.0879448</v>
      </c>
      <c r="BQ25" s="444">
        <f>Retention!BQ126</f>
        <v>143.3500153</v>
      </c>
      <c r="BR25" s="444">
        <f>Retention!BR126</f>
        <v>146.6803406</v>
      </c>
      <c r="BS25" s="444">
        <f>Retention!BS126</f>
        <v>149.0799293</v>
      </c>
      <c r="BT25" s="444">
        <f>Retention!BT126</f>
        <v>151.5498123</v>
      </c>
      <c r="BU25" s="444">
        <f>Retention!BU126</f>
        <v>154.0910434</v>
      </c>
      <c r="BV25" s="444">
        <f>Retention!BV126</f>
        <v>156.7046998</v>
      </c>
      <c r="BW25" s="444">
        <f>Retention!BW126</f>
        <v>159.4519305</v>
      </c>
      <c r="BX25" s="444">
        <f>Retention!BX126</f>
        <v>161.8606106</v>
      </c>
      <c r="BY25" s="444">
        <f>Retention!BY126</f>
        <v>163.0158364</v>
      </c>
      <c r="BZ25" s="444">
        <f>Retention!BZ126</f>
        <v>164.2043854</v>
      </c>
      <c r="CA25" s="444">
        <f>Retention!CA126</f>
        <v>165.4271509</v>
      </c>
      <c r="CB25" s="444">
        <f>Retention!CB126</f>
        <v>166.6850199</v>
      </c>
      <c r="CC25" s="444">
        <f>Retention!CC126</f>
        <v>167.9788733</v>
      </c>
      <c r="CD25" s="444">
        <f>Retention!CD126</f>
        <v>169.3095864</v>
      </c>
      <c r="CE25" s="444">
        <f>Retention!CE126</f>
        <v>170.678029</v>
      </c>
      <c r="CF25" s="444">
        <f>Retention!CF126</f>
        <v>172.085066</v>
      </c>
      <c r="CG25" s="444">
        <f>Retention!CG126</f>
        <v>173.5315577</v>
      </c>
      <c r="CH25" s="444">
        <f>Retention!CH126</f>
        <v>175.0183597</v>
      </c>
      <c r="CI25" s="442"/>
    </row>
    <row r="26" ht="15.0" customHeight="1" outlineLevel="1">
      <c r="A26" s="1" t="s">
        <v>97</v>
      </c>
      <c r="B26" s="1"/>
      <c r="C26" s="445">
        <f>'New Biz Sales'!C96</f>
        <v>396523</v>
      </c>
      <c r="D26" s="445">
        <f>'New Biz Sales'!D96</f>
        <v>231375</v>
      </c>
      <c r="E26" s="445">
        <f>'New Biz Sales'!E96</f>
        <v>359628</v>
      </c>
      <c r="F26" s="445">
        <f>'New Biz Sales'!F96</f>
        <v>131995</v>
      </c>
      <c r="G26" s="445">
        <f>'New Biz Sales'!G96</f>
        <v>185429</v>
      </c>
      <c r="H26" s="445">
        <f>'New Biz Sales'!H96</f>
        <v>393585</v>
      </c>
      <c r="I26" s="445">
        <f>'New Biz Sales'!I96</f>
        <v>260021</v>
      </c>
      <c r="J26" s="445">
        <f>'New Biz Sales'!J96</f>
        <v>356898</v>
      </c>
      <c r="K26" s="445">
        <f>'New Biz Sales'!K96</f>
        <v>106285</v>
      </c>
      <c r="L26" s="445">
        <f>'New Biz Sales'!L96</f>
        <v>206183</v>
      </c>
      <c r="M26" s="445">
        <f>'New Biz Sales'!M96</f>
        <v>128711</v>
      </c>
      <c r="N26" s="445">
        <f>'New Biz Sales'!N96</f>
        <v>442224</v>
      </c>
      <c r="O26" s="445">
        <f>'New Biz Sales'!O96</f>
        <v>479498</v>
      </c>
      <c r="P26" s="445">
        <f>'New Biz Sales'!P96</f>
        <v>206807</v>
      </c>
      <c r="Q26" s="445">
        <f>'New Biz Sales'!Q96</f>
        <v>328227</v>
      </c>
      <c r="R26" s="445">
        <f>'New Biz Sales'!R96</f>
        <v>439553</v>
      </c>
      <c r="S26" s="445">
        <f>'New Biz Sales'!S96</f>
        <v>149004</v>
      </c>
      <c r="T26" s="445">
        <f>'New Biz Sales'!T96</f>
        <v>298345</v>
      </c>
      <c r="U26" s="445">
        <f>'New Biz Sales'!U96</f>
        <v>108101</v>
      </c>
      <c r="V26" s="445">
        <f>'New Biz Sales'!V96</f>
        <v>262590</v>
      </c>
      <c r="W26" s="445">
        <f>'New Biz Sales'!W96</f>
        <v>441802</v>
      </c>
      <c r="X26" s="445">
        <f>'New Biz Sales'!X96</f>
        <v>463831</v>
      </c>
      <c r="Y26" s="445">
        <f>'New Biz Sales'!Y96</f>
        <v>458258</v>
      </c>
      <c r="Z26" s="445">
        <f>'New Biz Sales'!Z96</f>
        <v>165000</v>
      </c>
      <c r="AA26" s="445">
        <f>'New Biz Sales'!AA96</f>
        <v>168300</v>
      </c>
      <c r="AB26" s="445">
        <f>'New Biz Sales'!AB96</f>
        <v>168300</v>
      </c>
      <c r="AC26" s="445">
        <f>'New Biz Sales'!AC96</f>
        <v>168300</v>
      </c>
      <c r="AD26" s="445">
        <f>'New Biz Sales'!AD96</f>
        <v>168300</v>
      </c>
      <c r="AE26" s="445">
        <f>'New Biz Sales'!AE96</f>
        <v>168300</v>
      </c>
      <c r="AF26" s="445">
        <f>'New Biz Sales'!AF96</f>
        <v>171666</v>
      </c>
      <c r="AG26" s="445">
        <f>'New Biz Sales'!AG96</f>
        <v>171666</v>
      </c>
      <c r="AH26" s="445">
        <f>'New Biz Sales'!AH96</f>
        <v>171666</v>
      </c>
      <c r="AI26" s="445">
        <f>'New Biz Sales'!AI96</f>
        <v>171666</v>
      </c>
      <c r="AJ26" s="445">
        <f>'New Biz Sales'!AJ96</f>
        <v>171666</v>
      </c>
      <c r="AK26" s="445">
        <f>'New Biz Sales'!AK96</f>
        <v>171666</v>
      </c>
      <c r="AL26" s="445">
        <f>'New Biz Sales'!AL96</f>
        <v>171666</v>
      </c>
      <c r="AM26" s="445">
        <f>'New Biz Sales'!AM96</f>
        <v>172524.33</v>
      </c>
      <c r="AN26" s="445">
        <f>'New Biz Sales'!AN96</f>
        <v>172524.33</v>
      </c>
      <c r="AO26" s="445">
        <f>'New Biz Sales'!AO96</f>
        <v>172524.33</v>
      </c>
      <c r="AP26" s="445">
        <f>'New Biz Sales'!AP96</f>
        <v>172524.33</v>
      </c>
      <c r="AQ26" s="445">
        <f>'New Biz Sales'!AQ96</f>
        <v>172524.33</v>
      </c>
      <c r="AR26" s="445">
        <f>'New Biz Sales'!AR96</f>
        <v>173386.9517</v>
      </c>
      <c r="AS26" s="445">
        <f>'New Biz Sales'!AS96</f>
        <v>173386.9517</v>
      </c>
      <c r="AT26" s="445">
        <f>'New Biz Sales'!AT96</f>
        <v>173386.9517</v>
      </c>
      <c r="AU26" s="445">
        <f>'New Biz Sales'!AU96</f>
        <v>173386.9517</v>
      </c>
      <c r="AV26" s="445">
        <f>'New Biz Sales'!AV96</f>
        <v>173386.9517</v>
      </c>
      <c r="AW26" s="445">
        <f>'New Biz Sales'!AW96</f>
        <v>173386.9517</v>
      </c>
      <c r="AX26" s="445">
        <f>'New Biz Sales'!AX96</f>
        <v>173386.9517</v>
      </c>
      <c r="AY26" s="445">
        <f>'New Biz Sales'!AY96</f>
        <v>174253.8864</v>
      </c>
      <c r="AZ26" s="445">
        <f>'New Biz Sales'!AZ96</f>
        <v>174253.8864</v>
      </c>
      <c r="BA26" s="445">
        <f>'New Biz Sales'!BA96</f>
        <v>174253.8864</v>
      </c>
      <c r="BB26" s="445">
        <f>'New Biz Sales'!BB96</f>
        <v>174253.8864</v>
      </c>
      <c r="BC26" s="445">
        <f>'New Biz Sales'!BC96</f>
        <v>174253.8864</v>
      </c>
      <c r="BD26" s="445">
        <f>'New Biz Sales'!BD96</f>
        <v>174253.8864</v>
      </c>
      <c r="BE26" s="445">
        <f>'New Biz Sales'!BE96</f>
        <v>174253.8864</v>
      </c>
      <c r="BF26" s="445">
        <f>'New Biz Sales'!BF96</f>
        <v>174253.8864</v>
      </c>
      <c r="BG26" s="445">
        <f>'New Biz Sales'!BG96</f>
        <v>174253.8864</v>
      </c>
      <c r="BH26" s="445">
        <f>'New Biz Sales'!BH96</f>
        <v>174253.8864</v>
      </c>
      <c r="BI26" s="445">
        <f>'New Biz Sales'!BI96</f>
        <v>174253.8864</v>
      </c>
      <c r="BJ26" s="445">
        <f>'New Biz Sales'!BJ96</f>
        <v>174253.8864</v>
      </c>
      <c r="BK26" s="445">
        <f>'New Biz Sales'!BK96</f>
        <v>177738.9641</v>
      </c>
      <c r="BL26" s="445">
        <f>'New Biz Sales'!BL96</f>
        <v>181293.7434</v>
      </c>
      <c r="BM26" s="445">
        <f>'New Biz Sales'!BM96</f>
        <v>181293.7434</v>
      </c>
      <c r="BN26" s="445">
        <f>'New Biz Sales'!BN96</f>
        <v>181293.7434</v>
      </c>
      <c r="BO26" s="445">
        <f>'New Biz Sales'!BO96</f>
        <v>181293.7434</v>
      </c>
      <c r="BP26" s="445">
        <f>'New Biz Sales'!BP96</f>
        <v>181293.7434</v>
      </c>
      <c r="BQ26" s="445">
        <f>'New Biz Sales'!BQ96</f>
        <v>181293.7434</v>
      </c>
      <c r="BR26" s="445">
        <f>'New Biz Sales'!BR96</f>
        <v>181293.7434</v>
      </c>
      <c r="BS26" s="445">
        <f>'New Biz Sales'!BS96</f>
        <v>181293.7434</v>
      </c>
      <c r="BT26" s="445">
        <f>'New Biz Sales'!BT96</f>
        <v>181293.7434</v>
      </c>
      <c r="BU26" s="445">
        <f>'New Biz Sales'!BU96</f>
        <v>181293.7434</v>
      </c>
      <c r="BV26" s="445">
        <f>'New Biz Sales'!BV96</f>
        <v>181293.7434</v>
      </c>
      <c r="BW26" s="445">
        <f>'New Biz Sales'!BW96</f>
        <v>181293.7434</v>
      </c>
      <c r="BX26" s="445">
        <f>'New Biz Sales'!BX96</f>
        <v>181293.7434</v>
      </c>
      <c r="BY26" s="445">
        <f>'New Biz Sales'!BY96</f>
        <v>181293.7434</v>
      </c>
      <c r="BZ26" s="445">
        <f>'New Biz Sales'!BZ96</f>
        <v>181293.7434</v>
      </c>
      <c r="CA26" s="445">
        <f>'New Biz Sales'!CA96</f>
        <v>181293.7434</v>
      </c>
      <c r="CB26" s="445">
        <f>'New Biz Sales'!CB96</f>
        <v>181293.7434</v>
      </c>
      <c r="CC26" s="445">
        <f>'New Biz Sales'!CC96</f>
        <v>181293.7434</v>
      </c>
      <c r="CD26" s="445">
        <f>'New Biz Sales'!CD96</f>
        <v>181293.7434</v>
      </c>
      <c r="CE26" s="445">
        <f>'New Biz Sales'!CE96</f>
        <v>181293.7434</v>
      </c>
      <c r="CF26" s="445">
        <f>'New Biz Sales'!CF96</f>
        <v>181293.7434</v>
      </c>
      <c r="CG26" s="445">
        <f>'New Biz Sales'!CG96</f>
        <v>181293.7434</v>
      </c>
      <c r="CH26" s="445">
        <f>'New Biz Sales'!CH96</f>
        <v>181293.7434</v>
      </c>
      <c r="CI26" s="445"/>
    </row>
    <row r="27" ht="15.75" customHeight="1" outlineLevel="1">
      <c r="A27" s="1"/>
      <c r="B27" s="1"/>
      <c r="C27" s="387"/>
      <c r="D27" s="387"/>
      <c r="E27" s="387"/>
      <c r="F27" s="387"/>
      <c r="G27" s="387"/>
      <c r="H27" s="387"/>
      <c r="I27" s="387"/>
      <c r="J27" s="387"/>
      <c r="K27" s="387"/>
      <c r="L27" s="387"/>
      <c r="M27" s="387"/>
      <c r="N27" s="387"/>
      <c r="O27" s="387"/>
      <c r="P27" s="387"/>
      <c r="Q27" s="387"/>
      <c r="R27" s="387"/>
      <c r="S27" s="387"/>
      <c r="T27" s="387"/>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row>
    <row r="28" ht="15.75" customHeight="1" outlineLevel="1">
      <c r="A28" s="1" t="s">
        <v>189</v>
      </c>
      <c r="B28" s="1"/>
      <c r="C28" s="387">
        <f t="array" ref="C28">INDEX('IS Proforma'!$1:$1048490,MATCH($A28,'IS Proforma'!$C:$C,0),MATCH(C$4,'IS Proforma'!$4:$4))</f>
        <v>106993</v>
      </c>
      <c r="D28" s="387">
        <f t="array" ref="D28">INDEX('IS Proforma'!$1:$1048490,MATCH($A28,'IS Proforma'!$C:$C,0),MATCH(D$4,'IS Proforma'!$4:$4))</f>
        <v>218072</v>
      </c>
      <c r="E28" s="387">
        <f t="array" ref="E28">INDEX('IS Proforma'!$1:$1048490,MATCH($A28,'IS Proforma'!$C:$C,0),MATCH(E$4,'IS Proforma'!$4:$4))</f>
        <v>171140</v>
      </c>
      <c r="F28" s="387">
        <f t="array" ref="F28">INDEX('IS Proforma'!$1:$1048490,MATCH($A28,'IS Proforma'!$C:$C,0),MATCH(F$4,'IS Proforma'!$4:$4))</f>
        <v>195113</v>
      </c>
      <c r="G28" s="387">
        <f t="array" ref="G28">INDEX('IS Proforma'!$1:$1048490,MATCH($A28,'IS Proforma'!$C:$C,0),MATCH(G$4,'IS Proforma'!$4:$4))</f>
        <v>188731</v>
      </c>
      <c r="H28" s="387">
        <f t="array" ref="H28">INDEX('IS Proforma'!$1:$1048490,MATCH($A28,'IS Proforma'!$C:$C,0),MATCH(H$4,'IS Proforma'!$4:$4))</f>
        <v>126240</v>
      </c>
      <c r="I28" s="387">
        <f t="array" ref="I28">INDEX('IS Proforma'!$1:$1048490,MATCH($A28,'IS Proforma'!$C:$C,0),MATCH(I$4,'IS Proforma'!$4:$4))</f>
        <v>137662</v>
      </c>
      <c r="J28" s="387">
        <f t="array" ref="J28">INDEX('IS Proforma'!$1:$1048490,MATCH($A28,'IS Proforma'!$C:$C,0),MATCH(J$4,'IS Proforma'!$4:$4))</f>
        <v>118535</v>
      </c>
      <c r="K28" s="387">
        <f t="array" ref="K28">INDEX('IS Proforma'!$1:$1048490,MATCH($A28,'IS Proforma'!$C:$C,0),MATCH(K$4,'IS Proforma'!$4:$4))</f>
        <v>160659</v>
      </c>
      <c r="L28" s="387">
        <f t="array" ref="L28">INDEX('IS Proforma'!$1:$1048490,MATCH($A28,'IS Proforma'!$C:$C,0),MATCH(L$4,'IS Proforma'!$4:$4))</f>
        <v>190646</v>
      </c>
      <c r="M28" s="387">
        <f t="array" ref="M28">INDEX('IS Proforma'!$1:$1048490,MATCH($A28,'IS Proforma'!$C:$C,0),MATCH(M$4,'IS Proforma'!$4:$4))</f>
        <v>178043</v>
      </c>
      <c r="N28" s="387">
        <f t="array" ref="N28">INDEX('IS Proforma'!$1:$1048490,MATCH($A28,'IS Proforma'!$C:$C,0),MATCH(N$4,'IS Proforma'!$4:$4))</f>
        <v>158666</v>
      </c>
      <c r="O28" s="387">
        <f t="array" ref="O28">INDEX('IS Proforma'!$1:$1048490,MATCH($A28,'IS Proforma'!$C:$C,0),MATCH(O$4,'IS Proforma'!$4:$4))</f>
        <v>186157</v>
      </c>
      <c r="P28" s="387">
        <f t="array" ref="P28">INDEX('IS Proforma'!$1:$1048490,MATCH($A28,'IS Proforma'!$C:$C,0),MATCH(P$4,'IS Proforma'!$4:$4))</f>
        <v>153018</v>
      </c>
      <c r="Q28" s="387">
        <f t="array" ref="Q28">INDEX('IS Proforma'!$1:$1048490,MATCH($A28,'IS Proforma'!$C:$C,0),MATCH(Q$4,'IS Proforma'!$4:$4))</f>
        <v>178634</v>
      </c>
      <c r="R28" s="387">
        <f t="array" ref="R28">INDEX('IS Proforma'!$1:$1048490,MATCH($A28,'IS Proforma'!$C:$C,0),MATCH(R$4,'IS Proforma'!$4:$4))</f>
        <v>157636</v>
      </c>
      <c r="S28" s="387">
        <f t="array" ref="S28">INDEX('IS Proforma'!$1:$1048490,MATCH($A28,'IS Proforma'!$C:$C,0),MATCH(S$4,'IS Proforma'!$4:$4))</f>
        <v>223831</v>
      </c>
      <c r="T28" s="387">
        <f t="array" ref="T28">INDEX('IS Proforma'!$1:$1048490,MATCH($A28,'IS Proforma'!$C:$C,0),MATCH(T$4,'IS Proforma'!$4:$4))</f>
        <v>145513</v>
      </c>
      <c r="U28" s="387">
        <f t="array" ref="U28">INDEX('IS Proforma'!$1:$1048490,MATCH($A28,'IS Proforma'!$C:$C,0),MATCH(U$4,'IS Proforma'!$4:$4))</f>
        <v>216724</v>
      </c>
      <c r="V28" s="387">
        <f t="array" ref="V28">INDEX('IS Proforma'!$1:$1048490,MATCH($A28,'IS Proforma'!$C:$C,0),MATCH(V$4,'IS Proforma'!$4:$4))</f>
        <v>221974</v>
      </c>
      <c r="W28" s="387">
        <f t="array" ref="W28">INDEX('IS Proforma'!$1:$1048490,MATCH($A28,'IS Proforma'!$C:$C,0),MATCH(W$4,'IS Proforma'!$4:$4))</f>
        <v>181486</v>
      </c>
      <c r="X28" s="387">
        <f t="array" ref="X28">INDEX('IS Proforma'!$1:$1048490,MATCH($A28,'IS Proforma'!$C:$C,0),MATCH(X$4,'IS Proforma'!$4:$4))</f>
        <v>141717</v>
      </c>
      <c r="Y28" s="387">
        <f t="array" ref="Y28">INDEX('IS Proforma'!$1:$1048490,MATCH($A28,'IS Proforma'!$C:$C,0),MATCH(Y$4,'IS Proforma'!$4:$4))</f>
        <v>232415</v>
      </c>
      <c r="Z28" s="407">
        <f>Retention!Z40</f>
        <v>339922.1377</v>
      </c>
      <c r="AA28" s="407">
        <f>Retention!AA40</f>
        <v>396872.1732</v>
      </c>
      <c r="AB28" s="407">
        <f>Retention!AB40</f>
        <v>461134.7543</v>
      </c>
      <c r="AC28" s="407">
        <f>Retention!AC40</f>
        <v>527311.7682</v>
      </c>
      <c r="AD28" s="407">
        <f>Retention!AD40</f>
        <v>594180.7295</v>
      </c>
      <c r="AE28" s="407">
        <f>Retention!AE40</f>
        <v>662951.6649</v>
      </c>
      <c r="AF28" s="407">
        <f>Retention!AF40</f>
        <v>732581.0818</v>
      </c>
      <c r="AG28" s="407">
        <f>Retention!AG40</f>
        <v>801173.4165</v>
      </c>
      <c r="AH28" s="407">
        <f>Retention!AH40</f>
        <v>869092.604</v>
      </c>
      <c r="AI28" s="407">
        <f>Retention!AI40</f>
        <v>938883.3464</v>
      </c>
      <c r="AJ28" s="407">
        <f>Retention!AJ40</f>
        <v>1006073.986</v>
      </c>
      <c r="AK28" s="407">
        <f>Retention!AK40</f>
        <v>1074685.166</v>
      </c>
      <c r="AL28" s="407">
        <f>Retention!AL40</f>
        <v>1145641.814</v>
      </c>
      <c r="AM28" s="407">
        <f>Retention!AM40</f>
        <v>1189448.826</v>
      </c>
      <c r="AN28" s="407">
        <f>Retention!AN40</f>
        <v>1218365.755</v>
      </c>
      <c r="AO28" s="407">
        <f>Retention!AO40</f>
        <v>1244125.937</v>
      </c>
      <c r="AP28" s="407">
        <f>Retention!AP40</f>
        <v>1269315.184</v>
      </c>
      <c r="AQ28" s="407">
        <f>Retention!AQ40</f>
        <v>1293967.286</v>
      </c>
      <c r="AR28" s="407">
        <f>Retention!AR40</f>
        <v>1318328.397</v>
      </c>
      <c r="AS28" s="407">
        <f>Retention!AS40</f>
        <v>1342206.165</v>
      </c>
      <c r="AT28" s="407">
        <f>Retention!AT40</f>
        <v>1365630.394</v>
      </c>
      <c r="AU28" s="407">
        <f>Retention!AU40</f>
        <v>1388629.531</v>
      </c>
      <c r="AV28" s="407">
        <f>Retention!AV40</f>
        <v>1411230.731</v>
      </c>
      <c r="AW28" s="407">
        <f>Retention!AW40</f>
        <v>1433459.919</v>
      </c>
      <c r="AX28" s="407">
        <f>Retention!AX40</f>
        <v>1455341.852</v>
      </c>
      <c r="AY28" s="407">
        <f>Retention!AY40</f>
        <v>1488761.811</v>
      </c>
      <c r="AZ28" s="407">
        <f>Retention!AZ40</f>
        <v>1521786.083</v>
      </c>
      <c r="BA28" s="407">
        <f>Retention!BA40</f>
        <v>1554214.585</v>
      </c>
      <c r="BB28" s="407">
        <f>Retention!BB40</f>
        <v>1586077.93</v>
      </c>
      <c r="BC28" s="407">
        <f>Retention!BC40</f>
        <v>1617405.576</v>
      </c>
      <c r="BD28" s="407">
        <f>Retention!BD40</f>
        <v>1648225.878</v>
      </c>
      <c r="BE28" s="407">
        <f>Retention!BE40</f>
        <v>1678566.13</v>
      </c>
      <c r="BF28" s="407">
        <f>Retention!BF40</f>
        <v>1708452.606</v>
      </c>
      <c r="BG28" s="407">
        <f>Retention!BG40</f>
        <v>1737910.607</v>
      </c>
      <c r="BH28" s="407">
        <f>Retention!BH40</f>
        <v>1766964.497</v>
      </c>
      <c r="BI28" s="407">
        <f>Retention!BI40</f>
        <v>1795637.743</v>
      </c>
      <c r="BJ28" s="407">
        <f>Retention!BJ40</f>
        <v>1823952.948</v>
      </c>
      <c r="BK28" s="407">
        <f>Retention!BK40</f>
        <v>1856029.465</v>
      </c>
      <c r="BL28" s="407">
        <f>Retention!BL40</f>
        <v>1886061.883</v>
      </c>
      <c r="BM28" s="407">
        <f>Retention!BM40</f>
        <v>1911993.277</v>
      </c>
      <c r="BN28" s="407">
        <f>Retention!BN40</f>
        <v>1937837.819</v>
      </c>
      <c r="BO28" s="407">
        <f>Retention!BO40</f>
        <v>1963611.715</v>
      </c>
      <c r="BP28" s="407">
        <f>Retention!BP40</f>
        <v>1989330.831</v>
      </c>
      <c r="BQ28" s="407">
        <f>Retention!BQ40</f>
        <v>2015010.716</v>
      </c>
      <c r="BR28" s="407">
        <f>Retention!BR40</f>
        <v>2040666.626</v>
      </c>
      <c r="BS28" s="407">
        <f>Retention!BS40</f>
        <v>2066313.535</v>
      </c>
      <c r="BT28" s="407">
        <f>Retention!BT40</f>
        <v>2091966.163</v>
      </c>
      <c r="BU28" s="407">
        <f>Retention!BU40</f>
        <v>2117638.989</v>
      </c>
      <c r="BV28" s="407">
        <f>Retention!BV40</f>
        <v>2143346.267</v>
      </c>
      <c r="BW28" s="407">
        <f>Retention!BW40</f>
        <v>2172082.797</v>
      </c>
      <c r="BX28" s="407">
        <f>Retention!BX40</f>
        <v>2195034.761</v>
      </c>
      <c r="BY28" s="407">
        <f>Retention!BY40</f>
        <v>2213602.911</v>
      </c>
      <c r="BZ28" s="407">
        <f>Retention!BZ40</f>
        <v>2231948.753</v>
      </c>
      <c r="CA28" s="407">
        <f>Retention!CA40</f>
        <v>2250092.972</v>
      </c>
      <c r="CB28" s="407">
        <f>Retention!CB40</f>
        <v>2268055.397</v>
      </c>
      <c r="CC28" s="407">
        <f>Retention!CC40</f>
        <v>2285855.039</v>
      </c>
      <c r="CD28" s="407">
        <f>Retention!CD40</f>
        <v>2303510.127</v>
      </c>
      <c r="CE28" s="407">
        <f>Retention!CE40</f>
        <v>2321038.14</v>
      </c>
      <c r="CF28" s="407">
        <f>Retention!CF40</f>
        <v>2338455.842</v>
      </c>
      <c r="CG28" s="407">
        <f>Retention!CG40</f>
        <v>2355779.31</v>
      </c>
      <c r="CH28" s="407">
        <f>Retention!CH40</f>
        <v>2373023.966</v>
      </c>
      <c r="CI28" s="407"/>
    </row>
    <row r="29" ht="15.75" customHeight="1" outlineLevel="1">
      <c r="A29" s="1" t="s">
        <v>325</v>
      </c>
      <c r="B29" s="1"/>
      <c r="C29" s="1"/>
      <c r="D29" s="387">
        <f t="shared" ref="D29:CH29" si="11">D28-C28</f>
        <v>111079</v>
      </c>
      <c r="E29" s="387">
        <f t="shared" si="11"/>
        <v>-46932</v>
      </c>
      <c r="F29" s="387">
        <f t="shared" si="11"/>
        <v>23973</v>
      </c>
      <c r="G29" s="387">
        <f t="shared" si="11"/>
        <v>-6382</v>
      </c>
      <c r="H29" s="387">
        <f t="shared" si="11"/>
        <v>-62491</v>
      </c>
      <c r="I29" s="387">
        <f t="shared" si="11"/>
        <v>11422</v>
      </c>
      <c r="J29" s="387">
        <f t="shared" si="11"/>
        <v>-19127</v>
      </c>
      <c r="K29" s="387">
        <f t="shared" si="11"/>
        <v>42124</v>
      </c>
      <c r="L29" s="387">
        <f t="shared" si="11"/>
        <v>29987</v>
      </c>
      <c r="M29" s="387">
        <f t="shared" si="11"/>
        <v>-12603</v>
      </c>
      <c r="N29" s="387">
        <f t="shared" si="11"/>
        <v>-19377</v>
      </c>
      <c r="O29" s="387">
        <f t="shared" si="11"/>
        <v>27491</v>
      </c>
      <c r="P29" s="387">
        <f t="shared" si="11"/>
        <v>-33139</v>
      </c>
      <c r="Q29" s="387">
        <f t="shared" si="11"/>
        <v>25616</v>
      </c>
      <c r="R29" s="387">
        <f t="shared" si="11"/>
        <v>-20998</v>
      </c>
      <c r="S29" s="387">
        <f t="shared" si="11"/>
        <v>66195</v>
      </c>
      <c r="T29" s="387">
        <f t="shared" si="11"/>
        <v>-78318</v>
      </c>
      <c r="U29" s="387">
        <f t="shared" si="11"/>
        <v>71211</v>
      </c>
      <c r="V29" s="387">
        <f t="shared" si="11"/>
        <v>5250</v>
      </c>
      <c r="W29" s="387">
        <f t="shared" si="11"/>
        <v>-40488</v>
      </c>
      <c r="X29" s="387">
        <f t="shared" si="11"/>
        <v>-39769</v>
      </c>
      <c r="Y29" s="387">
        <f t="shared" si="11"/>
        <v>90698</v>
      </c>
      <c r="Z29" s="131">
        <f t="shared" si="11"/>
        <v>107507.1377</v>
      </c>
      <c r="AA29" s="131">
        <f t="shared" si="11"/>
        <v>56950.03557</v>
      </c>
      <c r="AB29" s="131">
        <f t="shared" si="11"/>
        <v>64262.58102</v>
      </c>
      <c r="AC29" s="131">
        <f t="shared" si="11"/>
        <v>66177.01393</v>
      </c>
      <c r="AD29" s="131">
        <f t="shared" si="11"/>
        <v>66868.96129</v>
      </c>
      <c r="AE29" s="131">
        <f t="shared" si="11"/>
        <v>68770.93546</v>
      </c>
      <c r="AF29" s="131">
        <f t="shared" si="11"/>
        <v>69629.41685</v>
      </c>
      <c r="AG29" s="131">
        <f t="shared" si="11"/>
        <v>68592.33475</v>
      </c>
      <c r="AH29" s="131">
        <f t="shared" si="11"/>
        <v>67919.18744</v>
      </c>
      <c r="AI29" s="131">
        <f t="shared" si="11"/>
        <v>69790.74247</v>
      </c>
      <c r="AJ29" s="131">
        <f t="shared" si="11"/>
        <v>67190.63949</v>
      </c>
      <c r="AK29" s="131">
        <f t="shared" si="11"/>
        <v>68611.17964</v>
      </c>
      <c r="AL29" s="131">
        <f t="shared" si="11"/>
        <v>70956.64852</v>
      </c>
      <c r="AM29" s="131">
        <f t="shared" si="11"/>
        <v>43807.01163</v>
      </c>
      <c r="AN29" s="131">
        <f t="shared" si="11"/>
        <v>28916.92958</v>
      </c>
      <c r="AO29" s="131">
        <f t="shared" si="11"/>
        <v>25760.18126</v>
      </c>
      <c r="AP29" s="131">
        <f t="shared" si="11"/>
        <v>25189.24708</v>
      </c>
      <c r="AQ29" s="131">
        <f t="shared" si="11"/>
        <v>24652.10271</v>
      </c>
      <c r="AR29" s="131">
        <f t="shared" si="11"/>
        <v>24361.11056</v>
      </c>
      <c r="AS29" s="131">
        <f t="shared" si="11"/>
        <v>23877.76791</v>
      </c>
      <c r="AT29" s="131">
        <f t="shared" si="11"/>
        <v>23424.22937</v>
      </c>
      <c r="AU29" s="131">
        <f t="shared" si="11"/>
        <v>22999.13719</v>
      </c>
      <c r="AV29" s="131">
        <f t="shared" si="11"/>
        <v>22601.19966</v>
      </c>
      <c r="AW29" s="131">
        <f t="shared" si="11"/>
        <v>22229.18797</v>
      </c>
      <c r="AX29" s="131">
        <f t="shared" si="11"/>
        <v>21881.93315</v>
      </c>
      <c r="AY29" s="131">
        <f t="shared" si="11"/>
        <v>33419.95873</v>
      </c>
      <c r="AZ29" s="131">
        <f t="shared" si="11"/>
        <v>33024.27235</v>
      </c>
      <c r="BA29" s="131">
        <f t="shared" si="11"/>
        <v>32428.50215</v>
      </c>
      <c r="BB29" s="131">
        <f t="shared" si="11"/>
        <v>31863.34437</v>
      </c>
      <c r="BC29" s="131">
        <f t="shared" si="11"/>
        <v>31327.64631</v>
      </c>
      <c r="BD29" s="131">
        <f t="shared" si="11"/>
        <v>30820.30223</v>
      </c>
      <c r="BE29" s="131">
        <f t="shared" si="11"/>
        <v>30340.2514</v>
      </c>
      <c r="BF29" s="131">
        <f t="shared" si="11"/>
        <v>29886.47639</v>
      </c>
      <c r="BG29" s="131">
        <f t="shared" si="11"/>
        <v>29458.0013</v>
      </c>
      <c r="BH29" s="131">
        <f t="shared" si="11"/>
        <v>29053.8901</v>
      </c>
      <c r="BI29" s="131">
        <f t="shared" si="11"/>
        <v>28673.24509</v>
      </c>
      <c r="BJ29" s="131">
        <f t="shared" si="11"/>
        <v>28315.20535</v>
      </c>
      <c r="BK29" s="131">
        <f t="shared" si="11"/>
        <v>32076.51714</v>
      </c>
      <c r="BL29" s="131">
        <f t="shared" si="11"/>
        <v>30032.41794</v>
      </c>
      <c r="BM29" s="131">
        <f t="shared" si="11"/>
        <v>25931.3936</v>
      </c>
      <c r="BN29" s="131">
        <f t="shared" si="11"/>
        <v>25844.54278</v>
      </c>
      <c r="BO29" s="131">
        <f t="shared" si="11"/>
        <v>25773.89574</v>
      </c>
      <c r="BP29" s="131">
        <f t="shared" si="11"/>
        <v>25719.11552</v>
      </c>
      <c r="BQ29" s="131">
        <f t="shared" si="11"/>
        <v>25679.8856</v>
      </c>
      <c r="BR29" s="131">
        <f t="shared" si="11"/>
        <v>25655.90938</v>
      </c>
      <c r="BS29" s="131">
        <f t="shared" si="11"/>
        <v>25646.90967</v>
      </c>
      <c r="BT29" s="131">
        <f t="shared" si="11"/>
        <v>25652.62817</v>
      </c>
      <c r="BU29" s="131">
        <f t="shared" si="11"/>
        <v>25672.82507</v>
      </c>
      <c r="BV29" s="131">
        <f t="shared" si="11"/>
        <v>25707.27854</v>
      </c>
      <c r="BW29" s="131">
        <f t="shared" si="11"/>
        <v>28736.52982</v>
      </c>
      <c r="BX29" s="131">
        <f t="shared" si="11"/>
        <v>22951.96447</v>
      </c>
      <c r="BY29" s="131">
        <f t="shared" si="11"/>
        <v>18568.14925</v>
      </c>
      <c r="BZ29" s="131">
        <f t="shared" si="11"/>
        <v>18345.84257</v>
      </c>
      <c r="CA29" s="131">
        <f t="shared" si="11"/>
        <v>18144.21916</v>
      </c>
      <c r="CB29" s="131">
        <f t="shared" si="11"/>
        <v>17962.42484</v>
      </c>
      <c r="CC29" s="131">
        <f t="shared" si="11"/>
        <v>17799.64193</v>
      </c>
      <c r="CD29" s="131">
        <f t="shared" si="11"/>
        <v>17655.08779</v>
      </c>
      <c r="CE29" s="131">
        <f t="shared" si="11"/>
        <v>17528.01339</v>
      </c>
      <c r="CF29" s="131">
        <f t="shared" si="11"/>
        <v>17417.70205</v>
      </c>
      <c r="CG29" s="131">
        <f t="shared" si="11"/>
        <v>17323.46807</v>
      </c>
      <c r="CH29" s="131">
        <f t="shared" si="11"/>
        <v>17244.65556</v>
      </c>
      <c r="CI29" s="131"/>
    </row>
    <row r="30" ht="15.75" customHeight="1" outlineLevel="1">
      <c r="A30" s="1" t="s">
        <v>51</v>
      </c>
      <c r="B30" s="446" t="s">
        <v>677</v>
      </c>
      <c r="C30" s="1"/>
      <c r="D30" s="423">
        <f t="shared" ref="D30:CH30" si="12">D28/C28-1</f>
        <v>1.038189414</v>
      </c>
      <c r="E30" s="423">
        <f t="shared" si="12"/>
        <v>-0.215213324</v>
      </c>
      <c r="F30" s="423">
        <f t="shared" si="12"/>
        <v>0.1400782985</v>
      </c>
      <c r="G30" s="423">
        <f t="shared" si="12"/>
        <v>-0.03270925054</v>
      </c>
      <c r="H30" s="423">
        <f t="shared" si="12"/>
        <v>-0.3311114761</v>
      </c>
      <c r="I30" s="423">
        <f t="shared" si="12"/>
        <v>0.09047845374</v>
      </c>
      <c r="J30" s="423">
        <f t="shared" si="12"/>
        <v>-0.1389417559</v>
      </c>
      <c r="K30" s="423">
        <f t="shared" si="12"/>
        <v>0.3553718311</v>
      </c>
      <c r="L30" s="423">
        <f t="shared" si="12"/>
        <v>0.1866499854</v>
      </c>
      <c r="M30" s="423">
        <f t="shared" si="12"/>
        <v>-0.06610681577</v>
      </c>
      <c r="N30" s="423">
        <f t="shared" si="12"/>
        <v>-0.1088332594</v>
      </c>
      <c r="O30" s="423">
        <f t="shared" si="12"/>
        <v>0.173263333</v>
      </c>
      <c r="P30" s="423">
        <f t="shared" si="12"/>
        <v>-0.1780164055</v>
      </c>
      <c r="Q30" s="423">
        <f t="shared" si="12"/>
        <v>0.1674051419</v>
      </c>
      <c r="R30" s="423">
        <f t="shared" si="12"/>
        <v>-0.1175476113</v>
      </c>
      <c r="S30" s="423">
        <f t="shared" si="12"/>
        <v>0.419923114</v>
      </c>
      <c r="T30" s="423">
        <f t="shared" si="12"/>
        <v>-0.3498979141</v>
      </c>
      <c r="U30" s="423">
        <f t="shared" si="12"/>
        <v>0.4893789558</v>
      </c>
      <c r="V30" s="423">
        <f t="shared" si="12"/>
        <v>0.02422435909</v>
      </c>
      <c r="W30" s="423">
        <f t="shared" si="12"/>
        <v>-0.1823997405</v>
      </c>
      <c r="X30" s="202">
        <f t="shared" si="12"/>
        <v>-0.2191298502</v>
      </c>
      <c r="Y30" s="202">
        <f t="shared" si="12"/>
        <v>0.6399937904</v>
      </c>
      <c r="Z30" s="202">
        <f t="shared" si="12"/>
        <v>0.462565401</v>
      </c>
      <c r="AA30" s="202">
        <f t="shared" si="12"/>
        <v>0.1675384721</v>
      </c>
      <c r="AB30" s="202">
        <f t="shared" si="12"/>
        <v>0.1619226173</v>
      </c>
      <c r="AC30" s="202">
        <f t="shared" si="12"/>
        <v>0.1435090574</v>
      </c>
      <c r="AD30" s="202">
        <f t="shared" si="12"/>
        <v>0.1268110543</v>
      </c>
      <c r="AE30" s="202">
        <f t="shared" si="12"/>
        <v>0.1157407705</v>
      </c>
      <c r="AF30" s="202">
        <f t="shared" si="12"/>
        <v>0.1050294019</v>
      </c>
      <c r="AG30" s="202">
        <f t="shared" si="12"/>
        <v>0.09363104844</v>
      </c>
      <c r="AH30" s="202">
        <f t="shared" si="12"/>
        <v>0.08477463934</v>
      </c>
      <c r="AI30" s="202">
        <f t="shared" si="12"/>
        <v>0.08030299896</v>
      </c>
      <c r="AJ30" s="202">
        <f t="shared" si="12"/>
        <v>0.07156441718</v>
      </c>
      <c r="AK30" s="202">
        <f t="shared" si="12"/>
        <v>0.06819695231</v>
      </c>
      <c r="AL30" s="202">
        <f t="shared" si="12"/>
        <v>0.06602552151</v>
      </c>
      <c r="AM30" s="202">
        <f t="shared" si="12"/>
        <v>0.03823796504</v>
      </c>
      <c r="AN30" s="202">
        <f t="shared" si="12"/>
        <v>0.02431120108</v>
      </c>
      <c r="AO30" s="202">
        <f t="shared" si="12"/>
        <v>0.02114322497</v>
      </c>
      <c r="AP30" s="202">
        <f t="shared" si="12"/>
        <v>0.02024654124</v>
      </c>
      <c r="AQ30" s="202">
        <f t="shared" si="12"/>
        <v>0.0194215771</v>
      </c>
      <c r="AR30" s="202">
        <f t="shared" si="12"/>
        <v>0.01882668196</v>
      </c>
      <c r="AS30" s="202">
        <f t="shared" si="12"/>
        <v>0.01811215473</v>
      </c>
      <c r="AT30" s="202">
        <f t="shared" si="12"/>
        <v>0.0174520353</v>
      </c>
      <c r="AU30" s="202">
        <f t="shared" si="12"/>
        <v>0.01684140693</v>
      </c>
      <c r="AV30" s="202">
        <f t="shared" si="12"/>
        <v>0.01627590308</v>
      </c>
      <c r="AW30" s="202">
        <f t="shared" si="12"/>
        <v>0.01575163258</v>
      </c>
      <c r="AX30" s="202">
        <f t="shared" si="12"/>
        <v>0.01526511684</v>
      </c>
      <c r="AY30" s="202">
        <f t="shared" si="12"/>
        <v>0.02296364849</v>
      </c>
      <c r="AZ30" s="202">
        <f t="shared" si="12"/>
        <v>0.02218237472</v>
      </c>
      <c r="BA30" s="202">
        <f t="shared" si="12"/>
        <v>0.02130950106</v>
      </c>
      <c r="BB30" s="202">
        <f t="shared" si="12"/>
        <v>0.02050125167</v>
      </c>
      <c r="BC30" s="202">
        <f t="shared" si="12"/>
        <v>0.0197516438</v>
      </c>
      <c r="BD30" s="202">
        <f t="shared" si="12"/>
        <v>0.01905539506</v>
      </c>
      <c r="BE30" s="202">
        <f t="shared" si="12"/>
        <v>0.01840782371</v>
      </c>
      <c r="BF30" s="202">
        <f t="shared" si="12"/>
        <v>0.01780476555</v>
      </c>
      <c r="BG30" s="202">
        <f t="shared" si="12"/>
        <v>0.01724250424</v>
      </c>
      <c r="BH30" s="202">
        <f t="shared" si="12"/>
        <v>0.01671771262</v>
      </c>
      <c r="BI30" s="202">
        <f t="shared" si="12"/>
        <v>0.01622740306</v>
      </c>
      <c r="BJ30" s="202">
        <f t="shared" si="12"/>
        <v>0.01576888516</v>
      </c>
      <c r="BK30" s="202">
        <f t="shared" si="12"/>
        <v>0.01758626349</v>
      </c>
      <c r="BL30" s="202">
        <f t="shared" si="12"/>
        <v>0.01618100278</v>
      </c>
      <c r="BM30" s="202">
        <f t="shared" si="12"/>
        <v>0.01374896223</v>
      </c>
      <c r="BN30" s="202">
        <f t="shared" si="12"/>
        <v>0.01351706781</v>
      </c>
      <c r="BO30" s="202">
        <f t="shared" si="12"/>
        <v>0.01330033684</v>
      </c>
      <c r="BP30" s="202">
        <f t="shared" si="12"/>
        <v>0.01309786213</v>
      </c>
      <c r="BQ30" s="202">
        <f t="shared" si="12"/>
        <v>0.01290880592</v>
      </c>
      <c r="BR30" s="202">
        <f t="shared" si="12"/>
        <v>0.01273239352</v>
      </c>
      <c r="BS30" s="202">
        <f t="shared" si="12"/>
        <v>0.01256790764</v>
      </c>
      <c r="BT30" s="202">
        <f t="shared" si="12"/>
        <v>0.01241468332</v>
      </c>
      <c r="BU30" s="202">
        <f t="shared" si="12"/>
        <v>0.0122721034</v>
      </c>
      <c r="BV30" s="202">
        <f t="shared" si="12"/>
        <v>0.01213959446</v>
      </c>
      <c r="BW30" s="202">
        <f t="shared" si="12"/>
        <v>0.01340732025</v>
      </c>
      <c r="BX30" s="202">
        <f t="shared" si="12"/>
        <v>0.01056679999</v>
      </c>
      <c r="BY30" s="202">
        <f t="shared" si="12"/>
        <v>0.008459159544</v>
      </c>
      <c r="BZ30" s="202">
        <f t="shared" si="12"/>
        <v>0.00828777487</v>
      </c>
      <c r="CA30" s="202">
        <f t="shared" si="12"/>
        <v>0.008129317097</v>
      </c>
      <c r="CB30" s="202">
        <f t="shared" si="12"/>
        <v>0.007982970065</v>
      </c>
      <c r="CC30" s="202">
        <f t="shared" si="12"/>
        <v>0.007847974946</v>
      </c>
      <c r="CD30" s="202">
        <f t="shared" si="12"/>
        <v>0.007723625289</v>
      </c>
      <c r="CE30" s="202">
        <f t="shared" si="12"/>
        <v>0.007609262572</v>
      </c>
      <c r="CF30" s="202">
        <f t="shared" si="12"/>
        <v>0.007504272225</v>
      </c>
      <c r="CG30" s="202">
        <f t="shared" si="12"/>
        <v>0.007408080049</v>
      </c>
      <c r="CH30" s="202">
        <f t="shared" si="12"/>
        <v>0.007320149</v>
      </c>
      <c r="CI30" s="202"/>
    </row>
    <row r="31" ht="15.75" customHeight="1" outlineLevel="1">
      <c r="A31" s="1" t="s">
        <v>678</v>
      </c>
      <c r="B31" s="447">
        <v>500.0</v>
      </c>
      <c r="C31" s="448">
        <f t="shared" ref="C31:BJ31" si="13">C28/$B$31</f>
        <v>213.986</v>
      </c>
      <c r="D31" s="448">
        <f t="shared" si="13"/>
        <v>436.144</v>
      </c>
      <c r="E31" s="448">
        <f t="shared" si="13"/>
        <v>342.28</v>
      </c>
      <c r="F31" s="448">
        <f t="shared" si="13"/>
        <v>390.226</v>
      </c>
      <c r="G31" s="448">
        <f t="shared" si="13"/>
        <v>377.462</v>
      </c>
      <c r="H31" s="448">
        <f t="shared" si="13"/>
        <v>252.48</v>
      </c>
      <c r="I31" s="448">
        <f t="shared" si="13"/>
        <v>275.324</v>
      </c>
      <c r="J31" s="448">
        <f t="shared" si="13"/>
        <v>237.07</v>
      </c>
      <c r="K31" s="448">
        <f t="shared" si="13"/>
        <v>321.318</v>
      </c>
      <c r="L31" s="448">
        <f t="shared" si="13"/>
        <v>381.292</v>
      </c>
      <c r="M31" s="448">
        <f t="shared" si="13"/>
        <v>356.086</v>
      </c>
      <c r="N31" s="448">
        <f t="shared" si="13"/>
        <v>317.332</v>
      </c>
      <c r="O31" s="448">
        <f t="shared" si="13"/>
        <v>372.314</v>
      </c>
      <c r="P31" s="448">
        <f t="shared" si="13"/>
        <v>306.036</v>
      </c>
      <c r="Q31" s="448">
        <f t="shared" si="13"/>
        <v>357.268</v>
      </c>
      <c r="R31" s="448">
        <f t="shared" si="13"/>
        <v>315.272</v>
      </c>
      <c r="S31" s="448">
        <f t="shared" si="13"/>
        <v>447.662</v>
      </c>
      <c r="T31" s="448">
        <f t="shared" si="13"/>
        <v>291.026</v>
      </c>
      <c r="U31" s="448">
        <f t="shared" si="13"/>
        <v>433.448</v>
      </c>
      <c r="V31" s="448">
        <f t="shared" si="13"/>
        <v>443.948</v>
      </c>
      <c r="W31" s="448">
        <f t="shared" si="13"/>
        <v>362.972</v>
      </c>
      <c r="X31" s="448">
        <f t="shared" si="13"/>
        <v>283.434</v>
      </c>
      <c r="Y31" s="448">
        <f t="shared" si="13"/>
        <v>464.83</v>
      </c>
      <c r="Z31" s="448">
        <f t="shared" si="13"/>
        <v>679.8442753</v>
      </c>
      <c r="AA31" s="448">
        <f t="shared" si="13"/>
        <v>793.7443465</v>
      </c>
      <c r="AB31" s="448">
        <f t="shared" si="13"/>
        <v>922.2695085</v>
      </c>
      <c r="AC31" s="448">
        <f t="shared" si="13"/>
        <v>1054.623536</v>
      </c>
      <c r="AD31" s="448">
        <f t="shared" si="13"/>
        <v>1188.361459</v>
      </c>
      <c r="AE31" s="448">
        <f t="shared" si="13"/>
        <v>1325.90333</v>
      </c>
      <c r="AF31" s="448">
        <f t="shared" si="13"/>
        <v>1465.162164</v>
      </c>
      <c r="AG31" s="448">
        <f t="shared" si="13"/>
        <v>1602.346833</v>
      </c>
      <c r="AH31" s="448">
        <f t="shared" si="13"/>
        <v>1738.185208</v>
      </c>
      <c r="AI31" s="448">
        <f t="shared" si="13"/>
        <v>1877.766693</v>
      </c>
      <c r="AJ31" s="448">
        <f t="shared" si="13"/>
        <v>2012.147972</v>
      </c>
      <c r="AK31" s="448">
        <f t="shared" si="13"/>
        <v>2149.370331</v>
      </c>
      <c r="AL31" s="448">
        <f t="shared" si="13"/>
        <v>2291.283628</v>
      </c>
      <c r="AM31" s="448">
        <f t="shared" si="13"/>
        <v>2378.897651</v>
      </c>
      <c r="AN31" s="448">
        <f t="shared" si="13"/>
        <v>2436.731511</v>
      </c>
      <c r="AO31" s="448">
        <f t="shared" si="13"/>
        <v>2488.251873</v>
      </c>
      <c r="AP31" s="448">
        <f t="shared" si="13"/>
        <v>2538.630367</v>
      </c>
      <c r="AQ31" s="448">
        <f t="shared" si="13"/>
        <v>2587.934573</v>
      </c>
      <c r="AR31" s="448">
        <f t="shared" si="13"/>
        <v>2636.656794</v>
      </c>
      <c r="AS31" s="448">
        <f t="shared" si="13"/>
        <v>2684.41233</v>
      </c>
      <c r="AT31" s="448">
        <f t="shared" si="13"/>
        <v>2731.260788</v>
      </c>
      <c r="AU31" s="448">
        <f t="shared" si="13"/>
        <v>2777.259063</v>
      </c>
      <c r="AV31" s="448">
        <f t="shared" si="13"/>
        <v>2822.461462</v>
      </c>
      <c r="AW31" s="448">
        <f t="shared" si="13"/>
        <v>2866.919838</v>
      </c>
      <c r="AX31" s="448">
        <f t="shared" si="13"/>
        <v>2910.683704</v>
      </c>
      <c r="AY31" s="448">
        <f t="shared" si="13"/>
        <v>2977.523622</v>
      </c>
      <c r="AZ31" s="448">
        <f t="shared" si="13"/>
        <v>3043.572166</v>
      </c>
      <c r="BA31" s="448">
        <f t="shared" si="13"/>
        <v>3108.429171</v>
      </c>
      <c r="BB31" s="448">
        <f t="shared" si="13"/>
        <v>3172.155859</v>
      </c>
      <c r="BC31" s="448">
        <f t="shared" si="13"/>
        <v>3234.811152</v>
      </c>
      <c r="BD31" s="448">
        <f t="shared" si="13"/>
        <v>3296.451757</v>
      </c>
      <c r="BE31" s="448">
        <f t="shared" si="13"/>
        <v>3357.132259</v>
      </c>
      <c r="BF31" s="448">
        <f t="shared" si="13"/>
        <v>3416.905212</v>
      </c>
      <c r="BG31" s="448">
        <f t="shared" si="13"/>
        <v>3475.821215</v>
      </c>
      <c r="BH31" s="448">
        <f t="shared" si="13"/>
        <v>3533.928995</v>
      </c>
      <c r="BI31" s="448">
        <f t="shared" si="13"/>
        <v>3591.275485</v>
      </c>
      <c r="BJ31" s="448">
        <f t="shared" si="13"/>
        <v>3647.905896</v>
      </c>
      <c r="BK31" s="448">
        <f t="shared" ref="BK31:CH31" si="14">BK28/$B$32</f>
        <v>3344.197234</v>
      </c>
      <c r="BL31" s="448">
        <f t="shared" si="14"/>
        <v>3398.309699</v>
      </c>
      <c r="BM31" s="448">
        <f t="shared" si="14"/>
        <v>3445.032931</v>
      </c>
      <c r="BN31" s="448">
        <f t="shared" si="14"/>
        <v>3491.599675</v>
      </c>
      <c r="BO31" s="448">
        <f t="shared" si="14"/>
        <v>3538.039126</v>
      </c>
      <c r="BP31" s="448">
        <f t="shared" si="14"/>
        <v>3584.379875</v>
      </c>
      <c r="BQ31" s="448">
        <f t="shared" si="14"/>
        <v>3630.649939</v>
      </c>
      <c r="BR31" s="448">
        <f t="shared" si="14"/>
        <v>3676.876803</v>
      </c>
      <c r="BS31" s="448">
        <f t="shared" si="14"/>
        <v>3723.087451</v>
      </c>
      <c r="BT31" s="448">
        <f t="shared" si="14"/>
        <v>3769.308403</v>
      </c>
      <c r="BU31" s="448">
        <f t="shared" si="14"/>
        <v>3815.565745</v>
      </c>
      <c r="BV31" s="448">
        <f t="shared" si="14"/>
        <v>3861.885166</v>
      </c>
      <c r="BW31" s="448">
        <f t="shared" si="14"/>
        <v>3913.662697</v>
      </c>
      <c r="BX31" s="448">
        <f t="shared" si="14"/>
        <v>3955.017588</v>
      </c>
      <c r="BY31" s="448">
        <f t="shared" si="14"/>
        <v>3988.473713</v>
      </c>
      <c r="BZ31" s="448">
        <f t="shared" si="14"/>
        <v>4021.529285</v>
      </c>
      <c r="CA31" s="448">
        <f t="shared" si="14"/>
        <v>4054.221572</v>
      </c>
      <c r="CB31" s="448">
        <f t="shared" si="14"/>
        <v>4086.586301</v>
      </c>
      <c r="CC31" s="448">
        <f t="shared" si="14"/>
        <v>4118.657728</v>
      </c>
      <c r="CD31" s="448">
        <f t="shared" si="14"/>
        <v>4150.468697</v>
      </c>
      <c r="CE31" s="448">
        <f t="shared" si="14"/>
        <v>4182.050703</v>
      </c>
      <c r="CF31" s="448">
        <f t="shared" si="14"/>
        <v>4213.43395</v>
      </c>
      <c r="CG31" s="448">
        <f t="shared" si="14"/>
        <v>4244.647406</v>
      </c>
      <c r="CH31" s="448">
        <f t="shared" si="14"/>
        <v>4275.718858</v>
      </c>
      <c r="CI31" s="448"/>
    </row>
    <row r="32" ht="15.75" customHeight="1" outlineLevel="1">
      <c r="A32" s="449" t="s">
        <v>679</v>
      </c>
      <c r="B32" s="447">
        <v>555.0</v>
      </c>
      <c r="C32" s="1"/>
      <c r="D32" s="1"/>
      <c r="E32" s="1"/>
      <c r="F32" s="1"/>
      <c r="G32" s="1"/>
      <c r="H32" s="1"/>
      <c r="I32" s="1"/>
      <c r="J32" s="1"/>
      <c r="K32" s="1"/>
      <c r="L32" s="1"/>
      <c r="M32" s="1"/>
      <c r="N32" s="1"/>
      <c r="O32" s="1"/>
      <c r="P32" s="1"/>
      <c r="Q32" s="1"/>
      <c r="R32" s="1"/>
      <c r="S32" s="1"/>
      <c r="T32" s="1"/>
      <c r="U32" s="1"/>
      <c r="V32" s="1"/>
      <c r="W32" s="117"/>
      <c r="X32" s="1"/>
      <c r="Y32" s="1"/>
      <c r="Z32" s="1"/>
      <c r="AA32" s="450"/>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ht="15.75" customHeight="1" outlineLevel="1">
      <c r="A33" s="1"/>
      <c r="B33" s="1"/>
      <c r="C33" s="1"/>
      <c r="D33" s="1"/>
      <c r="E33" s="1"/>
      <c r="F33" s="1"/>
      <c r="G33" s="1"/>
      <c r="H33" s="1"/>
      <c r="I33" s="1"/>
      <c r="J33" s="1"/>
      <c r="K33" s="1"/>
      <c r="L33" s="1"/>
      <c r="M33" s="1"/>
      <c r="N33" s="1"/>
      <c r="O33" s="1"/>
      <c r="P33" s="1"/>
      <c r="Q33" s="1"/>
      <c r="R33" s="1"/>
      <c r="S33" s="1"/>
      <c r="T33" s="1"/>
      <c r="U33" s="1"/>
      <c r="V33" s="1"/>
      <c r="W33" s="117"/>
      <c r="X33" s="1"/>
      <c r="Y33" s="1"/>
      <c r="Z33" s="1"/>
      <c r="AA33" s="450"/>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ht="15.75" customHeight="1" outlineLevel="1">
      <c r="A34" s="1" t="s">
        <v>190</v>
      </c>
      <c r="B34" s="1"/>
      <c r="C34" s="387">
        <f t="array" ref="C34">INDEX('IS Proforma'!$1:$1048490,MATCH($A34,'IS Proforma'!$C:$C,0),MATCH(C$4,'IS Proforma'!$4:$4))</f>
        <v>12023</v>
      </c>
      <c r="D34" s="387">
        <f t="array" ref="D34">INDEX('IS Proforma'!$1:$1048490,MATCH($A34,'IS Proforma'!$C:$C,0),MATCH(D$4,'IS Proforma'!$4:$4))</f>
        <v>20782</v>
      </c>
      <c r="E34" s="387">
        <f t="array" ref="E34">INDEX('IS Proforma'!$1:$1048490,MATCH($A34,'IS Proforma'!$C:$C,0),MATCH(E$4,'IS Proforma'!$4:$4))</f>
        <v>11278</v>
      </c>
      <c r="F34" s="387">
        <f t="array" ref="F34">INDEX('IS Proforma'!$1:$1048490,MATCH($A34,'IS Proforma'!$C:$C,0),MATCH(F$4,'IS Proforma'!$4:$4))</f>
        <v>20420</v>
      </c>
      <c r="G34" s="387">
        <f t="array" ref="G34">INDEX('IS Proforma'!$1:$1048490,MATCH($A34,'IS Proforma'!$C:$C,0),MATCH(G$4,'IS Proforma'!$4:$4))</f>
        <v>23011</v>
      </c>
      <c r="H34" s="387">
        <f t="array" ref="H34">INDEX('IS Proforma'!$1:$1048490,MATCH($A34,'IS Proforma'!$C:$C,0),MATCH(H$4,'IS Proforma'!$4:$4))</f>
        <v>13680</v>
      </c>
      <c r="I34" s="387">
        <f t="array" ref="I34">INDEX('IS Proforma'!$1:$1048490,MATCH($A34,'IS Proforma'!$C:$C,0),MATCH(I$4,'IS Proforma'!$4:$4))</f>
        <v>12132</v>
      </c>
      <c r="J34" s="387">
        <f t="array" ref="J34">INDEX('IS Proforma'!$1:$1048490,MATCH($A34,'IS Proforma'!$C:$C,0),MATCH(J$4,'IS Proforma'!$4:$4))</f>
        <v>19844</v>
      </c>
      <c r="K34" s="387">
        <f t="array" ref="K34">INDEX('IS Proforma'!$1:$1048490,MATCH($A34,'IS Proforma'!$C:$C,0),MATCH(K$4,'IS Proforma'!$4:$4))</f>
        <v>16083</v>
      </c>
      <c r="L34" s="387">
        <f t="array" ref="L34">INDEX('IS Proforma'!$1:$1048490,MATCH($A34,'IS Proforma'!$C:$C,0),MATCH(L$4,'IS Proforma'!$4:$4))</f>
        <v>20934</v>
      </c>
      <c r="M34" s="387">
        <f t="array" ref="M34">INDEX('IS Proforma'!$1:$1048490,MATCH($A34,'IS Proforma'!$C:$C,0),MATCH(M$4,'IS Proforma'!$4:$4))</f>
        <v>18647</v>
      </c>
      <c r="N34" s="387">
        <f t="array" ref="N34">INDEX('IS Proforma'!$1:$1048490,MATCH($A34,'IS Proforma'!$C:$C,0),MATCH(N$4,'IS Proforma'!$4:$4))</f>
        <v>14663</v>
      </c>
      <c r="O34" s="387">
        <f t="array" ref="O34">INDEX('IS Proforma'!$1:$1048490,MATCH($A34,'IS Proforma'!$C:$C,0),MATCH(O$4,'IS Proforma'!$4:$4))</f>
        <v>13909</v>
      </c>
      <c r="P34" s="387">
        <f t="array" ref="P34">INDEX('IS Proforma'!$1:$1048490,MATCH($A34,'IS Proforma'!$C:$C,0),MATCH(P$4,'IS Proforma'!$4:$4))</f>
        <v>18960</v>
      </c>
      <c r="Q34" s="387">
        <f t="array" ref="Q34">INDEX('IS Proforma'!$1:$1048490,MATCH($A34,'IS Proforma'!$C:$C,0),MATCH(Q$4,'IS Proforma'!$4:$4))</f>
        <v>18276</v>
      </c>
      <c r="R34" s="387">
        <f t="array" ref="R34">INDEX('IS Proforma'!$1:$1048490,MATCH($A34,'IS Proforma'!$C:$C,0),MATCH(R$4,'IS Proforma'!$4:$4))</f>
        <v>21600</v>
      </c>
      <c r="S34" s="387">
        <f t="array" ref="S34">INDEX('IS Proforma'!$1:$1048490,MATCH($A34,'IS Proforma'!$C:$C,0),MATCH(S$4,'IS Proforma'!$4:$4))</f>
        <v>13658</v>
      </c>
      <c r="T34" s="387">
        <f t="array" ref="T34">INDEX('IS Proforma'!$1:$1048490,MATCH($A34,'IS Proforma'!$C:$C,0),MATCH(T$4,'IS Proforma'!$4:$4))</f>
        <v>23740</v>
      </c>
      <c r="U34" s="387">
        <f t="array" ref="U34">INDEX('IS Proforma'!$1:$1048490,MATCH($A34,'IS Proforma'!$C:$C,0),MATCH(U$4,'IS Proforma'!$4:$4))</f>
        <v>19142</v>
      </c>
      <c r="V34" s="387">
        <f t="array" ref="V34">INDEX('IS Proforma'!$1:$1048490,MATCH($A34,'IS Proforma'!$C:$C,0),MATCH(V$4,'IS Proforma'!$4:$4))</f>
        <v>10213</v>
      </c>
      <c r="W34" s="387">
        <f t="array" ref="W34">INDEX('IS Proforma'!$1:$1048490,MATCH($A34,'IS Proforma'!$C:$C,0),MATCH(W$4,'IS Proforma'!$4:$4))</f>
        <v>22812</v>
      </c>
      <c r="X34" s="387">
        <f t="array" ref="X34">INDEX('IS Proforma'!$1:$1048490,MATCH($A34,'IS Proforma'!$C:$C,0),MATCH(X$4,'IS Proforma'!$4:$4))</f>
        <v>22540</v>
      </c>
      <c r="Y34" s="387">
        <f t="array" ref="Y34">INDEX('IS Proforma'!$1:$1048490,MATCH($A34,'IS Proforma'!$C:$C,0),MATCH(Y$4,'IS Proforma'!$4:$4))</f>
        <v>22863</v>
      </c>
      <c r="Z34" s="131">
        <f t="shared" ref="Z34:CH34" si="15">Z28*Z36</f>
        <v>27193.77101</v>
      </c>
      <c r="AA34" s="131">
        <f t="shared" si="15"/>
        <v>35718.49559</v>
      </c>
      <c r="AB34" s="131">
        <f t="shared" si="15"/>
        <v>41502.12788</v>
      </c>
      <c r="AC34" s="131">
        <f t="shared" si="15"/>
        <v>47458.05914</v>
      </c>
      <c r="AD34" s="131">
        <f t="shared" si="15"/>
        <v>53476.26565</v>
      </c>
      <c r="AE34" s="131">
        <f t="shared" si="15"/>
        <v>66295.16649</v>
      </c>
      <c r="AF34" s="131">
        <f t="shared" si="15"/>
        <v>73258.10818</v>
      </c>
      <c r="AG34" s="131">
        <f t="shared" si="15"/>
        <v>80117.34165</v>
      </c>
      <c r="AH34" s="131">
        <f t="shared" si="15"/>
        <v>86909.2604</v>
      </c>
      <c r="AI34" s="131">
        <f t="shared" si="15"/>
        <v>93888.33464</v>
      </c>
      <c r="AJ34" s="131">
        <f t="shared" si="15"/>
        <v>100607.3986</v>
      </c>
      <c r="AK34" s="131">
        <f t="shared" si="15"/>
        <v>107468.5166</v>
      </c>
      <c r="AL34" s="131">
        <f t="shared" si="15"/>
        <v>114564.1814</v>
      </c>
      <c r="AM34" s="131">
        <f t="shared" si="15"/>
        <v>130839.3708</v>
      </c>
      <c r="AN34" s="131">
        <f t="shared" si="15"/>
        <v>134020.2331</v>
      </c>
      <c r="AO34" s="131">
        <f t="shared" si="15"/>
        <v>136853.853</v>
      </c>
      <c r="AP34" s="131">
        <f t="shared" si="15"/>
        <v>139624.6702</v>
      </c>
      <c r="AQ34" s="131">
        <f t="shared" si="15"/>
        <v>142336.4015</v>
      </c>
      <c r="AR34" s="131">
        <f t="shared" si="15"/>
        <v>145016.1237</v>
      </c>
      <c r="AS34" s="131">
        <f t="shared" si="15"/>
        <v>147642.6781</v>
      </c>
      <c r="AT34" s="131">
        <f t="shared" si="15"/>
        <v>163875.6473</v>
      </c>
      <c r="AU34" s="131">
        <f t="shared" si="15"/>
        <v>166635.5438</v>
      </c>
      <c r="AV34" s="131">
        <f t="shared" si="15"/>
        <v>169347.6877</v>
      </c>
      <c r="AW34" s="131">
        <f t="shared" si="15"/>
        <v>172015.1903</v>
      </c>
      <c r="AX34" s="131">
        <f t="shared" si="15"/>
        <v>174641.0223</v>
      </c>
      <c r="AY34" s="131">
        <f t="shared" si="15"/>
        <v>193539.0354</v>
      </c>
      <c r="AZ34" s="131">
        <f t="shared" si="15"/>
        <v>197832.1908</v>
      </c>
      <c r="BA34" s="131">
        <f t="shared" si="15"/>
        <v>202047.8961</v>
      </c>
      <c r="BB34" s="131">
        <f t="shared" si="15"/>
        <v>206190.1309</v>
      </c>
      <c r="BC34" s="131">
        <f t="shared" si="15"/>
        <v>210262.7249</v>
      </c>
      <c r="BD34" s="131">
        <f t="shared" si="15"/>
        <v>214269.3642</v>
      </c>
      <c r="BE34" s="131">
        <f t="shared" si="15"/>
        <v>218213.5969</v>
      </c>
      <c r="BF34" s="131">
        <f t="shared" si="15"/>
        <v>222098.8388</v>
      </c>
      <c r="BG34" s="131">
        <f t="shared" si="15"/>
        <v>225928.379</v>
      </c>
      <c r="BH34" s="131">
        <f t="shared" si="15"/>
        <v>229705.3847</v>
      </c>
      <c r="BI34" s="131">
        <f t="shared" si="15"/>
        <v>233432.9065</v>
      </c>
      <c r="BJ34" s="131">
        <f t="shared" si="15"/>
        <v>237113.8832</v>
      </c>
      <c r="BK34" s="131">
        <f t="shared" si="15"/>
        <v>259844.1251</v>
      </c>
      <c r="BL34" s="131">
        <f t="shared" si="15"/>
        <v>264048.6636</v>
      </c>
      <c r="BM34" s="131">
        <f t="shared" si="15"/>
        <v>267679.0587</v>
      </c>
      <c r="BN34" s="131">
        <f t="shared" si="15"/>
        <v>271297.2947</v>
      </c>
      <c r="BO34" s="131">
        <f t="shared" si="15"/>
        <v>274905.6401</v>
      </c>
      <c r="BP34" s="131">
        <f t="shared" si="15"/>
        <v>278506.3163</v>
      </c>
      <c r="BQ34" s="131">
        <f t="shared" si="15"/>
        <v>282101.5003</v>
      </c>
      <c r="BR34" s="131">
        <f t="shared" si="15"/>
        <v>285693.3276</v>
      </c>
      <c r="BS34" s="131">
        <f t="shared" si="15"/>
        <v>289283.8949</v>
      </c>
      <c r="BT34" s="131">
        <f t="shared" si="15"/>
        <v>292875.2629</v>
      </c>
      <c r="BU34" s="131">
        <f t="shared" si="15"/>
        <v>296469.4584</v>
      </c>
      <c r="BV34" s="131">
        <f t="shared" si="15"/>
        <v>300068.4774</v>
      </c>
      <c r="BW34" s="131">
        <f t="shared" si="15"/>
        <v>325812.4195</v>
      </c>
      <c r="BX34" s="131">
        <f t="shared" si="15"/>
        <v>329255.2142</v>
      </c>
      <c r="BY34" s="131">
        <f t="shared" si="15"/>
        <v>332040.4366</v>
      </c>
      <c r="BZ34" s="131">
        <f t="shared" si="15"/>
        <v>334792.313</v>
      </c>
      <c r="CA34" s="131">
        <f t="shared" si="15"/>
        <v>337513.9458</v>
      </c>
      <c r="CB34" s="131">
        <f t="shared" si="15"/>
        <v>340208.3096</v>
      </c>
      <c r="CC34" s="131">
        <f t="shared" si="15"/>
        <v>342878.2559</v>
      </c>
      <c r="CD34" s="131">
        <f t="shared" si="15"/>
        <v>345526.519</v>
      </c>
      <c r="CE34" s="131">
        <f t="shared" si="15"/>
        <v>348155.721</v>
      </c>
      <c r="CF34" s="131">
        <f t="shared" si="15"/>
        <v>350768.3763</v>
      </c>
      <c r="CG34" s="131">
        <f t="shared" si="15"/>
        <v>353366.8966</v>
      </c>
      <c r="CH34" s="131">
        <f t="shared" si="15"/>
        <v>355953.5949</v>
      </c>
      <c r="CI34" s="131"/>
    </row>
    <row r="35" ht="15.75" customHeight="1" outlineLevel="1">
      <c r="A35" s="1" t="s">
        <v>325</v>
      </c>
      <c r="B35" s="1"/>
      <c r="C35" s="1"/>
      <c r="D35" s="387">
        <f t="shared" ref="D35:CH35" si="16">D34-C34</f>
        <v>8759</v>
      </c>
      <c r="E35" s="387">
        <f t="shared" si="16"/>
        <v>-9504</v>
      </c>
      <c r="F35" s="387">
        <f t="shared" si="16"/>
        <v>9142</v>
      </c>
      <c r="G35" s="387">
        <f t="shared" si="16"/>
        <v>2591</v>
      </c>
      <c r="H35" s="387">
        <f t="shared" si="16"/>
        <v>-9331</v>
      </c>
      <c r="I35" s="387">
        <f t="shared" si="16"/>
        <v>-1548</v>
      </c>
      <c r="J35" s="387">
        <f t="shared" si="16"/>
        <v>7712</v>
      </c>
      <c r="K35" s="387">
        <f t="shared" si="16"/>
        <v>-3761</v>
      </c>
      <c r="L35" s="387">
        <f t="shared" si="16"/>
        <v>4851</v>
      </c>
      <c r="M35" s="387">
        <f t="shared" si="16"/>
        <v>-2287</v>
      </c>
      <c r="N35" s="387">
        <f t="shared" si="16"/>
        <v>-3984</v>
      </c>
      <c r="O35" s="387">
        <f t="shared" si="16"/>
        <v>-754</v>
      </c>
      <c r="P35" s="387">
        <f t="shared" si="16"/>
        <v>5051</v>
      </c>
      <c r="Q35" s="387">
        <f t="shared" si="16"/>
        <v>-684</v>
      </c>
      <c r="R35" s="387">
        <f t="shared" si="16"/>
        <v>3324</v>
      </c>
      <c r="S35" s="387">
        <f t="shared" si="16"/>
        <v>-7942</v>
      </c>
      <c r="T35" s="387">
        <f t="shared" si="16"/>
        <v>10082</v>
      </c>
      <c r="U35" s="387">
        <f t="shared" si="16"/>
        <v>-4598</v>
      </c>
      <c r="V35" s="387">
        <f t="shared" si="16"/>
        <v>-8929</v>
      </c>
      <c r="W35" s="387">
        <f t="shared" si="16"/>
        <v>12599</v>
      </c>
      <c r="X35" s="387">
        <f t="shared" si="16"/>
        <v>-272</v>
      </c>
      <c r="Y35" s="387">
        <f t="shared" si="16"/>
        <v>323</v>
      </c>
      <c r="Z35" s="131">
        <f t="shared" si="16"/>
        <v>4330.771013</v>
      </c>
      <c r="AA35" s="131">
        <f t="shared" si="16"/>
        <v>8524.724578</v>
      </c>
      <c r="AB35" s="131">
        <f t="shared" si="16"/>
        <v>5783.632292</v>
      </c>
      <c r="AC35" s="131">
        <f t="shared" si="16"/>
        <v>5955.931254</v>
      </c>
      <c r="AD35" s="131">
        <f t="shared" si="16"/>
        <v>6018.206516</v>
      </c>
      <c r="AE35" s="131">
        <f t="shared" si="16"/>
        <v>12818.90084</v>
      </c>
      <c r="AF35" s="131">
        <f t="shared" si="16"/>
        <v>6962.941685</v>
      </c>
      <c r="AG35" s="131">
        <f t="shared" si="16"/>
        <v>6859.233475</v>
      </c>
      <c r="AH35" s="131">
        <f t="shared" si="16"/>
        <v>6791.918744</v>
      </c>
      <c r="AI35" s="131">
        <f t="shared" si="16"/>
        <v>6979.074247</v>
      </c>
      <c r="AJ35" s="131">
        <f t="shared" si="16"/>
        <v>6719.063949</v>
      </c>
      <c r="AK35" s="131">
        <f t="shared" si="16"/>
        <v>6861.117964</v>
      </c>
      <c r="AL35" s="131">
        <f t="shared" si="16"/>
        <v>7095.664852</v>
      </c>
      <c r="AM35" s="131">
        <f t="shared" si="16"/>
        <v>16275.18942</v>
      </c>
      <c r="AN35" s="131">
        <f t="shared" si="16"/>
        <v>3180.862254</v>
      </c>
      <c r="AO35" s="131">
        <f t="shared" si="16"/>
        <v>2833.619938</v>
      </c>
      <c r="AP35" s="131">
        <f t="shared" si="16"/>
        <v>2770.817179</v>
      </c>
      <c r="AQ35" s="131">
        <f t="shared" si="16"/>
        <v>2711.731298</v>
      </c>
      <c r="AR35" s="131">
        <f t="shared" si="16"/>
        <v>2679.722162</v>
      </c>
      <c r="AS35" s="131">
        <f t="shared" si="16"/>
        <v>2626.55447</v>
      </c>
      <c r="AT35" s="131">
        <f t="shared" si="16"/>
        <v>16232.96917</v>
      </c>
      <c r="AU35" s="131">
        <f t="shared" si="16"/>
        <v>2759.896463</v>
      </c>
      <c r="AV35" s="131">
        <f t="shared" si="16"/>
        <v>2712.14396</v>
      </c>
      <c r="AW35" s="131">
        <f t="shared" si="16"/>
        <v>2667.502556</v>
      </c>
      <c r="AX35" s="131">
        <f t="shared" si="16"/>
        <v>2625.831977</v>
      </c>
      <c r="AY35" s="131">
        <f t="shared" si="16"/>
        <v>18898.01316</v>
      </c>
      <c r="AZ35" s="131">
        <f t="shared" si="16"/>
        <v>4293.155406</v>
      </c>
      <c r="BA35" s="131">
        <f t="shared" si="16"/>
        <v>4215.70528</v>
      </c>
      <c r="BB35" s="131">
        <f t="shared" si="16"/>
        <v>4142.234768</v>
      </c>
      <c r="BC35" s="131">
        <f t="shared" si="16"/>
        <v>4072.594021</v>
      </c>
      <c r="BD35" s="131">
        <f t="shared" si="16"/>
        <v>4006.63929</v>
      </c>
      <c r="BE35" s="131">
        <f t="shared" si="16"/>
        <v>3944.232682</v>
      </c>
      <c r="BF35" s="131">
        <f t="shared" si="16"/>
        <v>3885.241931</v>
      </c>
      <c r="BG35" s="131">
        <f t="shared" si="16"/>
        <v>3829.540168</v>
      </c>
      <c r="BH35" s="131">
        <f t="shared" si="16"/>
        <v>3777.005713</v>
      </c>
      <c r="BI35" s="131">
        <f t="shared" si="16"/>
        <v>3727.521862</v>
      </c>
      <c r="BJ35" s="131">
        <f t="shared" si="16"/>
        <v>3680.976695</v>
      </c>
      <c r="BK35" s="131">
        <f t="shared" si="16"/>
        <v>22730.24188</v>
      </c>
      <c r="BL35" s="131">
        <f t="shared" si="16"/>
        <v>4204.538511</v>
      </c>
      <c r="BM35" s="131">
        <f t="shared" si="16"/>
        <v>3630.395104</v>
      </c>
      <c r="BN35" s="131">
        <f t="shared" si="16"/>
        <v>3618.235989</v>
      </c>
      <c r="BO35" s="131">
        <f t="shared" si="16"/>
        <v>3608.345404</v>
      </c>
      <c r="BP35" s="131">
        <f t="shared" si="16"/>
        <v>3600.676173</v>
      </c>
      <c r="BQ35" s="131">
        <f t="shared" si="16"/>
        <v>3595.183984</v>
      </c>
      <c r="BR35" s="131">
        <f t="shared" si="16"/>
        <v>3591.827313</v>
      </c>
      <c r="BS35" s="131">
        <f t="shared" si="16"/>
        <v>3590.567353</v>
      </c>
      <c r="BT35" s="131">
        <f t="shared" si="16"/>
        <v>3591.367944</v>
      </c>
      <c r="BU35" s="131">
        <f t="shared" si="16"/>
        <v>3594.19551</v>
      </c>
      <c r="BV35" s="131">
        <f t="shared" si="16"/>
        <v>3599.018996</v>
      </c>
      <c r="BW35" s="131">
        <f t="shared" si="16"/>
        <v>25743.94214</v>
      </c>
      <c r="BX35" s="131">
        <f t="shared" si="16"/>
        <v>3442.79467</v>
      </c>
      <c r="BY35" s="131">
        <f t="shared" si="16"/>
        <v>2785.222388</v>
      </c>
      <c r="BZ35" s="131">
        <f t="shared" si="16"/>
        <v>2751.876386</v>
      </c>
      <c r="CA35" s="131">
        <f t="shared" si="16"/>
        <v>2721.632874</v>
      </c>
      <c r="CB35" s="131">
        <f t="shared" si="16"/>
        <v>2694.363726</v>
      </c>
      <c r="CC35" s="131">
        <f t="shared" si="16"/>
        <v>2669.94629</v>
      </c>
      <c r="CD35" s="131">
        <f t="shared" si="16"/>
        <v>2648.263168</v>
      </c>
      <c r="CE35" s="131">
        <f t="shared" si="16"/>
        <v>2629.202009</v>
      </c>
      <c r="CF35" s="131">
        <f t="shared" si="16"/>
        <v>2612.655307</v>
      </c>
      <c r="CG35" s="131">
        <f t="shared" si="16"/>
        <v>2598.520211</v>
      </c>
      <c r="CH35" s="131">
        <f t="shared" si="16"/>
        <v>2586.698334</v>
      </c>
      <c r="CI35" s="131"/>
    </row>
    <row r="36" ht="15.75" customHeight="1" outlineLevel="1">
      <c r="A36" s="1" t="s">
        <v>680</v>
      </c>
      <c r="B36" s="446" t="s">
        <v>677</v>
      </c>
      <c r="C36" s="423">
        <f t="shared" ref="C36:X36" si="17">C34/C28</f>
        <v>0.1123718374</v>
      </c>
      <c r="D36" s="423">
        <f t="shared" si="17"/>
        <v>0.0952988004</v>
      </c>
      <c r="E36" s="423">
        <f t="shared" si="17"/>
        <v>0.06589926376</v>
      </c>
      <c r="F36" s="423">
        <f t="shared" si="17"/>
        <v>0.1046573012</v>
      </c>
      <c r="G36" s="423">
        <f t="shared" si="17"/>
        <v>0.121924856</v>
      </c>
      <c r="H36" s="423">
        <f t="shared" si="17"/>
        <v>0.108365019</v>
      </c>
      <c r="I36" s="423">
        <f t="shared" si="17"/>
        <v>0.08812889541</v>
      </c>
      <c r="J36" s="423">
        <f t="shared" si="17"/>
        <v>0.1674104695</v>
      </c>
      <c r="K36" s="423">
        <f t="shared" si="17"/>
        <v>0.1001064366</v>
      </c>
      <c r="L36" s="423">
        <f t="shared" si="17"/>
        <v>0.1098056083</v>
      </c>
      <c r="M36" s="423">
        <f t="shared" si="17"/>
        <v>0.1047331263</v>
      </c>
      <c r="N36" s="423">
        <f t="shared" si="17"/>
        <v>0.09241425384</v>
      </c>
      <c r="O36" s="423">
        <f t="shared" si="17"/>
        <v>0.07471650274</v>
      </c>
      <c r="P36" s="423">
        <f t="shared" si="17"/>
        <v>0.1239069913</v>
      </c>
      <c r="Q36" s="423">
        <f t="shared" si="17"/>
        <v>0.1023097507</v>
      </c>
      <c r="R36" s="423">
        <f t="shared" si="17"/>
        <v>0.1370245375</v>
      </c>
      <c r="S36" s="423">
        <f t="shared" si="17"/>
        <v>0.06101925113</v>
      </c>
      <c r="T36" s="423">
        <f t="shared" si="17"/>
        <v>0.1631469353</v>
      </c>
      <c r="U36" s="423">
        <f t="shared" si="17"/>
        <v>0.08832432033</v>
      </c>
      <c r="V36" s="423">
        <f t="shared" si="17"/>
        <v>0.04600989305</v>
      </c>
      <c r="W36" s="423">
        <f t="shared" si="17"/>
        <v>0.1256956459</v>
      </c>
      <c r="X36" s="423">
        <f t="shared" si="17"/>
        <v>0.159049373</v>
      </c>
      <c r="Y36" s="423">
        <v>0.08</v>
      </c>
      <c r="Z36" s="197">
        <v>0.08</v>
      </c>
      <c r="AA36" s="197">
        <v>0.09</v>
      </c>
      <c r="AB36" s="197">
        <v>0.09</v>
      </c>
      <c r="AC36" s="197">
        <v>0.09</v>
      </c>
      <c r="AD36" s="197">
        <v>0.09</v>
      </c>
      <c r="AE36" s="197">
        <v>0.1</v>
      </c>
      <c r="AF36" s="197">
        <v>0.1</v>
      </c>
      <c r="AG36" s="197">
        <v>0.1</v>
      </c>
      <c r="AH36" s="197">
        <v>0.1</v>
      </c>
      <c r="AI36" s="197">
        <v>0.1</v>
      </c>
      <c r="AJ36" s="197">
        <v>0.1</v>
      </c>
      <c r="AK36" s="197">
        <v>0.1</v>
      </c>
      <c r="AL36" s="197">
        <v>0.1</v>
      </c>
      <c r="AM36" s="197">
        <v>0.11</v>
      </c>
      <c r="AN36" s="197">
        <v>0.11</v>
      </c>
      <c r="AO36" s="197">
        <v>0.11</v>
      </c>
      <c r="AP36" s="197">
        <v>0.11</v>
      </c>
      <c r="AQ36" s="197">
        <v>0.11</v>
      </c>
      <c r="AR36" s="197">
        <v>0.11</v>
      </c>
      <c r="AS36" s="197">
        <v>0.11</v>
      </c>
      <c r="AT36" s="197">
        <v>0.12</v>
      </c>
      <c r="AU36" s="197">
        <v>0.12</v>
      </c>
      <c r="AV36" s="197">
        <v>0.12</v>
      </c>
      <c r="AW36" s="197">
        <v>0.12</v>
      </c>
      <c r="AX36" s="197">
        <v>0.12</v>
      </c>
      <c r="AY36" s="197">
        <v>0.13</v>
      </c>
      <c r="AZ36" s="197">
        <v>0.13</v>
      </c>
      <c r="BA36" s="197">
        <v>0.13</v>
      </c>
      <c r="BB36" s="197">
        <v>0.13</v>
      </c>
      <c r="BC36" s="197">
        <v>0.13</v>
      </c>
      <c r="BD36" s="197">
        <v>0.13</v>
      </c>
      <c r="BE36" s="197">
        <v>0.13</v>
      </c>
      <c r="BF36" s="197">
        <v>0.13</v>
      </c>
      <c r="BG36" s="197">
        <v>0.13</v>
      </c>
      <c r="BH36" s="197">
        <v>0.13</v>
      </c>
      <c r="BI36" s="197">
        <v>0.13</v>
      </c>
      <c r="BJ36" s="197">
        <v>0.13</v>
      </c>
      <c r="BK36" s="197">
        <v>0.14</v>
      </c>
      <c r="BL36" s="197">
        <v>0.14</v>
      </c>
      <c r="BM36" s="197">
        <v>0.14</v>
      </c>
      <c r="BN36" s="197">
        <v>0.14</v>
      </c>
      <c r="BO36" s="197">
        <v>0.14</v>
      </c>
      <c r="BP36" s="197">
        <v>0.14</v>
      </c>
      <c r="BQ36" s="197">
        <v>0.14</v>
      </c>
      <c r="BR36" s="197">
        <v>0.14</v>
      </c>
      <c r="BS36" s="197">
        <v>0.14</v>
      </c>
      <c r="BT36" s="197">
        <v>0.14</v>
      </c>
      <c r="BU36" s="197">
        <v>0.14</v>
      </c>
      <c r="BV36" s="197">
        <v>0.14</v>
      </c>
      <c r="BW36" s="197">
        <v>0.15</v>
      </c>
      <c r="BX36" s="197">
        <v>0.15</v>
      </c>
      <c r="BY36" s="197">
        <v>0.15</v>
      </c>
      <c r="BZ36" s="197">
        <v>0.15</v>
      </c>
      <c r="CA36" s="197">
        <v>0.15</v>
      </c>
      <c r="CB36" s="197">
        <v>0.15</v>
      </c>
      <c r="CC36" s="197">
        <v>0.15</v>
      </c>
      <c r="CD36" s="197">
        <v>0.15</v>
      </c>
      <c r="CE36" s="197">
        <v>0.15</v>
      </c>
      <c r="CF36" s="197">
        <v>0.15</v>
      </c>
      <c r="CG36" s="197">
        <v>0.15</v>
      </c>
      <c r="CH36" s="197">
        <v>0.15</v>
      </c>
      <c r="CI36" s="197"/>
    </row>
    <row r="37" ht="15.75" customHeight="1" outlineLevel="1">
      <c r="A37" s="1" t="s">
        <v>678</v>
      </c>
      <c r="B37" s="447">
        <v>100.0</v>
      </c>
      <c r="C37" s="448">
        <f t="shared" ref="C37:CH37" si="18">C34/$B$37</f>
        <v>120.23</v>
      </c>
      <c r="D37" s="448">
        <f t="shared" si="18"/>
        <v>207.82</v>
      </c>
      <c r="E37" s="448">
        <f t="shared" si="18"/>
        <v>112.78</v>
      </c>
      <c r="F37" s="448">
        <f t="shared" si="18"/>
        <v>204.2</v>
      </c>
      <c r="G37" s="448">
        <f t="shared" si="18"/>
        <v>230.11</v>
      </c>
      <c r="H37" s="448">
        <f t="shared" si="18"/>
        <v>136.8</v>
      </c>
      <c r="I37" s="448">
        <f t="shared" si="18"/>
        <v>121.32</v>
      </c>
      <c r="J37" s="448">
        <f t="shared" si="18"/>
        <v>198.44</v>
      </c>
      <c r="K37" s="448">
        <f t="shared" si="18"/>
        <v>160.83</v>
      </c>
      <c r="L37" s="448">
        <f t="shared" si="18"/>
        <v>209.34</v>
      </c>
      <c r="M37" s="448">
        <f t="shared" si="18"/>
        <v>186.47</v>
      </c>
      <c r="N37" s="448">
        <f t="shared" si="18"/>
        <v>146.63</v>
      </c>
      <c r="O37" s="448">
        <f t="shared" si="18"/>
        <v>139.09</v>
      </c>
      <c r="P37" s="448">
        <f t="shared" si="18"/>
        <v>189.6</v>
      </c>
      <c r="Q37" s="448">
        <f t="shared" si="18"/>
        <v>182.76</v>
      </c>
      <c r="R37" s="448">
        <f t="shared" si="18"/>
        <v>216</v>
      </c>
      <c r="S37" s="448">
        <f t="shared" si="18"/>
        <v>136.58</v>
      </c>
      <c r="T37" s="448">
        <f t="shared" si="18"/>
        <v>237.4</v>
      </c>
      <c r="U37" s="448">
        <f t="shared" si="18"/>
        <v>191.42</v>
      </c>
      <c r="V37" s="448">
        <f t="shared" si="18"/>
        <v>102.13</v>
      </c>
      <c r="W37" s="448">
        <f t="shared" si="18"/>
        <v>228.12</v>
      </c>
      <c r="X37" s="448">
        <f t="shared" si="18"/>
        <v>225.4</v>
      </c>
      <c r="Y37" s="448">
        <f t="shared" si="18"/>
        <v>228.63</v>
      </c>
      <c r="Z37" s="448">
        <f t="shared" si="18"/>
        <v>271.9377101</v>
      </c>
      <c r="AA37" s="448">
        <f t="shared" si="18"/>
        <v>357.1849559</v>
      </c>
      <c r="AB37" s="448">
        <f t="shared" si="18"/>
        <v>415.0212788</v>
      </c>
      <c r="AC37" s="448">
        <f t="shared" si="18"/>
        <v>474.5805914</v>
      </c>
      <c r="AD37" s="448">
        <f t="shared" si="18"/>
        <v>534.7626565</v>
      </c>
      <c r="AE37" s="448">
        <f t="shared" si="18"/>
        <v>662.9516649</v>
      </c>
      <c r="AF37" s="448">
        <f t="shared" si="18"/>
        <v>732.5810818</v>
      </c>
      <c r="AG37" s="448">
        <f t="shared" si="18"/>
        <v>801.1734165</v>
      </c>
      <c r="AH37" s="448">
        <f t="shared" si="18"/>
        <v>869.092604</v>
      </c>
      <c r="AI37" s="448">
        <f t="shared" si="18"/>
        <v>938.8833464</v>
      </c>
      <c r="AJ37" s="448">
        <f t="shared" si="18"/>
        <v>1006.073986</v>
      </c>
      <c r="AK37" s="448">
        <f t="shared" si="18"/>
        <v>1074.685166</v>
      </c>
      <c r="AL37" s="448">
        <f t="shared" si="18"/>
        <v>1145.641814</v>
      </c>
      <c r="AM37" s="448">
        <f t="shared" si="18"/>
        <v>1308.393708</v>
      </c>
      <c r="AN37" s="448">
        <f t="shared" si="18"/>
        <v>1340.202331</v>
      </c>
      <c r="AO37" s="448">
        <f t="shared" si="18"/>
        <v>1368.53853</v>
      </c>
      <c r="AP37" s="448">
        <f t="shared" si="18"/>
        <v>1396.246702</v>
      </c>
      <c r="AQ37" s="448">
        <f t="shared" si="18"/>
        <v>1423.364015</v>
      </c>
      <c r="AR37" s="448">
        <f t="shared" si="18"/>
        <v>1450.161237</v>
      </c>
      <c r="AS37" s="448">
        <f t="shared" si="18"/>
        <v>1476.426781</v>
      </c>
      <c r="AT37" s="448">
        <f t="shared" si="18"/>
        <v>1638.756473</v>
      </c>
      <c r="AU37" s="448">
        <f t="shared" si="18"/>
        <v>1666.355438</v>
      </c>
      <c r="AV37" s="448">
        <f t="shared" si="18"/>
        <v>1693.476877</v>
      </c>
      <c r="AW37" s="448">
        <f t="shared" si="18"/>
        <v>1720.151903</v>
      </c>
      <c r="AX37" s="448">
        <f t="shared" si="18"/>
        <v>1746.410223</v>
      </c>
      <c r="AY37" s="448">
        <f t="shared" si="18"/>
        <v>1935.390354</v>
      </c>
      <c r="AZ37" s="448">
        <f t="shared" si="18"/>
        <v>1978.321908</v>
      </c>
      <c r="BA37" s="448">
        <f t="shared" si="18"/>
        <v>2020.478961</v>
      </c>
      <c r="BB37" s="448">
        <f t="shared" si="18"/>
        <v>2061.901309</v>
      </c>
      <c r="BC37" s="448">
        <f t="shared" si="18"/>
        <v>2102.627249</v>
      </c>
      <c r="BD37" s="448">
        <f t="shared" si="18"/>
        <v>2142.693642</v>
      </c>
      <c r="BE37" s="448">
        <f t="shared" si="18"/>
        <v>2182.135969</v>
      </c>
      <c r="BF37" s="448">
        <f t="shared" si="18"/>
        <v>2220.988388</v>
      </c>
      <c r="BG37" s="448">
        <f t="shared" si="18"/>
        <v>2259.28379</v>
      </c>
      <c r="BH37" s="448">
        <f t="shared" si="18"/>
        <v>2297.053847</v>
      </c>
      <c r="BI37" s="448">
        <f t="shared" si="18"/>
        <v>2334.329065</v>
      </c>
      <c r="BJ37" s="448">
        <f t="shared" si="18"/>
        <v>2371.138832</v>
      </c>
      <c r="BK37" s="448">
        <f t="shared" si="18"/>
        <v>2598.441251</v>
      </c>
      <c r="BL37" s="448">
        <f t="shared" si="18"/>
        <v>2640.486636</v>
      </c>
      <c r="BM37" s="448">
        <f t="shared" si="18"/>
        <v>2676.790587</v>
      </c>
      <c r="BN37" s="448">
        <f t="shared" si="18"/>
        <v>2712.972947</v>
      </c>
      <c r="BO37" s="448">
        <f t="shared" si="18"/>
        <v>2749.056401</v>
      </c>
      <c r="BP37" s="448">
        <f t="shared" si="18"/>
        <v>2785.063163</v>
      </c>
      <c r="BQ37" s="448">
        <f t="shared" si="18"/>
        <v>2821.015003</v>
      </c>
      <c r="BR37" s="448">
        <f t="shared" si="18"/>
        <v>2856.933276</v>
      </c>
      <c r="BS37" s="448">
        <f t="shared" si="18"/>
        <v>2892.838949</v>
      </c>
      <c r="BT37" s="448">
        <f t="shared" si="18"/>
        <v>2928.752629</v>
      </c>
      <c r="BU37" s="448">
        <f t="shared" si="18"/>
        <v>2964.694584</v>
      </c>
      <c r="BV37" s="448">
        <f t="shared" si="18"/>
        <v>3000.684774</v>
      </c>
      <c r="BW37" s="448">
        <f t="shared" si="18"/>
        <v>3258.124195</v>
      </c>
      <c r="BX37" s="448">
        <f t="shared" si="18"/>
        <v>3292.552142</v>
      </c>
      <c r="BY37" s="448">
        <f t="shared" si="18"/>
        <v>3320.404366</v>
      </c>
      <c r="BZ37" s="448">
        <f t="shared" si="18"/>
        <v>3347.92313</v>
      </c>
      <c r="CA37" s="448">
        <f t="shared" si="18"/>
        <v>3375.139458</v>
      </c>
      <c r="CB37" s="448">
        <f t="shared" si="18"/>
        <v>3402.083096</v>
      </c>
      <c r="CC37" s="448">
        <f t="shared" si="18"/>
        <v>3428.782559</v>
      </c>
      <c r="CD37" s="448">
        <f t="shared" si="18"/>
        <v>3455.26519</v>
      </c>
      <c r="CE37" s="448">
        <f t="shared" si="18"/>
        <v>3481.55721</v>
      </c>
      <c r="CF37" s="448">
        <f t="shared" si="18"/>
        <v>3507.683763</v>
      </c>
      <c r="CG37" s="448">
        <f t="shared" si="18"/>
        <v>3533.668966</v>
      </c>
      <c r="CH37" s="448">
        <f t="shared" si="18"/>
        <v>3559.535949</v>
      </c>
      <c r="CI37" s="448"/>
    </row>
    <row r="38" ht="15.75" customHeight="1" outlineLevel="1">
      <c r="A38" s="1"/>
      <c r="B38" s="1"/>
      <c r="C38" s="1"/>
      <c r="D38" s="1"/>
      <c r="E38" s="1"/>
      <c r="F38" s="1"/>
      <c r="G38" s="1"/>
      <c r="H38" s="1"/>
      <c r="I38" s="1"/>
      <c r="J38" s="1"/>
      <c r="K38" s="1"/>
      <c r="L38" s="1"/>
      <c r="M38" s="1"/>
      <c r="N38" s="1"/>
      <c r="O38" s="1"/>
      <c r="P38" s="1"/>
      <c r="Q38" s="1"/>
      <c r="R38" s="1"/>
      <c r="S38" s="1"/>
      <c r="T38" s="1"/>
      <c r="U38" s="1"/>
      <c r="V38" s="1"/>
      <c r="W38" s="117"/>
      <c r="X38" s="1"/>
      <c r="Y38" s="1"/>
      <c r="Z38" s="1"/>
      <c r="AA38" s="450"/>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ht="15.75" customHeight="1" outlineLevel="1">
      <c r="A39" s="1" t="s">
        <v>191</v>
      </c>
      <c r="B39" s="1"/>
      <c r="C39" s="387">
        <f t="array" ref="C39">INDEX('IS Proforma'!$1:$1048490,MATCH($A39,'IS Proforma'!$C:$C,0),MATCH(C$4,'IS Proforma'!$4:$4))</f>
        <v>26205</v>
      </c>
      <c r="D39" s="387">
        <f t="array" ref="D39">INDEX('IS Proforma'!$1:$1048490,MATCH($A39,'IS Proforma'!$C:$C,0),MATCH(D$4,'IS Proforma'!$4:$4))</f>
        <v>29299</v>
      </c>
      <c r="E39" s="387">
        <f t="array" ref="E39">INDEX('IS Proforma'!$1:$1048490,MATCH($A39,'IS Proforma'!$C:$C,0),MATCH(E$4,'IS Proforma'!$4:$4))</f>
        <v>20184</v>
      </c>
      <c r="F39" s="387">
        <f t="array" ref="F39">INDEX('IS Proforma'!$1:$1048490,MATCH($A39,'IS Proforma'!$C:$C,0),MATCH(F$4,'IS Proforma'!$4:$4))</f>
        <v>33902</v>
      </c>
      <c r="G39" s="387">
        <f t="array" ref="G39">INDEX('IS Proforma'!$1:$1048490,MATCH($A39,'IS Proforma'!$C:$C,0),MATCH(G$4,'IS Proforma'!$4:$4))</f>
        <v>39462</v>
      </c>
      <c r="H39" s="387">
        <f t="array" ref="H39">INDEX('IS Proforma'!$1:$1048490,MATCH($A39,'IS Proforma'!$C:$C,0),MATCH(H$4,'IS Proforma'!$4:$4))</f>
        <v>35815</v>
      </c>
      <c r="I39" s="387">
        <f t="array" ref="I39">INDEX('IS Proforma'!$1:$1048490,MATCH($A39,'IS Proforma'!$C:$C,0),MATCH(I$4,'IS Proforma'!$4:$4))</f>
        <v>23833</v>
      </c>
      <c r="J39" s="387">
        <f t="array" ref="J39">INDEX('IS Proforma'!$1:$1048490,MATCH($A39,'IS Proforma'!$C:$C,0),MATCH(J$4,'IS Proforma'!$4:$4))</f>
        <v>24937</v>
      </c>
      <c r="K39" s="387">
        <f t="array" ref="K39">INDEX('IS Proforma'!$1:$1048490,MATCH($A39,'IS Proforma'!$C:$C,0),MATCH(K$4,'IS Proforma'!$4:$4))</f>
        <v>38184</v>
      </c>
      <c r="L39" s="387">
        <f t="array" ref="L39">INDEX('IS Proforma'!$1:$1048490,MATCH($A39,'IS Proforma'!$C:$C,0),MATCH(L$4,'IS Proforma'!$4:$4))</f>
        <v>31291</v>
      </c>
      <c r="M39" s="387">
        <f t="array" ref="M39">INDEX('IS Proforma'!$1:$1048490,MATCH($A39,'IS Proforma'!$C:$C,0),MATCH(M$4,'IS Proforma'!$4:$4))</f>
        <v>38035</v>
      </c>
      <c r="N39" s="387">
        <f t="array" ref="N39">INDEX('IS Proforma'!$1:$1048490,MATCH($A39,'IS Proforma'!$C:$C,0),MATCH(N$4,'IS Proforma'!$4:$4))</f>
        <v>27841</v>
      </c>
      <c r="O39" s="387">
        <f t="array" ref="O39">INDEX('IS Proforma'!$1:$1048490,MATCH($A39,'IS Proforma'!$C:$C,0),MATCH(O$4,'IS Proforma'!$4:$4))</f>
        <v>25102</v>
      </c>
      <c r="P39" s="387">
        <f t="array" ref="P39">INDEX('IS Proforma'!$1:$1048490,MATCH($A39,'IS Proforma'!$C:$C,0),MATCH(P$4,'IS Proforma'!$4:$4))</f>
        <v>31006</v>
      </c>
      <c r="Q39" s="387">
        <f t="array" ref="Q39">INDEX('IS Proforma'!$1:$1048490,MATCH($A39,'IS Proforma'!$C:$C,0),MATCH(Q$4,'IS Proforma'!$4:$4))</f>
        <v>33227</v>
      </c>
      <c r="R39" s="387">
        <f t="array" ref="R39">INDEX('IS Proforma'!$1:$1048490,MATCH($A39,'IS Proforma'!$C:$C,0),MATCH(R$4,'IS Proforma'!$4:$4))</f>
        <v>36474</v>
      </c>
      <c r="S39" s="387">
        <f t="array" ref="S39">INDEX('IS Proforma'!$1:$1048490,MATCH($A39,'IS Proforma'!$C:$C,0),MATCH(S$4,'IS Proforma'!$4:$4))</f>
        <v>38396</v>
      </c>
      <c r="T39" s="387">
        <f t="array" ref="T39">INDEX('IS Proforma'!$1:$1048490,MATCH($A39,'IS Proforma'!$C:$C,0),MATCH(T$4,'IS Proforma'!$4:$4))</f>
        <v>27096</v>
      </c>
      <c r="U39" s="387">
        <f t="array" ref="U39">INDEX('IS Proforma'!$1:$1048490,MATCH($A39,'IS Proforma'!$C:$C,0),MATCH(U$4,'IS Proforma'!$4:$4))</f>
        <v>39103</v>
      </c>
      <c r="V39" s="387">
        <f t="array" ref="V39">INDEX('IS Proforma'!$1:$1048490,MATCH($A39,'IS Proforma'!$C:$C,0),MATCH(V$4,'IS Proforma'!$4:$4))</f>
        <v>37913</v>
      </c>
      <c r="W39" s="387">
        <f t="array" ref="W39">INDEX('IS Proforma'!$1:$1048490,MATCH($A39,'IS Proforma'!$C:$C,0),MATCH(W$4,'IS Proforma'!$4:$4))</f>
        <v>37351</v>
      </c>
      <c r="X39" s="387">
        <f t="array" ref="X39">INDEX('IS Proforma'!$1:$1048490,MATCH($A39,'IS Proforma'!$C:$C,0),MATCH(X$4,'IS Proforma'!$4:$4))</f>
        <v>31124</v>
      </c>
      <c r="Y39" s="387">
        <f t="array" ref="Y39">INDEX('IS Proforma'!$1:$1048490,MATCH($A39,'IS Proforma'!$C:$C,0),MATCH(Y$4,'IS Proforma'!$4:$4))</f>
        <v>35733</v>
      </c>
      <c r="Z39" s="451">
        <f>'New Biz Sales'!Z120+(Y39*(1-$B$44))</f>
        <v>56922.45</v>
      </c>
      <c r="AA39" s="451">
        <f>'New Biz Sales'!AA120+(Z39*(1-$B$44))</f>
        <v>71650.8675</v>
      </c>
      <c r="AB39" s="451">
        <f>'New Biz Sales'!AB120+(AA39*(1-$B$44))</f>
        <v>80171.38013</v>
      </c>
      <c r="AC39" s="451">
        <f>'New Biz Sales'!AC120+(AB39*(1-$B$44))</f>
        <v>81449.45702</v>
      </c>
      <c r="AD39" s="451">
        <f>'New Biz Sales'!AD120+(AC39*(1-$B$44))</f>
        <v>81641.16855</v>
      </c>
      <c r="AE39" s="451">
        <f>'New Biz Sales'!AE120+(AD39*(1-$B$44))</f>
        <v>81669.92528</v>
      </c>
      <c r="AF39" s="451">
        <f>'New Biz Sales'!AF120+(AE39*(1-$B$44))</f>
        <v>83062.71379</v>
      </c>
      <c r="AG39" s="451">
        <f>'New Biz Sales'!AG120+(AF39*(1-$B$44))</f>
        <v>83271.63207</v>
      </c>
      <c r="AH39" s="451">
        <f>'New Biz Sales'!AH120+(AG39*(1-$B$44))</f>
        <v>83302.96981</v>
      </c>
      <c r="AI39" s="451">
        <f>'New Biz Sales'!AI120+(AH39*(1-$B$44))</f>
        <v>83307.67047</v>
      </c>
      <c r="AJ39" s="451">
        <f>'New Biz Sales'!AJ120+(AI39*(1-$B$44))</f>
        <v>80475.88657</v>
      </c>
      <c r="AK39" s="451">
        <f>'New Biz Sales'!AK120+(AJ39*(1-$B$44))</f>
        <v>80051.11899</v>
      </c>
      <c r="AL39" s="451">
        <f>'New Biz Sales'!AL120+(AK39*(1-$B$44))</f>
        <v>79987.40385</v>
      </c>
      <c r="AM39" s="451">
        <f>'New Biz Sales'!AM120+(AL39*(1-$B$44))</f>
        <v>80659.34343</v>
      </c>
      <c r="AN39" s="451">
        <f>'New Biz Sales'!AN120+(AM39*(1-$B$44))</f>
        <v>60161.76451</v>
      </c>
      <c r="AO39" s="451">
        <f>'New Biz Sales'!AO120+(AN39*(1-$B$44))</f>
        <v>54683.98452</v>
      </c>
      <c r="AP39" s="451">
        <f>'New Biz Sales'!AP120+(AO39*(1-$B$44))</f>
        <v>54090.61613</v>
      </c>
      <c r="AQ39" s="451">
        <f>'New Biz Sales'!AQ120+(AP39*(1-$B$44))</f>
        <v>54231.05096</v>
      </c>
      <c r="AR39" s="451">
        <f>'New Biz Sales'!AR120+(AQ39*(1-$B$44))</f>
        <v>54714.4437</v>
      </c>
      <c r="AS39" s="451">
        <f>'New Biz Sales'!AS120+(AR39*(1-$B$44))</f>
        <v>55019.85155</v>
      </c>
      <c r="AT39" s="451">
        <f>'New Biz Sales'!AT120+(AS39*(1-$B$44))</f>
        <v>55299.72615</v>
      </c>
      <c r="AU39" s="451">
        <f>'New Biz Sales'!AU120+(AT39*(1-$B$44))</f>
        <v>55576.94108</v>
      </c>
      <c r="AV39" s="451">
        <f>'New Biz Sales'!AV120+(AU39*(1-$B$44))</f>
        <v>55854.93323</v>
      </c>
      <c r="AW39" s="451">
        <f>'New Biz Sales'!AW120+(AV39*(1-$B$44))</f>
        <v>56134.22401</v>
      </c>
      <c r="AX39" s="451">
        <f>'New Biz Sales'!AX120+(AW39*(1-$B$44))</f>
        <v>56414.89755</v>
      </c>
      <c r="AY39" s="451">
        <f>'New Biz Sales'!AY120+(AX39*(1-$B$44))</f>
        <v>56938.14609</v>
      </c>
      <c r="AZ39" s="451">
        <f>'New Biz Sales'!AZ120+(AY39*(1-$B$44))</f>
        <v>57501.39249</v>
      </c>
      <c r="BA39" s="451">
        <f>'New Biz Sales'!BA120+(AZ39*(1-$B$44))</f>
        <v>57830.6828</v>
      </c>
      <c r="BB39" s="451">
        <f>'New Biz Sales'!BB120+(BA39*(1-$B$44))</f>
        <v>58126.10371</v>
      </c>
      <c r="BC39" s="451">
        <f>'New Biz Sales'!BC120+(BB39*(1-$B$44))</f>
        <v>58417.67436</v>
      </c>
      <c r="BD39" s="451">
        <f>'New Biz Sales'!BD120+(BC39*(1-$B$44))</f>
        <v>58709.90375</v>
      </c>
      <c r="BE39" s="451">
        <f>'New Biz Sales'!BE120+(BD39*(1-$B$44))</f>
        <v>59003.47442</v>
      </c>
      <c r="BF39" s="451">
        <f>'New Biz Sales'!BF120+(BE39*(1-$B$44))</f>
        <v>59298.49497</v>
      </c>
      <c r="BG39" s="451">
        <f>'New Biz Sales'!BG120+(BF39*(1-$B$44))</f>
        <v>59594.98792</v>
      </c>
      <c r="BH39" s="451">
        <f>'New Biz Sales'!BH120+(BG39*(1-$B$44))</f>
        <v>59892.96293</v>
      </c>
      <c r="BI39" s="451">
        <f>'New Biz Sales'!BI120+(BH39*(1-$B$44))</f>
        <v>60192.42775</v>
      </c>
      <c r="BJ39" s="451">
        <f>'New Biz Sales'!BJ120+(BI39*(1-$B$44))</f>
        <v>60493.38989</v>
      </c>
      <c r="BK39" s="451">
        <f>'New Biz Sales'!BK120+(BJ39*(1-$B$44))</f>
        <v>61830.29381</v>
      </c>
      <c r="BL39" s="451">
        <f>'New Biz Sales'!BL120+(BK39*(1-$B$44))</f>
        <v>60395.38455</v>
      </c>
      <c r="BM39" s="451">
        <f>'New Biz Sales'!BM120+(BL39*(1-$B$44))</f>
        <v>60435.75237</v>
      </c>
      <c r="BN39" s="451">
        <f>'New Biz Sales'!BN120+(BM39*(1-$B$44))</f>
        <v>60698.68976</v>
      </c>
      <c r="BO39" s="451">
        <f>'New Biz Sales'!BO120+(BN39*(1-$B$44))</f>
        <v>60996.29701</v>
      </c>
      <c r="BP39" s="451">
        <f>'New Biz Sales'!BP120+(BO39*(1-$B$44))</f>
        <v>61300.39556</v>
      </c>
      <c r="BQ39" s="451">
        <f>'New Biz Sales'!BQ120+(BP39*(1-$B$44))</f>
        <v>61606.7651</v>
      </c>
      <c r="BR39" s="451">
        <f>'New Biz Sales'!BR120+(BQ39*(1-$B$44))</f>
        <v>61914.77906</v>
      </c>
      <c r="BS39" s="451">
        <f>'New Biz Sales'!BS120+(BR39*(1-$B$44))</f>
        <v>62224.34997</v>
      </c>
      <c r="BT39" s="451">
        <f>'New Biz Sales'!BT120+(BS39*(1-$B$44))</f>
        <v>62535.47128</v>
      </c>
      <c r="BU39" s="451">
        <f>'New Biz Sales'!BU120+(BT39*(1-$B$44))</f>
        <v>62848.14857</v>
      </c>
      <c r="BV39" s="451">
        <f>'New Biz Sales'!BV120+(BU39*(1-$B$44))</f>
        <v>63162.3893</v>
      </c>
      <c r="BW39" s="451">
        <f>'New Biz Sales'!BW120+(BV39*(1-$B$44))</f>
        <v>63478.20124</v>
      </c>
      <c r="BX39" s="451">
        <f>'New Biz Sales'!BX120+(BW39*(1-$B$44))</f>
        <v>58125.18875</v>
      </c>
      <c r="BY39" s="451">
        <f>'New Biz Sales'!BY120+(BX39*(1-$B$44))</f>
        <v>57565.25417</v>
      </c>
      <c r="BZ39" s="451">
        <f>'New Biz Sales'!BZ120+(BY39*(1-$B$44))</f>
        <v>57725.49636</v>
      </c>
      <c r="CA39" s="451">
        <f>'New Biz Sales'!CA120+(BZ39*(1-$B$44))</f>
        <v>57994.98623</v>
      </c>
      <c r="CB39" s="451">
        <f>'New Biz Sales'!CB120+(CA39*(1-$B$44))</f>
        <v>58282.09052</v>
      </c>
      <c r="CC39" s="451">
        <f>'New Biz Sales'!CC120+(CB39*(1-$B$44))</f>
        <v>58573.07038</v>
      </c>
      <c r="CD39" s="451">
        <f>'New Biz Sales'!CD120+(CC39*(1-$B$44))</f>
        <v>58865.87114</v>
      </c>
      <c r="CE39" s="451">
        <f>'New Biz Sales'!CE120+(CD39*(1-$B$44))</f>
        <v>59160.19081</v>
      </c>
      <c r="CF39" s="451">
        <f>'New Biz Sales'!CF120+(CE39*(1-$B$44))</f>
        <v>59455.99031</v>
      </c>
      <c r="CG39" s="451">
        <f>'New Biz Sales'!CG120+(CF39*(1-$B$44))</f>
        <v>59753.27004</v>
      </c>
      <c r="CH39" s="451">
        <f>'New Biz Sales'!CH120+(CG39*(1-$B$44))</f>
        <v>60052.03636</v>
      </c>
      <c r="CI39" s="451"/>
    </row>
    <row r="40" ht="15.75" customHeight="1" outlineLevel="1">
      <c r="A40" s="1" t="s">
        <v>325</v>
      </c>
      <c r="B40" s="1"/>
      <c r="C40" s="1"/>
      <c r="D40" s="387">
        <f t="shared" ref="D40:CH40" si="19">D39-C39</f>
        <v>3094</v>
      </c>
      <c r="E40" s="387">
        <f t="shared" si="19"/>
        <v>-9115</v>
      </c>
      <c r="F40" s="387">
        <f t="shared" si="19"/>
        <v>13718</v>
      </c>
      <c r="G40" s="387">
        <f t="shared" si="19"/>
        <v>5560</v>
      </c>
      <c r="H40" s="387">
        <f t="shared" si="19"/>
        <v>-3647</v>
      </c>
      <c r="I40" s="387">
        <f t="shared" si="19"/>
        <v>-11982</v>
      </c>
      <c r="J40" s="387">
        <f t="shared" si="19"/>
        <v>1104</v>
      </c>
      <c r="K40" s="387">
        <f t="shared" si="19"/>
        <v>13247</v>
      </c>
      <c r="L40" s="387">
        <f t="shared" si="19"/>
        <v>-6893</v>
      </c>
      <c r="M40" s="387">
        <f t="shared" si="19"/>
        <v>6744</v>
      </c>
      <c r="N40" s="387">
        <f t="shared" si="19"/>
        <v>-10194</v>
      </c>
      <c r="O40" s="387">
        <f t="shared" si="19"/>
        <v>-2739</v>
      </c>
      <c r="P40" s="387">
        <f t="shared" si="19"/>
        <v>5904</v>
      </c>
      <c r="Q40" s="387">
        <f t="shared" si="19"/>
        <v>2221</v>
      </c>
      <c r="R40" s="387">
        <f t="shared" si="19"/>
        <v>3247</v>
      </c>
      <c r="S40" s="387">
        <f t="shared" si="19"/>
        <v>1922</v>
      </c>
      <c r="T40" s="387">
        <f t="shared" si="19"/>
        <v>-11300</v>
      </c>
      <c r="U40" s="387">
        <f t="shared" si="19"/>
        <v>12007</v>
      </c>
      <c r="V40" s="387">
        <f t="shared" si="19"/>
        <v>-1190</v>
      </c>
      <c r="W40" s="387">
        <f t="shared" si="19"/>
        <v>-562</v>
      </c>
      <c r="X40" s="387">
        <f t="shared" si="19"/>
        <v>-6227</v>
      </c>
      <c r="Y40" s="387">
        <f t="shared" si="19"/>
        <v>4609</v>
      </c>
      <c r="Z40" s="131">
        <f t="shared" si="19"/>
        <v>21189.45</v>
      </c>
      <c r="AA40" s="131">
        <f t="shared" si="19"/>
        <v>14728.4175</v>
      </c>
      <c r="AB40" s="131">
        <f t="shared" si="19"/>
        <v>8520.512625</v>
      </c>
      <c r="AC40" s="131">
        <f t="shared" si="19"/>
        <v>1278.076894</v>
      </c>
      <c r="AD40" s="131">
        <f t="shared" si="19"/>
        <v>191.7115341</v>
      </c>
      <c r="AE40" s="131">
        <f t="shared" si="19"/>
        <v>28.75673011</v>
      </c>
      <c r="AF40" s="131">
        <f t="shared" si="19"/>
        <v>1392.78851</v>
      </c>
      <c r="AG40" s="131">
        <f t="shared" si="19"/>
        <v>208.9182764</v>
      </c>
      <c r="AH40" s="131">
        <f t="shared" si="19"/>
        <v>31.33774146</v>
      </c>
      <c r="AI40" s="131">
        <f t="shared" si="19"/>
        <v>4.70066122</v>
      </c>
      <c r="AJ40" s="131">
        <f t="shared" si="19"/>
        <v>-2831.783901</v>
      </c>
      <c r="AK40" s="131">
        <f t="shared" si="19"/>
        <v>-424.7675851</v>
      </c>
      <c r="AL40" s="131">
        <f t="shared" si="19"/>
        <v>-63.71513777</v>
      </c>
      <c r="AM40" s="131">
        <f t="shared" si="19"/>
        <v>671.9395827</v>
      </c>
      <c r="AN40" s="131">
        <f t="shared" si="19"/>
        <v>-20497.57892</v>
      </c>
      <c r="AO40" s="131">
        <f t="shared" si="19"/>
        <v>-5477.779988</v>
      </c>
      <c r="AP40" s="131">
        <f t="shared" si="19"/>
        <v>-593.3683989</v>
      </c>
      <c r="AQ40" s="131">
        <f t="shared" si="19"/>
        <v>140.4348324</v>
      </c>
      <c r="AR40" s="131">
        <f t="shared" si="19"/>
        <v>483.3927467</v>
      </c>
      <c r="AS40" s="131">
        <f t="shared" si="19"/>
        <v>305.4078423</v>
      </c>
      <c r="AT40" s="131">
        <f t="shared" si="19"/>
        <v>279.8746013</v>
      </c>
      <c r="AU40" s="131">
        <f t="shared" si="19"/>
        <v>277.2149323</v>
      </c>
      <c r="AV40" s="131">
        <f t="shared" si="19"/>
        <v>277.9921506</v>
      </c>
      <c r="AW40" s="131">
        <f t="shared" si="19"/>
        <v>279.2907829</v>
      </c>
      <c r="AX40" s="131">
        <f t="shared" si="19"/>
        <v>280.6735376</v>
      </c>
      <c r="AY40" s="131">
        <f t="shared" si="19"/>
        <v>523.2485392</v>
      </c>
      <c r="AZ40" s="131">
        <f t="shared" si="19"/>
        <v>563.2463955</v>
      </c>
      <c r="BA40" s="131">
        <f t="shared" si="19"/>
        <v>329.2903122</v>
      </c>
      <c r="BB40" s="131">
        <f t="shared" si="19"/>
        <v>295.4209165</v>
      </c>
      <c r="BC40" s="131">
        <f t="shared" si="19"/>
        <v>291.5706439</v>
      </c>
      <c r="BD40" s="131">
        <f t="shared" si="19"/>
        <v>292.2293906</v>
      </c>
      <c r="BE40" s="131">
        <f t="shared" si="19"/>
        <v>293.5706716</v>
      </c>
      <c r="BF40" s="131">
        <f t="shared" si="19"/>
        <v>295.020545</v>
      </c>
      <c r="BG40" s="131">
        <f t="shared" si="19"/>
        <v>296.4929508</v>
      </c>
      <c r="BH40" s="131">
        <f t="shared" si="19"/>
        <v>297.975011</v>
      </c>
      <c r="BI40" s="131">
        <f t="shared" si="19"/>
        <v>299.4648253</v>
      </c>
      <c r="BJ40" s="131">
        <f t="shared" si="19"/>
        <v>300.9621404</v>
      </c>
      <c r="BK40" s="131">
        <f t="shared" si="19"/>
        <v>1336.903917</v>
      </c>
      <c r="BL40" s="131">
        <f t="shared" si="19"/>
        <v>-1434.909258</v>
      </c>
      <c r="BM40" s="131">
        <f t="shared" si="19"/>
        <v>40.36781377</v>
      </c>
      <c r="BN40" s="131">
        <f t="shared" si="19"/>
        <v>262.9373955</v>
      </c>
      <c r="BO40" s="131">
        <f t="shared" si="19"/>
        <v>297.6072439</v>
      </c>
      <c r="BP40" s="131">
        <f t="shared" si="19"/>
        <v>304.0985543</v>
      </c>
      <c r="BQ40" s="131">
        <f t="shared" si="19"/>
        <v>306.3695382</v>
      </c>
      <c r="BR40" s="131">
        <f t="shared" si="19"/>
        <v>308.0139596</v>
      </c>
      <c r="BS40" s="131">
        <f t="shared" si="19"/>
        <v>309.5709154</v>
      </c>
      <c r="BT40" s="131">
        <f t="shared" si="19"/>
        <v>311.1213029</v>
      </c>
      <c r="BU40" s="131">
        <f t="shared" si="19"/>
        <v>312.6772893</v>
      </c>
      <c r="BV40" s="131">
        <f t="shared" si="19"/>
        <v>314.2407328</v>
      </c>
      <c r="BW40" s="131">
        <f t="shared" si="19"/>
        <v>315.811945</v>
      </c>
      <c r="BX40" s="131">
        <f t="shared" si="19"/>
        <v>-5353.012493</v>
      </c>
      <c r="BY40" s="131">
        <f t="shared" si="19"/>
        <v>-559.9345811</v>
      </c>
      <c r="BZ40" s="131">
        <f t="shared" si="19"/>
        <v>160.2421921</v>
      </c>
      <c r="CA40" s="131">
        <f t="shared" si="19"/>
        <v>269.48987</v>
      </c>
      <c r="CB40" s="131">
        <f t="shared" si="19"/>
        <v>287.1042894</v>
      </c>
      <c r="CC40" s="131">
        <f t="shared" si="19"/>
        <v>290.9798563</v>
      </c>
      <c r="CD40" s="131">
        <f t="shared" si="19"/>
        <v>292.8007624</v>
      </c>
      <c r="CE40" s="131">
        <f t="shared" si="19"/>
        <v>294.3196673</v>
      </c>
      <c r="CF40" s="131">
        <f t="shared" si="19"/>
        <v>295.7995008</v>
      </c>
      <c r="CG40" s="131">
        <f t="shared" si="19"/>
        <v>297.2797335</v>
      </c>
      <c r="CH40" s="131">
        <f t="shared" si="19"/>
        <v>298.7663175</v>
      </c>
      <c r="CI40" s="131"/>
    </row>
    <row r="41" ht="15.75" customHeight="1" outlineLevel="1">
      <c r="A41" s="1" t="s">
        <v>51</v>
      </c>
      <c r="B41" s="446" t="s">
        <v>677</v>
      </c>
      <c r="C41" s="1"/>
      <c r="D41" s="423">
        <f t="shared" ref="D41:CH41" si="20">D39/C39-1</f>
        <v>0.1180690708</v>
      </c>
      <c r="E41" s="423">
        <f t="shared" si="20"/>
        <v>-0.311102768</v>
      </c>
      <c r="F41" s="423">
        <f t="shared" si="20"/>
        <v>0.6796472453</v>
      </c>
      <c r="G41" s="423">
        <f t="shared" si="20"/>
        <v>0.1640021238</v>
      </c>
      <c r="H41" s="423">
        <f t="shared" si="20"/>
        <v>-0.0924180224</v>
      </c>
      <c r="I41" s="423">
        <f t="shared" si="20"/>
        <v>-0.3345525618</v>
      </c>
      <c r="J41" s="423">
        <f t="shared" si="20"/>
        <v>0.04632232619</v>
      </c>
      <c r="K41" s="423">
        <f t="shared" si="20"/>
        <v>0.5312186711</v>
      </c>
      <c r="L41" s="423">
        <f t="shared" si="20"/>
        <v>-0.1805206369</v>
      </c>
      <c r="M41" s="423">
        <f t="shared" si="20"/>
        <v>0.2155252309</v>
      </c>
      <c r="N41" s="423">
        <f t="shared" si="20"/>
        <v>-0.2680163008</v>
      </c>
      <c r="O41" s="423">
        <f t="shared" si="20"/>
        <v>-0.09838008692</v>
      </c>
      <c r="P41" s="423">
        <f t="shared" si="20"/>
        <v>0.2352003824</v>
      </c>
      <c r="Q41" s="423">
        <f t="shared" si="20"/>
        <v>0.07163129717</v>
      </c>
      <c r="R41" s="423">
        <f t="shared" si="20"/>
        <v>0.09772173233</v>
      </c>
      <c r="S41" s="423">
        <f t="shared" si="20"/>
        <v>0.05269507046</v>
      </c>
      <c r="T41" s="423">
        <f t="shared" si="20"/>
        <v>-0.2943014897</v>
      </c>
      <c r="U41" s="423">
        <f t="shared" si="20"/>
        <v>0.443128137</v>
      </c>
      <c r="V41" s="423">
        <f t="shared" si="20"/>
        <v>-0.03043244764</v>
      </c>
      <c r="W41" s="423">
        <f t="shared" si="20"/>
        <v>-0.01482341149</v>
      </c>
      <c r="X41" s="202">
        <f t="shared" si="20"/>
        <v>-0.1667157506</v>
      </c>
      <c r="Y41" s="202">
        <f t="shared" si="20"/>
        <v>0.148085079</v>
      </c>
      <c r="Z41" s="202">
        <f t="shared" si="20"/>
        <v>0.5929938712</v>
      </c>
      <c r="AA41" s="202">
        <f t="shared" si="20"/>
        <v>0.2587453193</v>
      </c>
      <c r="AB41" s="202">
        <f t="shared" si="20"/>
        <v>0.1189170895</v>
      </c>
      <c r="AC41" s="202">
        <f t="shared" si="20"/>
        <v>0.0159418098</v>
      </c>
      <c r="AD41" s="202">
        <f t="shared" si="20"/>
        <v>0.00235374846</v>
      </c>
      <c r="AE41" s="202">
        <f t="shared" si="20"/>
        <v>0.0003522332007</v>
      </c>
      <c r="AF41" s="202">
        <f t="shared" si="20"/>
        <v>0.0170538727</v>
      </c>
      <c r="AG41" s="202">
        <f t="shared" si="20"/>
        <v>0.002515187223</v>
      </c>
      <c r="AH41" s="202">
        <f t="shared" si="20"/>
        <v>0.0003763315392</v>
      </c>
      <c r="AI41" s="202">
        <f t="shared" si="20"/>
        <v>0.00005642849505</v>
      </c>
      <c r="AJ41" s="202">
        <f t="shared" si="20"/>
        <v>-0.03399187476</v>
      </c>
      <c r="AK41" s="202">
        <f t="shared" si="20"/>
        <v>-0.005278197026</v>
      </c>
      <c r="AL41" s="202">
        <f t="shared" si="20"/>
        <v>-0.0007959306325</v>
      </c>
      <c r="AM41" s="202">
        <f t="shared" si="20"/>
        <v>0.00840056747</v>
      </c>
      <c r="AN41" s="202">
        <f t="shared" si="20"/>
        <v>-0.2541252885</v>
      </c>
      <c r="AO41" s="202">
        <f t="shared" si="20"/>
        <v>-0.09105085318</v>
      </c>
      <c r="AP41" s="202">
        <f t="shared" si="20"/>
        <v>-0.01085086253</v>
      </c>
      <c r="AQ41" s="202">
        <f t="shared" si="20"/>
        <v>0.002596288274</v>
      </c>
      <c r="AR41" s="202">
        <f t="shared" si="20"/>
        <v>0.008913578811</v>
      </c>
      <c r="AS41" s="202">
        <f t="shared" si="20"/>
        <v>0.005581850452</v>
      </c>
      <c r="AT41" s="202">
        <f t="shared" si="20"/>
        <v>0.005086793102</v>
      </c>
      <c r="AU41" s="202">
        <f t="shared" si="20"/>
        <v>0.005012953076</v>
      </c>
      <c r="AV41" s="202">
        <f t="shared" si="20"/>
        <v>0.00500193327</v>
      </c>
      <c r="AW41" s="202">
        <f t="shared" si="20"/>
        <v>0.005000288547</v>
      </c>
      <c r="AX41" s="202">
        <f t="shared" si="20"/>
        <v>0.005000043067</v>
      </c>
      <c r="AY41" s="202">
        <f t="shared" si="20"/>
        <v>0.00927500646</v>
      </c>
      <c r="AZ41" s="202">
        <f t="shared" si="20"/>
        <v>0.009892250348</v>
      </c>
      <c r="BA41" s="202">
        <f t="shared" si="20"/>
        <v>0.005726649355</v>
      </c>
      <c r="BB41" s="202">
        <f t="shared" si="20"/>
        <v>0.005108376767</v>
      </c>
      <c r="BC41" s="202">
        <f t="shared" si="20"/>
        <v>0.005016173893</v>
      </c>
      <c r="BD41" s="202">
        <f t="shared" si="20"/>
        <v>0.005002413975</v>
      </c>
      <c r="BE41" s="202">
        <f t="shared" si="20"/>
        <v>0.005000360294</v>
      </c>
      <c r="BF41" s="202">
        <f t="shared" si="20"/>
        <v>0.005000053775</v>
      </c>
      <c r="BG41" s="202">
        <f t="shared" si="20"/>
        <v>0.005000008026</v>
      </c>
      <c r="BH41" s="202">
        <f t="shared" si="20"/>
        <v>0.005000001198</v>
      </c>
      <c r="BI41" s="202">
        <f t="shared" si="20"/>
        <v>0.005000000179</v>
      </c>
      <c r="BJ41" s="202">
        <f t="shared" si="20"/>
        <v>0.005000000027</v>
      </c>
      <c r="BK41" s="202">
        <f t="shared" si="20"/>
        <v>0.0221</v>
      </c>
      <c r="BL41" s="202">
        <f t="shared" si="20"/>
        <v>-0.02320722043</v>
      </c>
      <c r="BM41" s="202">
        <f t="shared" si="20"/>
        <v>0.0006683923626</v>
      </c>
      <c r="BN41" s="202">
        <f t="shared" si="20"/>
        <v>0.004350692846</v>
      </c>
      <c r="BO41" s="202">
        <f t="shared" si="20"/>
        <v>0.004903025832</v>
      </c>
      <c r="BP41" s="202">
        <f t="shared" si="20"/>
        <v>0.004985524847</v>
      </c>
      <c r="BQ41" s="202">
        <f t="shared" si="20"/>
        <v>0.004997839498</v>
      </c>
      <c r="BR41" s="202">
        <f t="shared" si="20"/>
        <v>0.004999677536</v>
      </c>
      <c r="BS41" s="202">
        <f t="shared" si="20"/>
        <v>0.004999951871</v>
      </c>
      <c r="BT41" s="202">
        <f t="shared" si="20"/>
        <v>0.004999992817</v>
      </c>
      <c r="BU41" s="202">
        <f t="shared" si="20"/>
        <v>0.004999998928</v>
      </c>
      <c r="BV41" s="202">
        <f t="shared" si="20"/>
        <v>0.00499999984</v>
      </c>
      <c r="BW41" s="202">
        <f t="shared" si="20"/>
        <v>0.004999999976</v>
      </c>
      <c r="BX41" s="202">
        <f t="shared" si="20"/>
        <v>-0.08432835821</v>
      </c>
      <c r="BY41" s="202">
        <f t="shared" si="20"/>
        <v>-0.009633251834</v>
      </c>
      <c r="BZ41" s="202">
        <f t="shared" si="20"/>
        <v>0.00278366168</v>
      </c>
      <c r="CA41" s="202">
        <f t="shared" si="20"/>
        <v>0.004668472113</v>
      </c>
      <c r="CB41" s="202">
        <f t="shared" si="20"/>
        <v>0.004950501898</v>
      </c>
      <c r="CC41" s="202">
        <f t="shared" si="20"/>
        <v>0.00499261186</v>
      </c>
      <c r="CD41" s="202">
        <f t="shared" si="20"/>
        <v>0.004998897284</v>
      </c>
      <c r="CE41" s="202">
        <f t="shared" si="20"/>
        <v>0.004999835415</v>
      </c>
      <c r="CF41" s="202">
        <f t="shared" si="20"/>
        <v>0.004999975435</v>
      </c>
      <c r="CG41" s="202">
        <f t="shared" si="20"/>
        <v>0.004999996334</v>
      </c>
      <c r="CH41" s="202">
        <f t="shared" si="20"/>
        <v>0.004999999453</v>
      </c>
      <c r="CI41" s="202"/>
    </row>
    <row r="42" ht="15.75" customHeight="1" outlineLevel="1">
      <c r="A42" s="1" t="s">
        <v>678</v>
      </c>
      <c r="B42" s="447">
        <f>B31</f>
        <v>500</v>
      </c>
      <c r="C42" s="448">
        <f t="shared" ref="C42:BJ42" si="21">C39/$B$42</f>
        <v>52.41</v>
      </c>
      <c r="D42" s="448">
        <f t="shared" si="21"/>
        <v>58.598</v>
      </c>
      <c r="E42" s="448">
        <f t="shared" si="21"/>
        <v>40.368</v>
      </c>
      <c r="F42" s="448">
        <f t="shared" si="21"/>
        <v>67.804</v>
      </c>
      <c r="G42" s="448">
        <f t="shared" si="21"/>
        <v>78.924</v>
      </c>
      <c r="H42" s="448">
        <f t="shared" si="21"/>
        <v>71.63</v>
      </c>
      <c r="I42" s="448">
        <f t="shared" si="21"/>
        <v>47.666</v>
      </c>
      <c r="J42" s="448">
        <f t="shared" si="21"/>
        <v>49.874</v>
      </c>
      <c r="K42" s="448">
        <f t="shared" si="21"/>
        <v>76.368</v>
      </c>
      <c r="L42" s="448">
        <f t="shared" si="21"/>
        <v>62.582</v>
      </c>
      <c r="M42" s="448">
        <f t="shared" si="21"/>
        <v>76.07</v>
      </c>
      <c r="N42" s="448">
        <f t="shared" si="21"/>
        <v>55.682</v>
      </c>
      <c r="O42" s="448">
        <f t="shared" si="21"/>
        <v>50.204</v>
      </c>
      <c r="P42" s="448">
        <f t="shared" si="21"/>
        <v>62.012</v>
      </c>
      <c r="Q42" s="448">
        <f t="shared" si="21"/>
        <v>66.454</v>
      </c>
      <c r="R42" s="448">
        <f t="shared" si="21"/>
        <v>72.948</v>
      </c>
      <c r="S42" s="448">
        <f t="shared" si="21"/>
        <v>76.792</v>
      </c>
      <c r="T42" s="448">
        <f t="shared" si="21"/>
        <v>54.192</v>
      </c>
      <c r="U42" s="448">
        <f t="shared" si="21"/>
        <v>78.206</v>
      </c>
      <c r="V42" s="448">
        <f t="shared" si="21"/>
        <v>75.826</v>
      </c>
      <c r="W42" s="448">
        <f t="shared" si="21"/>
        <v>74.702</v>
      </c>
      <c r="X42" s="448">
        <f t="shared" si="21"/>
        <v>62.248</v>
      </c>
      <c r="Y42" s="448">
        <f t="shared" si="21"/>
        <v>71.466</v>
      </c>
      <c r="Z42" s="448">
        <f t="shared" si="21"/>
        <v>113.8449</v>
      </c>
      <c r="AA42" s="448">
        <f t="shared" si="21"/>
        <v>143.301735</v>
      </c>
      <c r="AB42" s="448">
        <f t="shared" si="21"/>
        <v>160.3427603</v>
      </c>
      <c r="AC42" s="448">
        <f t="shared" si="21"/>
        <v>162.898914</v>
      </c>
      <c r="AD42" s="448">
        <f t="shared" si="21"/>
        <v>163.2823371</v>
      </c>
      <c r="AE42" s="448">
        <f t="shared" si="21"/>
        <v>163.3398506</v>
      </c>
      <c r="AF42" s="448">
        <f t="shared" si="21"/>
        <v>166.1254276</v>
      </c>
      <c r="AG42" s="448">
        <f t="shared" si="21"/>
        <v>166.5432641</v>
      </c>
      <c r="AH42" s="448">
        <f t="shared" si="21"/>
        <v>166.6059396</v>
      </c>
      <c r="AI42" s="448">
        <f t="shared" si="21"/>
        <v>166.6153409</v>
      </c>
      <c r="AJ42" s="448">
        <f t="shared" si="21"/>
        <v>160.9517731</v>
      </c>
      <c r="AK42" s="448">
        <f t="shared" si="21"/>
        <v>160.102238</v>
      </c>
      <c r="AL42" s="448">
        <f t="shared" si="21"/>
        <v>159.9748077</v>
      </c>
      <c r="AM42" s="448">
        <f t="shared" si="21"/>
        <v>161.3186869</v>
      </c>
      <c r="AN42" s="448">
        <f t="shared" si="21"/>
        <v>120.323529</v>
      </c>
      <c r="AO42" s="448">
        <f t="shared" si="21"/>
        <v>109.367969</v>
      </c>
      <c r="AP42" s="448">
        <f t="shared" si="21"/>
        <v>108.1812323</v>
      </c>
      <c r="AQ42" s="448">
        <f t="shared" si="21"/>
        <v>108.4621019</v>
      </c>
      <c r="AR42" s="448">
        <f t="shared" si="21"/>
        <v>109.4288874</v>
      </c>
      <c r="AS42" s="448">
        <f t="shared" si="21"/>
        <v>110.0397031</v>
      </c>
      <c r="AT42" s="448">
        <f t="shared" si="21"/>
        <v>110.5994523</v>
      </c>
      <c r="AU42" s="448">
        <f t="shared" si="21"/>
        <v>111.1538822</v>
      </c>
      <c r="AV42" s="448">
        <f t="shared" si="21"/>
        <v>111.7098665</v>
      </c>
      <c r="AW42" s="448">
        <f t="shared" si="21"/>
        <v>112.268448</v>
      </c>
      <c r="AX42" s="448">
        <f t="shared" si="21"/>
        <v>112.8297951</v>
      </c>
      <c r="AY42" s="448">
        <f t="shared" si="21"/>
        <v>113.8762922</v>
      </c>
      <c r="AZ42" s="448">
        <f t="shared" si="21"/>
        <v>115.002785</v>
      </c>
      <c r="BA42" s="448">
        <f t="shared" si="21"/>
        <v>115.6613656</v>
      </c>
      <c r="BB42" s="448">
        <f t="shared" si="21"/>
        <v>116.2522074</v>
      </c>
      <c r="BC42" s="448">
        <f t="shared" si="21"/>
        <v>116.8353487</v>
      </c>
      <c r="BD42" s="448">
        <f t="shared" si="21"/>
        <v>117.4198075</v>
      </c>
      <c r="BE42" s="448">
        <f t="shared" si="21"/>
        <v>118.0069488</v>
      </c>
      <c r="BF42" s="448">
        <f t="shared" si="21"/>
        <v>118.5969899</v>
      </c>
      <c r="BG42" s="448">
        <f t="shared" si="21"/>
        <v>119.1899758</v>
      </c>
      <c r="BH42" s="448">
        <f t="shared" si="21"/>
        <v>119.7859259</v>
      </c>
      <c r="BI42" s="448">
        <f t="shared" si="21"/>
        <v>120.3848555</v>
      </c>
      <c r="BJ42" s="448">
        <f t="shared" si="21"/>
        <v>120.9867798</v>
      </c>
      <c r="BK42" s="448">
        <f t="shared" ref="BK42:CH42" si="22">BK39/$B$43</f>
        <v>111.4059348</v>
      </c>
      <c r="BL42" s="448">
        <f t="shared" si="22"/>
        <v>108.8205127</v>
      </c>
      <c r="BM42" s="448">
        <f t="shared" si="22"/>
        <v>108.8932475</v>
      </c>
      <c r="BN42" s="448">
        <f t="shared" si="22"/>
        <v>109.3670086</v>
      </c>
      <c r="BO42" s="448">
        <f t="shared" si="22"/>
        <v>109.9032378</v>
      </c>
      <c r="BP42" s="448">
        <f t="shared" si="22"/>
        <v>110.4511632</v>
      </c>
      <c r="BQ42" s="448">
        <f t="shared" si="22"/>
        <v>111.0031804</v>
      </c>
      <c r="BR42" s="448">
        <f t="shared" si="22"/>
        <v>111.5581605</v>
      </c>
      <c r="BS42" s="448">
        <f t="shared" si="22"/>
        <v>112.1159459</v>
      </c>
      <c r="BT42" s="448">
        <f t="shared" si="22"/>
        <v>112.6765248</v>
      </c>
      <c r="BU42" s="448">
        <f t="shared" si="22"/>
        <v>113.2399073</v>
      </c>
      <c r="BV42" s="448">
        <f t="shared" si="22"/>
        <v>113.8061068</v>
      </c>
      <c r="BW42" s="448">
        <f t="shared" si="22"/>
        <v>114.3751374</v>
      </c>
      <c r="BX42" s="448">
        <f t="shared" si="22"/>
        <v>104.7300698</v>
      </c>
      <c r="BY42" s="448">
        <f t="shared" si="22"/>
        <v>103.7211787</v>
      </c>
      <c r="BZ42" s="448">
        <f t="shared" si="22"/>
        <v>104.0099034</v>
      </c>
      <c r="CA42" s="448">
        <f t="shared" si="22"/>
        <v>104.4954707</v>
      </c>
      <c r="CB42" s="448">
        <f t="shared" si="22"/>
        <v>105.0127757</v>
      </c>
      <c r="CC42" s="448">
        <f t="shared" si="22"/>
        <v>105.5370637</v>
      </c>
      <c r="CD42" s="448">
        <f t="shared" si="22"/>
        <v>106.0646327</v>
      </c>
      <c r="CE42" s="448">
        <f t="shared" si="22"/>
        <v>106.5949384</v>
      </c>
      <c r="CF42" s="448">
        <f t="shared" si="22"/>
        <v>107.1279105</v>
      </c>
      <c r="CG42" s="448">
        <f t="shared" si="22"/>
        <v>107.6635496</v>
      </c>
      <c r="CH42" s="448">
        <f t="shared" si="22"/>
        <v>108.2018673</v>
      </c>
      <c r="CI42" s="448"/>
    </row>
    <row r="43" ht="15.75" customHeight="1" outlineLevel="1">
      <c r="A43" s="449" t="s">
        <v>679</v>
      </c>
      <c r="B43" s="447">
        <v>555.0</v>
      </c>
      <c r="C43" s="1"/>
      <c r="D43" s="130"/>
      <c r="E43" s="130"/>
      <c r="F43" s="130"/>
      <c r="G43" s="130"/>
      <c r="H43" s="130"/>
      <c r="I43" s="130"/>
      <c r="J43" s="130"/>
      <c r="K43" s="130"/>
      <c r="L43" s="130"/>
      <c r="M43" s="130"/>
      <c r="N43" s="130"/>
      <c r="O43" s="146"/>
      <c r="P43" s="146"/>
      <c r="Q43" s="146"/>
      <c r="R43" s="1"/>
      <c r="S43" s="1"/>
      <c r="T43" s="1"/>
      <c r="U43" s="1"/>
      <c r="V43" s="1"/>
      <c r="W43" s="117"/>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30"/>
      <c r="CC43" s="130"/>
      <c r="CD43" s="130"/>
      <c r="CE43" s="130"/>
      <c r="CF43" s="130"/>
      <c r="CG43" s="130"/>
      <c r="CH43" s="130"/>
      <c r="CI43" s="130"/>
    </row>
    <row r="44" ht="15.75" customHeight="1" outlineLevel="1">
      <c r="A44" s="1" t="s">
        <v>681</v>
      </c>
      <c r="B44" s="452">
        <v>0.85</v>
      </c>
      <c r="C44" s="1"/>
      <c r="D44" s="130"/>
      <c r="E44" s="130"/>
      <c r="F44" s="130"/>
      <c r="G44" s="130"/>
      <c r="H44" s="130"/>
      <c r="I44" s="130"/>
      <c r="J44" s="130"/>
      <c r="K44" s="130"/>
      <c r="L44" s="130"/>
      <c r="M44" s="130"/>
      <c r="N44" s="130"/>
      <c r="O44" s="146"/>
      <c r="P44" s="146"/>
      <c r="Q44" s="146"/>
      <c r="R44" s="1"/>
      <c r="S44" s="1"/>
      <c r="T44" s="1"/>
      <c r="U44" s="1"/>
      <c r="V44" s="1"/>
      <c r="W44" s="117"/>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30"/>
      <c r="CC44" s="130"/>
      <c r="CD44" s="130"/>
      <c r="CE44" s="130"/>
      <c r="CF44" s="130"/>
      <c r="CG44" s="130"/>
      <c r="CH44" s="130"/>
      <c r="CI44" s="130"/>
    </row>
    <row r="45" ht="15.75" customHeight="1" outlineLevel="1">
      <c r="A45" s="1"/>
      <c r="B45" s="1"/>
      <c r="C45" s="1"/>
      <c r="D45" s="130"/>
      <c r="E45" s="130"/>
      <c r="F45" s="130"/>
      <c r="G45" s="130"/>
      <c r="H45" s="130"/>
      <c r="I45" s="130"/>
      <c r="J45" s="130"/>
      <c r="K45" s="130"/>
      <c r="L45" s="130"/>
      <c r="M45" s="130"/>
      <c r="N45" s="130"/>
      <c r="O45" s="146"/>
      <c r="P45" s="146"/>
      <c r="Q45" s="146"/>
      <c r="R45" s="1"/>
      <c r="S45" s="1"/>
      <c r="T45" s="1"/>
      <c r="U45" s="1"/>
      <c r="V45" s="1"/>
      <c r="W45" s="117"/>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130"/>
      <c r="BU45" s="130"/>
      <c r="BV45" s="130"/>
      <c r="BW45" s="130"/>
      <c r="BX45" s="130"/>
      <c r="BY45" s="130"/>
      <c r="BZ45" s="130"/>
      <c r="CA45" s="130"/>
      <c r="CB45" s="130"/>
      <c r="CC45" s="130"/>
      <c r="CD45" s="130"/>
      <c r="CE45" s="130"/>
      <c r="CF45" s="130"/>
      <c r="CG45" s="130"/>
      <c r="CH45" s="130"/>
      <c r="CI45" s="130"/>
    </row>
    <row r="46" ht="15.75" customHeight="1">
      <c r="A46" s="1" t="s">
        <v>682</v>
      </c>
      <c r="B46" s="1"/>
      <c r="C46" s="453">
        <f t="shared" ref="C46:CH46" si="23">SUM(C28,C39,C34)</f>
        <v>145221</v>
      </c>
      <c r="D46" s="453">
        <f t="shared" si="23"/>
        <v>268153</v>
      </c>
      <c r="E46" s="453">
        <f t="shared" si="23"/>
        <v>202602</v>
      </c>
      <c r="F46" s="453">
        <f t="shared" si="23"/>
        <v>249435</v>
      </c>
      <c r="G46" s="453">
        <f t="shared" si="23"/>
        <v>251204</v>
      </c>
      <c r="H46" s="453">
        <f t="shared" si="23"/>
        <v>175735</v>
      </c>
      <c r="I46" s="453">
        <f t="shared" si="23"/>
        <v>173627</v>
      </c>
      <c r="J46" s="453">
        <f t="shared" si="23"/>
        <v>163316</v>
      </c>
      <c r="K46" s="453">
        <f t="shared" si="23"/>
        <v>214926</v>
      </c>
      <c r="L46" s="453">
        <f t="shared" si="23"/>
        <v>242871</v>
      </c>
      <c r="M46" s="453">
        <f t="shared" si="23"/>
        <v>234725</v>
      </c>
      <c r="N46" s="453">
        <f t="shared" si="23"/>
        <v>201170</v>
      </c>
      <c r="O46" s="453">
        <f t="shared" si="23"/>
        <v>225168</v>
      </c>
      <c r="P46" s="453">
        <f t="shared" si="23"/>
        <v>202984</v>
      </c>
      <c r="Q46" s="453">
        <f t="shared" si="23"/>
        <v>230137</v>
      </c>
      <c r="R46" s="453">
        <f t="shared" si="23"/>
        <v>215710</v>
      </c>
      <c r="S46" s="453">
        <f t="shared" si="23"/>
        <v>275885</v>
      </c>
      <c r="T46" s="453">
        <f t="shared" si="23"/>
        <v>196349</v>
      </c>
      <c r="U46" s="453">
        <f t="shared" si="23"/>
        <v>274969</v>
      </c>
      <c r="V46" s="453">
        <f t="shared" si="23"/>
        <v>270100</v>
      </c>
      <c r="W46" s="453">
        <f t="shared" si="23"/>
        <v>241649</v>
      </c>
      <c r="X46" s="453">
        <f t="shared" si="23"/>
        <v>195381</v>
      </c>
      <c r="Y46" s="453">
        <f t="shared" si="23"/>
        <v>291011</v>
      </c>
      <c r="Z46" s="303">
        <f t="shared" si="23"/>
        <v>424038.3587</v>
      </c>
      <c r="AA46" s="303">
        <f t="shared" si="23"/>
        <v>504241.5363</v>
      </c>
      <c r="AB46" s="303">
        <f t="shared" si="23"/>
        <v>582808.2623</v>
      </c>
      <c r="AC46" s="303">
        <f t="shared" si="23"/>
        <v>656219.2844</v>
      </c>
      <c r="AD46" s="303">
        <f t="shared" si="23"/>
        <v>729298.1637</v>
      </c>
      <c r="AE46" s="303">
        <f t="shared" si="23"/>
        <v>810916.7567</v>
      </c>
      <c r="AF46" s="303">
        <f t="shared" si="23"/>
        <v>888901.9038</v>
      </c>
      <c r="AG46" s="303">
        <f t="shared" si="23"/>
        <v>964562.3903</v>
      </c>
      <c r="AH46" s="303">
        <f t="shared" si="23"/>
        <v>1039304.834</v>
      </c>
      <c r="AI46" s="303">
        <f t="shared" si="23"/>
        <v>1116079.352</v>
      </c>
      <c r="AJ46" s="303">
        <f t="shared" si="23"/>
        <v>1187157.271</v>
      </c>
      <c r="AK46" s="303">
        <f t="shared" si="23"/>
        <v>1262204.801</v>
      </c>
      <c r="AL46" s="303">
        <f t="shared" si="23"/>
        <v>1340193.399</v>
      </c>
      <c r="AM46" s="303">
        <f t="shared" si="23"/>
        <v>1400947.54</v>
      </c>
      <c r="AN46" s="303">
        <f t="shared" si="23"/>
        <v>1412547.753</v>
      </c>
      <c r="AO46" s="303">
        <f t="shared" si="23"/>
        <v>1435663.774</v>
      </c>
      <c r="AP46" s="303">
        <f t="shared" si="23"/>
        <v>1463030.47</v>
      </c>
      <c r="AQ46" s="303">
        <f t="shared" si="23"/>
        <v>1490534.739</v>
      </c>
      <c r="AR46" s="303">
        <f t="shared" si="23"/>
        <v>1518058.964</v>
      </c>
      <c r="AS46" s="303">
        <f t="shared" si="23"/>
        <v>1544868.694</v>
      </c>
      <c r="AT46" s="303">
        <f t="shared" si="23"/>
        <v>1584805.768</v>
      </c>
      <c r="AU46" s="303">
        <f t="shared" si="23"/>
        <v>1610842.016</v>
      </c>
      <c r="AV46" s="303">
        <f t="shared" si="23"/>
        <v>1636433.352</v>
      </c>
      <c r="AW46" s="303">
        <f t="shared" si="23"/>
        <v>1661609.333</v>
      </c>
      <c r="AX46" s="303">
        <f t="shared" si="23"/>
        <v>1686397.772</v>
      </c>
      <c r="AY46" s="303">
        <f t="shared" si="23"/>
        <v>1739238.992</v>
      </c>
      <c r="AZ46" s="303">
        <f t="shared" si="23"/>
        <v>1777119.667</v>
      </c>
      <c r="BA46" s="303">
        <f t="shared" si="23"/>
        <v>1814093.164</v>
      </c>
      <c r="BB46" s="303">
        <f t="shared" si="23"/>
        <v>1850394.164</v>
      </c>
      <c r="BC46" s="303">
        <f t="shared" si="23"/>
        <v>1886085.975</v>
      </c>
      <c r="BD46" s="303">
        <f t="shared" si="23"/>
        <v>1921205.146</v>
      </c>
      <c r="BE46" s="303">
        <f t="shared" si="23"/>
        <v>1955783.201</v>
      </c>
      <c r="BF46" s="303">
        <f t="shared" si="23"/>
        <v>1989849.94</v>
      </c>
      <c r="BG46" s="303">
        <f t="shared" si="23"/>
        <v>2023433.974</v>
      </c>
      <c r="BH46" s="303">
        <f t="shared" si="23"/>
        <v>2056562.845</v>
      </c>
      <c r="BI46" s="303">
        <f t="shared" si="23"/>
        <v>2089263.077</v>
      </c>
      <c r="BJ46" s="303">
        <f t="shared" si="23"/>
        <v>2121560.221</v>
      </c>
      <c r="BK46" s="303">
        <f t="shared" si="23"/>
        <v>2177703.884</v>
      </c>
      <c r="BL46" s="303">
        <f t="shared" si="23"/>
        <v>2210505.931</v>
      </c>
      <c r="BM46" s="303">
        <f t="shared" si="23"/>
        <v>2240108.088</v>
      </c>
      <c r="BN46" s="303">
        <f t="shared" si="23"/>
        <v>2269833.804</v>
      </c>
      <c r="BO46" s="303">
        <f t="shared" si="23"/>
        <v>2299513.652</v>
      </c>
      <c r="BP46" s="303">
        <f t="shared" si="23"/>
        <v>2329137.542</v>
      </c>
      <c r="BQ46" s="303">
        <f t="shared" si="23"/>
        <v>2358718.982</v>
      </c>
      <c r="BR46" s="303">
        <f t="shared" si="23"/>
        <v>2388274.732</v>
      </c>
      <c r="BS46" s="303">
        <f t="shared" si="23"/>
        <v>2417821.78</v>
      </c>
      <c r="BT46" s="303">
        <f t="shared" si="23"/>
        <v>2447376.898</v>
      </c>
      <c r="BU46" s="303">
        <f t="shared" si="23"/>
        <v>2476956.595</v>
      </c>
      <c r="BV46" s="303">
        <f t="shared" si="23"/>
        <v>2506577.134</v>
      </c>
      <c r="BW46" s="303">
        <f t="shared" si="23"/>
        <v>2561373.418</v>
      </c>
      <c r="BX46" s="303">
        <f t="shared" si="23"/>
        <v>2582415.164</v>
      </c>
      <c r="BY46" s="303">
        <f t="shared" si="23"/>
        <v>2603208.601</v>
      </c>
      <c r="BZ46" s="303">
        <f t="shared" si="23"/>
        <v>2624466.562</v>
      </c>
      <c r="CA46" s="303">
        <f t="shared" si="23"/>
        <v>2645601.904</v>
      </c>
      <c r="CB46" s="303">
        <f t="shared" si="23"/>
        <v>2666545.797</v>
      </c>
      <c r="CC46" s="303">
        <f t="shared" si="23"/>
        <v>2687306.365</v>
      </c>
      <c r="CD46" s="303">
        <f t="shared" si="23"/>
        <v>2707902.517</v>
      </c>
      <c r="CE46" s="303">
        <f t="shared" si="23"/>
        <v>2728354.052</v>
      </c>
      <c r="CF46" s="303">
        <f t="shared" si="23"/>
        <v>2748680.209</v>
      </c>
      <c r="CG46" s="303">
        <f t="shared" si="23"/>
        <v>2768899.477</v>
      </c>
      <c r="CH46" s="303">
        <f t="shared" si="23"/>
        <v>2789029.597</v>
      </c>
      <c r="CI46" s="303"/>
    </row>
    <row r="47" ht="15.75" customHeight="1">
      <c r="A47" s="1" t="s">
        <v>325</v>
      </c>
      <c r="B47" s="1"/>
      <c r="C47" s="1"/>
      <c r="D47" s="387">
        <f t="shared" ref="D47:CH47" si="24">D46-C46</f>
        <v>122932</v>
      </c>
      <c r="E47" s="387">
        <f t="shared" si="24"/>
        <v>-65551</v>
      </c>
      <c r="F47" s="387">
        <f t="shared" si="24"/>
        <v>46833</v>
      </c>
      <c r="G47" s="387">
        <f t="shared" si="24"/>
        <v>1769</v>
      </c>
      <c r="H47" s="387">
        <f t="shared" si="24"/>
        <v>-75469</v>
      </c>
      <c r="I47" s="387">
        <f t="shared" si="24"/>
        <v>-2108</v>
      </c>
      <c r="J47" s="387">
        <f t="shared" si="24"/>
        <v>-10311</v>
      </c>
      <c r="K47" s="387">
        <f t="shared" si="24"/>
        <v>51610</v>
      </c>
      <c r="L47" s="387">
        <f t="shared" si="24"/>
        <v>27945</v>
      </c>
      <c r="M47" s="387">
        <f t="shared" si="24"/>
        <v>-8146</v>
      </c>
      <c r="N47" s="387">
        <f t="shared" si="24"/>
        <v>-33555</v>
      </c>
      <c r="O47" s="387">
        <f t="shared" si="24"/>
        <v>23998</v>
      </c>
      <c r="P47" s="387">
        <f t="shared" si="24"/>
        <v>-22184</v>
      </c>
      <c r="Q47" s="387">
        <f t="shared" si="24"/>
        <v>27153</v>
      </c>
      <c r="R47" s="387">
        <f t="shared" si="24"/>
        <v>-14427</v>
      </c>
      <c r="S47" s="387">
        <f t="shared" si="24"/>
        <v>60175</v>
      </c>
      <c r="T47" s="387">
        <f t="shared" si="24"/>
        <v>-79536</v>
      </c>
      <c r="U47" s="387">
        <f t="shared" si="24"/>
        <v>78620</v>
      </c>
      <c r="V47" s="387">
        <f t="shared" si="24"/>
        <v>-4869</v>
      </c>
      <c r="W47" s="387">
        <f t="shared" si="24"/>
        <v>-28451</v>
      </c>
      <c r="X47" s="387">
        <f t="shared" si="24"/>
        <v>-46268</v>
      </c>
      <c r="Y47" s="387">
        <f t="shared" si="24"/>
        <v>95630</v>
      </c>
      <c r="Z47" s="131">
        <f t="shared" si="24"/>
        <v>133027.3587</v>
      </c>
      <c r="AA47" s="131">
        <f t="shared" si="24"/>
        <v>80203.17765</v>
      </c>
      <c r="AB47" s="131">
        <f t="shared" si="24"/>
        <v>78566.72594</v>
      </c>
      <c r="AC47" s="131">
        <f t="shared" si="24"/>
        <v>73411.02208</v>
      </c>
      <c r="AD47" s="131">
        <f t="shared" si="24"/>
        <v>73078.87934</v>
      </c>
      <c r="AE47" s="131">
        <f t="shared" si="24"/>
        <v>81618.59303</v>
      </c>
      <c r="AF47" s="131">
        <f t="shared" si="24"/>
        <v>77985.14704</v>
      </c>
      <c r="AG47" s="131">
        <f t="shared" si="24"/>
        <v>75660.48651</v>
      </c>
      <c r="AH47" s="131">
        <f t="shared" si="24"/>
        <v>74742.44392</v>
      </c>
      <c r="AI47" s="131">
        <f t="shared" si="24"/>
        <v>76774.51738</v>
      </c>
      <c r="AJ47" s="131">
        <f t="shared" si="24"/>
        <v>71077.91954</v>
      </c>
      <c r="AK47" s="131">
        <f t="shared" si="24"/>
        <v>75047.53002</v>
      </c>
      <c r="AL47" s="131">
        <f t="shared" si="24"/>
        <v>77988.59823</v>
      </c>
      <c r="AM47" s="131">
        <f t="shared" si="24"/>
        <v>60754.14063</v>
      </c>
      <c r="AN47" s="131">
        <f t="shared" si="24"/>
        <v>11600.21291</v>
      </c>
      <c r="AO47" s="131">
        <f t="shared" si="24"/>
        <v>23116.02121</v>
      </c>
      <c r="AP47" s="131">
        <f t="shared" si="24"/>
        <v>27366.69586</v>
      </c>
      <c r="AQ47" s="131">
        <f t="shared" si="24"/>
        <v>27504.26884</v>
      </c>
      <c r="AR47" s="131">
        <f t="shared" si="24"/>
        <v>27524.22547</v>
      </c>
      <c r="AS47" s="131">
        <f t="shared" si="24"/>
        <v>26809.73022</v>
      </c>
      <c r="AT47" s="131">
        <f t="shared" si="24"/>
        <v>39937.07314</v>
      </c>
      <c r="AU47" s="131">
        <f t="shared" si="24"/>
        <v>26036.24858</v>
      </c>
      <c r="AV47" s="131">
        <f t="shared" si="24"/>
        <v>25591.33577</v>
      </c>
      <c r="AW47" s="131">
        <f t="shared" si="24"/>
        <v>25175.98131</v>
      </c>
      <c r="AX47" s="131">
        <f t="shared" si="24"/>
        <v>24788.43866</v>
      </c>
      <c r="AY47" s="131">
        <f t="shared" si="24"/>
        <v>52841.22042</v>
      </c>
      <c r="AZ47" s="131">
        <f t="shared" si="24"/>
        <v>37880.67415</v>
      </c>
      <c r="BA47" s="131">
        <f t="shared" si="24"/>
        <v>36973.49775</v>
      </c>
      <c r="BB47" s="131">
        <f t="shared" si="24"/>
        <v>36301.00005</v>
      </c>
      <c r="BC47" s="131">
        <f t="shared" si="24"/>
        <v>35691.81098</v>
      </c>
      <c r="BD47" s="131">
        <f t="shared" si="24"/>
        <v>35119.17091</v>
      </c>
      <c r="BE47" s="131">
        <f t="shared" si="24"/>
        <v>34578.05475</v>
      </c>
      <c r="BF47" s="131">
        <f t="shared" si="24"/>
        <v>34066.73887</v>
      </c>
      <c r="BG47" s="131">
        <f t="shared" si="24"/>
        <v>33584.03442</v>
      </c>
      <c r="BH47" s="131">
        <f t="shared" si="24"/>
        <v>33128.87082</v>
      </c>
      <c r="BI47" s="131">
        <f t="shared" si="24"/>
        <v>32700.23178</v>
      </c>
      <c r="BJ47" s="131">
        <f t="shared" si="24"/>
        <v>32297.14418</v>
      </c>
      <c r="BK47" s="131">
        <f t="shared" si="24"/>
        <v>56143.66294</v>
      </c>
      <c r="BL47" s="131">
        <f t="shared" si="24"/>
        <v>32802.04719</v>
      </c>
      <c r="BM47" s="131">
        <f t="shared" si="24"/>
        <v>29602.15652</v>
      </c>
      <c r="BN47" s="131">
        <f t="shared" si="24"/>
        <v>29725.71616</v>
      </c>
      <c r="BO47" s="131">
        <f t="shared" si="24"/>
        <v>29679.84839</v>
      </c>
      <c r="BP47" s="131">
        <f t="shared" si="24"/>
        <v>29623.89025</v>
      </c>
      <c r="BQ47" s="131">
        <f t="shared" si="24"/>
        <v>29581.43912</v>
      </c>
      <c r="BR47" s="131">
        <f t="shared" si="24"/>
        <v>29555.75065</v>
      </c>
      <c r="BS47" s="131">
        <f t="shared" si="24"/>
        <v>29547.04793</v>
      </c>
      <c r="BT47" s="131">
        <f t="shared" si="24"/>
        <v>29555.11742</v>
      </c>
      <c r="BU47" s="131">
        <f t="shared" si="24"/>
        <v>29579.69787</v>
      </c>
      <c r="BV47" s="131">
        <f t="shared" si="24"/>
        <v>29620.53827</v>
      </c>
      <c r="BW47" s="131">
        <f t="shared" si="24"/>
        <v>54796.28391</v>
      </c>
      <c r="BX47" s="131">
        <f t="shared" si="24"/>
        <v>21041.74664</v>
      </c>
      <c r="BY47" s="131">
        <f t="shared" si="24"/>
        <v>20793.43706</v>
      </c>
      <c r="BZ47" s="131">
        <f t="shared" si="24"/>
        <v>21257.96115</v>
      </c>
      <c r="CA47" s="131">
        <f t="shared" si="24"/>
        <v>21135.3419</v>
      </c>
      <c r="CB47" s="131">
        <f t="shared" si="24"/>
        <v>20943.89286</v>
      </c>
      <c r="CC47" s="131">
        <f t="shared" si="24"/>
        <v>20760.56808</v>
      </c>
      <c r="CD47" s="131">
        <f t="shared" si="24"/>
        <v>20596.15172</v>
      </c>
      <c r="CE47" s="131">
        <f t="shared" si="24"/>
        <v>20451.53507</v>
      </c>
      <c r="CF47" s="131">
        <f t="shared" si="24"/>
        <v>20326.15686</v>
      </c>
      <c r="CG47" s="131">
        <f t="shared" si="24"/>
        <v>20219.26802</v>
      </c>
      <c r="CH47" s="131">
        <f t="shared" si="24"/>
        <v>20130.12021</v>
      </c>
      <c r="CI47" s="131"/>
    </row>
    <row r="48" ht="15.75" customHeight="1">
      <c r="A48" s="1" t="s">
        <v>51</v>
      </c>
      <c r="B48" s="1"/>
      <c r="C48" s="1"/>
      <c r="D48" s="423">
        <f t="shared" ref="D48:CH48" si="25">D46/C46-1</f>
        <v>0.8465166884</v>
      </c>
      <c r="E48" s="423">
        <f t="shared" si="25"/>
        <v>-0.244453726</v>
      </c>
      <c r="F48" s="423">
        <f t="shared" si="25"/>
        <v>0.2311576391</v>
      </c>
      <c r="G48" s="423">
        <f t="shared" si="25"/>
        <v>0.007092027983</v>
      </c>
      <c r="H48" s="423">
        <f t="shared" si="25"/>
        <v>-0.3004291333</v>
      </c>
      <c r="I48" s="423">
        <f t="shared" si="25"/>
        <v>-0.01199533388</v>
      </c>
      <c r="J48" s="423">
        <f t="shared" si="25"/>
        <v>-0.059385925</v>
      </c>
      <c r="K48" s="423">
        <f t="shared" si="25"/>
        <v>0.3160131279</v>
      </c>
      <c r="L48" s="423">
        <f t="shared" si="25"/>
        <v>0.1300214958</v>
      </c>
      <c r="M48" s="423">
        <f t="shared" si="25"/>
        <v>-0.03354043916</v>
      </c>
      <c r="N48" s="423">
        <f t="shared" si="25"/>
        <v>-0.1429545212</v>
      </c>
      <c r="O48" s="423">
        <f t="shared" si="25"/>
        <v>0.119292141</v>
      </c>
      <c r="P48" s="423">
        <f t="shared" si="25"/>
        <v>-0.09852199247</v>
      </c>
      <c r="Q48" s="423">
        <f t="shared" si="25"/>
        <v>0.1337691641</v>
      </c>
      <c r="R48" s="423">
        <f t="shared" si="25"/>
        <v>-0.06268874627</v>
      </c>
      <c r="S48" s="423">
        <f t="shared" si="25"/>
        <v>0.2789624959</v>
      </c>
      <c r="T48" s="423">
        <f t="shared" si="25"/>
        <v>-0.2882940356</v>
      </c>
      <c r="U48" s="423">
        <f t="shared" si="25"/>
        <v>0.400409475</v>
      </c>
      <c r="V48" s="423">
        <f t="shared" si="25"/>
        <v>-0.01770745066</v>
      </c>
      <c r="W48" s="423">
        <f t="shared" si="25"/>
        <v>-0.1053350611</v>
      </c>
      <c r="X48" s="423">
        <f t="shared" si="25"/>
        <v>-0.1914677901</v>
      </c>
      <c r="Y48" s="423">
        <f t="shared" si="25"/>
        <v>0.4894539387</v>
      </c>
      <c r="Z48" s="202">
        <f t="shared" si="25"/>
        <v>0.4571214101</v>
      </c>
      <c r="AA48" s="202">
        <f t="shared" si="25"/>
        <v>0.1891413265</v>
      </c>
      <c r="AB48" s="202">
        <f t="shared" si="25"/>
        <v>0.15581169</v>
      </c>
      <c r="AC48" s="202">
        <f t="shared" si="25"/>
        <v>0.1259608465</v>
      </c>
      <c r="AD48" s="202">
        <f t="shared" si="25"/>
        <v>0.1113635047</v>
      </c>
      <c r="AE48" s="202">
        <f t="shared" si="25"/>
        <v>0.111913888</v>
      </c>
      <c r="AF48" s="202">
        <f t="shared" si="25"/>
        <v>0.09616911526</v>
      </c>
      <c r="AG48" s="202">
        <f t="shared" si="25"/>
        <v>0.08511680106</v>
      </c>
      <c r="AH48" s="202">
        <f t="shared" si="25"/>
        <v>0.07748844935</v>
      </c>
      <c r="AI48" s="202">
        <f t="shared" si="25"/>
        <v>0.07387102884</v>
      </c>
      <c r="AJ48" s="202">
        <f t="shared" si="25"/>
        <v>0.0636853638</v>
      </c>
      <c r="AK48" s="202">
        <f t="shared" si="25"/>
        <v>0.06321616507</v>
      </c>
      <c r="AL48" s="202">
        <f t="shared" si="25"/>
        <v>0.06178759434</v>
      </c>
      <c r="AM48" s="202">
        <f t="shared" si="25"/>
        <v>0.0453323682</v>
      </c>
      <c r="AN48" s="202">
        <f t="shared" si="25"/>
        <v>0.008280262166</v>
      </c>
      <c r="AO48" s="202">
        <f t="shared" si="25"/>
        <v>0.0163647715</v>
      </c>
      <c r="AP48" s="202">
        <f t="shared" si="25"/>
        <v>0.01906205085</v>
      </c>
      <c r="AQ48" s="202">
        <f t="shared" si="25"/>
        <v>0.01879951881</v>
      </c>
      <c r="AR48" s="202">
        <f t="shared" si="25"/>
        <v>0.01846600737</v>
      </c>
      <c r="AS48" s="202">
        <f t="shared" si="25"/>
        <v>0.01766053286</v>
      </c>
      <c r="AT48" s="202">
        <f t="shared" si="25"/>
        <v>0.02585143532</v>
      </c>
      <c r="AU48" s="202">
        <f t="shared" si="25"/>
        <v>0.01642866849</v>
      </c>
      <c r="AV48" s="202">
        <f t="shared" si="25"/>
        <v>0.01588693088</v>
      </c>
      <c r="AW48" s="202">
        <f t="shared" si="25"/>
        <v>0.01538466646</v>
      </c>
      <c r="AX48" s="202">
        <f t="shared" si="25"/>
        <v>0.01491833138</v>
      </c>
      <c r="AY48" s="202">
        <f t="shared" si="25"/>
        <v>0.03133378216</v>
      </c>
      <c r="AZ48" s="202">
        <f t="shared" si="25"/>
        <v>0.02178002811</v>
      </c>
      <c r="BA48" s="202">
        <f t="shared" si="25"/>
        <v>0.02080529434</v>
      </c>
      <c r="BB48" s="202">
        <f t="shared" si="25"/>
        <v>0.02001054895</v>
      </c>
      <c r="BC48" s="202">
        <f t="shared" si="25"/>
        <v>0.0192887611</v>
      </c>
      <c r="BD48" s="202">
        <f t="shared" si="25"/>
        <v>0.01862013257</v>
      </c>
      <c r="BE48" s="202">
        <f t="shared" si="25"/>
        <v>0.01799810646</v>
      </c>
      <c r="BF48" s="202">
        <f t="shared" si="25"/>
        <v>0.01741846379</v>
      </c>
      <c r="BG48" s="202">
        <f t="shared" si="25"/>
        <v>0.0168776719</v>
      </c>
      <c r="BH48" s="202">
        <f t="shared" si="25"/>
        <v>0.01637259789</v>
      </c>
      <c r="BI48" s="202">
        <f t="shared" si="25"/>
        <v>0.01590042913</v>
      </c>
      <c r="BJ48" s="202">
        <f t="shared" si="25"/>
        <v>0.01545862967</v>
      </c>
      <c r="BK48" s="202">
        <f t="shared" si="25"/>
        <v>0.02646338406</v>
      </c>
      <c r="BL48" s="202">
        <f t="shared" si="25"/>
        <v>0.01506267561</v>
      </c>
      <c r="BM48" s="202">
        <f t="shared" si="25"/>
        <v>0.01339157525</v>
      </c>
      <c r="BN48" s="202">
        <f t="shared" si="25"/>
        <v>0.01326976869</v>
      </c>
      <c r="BO48" s="202">
        <f t="shared" si="25"/>
        <v>0.01307578041</v>
      </c>
      <c r="BP48" s="202">
        <f t="shared" si="25"/>
        <v>0.01288267639</v>
      </c>
      <c r="BQ48" s="202">
        <f t="shared" si="25"/>
        <v>0.01270059779</v>
      </c>
      <c r="BR48" s="202">
        <f t="shared" si="25"/>
        <v>0.01253042473</v>
      </c>
      <c r="BS48" s="202">
        <f t="shared" si="25"/>
        <v>0.01237171232</v>
      </c>
      <c r="BT48" s="202">
        <f t="shared" si="25"/>
        <v>0.01222386102</v>
      </c>
      <c r="BU48" s="202">
        <f t="shared" si="25"/>
        <v>0.0120862863</v>
      </c>
      <c r="BV48" s="202">
        <f t="shared" si="25"/>
        <v>0.01195844058</v>
      </c>
      <c r="BW48" s="202">
        <f t="shared" si="25"/>
        <v>0.02186100047</v>
      </c>
      <c r="BX48" s="202">
        <f t="shared" si="25"/>
        <v>0.008215024993</v>
      </c>
      <c r="BY48" s="202">
        <f t="shared" si="25"/>
        <v>0.00805193423</v>
      </c>
      <c r="BZ48" s="202">
        <f t="shared" si="25"/>
        <v>0.008166061353</v>
      </c>
      <c r="CA48" s="202">
        <f t="shared" si="25"/>
        <v>0.008053195345</v>
      </c>
      <c r="CB48" s="202">
        <f t="shared" si="25"/>
        <v>0.007916494474</v>
      </c>
      <c r="CC48" s="202">
        <f t="shared" si="25"/>
        <v>0.007785565919</v>
      </c>
      <c r="CD48" s="202">
        <f t="shared" si="25"/>
        <v>0.007664236569</v>
      </c>
      <c r="CE48" s="202">
        <f t="shared" si="25"/>
        <v>0.007552537413</v>
      </c>
      <c r="CF48" s="202">
        <f t="shared" si="25"/>
        <v>0.007449970374</v>
      </c>
      <c r="CG48" s="202">
        <f t="shared" si="25"/>
        <v>0.007355991413</v>
      </c>
      <c r="CH48" s="202">
        <f t="shared" si="25"/>
        <v>0.007270079821</v>
      </c>
      <c r="CI48" s="202"/>
    </row>
    <row r="49" ht="15.75" customHeight="1">
      <c r="A49" s="1" t="s">
        <v>678</v>
      </c>
      <c r="B49" s="1"/>
      <c r="C49" s="448">
        <f t="shared" ref="C49:CH49" si="26">SUM(C42,C31,C37)</f>
        <v>386.626</v>
      </c>
      <c r="D49" s="448">
        <f t="shared" si="26"/>
        <v>702.562</v>
      </c>
      <c r="E49" s="448">
        <f t="shared" si="26"/>
        <v>495.428</v>
      </c>
      <c r="F49" s="448">
        <f t="shared" si="26"/>
        <v>662.23</v>
      </c>
      <c r="G49" s="448">
        <f t="shared" si="26"/>
        <v>686.496</v>
      </c>
      <c r="H49" s="448">
        <f t="shared" si="26"/>
        <v>460.91</v>
      </c>
      <c r="I49" s="448">
        <f t="shared" si="26"/>
        <v>444.31</v>
      </c>
      <c r="J49" s="448">
        <f t="shared" si="26"/>
        <v>485.384</v>
      </c>
      <c r="K49" s="448">
        <f t="shared" si="26"/>
        <v>558.516</v>
      </c>
      <c r="L49" s="448">
        <f t="shared" si="26"/>
        <v>653.214</v>
      </c>
      <c r="M49" s="448">
        <f t="shared" si="26"/>
        <v>618.626</v>
      </c>
      <c r="N49" s="448">
        <f t="shared" si="26"/>
        <v>519.644</v>
      </c>
      <c r="O49" s="448">
        <f t="shared" si="26"/>
        <v>561.608</v>
      </c>
      <c r="P49" s="448">
        <f t="shared" si="26"/>
        <v>557.648</v>
      </c>
      <c r="Q49" s="448">
        <f t="shared" si="26"/>
        <v>606.482</v>
      </c>
      <c r="R49" s="448">
        <f t="shared" si="26"/>
        <v>604.22</v>
      </c>
      <c r="S49" s="448">
        <f t="shared" si="26"/>
        <v>661.034</v>
      </c>
      <c r="T49" s="448">
        <f t="shared" si="26"/>
        <v>582.618</v>
      </c>
      <c r="U49" s="448">
        <f t="shared" si="26"/>
        <v>703.074</v>
      </c>
      <c r="V49" s="448">
        <f t="shared" si="26"/>
        <v>621.904</v>
      </c>
      <c r="W49" s="448">
        <f t="shared" si="26"/>
        <v>665.794</v>
      </c>
      <c r="X49" s="448">
        <f t="shared" si="26"/>
        <v>571.082</v>
      </c>
      <c r="Y49" s="448">
        <f t="shared" si="26"/>
        <v>764.926</v>
      </c>
      <c r="Z49" s="448">
        <f t="shared" si="26"/>
        <v>1065.626885</v>
      </c>
      <c r="AA49" s="448">
        <f t="shared" si="26"/>
        <v>1294.231037</v>
      </c>
      <c r="AB49" s="448">
        <f t="shared" si="26"/>
        <v>1497.633548</v>
      </c>
      <c r="AC49" s="448">
        <f t="shared" si="26"/>
        <v>1692.103042</v>
      </c>
      <c r="AD49" s="448">
        <f t="shared" si="26"/>
        <v>1886.406453</v>
      </c>
      <c r="AE49" s="448">
        <f t="shared" si="26"/>
        <v>2152.194845</v>
      </c>
      <c r="AF49" s="448">
        <f t="shared" si="26"/>
        <v>2363.868673</v>
      </c>
      <c r="AG49" s="448">
        <f t="shared" si="26"/>
        <v>2570.063514</v>
      </c>
      <c r="AH49" s="448">
        <f t="shared" si="26"/>
        <v>2773.883752</v>
      </c>
      <c r="AI49" s="448">
        <f t="shared" si="26"/>
        <v>2983.26538</v>
      </c>
      <c r="AJ49" s="448">
        <f t="shared" si="26"/>
        <v>3179.173731</v>
      </c>
      <c r="AK49" s="448">
        <f t="shared" si="26"/>
        <v>3384.157735</v>
      </c>
      <c r="AL49" s="448">
        <f t="shared" si="26"/>
        <v>3596.90025</v>
      </c>
      <c r="AM49" s="448">
        <f t="shared" si="26"/>
        <v>3848.610047</v>
      </c>
      <c r="AN49" s="448">
        <f t="shared" si="26"/>
        <v>3897.25737</v>
      </c>
      <c r="AO49" s="448">
        <f t="shared" si="26"/>
        <v>3966.158372</v>
      </c>
      <c r="AP49" s="448">
        <f t="shared" si="26"/>
        <v>4043.058302</v>
      </c>
      <c r="AQ49" s="448">
        <f t="shared" si="26"/>
        <v>4119.76069</v>
      </c>
      <c r="AR49" s="448">
        <f t="shared" si="26"/>
        <v>4196.246918</v>
      </c>
      <c r="AS49" s="448">
        <f t="shared" si="26"/>
        <v>4270.878814</v>
      </c>
      <c r="AT49" s="448">
        <f t="shared" si="26"/>
        <v>4480.616714</v>
      </c>
      <c r="AU49" s="448">
        <f t="shared" si="26"/>
        <v>4554.768383</v>
      </c>
      <c r="AV49" s="448">
        <f t="shared" si="26"/>
        <v>4627.648206</v>
      </c>
      <c r="AW49" s="448">
        <f t="shared" si="26"/>
        <v>4699.340189</v>
      </c>
      <c r="AX49" s="448">
        <f t="shared" si="26"/>
        <v>4769.923722</v>
      </c>
      <c r="AY49" s="448">
        <f t="shared" si="26"/>
        <v>5026.790268</v>
      </c>
      <c r="AZ49" s="448">
        <f t="shared" si="26"/>
        <v>5136.89686</v>
      </c>
      <c r="BA49" s="448">
        <f t="shared" si="26"/>
        <v>5244.569497</v>
      </c>
      <c r="BB49" s="448">
        <f t="shared" si="26"/>
        <v>5350.309376</v>
      </c>
      <c r="BC49" s="448">
        <f t="shared" si="26"/>
        <v>5454.27375</v>
      </c>
      <c r="BD49" s="448">
        <f t="shared" si="26"/>
        <v>5556.565206</v>
      </c>
      <c r="BE49" s="448">
        <f t="shared" si="26"/>
        <v>5657.275177</v>
      </c>
      <c r="BF49" s="448">
        <f t="shared" si="26"/>
        <v>5756.49059</v>
      </c>
      <c r="BG49" s="448">
        <f t="shared" si="26"/>
        <v>5854.29498</v>
      </c>
      <c r="BH49" s="448">
        <f t="shared" si="26"/>
        <v>5950.768768</v>
      </c>
      <c r="BI49" s="448">
        <f t="shared" si="26"/>
        <v>6045.989406</v>
      </c>
      <c r="BJ49" s="448">
        <f t="shared" si="26"/>
        <v>6140.031508</v>
      </c>
      <c r="BK49" s="448">
        <f t="shared" si="26"/>
        <v>6054.04442</v>
      </c>
      <c r="BL49" s="448">
        <f t="shared" si="26"/>
        <v>6147.616848</v>
      </c>
      <c r="BM49" s="448">
        <f t="shared" si="26"/>
        <v>6230.716766</v>
      </c>
      <c r="BN49" s="448">
        <f t="shared" si="26"/>
        <v>6313.93963</v>
      </c>
      <c r="BO49" s="448">
        <f t="shared" si="26"/>
        <v>6396.998765</v>
      </c>
      <c r="BP49" s="448">
        <f t="shared" si="26"/>
        <v>6479.894201</v>
      </c>
      <c r="BQ49" s="448">
        <f t="shared" si="26"/>
        <v>6562.668122</v>
      </c>
      <c r="BR49" s="448">
        <f t="shared" si="26"/>
        <v>6645.368239</v>
      </c>
      <c r="BS49" s="448">
        <f t="shared" si="26"/>
        <v>6728.042346</v>
      </c>
      <c r="BT49" s="448">
        <f t="shared" si="26"/>
        <v>6810.737556</v>
      </c>
      <c r="BU49" s="448">
        <f t="shared" si="26"/>
        <v>6893.500236</v>
      </c>
      <c r="BV49" s="448">
        <f t="shared" si="26"/>
        <v>6976.376047</v>
      </c>
      <c r="BW49" s="448">
        <f t="shared" si="26"/>
        <v>7286.16203</v>
      </c>
      <c r="BX49" s="448">
        <f t="shared" si="26"/>
        <v>7352.2998</v>
      </c>
      <c r="BY49" s="448">
        <f t="shared" si="26"/>
        <v>7412.599257</v>
      </c>
      <c r="BZ49" s="448">
        <f t="shared" si="26"/>
        <v>7473.462318</v>
      </c>
      <c r="CA49" s="448">
        <f t="shared" si="26"/>
        <v>7533.856501</v>
      </c>
      <c r="CB49" s="448">
        <f t="shared" si="26"/>
        <v>7593.682173</v>
      </c>
      <c r="CC49" s="448">
        <f t="shared" si="26"/>
        <v>7652.97735</v>
      </c>
      <c r="CD49" s="448">
        <f t="shared" si="26"/>
        <v>7711.79852</v>
      </c>
      <c r="CE49" s="448">
        <f t="shared" si="26"/>
        <v>7770.202852</v>
      </c>
      <c r="CF49" s="448">
        <f t="shared" si="26"/>
        <v>7828.245624</v>
      </c>
      <c r="CG49" s="448">
        <f t="shared" si="26"/>
        <v>7885.979921</v>
      </c>
      <c r="CH49" s="448">
        <f t="shared" si="26"/>
        <v>7943.456674</v>
      </c>
      <c r="CI49" s="448"/>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ht="15.75" customHeight="1">
      <c r="A52" s="232" t="s">
        <v>85</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ht="15.75" customHeight="1" outlineLevel="1">
      <c r="A54" s="1" t="s">
        <v>673</v>
      </c>
      <c r="B54" s="1"/>
      <c r="C54" s="442">
        <f>Retention!C103</f>
        <v>2</v>
      </c>
      <c r="D54" s="442">
        <f>Retention!D103</f>
        <v>2</v>
      </c>
      <c r="E54" s="442">
        <f>Retention!E103</f>
        <v>2</v>
      </c>
      <c r="F54" s="442">
        <f>Retention!F103</f>
        <v>2</v>
      </c>
      <c r="G54" s="442">
        <f>Retention!G103</f>
        <v>2</v>
      </c>
      <c r="H54" s="442">
        <f>Retention!H103</f>
        <v>2</v>
      </c>
      <c r="I54" s="442">
        <f>Retention!I103</f>
        <v>2</v>
      </c>
      <c r="J54" s="442">
        <f>Retention!J103</f>
        <v>2</v>
      </c>
      <c r="K54" s="442">
        <f>Retention!K103</f>
        <v>2</v>
      </c>
      <c r="L54" s="442">
        <f>Retention!L103</f>
        <v>2</v>
      </c>
      <c r="M54" s="442">
        <f>Retention!M103</f>
        <v>2</v>
      </c>
      <c r="N54" s="442">
        <f>Retention!N103</f>
        <v>2</v>
      </c>
      <c r="O54" s="442">
        <f>Retention!O103</f>
        <v>2</v>
      </c>
      <c r="P54" s="442">
        <f>Retention!P103</f>
        <v>2</v>
      </c>
      <c r="Q54" s="442">
        <f>Retention!Q103</f>
        <v>2</v>
      </c>
      <c r="R54" s="442">
        <f>Retention!R103</f>
        <v>2</v>
      </c>
      <c r="S54" s="442">
        <f>Retention!S103</f>
        <v>2</v>
      </c>
      <c r="T54" s="442">
        <f>Retention!T103</f>
        <v>2</v>
      </c>
      <c r="U54" s="442">
        <f>Retention!U103</f>
        <v>2</v>
      </c>
      <c r="V54" s="442">
        <f>Retention!V103</f>
        <v>2</v>
      </c>
      <c r="W54" s="442">
        <f>Retention!W103</f>
        <v>2</v>
      </c>
      <c r="X54" s="442">
        <f>Retention!X103</f>
        <v>2</v>
      </c>
      <c r="Y54" s="442">
        <f>Retention!Y103</f>
        <v>2</v>
      </c>
      <c r="Z54" s="442">
        <f>Retention!Z103</f>
        <v>5.347624093</v>
      </c>
      <c r="AA54" s="442">
        <f>Retention!AA103</f>
        <v>6.306498007</v>
      </c>
      <c r="AB54" s="442">
        <f>Retention!AB103</f>
        <v>7.17842322</v>
      </c>
      <c r="AC54" s="442">
        <f>Retention!AC103</f>
        <v>7.660893729</v>
      </c>
      <c r="AD54" s="442">
        <f>Retention!AD103</f>
        <v>8.040109263</v>
      </c>
      <c r="AE54" s="442">
        <f>Retention!AE103</f>
        <v>8.270288136</v>
      </c>
      <c r="AF54" s="442">
        <f>Retention!AF103</f>
        <v>8.174753555</v>
      </c>
      <c r="AG54" s="442">
        <f>Retention!AG103</f>
        <v>8.341206389</v>
      </c>
      <c r="AH54" s="442">
        <f>Retention!AH103</f>
        <v>8.404758686</v>
      </c>
      <c r="AI54" s="442">
        <f>Retention!AI103</f>
        <v>8.533097689</v>
      </c>
      <c r="AJ54" s="442">
        <f>Retention!AJ103</f>
        <v>8.43635801</v>
      </c>
      <c r="AK54" s="442">
        <f>Retention!AK103</f>
        <v>8.573743084</v>
      </c>
      <c r="AL54" s="442">
        <f>Retention!AL103</f>
        <v>8.760844585</v>
      </c>
      <c r="AM54" s="442">
        <f>Retention!AM103</f>
        <v>7.56147389</v>
      </c>
      <c r="AN54" s="442">
        <f>Retention!AN103</f>
        <v>6.642145169</v>
      </c>
      <c r="AO54" s="442">
        <f>Retention!AO103</f>
        <v>6.512724188</v>
      </c>
      <c r="AP54" s="442">
        <f>Retention!AP103</f>
        <v>6.5648493</v>
      </c>
      <c r="AQ54" s="442">
        <f>Retention!AQ103</f>
        <v>6.617479786</v>
      </c>
      <c r="AR54" s="442">
        <f>Retention!AR103</f>
        <v>6.653305597</v>
      </c>
      <c r="AS54" s="442">
        <f>Retention!AS103</f>
        <v>6.706776091</v>
      </c>
      <c r="AT54" s="442">
        <f>Retention!AT103</f>
        <v>6.76076675</v>
      </c>
      <c r="AU54" s="442">
        <f>Retention!AU103</f>
        <v>6.815283348</v>
      </c>
      <c r="AV54" s="442">
        <f>Retention!AV103</f>
        <v>6.870331727</v>
      </c>
      <c r="AW54" s="442">
        <f>Retention!AW103</f>
        <v>6.925917799</v>
      </c>
      <c r="AX54" s="442">
        <f>Retention!AX103</f>
        <v>6.982047548</v>
      </c>
      <c r="AY54" s="442">
        <f>Retention!AY103</f>
        <v>7.019848967</v>
      </c>
      <c r="AZ54" s="442">
        <f>Retention!AZ103</f>
        <v>7.092011223</v>
      </c>
      <c r="BA54" s="442">
        <f>Retention!BA103</f>
        <v>7.148263833</v>
      </c>
      <c r="BB54" s="442">
        <f>Retention!BB103</f>
        <v>7.205047826</v>
      </c>
      <c r="BC54" s="442">
        <f>Retention!BC103</f>
        <v>7.262368862</v>
      </c>
      <c r="BD54" s="442">
        <f>Retention!BD103</f>
        <v>7.320232667</v>
      </c>
      <c r="BE54" s="442">
        <f>Retention!BE103</f>
        <v>7.378645033</v>
      </c>
      <c r="BF54" s="442">
        <f>Retention!BF103</f>
        <v>7.437611816</v>
      </c>
      <c r="BG54" s="442">
        <f>Retention!BG103</f>
        <v>7.49713894</v>
      </c>
      <c r="BH54" s="442">
        <f>Retention!BH103</f>
        <v>7.557232395</v>
      </c>
      <c r="BI54" s="442">
        <f>Retention!BI103</f>
        <v>7.617898242</v>
      </c>
      <c r="BJ54" s="442">
        <f>Retention!BJ103</f>
        <v>7.679142608</v>
      </c>
      <c r="BK54" s="442">
        <f>Retention!BK103</f>
        <v>7.619042274</v>
      </c>
      <c r="BL54" s="442">
        <f>Retention!BL103</f>
        <v>7.414669528</v>
      </c>
      <c r="BM54" s="442">
        <f>Retention!BM103</f>
        <v>7.187947673</v>
      </c>
      <c r="BN54" s="442">
        <f>Retention!BN103</f>
        <v>7.255163544</v>
      </c>
      <c r="BO54" s="442">
        <f>Retention!BO103</f>
        <v>7.323356261</v>
      </c>
      <c r="BP54" s="442">
        <f>Retention!BP103</f>
        <v>7.392547029</v>
      </c>
      <c r="BQ54" s="442">
        <f>Retention!BQ103</f>
        <v>7.462757638</v>
      </c>
      <c r="BR54" s="442">
        <f>Retention!BR103</f>
        <v>7.53401048</v>
      </c>
      <c r="BS54" s="442">
        <f>Retention!BS103</f>
        <v>7.606328565</v>
      </c>
      <c r="BT54" s="442">
        <f>Retention!BT103</f>
        <v>7.679735539</v>
      </c>
      <c r="BU54" s="442">
        <f>Retention!BU103</f>
        <v>7.754255711</v>
      </c>
      <c r="BV54" s="442">
        <f>Retention!BV103</f>
        <v>7.829914063</v>
      </c>
      <c r="BW54" s="442">
        <f>Retention!BW103</f>
        <v>7.970532812</v>
      </c>
      <c r="BX54" s="442">
        <f>Retention!BX103</f>
        <v>7.636886334</v>
      </c>
      <c r="BY54" s="442">
        <f>Retention!BY103</f>
        <v>7.366434531</v>
      </c>
      <c r="BZ54" s="442">
        <f>Retention!BZ103</f>
        <v>7.400660648</v>
      </c>
      <c r="CA54" s="442">
        <f>Retention!CA103</f>
        <v>7.435829971</v>
      </c>
      <c r="CB54" s="442">
        <f>Retention!CB103</f>
        <v>7.4719357</v>
      </c>
      <c r="CC54" s="442">
        <f>Retention!CC103</f>
        <v>7.508971404</v>
      </c>
      <c r="CD54" s="442">
        <f>Retention!CD103</f>
        <v>7.546931019</v>
      </c>
      <c r="CE54" s="442">
        <f>Retention!CE103</f>
        <v>7.585808835</v>
      </c>
      <c r="CF54" s="442">
        <f>Retention!CF103</f>
        <v>7.625599492</v>
      </c>
      <c r="CG54" s="442">
        <f>Retention!CG103</f>
        <v>7.666297975</v>
      </c>
      <c r="CH54" s="442">
        <f>Retention!CH103</f>
        <v>7.707899604</v>
      </c>
      <c r="CI54" s="442"/>
    </row>
    <row r="55" ht="15.75" customHeight="1" outlineLevel="1">
      <c r="A55" s="1" t="s">
        <v>674</v>
      </c>
      <c r="B55" s="1"/>
      <c r="C55" s="442">
        <f>Retention!C111</f>
        <v>50</v>
      </c>
      <c r="D55" s="442">
        <f>Retention!D111</f>
        <v>51</v>
      </c>
      <c r="E55" s="442">
        <f>Retention!E111</f>
        <v>52</v>
      </c>
      <c r="F55" s="442">
        <f>Retention!F111</f>
        <v>53</v>
      </c>
      <c r="G55" s="442">
        <f>Retention!G111</f>
        <v>54</v>
      </c>
      <c r="H55" s="442">
        <f>Retention!H111</f>
        <v>55</v>
      </c>
      <c r="I55" s="442">
        <f>Retention!I111</f>
        <v>56</v>
      </c>
      <c r="J55" s="442">
        <f>Retention!J111</f>
        <v>57</v>
      </c>
      <c r="K55" s="442">
        <f>Retention!K111</f>
        <v>58</v>
      </c>
      <c r="L55" s="442">
        <f>Retention!L111</f>
        <v>59</v>
      </c>
      <c r="M55" s="442">
        <f>Retention!M111</f>
        <v>60</v>
      </c>
      <c r="N55" s="442">
        <f>Retention!N111</f>
        <v>61</v>
      </c>
      <c r="O55" s="442">
        <f>Retention!O111</f>
        <v>62</v>
      </c>
      <c r="P55" s="442">
        <f>Retention!P111</f>
        <v>63</v>
      </c>
      <c r="Q55" s="442">
        <f>Retention!Q111</f>
        <v>64</v>
      </c>
      <c r="R55" s="442">
        <f>Retention!R111</f>
        <v>65</v>
      </c>
      <c r="S55" s="442">
        <f>Retention!S111</f>
        <v>66</v>
      </c>
      <c r="T55" s="442">
        <f>Retention!T111</f>
        <v>67</v>
      </c>
      <c r="U55" s="442">
        <f>Retention!U111</f>
        <v>68</v>
      </c>
      <c r="V55" s="442">
        <f>Retention!V111</f>
        <v>69</v>
      </c>
      <c r="W55" s="442">
        <f>Retention!W111</f>
        <v>70</v>
      </c>
      <c r="X55" s="442">
        <f>Retention!X111</f>
        <v>71</v>
      </c>
      <c r="Y55" s="442">
        <f>Retention!Y111</f>
        <v>72</v>
      </c>
      <c r="Z55" s="442">
        <f>Retention!Z111</f>
        <v>73</v>
      </c>
      <c r="AA55" s="442">
        <f>Retention!AA111</f>
        <v>76.34762409</v>
      </c>
      <c r="AB55" s="442">
        <f>Retention!AB111</f>
        <v>79.6541221</v>
      </c>
      <c r="AC55" s="442">
        <f>Retention!AC111</f>
        <v>82.83254532</v>
      </c>
      <c r="AD55" s="442">
        <f>Retention!AD111</f>
        <v>83.49343905</v>
      </c>
      <c r="AE55" s="442">
        <f>Retention!AE111</f>
        <v>84.53354831</v>
      </c>
      <c r="AF55" s="442">
        <f>Retention!AF111</f>
        <v>83.80383645</v>
      </c>
      <c r="AG55" s="442">
        <f>Retention!AG111</f>
        <v>82.97859</v>
      </c>
      <c r="AH55" s="442">
        <f>Retention!AH111</f>
        <v>75.31979639</v>
      </c>
      <c r="AI55" s="442">
        <f>Retention!AI111</f>
        <v>74.72455508</v>
      </c>
      <c r="AJ55" s="442">
        <f>Retention!AJ111</f>
        <v>74.25765277</v>
      </c>
      <c r="AK55" s="442">
        <f>Retention!AK111</f>
        <v>66.69401078</v>
      </c>
      <c r="AL55" s="442">
        <f>Retention!AL111</f>
        <v>60.26775386</v>
      </c>
      <c r="AM55" s="442">
        <f>Retention!AM111</f>
        <v>55.02859845</v>
      </c>
      <c r="AN55" s="442">
        <f>Retention!AN111</f>
        <v>50.59007234</v>
      </c>
      <c r="AO55" s="442">
        <f>Retention!AO111</f>
        <v>46.2322175</v>
      </c>
      <c r="AP55" s="442">
        <f>Retention!AP111</f>
        <v>42.74494169</v>
      </c>
      <c r="AQ55" s="442">
        <f>Retention!AQ111</f>
        <v>40.30979099</v>
      </c>
      <c r="AR55" s="442">
        <f>Retention!AR111</f>
        <v>38.92727078</v>
      </c>
      <c r="AS55" s="442">
        <f>Retention!AS111</f>
        <v>38.58057638</v>
      </c>
      <c r="AT55" s="442">
        <f>Retention!AT111</f>
        <v>39.28735247</v>
      </c>
      <c r="AU55" s="442">
        <f>Retention!AU111</f>
        <v>40.04811922</v>
      </c>
      <c r="AV55" s="442">
        <f>Retention!AV111</f>
        <v>41.86340257</v>
      </c>
      <c r="AW55" s="442">
        <f>Retention!AW111</f>
        <v>43.73373429</v>
      </c>
      <c r="AX55" s="442">
        <f>Retention!AX111</f>
        <v>46.65965209</v>
      </c>
      <c r="AY55" s="442">
        <f>Retention!AY111</f>
        <v>50.64169964</v>
      </c>
      <c r="AZ55" s="442">
        <f>Retention!AZ111</f>
        <v>54.66154861</v>
      </c>
      <c r="BA55" s="442">
        <f>Retention!BA111</f>
        <v>59.75355983</v>
      </c>
      <c r="BB55" s="442">
        <f>Retention!BB111</f>
        <v>64.90182366</v>
      </c>
      <c r="BC55" s="442">
        <f>Retention!BC111</f>
        <v>70.10687149</v>
      </c>
      <c r="BD55" s="442">
        <f>Retention!BD111</f>
        <v>75.36924035</v>
      </c>
      <c r="BE55" s="442">
        <f>Retention!BE111</f>
        <v>80.68947302</v>
      </c>
      <c r="BF55" s="442">
        <f>Retention!BF111</f>
        <v>86.06811805</v>
      </c>
      <c r="BG55" s="442">
        <f>Retention!BG111</f>
        <v>91.50572987</v>
      </c>
      <c r="BH55" s="442">
        <f>Retention!BH111</f>
        <v>97.00286881</v>
      </c>
      <c r="BI55" s="442">
        <f>Retention!BI111</f>
        <v>102.5601012</v>
      </c>
      <c r="BJ55" s="442">
        <f>Retention!BJ111</f>
        <v>108.1779994</v>
      </c>
      <c r="BK55" s="442">
        <f>Retention!BK111</f>
        <v>112.8571421</v>
      </c>
      <c r="BL55" s="442">
        <f>Retention!BL111</f>
        <v>117.4761843</v>
      </c>
      <c r="BM55" s="442">
        <f>Retention!BM111</f>
        <v>121.8908539</v>
      </c>
      <c r="BN55" s="442">
        <f>Retention!BN111</f>
        <v>126.0788015</v>
      </c>
      <c r="BO55" s="442">
        <f>Retention!BO111</f>
        <v>130.3339651</v>
      </c>
      <c r="BP55" s="442">
        <f>Retention!BP111</f>
        <v>133.6573213</v>
      </c>
      <c r="BQ55" s="442">
        <f>Retention!BQ111</f>
        <v>137.0498684</v>
      </c>
      <c r="BR55" s="442">
        <f>Retention!BR111</f>
        <v>140.512626</v>
      </c>
      <c r="BS55" s="442">
        <f>Retention!BS111</f>
        <v>144.0466365</v>
      </c>
      <c r="BT55" s="442">
        <f>Retention!BT111</f>
        <v>147.652965</v>
      </c>
      <c r="BU55" s="442">
        <f>Retention!BU111</f>
        <v>150.3327006</v>
      </c>
      <c r="BV55" s="442">
        <f>Retention!BV111</f>
        <v>153.0869563</v>
      </c>
      <c r="BW55" s="442">
        <f>Retention!BW111</f>
        <v>155.9168704</v>
      </c>
      <c r="BX55" s="442">
        <f>Retention!BX111</f>
        <v>158.8874032</v>
      </c>
      <c r="BY55" s="442">
        <f>Retention!BY111</f>
        <v>161.5242895</v>
      </c>
      <c r="BZ55" s="442">
        <f>Retention!BZ111</f>
        <v>162.890724</v>
      </c>
      <c r="CA55" s="442">
        <f>Retention!CA111</f>
        <v>164.2913847</v>
      </c>
      <c r="CB55" s="442">
        <f>Retention!CB111</f>
        <v>165.7272147</v>
      </c>
      <c r="CC55" s="442">
        <f>Retention!CC111</f>
        <v>167.1991504</v>
      </c>
      <c r="CD55" s="442">
        <f>Retention!CD111</f>
        <v>168.7081218</v>
      </c>
      <c r="CE55" s="442">
        <f>Retention!CE111</f>
        <v>170.2550528</v>
      </c>
      <c r="CF55" s="442">
        <f>Retention!CF111</f>
        <v>171.8408616</v>
      </c>
      <c r="CG55" s="442">
        <f>Retention!CG111</f>
        <v>173.4664611</v>
      </c>
      <c r="CH55" s="442">
        <f>Retention!CH111</f>
        <v>175.1327591</v>
      </c>
      <c r="CI55" s="442"/>
    </row>
    <row r="56" ht="15.75" customHeight="1" outlineLevel="1">
      <c r="A56" s="1" t="s">
        <v>675</v>
      </c>
      <c r="B56" s="1"/>
      <c r="C56" s="442">
        <f>Retention!C119</f>
        <v>-1</v>
      </c>
      <c r="D56" s="442">
        <f>Retention!D119</f>
        <v>-1</v>
      </c>
      <c r="E56" s="442">
        <f>Retention!E119</f>
        <v>-1</v>
      </c>
      <c r="F56" s="442">
        <f>Retention!F119</f>
        <v>-1</v>
      </c>
      <c r="G56" s="442">
        <f>Retention!G119</f>
        <v>-1</v>
      </c>
      <c r="H56" s="442">
        <f>Retention!H119</f>
        <v>-1</v>
      </c>
      <c r="I56" s="442">
        <f>Retention!I119</f>
        <v>-1</v>
      </c>
      <c r="J56" s="442">
        <f>Retention!J119</f>
        <v>-1</v>
      </c>
      <c r="K56" s="442">
        <f>Retention!K119</f>
        <v>-1</v>
      </c>
      <c r="L56" s="442">
        <f>Retention!L119</f>
        <v>-1</v>
      </c>
      <c r="M56" s="442">
        <f>Retention!M119</f>
        <v>-1</v>
      </c>
      <c r="N56" s="442">
        <f>Retention!N119</f>
        <v>-1</v>
      </c>
      <c r="O56" s="442">
        <f>Retention!O119</f>
        <v>-1</v>
      </c>
      <c r="P56" s="442">
        <f>Retention!P119</f>
        <v>-1</v>
      </c>
      <c r="Q56" s="442">
        <f>Retention!Q119</f>
        <v>-1</v>
      </c>
      <c r="R56" s="442">
        <f>Retention!R119</f>
        <v>-1</v>
      </c>
      <c r="S56" s="442">
        <f>Retention!S119</f>
        <v>-1</v>
      </c>
      <c r="T56" s="442">
        <f>Retention!T119</f>
        <v>-1</v>
      </c>
      <c r="U56" s="442">
        <f>Retention!U119</f>
        <v>-1</v>
      </c>
      <c r="V56" s="442">
        <f>Retention!V119</f>
        <v>-1</v>
      </c>
      <c r="W56" s="442">
        <f>Retention!W119</f>
        <v>-1</v>
      </c>
      <c r="X56" s="442">
        <f>Retention!X119</f>
        <v>-1</v>
      </c>
      <c r="Y56" s="442">
        <f>Retention!Y119</f>
        <v>-1</v>
      </c>
      <c r="Z56" s="442">
        <f>Retention!Z119</f>
        <v>-2</v>
      </c>
      <c r="AA56" s="442">
        <f>Retention!AA119</f>
        <v>-3</v>
      </c>
      <c r="AB56" s="442">
        <f>Retention!AB119</f>
        <v>-4</v>
      </c>
      <c r="AC56" s="442">
        <f>Retention!AC119</f>
        <v>-7</v>
      </c>
      <c r="AD56" s="442">
        <f>Retention!AD119</f>
        <v>-7</v>
      </c>
      <c r="AE56" s="442">
        <f>Retention!AE119</f>
        <v>-9</v>
      </c>
      <c r="AF56" s="442">
        <f>Retention!AF119</f>
        <v>-9</v>
      </c>
      <c r="AG56" s="442">
        <f>Retention!AG119</f>
        <v>-16</v>
      </c>
      <c r="AH56" s="442">
        <f>Retention!AH119</f>
        <v>-9</v>
      </c>
      <c r="AI56" s="442">
        <f>Retention!AI119</f>
        <v>-9</v>
      </c>
      <c r="AJ56" s="442">
        <f>Retention!AJ119</f>
        <v>-16</v>
      </c>
      <c r="AK56" s="442">
        <f>Retention!AK119</f>
        <v>-15</v>
      </c>
      <c r="AL56" s="442">
        <f>Retention!AL119</f>
        <v>-14</v>
      </c>
      <c r="AM56" s="442">
        <f>Retention!AM119</f>
        <v>-12</v>
      </c>
      <c r="AN56" s="442">
        <f>Retention!AN119</f>
        <v>-11</v>
      </c>
      <c r="AO56" s="442">
        <f>Retention!AO119</f>
        <v>-10</v>
      </c>
      <c r="AP56" s="442">
        <f>Retention!AP119</f>
        <v>-9</v>
      </c>
      <c r="AQ56" s="442">
        <f>Retention!AQ119</f>
        <v>-8</v>
      </c>
      <c r="AR56" s="442">
        <f>Retention!AR119</f>
        <v>-7</v>
      </c>
      <c r="AS56" s="442">
        <f>Retention!AS119</f>
        <v>-6</v>
      </c>
      <c r="AT56" s="442">
        <f>Retention!AT119</f>
        <v>-6</v>
      </c>
      <c r="AU56" s="442">
        <f>Retention!AU119</f>
        <v>-5</v>
      </c>
      <c r="AV56" s="442">
        <f>Retention!AV119</f>
        <v>-5</v>
      </c>
      <c r="AW56" s="442">
        <f>Retention!AW119</f>
        <v>-4</v>
      </c>
      <c r="AX56" s="442">
        <f>Retention!AX119</f>
        <v>-3</v>
      </c>
      <c r="AY56" s="442">
        <f>Retention!AY119</f>
        <v>-3</v>
      </c>
      <c r="AZ56" s="442">
        <f>Retention!AZ119</f>
        <v>-2</v>
      </c>
      <c r="BA56" s="442">
        <f>Retention!BA119</f>
        <v>-2</v>
      </c>
      <c r="BB56" s="442">
        <f>Retention!BB119</f>
        <v>-2</v>
      </c>
      <c r="BC56" s="442">
        <f>Retention!BC119</f>
        <v>-2</v>
      </c>
      <c r="BD56" s="442">
        <f>Retention!BD119</f>
        <v>-2</v>
      </c>
      <c r="BE56" s="442">
        <f>Retention!BE119</f>
        <v>-2</v>
      </c>
      <c r="BF56" s="442">
        <f>Retention!BF119</f>
        <v>-2</v>
      </c>
      <c r="BG56" s="442">
        <f>Retention!BG119</f>
        <v>-2</v>
      </c>
      <c r="BH56" s="442">
        <f>Retention!BH119</f>
        <v>-2</v>
      </c>
      <c r="BI56" s="442">
        <f>Retention!BI119</f>
        <v>-2</v>
      </c>
      <c r="BJ56" s="442">
        <f>Retention!BJ119</f>
        <v>-3</v>
      </c>
      <c r="BK56" s="442">
        <f>Retention!BK119</f>
        <v>-3</v>
      </c>
      <c r="BL56" s="442">
        <f>Retention!BL119</f>
        <v>-3</v>
      </c>
      <c r="BM56" s="442">
        <f>Retention!BM119</f>
        <v>-3</v>
      </c>
      <c r="BN56" s="442">
        <f>Retention!BN119</f>
        <v>-3</v>
      </c>
      <c r="BO56" s="442">
        <f>Retention!BO119</f>
        <v>-4</v>
      </c>
      <c r="BP56" s="442">
        <f>Retention!BP119</f>
        <v>-4</v>
      </c>
      <c r="BQ56" s="442">
        <f>Retention!BQ119</f>
        <v>-4</v>
      </c>
      <c r="BR56" s="442">
        <f>Retention!BR119</f>
        <v>-4</v>
      </c>
      <c r="BS56" s="442">
        <f>Retention!BS119</f>
        <v>-4</v>
      </c>
      <c r="BT56" s="442">
        <f>Retention!BT119</f>
        <v>-5</v>
      </c>
      <c r="BU56" s="442">
        <f>Retention!BU119</f>
        <v>-5</v>
      </c>
      <c r="BV56" s="442">
        <f>Retention!BV119</f>
        <v>-5</v>
      </c>
      <c r="BW56" s="442">
        <f>Retention!BW119</f>
        <v>-5</v>
      </c>
      <c r="BX56" s="442">
        <f>Retention!BX119</f>
        <v>-5</v>
      </c>
      <c r="BY56" s="442">
        <f>Retention!BY119</f>
        <v>-6</v>
      </c>
      <c r="BZ56" s="442">
        <f>Retention!BZ119</f>
        <v>-6</v>
      </c>
      <c r="CA56" s="442">
        <f>Retention!CA119</f>
        <v>-6</v>
      </c>
      <c r="CB56" s="442">
        <f>Retention!CB119</f>
        <v>-6</v>
      </c>
      <c r="CC56" s="442">
        <f>Retention!CC119</f>
        <v>-6</v>
      </c>
      <c r="CD56" s="442">
        <f>Retention!CD119</f>
        <v>-6</v>
      </c>
      <c r="CE56" s="442">
        <f>Retention!CE119</f>
        <v>-6</v>
      </c>
      <c r="CF56" s="442">
        <f>Retention!CF119</f>
        <v>-6</v>
      </c>
      <c r="CG56" s="442">
        <f>Retention!CG119</f>
        <v>-6</v>
      </c>
      <c r="CH56" s="442">
        <f>Retention!CH119</f>
        <v>-7</v>
      </c>
      <c r="CI56" s="442"/>
    </row>
    <row r="57" ht="15.75" customHeight="1" outlineLevel="1">
      <c r="A57" s="1" t="s">
        <v>676</v>
      </c>
      <c r="B57" s="1"/>
      <c r="C57" s="442">
        <f>Retention!C127</f>
        <v>51</v>
      </c>
      <c r="D57" s="442">
        <f>Retention!D127</f>
        <v>52</v>
      </c>
      <c r="E57" s="442">
        <f>Retention!E127</f>
        <v>53</v>
      </c>
      <c r="F57" s="442">
        <f>Retention!F127</f>
        <v>54</v>
      </c>
      <c r="G57" s="442">
        <f>Retention!G127</f>
        <v>55</v>
      </c>
      <c r="H57" s="442">
        <f>Retention!H127</f>
        <v>56</v>
      </c>
      <c r="I57" s="442">
        <f>Retention!I127</f>
        <v>57</v>
      </c>
      <c r="J57" s="442">
        <f>Retention!J127</f>
        <v>58</v>
      </c>
      <c r="K57" s="442">
        <f>Retention!K127</f>
        <v>59</v>
      </c>
      <c r="L57" s="442">
        <f>Retention!L127</f>
        <v>60</v>
      </c>
      <c r="M57" s="442">
        <f>Retention!M127</f>
        <v>61</v>
      </c>
      <c r="N57" s="442">
        <f>Retention!N127</f>
        <v>62</v>
      </c>
      <c r="O57" s="442">
        <f>Retention!O127</f>
        <v>63</v>
      </c>
      <c r="P57" s="442">
        <f>Retention!P127</f>
        <v>64</v>
      </c>
      <c r="Q57" s="442">
        <f>Retention!Q127</f>
        <v>65</v>
      </c>
      <c r="R57" s="442">
        <f>Retention!R127</f>
        <v>66</v>
      </c>
      <c r="S57" s="442">
        <f>Retention!S127</f>
        <v>67</v>
      </c>
      <c r="T57" s="442">
        <f>Retention!T127</f>
        <v>68</v>
      </c>
      <c r="U57" s="442">
        <f>Retention!U127</f>
        <v>69</v>
      </c>
      <c r="V57" s="442">
        <f>Retention!V127</f>
        <v>70</v>
      </c>
      <c r="W57" s="442">
        <f>Retention!W127</f>
        <v>71</v>
      </c>
      <c r="X57" s="442">
        <f>Retention!X127</f>
        <v>72</v>
      </c>
      <c r="Y57" s="442">
        <f>Retention!Y127</f>
        <v>73</v>
      </c>
      <c r="Z57" s="442">
        <f>Retention!Z127</f>
        <v>76.34762409</v>
      </c>
      <c r="AA57" s="442">
        <f>Retention!AA127</f>
        <v>79.6541221</v>
      </c>
      <c r="AB57" s="442">
        <f>Retention!AB127</f>
        <v>82.83254532</v>
      </c>
      <c r="AC57" s="442">
        <f>Retention!AC127</f>
        <v>83.49343905</v>
      </c>
      <c r="AD57" s="442">
        <f>Retention!AD127</f>
        <v>84.53354831</v>
      </c>
      <c r="AE57" s="442">
        <f>Retention!AE127</f>
        <v>83.80383645</v>
      </c>
      <c r="AF57" s="442">
        <f>Retention!AF127</f>
        <v>82.97859</v>
      </c>
      <c r="AG57" s="442">
        <f>Retention!AG127</f>
        <v>75.31979639</v>
      </c>
      <c r="AH57" s="442">
        <f>Retention!AH127</f>
        <v>74.72455508</v>
      </c>
      <c r="AI57" s="442">
        <f>Retention!AI127</f>
        <v>74.25765277</v>
      </c>
      <c r="AJ57" s="442">
        <f>Retention!AJ127</f>
        <v>66.69401078</v>
      </c>
      <c r="AK57" s="442">
        <f>Retention!AK127</f>
        <v>60.26775386</v>
      </c>
      <c r="AL57" s="442">
        <f>Retention!AL127</f>
        <v>55.02859845</v>
      </c>
      <c r="AM57" s="442">
        <f>Retention!AM127</f>
        <v>50.59007234</v>
      </c>
      <c r="AN57" s="442">
        <f>Retention!AN127</f>
        <v>46.2322175</v>
      </c>
      <c r="AO57" s="442">
        <f>Retention!AO127</f>
        <v>42.74494169</v>
      </c>
      <c r="AP57" s="442">
        <f>Retention!AP127</f>
        <v>40.30979099</v>
      </c>
      <c r="AQ57" s="442">
        <f>Retention!AQ127</f>
        <v>38.92727078</v>
      </c>
      <c r="AR57" s="442">
        <f>Retention!AR127</f>
        <v>38.58057638</v>
      </c>
      <c r="AS57" s="442">
        <f>Retention!AS127</f>
        <v>39.28735247</v>
      </c>
      <c r="AT57" s="442">
        <f>Retention!AT127</f>
        <v>40.04811922</v>
      </c>
      <c r="AU57" s="442">
        <f>Retention!AU127</f>
        <v>41.86340257</v>
      </c>
      <c r="AV57" s="442">
        <f>Retention!AV127</f>
        <v>43.73373429</v>
      </c>
      <c r="AW57" s="442">
        <f>Retention!AW127</f>
        <v>46.65965209</v>
      </c>
      <c r="AX57" s="442">
        <f>Retention!AX127</f>
        <v>50.64169964</v>
      </c>
      <c r="AY57" s="442">
        <f>Retention!AY127</f>
        <v>54.66154861</v>
      </c>
      <c r="AZ57" s="442">
        <f>Retention!AZ127</f>
        <v>59.75355983</v>
      </c>
      <c r="BA57" s="442">
        <f>Retention!BA127</f>
        <v>64.90182366</v>
      </c>
      <c r="BB57" s="442">
        <f>Retention!BB127</f>
        <v>70.10687149</v>
      </c>
      <c r="BC57" s="442">
        <f>Retention!BC127</f>
        <v>75.36924035</v>
      </c>
      <c r="BD57" s="442">
        <f>Retention!BD127</f>
        <v>80.68947302</v>
      </c>
      <c r="BE57" s="442">
        <f>Retention!BE127</f>
        <v>86.06811805</v>
      </c>
      <c r="BF57" s="442">
        <f>Retention!BF127</f>
        <v>91.50572987</v>
      </c>
      <c r="BG57" s="442">
        <f>Retention!BG127</f>
        <v>97.00286881</v>
      </c>
      <c r="BH57" s="442">
        <f>Retention!BH127</f>
        <v>102.5601012</v>
      </c>
      <c r="BI57" s="442">
        <f>Retention!BI127</f>
        <v>108.1779994</v>
      </c>
      <c r="BJ57" s="442">
        <f>Retention!BJ127</f>
        <v>112.8571421</v>
      </c>
      <c r="BK57" s="442">
        <f>Retention!BK127</f>
        <v>117.4761843</v>
      </c>
      <c r="BL57" s="442">
        <f>Retention!BL127</f>
        <v>121.8908539</v>
      </c>
      <c r="BM57" s="442">
        <f>Retention!BM127</f>
        <v>126.0788015</v>
      </c>
      <c r="BN57" s="442">
        <f>Retention!BN127</f>
        <v>130.3339651</v>
      </c>
      <c r="BO57" s="442">
        <f>Retention!BO127</f>
        <v>133.6573213</v>
      </c>
      <c r="BP57" s="442">
        <f>Retention!BP127</f>
        <v>137.0498684</v>
      </c>
      <c r="BQ57" s="442">
        <f>Retention!BQ127</f>
        <v>140.512626</v>
      </c>
      <c r="BR57" s="442">
        <f>Retention!BR127</f>
        <v>144.0466365</v>
      </c>
      <c r="BS57" s="442">
        <f>Retention!BS127</f>
        <v>147.652965</v>
      </c>
      <c r="BT57" s="442">
        <f>Retention!BT127</f>
        <v>150.3327006</v>
      </c>
      <c r="BU57" s="442">
        <f>Retention!BU127</f>
        <v>153.0869563</v>
      </c>
      <c r="BV57" s="442">
        <f>Retention!BV127</f>
        <v>155.9168704</v>
      </c>
      <c r="BW57" s="442">
        <f>Retention!BW127</f>
        <v>158.8874032</v>
      </c>
      <c r="BX57" s="442">
        <f>Retention!BX127</f>
        <v>161.5242895</v>
      </c>
      <c r="BY57" s="442">
        <f>Retention!BY127</f>
        <v>162.890724</v>
      </c>
      <c r="BZ57" s="442">
        <f>Retention!BZ127</f>
        <v>164.2913847</v>
      </c>
      <c r="CA57" s="442">
        <f>Retention!CA127</f>
        <v>165.7272147</v>
      </c>
      <c r="CB57" s="442">
        <f>Retention!CB127</f>
        <v>167.1991504</v>
      </c>
      <c r="CC57" s="442">
        <f>Retention!CC127</f>
        <v>168.7081218</v>
      </c>
      <c r="CD57" s="442">
        <f>Retention!CD127</f>
        <v>170.2550528</v>
      </c>
      <c r="CE57" s="442">
        <f>Retention!CE127</f>
        <v>171.8408616</v>
      </c>
      <c r="CF57" s="442">
        <f>Retention!CF127</f>
        <v>173.4664611</v>
      </c>
      <c r="CG57" s="442">
        <f>Retention!CG127</f>
        <v>175.1327591</v>
      </c>
      <c r="CH57" s="442">
        <f>Retention!CH127</f>
        <v>175.8406587</v>
      </c>
      <c r="CI57" s="442"/>
    </row>
    <row r="58" ht="15.75" customHeight="1" outlineLevel="1">
      <c r="A58" s="1" t="s">
        <v>97</v>
      </c>
      <c r="B58" s="1"/>
      <c r="C58" s="445">
        <f>'New Biz Sales'!C97</f>
        <v>411233</v>
      </c>
      <c r="D58" s="445">
        <f>'New Biz Sales'!D97</f>
        <v>304884</v>
      </c>
      <c r="E58" s="445">
        <f>'New Biz Sales'!E97</f>
        <v>392192</v>
      </c>
      <c r="F58" s="445">
        <f>'New Biz Sales'!F97</f>
        <v>197742</v>
      </c>
      <c r="G58" s="445">
        <f>'New Biz Sales'!G97</f>
        <v>288261</v>
      </c>
      <c r="H58" s="445">
        <f>'New Biz Sales'!H97</f>
        <v>491044</v>
      </c>
      <c r="I58" s="445">
        <f>'New Biz Sales'!I97</f>
        <v>348728</v>
      </c>
      <c r="J58" s="445">
        <f>'New Biz Sales'!J97</f>
        <v>353179</v>
      </c>
      <c r="K58" s="445">
        <f>'New Biz Sales'!K97</f>
        <v>175657</v>
      </c>
      <c r="L58" s="445">
        <f>'New Biz Sales'!L97</f>
        <v>387455</v>
      </c>
      <c r="M58" s="445">
        <f>'New Biz Sales'!M97</f>
        <v>270211</v>
      </c>
      <c r="N58" s="445">
        <f>'New Biz Sales'!N97</f>
        <v>292284</v>
      </c>
      <c r="O58" s="445">
        <f>'New Biz Sales'!O97</f>
        <v>239719</v>
      </c>
      <c r="P58" s="445">
        <f>'New Biz Sales'!P97</f>
        <v>419284</v>
      </c>
      <c r="Q58" s="445">
        <f>'New Biz Sales'!Q97</f>
        <v>496911</v>
      </c>
      <c r="R58" s="445">
        <f>'New Biz Sales'!R97</f>
        <v>317089</v>
      </c>
      <c r="S58" s="445">
        <f>'New Biz Sales'!S97</f>
        <v>304944</v>
      </c>
      <c r="T58" s="445">
        <f>'New Biz Sales'!T97</f>
        <v>439741</v>
      </c>
      <c r="U58" s="445">
        <f>'New Biz Sales'!U97</f>
        <v>481654</v>
      </c>
      <c r="V58" s="445">
        <f>'New Biz Sales'!V97</f>
        <v>327002</v>
      </c>
      <c r="W58" s="445">
        <f>'New Biz Sales'!W97</f>
        <v>373699</v>
      </c>
      <c r="X58" s="445">
        <f>'New Biz Sales'!X97</f>
        <v>129983</v>
      </c>
      <c r="Y58" s="445">
        <f>'New Biz Sales'!Y97</f>
        <v>246044</v>
      </c>
      <c r="Z58" s="445">
        <f>'New Biz Sales'!Z97</f>
        <v>125000</v>
      </c>
      <c r="AA58" s="445">
        <f>'New Biz Sales'!AA97</f>
        <v>127500</v>
      </c>
      <c r="AB58" s="445">
        <f>'New Biz Sales'!AB97</f>
        <v>127500</v>
      </c>
      <c r="AC58" s="445">
        <f>'New Biz Sales'!AC97</f>
        <v>127500</v>
      </c>
      <c r="AD58" s="445">
        <f>'New Biz Sales'!AD97</f>
        <v>127500</v>
      </c>
      <c r="AE58" s="445">
        <f>'New Biz Sales'!AE97</f>
        <v>127500</v>
      </c>
      <c r="AF58" s="445">
        <f>'New Biz Sales'!AF97</f>
        <v>130050</v>
      </c>
      <c r="AG58" s="445">
        <f>'New Biz Sales'!AG97</f>
        <v>130050</v>
      </c>
      <c r="AH58" s="445">
        <f>'New Biz Sales'!AH97</f>
        <v>130050</v>
      </c>
      <c r="AI58" s="445">
        <f>'New Biz Sales'!AI97</f>
        <v>130050</v>
      </c>
      <c r="AJ58" s="445">
        <f>'New Biz Sales'!AJ97</f>
        <v>130050</v>
      </c>
      <c r="AK58" s="445">
        <f>'New Biz Sales'!AK97</f>
        <v>130050</v>
      </c>
      <c r="AL58" s="445">
        <f>'New Biz Sales'!AL97</f>
        <v>130050</v>
      </c>
      <c r="AM58" s="445">
        <f>'New Biz Sales'!AM97</f>
        <v>130700.25</v>
      </c>
      <c r="AN58" s="445">
        <f>'New Biz Sales'!AN97</f>
        <v>130700.25</v>
      </c>
      <c r="AO58" s="445">
        <f>'New Biz Sales'!AO97</f>
        <v>130700.25</v>
      </c>
      <c r="AP58" s="445">
        <f>'New Biz Sales'!AP97</f>
        <v>130700.25</v>
      </c>
      <c r="AQ58" s="445">
        <f>'New Biz Sales'!AQ97</f>
        <v>130700.25</v>
      </c>
      <c r="AR58" s="445">
        <f>'New Biz Sales'!AR97</f>
        <v>131353.7513</v>
      </c>
      <c r="AS58" s="445">
        <f>'New Biz Sales'!AS97</f>
        <v>131353.7513</v>
      </c>
      <c r="AT58" s="445">
        <f>'New Biz Sales'!AT97</f>
        <v>131353.7513</v>
      </c>
      <c r="AU58" s="445">
        <f>'New Biz Sales'!AU97</f>
        <v>131353.7513</v>
      </c>
      <c r="AV58" s="445">
        <f>'New Biz Sales'!AV97</f>
        <v>131353.7513</v>
      </c>
      <c r="AW58" s="445">
        <f>'New Biz Sales'!AW97</f>
        <v>131353.7513</v>
      </c>
      <c r="AX58" s="445">
        <f>'New Biz Sales'!AX97</f>
        <v>131353.7513</v>
      </c>
      <c r="AY58" s="445">
        <f>'New Biz Sales'!AY97</f>
        <v>132010.52</v>
      </c>
      <c r="AZ58" s="445">
        <f>'New Biz Sales'!AZ97</f>
        <v>132010.52</v>
      </c>
      <c r="BA58" s="445">
        <f>'New Biz Sales'!BA97</f>
        <v>132010.52</v>
      </c>
      <c r="BB58" s="445">
        <f>'New Biz Sales'!BB97</f>
        <v>132010.52</v>
      </c>
      <c r="BC58" s="445">
        <f>'New Biz Sales'!BC97</f>
        <v>132010.52</v>
      </c>
      <c r="BD58" s="445">
        <f>'New Biz Sales'!BD97</f>
        <v>132010.52</v>
      </c>
      <c r="BE58" s="445">
        <f>'New Biz Sales'!BE97</f>
        <v>132010.52</v>
      </c>
      <c r="BF58" s="445">
        <f>'New Biz Sales'!BF97</f>
        <v>132010.52</v>
      </c>
      <c r="BG58" s="445">
        <f>'New Biz Sales'!BG97</f>
        <v>132010.52</v>
      </c>
      <c r="BH58" s="445">
        <f>'New Biz Sales'!BH97</f>
        <v>132010.52</v>
      </c>
      <c r="BI58" s="445">
        <f>'New Biz Sales'!BI97</f>
        <v>132010.52</v>
      </c>
      <c r="BJ58" s="445">
        <f>'New Biz Sales'!BJ97</f>
        <v>132010.52</v>
      </c>
      <c r="BK58" s="445">
        <f>'New Biz Sales'!BK97</f>
        <v>134650.7304</v>
      </c>
      <c r="BL58" s="445">
        <f>'New Biz Sales'!BL97</f>
        <v>137343.745</v>
      </c>
      <c r="BM58" s="445">
        <f>'New Biz Sales'!BM97</f>
        <v>137343.745</v>
      </c>
      <c r="BN58" s="445">
        <f>'New Biz Sales'!BN97</f>
        <v>137343.745</v>
      </c>
      <c r="BO58" s="445">
        <f>'New Biz Sales'!BO97</f>
        <v>137343.745</v>
      </c>
      <c r="BP58" s="445">
        <f>'New Biz Sales'!BP97</f>
        <v>137343.745</v>
      </c>
      <c r="BQ58" s="445">
        <f>'New Biz Sales'!BQ97</f>
        <v>137343.745</v>
      </c>
      <c r="BR58" s="445">
        <f>'New Biz Sales'!BR97</f>
        <v>137343.745</v>
      </c>
      <c r="BS58" s="445">
        <f>'New Biz Sales'!BS97</f>
        <v>137343.745</v>
      </c>
      <c r="BT58" s="445">
        <f>'New Biz Sales'!BT97</f>
        <v>137343.745</v>
      </c>
      <c r="BU58" s="445">
        <f>'New Biz Sales'!BU97</f>
        <v>137343.745</v>
      </c>
      <c r="BV58" s="445">
        <f>'New Biz Sales'!BV97</f>
        <v>137343.745</v>
      </c>
      <c r="BW58" s="445">
        <f>'New Biz Sales'!BW97</f>
        <v>137343.745</v>
      </c>
      <c r="BX58" s="445">
        <f>'New Biz Sales'!BX97</f>
        <v>137343.745</v>
      </c>
      <c r="BY58" s="445">
        <f>'New Biz Sales'!BY97</f>
        <v>137343.745</v>
      </c>
      <c r="BZ58" s="445">
        <f>'New Biz Sales'!BZ97</f>
        <v>137343.745</v>
      </c>
      <c r="CA58" s="445">
        <f>'New Biz Sales'!CA97</f>
        <v>137343.745</v>
      </c>
      <c r="CB58" s="445">
        <f>'New Biz Sales'!CB97</f>
        <v>137343.745</v>
      </c>
      <c r="CC58" s="445">
        <f>'New Biz Sales'!CC97</f>
        <v>137343.745</v>
      </c>
      <c r="CD58" s="445">
        <f>'New Biz Sales'!CD97</f>
        <v>137343.745</v>
      </c>
      <c r="CE58" s="445">
        <f>'New Biz Sales'!CE97</f>
        <v>137343.745</v>
      </c>
      <c r="CF58" s="445">
        <f>'New Biz Sales'!CF97</f>
        <v>137343.745</v>
      </c>
      <c r="CG58" s="445">
        <f>'New Biz Sales'!CG97</f>
        <v>137343.745</v>
      </c>
      <c r="CH58" s="445">
        <f>'New Biz Sales'!CH97</f>
        <v>137343.745</v>
      </c>
      <c r="CI58" s="445"/>
    </row>
    <row r="59" ht="15.75" customHeight="1" outlineLevel="1">
      <c r="A59" s="1"/>
      <c r="B59" s="1"/>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row>
    <row r="60" ht="15.75" customHeight="1" outlineLevel="1">
      <c r="A60" s="1" t="s">
        <v>193</v>
      </c>
      <c r="B60" s="1"/>
      <c r="C60" s="387">
        <f t="array" ref="C60">INDEX('IS Proforma'!$1:$1048490,MATCH($A60,'IS Proforma'!$C:$C,0),MATCH(C$4,'IS Proforma'!$4:$4))</f>
        <v>123547</v>
      </c>
      <c r="D60" s="387">
        <f t="array" ref="D60">INDEX('IS Proforma'!$1:$1048490,MATCH($A60,'IS Proforma'!$C:$C,0),MATCH(D$4,'IS Proforma'!$4:$4))</f>
        <v>238312</v>
      </c>
      <c r="E60" s="387">
        <f t="array" ref="E60">INDEX('IS Proforma'!$1:$1048490,MATCH($A60,'IS Proforma'!$C:$C,0),MATCH(E$4,'IS Proforma'!$4:$4))</f>
        <v>213880</v>
      </c>
      <c r="F60" s="387">
        <f t="array" ref="F60">INDEX('IS Proforma'!$1:$1048490,MATCH($A60,'IS Proforma'!$C:$C,0),MATCH(F$4,'IS Proforma'!$4:$4))</f>
        <v>225250</v>
      </c>
      <c r="G60" s="387">
        <f t="array" ref="G60">INDEX('IS Proforma'!$1:$1048490,MATCH($A60,'IS Proforma'!$C:$C,0),MATCH(G$4,'IS Proforma'!$4:$4))</f>
        <v>135354</v>
      </c>
      <c r="H60" s="387">
        <f t="array" ref="H60">INDEX('IS Proforma'!$1:$1048490,MATCH($A60,'IS Proforma'!$C:$C,0),MATCH(H$4,'IS Proforma'!$4:$4))</f>
        <v>195395</v>
      </c>
      <c r="I60" s="387">
        <f t="array" ref="I60">INDEX('IS Proforma'!$1:$1048490,MATCH($A60,'IS Proforma'!$C:$C,0),MATCH(I$4,'IS Proforma'!$4:$4))</f>
        <v>150611</v>
      </c>
      <c r="J60" s="387">
        <f t="array" ref="J60">INDEX('IS Proforma'!$1:$1048490,MATCH($A60,'IS Proforma'!$C:$C,0),MATCH(J$4,'IS Proforma'!$4:$4))</f>
        <v>125755</v>
      </c>
      <c r="K60" s="387">
        <f t="array" ref="K60">INDEX('IS Proforma'!$1:$1048490,MATCH($A60,'IS Proforma'!$C:$C,0),MATCH(K$4,'IS Proforma'!$4:$4))</f>
        <v>199991</v>
      </c>
      <c r="L60" s="387">
        <f t="array" ref="L60">INDEX('IS Proforma'!$1:$1048490,MATCH($A60,'IS Proforma'!$C:$C,0),MATCH(L$4,'IS Proforma'!$4:$4))</f>
        <v>237534</v>
      </c>
      <c r="M60" s="387">
        <f t="array" ref="M60">INDEX('IS Proforma'!$1:$1048490,MATCH($A60,'IS Proforma'!$C:$C,0),MATCH(M$4,'IS Proforma'!$4:$4))</f>
        <v>196781</v>
      </c>
      <c r="N60" s="387">
        <f t="array" ref="N60">INDEX('IS Proforma'!$1:$1048490,MATCH($A60,'IS Proforma'!$C:$C,0),MATCH(N$4,'IS Proforma'!$4:$4))</f>
        <v>231390</v>
      </c>
      <c r="O60" s="387">
        <f t="array" ref="O60">INDEX('IS Proforma'!$1:$1048490,MATCH($A60,'IS Proforma'!$C:$C,0),MATCH(O$4,'IS Proforma'!$4:$4))</f>
        <v>204056</v>
      </c>
      <c r="P60" s="387">
        <f t="array" ref="P60">INDEX('IS Proforma'!$1:$1048490,MATCH($A60,'IS Proforma'!$C:$C,0),MATCH(P$4,'IS Proforma'!$4:$4))</f>
        <v>188586</v>
      </c>
      <c r="Q60" s="387">
        <f t="array" ref="Q60">INDEX('IS Proforma'!$1:$1048490,MATCH($A60,'IS Proforma'!$C:$C,0),MATCH(Q$4,'IS Proforma'!$4:$4))</f>
        <v>105100</v>
      </c>
      <c r="R60" s="387">
        <f t="array" ref="R60">INDEX('IS Proforma'!$1:$1048490,MATCH($A60,'IS Proforma'!$C:$C,0),MATCH(R$4,'IS Proforma'!$4:$4))</f>
        <v>150167</v>
      </c>
      <c r="S60" s="387">
        <f t="array" ref="S60">INDEX('IS Proforma'!$1:$1048490,MATCH($A60,'IS Proforma'!$C:$C,0),MATCH(S$4,'IS Proforma'!$4:$4))</f>
        <v>139600</v>
      </c>
      <c r="T60" s="387">
        <f t="array" ref="T60">INDEX('IS Proforma'!$1:$1048490,MATCH($A60,'IS Proforma'!$C:$C,0),MATCH(T$4,'IS Proforma'!$4:$4))</f>
        <v>150378</v>
      </c>
      <c r="U60" s="387">
        <f t="array" ref="U60">INDEX('IS Proforma'!$1:$1048490,MATCH($A60,'IS Proforma'!$C:$C,0),MATCH(U$4,'IS Proforma'!$4:$4))</f>
        <v>103141</v>
      </c>
      <c r="V60" s="387">
        <f t="array" ref="V60">INDEX('IS Proforma'!$1:$1048490,MATCH($A60,'IS Proforma'!$C:$C,0),MATCH(V$4,'IS Proforma'!$4:$4))</f>
        <v>237175</v>
      </c>
      <c r="W60" s="387">
        <f t="array" ref="W60">INDEX('IS Proforma'!$1:$1048490,MATCH($A60,'IS Proforma'!$C:$C,0),MATCH(W$4,'IS Proforma'!$4:$4))</f>
        <v>236770</v>
      </c>
      <c r="X60" s="387">
        <f t="array" ref="X60">INDEX('IS Proforma'!$1:$1048490,MATCH($A60,'IS Proforma'!$C:$C,0),MATCH(X$4,'IS Proforma'!$4:$4))</f>
        <v>141767</v>
      </c>
      <c r="Y60" s="387">
        <f t="array" ref="Y60">INDEX('IS Proforma'!$1:$1048490,MATCH($A60,'IS Proforma'!$C:$C,0),MATCH(Y$4,'IS Proforma'!$4:$4))</f>
        <v>146751</v>
      </c>
      <c r="Z60" s="407">
        <f>Retention!Z41</f>
        <v>228575.3544</v>
      </c>
      <c r="AA60" s="407">
        <f>Retention!AA41</f>
        <v>279227.3541</v>
      </c>
      <c r="AB60" s="407">
        <f>Retention!AB41</f>
        <v>336074.6322</v>
      </c>
      <c r="AC60" s="407">
        <f>Retention!AC41</f>
        <v>395045.1309</v>
      </c>
      <c r="AD60" s="407">
        <f>Retention!AD41</f>
        <v>455076.1482</v>
      </c>
      <c r="AE60" s="407">
        <f>Retention!AE41</f>
        <v>514708.9953</v>
      </c>
      <c r="AF60" s="407">
        <f>Retention!AF41</f>
        <v>572425.3267</v>
      </c>
      <c r="AG60" s="407">
        <f>Retention!AG41</f>
        <v>626675.7805</v>
      </c>
      <c r="AH60" s="407">
        <f>Retention!AH41</f>
        <v>678795.2285</v>
      </c>
      <c r="AI60" s="407">
        <f>Retention!AI41</f>
        <v>729540.4684</v>
      </c>
      <c r="AJ60" s="407">
        <f>Retention!AJ41</f>
        <v>776729.9321</v>
      </c>
      <c r="AK60" s="407">
        <f>Retention!AK41</f>
        <v>823663.8423</v>
      </c>
      <c r="AL60" s="407">
        <f>Retention!AL41</f>
        <v>870122.7916</v>
      </c>
      <c r="AM60" s="407">
        <f>Retention!AM41</f>
        <v>902638.6926</v>
      </c>
      <c r="AN60" s="407">
        <f>Retention!AN41</f>
        <v>924285.9914</v>
      </c>
      <c r="AO60" s="407">
        <f>Retention!AO41</f>
        <v>943549.7441</v>
      </c>
      <c r="AP60" s="407">
        <f>Retention!AP41</f>
        <v>962374.368</v>
      </c>
      <c r="AQ60" s="407">
        <f>Retention!AQ41</f>
        <v>980786.9006</v>
      </c>
      <c r="AR60" s="407">
        <f>Retention!AR41</f>
        <v>998973.4516</v>
      </c>
      <c r="AS60" s="407">
        <f>Retention!AS41</f>
        <v>1016790.948</v>
      </c>
      <c r="AT60" s="407">
        <f>Retention!AT41</f>
        <v>1034263.099</v>
      </c>
      <c r="AU60" s="407">
        <f>Retention!AU41</f>
        <v>1051412.485</v>
      </c>
      <c r="AV60" s="407">
        <f>Retention!AV41</f>
        <v>1068260.618</v>
      </c>
      <c r="AW60" s="407">
        <f>Retention!AW41</f>
        <v>1084827.993</v>
      </c>
      <c r="AX60" s="407">
        <f>Retention!AX41</f>
        <v>1101134.143</v>
      </c>
      <c r="AY60" s="407">
        <f>Retention!AY41</f>
        <v>1127271.79</v>
      </c>
      <c r="AZ60" s="407">
        <f>Retention!AZ41</f>
        <v>1153070.577</v>
      </c>
      <c r="BA60" s="407">
        <f>Retention!BA41</f>
        <v>1178382.839</v>
      </c>
      <c r="BB60" s="407">
        <f>Retention!BB41</f>
        <v>1203233.92</v>
      </c>
      <c r="BC60" s="407">
        <f>Retention!BC41</f>
        <v>1227648.182</v>
      </c>
      <c r="BD60" s="407">
        <f>Retention!BD41</f>
        <v>1251649.047</v>
      </c>
      <c r="BE60" s="407">
        <f>Retention!BE41</f>
        <v>1275259.034</v>
      </c>
      <c r="BF60" s="407">
        <f>Retention!BF41</f>
        <v>1298499.798</v>
      </c>
      <c r="BG60" s="407">
        <f>Retention!BG41</f>
        <v>1321392.169</v>
      </c>
      <c r="BH60" s="407">
        <f>Retention!BH41</f>
        <v>1343956.18</v>
      </c>
      <c r="BI60" s="407">
        <f>Retention!BI41</f>
        <v>1366211.108</v>
      </c>
      <c r="BJ60" s="407">
        <f>Retention!BJ41</f>
        <v>1388175.5</v>
      </c>
      <c r="BK60" s="407">
        <f>Retention!BK41</f>
        <v>1412952.779</v>
      </c>
      <c r="BL60" s="407">
        <f>Retention!BL41</f>
        <v>1436182.888</v>
      </c>
      <c r="BM60" s="407">
        <f>Retention!BM41</f>
        <v>1456111.729</v>
      </c>
      <c r="BN60" s="407">
        <f>Retention!BN41</f>
        <v>1475973.474</v>
      </c>
      <c r="BO60" s="407">
        <f>Retention!BO41</f>
        <v>1495781.06</v>
      </c>
      <c r="BP60" s="407">
        <f>Retention!BP41</f>
        <v>1515547.145</v>
      </c>
      <c r="BQ60" s="407">
        <f>Retention!BQ41</f>
        <v>1535284.12</v>
      </c>
      <c r="BR60" s="407">
        <f>Retention!BR41</f>
        <v>1555004.133</v>
      </c>
      <c r="BS60" s="407">
        <f>Retention!BS41</f>
        <v>1574719.099</v>
      </c>
      <c r="BT60" s="407">
        <f>Retention!BT41</f>
        <v>1594440.718</v>
      </c>
      <c r="BU60" s="407">
        <f>Retention!BU41</f>
        <v>1614180.493</v>
      </c>
      <c r="BV60" s="407">
        <f>Retention!BV41</f>
        <v>1633949.74</v>
      </c>
      <c r="BW60" s="407">
        <f>Retention!BW41</f>
        <v>1656067.56</v>
      </c>
      <c r="BX60" s="407">
        <f>Retention!BX41</f>
        <v>1673819.96</v>
      </c>
      <c r="BY60" s="407">
        <f>Retention!BY41</f>
        <v>1688040.471</v>
      </c>
      <c r="BZ60" s="407">
        <f>Retention!BZ41</f>
        <v>1702082.198</v>
      </c>
      <c r="CA60" s="407">
        <f>Retention!CA41</f>
        <v>1715961.9</v>
      </c>
      <c r="CB60" s="407">
        <f>Retention!CB41</f>
        <v>1729695.628</v>
      </c>
      <c r="CC60" s="407">
        <f>Retention!CC41</f>
        <v>1743298.752</v>
      </c>
      <c r="CD60" s="407">
        <f>Retention!CD41</f>
        <v>1756785.997</v>
      </c>
      <c r="CE60" s="407">
        <f>Retention!CE41</f>
        <v>1770171.467</v>
      </c>
      <c r="CF60" s="407">
        <f>Retention!CF41</f>
        <v>1783468.674</v>
      </c>
      <c r="CG60" s="407">
        <f>Retention!CG41</f>
        <v>1796690.562</v>
      </c>
      <c r="CH60" s="407">
        <f>Retention!CH41</f>
        <v>1809849.536</v>
      </c>
      <c r="CI60" s="407"/>
    </row>
    <row r="61" ht="15.75" customHeight="1" outlineLevel="1">
      <c r="A61" s="1" t="s">
        <v>325</v>
      </c>
      <c r="B61" s="1"/>
      <c r="C61" s="1"/>
      <c r="D61" s="387">
        <f t="shared" ref="D61:CH61" si="27">D60-C60</f>
        <v>114765</v>
      </c>
      <c r="E61" s="387">
        <f t="shared" si="27"/>
        <v>-24432</v>
      </c>
      <c r="F61" s="387">
        <f t="shared" si="27"/>
        <v>11370</v>
      </c>
      <c r="G61" s="387">
        <f t="shared" si="27"/>
        <v>-89896</v>
      </c>
      <c r="H61" s="387">
        <f t="shared" si="27"/>
        <v>60041</v>
      </c>
      <c r="I61" s="387">
        <f t="shared" si="27"/>
        <v>-44784</v>
      </c>
      <c r="J61" s="387">
        <f t="shared" si="27"/>
        <v>-24856</v>
      </c>
      <c r="K61" s="387">
        <f t="shared" si="27"/>
        <v>74236</v>
      </c>
      <c r="L61" s="387">
        <f t="shared" si="27"/>
        <v>37543</v>
      </c>
      <c r="M61" s="387">
        <f t="shared" si="27"/>
        <v>-40753</v>
      </c>
      <c r="N61" s="387">
        <f t="shared" si="27"/>
        <v>34609</v>
      </c>
      <c r="O61" s="387">
        <f t="shared" si="27"/>
        <v>-27334</v>
      </c>
      <c r="P61" s="387">
        <f t="shared" si="27"/>
        <v>-15470</v>
      </c>
      <c r="Q61" s="387">
        <f t="shared" si="27"/>
        <v>-83486</v>
      </c>
      <c r="R61" s="387">
        <f t="shared" si="27"/>
        <v>45067</v>
      </c>
      <c r="S61" s="387">
        <f t="shared" si="27"/>
        <v>-10567</v>
      </c>
      <c r="T61" s="387">
        <f t="shared" si="27"/>
        <v>10778</v>
      </c>
      <c r="U61" s="387">
        <f t="shared" si="27"/>
        <v>-47237</v>
      </c>
      <c r="V61" s="387">
        <f t="shared" si="27"/>
        <v>134034</v>
      </c>
      <c r="W61" s="387">
        <f t="shared" si="27"/>
        <v>-405</v>
      </c>
      <c r="X61" s="387">
        <f t="shared" si="27"/>
        <v>-95003</v>
      </c>
      <c r="Y61" s="387">
        <f t="shared" si="27"/>
        <v>4984</v>
      </c>
      <c r="Z61" s="131">
        <f t="shared" si="27"/>
        <v>81824.35444</v>
      </c>
      <c r="AA61" s="131">
        <f t="shared" si="27"/>
        <v>50651.99963</v>
      </c>
      <c r="AB61" s="131">
        <f t="shared" si="27"/>
        <v>56847.27815</v>
      </c>
      <c r="AC61" s="131">
        <f t="shared" si="27"/>
        <v>58970.49869</v>
      </c>
      <c r="AD61" s="131">
        <f t="shared" si="27"/>
        <v>60031.01728</v>
      </c>
      <c r="AE61" s="131">
        <f t="shared" si="27"/>
        <v>59632.84714</v>
      </c>
      <c r="AF61" s="131">
        <f t="shared" si="27"/>
        <v>57716.33138</v>
      </c>
      <c r="AG61" s="131">
        <f t="shared" si="27"/>
        <v>54250.45379</v>
      </c>
      <c r="AH61" s="131">
        <f t="shared" si="27"/>
        <v>52119.44805</v>
      </c>
      <c r="AI61" s="131">
        <f t="shared" si="27"/>
        <v>50745.23984</v>
      </c>
      <c r="AJ61" s="131">
        <f t="shared" si="27"/>
        <v>47189.46374</v>
      </c>
      <c r="AK61" s="131">
        <f t="shared" si="27"/>
        <v>46933.91017</v>
      </c>
      <c r="AL61" s="131">
        <f t="shared" si="27"/>
        <v>46458.94929</v>
      </c>
      <c r="AM61" s="131">
        <f t="shared" si="27"/>
        <v>32515.90102</v>
      </c>
      <c r="AN61" s="131">
        <f t="shared" si="27"/>
        <v>21647.29876</v>
      </c>
      <c r="AO61" s="131">
        <f t="shared" si="27"/>
        <v>19263.75271</v>
      </c>
      <c r="AP61" s="131">
        <f t="shared" si="27"/>
        <v>18824.62393</v>
      </c>
      <c r="AQ61" s="131">
        <f t="shared" si="27"/>
        <v>18412.53256</v>
      </c>
      <c r="AR61" s="131">
        <f t="shared" si="27"/>
        <v>18186.551</v>
      </c>
      <c r="AS61" s="131">
        <f t="shared" si="27"/>
        <v>17817.49653</v>
      </c>
      <c r="AT61" s="131">
        <f t="shared" si="27"/>
        <v>17472.1506</v>
      </c>
      <c r="AU61" s="131">
        <f t="shared" si="27"/>
        <v>17149.38611</v>
      </c>
      <c r="AV61" s="131">
        <f t="shared" si="27"/>
        <v>16848.13304</v>
      </c>
      <c r="AW61" s="131">
        <f t="shared" si="27"/>
        <v>16567.37555</v>
      </c>
      <c r="AX61" s="131">
        <f t="shared" si="27"/>
        <v>16306.14932</v>
      </c>
      <c r="AY61" s="131">
        <f t="shared" si="27"/>
        <v>26137.64726</v>
      </c>
      <c r="AZ61" s="131">
        <f t="shared" si="27"/>
        <v>25798.78657</v>
      </c>
      <c r="BA61" s="131">
        <f t="shared" si="27"/>
        <v>25312.26219</v>
      </c>
      <c r="BB61" s="131">
        <f t="shared" si="27"/>
        <v>24851.08132</v>
      </c>
      <c r="BC61" s="131">
        <f t="shared" si="27"/>
        <v>24414.26235</v>
      </c>
      <c r="BD61" s="131">
        <f t="shared" si="27"/>
        <v>24000.8646</v>
      </c>
      <c r="BE61" s="131">
        <f t="shared" si="27"/>
        <v>23609.98659</v>
      </c>
      <c r="BF61" s="131">
        <f t="shared" si="27"/>
        <v>23240.7645</v>
      </c>
      <c r="BG61" s="131">
        <f t="shared" si="27"/>
        <v>22892.37059</v>
      </c>
      <c r="BH61" s="131">
        <f t="shared" si="27"/>
        <v>22564.01172</v>
      </c>
      <c r="BI61" s="131">
        <f t="shared" si="27"/>
        <v>22254.92801</v>
      </c>
      <c r="BJ61" s="131">
        <f t="shared" si="27"/>
        <v>21964.39139</v>
      </c>
      <c r="BK61" s="131">
        <f t="shared" si="27"/>
        <v>24777.27914</v>
      </c>
      <c r="BL61" s="131">
        <f t="shared" si="27"/>
        <v>23230.10939</v>
      </c>
      <c r="BM61" s="131">
        <f t="shared" si="27"/>
        <v>19928.84061</v>
      </c>
      <c r="BN61" s="131">
        <f t="shared" si="27"/>
        <v>19861.74502</v>
      </c>
      <c r="BO61" s="131">
        <f t="shared" si="27"/>
        <v>19807.58643</v>
      </c>
      <c r="BP61" s="131">
        <f t="shared" si="27"/>
        <v>19766.08435</v>
      </c>
      <c r="BQ61" s="131">
        <f t="shared" si="27"/>
        <v>19736.97537</v>
      </c>
      <c r="BR61" s="131">
        <f t="shared" si="27"/>
        <v>19720.01273</v>
      </c>
      <c r="BS61" s="131">
        <f t="shared" si="27"/>
        <v>19714.96581</v>
      </c>
      <c r="BT61" s="131">
        <f t="shared" si="27"/>
        <v>19721.61975</v>
      </c>
      <c r="BU61" s="131">
        <f t="shared" si="27"/>
        <v>19739.77499</v>
      </c>
      <c r="BV61" s="131">
        <f t="shared" si="27"/>
        <v>19769.24695</v>
      </c>
      <c r="BW61" s="131">
        <f t="shared" si="27"/>
        <v>22117.81957</v>
      </c>
      <c r="BX61" s="131">
        <f t="shared" si="27"/>
        <v>17752.3996</v>
      </c>
      <c r="BY61" s="131">
        <f t="shared" si="27"/>
        <v>14220.51122</v>
      </c>
      <c r="BZ61" s="131">
        <f t="shared" si="27"/>
        <v>14041.72741</v>
      </c>
      <c r="CA61" s="131">
        <f t="shared" si="27"/>
        <v>13879.70228</v>
      </c>
      <c r="CB61" s="131">
        <f t="shared" si="27"/>
        <v>13733.72713</v>
      </c>
      <c r="CC61" s="131">
        <f t="shared" si="27"/>
        <v>13603.12414</v>
      </c>
      <c r="CD61" s="131">
        <f t="shared" si="27"/>
        <v>13487.24509</v>
      </c>
      <c r="CE61" s="131">
        <f t="shared" si="27"/>
        <v>13385.47015</v>
      </c>
      <c r="CF61" s="131">
        <f t="shared" si="27"/>
        <v>13297.20674</v>
      </c>
      <c r="CG61" s="131">
        <f t="shared" si="27"/>
        <v>13221.88843</v>
      </c>
      <c r="CH61" s="131">
        <f t="shared" si="27"/>
        <v>13158.97385</v>
      </c>
      <c r="CI61" s="131"/>
    </row>
    <row r="62" ht="15.75" customHeight="1" outlineLevel="1">
      <c r="A62" s="1" t="s">
        <v>51</v>
      </c>
      <c r="B62" s="446" t="s">
        <v>677</v>
      </c>
      <c r="C62" s="1"/>
      <c r="D62" s="423">
        <f t="shared" ref="D62:CH62" si="28">D60/C60-1</f>
        <v>0.9289177398</v>
      </c>
      <c r="E62" s="423">
        <f t="shared" si="28"/>
        <v>-0.1025210648</v>
      </c>
      <c r="F62" s="423">
        <f t="shared" si="28"/>
        <v>0.05316065083</v>
      </c>
      <c r="G62" s="423">
        <f t="shared" si="28"/>
        <v>-0.3990943396</v>
      </c>
      <c r="H62" s="423">
        <f t="shared" si="28"/>
        <v>0.4435849698</v>
      </c>
      <c r="I62" s="423">
        <f t="shared" si="28"/>
        <v>-0.2291972671</v>
      </c>
      <c r="J62" s="423">
        <f t="shared" si="28"/>
        <v>-0.1650344264</v>
      </c>
      <c r="K62" s="423">
        <f t="shared" si="28"/>
        <v>0.5903224524</v>
      </c>
      <c r="L62" s="423">
        <f t="shared" si="28"/>
        <v>0.1877234476</v>
      </c>
      <c r="M62" s="423">
        <f t="shared" si="28"/>
        <v>-0.1715670178</v>
      </c>
      <c r="N62" s="423">
        <f t="shared" si="28"/>
        <v>0.1758757197</v>
      </c>
      <c r="O62" s="423">
        <f t="shared" si="28"/>
        <v>-0.1181295648</v>
      </c>
      <c r="P62" s="423">
        <f t="shared" si="28"/>
        <v>-0.07581252205</v>
      </c>
      <c r="Q62" s="423">
        <f t="shared" si="28"/>
        <v>-0.4426945797</v>
      </c>
      <c r="R62" s="423">
        <f t="shared" si="28"/>
        <v>0.4288011418</v>
      </c>
      <c r="S62" s="423">
        <f t="shared" si="28"/>
        <v>-0.07036832327</v>
      </c>
      <c r="T62" s="423">
        <f t="shared" si="28"/>
        <v>0.07720630372</v>
      </c>
      <c r="U62" s="423">
        <f t="shared" si="28"/>
        <v>-0.3141217465</v>
      </c>
      <c r="V62" s="423">
        <f t="shared" si="28"/>
        <v>1.299522014</v>
      </c>
      <c r="W62" s="423">
        <f t="shared" si="28"/>
        <v>-0.001707599874</v>
      </c>
      <c r="X62" s="423">
        <f t="shared" si="28"/>
        <v>-0.4012459349</v>
      </c>
      <c r="Y62" s="423">
        <f t="shared" si="28"/>
        <v>0.03515627755</v>
      </c>
      <c r="Z62" s="202">
        <f t="shared" si="28"/>
        <v>0.5575727214</v>
      </c>
      <c r="AA62" s="202">
        <f t="shared" si="28"/>
        <v>0.2215986923</v>
      </c>
      <c r="AB62" s="202">
        <f t="shared" si="28"/>
        <v>0.2035877837</v>
      </c>
      <c r="AC62" s="202">
        <f t="shared" si="28"/>
        <v>0.1754684616</v>
      </c>
      <c r="AD62" s="202">
        <f t="shared" si="28"/>
        <v>0.1519598967</v>
      </c>
      <c r="AE62" s="202">
        <f t="shared" si="28"/>
        <v>0.1310392719</v>
      </c>
      <c r="AF62" s="202">
        <f t="shared" si="28"/>
        <v>0.1121339085</v>
      </c>
      <c r="AG62" s="202">
        <f t="shared" si="28"/>
        <v>0.09477297956</v>
      </c>
      <c r="AH62" s="202">
        <f t="shared" si="28"/>
        <v>0.08316812245</v>
      </c>
      <c r="AI62" s="202">
        <f t="shared" si="28"/>
        <v>0.0747578028</v>
      </c>
      <c r="AJ62" s="202">
        <f t="shared" si="28"/>
        <v>0.06468381918</v>
      </c>
      <c r="AK62" s="202">
        <f t="shared" si="28"/>
        <v>0.06042500518</v>
      </c>
      <c r="AL62" s="202">
        <f t="shared" si="28"/>
        <v>0.056405231</v>
      </c>
      <c r="AM62" s="202">
        <f t="shared" si="28"/>
        <v>0.03736932458</v>
      </c>
      <c r="AN62" s="202">
        <f t="shared" si="28"/>
        <v>0.02398224111</v>
      </c>
      <c r="AO62" s="202">
        <f t="shared" si="28"/>
        <v>0.02084176639</v>
      </c>
      <c r="AP62" s="202">
        <f t="shared" si="28"/>
        <v>0.01995085479</v>
      </c>
      <c r="AQ62" s="202">
        <f t="shared" si="28"/>
        <v>0.01913240125</v>
      </c>
      <c r="AR62" s="202">
        <f t="shared" si="28"/>
        <v>0.01854281597</v>
      </c>
      <c r="AS62" s="202">
        <f t="shared" si="28"/>
        <v>0.01783580585</v>
      </c>
      <c r="AT62" s="202">
        <f t="shared" si="28"/>
        <v>0.0171836213</v>
      </c>
      <c r="AU62" s="202">
        <f t="shared" si="28"/>
        <v>0.01658126074</v>
      </c>
      <c r="AV62" s="202">
        <f t="shared" si="28"/>
        <v>0.01602428474</v>
      </c>
      <c r="AW62" s="202">
        <f t="shared" si="28"/>
        <v>0.01550873941</v>
      </c>
      <c r="AX62" s="202">
        <f t="shared" si="28"/>
        <v>0.01503109195</v>
      </c>
      <c r="AY62" s="202">
        <f t="shared" si="28"/>
        <v>0.02373702372</v>
      </c>
      <c r="AZ62" s="202">
        <f t="shared" si="28"/>
        <v>0.02288603937</v>
      </c>
      <c r="BA62" s="202">
        <f t="shared" si="28"/>
        <v>0.02195204934</v>
      </c>
      <c r="BB62" s="202">
        <f t="shared" si="28"/>
        <v>0.02108914056</v>
      </c>
      <c r="BC62" s="202">
        <f t="shared" si="28"/>
        <v>0.02029053698</v>
      </c>
      <c r="BD62" s="202">
        <f t="shared" si="28"/>
        <v>0.0195502791</v>
      </c>
      <c r="BE62" s="202">
        <f t="shared" si="28"/>
        <v>0.01886310436</v>
      </c>
      <c r="BF62" s="202">
        <f t="shared" si="28"/>
        <v>0.01822434807</v>
      </c>
      <c r="BG62" s="202">
        <f t="shared" si="28"/>
        <v>0.01762986072</v>
      </c>
      <c r="BH62" s="202">
        <f t="shared" si="28"/>
        <v>0.01707593874</v>
      </c>
      <c r="BI62" s="202">
        <f t="shared" si="28"/>
        <v>0.01655926609</v>
      </c>
      <c r="BJ62" s="202">
        <f t="shared" si="28"/>
        <v>0.01607686488</v>
      </c>
      <c r="BK62" s="202">
        <f t="shared" si="28"/>
        <v>0.01784880885</v>
      </c>
      <c r="BL62" s="202">
        <f t="shared" si="28"/>
        <v>0.01644082501</v>
      </c>
      <c r="BM62" s="202">
        <f t="shared" si="28"/>
        <v>0.01387625544</v>
      </c>
      <c r="BN62" s="202">
        <f t="shared" si="28"/>
        <v>0.01364026168</v>
      </c>
      <c r="BO62" s="202">
        <f t="shared" si="28"/>
        <v>0.01342001518</v>
      </c>
      <c r="BP62" s="202">
        <f t="shared" si="28"/>
        <v>0.01321455718</v>
      </c>
      <c r="BQ62" s="202">
        <f t="shared" si="28"/>
        <v>0.01302300324</v>
      </c>
      <c r="BR62" s="202">
        <f t="shared" si="28"/>
        <v>0.01284453637</v>
      </c>
      <c r="BS62" s="202">
        <f t="shared" si="28"/>
        <v>0.01267840091</v>
      </c>
      <c r="BT62" s="202">
        <f t="shared" si="28"/>
        <v>0.01252389697</v>
      </c>
      <c r="BU62" s="202">
        <f t="shared" si="28"/>
        <v>0.01238037562</v>
      </c>
      <c r="BV62" s="202">
        <f t="shared" si="28"/>
        <v>0.01224723445</v>
      </c>
      <c r="BW62" s="202">
        <f t="shared" si="28"/>
        <v>0.01353641365</v>
      </c>
      <c r="BX62" s="202">
        <f t="shared" si="28"/>
        <v>0.01071961074</v>
      </c>
      <c r="BY62" s="202">
        <f t="shared" si="28"/>
        <v>0.008495842782</v>
      </c>
      <c r="BZ62" s="202">
        <f t="shared" si="28"/>
        <v>0.008318359457</v>
      </c>
      <c r="CA62" s="202">
        <f t="shared" si="28"/>
        <v>0.008154542884</v>
      </c>
      <c r="CB62" s="202">
        <f t="shared" si="28"/>
        <v>0.008003515186</v>
      </c>
      <c r="CC62" s="202">
        <f t="shared" si="28"/>
        <v>0.007864461194</v>
      </c>
      <c r="CD62" s="202">
        <f t="shared" si="28"/>
        <v>0.007736622925</v>
      </c>
      <c r="CE62" s="202">
        <f t="shared" si="28"/>
        <v>0.007619294649</v>
      </c>
      <c r="CF62" s="202">
        <f t="shared" si="28"/>
        <v>0.007511818479</v>
      </c>
      <c r="CG62" s="202">
        <f t="shared" si="28"/>
        <v>0.007413580413</v>
      </c>
      <c r="CH62" s="202">
        <f t="shared" si="28"/>
        <v>0.007324006778</v>
      </c>
      <c r="CI62" s="202"/>
    </row>
    <row r="63" ht="15.75" customHeight="1" outlineLevel="1">
      <c r="A63" s="1" t="s">
        <v>678</v>
      </c>
      <c r="B63" s="447">
        <v>500.0</v>
      </c>
      <c r="C63" s="448">
        <f t="shared" ref="C63:BJ63" si="29">C60/$B$63</f>
        <v>247.094</v>
      </c>
      <c r="D63" s="448">
        <f t="shared" si="29"/>
        <v>476.624</v>
      </c>
      <c r="E63" s="448">
        <f t="shared" si="29"/>
        <v>427.76</v>
      </c>
      <c r="F63" s="448">
        <f t="shared" si="29"/>
        <v>450.5</v>
      </c>
      <c r="G63" s="448">
        <f t="shared" si="29"/>
        <v>270.708</v>
      </c>
      <c r="H63" s="448">
        <f t="shared" si="29"/>
        <v>390.79</v>
      </c>
      <c r="I63" s="448">
        <f t="shared" si="29"/>
        <v>301.222</v>
      </c>
      <c r="J63" s="448">
        <f t="shared" si="29"/>
        <v>251.51</v>
      </c>
      <c r="K63" s="448">
        <f t="shared" si="29"/>
        <v>399.982</v>
      </c>
      <c r="L63" s="448">
        <f t="shared" si="29"/>
        <v>475.068</v>
      </c>
      <c r="M63" s="448">
        <f t="shared" si="29"/>
        <v>393.562</v>
      </c>
      <c r="N63" s="448">
        <f t="shared" si="29"/>
        <v>462.78</v>
      </c>
      <c r="O63" s="448">
        <f t="shared" si="29"/>
        <v>408.112</v>
      </c>
      <c r="P63" s="448">
        <f t="shared" si="29"/>
        <v>377.172</v>
      </c>
      <c r="Q63" s="448">
        <f t="shared" si="29"/>
        <v>210.2</v>
      </c>
      <c r="R63" s="448">
        <f t="shared" si="29"/>
        <v>300.334</v>
      </c>
      <c r="S63" s="448">
        <f t="shared" si="29"/>
        <v>279.2</v>
      </c>
      <c r="T63" s="448">
        <f t="shared" si="29"/>
        <v>300.756</v>
      </c>
      <c r="U63" s="448">
        <f t="shared" si="29"/>
        <v>206.282</v>
      </c>
      <c r="V63" s="448">
        <f t="shared" si="29"/>
        <v>474.35</v>
      </c>
      <c r="W63" s="448">
        <f t="shared" si="29"/>
        <v>473.54</v>
      </c>
      <c r="X63" s="448">
        <f t="shared" si="29"/>
        <v>283.534</v>
      </c>
      <c r="Y63" s="448">
        <f t="shared" si="29"/>
        <v>293.502</v>
      </c>
      <c r="Z63" s="448">
        <f t="shared" si="29"/>
        <v>457.1507089</v>
      </c>
      <c r="AA63" s="448">
        <f t="shared" si="29"/>
        <v>558.4547081</v>
      </c>
      <c r="AB63" s="448">
        <f t="shared" si="29"/>
        <v>672.1492644</v>
      </c>
      <c r="AC63" s="448">
        <f t="shared" si="29"/>
        <v>790.0902618</v>
      </c>
      <c r="AD63" s="448">
        <f t="shared" si="29"/>
        <v>910.1522964</v>
      </c>
      <c r="AE63" s="448">
        <f t="shared" si="29"/>
        <v>1029.417991</v>
      </c>
      <c r="AF63" s="448">
        <f t="shared" si="29"/>
        <v>1144.850653</v>
      </c>
      <c r="AG63" s="448">
        <f t="shared" si="29"/>
        <v>1253.351561</v>
      </c>
      <c r="AH63" s="448">
        <f t="shared" si="29"/>
        <v>1357.590457</v>
      </c>
      <c r="AI63" s="448">
        <f t="shared" si="29"/>
        <v>1459.080937</v>
      </c>
      <c r="AJ63" s="448">
        <f t="shared" si="29"/>
        <v>1553.459864</v>
      </c>
      <c r="AK63" s="448">
        <f t="shared" si="29"/>
        <v>1647.327685</v>
      </c>
      <c r="AL63" s="448">
        <f t="shared" si="29"/>
        <v>1740.245583</v>
      </c>
      <c r="AM63" s="448">
        <f t="shared" si="29"/>
        <v>1805.277385</v>
      </c>
      <c r="AN63" s="448">
        <f t="shared" si="29"/>
        <v>1848.571983</v>
      </c>
      <c r="AO63" s="448">
        <f t="shared" si="29"/>
        <v>1887.099488</v>
      </c>
      <c r="AP63" s="448">
        <f t="shared" si="29"/>
        <v>1924.748736</v>
      </c>
      <c r="AQ63" s="448">
        <f t="shared" si="29"/>
        <v>1961.573801</v>
      </c>
      <c r="AR63" s="448">
        <f t="shared" si="29"/>
        <v>1997.946903</v>
      </c>
      <c r="AS63" s="448">
        <f t="shared" si="29"/>
        <v>2033.581896</v>
      </c>
      <c r="AT63" s="448">
        <f t="shared" si="29"/>
        <v>2068.526197</v>
      </c>
      <c r="AU63" s="448">
        <f t="shared" si="29"/>
        <v>2102.82497</v>
      </c>
      <c r="AV63" s="448">
        <f t="shared" si="29"/>
        <v>2136.521236</v>
      </c>
      <c r="AW63" s="448">
        <f t="shared" si="29"/>
        <v>2169.655987</v>
      </c>
      <c r="AX63" s="448">
        <f t="shared" si="29"/>
        <v>2202.268285</v>
      </c>
      <c r="AY63" s="448">
        <f t="shared" si="29"/>
        <v>2254.54358</v>
      </c>
      <c r="AZ63" s="448">
        <f t="shared" si="29"/>
        <v>2306.141153</v>
      </c>
      <c r="BA63" s="448">
        <f t="shared" si="29"/>
        <v>2356.765677</v>
      </c>
      <c r="BB63" s="448">
        <f t="shared" si="29"/>
        <v>2406.46784</v>
      </c>
      <c r="BC63" s="448">
        <f t="shared" si="29"/>
        <v>2455.296365</v>
      </c>
      <c r="BD63" s="448">
        <f t="shared" si="29"/>
        <v>2503.298094</v>
      </c>
      <c r="BE63" s="448">
        <f t="shared" si="29"/>
        <v>2550.518067</v>
      </c>
      <c r="BF63" s="448">
        <f t="shared" si="29"/>
        <v>2596.999596</v>
      </c>
      <c r="BG63" s="448">
        <f t="shared" si="29"/>
        <v>2642.784337</v>
      </c>
      <c r="BH63" s="448">
        <f t="shared" si="29"/>
        <v>2687.912361</v>
      </c>
      <c r="BI63" s="448">
        <f t="shared" si="29"/>
        <v>2732.422217</v>
      </c>
      <c r="BJ63" s="448">
        <f t="shared" si="29"/>
        <v>2776.351</v>
      </c>
      <c r="BK63" s="448">
        <f t="shared" ref="BK63:CH63" si="30">BK60/$B$64</f>
        <v>2545.860863</v>
      </c>
      <c r="BL63" s="448">
        <f t="shared" si="30"/>
        <v>2587.716916</v>
      </c>
      <c r="BM63" s="448">
        <f t="shared" si="30"/>
        <v>2623.624737</v>
      </c>
      <c r="BN63" s="448">
        <f t="shared" si="30"/>
        <v>2659.411665</v>
      </c>
      <c r="BO63" s="448">
        <f t="shared" si="30"/>
        <v>2695.10101</v>
      </c>
      <c r="BP63" s="448">
        <f t="shared" si="30"/>
        <v>2730.715576</v>
      </c>
      <c r="BQ63" s="448">
        <f t="shared" si="30"/>
        <v>2766.277694</v>
      </c>
      <c r="BR63" s="448">
        <f t="shared" si="30"/>
        <v>2801.809248</v>
      </c>
      <c r="BS63" s="448">
        <f t="shared" si="30"/>
        <v>2837.331709</v>
      </c>
      <c r="BT63" s="448">
        <f t="shared" si="30"/>
        <v>2872.866159</v>
      </c>
      <c r="BU63" s="448">
        <f t="shared" si="30"/>
        <v>2908.433321</v>
      </c>
      <c r="BV63" s="448">
        <f t="shared" si="30"/>
        <v>2944.053586</v>
      </c>
      <c r="BW63" s="448">
        <f t="shared" si="30"/>
        <v>2983.905513</v>
      </c>
      <c r="BX63" s="448">
        <f t="shared" si="30"/>
        <v>3015.891819</v>
      </c>
      <c r="BY63" s="448">
        <f t="shared" si="30"/>
        <v>3041.514362</v>
      </c>
      <c r="BZ63" s="448">
        <f t="shared" si="30"/>
        <v>3066.814771</v>
      </c>
      <c r="CA63" s="448">
        <f t="shared" si="30"/>
        <v>3091.823244</v>
      </c>
      <c r="CB63" s="448">
        <f t="shared" si="30"/>
        <v>3116.568698</v>
      </c>
      <c r="CC63" s="448">
        <f t="shared" si="30"/>
        <v>3141.078832</v>
      </c>
      <c r="CD63" s="448">
        <f t="shared" si="30"/>
        <v>3165.380174</v>
      </c>
      <c r="CE63" s="448">
        <f t="shared" si="30"/>
        <v>3189.498139</v>
      </c>
      <c r="CF63" s="448">
        <f t="shared" si="30"/>
        <v>3213.45707</v>
      </c>
      <c r="CG63" s="448">
        <f t="shared" si="30"/>
        <v>3237.280292</v>
      </c>
      <c r="CH63" s="448">
        <f t="shared" si="30"/>
        <v>3260.990155</v>
      </c>
      <c r="CI63" s="448"/>
    </row>
    <row r="64" ht="15.75" customHeight="1" outlineLevel="1">
      <c r="A64" s="449" t="s">
        <v>679</v>
      </c>
      <c r="B64" s="454">
        <v>555.0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ht="15.75" customHeight="1" outlineLevel="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ht="15.75" customHeight="1" outlineLevel="1">
      <c r="A66" s="1" t="s">
        <v>194</v>
      </c>
      <c r="B66" s="1"/>
      <c r="C66" s="387">
        <f t="array" ref="C66">INDEX('IS Proforma'!$1:$1048490,MATCH($A66,'IS Proforma'!$C:$C,0),MATCH(C$4,'IS Proforma'!$4:$4))</f>
        <v>34442</v>
      </c>
      <c r="D66" s="387">
        <f t="array" ref="D66">INDEX('IS Proforma'!$1:$1048490,MATCH($A66,'IS Proforma'!$C:$C,0),MATCH(D$4,'IS Proforma'!$4:$4))</f>
        <v>23703</v>
      </c>
      <c r="E66" s="387">
        <f t="array" ref="E66">INDEX('IS Proforma'!$1:$1048490,MATCH($A66,'IS Proforma'!$C:$C,0),MATCH(E$4,'IS Proforma'!$4:$4))</f>
        <v>26039</v>
      </c>
      <c r="F66" s="387">
        <f t="array" ref="F66">INDEX('IS Proforma'!$1:$1048490,MATCH($A66,'IS Proforma'!$C:$C,0),MATCH(F$4,'IS Proforma'!$4:$4))</f>
        <v>21602</v>
      </c>
      <c r="G66" s="387">
        <f t="array" ref="G66">INDEX('IS Proforma'!$1:$1048490,MATCH($A66,'IS Proforma'!$C:$C,0),MATCH(G$4,'IS Proforma'!$4:$4))</f>
        <v>33399</v>
      </c>
      <c r="H66" s="387">
        <f t="array" ref="H66">INDEX('IS Proforma'!$1:$1048490,MATCH($A66,'IS Proforma'!$C:$C,0),MATCH(H$4,'IS Proforma'!$4:$4))</f>
        <v>24032</v>
      </c>
      <c r="I66" s="387">
        <f t="array" ref="I66">INDEX('IS Proforma'!$1:$1048490,MATCH($A66,'IS Proforma'!$C:$C,0),MATCH(I$4,'IS Proforma'!$4:$4))</f>
        <v>29272</v>
      </c>
      <c r="J66" s="387">
        <f t="array" ref="J66">INDEX('IS Proforma'!$1:$1048490,MATCH($A66,'IS Proforma'!$C:$C,0),MATCH(J$4,'IS Proforma'!$4:$4))</f>
        <v>39788</v>
      </c>
      <c r="K66" s="387">
        <f t="array" ref="K66">INDEX('IS Proforma'!$1:$1048490,MATCH($A66,'IS Proforma'!$C:$C,0),MATCH(K$4,'IS Proforma'!$4:$4))</f>
        <v>27189</v>
      </c>
      <c r="L66" s="387">
        <f t="array" ref="L66">INDEX('IS Proforma'!$1:$1048490,MATCH($A66,'IS Proforma'!$C:$C,0),MATCH(L$4,'IS Proforma'!$4:$4))</f>
        <v>21472</v>
      </c>
      <c r="M66" s="387">
        <f t="array" ref="M66">INDEX('IS Proforma'!$1:$1048490,MATCH($A66,'IS Proforma'!$C:$C,0),MATCH(M$4,'IS Proforma'!$4:$4))</f>
        <v>37690</v>
      </c>
      <c r="N66" s="387">
        <f t="array" ref="N66">INDEX('IS Proforma'!$1:$1048490,MATCH($A66,'IS Proforma'!$C:$C,0),MATCH(N$4,'IS Proforma'!$4:$4))</f>
        <v>34368</v>
      </c>
      <c r="O66" s="387">
        <f t="array" ref="O66">INDEX('IS Proforma'!$1:$1048490,MATCH($A66,'IS Proforma'!$C:$C,0),MATCH(O$4,'IS Proforma'!$4:$4))</f>
        <v>27285</v>
      </c>
      <c r="P66" s="387">
        <f t="array" ref="P66">INDEX('IS Proforma'!$1:$1048490,MATCH($A66,'IS Proforma'!$C:$C,0),MATCH(P$4,'IS Proforma'!$4:$4))</f>
        <v>31191</v>
      </c>
      <c r="Q66" s="387">
        <f t="array" ref="Q66">INDEX('IS Proforma'!$1:$1048490,MATCH($A66,'IS Proforma'!$C:$C,0),MATCH(Q$4,'IS Proforma'!$4:$4))</f>
        <v>35431</v>
      </c>
      <c r="R66" s="387">
        <f t="array" ref="R66">INDEX('IS Proforma'!$1:$1048490,MATCH($A66,'IS Proforma'!$C:$C,0),MATCH(R$4,'IS Proforma'!$4:$4))</f>
        <v>22355</v>
      </c>
      <c r="S66" s="387">
        <f t="array" ref="S66">INDEX('IS Proforma'!$1:$1048490,MATCH($A66,'IS Proforma'!$C:$C,0),MATCH(S$4,'IS Proforma'!$4:$4))</f>
        <v>28353</v>
      </c>
      <c r="T66" s="387">
        <f t="array" ref="T66">INDEX('IS Proforma'!$1:$1048490,MATCH($A66,'IS Proforma'!$C:$C,0),MATCH(T$4,'IS Proforma'!$4:$4))</f>
        <v>33063</v>
      </c>
      <c r="U66" s="387">
        <f t="array" ref="U66">INDEX('IS Proforma'!$1:$1048490,MATCH($A66,'IS Proforma'!$C:$C,0),MATCH(U$4,'IS Proforma'!$4:$4))</f>
        <v>25401</v>
      </c>
      <c r="V66" s="387">
        <f t="array" ref="V66">INDEX('IS Proforma'!$1:$1048490,MATCH($A66,'IS Proforma'!$C:$C,0),MATCH(V$4,'IS Proforma'!$4:$4))</f>
        <v>23793</v>
      </c>
      <c r="W66" s="387">
        <f t="array" ref="W66">INDEX('IS Proforma'!$1:$1048490,MATCH($A66,'IS Proforma'!$C:$C,0),MATCH(W$4,'IS Proforma'!$4:$4))</f>
        <v>37272</v>
      </c>
      <c r="X66" s="387">
        <f t="array" ref="X66">INDEX('IS Proforma'!$1:$1048490,MATCH($A66,'IS Proforma'!$C:$C,0),MATCH(X$4,'IS Proforma'!$4:$4))</f>
        <v>27277</v>
      </c>
      <c r="Y66" s="387">
        <f t="array" ref="Y66">INDEX('IS Proforma'!$1:$1048490,MATCH($A66,'IS Proforma'!$C:$C,0),MATCH(Y$4,'IS Proforma'!$4:$4))</f>
        <v>38947</v>
      </c>
      <c r="Z66" s="451">
        <f>'New Biz Sales'!Z121+(Y66*(1-$B$71))</f>
        <v>44904.55</v>
      </c>
      <c r="AA66" s="451">
        <f>'New Biz Sales'!AA121+(Z66*(1-$B$71))</f>
        <v>54548.1825</v>
      </c>
      <c r="AB66" s="451">
        <f>'New Biz Sales'!AB121+(AA66*(1-$B$71))</f>
        <v>60775.97738</v>
      </c>
      <c r="AC66" s="451">
        <f>'New Biz Sales'!AC121+(AB66*(1-$B$71))</f>
        <v>61710.14661</v>
      </c>
      <c r="AD66" s="451">
        <f>'New Biz Sales'!AD121+(AC66*(1-$B$71))</f>
        <v>61850.27199</v>
      </c>
      <c r="AE66" s="451">
        <f>'New Biz Sales'!AE121+(AD66*(1-$B$71))</f>
        <v>61871.2908</v>
      </c>
      <c r="AF66" s="451">
        <f>'New Biz Sales'!AF121+(AE66*(1-$B$71))</f>
        <v>62926.31862</v>
      </c>
      <c r="AG66" s="451">
        <f>'New Biz Sales'!AG121+(AF66*(1-$B$71))</f>
        <v>63084.57279</v>
      </c>
      <c r="AH66" s="451">
        <f>'New Biz Sales'!AH121+(AG66*(1-$B$71))</f>
        <v>63108.31092</v>
      </c>
      <c r="AI66" s="451">
        <f>'New Biz Sales'!AI121+(AH66*(1-$B$71))</f>
        <v>63111.87164</v>
      </c>
      <c r="AJ66" s="451">
        <f>'New Biz Sales'!AJ121+(AI66*(1-$B$71))</f>
        <v>60430.1245</v>
      </c>
      <c r="AK66" s="451">
        <f>'New Biz Sales'!AK121+(AJ66*(1-$B$71))</f>
        <v>60027.86242</v>
      </c>
      <c r="AL66" s="451">
        <f>'New Biz Sales'!AL121+(AK66*(1-$B$71))</f>
        <v>59967.52311</v>
      </c>
      <c r="AM66" s="451">
        <f>'New Biz Sales'!AM121+(AL66*(1-$B$71))</f>
        <v>60469.37974</v>
      </c>
      <c r="AN66" s="451">
        <f>'New Biz Sales'!AN121+(AM66*(1-$B$71))</f>
        <v>45102.38285</v>
      </c>
      <c r="AO66" s="451">
        <f>'New Biz Sales'!AO121+(AN66*(1-$B$71))</f>
        <v>40995.73452</v>
      </c>
      <c r="AP66" s="451">
        <f>'New Biz Sales'!AP121+(AO66*(1-$B$71))</f>
        <v>40550.88916</v>
      </c>
      <c r="AQ66" s="451">
        <f>'New Biz Sales'!AQ121+(AP66*(1-$B$71))</f>
        <v>40656.17</v>
      </c>
      <c r="AR66" s="451">
        <f>'New Biz Sales'!AR121+(AQ66*(1-$B$71))</f>
        <v>41018.56183</v>
      </c>
      <c r="AS66" s="451">
        <f>'New Biz Sales'!AS121+(AR66*(1-$B$71))</f>
        <v>41247.52129</v>
      </c>
      <c r="AT66" s="451">
        <f>'New Biz Sales'!AT121+(AS66*(1-$B$71))</f>
        <v>41457.33889</v>
      </c>
      <c r="AU66" s="451">
        <f>'New Biz Sales'!AU121+(AT66*(1-$B$71))</f>
        <v>41665.16258</v>
      </c>
      <c r="AV66" s="451">
        <f>'New Biz Sales'!AV121+(AU66*(1-$B$71))</f>
        <v>41873.56895</v>
      </c>
      <c r="AW66" s="451">
        <f>'New Biz Sales'!AW121+(AV66*(1-$B$71))</f>
        <v>42082.94887</v>
      </c>
      <c r="AX66" s="451">
        <f>'New Biz Sales'!AX121+(AW66*(1-$B$71))</f>
        <v>42293.36543</v>
      </c>
      <c r="AY66" s="451">
        <f>'New Biz Sales'!AY121+(AX66*(1-$B$71))</f>
        <v>42685.63667</v>
      </c>
      <c r="AZ66" s="451">
        <f>'New Biz Sales'!AZ121+(AY66*(1-$B$71))</f>
        <v>43107.89367</v>
      </c>
      <c r="BA66" s="451">
        <f>'New Biz Sales'!BA121+(AZ66*(1-$B$71))</f>
        <v>43354.75746</v>
      </c>
      <c r="BB66" s="451">
        <f>'New Biz Sales'!BB121+(BA66*(1-$B$71))</f>
        <v>43576.2299</v>
      </c>
      <c r="BC66" s="451">
        <f>'New Biz Sales'!BC121+(BB66*(1-$B$71))</f>
        <v>43794.81585</v>
      </c>
      <c r="BD66" s="451">
        <f>'New Biz Sales'!BD121+(BC66*(1-$B$71))</f>
        <v>44013.89565</v>
      </c>
      <c r="BE66" s="451">
        <f>'New Biz Sales'!BE121+(BD66*(1-$B$71))</f>
        <v>44233.98098</v>
      </c>
      <c r="BF66" s="451">
        <f>'New Biz Sales'!BF121+(BE66*(1-$B$71))</f>
        <v>44455.15327</v>
      </c>
      <c r="BG66" s="451">
        <f>'New Biz Sales'!BG121+(BF66*(1-$B$71))</f>
        <v>44677.42939</v>
      </c>
      <c r="BH66" s="451">
        <f>'New Biz Sales'!BH121+(BG66*(1-$B$71))</f>
        <v>44900.81659</v>
      </c>
      <c r="BI66" s="451">
        <f>'New Biz Sales'!BI121+(BH66*(1-$B$71))</f>
        <v>45125.32068</v>
      </c>
      <c r="BJ66" s="451">
        <f>'New Biz Sales'!BJ121+(BI66*(1-$B$71))</f>
        <v>45350.94728</v>
      </c>
      <c r="BK66" s="451">
        <f>'New Biz Sales'!BK121+(BJ66*(1-$B$71))</f>
        <v>46353.20322</v>
      </c>
      <c r="BL66" s="451">
        <f>'New Biz Sales'!BL121+(BK66*(1-$B$71))</f>
        <v>45277.47421</v>
      </c>
      <c r="BM66" s="451">
        <f>'New Biz Sales'!BM121+(BL66*(1-$B$71))</f>
        <v>45307.73733</v>
      </c>
      <c r="BN66" s="451">
        <f>'New Biz Sales'!BN121+(BM66*(1-$B$71))</f>
        <v>45504.85738</v>
      </c>
      <c r="BO66" s="451">
        <f>'New Biz Sales'!BO121+(BN66*(1-$B$71))</f>
        <v>45727.96887</v>
      </c>
      <c r="BP66" s="451">
        <f>'New Biz Sales'!BP121+(BO66*(1-$B$71))</f>
        <v>45955.9468</v>
      </c>
      <c r="BQ66" s="451">
        <f>'New Biz Sales'!BQ121+(BP66*(1-$B$71))</f>
        <v>46185.62724</v>
      </c>
      <c r="BR66" s="451">
        <f>'New Biz Sales'!BR121+(BQ66*(1-$B$71))</f>
        <v>46416.54049</v>
      </c>
      <c r="BS66" s="451">
        <f>'New Biz Sales'!BS121+(BR66*(1-$B$71))</f>
        <v>46648.62096</v>
      </c>
      <c r="BT66" s="451">
        <f>'New Biz Sales'!BT121+(BS66*(1-$B$71))</f>
        <v>46881.86373</v>
      </c>
      <c r="BU66" s="451">
        <f>'New Biz Sales'!BU121+(BT66*(1-$B$71))</f>
        <v>47116.27299</v>
      </c>
      <c r="BV66" s="451">
        <f>'New Biz Sales'!BV121+(BU66*(1-$B$71))</f>
        <v>47351.85435</v>
      </c>
      <c r="BW66" s="451">
        <f>'New Biz Sales'!BW121+(BV66*(1-$B$71))</f>
        <v>47588.61362</v>
      </c>
      <c r="BX66" s="451">
        <f>'New Biz Sales'!BX121+(BW66*(1-$B$71))</f>
        <v>43575.54397</v>
      </c>
      <c r="BY66" s="451">
        <f>'New Biz Sales'!BY121+(BX66*(1-$B$71))</f>
        <v>43155.76978</v>
      </c>
      <c r="BZ66" s="451">
        <f>'New Biz Sales'!BZ121+(BY66*(1-$B$71))</f>
        <v>43275.90084</v>
      </c>
      <c r="CA66" s="451">
        <f>'New Biz Sales'!CA121+(BZ66*(1-$B$71))</f>
        <v>43477.93318</v>
      </c>
      <c r="CB66" s="451">
        <f>'New Biz Sales'!CB121+(CA66*(1-$B$71))</f>
        <v>43693.17077</v>
      </c>
      <c r="CC66" s="451">
        <f>'New Biz Sales'!CC121+(CB66*(1-$B$71))</f>
        <v>43911.31381</v>
      </c>
      <c r="CD66" s="451">
        <f>'New Biz Sales'!CD121+(CC66*(1-$B$71))</f>
        <v>44130.82196</v>
      </c>
      <c r="CE66" s="451">
        <f>'New Biz Sales'!CE121+(CD66*(1-$B$71))</f>
        <v>44351.4688</v>
      </c>
      <c r="CF66" s="451">
        <f>'New Biz Sales'!CF121+(CE66*(1-$B$71))</f>
        <v>44573.22506</v>
      </c>
      <c r="CG66" s="451">
        <f>'New Biz Sales'!CG121+(CF66*(1-$B$71))</f>
        <v>44796.09102</v>
      </c>
      <c r="CH66" s="451">
        <f>'New Biz Sales'!CH121+(CG66*(1-$B$71))</f>
        <v>45020.07145</v>
      </c>
      <c r="CI66" s="451"/>
    </row>
    <row r="67" ht="15.75" customHeight="1" outlineLevel="1">
      <c r="A67" s="1" t="s">
        <v>325</v>
      </c>
      <c r="B67" s="1"/>
      <c r="C67" s="1"/>
      <c r="D67" s="387">
        <f t="shared" ref="D67:CH67" si="31">D66-C66</f>
        <v>-10739</v>
      </c>
      <c r="E67" s="387">
        <f t="shared" si="31"/>
        <v>2336</v>
      </c>
      <c r="F67" s="387">
        <f t="shared" si="31"/>
        <v>-4437</v>
      </c>
      <c r="G67" s="387">
        <f t="shared" si="31"/>
        <v>11797</v>
      </c>
      <c r="H67" s="387">
        <f t="shared" si="31"/>
        <v>-9367</v>
      </c>
      <c r="I67" s="387">
        <f t="shared" si="31"/>
        <v>5240</v>
      </c>
      <c r="J67" s="387">
        <f t="shared" si="31"/>
        <v>10516</v>
      </c>
      <c r="K67" s="387">
        <f t="shared" si="31"/>
        <v>-12599</v>
      </c>
      <c r="L67" s="387">
        <f t="shared" si="31"/>
        <v>-5717</v>
      </c>
      <c r="M67" s="387">
        <f t="shared" si="31"/>
        <v>16218</v>
      </c>
      <c r="N67" s="387">
        <f t="shared" si="31"/>
        <v>-3322</v>
      </c>
      <c r="O67" s="387">
        <f t="shared" si="31"/>
        <v>-7083</v>
      </c>
      <c r="P67" s="387">
        <f t="shared" si="31"/>
        <v>3906</v>
      </c>
      <c r="Q67" s="387">
        <f t="shared" si="31"/>
        <v>4240</v>
      </c>
      <c r="R67" s="387">
        <f t="shared" si="31"/>
        <v>-13076</v>
      </c>
      <c r="S67" s="387">
        <f t="shared" si="31"/>
        <v>5998</v>
      </c>
      <c r="T67" s="387">
        <f t="shared" si="31"/>
        <v>4710</v>
      </c>
      <c r="U67" s="387">
        <f t="shared" si="31"/>
        <v>-7662</v>
      </c>
      <c r="V67" s="387">
        <f t="shared" si="31"/>
        <v>-1608</v>
      </c>
      <c r="W67" s="387">
        <f t="shared" si="31"/>
        <v>13479</v>
      </c>
      <c r="X67" s="387">
        <f t="shared" si="31"/>
        <v>-9995</v>
      </c>
      <c r="Y67" s="387">
        <f t="shared" si="31"/>
        <v>11670</v>
      </c>
      <c r="Z67" s="131">
        <f t="shared" si="31"/>
        <v>5957.55</v>
      </c>
      <c r="AA67" s="131">
        <f t="shared" si="31"/>
        <v>9643.6325</v>
      </c>
      <c r="AB67" s="131">
        <f t="shared" si="31"/>
        <v>6227.794875</v>
      </c>
      <c r="AC67" s="131">
        <f t="shared" si="31"/>
        <v>934.1692313</v>
      </c>
      <c r="AD67" s="131">
        <f t="shared" si="31"/>
        <v>140.1253847</v>
      </c>
      <c r="AE67" s="131">
        <f t="shared" si="31"/>
        <v>21.0188077</v>
      </c>
      <c r="AF67" s="131">
        <f t="shared" si="31"/>
        <v>1055.027821</v>
      </c>
      <c r="AG67" s="131">
        <f t="shared" si="31"/>
        <v>158.2541732</v>
      </c>
      <c r="AH67" s="131">
        <f t="shared" si="31"/>
        <v>23.73812598</v>
      </c>
      <c r="AI67" s="131">
        <f t="shared" si="31"/>
        <v>3.560718896</v>
      </c>
      <c r="AJ67" s="131">
        <f t="shared" si="31"/>
        <v>-2681.747142</v>
      </c>
      <c r="AK67" s="131">
        <f t="shared" si="31"/>
        <v>-402.2620713</v>
      </c>
      <c r="AL67" s="131">
        <f t="shared" si="31"/>
        <v>-60.3393107</v>
      </c>
      <c r="AM67" s="131">
        <f t="shared" si="31"/>
        <v>501.8566245</v>
      </c>
      <c r="AN67" s="131">
        <f t="shared" si="31"/>
        <v>-15366.99689</v>
      </c>
      <c r="AO67" s="131">
        <f t="shared" si="31"/>
        <v>-4106.648328</v>
      </c>
      <c r="AP67" s="131">
        <f t="shared" si="31"/>
        <v>-444.8453637</v>
      </c>
      <c r="AQ67" s="131">
        <f t="shared" si="31"/>
        <v>105.2808404</v>
      </c>
      <c r="AR67" s="131">
        <f t="shared" si="31"/>
        <v>362.3918307</v>
      </c>
      <c r="AS67" s="131">
        <f t="shared" si="31"/>
        <v>228.9594563</v>
      </c>
      <c r="AT67" s="131">
        <f t="shared" si="31"/>
        <v>209.8176035</v>
      </c>
      <c r="AU67" s="131">
        <f t="shared" si="31"/>
        <v>207.823694</v>
      </c>
      <c r="AV67" s="131">
        <f t="shared" si="31"/>
        <v>208.4063629</v>
      </c>
      <c r="AW67" s="131">
        <f t="shared" si="31"/>
        <v>209.3799272</v>
      </c>
      <c r="AX67" s="131">
        <f t="shared" si="31"/>
        <v>210.4165567</v>
      </c>
      <c r="AY67" s="131">
        <f t="shared" si="31"/>
        <v>392.2712376</v>
      </c>
      <c r="AZ67" s="131">
        <f t="shared" si="31"/>
        <v>422.2570042</v>
      </c>
      <c r="BA67" s="131">
        <f t="shared" si="31"/>
        <v>246.8637915</v>
      </c>
      <c r="BB67" s="131">
        <f t="shared" si="31"/>
        <v>221.4724358</v>
      </c>
      <c r="BC67" s="131">
        <f t="shared" si="31"/>
        <v>218.5859468</v>
      </c>
      <c r="BD67" s="131">
        <f t="shared" si="31"/>
        <v>219.0797988</v>
      </c>
      <c r="BE67" s="131">
        <f t="shared" si="31"/>
        <v>220.0853362</v>
      </c>
      <c r="BF67" s="131">
        <f t="shared" si="31"/>
        <v>221.1722836</v>
      </c>
      <c r="BG67" s="131">
        <f t="shared" si="31"/>
        <v>222.2761231</v>
      </c>
      <c r="BH67" s="131">
        <f t="shared" si="31"/>
        <v>223.3872005</v>
      </c>
      <c r="BI67" s="131">
        <f t="shared" si="31"/>
        <v>224.504091</v>
      </c>
      <c r="BJ67" s="131">
        <f t="shared" si="31"/>
        <v>225.6266046</v>
      </c>
      <c r="BK67" s="131">
        <f t="shared" si="31"/>
        <v>1002.255935</v>
      </c>
      <c r="BL67" s="131">
        <f t="shared" si="31"/>
        <v>-1075.729005</v>
      </c>
      <c r="BM67" s="131">
        <f t="shared" si="31"/>
        <v>30.26311796</v>
      </c>
      <c r="BN67" s="131">
        <f t="shared" si="31"/>
        <v>197.1200487</v>
      </c>
      <c r="BO67" s="131">
        <f t="shared" si="31"/>
        <v>223.1114912</v>
      </c>
      <c r="BP67" s="131">
        <f t="shared" si="31"/>
        <v>227.977925</v>
      </c>
      <c r="BQ67" s="131">
        <f t="shared" si="31"/>
        <v>229.6804461</v>
      </c>
      <c r="BR67" s="131">
        <f t="shared" si="31"/>
        <v>230.913243</v>
      </c>
      <c r="BS67" s="131">
        <f t="shared" si="31"/>
        <v>232.0804685</v>
      </c>
      <c r="BT67" s="131">
        <f t="shared" si="31"/>
        <v>233.2427697</v>
      </c>
      <c r="BU67" s="131">
        <f t="shared" si="31"/>
        <v>234.4092684</v>
      </c>
      <c r="BV67" s="131">
        <f t="shared" si="31"/>
        <v>235.5813574</v>
      </c>
      <c r="BW67" s="131">
        <f t="shared" si="31"/>
        <v>236.7592706</v>
      </c>
      <c r="BX67" s="131">
        <f t="shared" si="31"/>
        <v>-4013.069656</v>
      </c>
      <c r="BY67" s="131">
        <f t="shared" si="31"/>
        <v>-419.7741888</v>
      </c>
      <c r="BZ67" s="131">
        <f t="shared" si="31"/>
        <v>120.1310626</v>
      </c>
      <c r="CA67" s="131">
        <f t="shared" si="31"/>
        <v>202.0323362</v>
      </c>
      <c r="CB67" s="131">
        <f t="shared" si="31"/>
        <v>215.2375907</v>
      </c>
      <c r="CC67" s="131">
        <f t="shared" si="31"/>
        <v>218.1430426</v>
      </c>
      <c r="CD67" s="131">
        <f t="shared" si="31"/>
        <v>219.5081474</v>
      </c>
      <c r="CE67" s="131">
        <f t="shared" si="31"/>
        <v>220.6468465</v>
      </c>
      <c r="CF67" s="131">
        <f t="shared" si="31"/>
        <v>221.7562545</v>
      </c>
      <c r="CG67" s="131">
        <f t="shared" si="31"/>
        <v>222.8659619</v>
      </c>
      <c r="CH67" s="131">
        <f t="shared" si="31"/>
        <v>223.9804306</v>
      </c>
      <c r="CI67" s="131"/>
    </row>
    <row r="68" ht="15.75" customHeight="1" outlineLevel="1">
      <c r="A68" s="1" t="s">
        <v>51</v>
      </c>
      <c r="B68" s="446" t="s">
        <v>677</v>
      </c>
      <c r="C68" s="1"/>
      <c r="D68" s="423">
        <f t="shared" ref="D68:CH68" si="32">D66/C66-1</f>
        <v>-0.3117995471</v>
      </c>
      <c r="E68" s="423">
        <f t="shared" si="32"/>
        <v>0.09855292579</v>
      </c>
      <c r="F68" s="423">
        <f t="shared" si="32"/>
        <v>-0.1703982488</v>
      </c>
      <c r="G68" s="423">
        <f t="shared" si="32"/>
        <v>0.546106842</v>
      </c>
      <c r="H68" s="423">
        <f t="shared" si="32"/>
        <v>-0.2804574987</v>
      </c>
      <c r="I68" s="423">
        <f t="shared" si="32"/>
        <v>0.2180426099</v>
      </c>
      <c r="J68" s="423">
        <f t="shared" si="32"/>
        <v>0.3592511615</v>
      </c>
      <c r="K68" s="423">
        <f t="shared" si="32"/>
        <v>-0.3166532623</v>
      </c>
      <c r="L68" s="423">
        <f t="shared" si="32"/>
        <v>-0.2102688587</v>
      </c>
      <c r="M68" s="423">
        <f t="shared" si="32"/>
        <v>0.7553092399</v>
      </c>
      <c r="N68" s="423">
        <f t="shared" si="32"/>
        <v>-0.08814009021</v>
      </c>
      <c r="O68" s="423">
        <f t="shared" si="32"/>
        <v>-0.2060928771</v>
      </c>
      <c r="P68" s="423">
        <f t="shared" si="32"/>
        <v>0.14315558</v>
      </c>
      <c r="Q68" s="423">
        <f t="shared" si="32"/>
        <v>0.1359366484</v>
      </c>
      <c r="R68" s="423">
        <f t="shared" si="32"/>
        <v>-0.369055347</v>
      </c>
      <c r="S68" s="423">
        <f t="shared" si="32"/>
        <v>0.2683068665</v>
      </c>
      <c r="T68" s="423">
        <f t="shared" si="32"/>
        <v>0.1661199873</v>
      </c>
      <c r="U68" s="423">
        <f t="shared" si="32"/>
        <v>-0.2317394066</v>
      </c>
      <c r="V68" s="423">
        <f t="shared" si="32"/>
        <v>-0.06330459431</v>
      </c>
      <c r="W68" s="423">
        <f t="shared" si="32"/>
        <v>0.5665111587</v>
      </c>
      <c r="X68" s="423">
        <f t="shared" si="32"/>
        <v>-0.268163769</v>
      </c>
      <c r="Y68" s="423">
        <f t="shared" si="32"/>
        <v>0.4278329728</v>
      </c>
      <c r="Z68" s="202">
        <f t="shared" si="32"/>
        <v>0.1529655686</v>
      </c>
      <c r="AA68" s="202">
        <f t="shared" si="32"/>
        <v>0.214758471</v>
      </c>
      <c r="AB68" s="202">
        <f t="shared" si="32"/>
        <v>0.1141705294</v>
      </c>
      <c r="AC68" s="202">
        <f t="shared" si="32"/>
        <v>0.01537069861</v>
      </c>
      <c r="AD68" s="202">
        <f t="shared" si="32"/>
        <v>0.002270702508</v>
      </c>
      <c r="AE68" s="202">
        <f t="shared" si="32"/>
        <v>0.000339833715</v>
      </c>
      <c r="AF68" s="202">
        <f t="shared" si="32"/>
        <v>0.01705197689</v>
      </c>
      <c r="AG68" s="202">
        <f t="shared" si="32"/>
        <v>0.002514912308</v>
      </c>
      <c r="AH68" s="202">
        <f t="shared" si="32"/>
        <v>0.0003762905085</v>
      </c>
      <c r="AI68" s="202">
        <f t="shared" si="32"/>
        <v>0.00005642234509</v>
      </c>
      <c r="AJ68" s="202">
        <f t="shared" si="32"/>
        <v>-0.04249196027</v>
      </c>
      <c r="AK68" s="202">
        <f t="shared" si="32"/>
        <v>-0.006656648066</v>
      </c>
      <c r="AL68" s="202">
        <f t="shared" si="32"/>
        <v>-0.001005188395</v>
      </c>
      <c r="AM68" s="202">
        <f t="shared" si="32"/>
        <v>0.008368806955</v>
      </c>
      <c r="AN68" s="202">
        <f t="shared" si="32"/>
        <v>-0.2541285681</v>
      </c>
      <c r="AO68" s="202">
        <f t="shared" si="32"/>
        <v>-0.09105169324</v>
      </c>
      <c r="AP68" s="202">
        <f t="shared" si="32"/>
        <v>-0.01085101582</v>
      </c>
      <c r="AQ68" s="202">
        <f t="shared" si="32"/>
        <v>0.002596264657</v>
      </c>
      <c r="AR68" s="202">
        <f t="shared" si="32"/>
        <v>0.008913575251</v>
      </c>
      <c r="AS68" s="202">
        <f t="shared" si="32"/>
        <v>0.005581849925</v>
      </c>
      <c r="AT68" s="202">
        <f t="shared" si="32"/>
        <v>0.005086793023</v>
      </c>
      <c r="AU68" s="202">
        <f t="shared" si="32"/>
        <v>0.005012953064</v>
      </c>
      <c r="AV68" s="202">
        <f t="shared" si="32"/>
        <v>0.005001933268</v>
      </c>
      <c r="AW68" s="202">
        <f t="shared" si="32"/>
        <v>0.005000288547</v>
      </c>
      <c r="AX68" s="202">
        <f t="shared" si="32"/>
        <v>0.005000043067</v>
      </c>
      <c r="AY68" s="202">
        <f t="shared" si="32"/>
        <v>0.00927500646</v>
      </c>
      <c r="AZ68" s="202">
        <f t="shared" si="32"/>
        <v>0.009892250348</v>
      </c>
      <c r="BA68" s="202">
        <f t="shared" si="32"/>
        <v>0.005726649355</v>
      </c>
      <c r="BB68" s="202">
        <f t="shared" si="32"/>
        <v>0.005108376767</v>
      </c>
      <c r="BC68" s="202">
        <f t="shared" si="32"/>
        <v>0.005016173893</v>
      </c>
      <c r="BD68" s="202">
        <f t="shared" si="32"/>
        <v>0.005002413975</v>
      </c>
      <c r="BE68" s="202">
        <f t="shared" si="32"/>
        <v>0.005000360294</v>
      </c>
      <c r="BF68" s="202">
        <f t="shared" si="32"/>
        <v>0.005000053775</v>
      </c>
      <c r="BG68" s="202">
        <f t="shared" si="32"/>
        <v>0.005000008026</v>
      </c>
      <c r="BH68" s="202">
        <f t="shared" si="32"/>
        <v>0.005000001198</v>
      </c>
      <c r="BI68" s="202">
        <f t="shared" si="32"/>
        <v>0.005000000179</v>
      </c>
      <c r="BJ68" s="202">
        <f t="shared" si="32"/>
        <v>0.005000000027</v>
      </c>
      <c r="BK68" s="202">
        <f t="shared" si="32"/>
        <v>0.0221</v>
      </c>
      <c r="BL68" s="202">
        <f t="shared" si="32"/>
        <v>-0.02320722043</v>
      </c>
      <c r="BM68" s="202">
        <f t="shared" si="32"/>
        <v>0.0006683923626</v>
      </c>
      <c r="BN68" s="202">
        <f t="shared" si="32"/>
        <v>0.004350692846</v>
      </c>
      <c r="BO68" s="202">
        <f t="shared" si="32"/>
        <v>0.004903025832</v>
      </c>
      <c r="BP68" s="202">
        <f t="shared" si="32"/>
        <v>0.004985524847</v>
      </c>
      <c r="BQ68" s="202">
        <f t="shared" si="32"/>
        <v>0.004997839498</v>
      </c>
      <c r="BR68" s="202">
        <f t="shared" si="32"/>
        <v>0.004999677536</v>
      </c>
      <c r="BS68" s="202">
        <f t="shared" si="32"/>
        <v>0.004999951871</v>
      </c>
      <c r="BT68" s="202">
        <f t="shared" si="32"/>
        <v>0.004999992817</v>
      </c>
      <c r="BU68" s="202">
        <f t="shared" si="32"/>
        <v>0.004999998928</v>
      </c>
      <c r="BV68" s="202">
        <f t="shared" si="32"/>
        <v>0.00499999984</v>
      </c>
      <c r="BW68" s="202">
        <f t="shared" si="32"/>
        <v>0.004999999976</v>
      </c>
      <c r="BX68" s="202">
        <f t="shared" si="32"/>
        <v>-0.08432835821</v>
      </c>
      <c r="BY68" s="202">
        <f t="shared" si="32"/>
        <v>-0.009633251834</v>
      </c>
      <c r="BZ68" s="202">
        <f t="shared" si="32"/>
        <v>0.00278366168</v>
      </c>
      <c r="CA68" s="202">
        <f t="shared" si="32"/>
        <v>0.004668472113</v>
      </c>
      <c r="CB68" s="202">
        <f t="shared" si="32"/>
        <v>0.004950501898</v>
      </c>
      <c r="CC68" s="202">
        <f t="shared" si="32"/>
        <v>0.00499261186</v>
      </c>
      <c r="CD68" s="202">
        <f t="shared" si="32"/>
        <v>0.004998897284</v>
      </c>
      <c r="CE68" s="202">
        <f t="shared" si="32"/>
        <v>0.004999835415</v>
      </c>
      <c r="CF68" s="202">
        <f t="shared" si="32"/>
        <v>0.004999975435</v>
      </c>
      <c r="CG68" s="202">
        <f t="shared" si="32"/>
        <v>0.004999996334</v>
      </c>
      <c r="CH68" s="202">
        <f t="shared" si="32"/>
        <v>0.004999999453</v>
      </c>
      <c r="CI68" s="202"/>
    </row>
    <row r="69" ht="15.75" customHeight="1" outlineLevel="1">
      <c r="A69" s="1" t="s">
        <v>678</v>
      </c>
      <c r="B69" s="447">
        <f>B63</f>
        <v>500</v>
      </c>
      <c r="C69" s="448">
        <f t="shared" ref="C69:BJ69" si="33">C66/$B$69</f>
        <v>68.884</v>
      </c>
      <c r="D69" s="448">
        <f t="shared" si="33"/>
        <v>47.406</v>
      </c>
      <c r="E69" s="448">
        <f t="shared" si="33"/>
        <v>52.078</v>
      </c>
      <c r="F69" s="448">
        <f t="shared" si="33"/>
        <v>43.204</v>
      </c>
      <c r="G69" s="448">
        <f t="shared" si="33"/>
        <v>66.798</v>
      </c>
      <c r="H69" s="448">
        <f t="shared" si="33"/>
        <v>48.064</v>
      </c>
      <c r="I69" s="448">
        <f t="shared" si="33"/>
        <v>58.544</v>
      </c>
      <c r="J69" s="448">
        <f t="shared" si="33"/>
        <v>79.576</v>
      </c>
      <c r="K69" s="448">
        <f t="shared" si="33"/>
        <v>54.378</v>
      </c>
      <c r="L69" s="448">
        <f t="shared" si="33"/>
        <v>42.944</v>
      </c>
      <c r="M69" s="448">
        <f t="shared" si="33"/>
        <v>75.38</v>
      </c>
      <c r="N69" s="448">
        <f t="shared" si="33"/>
        <v>68.736</v>
      </c>
      <c r="O69" s="448">
        <f t="shared" si="33"/>
        <v>54.57</v>
      </c>
      <c r="P69" s="448">
        <f t="shared" si="33"/>
        <v>62.382</v>
      </c>
      <c r="Q69" s="448">
        <f t="shared" si="33"/>
        <v>70.862</v>
      </c>
      <c r="R69" s="448">
        <f t="shared" si="33"/>
        <v>44.71</v>
      </c>
      <c r="S69" s="448">
        <f t="shared" si="33"/>
        <v>56.706</v>
      </c>
      <c r="T69" s="448">
        <f t="shared" si="33"/>
        <v>66.126</v>
      </c>
      <c r="U69" s="448">
        <f t="shared" si="33"/>
        <v>50.802</v>
      </c>
      <c r="V69" s="448">
        <f t="shared" si="33"/>
        <v>47.586</v>
      </c>
      <c r="W69" s="448">
        <f t="shared" si="33"/>
        <v>74.544</v>
      </c>
      <c r="X69" s="448">
        <f t="shared" si="33"/>
        <v>54.554</v>
      </c>
      <c r="Y69" s="448">
        <f t="shared" si="33"/>
        <v>77.894</v>
      </c>
      <c r="Z69" s="448">
        <f t="shared" si="33"/>
        <v>89.8091</v>
      </c>
      <c r="AA69" s="448">
        <f t="shared" si="33"/>
        <v>109.096365</v>
      </c>
      <c r="AB69" s="448">
        <f t="shared" si="33"/>
        <v>121.5519548</v>
      </c>
      <c r="AC69" s="448">
        <f t="shared" si="33"/>
        <v>123.4202932</v>
      </c>
      <c r="AD69" s="448">
        <f t="shared" si="33"/>
        <v>123.700544</v>
      </c>
      <c r="AE69" s="448">
        <f t="shared" si="33"/>
        <v>123.7425816</v>
      </c>
      <c r="AF69" s="448">
        <f t="shared" si="33"/>
        <v>125.8526372</v>
      </c>
      <c r="AG69" s="448">
        <f t="shared" si="33"/>
        <v>126.1691456</v>
      </c>
      <c r="AH69" s="448">
        <f t="shared" si="33"/>
        <v>126.2166218</v>
      </c>
      <c r="AI69" s="448">
        <f t="shared" si="33"/>
        <v>126.2237433</v>
      </c>
      <c r="AJ69" s="448">
        <f t="shared" si="33"/>
        <v>120.860249</v>
      </c>
      <c r="AK69" s="448">
        <f t="shared" si="33"/>
        <v>120.0557248</v>
      </c>
      <c r="AL69" s="448">
        <f t="shared" si="33"/>
        <v>119.9350462</v>
      </c>
      <c r="AM69" s="448">
        <f t="shared" si="33"/>
        <v>120.9387595</v>
      </c>
      <c r="AN69" s="448">
        <f t="shared" si="33"/>
        <v>90.2047657</v>
      </c>
      <c r="AO69" s="448">
        <f t="shared" si="33"/>
        <v>81.99146905</v>
      </c>
      <c r="AP69" s="448">
        <f t="shared" si="33"/>
        <v>81.10177832</v>
      </c>
      <c r="AQ69" s="448">
        <f t="shared" si="33"/>
        <v>81.31234</v>
      </c>
      <c r="AR69" s="448">
        <f t="shared" si="33"/>
        <v>82.03712366</v>
      </c>
      <c r="AS69" s="448">
        <f t="shared" si="33"/>
        <v>82.49504257</v>
      </c>
      <c r="AT69" s="448">
        <f t="shared" si="33"/>
        <v>82.91467778</v>
      </c>
      <c r="AU69" s="448">
        <f t="shared" si="33"/>
        <v>83.33032517</v>
      </c>
      <c r="AV69" s="448">
        <f t="shared" si="33"/>
        <v>83.74713789</v>
      </c>
      <c r="AW69" s="448">
        <f t="shared" si="33"/>
        <v>84.16589775</v>
      </c>
      <c r="AX69" s="448">
        <f t="shared" si="33"/>
        <v>84.58673086</v>
      </c>
      <c r="AY69" s="448">
        <f t="shared" si="33"/>
        <v>85.37127334</v>
      </c>
      <c r="AZ69" s="448">
        <f t="shared" si="33"/>
        <v>86.21578735</v>
      </c>
      <c r="BA69" s="448">
        <f t="shared" si="33"/>
        <v>86.70951493</v>
      </c>
      <c r="BB69" s="448">
        <f t="shared" si="33"/>
        <v>87.1524598</v>
      </c>
      <c r="BC69" s="448">
        <f t="shared" si="33"/>
        <v>87.58963169</v>
      </c>
      <c r="BD69" s="448">
        <f t="shared" si="33"/>
        <v>88.02779129</v>
      </c>
      <c r="BE69" s="448">
        <f t="shared" si="33"/>
        <v>88.46796196</v>
      </c>
      <c r="BF69" s="448">
        <f t="shared" si="33"/>
        <v>88.91030653</v>
      </c>
      <c r="BG69" s="448">
        <f t="shared" si="33"/>
        <v>89.35485878</v>
      </c>
      <c r="BH69" s="448">
        <f t="shared" si="33"/>
        <v>89.80163318</v>
      </c>
      <c r="BI69" s="448">
        <f t="shared" si="33"/>
        <v>90.25064136</v>
      </c>
      <c r="BJ69" s="448">
        <f t="shared" si="33"/>
        <v>90.70189457</v>
      </c>
      <c r="BK69" s="448">
        <f t="shared" ref="BK69:CH69" si="34">BK66/$B$70</f>
        <v>842.7855131</v>
      </c>
      <c r="BL69" s="448">
        <f t="shared" si="34"/>
        <v>823.2268039</v>
      </c>
      <c r="BM69" s="448">
        <f t="shared" si="34"/>
        <v>823.7770424</v>
      </c>
      <c r="BN69" s="448">
        <f t="shared" si="34"/>
        <v>827.3610433</v>
      </c>
      <c r="BO69" s="448">
        <f t="shared" si="34"/>
        <v>831.4176159</v>
      </c>
      <c r="BP69" s="448">
        <f t="shared" si="34"/>
        <v>835.5626691</v>
      </c>
      <c r="BQ69" s="448">
        <f t="shared" si="34"/>
        <v>839.7386772</v>
      </c>
      <c r="BR69" s="448">
        <f t="shared" si="34"/>
        <v>843.9370998</v>
      </c>
      <c r="BS69" s="448">
        <f t="shared" si="34"/>
        <v>848.1567446</v>
      </c>
      <c r="BT69" s="448">
        <f t="shared" si="34"/>
        <v>852.3975223</v>
      </c>
      <c r="BU69" s="448">
        <f t="shared" si="34"/>
        <v>856.659509</v>
      </c>
      <c r="BV69" s="448">
        <f t="shared" si="34"/>
        <v>860.9428064</v>
      </c>
      <c r="BW69" s="448">
        <f t="shared" si="34"/>
        <v>865.2475204</v>
      </c>
      <c r="BX69" s="448">
        <f t="shared" si="34"/>
        <v>792.2826175</v>
      </c>
      <c r="BY69" s="448">
        <f t="shared" si="34"/>
        <v>784.6503596</v>
      </c>
      <c r="BZ69" s="448">
        <f t="shared" si="34"/>
        <v>786.8345607</v>
      </c>
      <c r="CA69" s="448">
        <f t="shared" si="34"/>
        <v>790.5078759</v>
      </c>
      <c r="CB69" s="448">
        <f t="shared" si="34"/>
        <v>794.4212867</v>
      </c>
      <c r="CC69" s="448">
        <f t="shared" si="34"/>
        <v>798.3875238</v>
      </c>
      <c r="CD69" s="448">
        <f t="shared" si="34"/>
        <v>802.378581</v>
      </c>
      <c r="CE69" s="448">
        <f t="shared" si="34"/>
        <v>806.3903419</v>
      </c>
      <c r="CF69" s="448">
        <f t="shared" si="34"/>
        <v>810.4222738</v>
      </c>
      <c r="CG69" s="448">
        <f t="shared" si="34"/>
        <v>814.4743822</v>
      </c>
      <c r="CH69" s="448">
        <f t="shared" si="34"/>
        <v>818.5467536</v>
      </c>
      <c r="CI69" s="448"/>
    </row>
    <row r="70" ht="15.75" customHeight="1" outlineLevel="1">
      <c r="A70" s="449" t="s">
        <v>679</v>
      </c>
      <c r="B70" s="454">
        <v>55.0</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ht="15.75" customHeight="1" outlineLevel="1">
      <c r="A71" s="1" t="s">
        <v>683</v>
      </c>
      <c r="B71" s="452">
        <v>0.85</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ht="15.75" customHeight="1" outlineLevel="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ht="15.75" customHeight="1" outlineLevel="1">
      <c r="A73" s="1"/>
      <c r="B73" s="1"/>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117"/>
      <c r="CH73" s="117"/>
      <c r="CI73" s="117"/>
    </row>
    <row r="74" ht="15.75" customHeight="1">
      <c r="A74" s="1" t="s">
        <v>684</v>
      </c>
      <c r="B74" s="1"/>
      <c r="C74" s="453">
        <f t="shared" ref="C74:CH74" si="35">SUM(C60,C66)</f>
        <v>157989</v>
      </c>
      <c r="D74" s="453">
        <f t="shared" si="35"/>
        <v>262015</v>
      </c>
      <c r="E74" s="453">
        <f t="shared" si="35"/>
        <v>239919</v>
      </c>
      <c r="F74" s="453">
        <f t="shared" si="35"/>
        <v>246852</v>
      </c>
      <c r="G74" s="453">
        <f t="shared" si="35"/>
        <v>168753</v>
      </c>
      <c r="H74" s="453">
        <f t="shared" si="35"/>
        <v>219427</v>
      </c>
      <c r="I74" s="453">
        <f t="shared" si="35"/>
        <v>179883</v>
      </c>
      <c r="J74" s="453">
        <f t="shared" si="35"/>
        <v>165543</v>
      </c>
      <c r="K74" s="453">
        <f t="shared" si="35"/>
        <v>227180</v>
      </c>
      <c r="L74" s="453">
        <f t="shared" si="35"/>
        <v>259006</v>
      </c>
      <c r="M74" s="453">
        <f t="shared" si="35"/>
        <v>234471</v>
      </c>
      <c r="N74" s="453">
        <f t="shared" si="35"/>
        <v>265758</v>
      </c>
      <c r="O74" s="453">
        <f t="shared" si="35"/>
        <v>231341</v>
      </c>
      <c r="P74" s="453">
        <f t="shared" si="35"/>
        <v>219777</v>
      </c>
      <c r="Q74" s="453">
        <f t="shared" si="35"/>
        <v>140531</v>
      </c>
      <c r="R74" s="453">
        <f t="shared" si="35"/>
        <v>172522</v>
      </c>
      <c r="S74" s="453">
        <f t="shared" si="35"/>
        <v>167953</v>
      </c>
      <c r="T74" s="453">
        <f t="shared" si="35"/>
        <v>183441</v>
      </c>
      <c r="U74" s="453">
        <f t="shared" si="35"/>
        <v>128542</v>
      </c>
      <c r="V74" s="453">
        <f t="shared" si="35"/>
        <v>260968</v>
      </c>
      <c r="W74" s="453">
        <f t="shared" si="35"/>
        <v>274042</v>
      </c>
      <c r="X74" s="453">
        <f t="shared" si="35"/>
        <v>169044</v>
      </c>
      <c r="Y74" s="453">
        <f t="shared" si="35"/>
        <v>185698</v>
      </c>
      <c r="Z74" s="303">
        <f t="shared" si="35"/>
        <v>273479.9044</v>
      </c>
      <c r="AA74" s="303">
        <f t="shared" si="35"/>
        <v>333775.5366</v>
      </c>
      <c r="AB74" s="303">
        <f t="shared" si="35"/>
        <v>396850.6096</v>
      </c>
      <c r="AC74" s="303">
        <f t="shared" si="35"/>
        <v>456755.2775</v>
      </c>
      <c r="AD74" s="303">
        <f t="shared" si="35"/>
        <v>516926.4202</v>
      </c>
      <c r="AE74" s="303">
        <f t="shared" si="35"/>
        <v>576580.2861</v>
      </c>
      <c r="AF74" s="303">
        <f t="shared" si="35"/>
        <v>635351.6453</v>
      </c>
      <c r="AG74" s="303">
        <f t="shared" si="35"/>
        <v>689760.3533</v>
      </c>
      <c r="AH74" s="303">
        <f t="shared" si="35"/>
        <v>741903.5395</v>
      </c>
      <c r="AI74" s="303">
        <f t="shared" si="35"/>
        <v>792652.34</v>
      </c>
      <c r="AJ74" s="303">
        <f t="shared" si="35"/>
        <v>837160.0566</v>
      </c>
      <c r="AK74" s="303">
        <f t="shared" si="35"/>
        <v>883691.7047</v>
      </c>
      <c r="AL74" s="303">
        <f t="shared" si="35"/>
        <v>930090.3147</v>
      </c>
      <c r="AM74" s="303">
        <f t="shared" si="35"/>
        <v>963108.0723</v>
      </c>
      <c r="AN74" s="303">
        <f t="shared" si="35"/>
        <v>969388.3742</v>
      </c>
      <c r="AO74" s="303">
        <f t="shared" si="35"/>
        <v>984545.4786</v>
      </c>
      <c r="AP74" s="303">
        <f t="shared" si="35"/>
        <v>1002925.257</v>
      </c>
      <c r="AQ74" s="303">
        <f t="shared" si="35"/>
        <v>1021443.071</v>
      </c>
      <c r="AR74" s="303">
        <f t="shared" si="35"/>
        <v>1039992.013</v>
      </c>
      <c r="AS74" s="303">
        <f t="shared" si="35"/>
        <v>1058038.469</v>
      </c>
      <c r="AT74" s="303">
        <f t="shared" si="35"/>
        <v>1075720.438</v>
      </c>
      <c r="AU74" s="303">
        <f t="shared" si="35"/>
        <v>1093077.647</v>
      </c>
      <c r="AV74" s="303">
        <f t="shared" si="35"/>
        <v>1110134.187</v>
      </c>
      <c r="AW74" s="303">
        <f t="shared" si="35"/>
        <v>1126910.942</v>
      </c>
      <c r="AX74" s="303">
        <f t="shared" si="35"/>
        <v>1143427.508</v>
      </c>
      <c r="AY74" s="303">
        <f t="shared" si="35"/>
        <v>1169957.427</v>
      </c>
      <c r="AZ74" s="303">
        <f t="shared" si="35"/>
        <v>1196178.47</v>
      </c>
      <c r="BA74" s="303">
        <f t="shared" si="35"/>
        <v>1221737.596</v>
      </c>
      <c r="BB74" s="303">
        <f t="shared" si="35"/>
        <v>1246810.15</v>
      </c>
      <c r="BC74" s="303">
        <f t="shared" si="35"/>
        <v>1271442.998</v>
      </c>
      <c r="BD74" s="303">
        <f t="shared" si="35"/>
        <v>1295662.943</v>
      </c>
      <c r="BE74" s="303">
        <f t="shared" si="35"/>
        <v>1319493.015</v>
      </c>
      <c r="BF74" s="303">
        <f t="shared" si="35"/>
        <v>1342954.951</v>
      </c>
      <c r="BG74" s="303">
        <f t="shared" si="35"/>
        <v>1366069.598</v>
      </c>
      <c r="BH74" s="303">
        <f t="shared" si="35"/>
        <v>1388856.997</v>
      </c>
      <c r="BI74" s="303">
        <f t="shared" si="35"/>
        <v>1411336.429</v>
      </c>
      <c r="BJ74" s="303">
        <f t="shared" si="35"/>
        <v>1433526.447</v>
      </c>
      <c r="BK74" s="303">
        <f t="shared" si="35"/>
        <v>1459305.982</v>
      </c>
      <c r="BL74" s="303">
        <f t="shared" si="35"/>
        <v>1481460.363</v>
      </c>
      <c r="BM74" s="303">
        <f t="shared" si="35"/>
        <v>1501419.466</v>
      </c>
      <c r="BN74" s="303">
        <f t="shared" si="35"/>
        <v>1521478.331</v>
      </c>
      <c r="BO74" s="303">
        <f t="shared" si="35"/>
        <v>1541509.029</v>
      </c>
      <c r="BP74" s="303">
        <f t="shared" si="35"/>
        <v>1561503.092</v>
      </c>
      <c r="BQ74" s="303">
        <f t="shared" si="35"/>
        <v>1581469.747</v>
      </c>
      <c r="BR74" s="303">
        <f t="shared" si="35"/>
        <v>1601420.673</v>
      </c>
      <c r="BS74" s="303">
        <f t="shared" si="35"/>
        <v>1621367.72</v>
      </c>
      <c r="BT74" s="303">
        <f t="shared" si="35"/>
        <v>1641322.582</v>
      </c>
      <c r="BU74" s="303">
        <f t="shared" si="35"/>
        <v>1661296.766</v>
      </c>
      <c r="BV74" s="303">
        <f t="shared" si="35"/>
        <v>1681301.595</v>
      </c>
      <c r="BW74" s="303">
        <f t="shared" si="35"/>
        <v>1703656.174</v>
      </c>
      <c r="BX74" s="303">
        <f t="shared" si="35"/>
        <v>1717395.503</v>
      </c>
      <c r="BY74" s="303">
        <f t="shared" si="35"/>
        <v>1731196.241</v>
      </c>
      <c r="BZ74" s="303">
        <f t="shared" si="35"/>
        <v>1745358.099</v>
      </c>
      <c r="CA74" s="303">
        <f t="shared" si="35"/>
        <v>1759439.834</v>
      </c>
      <c r="CB74" s="303">
        <f t="shared" si="35"/>
        <v>1773388.798</v>
      </c>
      <c r="CC74" s="303">
        <f t="shared" si="35"/>
        <v>1787210.066</v>
      </c>
      <c r="CD74" s="303">
        <f t="shared" si="35"/>
        <v>1800916.819</v>
      </c>
      <c r="CE74" s="303">
        <f t="shared" si="35"/>
        <v>1814522.936</v>
      </c>
      <c r="CF74" s="303">
        <f t="shared" si="35"/>
        <v>1828041.899</v>
      </c>
      <c r="CG74" s="303">
        <f t="shared" si="35"/>
        <v>1841486.653</v>
      </c>
      <c r="CH74" s="303">
        <f t="shared" si="35"/>
        <v>1854869.607</v>
      </c>
      <c r="CI74" s="303"/>
    </row>
    <row r="75" ht="15.75" customHeight="1">
      <c r="A75" s="1" t="s">
        <v>325</v>
      </c>
      <c r="B75" s="1"/>
      <c r="C75" s="1"/>
      <c r="D75" s="387">
        <f t="shared" ref="D75:CH75" si="36">D74-C74</f>
        <v>104026</v>
      </c>
      <c r="E75" s="387">
        <f t="shared" si="36"/>
        <v>-22096</v>
      </c>
      <c r="F75" s="387">
        <f t="shared" si="36"/>
        <v>6933</v>
      </c>
      <c r="G75" s="387">
        <f t="shared" si="36"/>
        <v>-78099</v>
      </c>
      <c r="H75" s="387">
        <f t="shared" si="36"/>
        <v>50674</v>
      </c>
      <c r="I75" s="387">
        <f t="shared" si="36"/>
        <v>-39544</v>
      </c>
      <c r="J75" s="387">
        <f t="shared" si="36"/>
        <v>-14340</v>
      </c>
      <c r="K75" s="387">
        <f t="shared" si="36"/>
        <v>61637</v>
      </c>
      <c r="L75" s="387">
        <f t="shared" si="36"/>
        <v>31826</v>
      </c>
      <c r="M75" s="387">
        <f t="shared" si="36"/>
        <v>-24535</v>
      </c>
      <c r="N75" s="387">
        <f t="shared" si="36"/>
        <v>31287</v>
      </c>
      <c r="O75" s="387">
        <f t="shared" si="36"/>
        <v>-34417</v>
      </c>
      <c r="P75" s="387">
        <f t="shared" si="36"/>
        <v>-11564</v>
      </c>
      <c r="Q75" s="387">
        <f t="shared" si="36"/>
        <v>-79246</v>
      </c>
      <c r="R75" s="387">
        <f t="shared" si="36"/>
        <v>31991</v>
      </c>
      <c r="S75" s="387">
        <f t="shared" si="36"/>
        <v>-4569</v>
      </c>
      <c r="T75" s="387">
        <f t="shared" si="36"/>
        <v>15488</v>
      </c>
      <c r="U75" s="387">
        <f t="shared" si="36"/>
        <v>-54899</v>
      </c>
      <c r="V75" s="387">
        <f t="shared" si="36"/>
        <v>132426</v>
      </c>
      <c r="W75" s="387">
        <f t="shared" si="36"/>
        <v>13074</v>
      </c>
      <c r="X75" s="387">
        <f t="shared" si="36"/>
        <v>-104998</v>
      </c>
      <c r="Y75" s="387">
        <f t="shared" si="36"/>
        <v>16654</v>
      </c>
      <c r="Z75" s="131">
        <f t="shared" si="36"/>
        <v>87781.90444</v>
      </c>
      <c r="AA75" s="131">
        <f t="shared" si="36"/>
        <v>60295.63213</v>
      </c>
      <c r="AB75" s="131">
        <f t="shared" si="36"/>
        <v>63075.07303</v>
      </c>
      <c r="AC75" s="131">
        <f t="shared" si="36"/>
        <v>59904.66792</v>
      </c>
      <c r="AD75" s="131">
        <f t="shared" si="36"/>
        <v>60171.14267</v>
      </c>
      <c r="AE75" s="131">
        <f t="shared" si="36"/>
        <v>59653.86594</v>
      </c>
      <c r="AF75" s="131">
        <f t="shared" si="36"/>
        <v>58771.3592</v>
      </c>
      <c r="AG75" s="131">
        <f t="shared" si="36"/>
        <v>54408.70796</v>
      </c>
      <c r="AH75" s="131">
        <f t="shared" si="36"/>
        <v>52143.18617</v>
      </c>
      <c r="AI75" s="131">
        <f t="shared" si="36"/>
        <v>50748.80056</v>
      </c>
      <c r="AJ75" s="131">
        <f t="shared" si="36"/>
        <v>44507.7166</v>
      </c>
      <c r="AK75" s="131">
        <f t="shared" si="36"/>
        <v>46531.6481</v>
      </c>
      <c r="AL75" s="131">
        <f t="shared" si="36"/>
        <v>46398.60998</v>
      </c>
      <c r="AM75" s="131">
        <f t="shared" si="36"/>
        <v>33017.75765</v>
      </c>
      <c r="AN75" s="131">
        <f t="shared" si="36"/>
        <v>6280.301876</v>
      </c>
      <c r="AO75" s="131">
        <f t="shared" si="36"/>
        <v>15157.10438</v>
      </c>
      <c r="AP75" s="131">
        <f t="shared" si="36"/>
        <v>18379.77857</v>
      </c>
      <c r="AQ75" s="131">
        <f t="shared" si="36"/>
        <v>18517.8134</v>
      </c>
      <c r="AR75" s="131">
        <f t="shared" si="36"/>
        <v>18548.94284</v>
      </c>
      <c r="AS75" s="131">
        <f t="shared" si="36"/>
        <v>18046.45599</v>
      </c>
      <c r="AT75" s="131">
        <f t="shared" si="36"/>
        <v>17681.9682</v>
      </c>
      <c r="AU75" s="131">
        <f t="shared" si="36"/>
        <v>17357.2098</v>
      </c>
      <c r="AV75" s="131">
        <f t="shared" si="36"/>
        <v>17056.5394</v>
      </c>
      <c r="AW75" s="131">
        <f t="shared" si="36"/>
        <v>16776.75548</v>
      </c>
      <c r="AX75" s="131">
        <f t="shared" si="36"/>
        <v>16516.56588</v>
      </c>
      <c r="AY75" s="131">
        <f t="shared" si="36"/>
        <v>26529.9185</v>
      </c>
      <c r="AZ75" s="131">
        <f t="shared" si="36"/>
        <v>26221.04357</v>
      </c>
      <c r="BA75" s="131">
        <f t="shared" si="36"/>
        <v>25559.12598</v>
      </c>
      <c r="BB75" s="131">
        <f t="shared" si="36"/>
        <v>25072.55375</v>
      </c>
      <c r="BC75" s="131">
        <f t="shared" si="36"/>
        <v>24632.8483</v>
      </c>
      <c r="BD75" s="131">
        <f t="shared" si="36"/>
        <v>24219.9444</v>
      </c>
      <c r="BE75" s="131">
        <f t="shared" si="36"/>
        <v>23830.07193</v>
      </c>
      <c r="BF75" s="131">
        <f t="shared" si="36"/>
        <v>23461.93679</v>
      </c>
      <c r="BG75" s="131">
        <f t="shared" si="36"/>
        <v>23114.64671</v>
      </c>
      <c r="BH75" s="131">
        <f t="shared" si="36"/>
        <v>22787.39892</v>
      </c>
      <c r="BI75" s="131">
        <f t="shared" si="36"/>
        <v>22479.4321</v>
      </c>
      <c r="BJ75" s="131">
        <f t="shared" si="36"/>
        <v>22190.018</v>
      </c>
      <c r="BK75" s="131">
        <f t="shared" si="36"/>
        <v>25779.53507</v>
      </c>
      <c r="BL75" s="131">
        <f t="shared" si="36"/>
        <v>22154.38038</v>
      </c>
      <c r="BM75" s="131">
        <f t="shared" si="36"/>
        <v>19959.10373</v>
      </c>
      <c r="BN75" s="131">
        <f t="shared" si="36"/>
        <v>20058.86507</v>
      </c>
      <c r="BO75" s="131">
        <f t="shared" si="36"/>
        <v>20030.69792</v>
      </c>
      <c r="BP75" s="131">
        <f t="shared" si="36"/>
        <v>19994.06227</v>
      </c>
      <c r="BQ75" s="131">
        <f t="shared" si="36"/>
        <v>19966.65582</v>
      </c>
      <c r="BR75" s="131">
        <f t="shared" si="36"/>
        <v>19950.92597</v>
      </c>
      <c r="BS75" s="131">
        <f t="shared" si="36"/>
        <v>19947.04628</v>
      </c>
      <c r="BT75" s="131">
        <f t="shared" si="36"/>
        <v>19954.86251</v>
      </c>
      <c r="BU75" s="131">
        <f t="shared" si="36"/>
        <v>19974.18426</v>
      </c>
      <c r="BV75" s="131">
        <f t="shared" si="36"/>
        <v>20004.82831</v>
      </c>
      <c r="BW75" s="131">
        <f t="shared" si="36"/>
        <v>22354.57884</v>
      </c>
      <c r="BX75" s="131">
        <f t="shared" si="36"/>
        <v>13739.32994</v>
      </c>
      <c r="BY75" s="131">
        <f t="shared" si="36"/>
        <v>13800.73703</v>
      </c>
      <c r="BZ75" s="131">
        <f t="shared" si="36"/>
        <v>14161.85848</v>
      </c>
      <c r="CA75" s="131">
        <f t="shared" si="36"/>
        <v>14081.73461</v>
      </c>
      <c r="CB75" s="131">
        <f t="shared" si="36"/>
        <v>13948.96472</v>
      </c>
      <c r="CC75" s="131">
        <f t="shared" si="36"/>
        <v>13821.26718</v>
      </c>
      <c r="CD75" s="131">
        <f t="shared" si="36"/>
        <v>13706.75324</v>
      </c>
      <c r="CE75" s="131">
        <f t="shared" si="36"/>
        <v>13606.11699</v>
      </c>
      <c r="CF75" s="131">
        <f t="shared" si="36"/>
        <v>13518.96299</v>
      </c>
      <c r="CG75" s="131">
        <f t="shared" si="36"/>
        <v>13444.75439</v>
      </c>
      <c r="CH75" s="131">
        <f t="shared" si="36"/>
        <v>13382.95428</v>
      </c>
      <c r="CI75" s="131"/>
    </row>
    <row r="76" ht="15.75" customHeight="1">
      <c r="A76" s="1" t="s">
        <v>51</v>
      </c>
      <c r="B76" s="1"/>
      <c r="C76" s="1"/>
      <c r="D76" s="423">
        <f t="shared" ref="D76:CH76" si="37">D74/C74-1</f>
        <v>0.6584382457</v>
      </c>
      <c r="E76" s="423">
        <f t="shared" si="37"/>
        <v>-0.08433104975</v>
      </c>
      <c r="F76" s="423">
        <f t="shared" si="37"/>
        <v>0.02889725282</v>
      </c>
      <c r="G76" s="423">
        <f t="shared" si="37"/>
        <v>-0.3163798551</v>
      </c>
      <c r="H76" s="423">
        <f t="shared" si="37"/>
        <v>0.300285032</v>
      </c>
      <c r="I76" s="423">
        <f t="shared" si="37"/>
        <v>-0.1802148323</v>
      </c>
      <c r="J76" s="423">
        <f t="shared" si="37"/>
        <v>-0.07971848368</v>
      </c>
      <c r="K76" s="423">
        <f t="shared" si="37"/>
        <v>0.3723322641</v>
      </c>
      <c r="L76" s="423">
        <f t="shared" si="37"/>
        <v>0.1400915574</v>
      </c>
      <c r="M76" s="423">
        <f t="shared" si="37"/>
        <v>-0.09472753527</v>
      </c>
      <c r="N76" s="423">
        <f t="shared" si="37"/>
        <v>0.1334365444</v>
      </c>
      <c r="O76" s="423">
        <f t="shared" si="37"/>
        <v>-0.1295050384</v>
      </c>
      <c r="P76" s="423">
        <f t="shared" si="37"/>
        <v>-0.049986816</v>
      </c>
      <c r="Q76" s="423">
        <f t="shared" si="37"/>
        <v>-0.3605745824</v>
      </c>
      <c r="R76" s="423">
        <f t="shared" si="37"/>
        <v>0.2276437227</v>
      </c>
      <c r="S76" s="423">
        <f t="shared" si="37"/>
        <v>-0.02648357891</v>
      </c>
      <c r="T76" s="423">
        <f t="shared" si="37"/>
        <v>0.09221627479</v>
      </c>
      <c r="U76" s="423">
        <f t="shared" si="37"/>
        <v>-0.2992733358</v>
      </c>
      <c r="V76" s="423">
        <f t="shared" si="37"/>
        <v>1.030215805</v>
      </c>
      <c r="W76" s="423">
        <f t="shared" si="37"/>
        <v>0.05009809632</v>
      </c>
      <c r="X76" s="423">
        <f t="shared" si="37"/>
        <v>-0.3831456492</v>
      </c>
      <c r="Y76" s="423">
        <f t="shared" si="37"/>
        <v>0.09851872885</v>
      </c>
      <c r="Z76" s="202">
        <f t="shared" si="37"/>
        <v>0.4727132464</v>
      </c>
      <c r="AA76" s="202">
        <f t="shared" si="37"/>
        <v>0.2204755492</v>
      </c>
      <c r="AB76" s="202">
        <f t="shared" si="37"/>
        <v>0.1889745237</v>
      </c>
      <c r="AC76" s="202">
        <f t="shared" si="37"/>
        <v>0.1509501724</v>
      </c>
      <c r="AD76" s="202">
        <f t="shared" si="37"/>
        <v>0.1317360644</v>
      </c>
      <c r="AE76" s="202">
        <f t="shared" si="37"/>
        <v>0.1154010776</v>
      </c>
      <c r="AF76" s="202">
        <f t="shared" si="37"/>
        <v>0.1019309203</v>
      </c>
      <c r="AG76" s="202">
        <f t="shared" si="37"/>
        <v>0.08563558206</v>
      </c>
      <c r="AH76" s="202">
        <f t="shared" si="37"/>
        <v>0.07559609062</v>
      </c>
      <c r="AI76" s="202">
        <f t="shared" si="37"/>
        <v>0.06840350242</v>
      </c>
      <c r="AJ76" s="202">
        <f t="shared" si="37"/>
        <v>0.05615036297</v>
      </c>
      <c r="AK76" s="202">
        <f t="shared" si="37"/>
        <v>0.05558273801</v>
      </c>
      <c r="AL76" s="202">
        <f t="shared" si="37"/>
        <v>0.05250542664</v>
      </c>
      <c r="AM76" s="202">
        <f t="shared" si="37"/>
        <v>0.03549951776</v>
      </c>
      <c r="AN76" s="202">
        <f t="shared" si="37"/>
        <v>0.006520869315</v>
      </c>
      <c r="AO76" s="202">
        <f t="shared" si="37"/>
        <v>0.0156357398</v>
      </c>
      <c r="AP76" s="202">
        <f t="shared" si="37"/>
        <v>0.01866828803</v>
      </c>
      <c r="AQ76" s="202">
        <f t="shared" si="37"/>
        <v>0.01846380203</v>
      </c>
      <c r="AR76" s="202">
        <f t="shared" si="37"/>
        <v>0.0181595464</v>
      </c>
      <c r="AS76" s="202">
        <f t="shared" si="37"/>
        <v>0.01735249478</v>
      </c>
      <c r="AT76" s="202">
        <f t="shared" si="37"/>
        <v>0.01671202769</v>
      </c>
      <c r="AU76" s="202">
        <f t="shared" si="37"/>
        <v>0.01613542813</v>
      </c>
      <c r="AV76" s="202">
        <f t="shared" si="37"/>
        <v>0.01560414252</v>
      </c>
      <c r="AW76" s="202">
        <f t="shared" si="37"/>
        <v>0.0151123672</v>
      </c>
      <c r="AX76" s="202">
        <f t="shared" si="37"/>
        <v>0.01465649614</v>
      </c>
      <c r="AY76" s="202">
        <f t="shared" si="37"/>
        <v>0.02320209923</v>
      </c>
      <c r="AZ76" s="202">
        <f t="shared" si="37"/>
        <v>0.02241196387</v>
      </c>
      <c r="BA76" s="202">
        <f t="shared" si="37"/>
        <v>0.02136731819</v>
      </c>
      <c r="BB76" s="202">
        <f t="shared" si="37"/>
        <v>0.02052204486</v>
      </c>
      <c r="BC76" s="202">
        <f t="shared" si="37"/>
        <v>0.01975669535</v>
      </c>
      <c r="BD76" s="202">
        <f t="shared" si="37"/>
        <v>0.01904917832</v>
      </c>
      <c r="BE76" s="202">
        <f t="shared" si="37"/>
        <v>0.01839218453</v>
      </c>
      <c r="BF76" s="202">
        <f t="shared" si="37"/>
        <v>0.01778102387</v>
      </c>
      <c r="BG76" s="202">
        <f t="shared" si="37"/>
        <v>0.01721178114</v>
      </c>
      <c r="BH76" s="202">
        <f t="shared" si="37"/>
        <v>0.01668099411</v>
      </c>
      <c r="BI76" s="202">
        <f t="shared" si="37"/>
        <v>0.01618556277</v>
      </c>
      <c r="BJ76" s="202">
        <f t="shared" si="37"/>
        <v>0.0157226991</v>
      </c>
      <c r="BK76" s="202">
        <f t="shared" si="37"/>
        <v>0.01798329925</v>
      </c>
      <c r="BL76" s="202">
        <f t="shared" si="37"/>
        <v>0.01518144971</v>
      </c>
      <c r="BM76" s="202">
        <f t="shared" si="37"/>
        <v>0.01347258707</v>
      </c>
      <c r="BN76" s="202">
        <f t="shared" si="37"/>
        <v>0.01335993406</v>
      </c>
      <c r="BO76" s="202">
        <f t="shared" si="37"/>
        <v>0.01316528636</v>
      </c>
      <c r="BP76" s="202">
        <f t="shared" si="37"/>
        <v>0.01297044772</v>
      </c>
      <c r="BQ76" s="202">
        <f t="shared" si="37"/>
        <v>0.01278681799</v>
      </c>
      <c r="BR76" s="202">
        <f t="shared" si="37"/>
        <v>0.01261543321</v>
      </c>
      <c r="BS76" s="202">
        <f t="shared" si="37"/>
        <v>0.01245584412</v>
      </c>
      <c r="BT76" s="202">
        <f t="shared" si="37"/>
        <v>0.01230742556</v>
      </c>
      <c r="BU76" s="202">
        <f t="shared" si="37"/>
        <v>0.01216956647</v>
      </c>
      <c r="BV76" s="202">
        <f t="shared" si="37"/>
        <v>0.0120416946</v>
      </c>
      <c r="BW76" s="202">
        <f t="shared" si="37"/>
        <v>0.01329599574</v>
      </c>
      <c r="BX76" s="202">
        <f t="shared" si="37"/>
        <v>0.008064614302</v>
      </c>
      <c r="BY76" s="202">
        <f t="shared" si="37"/>
        <v>0.008035852548</v>
      </c>
      <c r="BZ76" s="202">
        <f t="shared" si="37"/>
        <v>0.008180388881</v>
      </c>
      <c r="CA76" s="202">
        <f t="shared" si="37"/>
        <v>0.008068106265</v>
      </c>
      <c r="CB76" s="202">
        <f t="shared" si="37"/>
        <v>0.007928071454</v>
      </c>
      <c r="CC76" s="202">
        <f t="shared" si="37"/>
        <v>0.007793703894</v>
      </c>
      <c r="CD76" s="202">
        <f t="shared" si="37"/>
        <v>0.007669357676</v>
      </c>
      <c r="CE76" s="202">
        <f t="shared" si="37"/>
        <v>0.007555105739</v>
      </c>
      <c r="CF76" s="202">
        <f t="shared" si="37"/>
        <v>0.007450422767</v>
      </c>
      <c r="CG76" s="202">
        <f t="shared" si="37"/>
        <v>0.007354729888</v>
      </c>
      <c r="CH76" s="202">
        <f t="shared" si="37"/>
        <v>0.007267472866</v>
      </c>
      <c r="CI76" s="202"/>
    </row>
    <row r="77" ht="15.75" customHeight="1">
      <c r="A77" s="1" t="s">
        <v>678</v>
      </c>
      <c r="B77" s="1"/>
      <c r="C77" s="448">
        <f t="shared" ref="C77:CH77" si="38">SUM(C69,C63)</f>
        <v>315.978</v>
      </c>
      <c r="D77" s="448">
        <f t="shared" si="38"/>
        <v>524.03</v>
      </c>
      <c r="E77" s="448">
        <f t="shared" si="38"/>
        <v>479.838</v>
      </c>
      <c r="F77" s="448">
        <f t="shared" si="38"/>
        <v>493.704</v>
      </c>
      <c r="G77" s="448">
        <f t="shared" si="38"/>
        <v>337.506</v>
      </c>
      <c r="H77" s="448">
        <f t="shared" si="38"/>
        <v>438.854</v>
      </c>
      <c r="I77" s="448">
        <f t="shared" si="38"/>
        <v>359.766</v>
      </c>
      <c r="J77" s="448">
        <f t="shared" si="38"/>
        <v>331.086</v>
      </c>
      <c r="K77" s="448">
        <f t="shared" si="38"/>
        <v>454.36</v>
      </c>
      <c r="L77" s="448">
        <f t="shared" si="38"/>
        <v>518.012</v>
      </c>
      <c r="M77" s="448">
        <f t="shared" si="38"/>
        <v>468.942</v>
      </c>
      <c r="N77" s="448">
        <f t="shared" si="38"/>
        <v>531.516</v>
      </c>
      <c r="O77" s="448">
        <f t="shared" si="38"/>
        <v>462.682</v>
      </c>
      <c r="P77" s="448">
        <f t="shared" si="38"/>
        <v>439.554</v>
      </c>
      <c r="Q77" s="448">
        <f t="shared" si="38"/>
        <v>281.062</v>
      </c>
      <c r="R77" s="448">
        <f t="shared" si="38"/>
        <v>345.044</v>
      </c>
      <c r="S77" s="448">
        <f t="shared" si="38"/>
        <v>335.906</v>
      </c>
      <c r="T77" s="448">
        <f t="shared" si="38"/>
        <v>366.882</v>
      </c>
      <c r="U77" s="448">
        <f t="shared" si="38"/>
        <v>257.084</v>
      </c>
      <c r="V77" s="448">
        <f t="shared" si="38"/>
        <v>521.936</v>
      </c>
      <c r="W77" s="448">
        <f t="shared" si="38"/>
        <v>548.084</v>
      </c>
      <c r="X77" s="448">
        <f t="shared" si="38"/>
        <v>338.088</v>
      </c>
      <c r="Y77" s="448">
        <f t="shared" si="38"/>
        <v>371.396</v>
      </c>
      <c r="Z77" s="448">
        <f t="shared" si="38"/>
        <v>546.9598089</v>
      </c>
      <c r="AA77" s="448">
        <f t="shared" si="38"/>
        <v>667.5510731</v>
      </c>
      <c r="AB77" s="448">
        <f t="shared" si="38"/>
        <v>793.7012192</v>
      </c>
      <c r="AC77" s="448">
        <f t="shared" si="38"/>
        <v>913.510555</v>
      </c>
      <c r="AD77" s="448">
        <f t="shared" si="38"/>
        <v>1033.85284</v>
      </c>
      <c r="AE77" s="448">
        <f t="shared" si="38"/>
        <v>1153.160572</v>
      </c>
      <c r="AF77" s="448">
        <f t="shared" si="38"/>
        <v>1270.703291</v>
      </c>
      <c r="AG77" s="448">
        <f t="shared" si="38"/>
        <v>1379.520707</v>
      </c>
      <c r="AH77" s="448">
        <f t="shared" si="38"/>
        <v>1483.807079</v>
      </c>
      <c r="AI77" s="448">
        <f t="shared" si="38"/>
        <v>1585.30468</v>
      </c>
      <c r="AJ77" s="448">
        <f t="shared" si="38"/>
        <v>1674.320113</v>
      </c>
      <c r="AK77" s="448">
        <f t="shared" si="38"/>
        <v>1767.383409</v>
      </c>
      <c r="AL77" s="448">
        <f t="shared" si="38"/>
        <v>1860.180629</v>
      </c>
      <c r="AM77" s="448">
        <f t="shared" si="38"/>
        <v>1926.216145</v>
      </c>
      <c r="AN77" s="448">
        <f t="shared" si="38"/>
        <v>1938.776748</v>
      </c>
      <c r="AO77" s="448">
        <f t="shared" si="38"/>
        <v>1969.090957</v>
      </c>
      <c r="AP77" s="448">
        <f t="shared" si="38"/>
        <v>2005.850514</v>
      </c>
      <c r="AQ77" s="448">
        <f t="shared" si="38"/>
        <v>2042.886141</v>
      </c>
      <c r="AR77" s="448">
        <f t="shared" si="38"/>
        <v>2079.984027</v>
      </c>
      <c r="AS77" s="448">
        <f t="shared" si="38"/>
        <v>2116.076939</v>
      </c>
      <c r="AT77" s="448">
        <f t="shared" si="38"/>
        <v>2151.440875</v>
      </c>
      <c r="AU77" s="448">
        <f t="shared" si="38"/>
        <v>2186.155295</v>
      </c>
      <c r="AV77" s="448">
        <f t="shared" si="38"/>
        <v>2220.268374</v>
      </c>
      <c r="AW77" s="448">
        <f t="shared" si="38"/>
        <v>2253.821885</v>
      </c>
      <c r="AX77" s="448">
        <f t="shared" si="38"/>
        <v>2286.855016</v>
      </c>
      <c r="AY77" s="448">
        <f t="shared" si="38"/>
        <v>2339.914853</v>
      </c>
      <c r="AZ77" s="448">
        <f t="shared" si="38"/>
        <v>2392.35694</v>
      </c>
      <c r="BA77" s="448">
        <f t="shared" si="38"/>
        <v>2443.475192</v>
      </c>
      <c r="BB77" s="448">
        <f t="shared" si="38"/>
        <v>2493.6203</v>
      </c>
      <c r="BC77" s="448">
        <f t="shared" si="38"/>
        <v>2542.885997</v>
      </c>
      <c r="BD77" s="448">
        <f t="shared" si="38"/>
        <v>2591.325885</v>
      </c>
      <c r="BE77" s="448">
        <f t="shared" si="38"/>
        <v>2638.986029</v>
      </c>
      <c r="BF77" s="448">
        <f t="shared" si="38"/>
        <v>2685.909903</v>
      </c>
      <c r="BG77" s="448">
        <f t="shared" si="38"/>
        <v>2732.139196</v>
      </c>
      <c r="BH77" s="448">
        <f t="shared" si="38"/>
        <v>2777.713994</v>
      </c>
      <c r="BI77" s="448">
        <f t="shared" si="38"/>
        <v>2822.672858</v>
      </c>
      <c r="BJ77" s="448">
        <f t="shared" si="38"/>
        <v>2867.052894</v>
      </c>
      <c r="BK77" s="448">
        <f t="shared" si="38"/>
        <v>3388.646376</v>
      </c>
      <c r="BL77" s="448">
        <f t="shared" si="38"/>
        <v>3410.94372</v>
      </c>
      <c r="BM77" s="448">
        <f t="shared" si="38"/>
        <v>3447.401779</v>
      </c>
      <c r="BN77" s="448">
        <f t="shared" si="38"/>
        <v>3486.772708</v>
      </c>
      <c r="BO77" s="448">
        <f t="shared" si="38"/>
        <v>3526.518626</v>
      </c>
      <c r="BP77" s="448">
        <f t="shared" si="38"/>
        <v>3566.278245</v>
      </c>
      <c r="BQ77" s="448">
        <f t="shared" si="38"/>
        <v>3606.016371</v>
      </c>
      <c r="BR77" s="448">
        <f t="shared" si="38"/>
        <v>3645.746348</v>
      </c>
      <c r="BS77" s="448">
        <f t="shared" si="38"/>
        <v>3685.488454</v>
      </c>
      <c r="BT77" s="448">
        <f t="shared" si="38"/>
        <v>3725.263682</v>
      </c>
      <c r="BU77" s="448">
        <f t="shared" si="38"/>
        <v>3765.09283</v>
      </c>
      <c r="BV77" s="448">
        <f t="shared" si="38"/>
        <v>3804.996393</v>
      </c>
      <c r="BW77" s="448">
        <f t="shared" si="38"/>
        <v>3849.153034</v>
      </c>
      <c r="BX77" s="448">
        <f t="shared" si="38"/>
        <v>3808.174436</v>
      </c>
      <c r="BY77" s="448">
        <f t="shared" si="38"/>
        <v>3826.164721</v>
      </c>
      <c r="BZ77" s="448">
        <f t="shared" si="38"/>
        <v>3853.649332</v>
      </c>
      <c r="CA77" s="448">
        <f t="shared" si="38"/>
        <v>3882.33112</v>
      </c>
      <c r="CB77" s="448">
        <f t="shared" si="38"/>
        <v>3910.989985</v>
      </c>
      <c r="CC77" s="448">
        <f t="shared" si="38"/>
        <v>3939.466356</v>
      </c>
      <c r="CD77" s="448">
        <f t="shared" si="38"/>
        <v>3967.758755</v>
      </c>
      <c r="CE77" s="448">
        <f t="shared" si="38"/>
        <v>3995.88848</v>
      </c>
      <c r="CF77" s="448">
        <f t="shared" si="38"/>
        <v>4023.879343</v>
      </c>
      <c r="CG77" s="448">
        <f t="shared" si="38"/>
        <v>4051.754674</v>
      </c>
      <c r="CH77" s="448">
        <f t="shared" si="38"/>
        <v>4079.536908</v>
      </c>
      <c r="CI77" s="448"/>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ht="15.75" customHeight="1">
      <c r="A80" s="232" t="s">
        <v>168</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ht="15.75" customHeight="1" outlineLevel="1">
      <c r="A82" s="1" t="s">
        <v>673</v>
      </c>
      <c r="B82" s="1"/>
      <c r="C82" s="442">
        <f>Retention!C104</f>
        <v>2</v>
      </c>
      <c r="D82" s="442">
        <f>Retention!D104</f>
        <v>2</v>
      </c>
      <c r="E82" s="442">
        <f>Retention!E104</f>
        <v>2</v>
      </c>
      <c r="F82" s="442">
        <f>Retention!F104</f>
        <v>2</v>
      </c>
      <c r="G82" s="442">
        <f>Retention!G104</f>
        <v>2</v>
      </c>
      <c r="H82" s="442">
        <f>Retention!H104</f>
        <v>2</v>
      </c>
      <c r="I82" s="442">
        <f>Retention!I104</f>
        <v>2</v>
      </c>
      <c r="J82" s="442">
        <f>Retention!J104</f>
        <v>2</v>
      </c>
      <c r="K82" s="442">
        <f>Retention!K104</f>
        <v>2</v>
      </c>
      <c r="L82" s="442">
        <f>Retention!L104</f>
        <v>2</v>
      </c>
      <c r="M82" s="442">
        <f>Retention!M104</f>
        <v>2</v>
      </c>
      <c r="N82" s="442">
        <f>Retention!N104</f>
        <v>2</v>
      </c>
      <c r="O82" s="442">
        <f>Retention!O104</f>
        <v>2</v>
      </c>
      <c r="P82" s="442">
        <f>Retention!P104</f>
        <v>2</v>
      </c>
      <c r="Q82" s="442">
        <f>Retention!Q104</f>
        <v>2</v>
      </c>
      <c r="R82" s="442">
        <f>Retention!R104</f>
        <v>2</v>
      </c>
      <c r="S82" s="442">
        <f>Retention!S104</f>
        <v>2</v>
      </c>
      <c r="T82" s="442">
        <f>Retention!T104</f>
        <v>2</v>
      </c>
      <c r="U82" s="442">
        <f>Retention!U104</f>
        <v>2</v>
      </c>
      <c r="V82" s="442">
        <f>Retention!V104</f>
        <v>2</v>
      </c>
      <c r="W82" s="442">
        <f>Retention!W104</f>
        <v>2</v>
      </c>
      <c r="X82" s="442">
        <f>Retention!X104</f>
        <v>2</v>
      </c>
      <c r="Y82" s="442">
        <f>Retention!Y104</f>
        <v>2</v>
      </c>
      <c r="Z82" s="442">
        <f>Retention!Z104</f>
        <v>4.259788919</v>
      </c>
      <c r="AA82" s="442">
        <f>Retention!AA104</f>
        <v>5.132881869</v>
      </c>
      <c r="AB82" s="442">
        <f>Retention!AB104</f>
        <v>5.707040094</v>
      </c>
      <c r="AC82" s="442">
        <f>Retention!AC104</f>
        <v>5.870945009</v>
      </c>
      <c r="AD82" s="442">
        <f>Retention!AD104</f>
        <v>5.999772137</v>
      </c>
      <c r="AE82" s="442">
        <f>Retention!AE104</f>
        <v>6.044792975</v>
      </c>
      <c r="AF82" s="442">
        <f>Retention!AF104</f>
        <v>6.045513506</v>
      </c>
      <c r="AG82" s="442">
        <f>Retention!AG104</f>
        <v>6.068176731</v>
      </c>
      <c r="AH82" s="442">
        <f>Retention!AH104</f>
        <v>6.089131722</v>
      </c>
      <c r="AI82" s="442">
        <f>Retention!AI104</f>
        <v>6.1672502</v>
      </c>
      <c r="AJ82" s="442">
        <f>Retention!AJ104</f>
        <v>5.747119476</v>
      </c>
      <c r="AK82" s="442">
        <f>Retention!AK104</f>
        <v>5.785555626</v>
      </c>
      <c r="AL82" s="442">
        <f>Retention!AL104</f>
        <v>5.837900913</v>
      </c>
      <c r="AM82" s="442">
        <f>Retention!AM104</f>
        <v>5.515360924</v>
      </c>
      <c r="AN82" s="442">
        <f>Retention!AN104</f>
        <v>4.236324882</v>
      </c>
      <c r="AO82" s="442">
        <f>Retention!AO104</f>
        <v>4.08093335</v>
      </c>
      <c r="AP82" s="442">
        <f>Retention!AP104</f>
        <v>4.106783632</v>
      </c>
      <c r="AQ82" s="442">
        <f>Retention!AQ104</f>
        <v>4.1328313</v>
      </c>
      <c r="AR82" s="442">
        <f>Retention!AR104</f>
        <v>4.149485108</v>
      </c>
      <c r="AS82" s="442">
        <f>Retention!AS104</f>
        <v>4.17582916</v>
      </c>
      <c r="AT82" s="442">
        <f>Retention!AT104</f>
        <v>4.202374963</v>
      </c>
      <c r="AU82" s="442">
        <f>Retention!AU104</f>
        <v>4.229124404</v>
      </c>
      <c r="AV82" s="442">
        <f>Retention!AV104</f>
        <v>4.256079392</v>
      </c>
      <c r="AW82" s="442">
        <f>Retention!AW104</f>
        <v>4.283241856</v>
      </c>
      <c r="AX82" s="442">
        <f>Retention!AX104</f>
        <v>4.310613746</v>
      </c>
      <c r="AY82" s="442">
        <f>Retention!AY104</f>
        <v>4.33296769</v>
      </c>
      <c r="AZ82" s="442">
        <f>Retention!AZ104</f>
        <v>4.376841343</v>
      </c>
      <c r="BA82" s="442">
        <f>Retention!BA104</f>
        <v>4.404485219</v>
      </c>
      <c r="BB82" s="442">
        <f>Retention!BB104</f>
        <v>4.432336599</v>
      </c>
      <c r="BC82" s="442">
        <f>Retention!BC104</f>
        <v>4.460397352</v>
      </c>
      <c r="BD82" s="442">
        <f>Retention!BD104</f>
        <v>4.488669369</v>
      </c>
      <c r="BE82" s="442">
        <f>Retention!BE104</f>
        <v>4.517154557</v>
      </c>
      <c r="BF82" s="442">
        <f>Retention!BF104</f>
        <v>4.545854845</v>
      </c>
      <c r="BG82" s="442">
        <f>Retention!BG104</f>
        <v>4.574772181</v>
      </c>
      <c r="BH82" s="442">
        <f>Retention!BH104</f>
        <v>4.603908535</v>
      </c>
      <c r="BI82" s="442">
        <f>Retention!BI104</f>
        <v>4.633265895</v>
      </c>
      <c r="BJ82" s="442">
        <f>Retention!BJ104</f>
        <v>4.662846272</v>
      </c>
      <c r="BK82" s="442">
        <f>Retention!BK104</f>
        <v>4.626472134</v>
      </c>
      <c r="BL82" s="442">
        <f>Retention!BL104</f>
        <v>4.411402418</v>
      </c>
      <c r="BM82" s="442">
        <f>Retention!BM104</f>
        <v>4.364502435</v>
      </c>
      <c r="BN82" s="442">
        <f>Retention!BN104</f>
        <v>4.394500638</v>
      </c>
      <c r="BO82" s="442">
        <f>Retention!BO104</f>
        <v>4.424816331</v>
      </c>
      <c r="BP82" s="442">
        <f>Retention!BP104</f>
        <v>4.455455368</v>
      </c>
      <c r="BQ82" s="442">
        <f>Retention!BQ104</f>
        <v>4.486423756</v>
      </c>
      <c r="BR82" s="442">
        <f>Retention!BR104</f>
        <v>4.517727663</v>
      </c>
      <c r="BS82" s="442">
        <f>Retention!BS104</f>
        <v>4.549373419</v>
      </c>
      <c r="BT82" s="442">
        <f>Retention!BT104</f>
        <v>4.581367523</v>
      </c>
      <c r="BU82" s="442">
        <f>Retention!BU104</f>
        <v>4.613716646</v>
      </c>
      <c r="BV82" s="442">
        <f>Retention!BV104</f>
        <v>4.646427641</v>
      </c>
      <c r="BW82" s="442">
        <f>Retention!BW104</f>
        <v>4.69618418</v>
      </c>
      <c r="BX82" s="442">
        <f>Retention!BX104</f>
        <v>4.347701935</v>
      </c>
      <c r="BY82" s="442">
        <f>Retention!BY104</f>
        <v>4.288761844</v>
      </c>
      <c r="BZ82" s="442">
        <f>Retention!BZ104</f>
        <v>4.309524421</v>
      </c>
      <c r="CA82" s="442">
        <f>Retention!CA104</f>
        <v>4.330592634</v>
      </c>
      <c r="CB82" s="442">
        <f>Retention!CB104</f>
        <v>4.351965001</v>
      </c>
      <c r="CC82" s="442">
        <f>Retention!CC104</f>
        <v>4.373640139</v>
      </c>
      <c r="CD82" s="442">
        <f>Retention!CD104</f>
        <v>4.395616758</v>
      </c>
      <c r="CE82" s="442">
        <f>Retention!CE104</f>
        <v>4.417893668</v>
      </c>
      <c r="CF82" s="442">
        <f>Retention!CF104</f>
        <v>4.440469769</v>
      </c>
      <c r="CG82" s="442">
        <f>Retention!CG104</f>
        <v>4.463344052</v>
      </c>
      <c r="CH82" s="442">
        <f>Retention!CH104</f>
        <v>4.486515598</v>
      </c>
      <c r="CI82" s="442"/>
    </row>
    <row r="83" ht="15.75" customHeight="1" outlineLevel="1">
      <c r="A83" s="1" t="s">
        <v>674</v>
      </c>
      <c r="B83" s="1"/>
      <c r="C83" s="442">
        <f>Retention!C112</f>
        <v>50</v>
      </c>
      <c r="D83" s="442">
        <f>Retention!D112</f>
        <v>51</v>
      </c>
      <c r="E83" s="442">
        <f>Retention!E112</f>
        <v>52</v>
      </c>
      <c r="F83" s="442">
        <f>Retention!F112</f>
        <v>53</v>
      </c>
      <c r="G83" s="442">
        <f>Retention!G112</f>
        <v>54</v>
      </c>
      <c r="H83" s="442">
        <f>Retention!H112</f>
        <v>55</v>
      </c>
      <c r="I83" s="442">
        <f>Retention!I112</f>
        <v>56</v>
      </c>
      <c r="J83" s="442">
        <f>Retention!J112</f>
        <v>57</v>
      </c>
      <c r="K83" s="442">
        <f>Retention!K112</f>
        <v>58</v>
      </c>
      <c r="L83" s="442">
        <f>Retention!L112</f>
        <v>59</v>
      </c>
      <c r="M83" s="442">
        <f>Retention!M112</f>
        <v>60</v>
      </c>
      <c r="N83" s="442">
        <f>Retention!N112</f>
        <v>61</v>
      </c>
      <c r="O83" s="442">
        <f>Retention!O112</f>
        <v>62</v>
      </c>
      <c r="P83" s="442">
        <f>Retention!P112</f>
        <v>63</v>
      </c>
      <c r="Q83" s="442">
        <f>Retention!Q112</f>
        <v>64</v>
      </c>
      <c r="R83" s="442">
        <f>Retention!R112</f>
        <v>65</v>
      </c>
      <c r="S83" s="442">
        <f>Retention!S112</f>
        <v>66</v>
      </c>
      <c r="T83" s="442">
        <f>Retention!T112</f>
        <v>67</v>
      </c>
      <c r="U83" s="442">
        <f>Retention!U112</f>
        <v>68</v>
      </c>
      <c r="V83" s="442">
        <f>Retention!V112</f>
        <v>69</v>
      </c>
      <c r="W83" s="442">
        <f>Retention!W112</f>
        <v>70</v>
      </c>
      <c r="X83" s="442">
        <f>Retention!X112</f>
        <v>71</v>
      </c>
      <c r="Y83" s="442">
        <f>Retention!Y112</f>
        <v>72</v>
      </c>
      <c r="Z83" s="442">
        <f>Retention!Z112</f>
        <v>73</v>
      </c>
      <c r="AA83" s="442">
        <f>Retention!AA112</f>
        <v>71.25978892</v>
      </c>
      <c r="AB83" s="442">
        <f>Retention!AB112</f>
        <v>70.39267079</v>
      </c>
      <c r="AC83" s="442">
        <f>Retention!AC112</f>
        <v>69.09971088</v>
      </c>
      <c r="AD83" s="442">
        <f>Retention!AD112</f>
        <v>66.97065589</v>
      </c>
      <c r="AE83" s="442">
        <f>Retention!AE112</f>
        <v>64.97042803</v>
      </c>
      <c r="AF83" s="442">
        <f>Retention!AF112</f>
        <v>62.015221</v>
      </c>
      <c r="AG83" s="442">
        <f>Retention!AG112</f>
        <v>54.06073451</v>
      </c>
      <c r="AH83" s="442">
        <f>Retention!AH112</f>
        <v>49.12891124</v>
      </c>
      <c r="AI83" s="442">
        <f>Retention!AI112</f>
        <v>45.21804296</v>
      </c>
      <c r="AJ83" s="442">
        <f>Retention!AJ112</f>
        <v>40.38529316</v>
      </c>
      <c r="AK83" s="442">
        <f>Retention!AK112</f>
        <v>35.13241264</v>
      </c>
      <c r="AL83" s="442">
        <f>Retention!AL112</f>
        <v>25.91796826</v>
      </c>
      <c r="AM83" s="442">
        <f>Retention!AM112</f>
        <v>19.75586918</v>
      </c>
      <c r="AN83" s="442">
        <f>Retention!AN112</f>
        <v>15.2712301</v>
      </c>
      <c r="AO83" s="442">
        <f>Retention!AO112</f>
        <v>10.50755498</v>
      </c>
      <c r="AP83" s="442">
        <f>Retention!AP112</f>
        <v>6.588488332</v>
      </c>
      <c r="AQ83" s="442">
        <f>Retention!AQ112</f>
        <v>3.695271964</v>
      </c>
      <c r="AR83" s="442">
        <f>Retention!AR112</f>
        <v>1.828103264</v>
      </c>
      <c r="AS83" s="442">
        <f>Retention!AS112</f>
        <v>1.977588372</v>
      </c>
      <c r="AT83" s="442">
        <f>Retention!AT112</f>
        <v>2.153417531</v>
      </c>
      <c r="AU83" s="442">
        <f>Retention!AU112</f>
        <v>3.355792494</v>
      </c>
      <c r="AV83" s="442">
        <f>Retention!AV112</f>
        <v>4.584916898</v>
      </c>
      <c r="AW83" s="442">
        <f>Retention!AW112</f>
        <v>6.840996291</v>
      </c>
      <c r="AX83" s="442">
        <f>Retention!AX112</f>
        <v>9.124238147</v>
      </c>
      <c r="AY83" s="442">
        <f>Retention!AY112</f>
        <v>12.43485189</v>
      </c>
      <c r="AZ83" s="442">
        <f>Retention!AZ112</f>
        <v>15.76781958</v>
      </c>
      <c r="BA83" s="442">
        <f>Retention!BA112</f>
        <v>20.14466093</v>
      </c>
      <c r="BB83" s="442">
        <f>Retention!BB112</f>
        <v>24.54914615</v>
      </c>
      <c r="BC83" s="442">
        <f>Retention!BC112</f>
        <v>28.98148274</v>
      </c>
      <c r="BD83" s="442">
        <f>Retention!BD112</f>
        <v>33.4418801</v>
      </c>
      <c r="BE83" s="442">
        <f>Retention!BE112</f>
        <v>37.93054947</v>
      </c>
      <c r="BF83" s="442">
        <f>Retention!BF112</f>
        <v>42.44770402</v>
      </c>
      <c r="BG83" s="442">
        <f>Retention!BG112</f>
        <v>46.99355887</v>
      </c>
      <c r="BH83" s="442">
        <f>Retention!BH112</f>
        <v>51.56833105</v>
      </c>
      <c r="BI83" s="442">
        <f>Retention!BI112</f>
        <v>56.17223958</v>
      </c>
      <c r="BJ83" s="442">
        <f>Retention!BJ112</f>
        <v>60.80550548</v>
      </c>
      <c r="BK83" s="442">
        <f>Retention!BK112</f>
        <v>64.46835175</v>
      </c>
      <c r="BL83" s="442">
        <f>Retention!BL112</f>
        <v>68.09482389</v>
      </c>
      <c r="BM83" s="442">
        <f>Retention!BM112</f>
        <v>71.5062263</v>
      </c>
      <c r="BN83" s="442">
        <f>Retention!BN112</f>
        <v>74.87072874</v>
      </c>
      <c r="BO83" s="442">
        <f>Retention!BO112</f>
        <v>78.26522938</v>
      </c>
      <c r="BP83" s="442">
        <f>Retention!BP112</f>
        <v>80.69004571</v>
      </c>
      <c r="BQ83" s="442">
        <f>Retention!BQ112</f>
        <v>83.14550108</v>
      </c>
      <c r="BR83" s="442">
        <f>Retention!BR112</f>
        <v>85.63192483</v>
      </c>
      <c r="BS83" s="442">
        <f>Retention!BS112</f>
        <v>88.1496525</v>
      </c>
      <c r="BT83" s="442">
        <f>Retention!BT112</f>
        <v>90.69902591</v>
      </c>
      <c r="BU83" s="442">
        <f>Retention!BU112</f>
        <v>92.28039344</v>
      </c>
      <c r="BV83" s="442">
        <f>Retention!BV112</f>
        <v>93.89411008</v>
      </c>
      <c r="BW83" s="442">
        <f>Retention!BW112</f>
        <v>95.54053773</v>
      </c>
      <c r="BX83" s="442">
        <f>Retention!BX112</f>
        <v>97.23672191</v>
      </c>
      <c r="BY83" s="442">
        <f>Retention!BY112</f>
        <v>98.58442384</v>
      </c>
      <c r="BZ83" s="442">
        <f>Retention!BZ112</f>
        <v>99.87318568</v>
      </c>
      <c r="CA83" s="442">
        <f>Retention!CA112</f>
        <v>101.1827101</v>
      </c>
      <c r="CB83" s="442">
        <f>Retention!CB112</f>
        <v>102.5133027</v>
      </c>
      <c r="CC83" s="442">
        <f>Retention!CC112</f>
        <v>102.8652677</v>
      </c>
      <c r="CD83" s="442">
        <f>Retention!CD112</f>
        <v>103.2389079</v>
      </c>
      <c r="CE83" s="442">
        <f>Retention!CE112</f>
        <v>103.6345246</v>
      </c>
      <c r="CF83" s="442">
        <f>Retention!CF112</f>
        <v>104.0524183</v>
      </c>
      <c r="CG83" s="442">
        <f>Retention!CG112</f>
        <v>104.4928881</v>
      </c>
      <c r="CH83" s="442">
        <f>Retention!CH112</f>
        <v>104.9562321</v>
      </c>
      <c r="CI83" s="442"/>
    </row>
    <row r="84" ht="15.75" customHeight="1" outlineLevel="1">
      <c r="A84" s="1" t="s">
        <v>675</v>
      </c>
      <c r="B84" s="1"/>
      <c r="C84" s="443">
        <f>Retention!C120</f>
        <v>-1</v>
      </c>
      <c r="D84" s="443">
        <f>Retention!D120</f>
        <v>-1</v>
      </c>
      <c r="E84" s="443">
        <f>Retention!E120</f>
        <v>-1</v>
      </c>
      <c r="F84" s="443">
        <f>Retention!F120</f>
        <v>-1</v>
      </c>
      <c r="G84" s="443">
        <f>Retention!G120</f>
        <v>-1</v>
      </c>
      <c r="H84" s="443">
        <f>Retention!H120</f>
        <v>-1</v>
      </c>
      <c r="I84" s="443">
        <f>Retention!I120</f>
        <v>-1</v>
      </c>
      <c r="J84" s="443">
        <f>Retention!J120</f>
        <v>-1</v>
      </c>
      <c r="K84" s="443">
        <f>Retention!K120</f>
        <v>-1</v>
      </c>
      <c r="L84" s="443">
        <f>Retention!L120</f>
        <v>-1</v>
      </c>
      <c r="M84" s="443">
        <f>Retention!M120</f>
        <v>-1</v>
      </c>
      <c r="N84" s="443">
        <f>Retention!N120</f>
        <v>-1</v>
      </c>
      <c r="O84" s="442">
        <f>Retention!O120</f>
        <v>-1</v>
      </c>
      <c r="P84" s="442">
        <f>Retention!P120</f>
        <v>-1</v>
      </c>
      <c r="Q84" s="442">
        <f>Retention!Q120</f>
        <v>-1</v>
      </c>
      <c r="R84" s="442">
        <f>Retention!R120</f>
        <v>-1</v>
      </c>
      <c r="S84" s="442">
        <f>Retention!S120</f>
        <v>-1</v>
      </c>
      <c r="T84" s="442">
        <f>Retention!T120</f>
        <v>-1</v>
      </c>
      <c r="U84" s="442">
        <f>Retention!U120</f>
        <v>-1</v>
      </c>
      <c r="V84" s="442">
        <f>Retention!V120</f>
        <v>-1</v>
      </c>
      <c r="W84" s="442">
        <f>Retention!W120</f>
        <v>-1</v>
      </c>
      <c r="X84" s="442">
        <f>Retention!X120</f>
        <v>-1</v>
      </c>
      <c r="Y84" s="442">
        <f>Retention!Y120</f>
        <v>-1</v>
      </c>
      <c r="Z84" s="442">
        <f>Retention!Z120</f>
        <v>-6</v>
      </c>
      <c r="AA84" s="442">
        <f>Retention!AA120</f>
        <v>-6</v>
      </c>
      <c r="AB84" s="442">
        <f>Retention!AB120</f>
        <v>-7</v>
      </c>
      <c r="AC84" s="442">
        <f>Retention!AC120</f>
        <v>-8</v>
      </c>
      <c r="AD84" s="442">
        <f>Retention!AD120</f>
        <v>-8</v>
      </c>
      <c r="AE84" s="442">
        <f>Retention!AE120</f>
        <v>-9</v>
      </c>
      <c r="AF84" s="442">
        <f>Retention!AF120</f>
        <v>-14</v>
      </c>
      <c r="AG84" s="442">
        <f>Retention!AG120</f>
        <v>-11</v>
      </c>
      <c r="AH84" s="442">
        <f>Retention!AH120</f>
        <v>-10</v>
      </c>
      <c r="AI84" s="442">
        <f>Retention!AI120</f>
        <v>-11</v>
      </c>
      <c r="AJ84" s="442">
        <f>Retention!AJ120</f>
        <v>-11</v>
      </c>
      <c r="AK84" s="442">
        <f>Retention!AK120</f>
        <v>-15</v>
      </c>
      <c r="AL84" s="442">
        <f>Retention!AL120</f>
        <v>-12</v>
      </c>
      <c r="AM84" s="442">
        <f>Retention!AM120</f>
        <v>-10</v>
      </c>
      <c r="AN84" s="442">
        <f>Retention!AN120</f>
        <v>-9</v>
      </c>
      <c r="AO84" s="442">
        <f>Retention!AO120</f>
        <v>-8</v>
      </c>
      <c r="AP84" s="442">
        <f>Retention!AP120</f>
        <v>-7</v>
      </c>
      <c r="AQ84" s="442">
        <f>Retention!AQ120</f>
        <v>-6</v>
      </c>
      <c r="AR84" s="442">
        <f>Retention!AR120</f>
        <v>-4</v>
      </c>
      <c r="AS84" s="442">
        <f>Retention!AS120</f>
        <v>-4</v>
      </c>
      <c r="AT84" s="442">
        <f>Retention!AT120</f>
        <v>-3</v>
      </c>
      <c r="AU84" s="442">
        <f>Retention!AU120</f>
        <v>-3</v>
      </c>
      <c r="AV84" s="442">
        <f>Retention!AV120</f>
        <v>-2</v>
      </c>
      <c r="AW84" s="442">
        <f>Retention!AW120</f>
        <v>-2</v>
      </c>
      <c r="AX84" s="442">
        <f>Retention!AX120</f>
        <v>-1</v>
      </c>
      <c r="AY84" s="442">
        <f>Retention!AY120</f>
        <v>-1</v>
      </c>
      <c r="AZ84" s="442">
        <f>Retention!AZ120</f>
        <v>0</v>
      </c>
      <c r="BA84" s="442">
        <f>Retention!BA120</f>
        <v>0</v>
      </c>
      <c r="BB84" s="442">
        <f>Retention!BB120</f>
        <v>0</v>
      </c>
      <c r="BC84" s="442">
        <f>Retention!BC120</f>
        <v>0</v>
      </c>
      <c r="BD84" s="442">
        <f>Retention!BD120</f>
        <v>0</v>
      </c>
      <c r="BE84" s="442">
        <f>Retention!BE120</f>
        <v>0</v>
      </c>
      <c r="BF84" s="442">
        <f>Retention!BF120</f>
        <v>0</v>
      </c>
      <c r="BG84" s="442">
        <f>Retention!BG120</f>
        <v>0</v>
      </c>
      <c r="BH84" s="442">
        <f>Retention!BH120</f>
        <v>0</v>
      </c>
      <c r="BI84" s="442">
        <f>Retention!BI120</f>
        <v>0</v>
      </c>
      <c r="BJ84" s="442">
        <f>Retention!BJ120</f>
        <v>-1</v>
      </c>
      <c r="BK84" s="442">
        <f>Retention!BK120</f>
        <v>-1</v>
      </c>
      <c r="BL84" s="442">
        <f>Retention!BL120</f>
        <v>-1</v>
      </c>
      <c r="BM84" s="442">
        <f>Retention!BM120</f>
        <v>-1</v>
      </c>
      <c r="BN84" s="442">
        <f>Retention!BN120</f>
        <v>-1</v>
      </c>
      <c r="BO84" s="442">
        <f>Retention!BO120</f>
        <v>-2</v>
      </c>
      <c r="BP84" s="442">
        <f>Retention!BP120</f>
        <v>-2</v>
      </c>
      <c r="BQ84" s="442">
        <f>Retention!BQ120</f>
        <v>-2</v>
      </c>
      <c r="BR84" s="442">
        <f>Retention!BR120</f>
        <v>-2</v>
      </c>
      <c r="BS84" s="442">
        <f>Retention!BS120</f>
        <v>-2</v>
      </c>
      <c r="BT84" s="442">
        <f>Retention!BT120</f>
        <v>-3</v>
      </c>
      <c r="BU84" s="442">
        <f>Retention!BU120</f>
        <v>-3</v>
      </c>
      <c r="BV84" s="442">
        <f>Retention!BV120</f>
        <v>-3</v>
      </c>
      <c r="BW84" s="442">
        <f>Retention!BW120</f>
        <v>-3</v>
      </c>
      <c r="BX84" s="442">
        <f>Retention!BX120</f>
        <v>-3</v>
      </c>
      <c r="BY84" s="442">
        <f>Retention!BY120</f>
        <v>-3</v>
      </c>
      <c r="BZ84" s="442">
        <f>Retention!BZ120</f>
        <v>-3</v>
      </c>
      <c r="CA84" s="442">
        <f>Retention!CA120</f>
        <v>-3</v>
      </c>
      <c r="CB84" s="442">
        <f>Retention!CB120</f>
        <v>-4</v>
      </c>
      <c r="CC84" s="442">
        <f>Retention!CC120</f>
        <v>-4</v>
      </c>
      <c r="CD84" s="442">
        <f>Retention!CD120</f>
        <v>-4</v>
      </c>
      <c r="CE84" s="442">
        <f>Retention!CE120</f>
        <v>-4</v>
      </c>
      <c r="CF84" s="442">
        <f>Retention!CF120</f>
        <v>-4</v>
      </c>
      <c r="CG84" s="442">
        <f>Retention!CG120</f>
        <v>-4</v>
      </c>
      <c r="CH84" s="442">
        <f>Retention!CH120</f>
        <v>-4</v>
      </c>
      <c r="CI84" s="442"/>
    </row>
    <row r="85" ht="15.75" customHeight="1" outlineLevel="1">
      <c r="A85" s="1" t="s">
        <v>676</v>
      </c>
      <c r="B85" s="1"/>
      <c r="C85" s="442">
        <f>Retention!C128</f>
        <v>51</v>
      </c>
      <c r="D85" s="442">
        <f>Retention!D128</f>
        <v>52</v>
      </c>
      <c r="E85" s="442">
        <f>Retention!E128</f>
        <v>53</v>
      </c>
      <c r="F85" s="442">
        <f>Retention!F128</f>
        <v>54</v>
      </c>
      <c r="G85" s="442">
        <f>Retention!G128</f>
        <v>55</v>
      </c>
      <c r="H85" s="442">
        <f>Retention!H128</f>
        <v>56</v>
      </c>
      <c r="I85" s="442">
        <f>Retention!I128</f>
        <v>57</v>
      </c>
      <c r="J85" s="442">
        <f>Retention!J128</f>
        <v>58</v>
      </c>
      <c r="K85" s="442">
        <f>Retention!K128</f>
        <v>59</v>
      </c>
      <c r="L85" s="442">
        <f>Retention!L128</f>
        <v>60</v>
      </c>
      <c r="M85" s="442">
        <f>Retention!M128</f>
        <v>61</v>
      </c>
      <c r="N85" s="442">
        <f>Retention!N128</f>
        <v>62</v>
      </c>
      <c r="O85" s="442">
        <f>Retention!O128</f>
        <v>63</v>
      </c>
      <c r="P85" s="442">
        <f>Retention!P128</f>
        <v>64</v>
      </c>
      <c r="Q85" s="442">
        <f>Retention!Q128</f>
        <v>65</v>
      </c>
      <c r="R85" s="442">
        <f>Retention!R128</f>
        <v>66</v>
      </c>
      <c r="S85" s="442">
        <f>Retention!S128</f>
        <v>67</v>
      </c>
      <c r="T85" s="442">
        <f>Retention!T128</f>
        <v>68</v>
      </c>
      <c r="U85" s="442">
        <f>Retention!U128</f>
        <v>69</v>
      </c>
      <c r="V85" s="442">
        <f>Retention!V128</f>
        <v>70</v>
      </c>
      <c r="W85" s="442">
        <f>Retention!W128</f>
        <v>71</v>
      </c>
      <c r="X85" s="442">
        <f>Retention!X128</f>
        <v>72</v>
      </c>
      <c r="Y85" s="442">
        <f>Retention!Y128</f>
        <v>73</v>
      </c>
      <c r="Z85" s="442">
        <f>Retention!Z128</f>
        <v>71.25978892</v>
      </c>
      <c r="AA85" s="442">
        <f>Retention!AA128</f>
        <v>70.39267079</v>
      </c>
      <c r="AB85" s="442">
        <f>Retention!AB128</f>
        <v>69.09971088</v>
      </c>
      <c r="AC85" s="442">
        <f>Retention!AC128</f>
        <v>66.97065589</v>
      </c>
      <c r="AD85" s="442">
        <f>Retention!AD128</f>
        <v>64.97042803</v>
      </c>
      <c r="AE85" s="442">
        <f>Retention!AE128</f>
        <v>62.015221</v>
      </c>
      <c r="AF85" s="442">
        <f>Retention!AF128</f>
        <v>54.06073451</v>
      </c>
      <c r="AG85" s="442">
        <f>Retention!AG128</f>
        <v>49.12891124</v>
      </c>
      <c r="AH85" s="442">
        <f>Retention!AH128</f>
        <v>45.21804296</v>
      </c>
      <c r="AI85" s="442">
        <f>Retention!AI128</f>
        <v>40.38529316</v>
      </c>
      <c r="AJ85" s="442">
        <f>Retention!AJ128</f>
        <v>35.13241264</v>
      </c>
      <c r="AK85" s="442">
        <f>Retention!AK128</f>
        <v>25.91796826</v>
      </c>
      <c r="AL85" s="442">
        <f>Retention!AL128</f>
        <v>19.75586918</v>
      </c>
      <c r="AM85" s="442">
        <f>Retention!AM128</f>
        <v>15.2712301</v>
      </c>
      <c r="AN85" s="442">
        <f>Retention!AN128</f>
        <v>10.50755498</v>
      </c>
      <c r="AO85" s="442">
        <f>Retention!AO128</f>
        <v>6.588488332</v>
      </c>
      <c r="AP85" s="442">
        <f>Retention!AP128</f>
        <v>3.695271964</v>
      </c>
      <c r="AQ85" s="442">
        <f>Retention!AQ128</f>
        <v>1.828103264</v>
      </c>
      <c r="AR85" s="442">
        <f>Retention!AR128</f>
        <v>1.977588372</v>
      </c>
      <c r="AS85" s="442">
        <f>Retention!AS128</f>
        <v>2.153417531</v>
      </c>
      <c r="AT85" s="442">
        <f>Retention!AT128</f>
        <v>3.355792494</v>
      </c>
      <c r="AU85" s="442">
        <f>Retention!AU128</f>
        <v>4.584916898</v>
      </c>
      <c r="AV85" s="442">
        <f>Retention!AV128</f>
        <v>6.840996291</v>
      </c>
      <c r="AW85" s="442">
        <f>Retention!AW128</f>
        <v>9.124238147</v>
      </c>
      <c r="AX85" s="442">
        <f>Retention!AX128</f>
        <v>12.43485189</v>
      </c>
      <c r="AY85" s="442">
        <f>Retention!AY128</f>
        <v>15.76781958</v>
      </c>
      <c r="AZ85" s="442">
        <f>Retention!AZ128</f>
        <v>20.14466093</v>
      </c>
      <c r="BA85" s="442">
        <f>Retention!BA128</f>
        <v>24.54914615</v>
      </c>
      <c r="BB85" s="442">
        <f>Retention!BB128</f>
        <v>28.98148274</v>
      </c>
      <c r="BC85" s="442">
        <f>Retention!BC128</f>
        <v>33.4418801</v>
      </c>
      <c r="BD85" s="442">
        <f>Retention!BD128</f>
        <v>37.93054947</v>
      </c>
      <c r="BE85" s="442">
        <f>Retention!BE128</f>
        <v>42.44770402</v>
      </c>
      <c r="BF85" s="442">
        <f>Retention!BF128</f>
        <v>46.99355887</v>
      </c>
      <c r="BG85" s="442">
        <f>Retention!BG128</f>
        <v>51.56833105</v>
      </c>
      <c r="BH85" s="442">
        <f>Retention!BH128</f>
        <v>56.17223958</v>
      </c>
      <c r="BI85" s="442">
        <f>Retention!BI128</f>
        <v>60.80550548</v>
      </c>
      <c r="BJ85" s="442">
        <f>Retention!BJ128</f>
        <v>64.46835175</v>
      </c>
      <c r="BK85" s="442">
        <f>Retention!BK128</f>
        <v>68.09482389</v>
      </c>
      <c r="BL85" s="442">
        <f>Retention!BL128</f>
        <v>71.5062263</v>
      </c>
      <c r="BM85" s="442">
        <f>Retention!BM128</f>
        <v>74.87072874</v>
      </c>
      <c r="BN85" s="442">
        <f>Retention!BN128</f>
        <v>78.26522938</v>
      </c>
      <c r="BO85" s="442">
        <f>Retention!BO128</f>
        <v>80.69004571</v>
      </c>
      <c r="BP85" s="442">
        <f>Retention!BP128</f>
        <v>83.14550108</v>
      </c>
      <c r="BQ85" s="442">
        <f>Retention!BQ128</f>
        <v>85.63192483</v>
      </c>
      <c r="BR85" s="442">
        <f>Retention!BR128</f>
        <v>88.1496525</v>
      </c>
      <c r="BS85" s="442">
        <f>Retention!BS128</f>
        <v>90.69902591</v>
      </c>
      <c r="BT85" s="442">
        <f>Retention!BT128</f>
        <v>92.28039344</v>
      </c>
      <c r="BU85" s="442">
        <f>Retention!BU128</f>
        <v>93.89411008</v>
      </c>
      <c r="BV85" s="442">
        <f>Retention!BV128</f>
        <v>95.54053773</v>
      </c>
      <c r="BW85" s="442">
        <f>Retention!BW128</f>
        <v>97.23672191</v>
      </c>
      <c r="BX85" s="442">
        <f>Retention!BX128</f>
        <v>98.58442384</v>
      </c>
      <c r="BY85" s="442">
        <f>Retention!BY128</f>
        <v>99.87318568</v>
      </c>
      <c r="BZ85" s="442">
        <f>Retention!BZ128</f>
        <v>101.1827101</v>
      </c>
      <c r="CA85" s="442">
        <f>Retention!CA128</f>
        <v>102.5133027</v>
      </c>
      <c r="CB85" s="442">
        <f>Retention!CB128</f>
        <v>102.8652677</v>
      </c>
      <c r="CC85" s="442">
        <f>Retention!CC128</f>
        <v>103.2389079</v>
      </c>
      <c r="CD85" s="442">
        <f>Retention!CD128</f>
        <v>103.6345246</v>
      </c>
      <c r="CE85" s="442">
        <f>Retention!CE128</f>
        <v>104.0524183</v>
      </c>
      <c r="CF85" s="442">
        <f>Retention!CF128</f>
        <v>104.4928881</v>
      </c>
      <c r="CG85" s="442">
        <f>Retention!CG128</f>
        <v>104.9562321</v>
      </c>
      <c r="CH85" s="442">
        <f>Retention!CH128</f>
        <v>105.4427477</v>
      </c>
      <c r="CI85" s="442"/>
    </row>
    <row r="86" ht="15.75" customHeight="1" outlineLevel="1">
      <c r="A86" s="1" t="s">
        <v>97</v>
      </c>
      <c r="B86" s="1"/>
      <c r="C86" s="445">
        <f>'New Biz Sales'!C98</f>
        <v>497988</v>
      </c>
      <c r="D86" s="445">
        <f>'New Biz Sales'!D98</f>
        <v>234187</v>
      </c>
      <c r="E86" s="445">
        <f>'New Biz Sales'!E98</f>
        <v>191904</v>
      </c>
      <c r="F86" s="445">
        <f>'New Biz Sales'!F98</f>
        <v>206557</v>
      </c>
      <c r="G86" s="445">
        <f>'New Biz Sales'!G98</f>
        <v>410700</v>
      </c>
      <c r="H86" s="445">
        <f>'New Biz Sales'!H98</f>
        <v>115642</v>
      </c>
      <c r="I86" s="445">
        <f>'New Biz Sales'!I98</f>
        <v>381396</v>
      </c>
      <c r="J86" s="445">
        <f>'New Biz Sales'!J98</f>
        <v>154695</v>
      </c>
      <c r="K86" s="445">
        <f>'New Biz Sales'!K98</f>
        <v>139901</v>
      </c>
      <c r="L86" s="445">
        <f>'New Biz Sales'!L98</f>
        <v>414359</v>
      </c>
      <c r="M86" s="445">
        <f>'New Biz Sales'!M98</f>
        <v>474415</v>
      </c>
      <c r="N86" s="445">
        <f>'New Biz Sales'!N98</f>
        <v>335485</v>
      </c>
      <c r="O86" s="445">
        <f>'New Biz Sales'!O98</f>
        <v>212819</v>
      </c>
      <c r="P86" s="445">
        <f>'New Biz Sales'!P98</f>
        <v>451250</v>
      </c>
      <c r="Q86" s="445">
        <f>'New Biz Sales'!Q98</f>
        <v>493204</v>
      </c>
      <c r="R86" s="445">
        <f>'New Biz Sales'!R98</f>
        <v>284410</v>
      </c>
      <c r="S86" s="445">
        <f>'New Biz Sales'!S98</f>
        <v>194468</v>
      </c>
      <c r="T86" s="445">
        <f>'New Biz Sales'!T98</f>
        <v>222217</v>
      </c>
      <c r="U86" s="445">
        <f>'New Biz Sales'!U98</f>
        <v>179415</v>
      </c>
      <c r="V86" s="445">
        <f>'New Biz Sales'!V98</f>
        <v>285607</v>
      </c>
      <c r="W86" s="445">
        <f>'New Biz Sales'!W98</f>
        <v>415595</v>
      </c>
      <c r="X86" s="445">
        <f>'New Biz Sales'!X98</f>
        <v>140953</v>
      </c>
      <c r="Y86" s="445">
        <f>'New Biz Sales'!Y98</f>
        <v>189550</v>
      </c>
      <c r="Z86" s="445">
        <f>'New Biz Sales'!Z98</f>
        <v>189550</v>
      </c>
      <c r="AA86" s="445">
        <f>'New Biz Sales'!AA98</f>
        <v>193341</v>
      </c>
      <c r="AB86" s="445">
        <f>'New Biz Sales'!AB98</f>
        <v>193341</v>
      </c>
      <c r="AC86" s="445">
        <f>'New Biz Sales'!AC98</f>
        <v>193341</v>
      </c>
      <c r="AD86" s="445">
        <f>'New Biz Sales'!AD98</f>
        <v>193341</v>
      </c>
      <c r="AE86" s="445">
        <f>'New Biz Sales'!AE98</f>
        <v>193341</v>
      </c>
      <c r="AF86" s="445">
        <f>'New Biz Sales'!AF98</f>
        <v>197207.82</v>
      </c>
      <c r="AG86" s="445">
        <f>'New Biz Sales'!AG98</f>
        <v>197207.82</v>
      </c>
      <c r="AH86" s="445">
        <f>'New Biz Sales'!AH98</f>
        <v>197207.82</v>
      </c>
      <c r="AI86" s="445">
        <f>'New Biz Sales'!AI98</f>
        <v>197207.82</v>
      </c>
      <c r="AJ86" s="445">
        <f>'New Biz Sales'!AJ98</f>
        <v>197207.82</v>
      </c>
      <c r="AK86" s="445">
        <f>'New Biz Sales'!AK98</f>
        <v>197207.82</v>
      </c>
      <c r="AL86" s="445">
        <f>'New Biz Sales'!AL98</f>
        <v>197207.82</v>
      </c>
      <c r="AM86" s="445">
        <f>'New Biz Sales'!AM98</f>
        <v>199179.8982</v>
      </c>
      <c r="AN86" s="445">
        <f>'New Biz Sales'!AN98</f>
        <v>199179.8982</v>
      </c>
      <c r="AO86" s="445">
        <f>'New Biz Sales'!AO98</f>
        <v>199179.8982</v>
      </c>
      <c r="AP86" s="445">
        <f>'New Biz Sales'!AP98</f>
        <v>199179.8982</v>
      </c>
      <c r="AQ86" s="445">
        <f>'New Biz Sales'!AQ98</f>
        <v>199179.8982</v>
      </c>
      <c r="AR86" s="445">
        <f>'New Biz Sales'!AR98</f>
        <v>201171.6972</v>
      </c>
      <c r="AS86" s="445">
        <f>'New Biz Sales'!AS98</f>
        <v>201171.6972</v>
      </c>
      <c r="AT86" s="445">
        <f>'New Biz Sales'!AT98</f>
        <v>201171.6972</v>
      </c>
      <c r="AU86" s="445">
        <f>'New Biz Sales'!AU98</f>
        <v>201171.6972</v>
      </c>
      <c r="AV86" s="445">
        <f>'New Biz Sales'!AV98</f>
        <v>201171.6972</v>
      </c>
      <c r="AW86" s="445">
        <f>'New Biz Sales'!AW98</f>
        <v>201171.6972</v>
      </c>
      <c r="AX86" s="445">
        <f>'New Biz Sales'!AX98</f>
        <v>201171.6972</v>
      </c>
      <c r="AY86" s="445">
        <f>'New Biz Sales'!AY98</f>
        <v>202177.5557</v>
      </c>
      <c r="AZ86" s="445">
        <f>'New Biz Sales'!AZ98</f>
        <v>202177.5557</v>
      </c>
      <c r="BA86" s="445">
        <f>'New Biz Sales'!BA98</f>
        <v>202177.5557</v>
      </c>
      <c r="BB86" s="445">
        <f>'New Biz Sales'!BB98</f>
        <v>202177.5557</v>
      </c>
      <c r="BC86" s="445">
        <f>'New Biz Sales'!BC98</f>
        <v>202177.5557</v>
      </c>
      <c r="BD86" s="445">
        <f>'New Biz Sales'!BD98</f>
        <v>202177.5557</v>
      </c>
      <c r="BE86" s="445">
        <f>'New Biz Sales'!BE98</f>
        <v>202177.5557</v>
      </c>
      <c r="BF86" s="445">
        <f>'New Biz Sales'!BF98</f>
        <v>202177.5557</v>
      </c>
      <c r="BG86" s="445">
        <f>'New Biz Sales'!BG98</f>
        <v>202177.5557</v>
      </c>
      <c r="BH86" s="445">
        <f>'New Biz Sales'!BH98</f>
        <v>202177.5557</v>
      </c>
      <c r="BI86" s="445">
        <f>'New Biz Sales'!BI98</f>
        <v>202177.5557</v>
      </c>
      <c r="BJ86" s="445">
        <f>'New Biz Sales'!BJ98</f>
        <v>202177.5557</v>
      </c>
      <c r="BK86" s="445">
        <f>'New Biz Sales'!BK98</f>
        <v>212286.4335</v>
      </c>
      <c r="BL86" s="445">
        <f>'New Biz Sales'!BL98</f>
        <v>222900.7551</v>
      </c>
      <c r="BM86" s="445">
        <f>'New Biz Sales'!BM98</f>
        <v>222900.7551</v>
      </c>
      <c r="BN86" s="445">
        <f>'New Biz Sales'!BN98</f>
        <v>222900.7551</v>
      </c>
      <c r="BO86" s="445">
        <f>'New Biz Sales'!BO98</f>
        <v>222900.7551</v>
      </c>
      <c r="BP86" s="445">
        <f>'New Biz Sales'!BP98</f>
        <v>222900.7551</v>
      </c>
      <c r="BQ86" s="445">
        <f>'New Biz Sales'!BQ98</f>
        <v>222900.7551</v>
      </c>
      <c r="BR86" s="445">
        <f>'New Biz Sales'!BR98</f>
        <v>222900.7551</v>
      </c>
      <c r="BS86" s="445">
        <f>'New Biz Sales'!BS98</f>
        <v>222900.7551</v>
      </c>
      <c r="BT86" s="445">
        <f>'New Biz Sales'!BT98</f>
        <v>222900.7551</v>
      </c>
      <c r="BU86" s="445">
        <f>'New Biz Sales'!BU98</f>
        <v>222900.7551</v>
      </c>
      <c r="BV86" s="445">
        <f>'New Biz Sales'!BV98</f>
        <v>222900.7551</v>
      </c>
      <c r="BW86" s="445">
        <f>'New Biz Sales'!BW98</f>
        <v>222900.7551</v>
      </c>
      <c r="BX86" s="445">
        <f>'New Biz Sales'!BX98</f>
        <v>222900.7551</v>
      </c>
      <c r="BY86" s="445">
        <f>'New Biz Sales'!BY98</f>
        <v>222900.7551</v>
      </c>
      <c r="BZ86" s="445">
        <f>'New Biz Sales'!BZ98</f>
        <v>222900.7551</v>
      </c>
      <c r="CA86" s="445">
        <f>'New Biz Sales'!CA98</f>
        <v>222900.7551</v>
      </c>
      <c r="CB86" s="445">
        <f>'New Biz Sales'!CB98</f>
        <v>222900.7551</v>
      </c>
      <c r="CC86" s="445">
        <f>'New Biz Sales'!CC98</f>
        <v>222900.7551</v>
      </c>
      <c r="CD86" s="445">
        <f>'New Biz Sales'!CD98</f>
        <v>222900.7551</v>
      </c>
      <c r="CE86" s="445">
        <f>'New Biz Sales'!CE98</f>
        <v>222900.7551</v>
      </c>
      <c r="CF86" s="445">
        <f>'New Biz Sales'!CF98</f>
        <v>222900.7551</v>
      </c>
      <c r="CG86" s="445">
        <f>'New Biz Sales'!CG98</f>
        <v>222900.7551</v>
      </c>
      <c r="CH86" s="445">
        <f>'New Biz Sales'!CH98</f>
        <v>222900.7551</v>
      </c>
      <c r="CI86" s="445"/>
    </row>
    <row r="87" ht="15.75" customHeight="1" outlineLevel="1">
      <c r="A87" s="1"/>
      <c r="B87" s="1"/>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117"/>
    </row>
    <row r="88" ht="15.75" customHeight="1" outlineLevel="1">
      <c r="A88" s="1" t="s">
        <v>195</v>
      </c>
      <c r="B88" s="1"/>
      <c r="C88" s="387">
        <f t="array" ref="C88">INDEX('IS Proforma'!$1:$1048490,MATCH($A88,'IS Proforma'!$C:$C,0),MATCH(C$4,'IS Proforma'!$4:$4))</f>
        <v>175591</v>
      </c>
      <c r="D88" s="387">
        <f t="array" ref="D88">INDEX('IS Proforma'!$1:$1048490,MATCH($A88,'IS Proforma'!$C:$C,0),MATCH(D$4,'IS Proforma'!$4:$4))</f>
        <v>116229</v>
      </c>
      <c r="E88" s="387">
        <f t="array" ref="E88">INDEX('IS Proforma'!$1:$1048490,MATCH($A88,'IS Proforma'!$C:$C,0),MATCH(E$4,'IS Proforma'!$4:$4))</f>
        <v>144852</v>
      </c>
      <c r="F88" s="387">
        <f t="array" ref="F88">INDEX('IS Proforma'!$1:$1048490,MATCH($A88,'IS Proforma'!$C:$C,0),MATCH(F$4,'IS Proforma'!$4:$4))</f>
        <v>201830</v>
      </c>
      <c r="G88" s="387">
        <f t="array" ref="G88">INDEX('IS Proforma'!$1:$1048490,MATCH($A88,'IS Proforma'!$C:$C,0),MATCH(G$4,'IS Proforma'!$4:$4))</f>
        <v>228546</v>
      </c>
      <c r="H88" s="387">
        <f t="array" ref="H88">INDEX('IS Proforma'!$1:$1048490,MATCH($A88,'IS Proforma'!$C:$C,0),MATCH(H$4,'IS Proforma'!$4:$4))</f>
        <v>235243</v>
      </c>
      <c r="I88" s="387">
        <f t="array" ref="I88">INDEX('IS Proforma'!$1:$1048490,MATCH($A88,'IS Proforma'!$C:$C,0),MATCH(I$4,'IS Proforma'!$4:$4))</f>
        <v>230521</v>
      </c>
      <c r="J88" s="387">
        <f t="array" ref="J88">INDEX('IS Proforma'!$1:$1048490,MATCH($A88,'IS Proforma'!$C:$C,0),MATCH(J$4,'IS Proforma'!$4:$4))</f>
        <v>155287</v>
      </c>
      <c r="K88" s="387">
        <f t="array" ref="K88">INDEX('IS Proforma'!$1:$1048490,MATCH($A88,'IS Proforma'!$C:$C,0),MATCH(K$4,'IS Proforma'!$4:$4))</f>
        <v>157942</v>
      </c>
      <c r="L88" s="387">
        <f t="array" ref="L88">INDEX('IS Proforma'!$1:$1048490,MATCH($A88,'IS Proforma'!$C:$C,0),MATCH(L$4,'IS Proforma'!$4:$4))</f>
        <v>124599</v>
      </c>
      <c r="M88" s="387">
        <f t="array" ref="M88">INDEX('IS Proforma'!$1:$1048490,MATCH($A88,'IS Proforma'!$C:$C,0),MATCH(M$4,'IS Proforma'!$4:$4))</f>
        <v>157085</v>
      </c>
      <c r="N88" s="387">
        <f t="array" ref="N88">INDEX('IS Proforma'!$1:$1048490,MATCH($A88,'IS Proforma'!$C:$C,0),MATCH(N$4,'IS Proforma'!$4:$4))</f>
        <v>114280</v>
      </c>
      <c r="O88" s="387">
        <f t="array" ref="O88">INDEX('IS Proforma'!$1:$1048490,MATCH($A88,'IS Proforma'!$C:$C,0),MATCH(O$4,'IS Proforma'!$4:$4))</f>
        <v>172265</v>
      </c>
      <c r="P88" s="387">
        <f t="array" ref="P88">INDEX('IS Proforma'!$1:$1048490,MATCH($A88,'IS Proforma'!$C:$C,0),MATCH(P$4,'IS Proforma'!$4:$4))</f>
        <v>164260</v>
      </c>
      <c r="Q88" s="387">
        <f t="array" ref="Q88">INDEX('IS Proforma'!$1:$1048490,MATCH($A88,'IS Proforma'!$C:$C,0),MATCH(Q$4,'IS Proforma'!$4:$4))</f>
        <v>175942</v>
      </c>
      <c r="R88" s="387">
        <f t="array" ref="R88">INDEX('IS Proforma'!$1:$1048490,MATCH($A88,'IS Proforma'!$C:$C,0),MATCH(R$4,'IS Proforma'!$4:$4))</f>
        <v>217789</v>
      </c>
      <c r="S88" s="387">
        <f t="array" ref="S88">INDEX('IS Proforma'!$1:$1048490,MATCH($A88,'IS Proforma'!$C:$C,0),MATCH(S$4,'IS Proforma'!$4:$4))</f>
        <v>202848</v>
      </c>
      <c r="T88" s="387">
        <f t="array" ref="T88">INDEX('IS Proforma'!$1:$1048490,MATCH($A88,'IS Proforma'!$C:$C,0),MATCH(T$4,'IS Proforma'!$4:$4))</f>
        <v>137290</v>
      </c>
      <c r="U88" s="387">
        <f t="array" ref="U88">INDEX('IS Proforma'!$1:$1048490,MATCH($A88,'IS Proforma'!$C:$C,0),MATCH(U$4,'IS Proforma'!$4:$4))</f>
        <v>171228</v>
      </c>
      <c r="V88" s="387">
        <f t="array" ref="V88">INDEX('IS Proforma'!$1:$1048490,MATCH($A88,'IS Proforma'!$C:$C,0),MATCH(V$4,'IS Proforma'!$4:$4))</f>
        <v>207007</v>
      </c>
      <c r="W88" s="387">
        <f t="array" ref="W88">INDEX('IS Proforma'!$1:$1048490,MATCH($A88,'IS Proforma'!$C:$C,0),MATCH(W$4,'IS Proforma'!$4:$4))</f>
        <v>212251</v>
      </c>
      <c r="X88" s="387">
        <f t="array" ref="X88">INDEX('IS Proforma'!$1:$1048490,MATCH($A88,'IS Proforma'!$C:$C,0),MATCH(X$4,'IS Proforma'!$4:$4))</f>
        <v>235011</v>
      </c>
      <c r="Y88" s="387">
        <f t="array" ref="Y88">INDEX('IS Proforma'!$1:$1048490,MATCH($A88,'IS Proforma'!$C:$C,0),MATCH(Y$4,'IS Proforma'!$4:$4))</f>
        <v>180656</v>
      </c>
      <c r="Z88" s="407">
        <f>Retention!Y42</f>
        <v>207412</v>
      </c>
      <c r="AA88" s="407">
        <f>Retention!Z42</f>
        <v>254174.5112</v>
      </c>
      <c r="AB88" s="407">
        <f>Retention!AA42</f>
        <v>311703.7907</v>
      </c>
      <c r="AC88" s="407">
        <f>Retention!AB42</f>
        <v>374356.6057</v>
      </c>
      <c r="AD88" s="407">
        <f>Retention!AC42</f>
        <v>435990.6948</v>
      </c>
      <c r="AE88" s="407">
        <f>Retention!AD42</f>
        <v>496489.8268</v>
      </c>
      <c r="AF88" s="407">
        <f>Retention!AE42</f>
        <v>555012.1558</v>
      </c>
      <c r="AG88" s="407">
        <f>Retention!AF42</f>
        <v>613143.3465</v>
      </c>
      <c r="AH88" s="407">
        <f>Retention!AG42</f>
        <v>673926.2592</v>
      </c>
      <c r="AI88" s="407">
        <f>Retention!AH42</f>
        <v>731927.1271</v>
      </c>
      <c r="AJ88" s="407">
        <f>Retention!AI42</f>
        <v>788154.995</v>
      </c>
      <c r="AK88" s="407">
        <f>Retention!AJ42</f>
        <v>835141.929</v>
      </c>
      <c r="AL88" s="407">
        <f>Retention!AK42</f>
        <v>881150.7412</v>
      </c>
      <c r="AM88" s="407">
        <f>Retention!AL42</f>
        <v>925653.182</v>
      </c>
      <c r="AN88" s="407">
        <f>Retention!AM42</f>
        <v>963874.2942</v>
      </c>
      <c r="AO88" s="407">
        <f>Retention!AN42</f>
        <v>980587.5609</v>
      </c>
      <c r="AP88" s="407">
        <f>Retention!AO42</f>
        <v>994084.3282</v>
      </c>
      <c r="AQ88" s="407">
        <f>Retention!AP42</f>
        <v>1007302.323</v>
      </c>
      <c r="AR88" s="407">
        <f>Retention!AQ42</f>
        <v>1020258.508</v>
      </c>
      <c r="AS88" s="407">
        <f>Retention!AR42</f>
        <v>1033457.811</v>
      </c>
      <c r="AT88" s="407">
        <f>Retention!AS42</f>
        <v>1046404.815</v>
      </c>
      <c r="AU88" s="407">
        <f>Retention!AT42</f>
        <v>1059115.26</v>
      </c>
      <c r="AV88" s="407">
        <f>Retention!AU42</f>
        <v>1071604.122</v>
      </c>
      <c r="AW88" s="407">
        <f>Retention!AV42</f>
        <v>1083885.663</v>
      </c>
      <c r="AX88" s="407">
        <f>Retention!AW42</f>
        <v>1095973.46</v>
      </c>
      <c r="AY88" s="407">
        <f>Retention!AX42</f>
        <v>1107880.439</v>
      </c>
      <c r="AZ88" s="407">
        <f>Retention!AY42</f>
        <v>1129844.173</v>
      </c>
      <c r="BA88" s="407">
        <f>Retention!AZ42</f>
        <v>1151589.723</v>
      </c>
      <c r="BB88" s="407">
        <f>Retention!BA42</f>
        <v>1172873.625</v>
      </c>
      <c r="BC88" s="407">
        <f>Retention!BB42</f>
        <v>1193718.036</v>
      </c>
      <c r="BD88" s="407">
        <f>Retention!BC42</f>
        <v>1214144.23</v>
      </c>
      <c r="BE88" s="407">
        <f>Retention!BD42</f>
        <v>1234172.639</v>
      </c>
      <c r="BF88" s="407">
        <f>Retention!BE42</f>
        <v>1253822.889</v>
      </c>
      <c r="BG88" s="407">
        <f>Retention!BF42</f>
        <v>1273113.829</v>
      </c>
      <c r="BH88" s="407">
        <f>Retention!BG42</f>
        <v>1292063.567</v>
      </c>
      <c r="BI88" s="407">
        <f>Retention!BH42</f>
        <v>1310689.497</v>
      </c>
      <c r="BJ88" s="407">
        <f>Retention!BI42</f>
        <v>1329008.333</v>
      </c>
      <c r="BK88" s="407">
        <f>Retention!BJ42</f>
        <v>1347036.135</v>
      </c>
      <c r="BL88" s="407">
        <f>Retention!BK42</f>
        <v>1370050.746</v>
      </c>
      <c r="BM88" s="407">
        <f>Retention!BL42</f>
        <v>1392257.608</v>
      </c>
      <c r="BN88" s="407">
        <f>Retention!BM42</f>
        <v>1412794.245</v>
      </c>
      <c r="BO88" s="407">
        <f>Retention!BN42</f>
        <v>1433044.309</v>
      </c>
      <c r="BP88" s="407">
        <f>Retention!BO42</f>
        <v>1453024.419</v>
      </c>
      <c r="BQ88" s="407">
        <f>Retention!BP42</f>
        <v>1472750.649</v>
      </c>
      <c r="BR88" s="407">
        <f>Retention!BQ42</f>
        <v>1492238.546</v>
      </c>
      <c r="BS88" s="407">
        <f>Retention!BR42</f>
        <v>1511503.159</v>
      </c>
      <c r="BT88" s="407">
        <f>Retention!BS42</f>
        <v>1530559.056</v>
      </c>
      <c r="BU88" s="407">
        <f>Retention!BT42</f>
        <v>1549420.352</v>
      </c>
      <c r="BV88" s="407">
        <f>Retention!BU42</f>
        <v>1568100.721</v>
      </c>
      <c r="BW88" s="407">
        <f>Retention!BV42</f>
        <v>1586613.426</v>
      </c>
      <c r="BX88" s="407">
        <f>Retention!BW42</f>
        <v>1606843.885</v>
      </c>
      <c r="BY88" s="407">
        <f>Retention!BX42</f>
        <v>1620330.437</v>
      </c>
      <c r="BZ88" s="407">
        <f>Retention!BY42</f>
        <v>1632293.899</v>
      </c>
      <c r="CA88" s="407">
        <f>Retention!BZ42</f>
        <v>1644158.75</v>
      </c>
      <c r="CB88" s="407">
        <f>Retention!CA42</f>
        <v>1655933.977</v>
      </c>
      <c r="CC88" s="407">
        <f>Retention!CB42</f>
        <v>1667628.2</v>
      </c>
      <c r="CD88" s="407">
        <f>Retention!CC42</f>
        <v>1679249.689</v>
      </c>
      <c r="CE88" s="407">
        <f>Retention!CD42</f>
        <v>1690806.377</v>
      </c>
      <c r="CF88" s="407">
        <f>Retention!CE42</f>
        <v>1702305.876</v>
      </c>
      <c r="CG88" s="407">
        <f>Retention!CF42</f>
        <v>1713755.489</v>
      </c>
      <c r="CH88" s="407">
        <f>Retention!CG42</f>
        <v>1725162.223</v>
      </c>
      <c r="CI88" s="407"/>
    </row>
    <row r="89" ht="15.75" customHeight="1" outlineLevel="1">
      <c r="A89" s="1" t="s">
        <v>325</v>
      </c>
      <c r="B89" s="1"/>
      <c r="C89" s="1"/>
      <c r="D89" s="387">
        <f t="shared" ref="D89:CH89" si="39">SUM(D88)-SUM(C88)</f>
        <v>-59362</v>
      </c>
      <c r="E89" s="387">
        <f t="shared" si="39"/>
        <v>28623</v>
      </c>
      <c r="F89" s="387">
        <f t="shared" si="39"/>
        <v>56978</v>
      </c>
      <c r="G89" s="387">
        <f t="shared" si="39"/>
        <v>26716</v>
      </c>
      <c r="H89" s="387">
        <f t="shared" si="39"/>
        <v>6697</v>
      </c>
      <c r="I89" s="387">
        <f t="shared" si="39"/>
        <v>-4722</v>
      </c>
      <c r="J89" s="387">
        <f t="shared" si="39"/>
        <v>-75234</v>
      </c>
      <c r="K89" s="387">
        <f t="shared" si="39"/>
        <v>2655</v>
      </c>
      <c r="L89" s="387">
        <f t="shared" si="39"/>
        <v>-33343</v>
      </c>
      <c r="M89" s="387">
        <f t="shared" si="39"/>
        <v>32486</v>
      </c>
      <c r="N89" s="387">
        <f t="shared" si="39"/>
        <v>-42805</v>
      </c>
      <c r="O89" s="387">
        <f t="shared" si="39"/>
        <v>57985</v>
      </c>
      <c r="P89" s="387">
        <f t="shared" si="39"/>
        <v>-8005</v>
      </c>
      <c r="Q89" s="387">
        <f t="shared" si="39"/>
        <v>11682</v>
      </c>
      <c r="R89" s="387">
        <f t="shared" si="39"/>
        <v>41847</v>
      </c>
      <c r="S89" s="387">
        <f t="shared" si="39"/>
        <v>-14941</v>
      </c>
      <c r="T89" s="387">
        <f t="shared" si="39"/>
        <v>-65558</v>
      </c>
      <c r="U89" s="387">
        <f t="shared" si="39"/>
        <v>33938</v>
      </c>
      <c r="V89" s="387">
        <f t="shared" si="39"/>
        <v>35779</v>
      </c>
      <c r="W89" s="387">
        <f t="shared" si="39"/>
        <v>5244</v>
      </c>
      <c r="X89" s="387">
        <f t="shared" si="39"/>
        <v>22760</v>
      </c>
      <c r="Y89" s="387">
        <f t="shared" si="39"/>
        <v>-54355</v>
      </c>
      <c r="Z89" s="131">
        <f t="shared" si="39"/>
        <v>26756</v>
      </c>
      <c r="AA89" s="131">
        <f t="shared" si="39"/>
        <v>46762.51119</v>
      </c>
      <c r="AB89" s="131">
        <f t="shared" si="39"/>
        <v>57529.27952</v>
      </c>
      <c r="AC89" s="131">
        <f t="shared" si="39"/>
        <v>62652.81501</v>
      </c>
      <c r="AD89" s="131">
        <f t="shared" si="39"/>
        <v>61634.08908</v>
      </c>
      <c r="AE89" s="131">
        <f t="shared" si="39"/>
        <v>60499.13204</v>
      </c>
      <c r="AF89" s="131">
        <f t="shared" si="39"/>
        <v>58522.32899</v>
      </c>
      <c r="AG89" s="131">
        <f t="shared" si="39"/>
        <v>58131.19067</v>
      </c>
      <c r="AH89" s="131">
        <f t="shared" si="39"/>
        <v>60782.91275</v>
      </c>
      <c r="AI89" s="131">
        <f t="shared" si="39"/>
        <v>58000.8679</v>
      </c>
      <c r="AJ89" s="131">
        <f t="shared" si="39"/>
        <v>56227.86785</v>
      </c>
      <c r="AK89" s="131">
        <f t="shared" si="39"/>
        <v>46986.93396</v>
      </c>
      <c r="AL89" s="131">
        <f t="shared" si="39"/>
        <v>46008.8122</v>
      </c>
      <c r="AM89" s="131">
        <f t="shared" si="39"/>
        <v>44502.44083</v>
      </c>
      <c r="AN89" s="131">
        <f t="shared" si="39"/>
        <v>38221.11223</v>
      </c>
      <c r="AO89" s="131">
        <f t="shared" si="39"/>
        <v>16713.26672</v>
      </c>
      <c r="AP89" s="131">
        <f t="shared" si="39"/>
        <v>13496.76728</v>
      </c>
      <c r="AQ89" s="131">
        <f t="shared" si="39"/>
        <v>13217.9948</v>
      </c>
      <c r="AR89" s="131">
        <f t="shared" si="39"/>
        <v>12956.1852</v>
      </c>
      <c r="AS89" s="131">
        <f t="shared" si="39"/>
        <v>13199.3024</v>
      </c>
      <c r="AT89" s="131">
        <f t="shared" si="39"/>
        <v>12947.00479</v>
      </c>
      <c r="AU89" s="131">
        <f t="shared" si="39"/>
        <v>12710.44411</v>
      </c>
      <c r="AV89" s="131">
        <f t="shared" si="39"/>
        <v>12488.86271</v>
      </c>
      <c r="AW89" s="131">
        <f t="shared" si="39"/>
        <v>12281.54117</v>
      </c>
      <c r="AX89" s="131">
        <f t="shared" si="39"/>
        <v>12087.79634</v>
      </c>
      <c r="AY89" s="131">
        <f t="shared" si="39"/>
        <v>11906.97957</v>
      </c>
      <c r="AZ89" s="131">
        <f t="shared" si="39"/>
        <v>21963.73402</v>
      </c>
      <c r="BA89" s="131">
        <f t="shared" si="39"/>
        <v>21745.54922</v>
      </c>
      <c r="BB89" s="131">
        <f t="shared" si="39"/>
        <v>21283.90257</v>
      </c>
      <c r="BC89" s="131">
        <f t="shared" si="39"/>
        <v>20844.41056</v>
      </c>
      <c r="BD89" s="131">
        <f t="shared" si="39"/>
        <v>20426.19392</v>
      </c>
      <c r="BE89" s="131">
        <f t="shared" si="39"/>
        <v>20028.40975</v>
      </c>
      <c r="BF89" s="131">
        <f t="shared" si="39"/>
        <v>19650.25001</v>
      </c>
      <c r="BG89" s="131">
        <f t="shared" si="39"/>
        <v>19290.94007</v>
      </c>
      <c r="BH89" s="131">
        <f t="shared" si="39"/>
        <v>18949.73741</v>
      </c>
      <c r="BI89" s="131">
        <f t="shared" si="39"/>
        <v>18625.93023</v>
      </c>
      <c r="BJ89" s="131">
        <f t="shared" si="39"/>
        <v>18318.83627</v>
      </c>
      <c r="BK89" s="131">
        <f t="shared" si="39"/>
        <v>18027.80154</v>
      </c>
      <c r="BL89" s="131">
        <f t="shared" si="39"/>
        <v>23014.61141</v>
      </c>
      <c r="BM89" s="131">
        <f t="shared" si="39"/>
        <v>22206.86168</v>
      </c>
      <c r="BN89" s="131">
        <f t="shared" si="39"/>
        <v>20536.63701</v>
      </c>
      <c r="BO89" s="131">
        <f t="shared" si="39"/>
        <v>20250.06373</v>
      </c>
      <c r="BP89" s="131">
        <f t="shared" si="39"/>
        <v>19980.11054</v>
      </c>
      <c r="BQ89" s="131">
        <f t="shared" si="39"/>
        <v>19726.22964</v>
      </c>
      <c r="BR89" s="131">
        <f t="shared" si="39"/>
        <v>19487.89724</v>
      </c>
      <c r="BS89" s="131">
        <f t="shared" si="39"/>
        <v>19264.61267</v>
      </c>
      <c r="BT89" s="131">
        <f t="shared" si="39"/>
        <v>19055.89762</v>
      </c>
      <c r="BU89" s="131">
        <f t="shared" si="39"/>
        <v>18861.29529</v>
      </c>
      <c r="BV89" s="131">
        <f t="shared" si="39"/>
        <v>18680.3697</v>
      </c>
      <c r="BW89" s="131">
        <f t="shared" si="39"/>
        <v>18512.70492</v>
      </c>
      <c r="BX89" s="131">
        <f t="shared" si="39"/>
        <v>20230.45902</v>
      </c>
      <c r="BY89" s="131">
        <f t="shared" si="39"/>
        <v>13486.55114</v>
      </c>
      <c r="BZ89" s="131">
        <f t="shared" si="39"/>
        <v>11963.46292</v>
      </c>
      <c r="CA89" s="131">
        <f t="shared" si="39"/>
        <v>11864.85087</v>
      </c>
      <c r="CB89" s="131">
        <f t="shared" si="39"/>
        <v>11775.22659</v>
      </c>
      <c r="CC89" s="131">
        <f t="shared" si="39"/>
        <v>11694.22312</v>
      </c>
      <c r="CD89" s="131">
        <f t="shared" si="39"/>
        <v>11621.48913</v>
      </c>
      <c r="CE89" s="131">
        <f t="shared" si="39"/>
        <v>11556.68833</v>
      </c>
      <c r="CF89" s="131">
        <f t="shared" si="39"/>
        <v>11499.49879</v>
      </c>
      <c r="CG89" s="131">
        <f t="shared" si="39"/>
        <v>11449.61244</v>
      </c>
      <c r="CH89" s="131">
        <f t="shared" si="39"/>
        <v>11406.73447</v>
      </c>
      <c r="CI89" s="387"/>
    </row>
    <row r="90" ht="15.75" customHeight="1" outlineLevel="1">
      <c r="A90" s="1" t="s">
        <v>51</v>
      </c>
      <c r="B90" s="446" t="s">
        <v>677</v>
      </c>
      <c r="C90" s="1"/>
      <c r="D90" s="423">
        <f t="shared" ref="D90:V90" si="40">SUM(D88)/SUM(C88)-1</f>
        <v>-0.3380697188</v>
      </c>
      <c r="E90" s="423">
        <f t="shared" si="40"/>
        <v>0.2462638412</v>
      </c>
      <c r="F90" s="423">
        <f t="shared" si="40"/>
        <v>0.3933532157</v>
      </c>
      <c r="G90" s="423">
        <f t="shared" si="40"/>
        <v>0.1323688252</v>
      </c>
      <c r="H90" s="423">
        <f t="shared" si="40"/>
        <v>0.02930263492</v>
      </c>
      <c r="I90" s="423">
        <f t="shared" si="40"/>
        <v>-0.02007286083</v>
      </c>
      <c r="J90" s="423">
        <f t="shared" si="40"/>
        <v>-0.32636506</v>
      </c>
      <c r="K90" s="423">
        <f t="shared" si="40"/>
        <v>0.01709737454</v>
      </c>
      <c r="L90" s="423">
        <f t="shared" si="40"/>
        <v>-0.2111091413</v>
      </c>
      <c r="M90" s="423">
        <f t="shared" si="40"/>
        <v>0.2607244039</v>
      </c>
      <c r="N90" s="423">
        <f t="shared" si="40"/>
        <v>-0.2724957825</v>
      </c>
      <c r="O90" s="423">
        <f t="shared" si="40"/>
        <v>0.5073941197</v>
      </c>
      <c r="P90" s="423">
        <f t="shared" si="40"/>
        <v>-0.04646910284</v>
      </c>
      <c r="Q90" s="423">
        <f t="shared" si="40"/>
        <v>0.07111895775</v>
      </c>
      <c r="R90" s="423">
        <f t="shared" si="40"/>
        <v>0.2378454263</v>
      </c>
      <c r="S90" s="423">
        <f t="shared" si="40"/>
        <v>-0.06860309749</v>
      </c>
      <c r="T90" s="423">
        <f t="shared" si="40"/>
        <v>-0.3231878056</v>
      </c>
      <c r="U90" s="423">
        <f t="shared" si="40"/>
        <v>0.247199359</v>
      </c>
      <c r="V90" s="423">
        <f t="shared" si="40"/>
        <v>0.208955311</v>
      </c>
      <c r="W90" s="423">
        <f t="shared" ref="W90:CH90" si="41">W88/V88-1</f>
        <v>0.02533247668</v>
      </c>
      <c r="X90" s="423">
        <f t="shared" si="41"/>
        <v>0.1072315325</v>
      </c>
      <c r="Y90" s="423">
        <f t="shared" si="41"/>
        <v>-0.2312870461</v>
      </c>
      <c r="Z90" s="202">
        <f t="shared" si="41"/>
        <v>0.1481046851</v>
      </c>
      <c r="AA90" s="202">
        <f t="shared" si="41"/>
        <v>0.2254571153</v>
      </c>
      <c r="AB90" s="202">
        <f t="shared" si="41"/>
        <v>0.2263377207</v>
      </c>
      <c r="AC90" s="202">
        <f t="shared" si="41"/>
        <v>0.2010011327</v>
      </c>
      <c r="AD90" s="202">
        <f t="shared" si="41"/>
        <v>0.1646400468</v>
      </c>
      <c r="AE90" s="202">
        <f t="shared" si="41"/>
        <v>0.1387624387</v>
      </c>
      <c r="AF90" s="202">
        <f t="shared" si="41"/>
        <v>0.1178721614</v>
      </c>
      <c r="AG90" s="202">
        <f t="shared" si="41"/>
        <v>0.1047385901</v>
      </c>
      <c r="AH90" s="202">
        <f t="shared" si="41"/>
        <v>0.09913328277</v>
      </c>
      <c r="AI90" s="202">
        <f t="shared" si="41"/>
        <v>0.08606411622</v>
      </c>
      <c r="AJ90" s="202">
        <f t="shared" si="41"/>
        <v>0.07682167495</v>
      </c>
      <c r="AK90" s="202">
        <f t="shared" si="41"/>
        <v>0.0596163626</v>
      </c>
      <c r="AL90" s="202">
        <f t="shared" si="41"/>
        <v>0.05509100981</v>
      </c>
      <c r="AM90" s="202">
        <f t="shared" si="41"/>
        <v>0.05050491221</v>
      </c>
      <c r="AN90" s="202">
        <f t="shared" si="41"/>
        <v>0.04129096402</v>
      </c>
      <c r="AO90" s="202">
        <f t="shared" si="41"/>
        <v>0.01733967471</v>
      </c>
      <c r="AP90" s="202">
        <f t="shared" si="41"/>
        <v>0.0137639593</v>
      </c>
      <c r="AQ90" s="202">
        <f t="shared" si="41"/>
        <v>0.01329665344</v>
      </c>
      <c r="AR90" s="202">
        <f t="shared" si="41"/>
        <v>0.01286226082</v>
      </c>
      <c r="AS90" s="202">
        <f t="shared" si="41"/>
        <v>0.01293721375</v>
      </c>
      <c r="AT90" s="202">
        <f t="shared" si="41"/>
        <v>0.01252785035</v>
      </c>
      <c r="AU90" s="202">
        <f t="shared" si="41"/>
        <v>0.01214677525</v>
      </c>
      <c r="AV90" s="202">
        <f t="shared" si="41"/>
        <v>0.0117917881</v>
      </c>
      <c r="AW90" s="202">
        <f t="shared" si="41"/>
        <v>0.01146089392</v>
      </c>
      <c r="AX90" s="202">
        <f t="shared" si="41"/>
        <v>0.01115227994</v>
      </c>
      <c r="AY90" s="202">
        <f t="shared" si="41"/>
        <v>0.01086429554</v>
      </c>
      <c r="AZ90" s="202">
        <f t="shared" si="41"/>
        <v>0.01982500389</v>
      </c>
      <c r="BA90" s="202">
        <f t="shared" si="41"/>
        <v>0.01924650296</v>
      </c>
      <c r="BB90" s="202">
        <f t="shared" si="41"/>
        <v>0.01848219218</v>
      </c>
      <c r="BC90" s="202">
        <f t="shared" si="41"/>
        <v>0.01777208568</v>
      </c>
      <c r="BD90" s="202">
        <f t="shared" si="41"/>
        <v>0.01711140597</v>
      </c>
      <c r="BE90" s="202">
        <f t="shared" si="41"/>
        <v>0.01649590655</v>
      </c>
      <c r="BF90" s="202">
        <f t="shared" si="41"/>
        <v>0.01592180006</v>
      </c>
      <c r="BG90" s="202">
        <f t="shared" si="41"/>
        <v>0.0153856978</v>
      </c>
      <c r="BH90" s="202">
        <f t="shared" si="41"/>
        <v>0.01488455861</v>
      </c>
      <c r="BI90" s="202">
        <f t="shared" si="41"/>
        <v>0.01441564542</v>
      </c>
      <c r="BJ90" s="202">
        <f t="shared" si="41"/>
        <v>0.01397648819</v>
      </c>
      <c r="BK90" s="202">
        <f t="shared" si="41"/>
        <v>0.01356485214</v>
      </c>
      <c r="BL90" s="202">
        <f t="shared" si="41"/>
        <v>0.01708537047</v>
      </c>
      <c r="BM90" s="202">
        <f t="shared" si="41"/>
        <v>0.0162087877</v>
      </c>
      <c r="BN90" s="202">
        <f t="shared" si="41"/>
        <v>0.01475060139</v>
      </c>
      <c r="BO90" s="202">
        <f t="shared" si="41"/>
        <v>0.01433334245</v>
      </c>
      <c r="BP90" s="202">
        <f t="shared" si="41"/>
        <v>0.01394242342</v>
      </c>
      <c r="BQ90" s="202">
        <f t="shared" si="41"/>
        <v>0.01357597944</v>
      </c>
      <c r="BR90" s="202">
        <f t="shared" si="41"/>
        <v>0.01323231278</v>
      </c>
      <c r="BS90" s="202">
        <f t="shared" si="41"/>
        <v>0.01290987471</v>
      </c>
      <c r="BT90" s="202">
        <f t="shared" si="41"/>
        <v>0.01260724961</v>
      </c>
      <c r="BU90" s="202">
        <f t="shared" si="41"/>
        <v>0.01232314115</v>
      </c>
      <c r="BV90" s="202">
        <f t="shared" si="41"/>
        <v>0.0120563601</v>
      </c>
      <c r="BW90" s="202">
        <f t="shared" si="41"/>
        <v>0.01180581366</v>
      </c>
      <c r="BX90" s="202">
        <f t="shared" si="41"/>
        <v>0.01275071715</v>
      </c>
      <c r="BY90" s="202">
        <f t="shared" si="41"/>
        <v>0.008393193183</v>
      </c>
      <c r="BZ90" s="202">
        <f t="shared" si="41"/>
        <v>0.007383347649</v>
      </c>
      <c r="CA90" s="202">
        <f t="shared" si="41"/>
        <v>0.007268820203</v>
      </c>
      <c r="CB90" s="202">
        <f t="shared" si="41"/>
        <v>0.007161855015</v>
      </c>
      <c r="CC90" s="202">
        <f t="shared" si="41"/>
        <v>0.00706201049</v>
      </c>
      <c r="CD90" s="202">
        <f t="shared" si="41"/>
        <v>0.006968872997</v>
      </c>
      <c r="CE90" s="202">
        <f t="shared" si="41"/>
        <v>0.006882054765</v>
      </c>
      <c r="CF90" s="202">
        <f t="shared" si="41"/>
        <v>0.006801191989</v>
      </c>
      <c r="CG90" s="202">
        <f t="shared" si="41"/>
        <v>0.006725943088</v>
      </c>
      <c r="CH90" s="202">
        <f t="shared" si="41"/>
        <v>0.006655987127</v>
      </c>
      <c r="CI90" s="202"/>
    </row>
    <row r="91" ht="15.75" customHeight="1" outlineLevel="1">
      <c r="A91" s="1" t="s">
        <v>678</v>
      </c>
      <c r="B91" s="447">
        <v>500.0</v>
      </c>
      <c r="C91" s="448">
        <f t="shared" ref="C91:BJ91" si="42">C88/$B$91</f>
        <v>351.182</v>
      </c>
      <c r="D91" s="448">
        <f t="shared" si="42"/>
        <v>232.458</v>
      </c>
      <c r="E91" s="448">
        <f t="shared" si="42"/>
        <v>289.704</v>
      </c>
      <c r="F91" s="448">
        <f t="shared" si="42"/>
        <v>403.66</v>
      </c>
      <c r="G91" s="448">
        <f t="shared" si="42"/>
        <v>457.092</v>
      </c>
      <c r="H91" s="448">
        <f t="shared" si="42"/>
        <v>470.486</v>
      </c>
      <c r="I91" s="448">
        <f t="shared" si="42"/>
        <v>461.042</v>
      </c>
      <c r="J91" s="448">
        <f t="shared" si="42"/>
        <v>310.574</v>
      </c>
      <c r="K91" s="448">
        <f t="shared" si="42"/>
        <v>315.884</v>
      </c>
      <c r="L91" s="448">
        <f t="shared" si="42"/>
        <v>249.198</v>
      </c>
      <c r="M91" s="448">
        <f t="shared" si="42"/>
        <v>314.17</v>
      </c>
      <c r="N91" s="448">
        <f t="shared" si="42"/>
        <v>228.56</v>
      </c>
      <c r="O91" s="448">
        <f t="shared" si="42"/>
        <v>344.53</v>
      </c>
      <c r="P91" s="448">
        <f t="shared" si="42"/>
        <v>328.52</v>
      </c>
      <c r="Q91" s="448">
        <f t="shared" si="42"/>
        <v>351.884</v>
      </c>
      <c r="R91" s="448">
        <f t="shared" si="42"/>
        <v>435.578</v>
      </c>
      <c r="S91" s="448">
        <f t="shared" si="42"/>
        <v>405.696</v>
      </c>
      <c r="T91" s="448">
        <f t="shared" si="42"/>
        <v>274.58</v>
      </c>
      <c r="U91" s="448">
        <f t="shared" si="42"/>
        <v>342.456</v>
      </c>
      <c r="V91" s="448">
        <f t="shared" si="42"/>
        <v>414.014</v>
      </c>
      <c r="W91" s="448">
        <f t="shared" si="42"/>
        <v>424.502</v>
      </c>
      <c r="X91" s="448">
        <f t="shared" si="42"/>
        <v>470.022</v>
      </c>
      <c r="Y91" s="448">
        <f t="shared" si="42"/>
        <v>361.312</v>
      </c>
      <c r="Z91" s="448">
        <f t="shared" si="42"/>
        <v>414.824</v>
      </c>
      <c r="AA91" s="448">
        <f t="shared" si="42"/>
        <v>508.3490224</v>
      </c>
      <c r="AB91" s="448">
        <f t="shared" si="42"/>
        <v>623.4075814</v>
      </c>
      <c r="AC91" s="448">
        <f t="shared" si="42"/>
        <v>748.7132114</v>
      </c>
      <c r="AD91" s="448">
        <f t="shared" si="42"/>
        <v>871.9813896</v>
      </c>
      <c r="AE91" s="448">
        <f t="shared" si="42"/>
        <v>992.9796537</v>
      </c>
      <c r="AF91" s="448">
        <f t="shared" si="42"/>
        <v>1110.024312</v>
      </c>
      <c r="AG91" s="448">
        <f t="shared" si="42"/>
        <v>1226.286693</v>
      </c>
      <c r="AH91" s="448">
        <f t="shared" si="42"/>
        <v>1347.852518</v>
      </c>
      <c r="AI91" s="448">
        <f t="shared" si="42"/>
        <v>1463.854254</v>
      </c>
      <c r="AJ91" s="448">
        <f t="shared" si="42"/>
        <v>1576.30999</v>
      </c>
      <c r="AK91" s="448">
        <f t="shared" si="42"/>
        <v>1670.283858</v>
      </c>
      <c r="AL91" s="448">
        <f t="shared" si="42"/>
        <v>1762.301482</v>
      </c>
      <c r="AM91" s="448">
        <f t="shared" si="42"/>
        <v>1851.306364</v>
      </c>
      <c r="AN91" s="448">
        <f t="shared" si="42"/>
        <v>1927.748588</v>
      </c>
      <c r="AO91" s="448">
        <f t="shared" si="42"/>
        <v>1961.175122</v>
      </c>
      <c r="AP91" s="448">
        <f t="shared" si="42"/>
        <v>1988.168656</v>
      </c>
      <c r="AQ91" s="448">
        <f t="shared" si="42"/>
        <v>2014.604646</v>
      </c>
      <c r="AR91" s="448">
        <f t="shared" si="42"/>
        <v>2040.517016</v>
      </c>
      <c r="AS91" s="448">
        <f t="shared" si="42"/>
        <v>2066.915621</v>
      </c>
      <c r="AT91" s="448">
        <f t="shared" si="42"/>
        <v>2092.809631</v>
      </c>
      <c r="AU91" s="448">
        <f t="shared" si="42"/>
        <v>2118.230519</v>
      </c>
      <c r="AV91" s="448">
        <f t="shared" si="42"/>
        <v>2143.208244</v>
      </c>
      <c r="AW91" s="448">
        <f t="shared" si="42"/>
        <v>2167.771327</v>
      </c>
      <c r="AX91" s="448">
        <f t="shared" si="42"/>
        <v>2191.94692</v>
      </c>
      <c r="AY91" s="448">
        <f t="shared" si="42"/>
        <v>2215.760879</v>
      </c>
      <c r="AZ91" s="448">
        <f t="shared" si="42"/>
        <v>2259.688347</v>
      </c>
      <c r="BA91" s="448">
        <f t="shared" si="42"/>
        <v>2303.179445</v>
      </c>
      <c r="BB91" s="448">
        <f t="shared" si="42"/>
        <v>2345.74725</v>
      </c>
      <c r="BC91" s="448">
        <f t="shared" si="42"/>
        <v>2387.436071</v>
      </c>
      <c r="BD91" s="448">
        <f t="shared" si="42"/>
        <v>2428.288459</v>
      </c>
      <c r="BE91" s="448">
        <f t="shared" si="42"/>
        <v>2468.345279</v>
      </c>
      <c r="BF91" s="448">
        <f t="shared" si="42"/>
        <v>2507.645779</v>
      </c>
      <c r="BG91" s="448">
        <f t="shared" si="42"/>
        <v>2546.227659</v>
      </c>
      <c r="BH91" s="448">
        <f t="shared" si="42"/>
        <v>2584.127134</v>
      </c>
      <c r="BI91" s="448">
        <f t="shared" si="42"/>
        <v>2621.378994</v>
      </c>
      <c r="BJ91" s="448">
        <f t="shared" si="42"/>
        <v>2658.016667</v>
      </c>
      <c r="BK91" s="448">
        <f t="shared" ref="BK91:CH91" si="43">BK88/$B$92</f>
        <v>2427.092135</v>
      </c>
      <c r="BL91" s="448">
        <f t="shared" si="43"/>
        <v>2468.559903</v>
      </c>
      <c r="BM91" s="448">
        <f t="shared" si="43"/>
        <v>2508.572267</v>
      </c>
      <c r="BN91" s="448">
        <f t="shared" si="43"/>
        <v>2545.575216</v>
      </c>
      <c r="BO91" s="448">
        <f t="shared" si="43"/>
        <v>2582.061818</v>
      </c>
      <c r="BP91" s="448">
        <f t="shared" si="43"/>
        <v>2618.062017</v>
      </c>
      <c r="BQ91" s="448">
        <f t="shared" si="43"/>
        <v>2653.604773</v>
      </c>
      <c r="BR91" s="448">
        <f t="shared" si="43"/>
        <v>2688.718101</v>
      </c>
      <c r="BS91" s="448">
        <f t="shared" si="43"/>
        <v>2723.429115</v>
      </c>
      <c r="BT91" s="448">
        <f t="shared" si="43"/>
        <v>2757.764066</v>
      </c>
      <c r="BU91" s="448">
        <f t="shared" si="43"/>
        <v>2791.748381</v>
      </c>
      <c r="BV91" s="448">
        <f t="shared" si="43"/>
        <v>2825.406705</v>
      </c>
      <c r="BW91" s="448">
        <f t="shared" si="43"/>
        <v>2858.76293</v>
      </c>
      <c r="BX91" s="448">
        <f t="shared" si="43"/>
        <v>2895.214208</v>
      </c>
      <c r="BY91" s="448">
        <f t="shared" si="43"/>
        <v>2919.5143</v>
      </c>
      <c r="BZ91" s="448">
        <f t="shared" si="43"/>
        <v>2941.070089</v>
      </c>
      <c r="CA91" s="448">
        <f t="shared" si="43"/>
        <v>2962.448199</v>
      </c>
      <c r="CB91" s="448">
        <f t="shared" si="43"/>
        <v>2983.664823</v>
      </c>
      <c r="CC91" s="448">
        <f t="shared" si="43"/>
        <v>3004.735496</v>
      </c>
      <c r="CD91" s="448">
        <f t="shared" si="43"/>
        <v>3025.675116</v>
      </c>
      <c r="CE91" s="448">
        <f t="shared" si="43"/>
        <v>3046.497977</v>
      </c>
      <c r="CF91" s="448">
        <f t="shared" si="43"/>
        <v>3067.217795</v>
      </c>
      <c r="CG91" s="448">
        <f t="shared" si="43"/>
        <v>3087.847727</v>
      </c>
      <c r="CH91" s="448">
        <f t="shared" si="43"/>
        <v>3108.400402</v>
      </c>
      <c r="CI91" s="448"/>
    </row>
    <row r="92" ht="15.75" customHeight="1" outlineLevel="1">
      <c r="A92" s="449" t="s">
        <v>679</v>
      </c>
      <c r="B92" s="454">
        <v>555.0</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ht="15.75" customHeight="1" outlineLevel="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ht="15.75" customHeight="1" outlineLevel="1">
      <c r="A94" s="1" t="s">
        <v>196</v>
      </c>
      <c r="B94" s="1"/>
      <c r="C94" s="387">
        <f t="array" ref="C94">INDEX('IS Proforma'!$1:$1048490,MATCH($A94,'IS Proforma'!$C:$C,0),MATCH(C$4,'IS Proforma'!$4:$4))</f>
        <v>27680</v>
      </c>
      <c r="D94" s="387">
        <f t="array" ref="D94">INDEX('IS Proforma'!$1:$1048490,MATCH($A94,'IS Proforma'!$C:$C,0),MATCH(D$4,'IS Proforma'!$4:$4))</f>
        <v>23560</v>
      </c>
      <c r="E94" s="387">
        <f t="array" ref="E94">INDEX('IS Proforma'!$1:$1048490,MATCH($A94,'IS Proforma'!$C:$C,0),MATCH(E$4,'IS Proforma'!$4:$4))</f>
        <v>28264</v>
      </c>
      <c r="F94" s="387">
        <f t="array" ref="F94">INDEX('IS Proforma'!$1:$1048490,MATCH($A94,'IS Proforma'!$C:$C,0),MATCH(F$4,'IS Proforma'!$4:$4))</f>
        <v>32845</v>
      </c>
      <c r="G94" s="387">
        <f t="array" ref="G94">INDEX('IS Proforma'!$1:$1048490,MATCH($A94,'IS Proforma'!$C:$C,0),MATCH(G$4,'IS Proforma'!$4:$4))</f>
        <v>39604</v>
      </c>
      <c r="H94" s="387">
        <f t="array" ref="H94">INDEX('IS Proforma'!$1:$1048490,MATCH($A94,'IS Proforma'!$C:$C,0),MATCH(H$4,'IS Proforma'!$4:$4))</f>
        <v>27944</v>
      </c>
      <c r="I94" s="387">
        <f t="array" ref="I94">INDEX('IS Proforma'!$1:$1048490,MATCH($A94,'IS Proforma'!$C:$C,0),MATCH(I$4,'IS Proforma'!$4:$4))</f>
        <v>30591</v>
      </c>
      <c r="J94" s="387">
        <f t="array" ref="J94">INDEX('IS Proforma'!$1:$1048490,MATCH($A94,'IS Proforma'!$C:$C,0),MATCH(J$4,'IS Proforma'!$4:$4))</f>
        <v>32960</v>
      </c>
      <c r="K94" s="387">
        <f t="array" ref="K94">INDEX('IS Proforma'!$1:$1048490,MATCH($A94,'IS Proforma'!$C:$C,0),MATCH(K$4,'IS Proforma'!$4:$4))</f>
        <v>23630</v>
      </c>
      <c r="L94" s="387">
        <f t="array" ref="L94">INDEX('IS Proforma'!$1:$1048490,MATCH($A94,'IS Proforma'!$C:$C,0),MATCH(L$4,'IS Proforma'!$4:$4))</f>
        <v>25534</v>
      </c>
      <c r="M94" s="387">
        <f t="array" ref="M94">INDEX('IS Proforma'!$1:$1048490,MATCH($A94,'IS Proforma'!$C:$C,0),MATCH(M$4,'IS Proforma'!$4:$4))</f>
        <v>27597</v>
      </c>
      <c r="N94" s="387">
        <f t="array" ref="N94">INDEX('IS Proforma'!$1:$1048490,MATCH($A94,'IS Proforma'!$C:$C,0),MATCH(N$4,'IS Proforma'!$4:$4))</f>
        <v>33998</v>
      </c>
      <c r="O94" s="387">
        <f t="array" ref="O94">INDEX('IS Proforma'!$1:$1048490,MATCH($A94,'IS Proforma'!$C:$C,0),MATCH(O$4,'IS Proforma'!$4:$4))</f>
        <v>21573</v>
      </c>
      <c r="P94" s="387">
        <f t="array" ref="P94">INDEX('IS Proforma'!$1:$1048490,MATCH($A94,'IS Proforma'!$C:$C,0),MATCH(P$4,'IS Proforma'!$4:$4))</f>
        <v>29318</v>
      </c>
      <c r="Q94" s="387">
        <f t="array" ref="Q94">INDEX('IS Proforma'!$1:$1048490,MATCH($A94,'IS Proforma'!$C:$C,0),MATCH(Q$4,'IS Proforma'!$4:$4))</f>
        <v>27299</v>
      </c>
      <c r="R94" s="387">
        <f t="array" ref="R94">INDEX('IS Proforma'!$1:$1048490,MATCH($A94,'IS Proforma'!$C:$C,0),MATCH(R$4,'IS Proforma'!$4:$4))</f>
        <v>32627</v>
      </c>
      <c r="S94" s="387">
        <f t="array" ref="S94">INDEX('IS Proforma'!$1:$1048490,MATCH($A94,'IS Proforma'!$C:$C,0),MATCH(S$4,'IS Proforma'!$4:$4))</f>
        <v>34971</v>
      </c>
      <c r="T94" s="387">
        <f t="array" ref="T94">INDEX('IS Proforma'!$1:$1048490,MATCH($A94,'IS Proforma'!$C:$C,0),MATCH(T$4,'IS Proforma'!$4:$4))</f>
        <v>20983</v>
      </c>
      <c r="U94" s="387">
        <f t="array" ref="U94">INDEX('IS Proforma'!$1:$1048490,MATCH($A94,'IS Proforma'!$C:$C,0),MATCH(U$4,'IS Proforma'!$4:$4))</f>
        <v>20405</v>
      </c>
      <c r="V94" s="387">
        <f t="array" ref="V94">INDEX('IS Proforma'!$1:$1048490,MATCH($A94,'IS Proforma'!$C:$C,0),MATCH(V$4,'IS Proforma'!$4:$4))</f>
        <v>23576</v>
      </c>
      <c r="W94" s="387">
        <f t="array" ref="W94">INDEX('IS Proforma'!$1:$1048490,MATCH($A94,'IS Proforma'!$C:$C,0),MATCH(W$4,'IS Proforma'!$4:$4))</f>
        <v>35498</v>
      </c>
      <c r="X94" s="387">
        <f t="array" ref="X94">INDEX('IS Proforma'!$1:$1048490,MATCH($A94,'IS Proforma'!$C:$C,0),MATCH(X$4,'IS Proforma'!$4:$4))</f>
        <v>23330</v>
      </c>
      <c r="Y94" s="387">
        <f t="array" ref="Y94">INDEX('IS Proforma'!$1:$1048490,MATCH($A94,'IS Proforma'!$C:$C,0),MATCH(Y$4,'IS Proforma'!$4:$4))</f>
        <v>26756</v>
      </c>
      <c r="Z94" s="451">
        <f>'New Biz Sales'!Z122+(Y94*(1-$B$99))</f>
        <v>68598.975</v>
      </c>
      <c r="AA94" s="451">
        <f>'New Biz Sales'!AA122+(Z94*(1-$B$99))</f>
        <v>96512.51625</v>
      </c>
      <c r="AB94" s="451">
        <f>'New Biz Sales'!AB122+(AA94*(1-$B$99))</f>
        <v>113532.5432</v>
      </c>
      <c r="AC94" s="451">
        <f>'New Biz Sales'!AC122+(AB94*(1-$B$99))</f>
        <v>119489.5526</v>
      </c>
      <c r="AD94" s="451">
        <f>'New Biz Sales'!AD122+(AC94*(1-$B$99))</f>
        <v>121574.5059</v>
      </c>
      <c r="AE94" s="451">
        <f>'New Biz Sales'!AE122+(AD94*(1-$B$99))</f>
        <v>122304.2396</v>
      </c>
      <c r="AF94" s="451">
        <f>'New Biz Sales'!AF122+(AE94*(1-$B$99))</f>
        <v>124154.7096</v>
      </c>
      <c r="AG94" s="451">
        <f>'New Biz Sales'!AG122+(AF94*(1-$B$99))</f>
        <v>124802.3741</v>
      </c>
      <c r="AH94" s="451">
        <f>'New Biz Sales'!AH122+(AG94*(1-$B$99))</f>
        <v>125029.0567</v>
      </c>
      <c r="AI94" s="451">
        <f>'New Biz Sales'!AI122+(AH94*(1-$B$99))</f>
        <v>125108.3956</v>
      </c>
      <c r="AJ94" s="451">
        <f>'New Biz Sales'!AJ122+(AI94*(1-$B$99))</f>
        <v>121068.7529</v>
      </c>
      <c r="AK94" s="451">
        <f>'New Biz Sales'!AK122+(AJ94*(1-$B$99))</f>
        <v>119654.878</v>
      </c>
      <c r="AL94" s="451">
        <f>'New Biz Sales'!AL122+(AK94*(1-$B$99))</f>
        <v>119160.0218</v>
      </c>
      <c r="AM94" s="451">
        <f>'New Biz Sales'!AM122+(AL94*(1-$B$99))</f>
        <v>120149.8983</v>
      </c>
      <c r="AN94" s="451">
        <f>'New Biz Sales'!AN122+(AM94*(1-$B$99))</f>
        <v>96963.18792</v>
      </c>
      <c r="AO94" s="451">
        <f>'New Biz Sales'!AO122+(AN94*(1-$B$99))</f>
        <v>86102.3031</v>
      </c>
      <c r="AP94" s="451">
        <f>'New Biz Sales'!AP122+(AO94*(1-$B$99))</f>
        <v>82561.81935</v>
      </c>
      <c r="AQ94" s="451">
        <f>'New Biz Sales'!AQ122+(AP94*(1-$B$99))</f>
        <v>81584.7801</v>
      </c>
      <c r="AR94" s="451">
        <f>'New Biz Sales'!AR122+(AQ94*(1-$B$99))</f>
        <v>82035.77293</v>
      </c>
      <c r="AS94" s="451">
        <f>'New Biz Sales'!AS122+(AR94*(1-$B$99))</f>
        <v>82461.02591</v>
      </c>
      <c r="AT94" s="451">
        <f>'New Biz Sales'!AT122+(AS94*(1-$B$99))</f>
        <v>82878.60698</v>
      </c>
      <c r="AU94" s="451">
        <f>'New Biz Sales'!AU122+(AT94*(1-$B$99))</f>
        <v>83294.8466</v>
      </c>
      <c r="AV94" s="451">
        <f>'New Biz Sales'!AV122+(AU94*(1-$B$99))</f>
        <v>83711.96714</v>
      </c>
      <c r="AW94" s="451">
        <f>'New Biz Sales'!AW122+(AV94*(1-$B$99))</f>
        <v>84130.75318</v>
      </c>
      <c r="AX94" s="451">
        <f>'New Biz Sales'!AX122+(AW94*(1-$B$99))</f>
        <v>84551.48612</v>
      </c>
      <c r="AY94" s="451">
        <f>'New Biz Sales'!AY122+(AX94*(1-$B$99))</f>
        <v>85251.17751</v>
      </c>
      <c r="AZ94" s="451">
        <f>'New Biz Sales'!AZ122+(AY94*(1-$B$99))</f>
        <v>86052.65107</v>
      </c>
      <c r="BA94" s="451">
        <f>'New Biz Sales'!BA122+(AZ94*(1-$B$99))</f>
        <v>86614.24052</v>
      </c>
      <c r="BB94" s="451">
        <f>'New Biz Sales'!BB122+(BA94*(1-$B$99))</f>
        <v>87093.27588</v>
      </c>
      <c r="BC94" s="451">
        <f>'New Biz Sales'!BC122+(BB94*(1-$B$99))</f>
        <v>87544.82972</v>
      </c>
      <c r="BD94" s="451">
        <f>'New Biz Sales'!BD122+(BC94*(1-$B$99))</f>
        <v>87988.18448</v>
      </c>
      <c r="BE94" s="451">
        <f>'New Biz Sales'!BE122+(BD94*(1-$B$99))</f>
        <v>88430.09612</v>
      </c>
      <c r="BF94" s="451">
        <f>'New Biz Sales'!BF122+(BE94*(1-$B$99))</f>
        <v>88872.93635</v>
      </c>
      <c r="BG94" s="451">
        <f>'New Biz Sales'!BG122+(BF94*(1-$B$99))</f>
        <v>89317.54244</v>
      </c>
      <c r="BH94" s="451">
        <f>'New Biz Sales'!BH122+(BG94*(1-$B$99))</f>
        <v>89764.21465</v>
      </c>
      <c r="BI94" s="451">
        <f>'New Biz Sales'!BI122+(BH94*(1-$B$99))</f>
        <v>90213.06529</v>
      </c>
      <c r="BJ94" s="451">
        <f>'New Biz Sales'!BJ122+(BI94*(1-$B$99))</f>
        <v>90664.14097</v>
      </c>
      <c r="BK94" s="451">
        <f>'New Biz Sales'!BK122+(BJ94*(1-$B$99))</f>
        <v>94086.7161</v>
      </c>
      <c r="BL94" s="451">
        <f>'New Biz Sales'!BL122+(BK94*(1-$B$99))</f>
        <v>95128.73172</v>
      </c>
      <c r="BM94" s="451">
        <f>'New Biz Sales'!BM122+(BL94*(1-$B$99))</f>
        <v>95804.4291</v>
      </c>
      <c r="BN94" s="451">
        <f>'New Biz Sales'!BN122+(BM94*(1-$B$99))</f>
        <v>96353.47004</v>
      </c>
      <c r="BO94" s="451">
        <f>'New Biz Sales'!BO122+(BN94*(1-$B$99))</f>
        <v>96859.74397</v>
      </c>
      <c r="BP94" s="451">
        <f>'New Biz Sales'!BP122+(BO94*(1-$B$99))</f>
        <v>97352.62</v>
      </c>
      <c r="BQ94" s="451">
        <f>'New Biz Sales'!BQ122+(BP94*(1-$B$99))</f>
        <v>97842.38515</v>
      </c>
      <c r="BR94" s="451">
        <f>'New Biz Sales'!BR122+(BQ94*(1-$B$99))</f>
        <v>98332.6478</v>
      </c>
      <c r="BS94" s="451">
        <f>'New Biz Sales'!BS122+(BR94*(1-$B$99))</f>
        <v>98824.67879</v>
      </c>
      <c r="BT94" s="451">
        <f>'New Biz Sales'!BT122+(BS94*(1-$B$99))</f>
        <v>99318.9309</v>
      </c>
      <c r="BU94" s="451">
        <f>'New Biz Sales'!BU122+(BT94*(1-$B$99))</f>
        <v>99815.5706</v>
      </c>
      <c r="BV94" s="451">
        <f>'New Biz Sales'!BV122+(BU94*(1-$B$99))</f>
        <v>100314.6642</v>
      </c>
      <c r="BW94" s="451">
        <f>'New Biz Sales'!BW122+(BV94*(1-$B$99))</f>
        <v>100816.2431</v>
      </c>
      <c r="BX94" s="451">
        <f>'New Biz Sales'!BX122+(BW94*(1-$B$99))</f>
        <v>94421.1846</v>
      </c>
      <c r="BY94" s="451">
        <f>'New Biz Sales'!BY122+(BX94*(1-$B$99))</f>
        <v>92478.59163</v>
      </c>
      <c r="BZ94" s="451">
        <f>'New Biz Sales'!BZ122+(BY94*(1-$B$99))</f>
        <v>92095.83998</v>
      </c>
      <c r="CA94" s="451">
        <f>'New Biz Sales'!CA122+(BZ94*(1-$B$99))</f>
        <v>92260.51856</v>
      </c>
      <c r="CB94" s="451">
        <f>'New Biz Sales'!CB122+(CA94*(1-$B$99))</f>
        <v>92618.29094</v>
      </c>
      <c r="CC94" s="451">
        <f>'New Biz Sales'!CC122+(CB94*(1-$B$99))</f>
        <v>93045.14682</v>
      </c>
      <c r="CD94" s="451">
        <f>'New Biz Sales'!CD122+(CC94*(1-$B$99))</f>
        <v>93497.6901</v>
      </c>
      <c r="CE94" s="451">
        <f>'New Biz Sales'!CE122+(CD94*(1-$B$99))</f>
        <v>93960.7397</v>
      </c>
      <c r="CF94" s="451">
        <f>'New Biz Sales'!CF122+(CE94*(1-$B$99))</f>
        <v>94428.9898</v>
      </c>
      <c r="CG94" s="451">
        <f>'New Biz Sales'!CG122+(CF94*(1-$B$99))</f>
        <v>94900.59098</v>
      </c>
      <c r="CH94" s="451">
        <f>'New Biz Sales'!CH122+(CG94*(1-$B$99))</f>
        <v>95374.90362</v>
      </c>
      <c r="CI94" s="451"/>
    </row>
    <row r="95" ht="15.75" customHeight="1" outlineLevel="1">
      <c r="A95" s="1" t="s">
        <v>325</v>
      </c>
      <c r="B95" s="1"/>
      <c r="C95" s="1"/>
      <c r="D95" s="387">
        <f t="shared" ref="D95:CH95" si="44">SUM(D94)-SUM(C94)</f>
        <v>-4120</v>
      </c>
      <c r="E95" s="387">
        <f t="shared" si="44"/>
        <v>4704</v>
      </c>
      <c r="F95" s="387">
        <f t="shared" si="44"/>
        <v>4581</v>
      </c>
      <c r="G95" s="387">
        <f t="shared" si="44"/>
        <v>6759</v>
      </c>
      <c r="H95" s="387">
        <f t="shared" si="44"/>
        <v>-11660</v>
      </c>
      <c r="I95" s="387">
        <f t="shared" si="44"/>
        <v>2647</v>
      </c>
      <c r="J95" s="387">
        <f t="shared" si="44"/>
        <v>2369</v>
      </c>
      <c r="K95" s="387">
        <f t="shared" si="44"/>
        <v>-9330</v>
      </c>
      <c r="L95" s="387">
        <f t="shared" si="44"/>
        <v>1904</v>
      </c>
      <c r="M95" s="387">
        <f t="shared" si="44"/>
        <v>2063</v>
      </c>
      <c r="N95" s="387">
        <f t="shared" si="44"/>
        <v>6401</v>
      </c>
      <c r="O95" s="387">
        <f t="shared" si="44"/>
        <v>-12425</v>
      </c>
      <c r="P95" s="387">
        <f t="shared" si="44"/>
        <v>7745</v>
      </c>
      <c r="Q95" s="387">
        <f t="shared" si="44"/>
        <v>-2019</v>
      </c>
      <c r="R95" s="387">
        <f t="shared" si="44"/>
        <v>5328</v>
      </c>
      <c r="S95" s="387">
        <f t="shared" si="44"/>
        <v>2344</v>
      </c>
      <c r="T95" s="387">
        <f t="shared" si="44"/>
        <v>-13988</v>
      </c>
      <c r="U95" s="387">
        <f t="shared" si="44"/>
        <v>-578</v>
      </c>
      <c r="V95" s="387">
        <f t="shared" si="44"/>
        <v>3171</v>
      </c>
      <c r="W95" s="387">
        <f t="shared" si="44"/>
        <v>11922</v>
      </c>
      <c r="X95" s="387">
        <f t="shared" si="44"/>
        <v>-12168</v>
      </c>
      <c r="Y95" s="387">
        <f t="shared" si="44"/>
        <v>3426</v>
      </c>
      <c r="Z95" s="131">
        <f t="shared" si="44"/>
        <v>41842.975</v>
      </c>
      <c r="AA95" s="131">
        <f t="shared" si="44"/>
        <v>27913.54125</v>
      </c>
      <c r="AB95" s="131">
        <f t="shared" si="44"/>
        <v>17020.02694</v>
      </c>
      <c r="AC95" s="131">
        <f t="shared" si="44"/>
        <v>5957.009428</v>
      </c>
      <c r="AD95" s="131">
        <f t="shared" si="44"/>
        <v>2084.9533</v>
      </c>
      <c r="AE95" s="131">
        <f t="shared" si="44"/>
        <v>729.7336549</v>
      </c>
      <c r="AF95" s="131">
        <f t="shared" si="44"/>
        <v>1850.470029</v>
      </c>
      <c r="AG95" s="131">
        <f t="shared" si="44"/>
        <v>647.6645102</v>
      </c>
      <c r="AH95" s="131">
        <f t="shared" si="44"/>
        <v>226.6825786</v>
      </c>
      <c r="AI95" s="131">
        <f t="shared" si="44"/>
        <v>79.3389025</v>
      </c>
      <c r="AJ95" s="131">
        <f t="shared" si="44"/>
        <v>-4039.642672</v>
      </c>
      <c r="AK95" s="131">
        <f t="shared" si="44"/>
        <v>-1413.874935</v>
      </c>
      <c r="AL95" s="131">
        <f t="shared" si="44"/>
        <v>-494.8562273</v>
      </c>
      <c r="AM95" s="131">
        <f t="shared" si="44"/>
        <v>989.8765781</v>
      </c>
      <c r="AN95" s="131">
        <f t="shared" si="44"/>
        <v>-23186.71041</v>
      </c>
      <c r="AO95" s="131">
        <f t="shared" si="44"/>
        <v>-10860.88482</v>
      </c>
      <c r="AP95" s="131">
        <f t="shared" si="44"/>
        <v>-3540.48375</v>
      </c>
      <c r="AQ95" s="131">
        <f t="shared" si="44"/>
        <v>-977.0392463</v>
      </c>
      <c r="AR95" s="131">
        <f t="shared" si="44"/>
        <v>450.9928209</v>
      </c>
      <c r="AS95" s="131">
        <f t="shared" si="44"/>
        <v>425.2529868</v>
      </c>
      <c r="AT95" s="131">
        <f t="shared" si="44"/>
        <v>417.5810723</v>
      </c>
      <c r="AU95" s="131">
        <f t="shared" si="44"/>
        <v>416.2396149</v>
      </c>
      <c r="AV95" s="131">
        <f t="shared" si="44"/>
        <v>417.120536</v>
      </c>
      <c r="AW95" s="131">
        <f t="shared" si="44"/>
        <v>418.7860417</v>
      </c>
      <c r="AX95" s="131">
        <f t="shared" si="44"/>
        <v>420.732938</v>
      </c>
      <c r="AY95" s="131">
        <f t="shared" si="44"/>
        <v>699.6913964</v>
      </c>
      <c r="AZ95" s="131">
        <f t="shared" si="44"/>
        <v>801.4735625</v>
      </c>
      <c r="BA95" s="131">
        <f t="shared" si="44"/>
        <v>561.5894416</v>
      </c>
      <c r="BB95" s="131">
        <f t="shared" si="44"/>
        <v>479.0353678</v>
      </c>
      <c r="BC95" s="131">
        <f t="shared" si="44"/>
        <v>451.5538372</v>
      </c>
      <c r="BD95" s="131">
        <f t="shared" si="44"/>
        <v>443.3547588</v>
      </c>
      <c r="BE95" s="131">
        <f t="shared" si="44"/>
        <v>441.911636</v>
      </c>
      <c r="BF95" s="131">
        <f t="shared" si="44"/>
        <v>442.8402303</v>
      </c>
      <c r="BG95" s="131">
        <f t="shared" si="44"/>
        <v>444.6060941</v>
      </c>
      <c r="BH95" s="131">
        <f t="shared" si="44"/>
        <v>446.6722065</v>
      </c>
      <c r="BI95" s="131">
        <f t="shared" si="44"/>
        <v>448.8506463</v>
      </c>
      <c r="BJ95" s="131">
        <f t="shared" si="44"/>
        <v>451.075677</v>
      </c>
      <c r="BK95" s="131">
        <f t="shared" si="44"/>
        <v>3422.575125</v>
      </c>
      <c r="BL95" s="131">
        <f t="shared" si="44"/>
        <v>1042.015627</v>
      </c>
      <c r="BM95" s="131">
        <f t="shared" si="44"/>
        <v>675.6973749</v>
      </c>
      <c r="BN95" s="131">
        <f t="shared" si="44"/>
        <v>549.0409462</v>
      </c>
      <c r="BO95" s="131">
        <f t="shared" si="44"/>
        <v>506.2739305</v>
      </c>
      <c r="BP95" s="131">
        <f t="shared" si="44"/>
        <v>492.876023</v>
      </c>
      <c r="BQ95" s="131">
        <f t="shared" si="44"/>
        <v>489.7651561</v>
      </c>
      <c r="BR95" s="131">
        <f t="shared" si="44"/>
        <v>490.2626454</v>
      </c>
      <c r="BS95" s="131">
        <f t="shared" si="44"/>
        <v>492.0309909</v>
      </c>
      <c r="BT95" s="131">
        <f t="shared" si="44"/>
        <v>494.2521071</v>
      </c>
      <c r="BU95" s="131">
        <f t="shared" si="44"/>
        <v>496.6397041</v>
      </c>
      <c r="BV95" s="131">
        <f t="shared" si="44"/>
        <v>499.0936204</v>
      </c>
      <c r="BW95" s="131">
        <f t="shared" si="44"/>
        <v>501.5788397</v>
      </c>
      <c r="BX95" s="131">
        <f t="shared" si="44"/>
        <v>-6395.058464</v>
      </c>
      <c r="BY95" s="131">
        <f t="shared" si="44"/>
        <v>-1942.592965</v>
      </c>
      <c r="BZ95" s="131">
        <f t="shared" si="44"/>
        <v>-382.7516526</v>
      </c>
      <c r="CA95" s="131">
        <f t="shared" si="44"/>
        <v>164.6785861</v>
      </c>
      <c r="CB95" s="131">
        <f t="shared" si="44"/>
        <v>357.772378</v>
      </c>
      <c r="CC95" s="131">
        <f t="shared" si="44"/>
        <v>426.8558795</v>
      </c>
      <c r="CD95" s="131">
        <f t="shared" si="44"/>
        <v>452.5432828</v>
      </c>
      <c r="CE95" s="131">
        <f t="shared" si="44"/>
        <v>463.0495926</v>
      </c>
      <c r="CF95" s="131">
        <f t="shared" si="44"/>
        <v>468.2500982</v>
      </c>
      <c r="CG95" s="131">
        <f t="shared" si="44"/>
        <v>471.6011889</v>
      </c>
      <c r="CH95" s="131">
        <f t="shared" si="44"/>
        <v>474.3126389</v>
      </c>
      <c r="CI95" s="131"/>
    </row>
    <row r="96" ht="15.75" customHeight="1" outlineLevel="1">
      <c r="A96" s="1" t="s">
        <v>51</v>
      </c>
      <c r="B96" s="446" t="s">
        <v>677</v>
      </c>
      <c r="C96" s="1"/>
      <c r="D96" s="425">
        <f t="shared" ref="D96:V96" si="45">SUM(D94)/SUM(C94)-1</f>
        <v>-0.1488439306</v>
      </c>
      <c r="E96" s="425">
        <f t="shared" si="45"/>
        <v>0.1996604414</v>
      </c>
      <c r="F96" s="423">
        <f t="shared" si="45"/>
        <v>0.1620789697</v>
      </c>
      <c r="G96" s="423">
        <f t="shared" si="45"/>
        <v>0.2057847465</v>
      </c>
      <c r="H96" s="425">
        <f t="shared" si="45"/>
        <v>-0.2944147056</v>
      </c>
      <c r="I96" s="423">
        <f t="shared" si="45"/>
        <v>0.09472516461</v>
      </c>
      <c r="J96" s="423">
        <f t="shared" si="45"/>
        <v>0.07744107744</v>
      </c>
      <c r="K96" s="423">
        <f t="shared" si="45"/>
        <v>-0.2830703883</v>
      </c>
      <c r="L96" s="423">
        <f t="shared" si="45"/>
        <v>0.08057553957</v>
      </c>
      <c r="M96" s="423">
        <f t="shared" si="45"/>
        <v>0.08079423514</v>
      </c>
      <c r="N96" s="423">
        <f t="shared" si="45"/>
        <v>0.2319455013</v>
      </c>
      <c r="O96" s="423">
        <f t="shared" si="45"/>
        <v>-0.3654626743</v>
      </c>
      <c r="P96" s="423">
        <f t="shared" si="45"/>
        <v>0.3590135818</v>
      </c>
      <c r="Q96" s="423">
        <f t="shared" si="45"/>
        <v>-0.06886554335</v>
      </c>
      <c r="R96" s="423">
        <f t="shared" si="45"/>
        <v>0.1951719843</v>
      </c>
      <c r="S96" s="423">
        <f t="shared" si="45"/>
        <v>0.07184233917</v>
      </c>
      <c r="T96" s="423">
        <f t="shared" si="45"/>
        <v>-0.399988562</v>
      </c>
      <c r="U96" s="423">
        <f t="shared" si="45"/>
        <v>-0.02754610875</v>
      </c>
      <c r="V96" s="423">
        <f t="shared" si="45"/>
        <v>0.1554030875</v>
      </c>
      <c r="W96" s="423">
        <f t="shared" ref="W96:CH96" si="46">W94/V94-1</f>
        <v>0.5056837462</v>
      </c>
      <c r="X96" s="423">
        <f t="shared" si="46"/>
        <v>-0.3427798749</v>
      </c>
      <c r="Y96" s="423">
        <f t="shared" si="46"/>
        <v>0.1468495499</v>
      </c>
      <c r="Z96" s="202">
        <f t="shared" si="46"/>
        <v>1.563872589</v>
      </c>
      <c r="AA96" s="202">
        <f t="shared" si="46"/>
        <v>0.4069090136</v>
      </c>
      <c r="AB96" s="202">
        <f t="shared" si="46"/>
        <v>0.1763504631</v>
      </c>
      <c r="AC96" s="202">
        <f t="shared" si="46"/>
        <v>0.05246962026</v>
      </c>
      <c r="AD96" s="202">
        <f t="shared" si="46"/>
        <v>0.01744883343</v>
      </c>
      <c r="AE96" s="202">
        <f t="shared" si="46"/>
        <v>0.006002357562</v>
      </c>
      <c r="AF96" s="202">
        <f t="shared" si="46"/>
        <v>0.01513005629</v>
      </c>
      <c r="AG96" s="202">
        <f t="shared" si="46"/>
        <v>0.005216592365</v>
      </c>
      <c r="AH96" s="202">
        <f t="shared" si="46"/>
        <v>0.001816332263</v>
      </c>
      <c r="AI96" s="202">
        <f t="shared" si="46"/>
        <v>0.0006345637135</v>
      </c>
      <c r="AJ96" s="202">
        <f t="shared" si="46"/>
        <v>-0.03228914137</v>
      </c>
      <c r="AK96" s="202">
        <f t="shared" si="46"/>
        <v>-0.01167828115</v>
      </c>
      <c r="AL96" s="202">
        <f t="shared" si="46"/>
        <v>-0.004135696226</v>
      </c>
      <c r="AM96" s="202">
        <f t="shared" si="46"/>
        <v>0.008307119817</v>
      </c>
      <c r="AN96" s="202">
        <f t="shared" si="46"/>
        <v>-0.1929815234</v>
      </c>
      <c r="AO96" s="202">
        <f t="shared" si="46"/>
        <v>-0.1120103934</v>
      </c>
      <c r="AP96" s="202">
        <f t="shared" si="46"/>
        <v>-0.04111950114</v>
      </c>
      <c r="AQ96" s="202">
        <f t="shared" si="46"/>
        <v>-0.01183403241</v>
      </c>
      <c r="AR96" s="202">
        <f t="shared" si="46"/>
        <v>0.005527903861</v>
      </c>
      <c r="AS96" s="202">
        <f t="shared" si="46"/>
        <v>0.005183750596</v>
      </c>
      <c r="AT96" s="202">
        <f t="shared" si="46"/>
        <v>0.005063981047</v>
      </c>
      <c r="AU96" s="202">
        <f t="shared" si="46"/>
        <v>0.005022280538</v>
      </c>
      <c r="AV96" s="202">
        <f t="shared" si="46"/>
        <v>0.005007759219</v>
      </c>
      <c r="AW96" s="202">
        <f t="shared" si="46"/>
        <v>0.005002702195</v>
      </c>
      <c r="AX96" s="202">
        <f t="shared" si="46"/>
        <v>0.00500094106</v>
      </c>
      <c r="AY96" s="202">
        <f t="shared" si="46"/>
        <v>0.008275329371</v>
      </c>
      <c r="AZ96" s="202">
        <f t="shared" si="46"/>
        <v>0.009401319558</v>
      </c>
      <c r="BA96" s="202">
        <f t="shared" si="46"/>
        <v>0.006526114356</v>
      </c>
      <c r="BB96" s="202">
        <f t="shared" si="46"/>
        <v>0.005530676767</v>
      </c>
      <c r="BC96" s="202">
        <f t="shared" si="46"/>
        <v>0.005184715268</v>
      </c>
      <c r="BD96" s="202">
        <f t="shared" si="46"/>
        <v>0.005064316879</v>
      </c>
      <c r="BE96" s="202">
        <f t="shared" si="46"/>
        <v>0.00502239748</v>
      </c>
      <c r="BF96" s="202">
        <f t="shared" si="46"/>
        <v>0.005007799944</v>
      </c>
      <c r="BG96" s="202">
        <f t="shared" si="46"/>
        <v>0.005002716377</v>
      </c>
      <c r="BH96" s="202">
        <f t="shared" si="46"/>
        <v>0.005000945999</v>
      </c>
      <c r="BI96" s="202">
        <f t="shared" si="46"/>
        <v>0.005000329452</v>
      </c>
      <c r="BJ96" s="202">
        <f t="shared" si="46"/>
        <v>0.005000114735</v>
      </c>
      <c r="BK96" s="202">
        <f t="shared" si="46"/>
        <v>0.03775004196</v>
      </c>
      <c r="BL96" s="202">
        <f t="shared" si="46"/>
        <v>0.01107505576</v>
      </c>
      <c r="BM96" s="202">
        <f t="shared" si="46"/>
        <v>0.007102978907</v>
      </c>
      <c r="BN96" s="202">
        <f t="shared" si="46"/>
        <v>0.005730851396</v>
      </c>
      <c r="BO96" s="202">
        <f t="shared" si="46"/>
        <v>0.005254340401</v>
      </c>
      <c r="BP96" s="202">
        <f t="shared" si="46"/>
        <v>0.005088553848</v>
      </c>
      <c r="BQ96" s="202">
        <f t="shared" si="46"/>
        <v>0.005030836932</v>
      </c>
      <c r="BR96" s="202">
        <f t="shared" si="46"/>
        <v>0.0050107389</v>
      </c>
      <c r="BS96" s="202">
        <f t="shared" si="46"/>
        <v>0.005003739876</v>
      </c>
      <c r="BT96" s="202">
        <f t="shared" si="46"/>
        <v>0.005001302439</v>
      </c>
      <c r="BU96" s="202">
        <f t="shared" si="46"/>
        <v>0.005000453585</v>
      </c>
      <c r="BV96" s="202">
        <f t="shared" si="46"/>
        <v>0.005000157965</v>
      </c>
      <c r="BW96" s="202">
        <f t="shared" si="46"/>
        <v>0.005000055013</v>
      </c>
      <c r="BX96" s="202">
        <f t="shared" si="46"/>
        <v>-0.06343281866</v>
      </c>
      <c r="BY96" s="202">
        <f t="shared" si="46"/>
        <v>-0.0205736983</v>
      </c>
      <c r="BZ96" s="202">
        <f t="shared" si="46"/>
        <v>-0.004138813598</v>
      </c>
      <c r="CA96" s="202">
        <f t="shared" si="46"/>
        <v>0.001788121876</v>
      </c>
      <c r="CB96" s="202">
        <f t="shared" si="46"/>
        <v>0.003877849199</v>
      </c>
      <c r="CC96" s="202">
        <f t="shared" si="46"/>
        <v>0.004608764372</v>
      </c>
      <c r="CD96" s="202">
        <f t="shared" si="46"/>
        <v>0.004863695725</v>
      </c>
      <c r="CE96" s="202">
        <f t="shared" si="46"/>
        <v>0.00495252441</v>
      </c>
      <c r="CF96" s="202">
        <f t="shared" si="46"/>
        <v>0.004983465432</v>
      </c>
      <c r="CG96" s="202">
        <f t="shared" si="46"/>
        <v>0.004994241598</v>
      </c>
      <c r="CH96" s="202">
        <f t="shared" si="46"/>
        <v>0.004997994575</v>
      </c>
      <c r="CI96" s="202"/>
    </row>
    <row r="97" ht="15.75" customHeight="1" outlineLevel="1">
      <c r="A97" s="1" t="s">
        <v>678</v>
      </c>
      <c r="B97" s="447">
        <f>B91</f>
        <v>500</v>
      </c>
      <c r="C97" s="448">
        <f t="shared" ref="C97:AL97" si="47">C94/$B$97</f>
        <v>55.36</v>
      </c>
      <c r="D97" s="448">
        <f t="shared" si="47"/>
        <v>47.12</v>
      </c>
      <c r="E97" s="448">
        <f t="shared" si="47"/>
        <v>56.528</v>
      </c>
      <c r="F97" s="448">
        <f t="shared" si="47"/>
        <v>65.69</v>
      </c>
      <c r="G97" s="448">
        <f t="shared" si="47"/>
        <v>79.208</v>
      </c>
      <c r="H97" s="448">
        <f t="shared" si="47"/>
        <v>55.888</v>
      </c>
      <c r="I97" s="448">
        <f t="shared" si="47"/>
        <v>61.182</v>
      </c>
      <c r="J97" s="448">
        <f t="shared" si="47"/>
        <v>65.92</v>
      </c>
      <c r="K97" s="448">
        <f t="shared" si="47"/>
        <v>47.26</v>
      </c>
      <c r="L97" s="448">
        <f t="shared" si="47"/>
        <v>51.068</v>
      </c>
      <c r="M97" s="448">
        <f t="shared" si="47"/>
        <v>55.194</v>
      </c>
      <c r="N97" s="448">
        <f t="shared" si="47"/>
        <v>67.996</v>
      </c>
      <c r="O97" s="448">
        <f t="shared" si="47"/>
        <v>43.146</v>
      </c>
      <c r="P97" s="448">
        <f t="shared" si="47"/>
        <v>58.636</v>
      </c>
      <c r="Q97" s="448">
        <f t="shared" si="47"/>
        <v>54.598</v>
      </c>
      <c r="R97" s="448">
        <f t="shared" si="47"/>
        <v>65.254</v>
      </c>
      <c r="S97" s="448">
        <f t="shared" si="47"/>
        <v>69.942</v>
      </c>
      <c r="T97" s="448">
        <f t="shared" si="47"/>
        <v>41.966</v>
      </c>
      <c r="U97" s="448">
        <f t="shared" si="47"/>
        <v>40.81</v>
      </c>
      <c r="V97" s="448">
        <f t="shared" si="47"/>
        <v>47.152</v>
      </c>
      <c r="W97" s="448">
        <f t="shared" si="47"/>
        <v>70.996</v>
      </c>
      <c r="X97" s="448">
        <f t="shared" si="47"/>
        <v>46.66</v>
      </c>
      <c r="Y97" s="448">
        <f t="shared" si="47"/>
        <v>53.512</v>
      </c>
      <c r="Z97" s="448">
        <f t="shared" si="47"/>
        <v>137.19795</v>
      </c>
      <c r="AA97" s="448">
        <f t="shared" si="47"/>
        <v>193.0250325</v>
      </c>
      <c r="AB97" s="448">
        <f t="shared" si="47"/>
        <v>227.0650864</v>
      </c>
      <c r="AC97" s="448">
        <f t="shared" si="47"/>
        <v>238.9791052</v>
      </c>
      <c r="AD97" s="448">
        <f t="shared" si="47"/>
        <v>243.1490118</v>
      </c>
      <c r="AE97" s="448">
        <f t="shared" si="47"/>
        <v>244.6084791</v>
      </c>
      <c r="AF97" s="448">
        <f t="shared" si="47"/>
        <v>248.3094192</v>
      </c>
      <c r="AG97" s="448">
        <f t="shared" si="47"/>
        <v>249.6047482</v>
      </c>
      <c r="AH97" s="448">
        <f t="shared" si="47"/>
        <v>250.0581134</v>
      </c>
      <c r="AI97" s="448">
        <f t="shared" si="47"/>
        <v>250.2167912</v>
      </c>
      <c r="AJ97" s="448">
        <f t="shared" si="47"/>
        <v>242.1375058</v>
      </c>
      <c r="AK97" s="448">
        <f t="shared" si="47"/>
        <v>239.309756</v>
      </c>
      <c r="AL97" s="448">
        <f t="shared" si="47"/>
        <v>238.3200435</v>
      </c>
      <c r="AM97" s="448">
        <f t="shared" ref="AM97:CH97" si="48">AM94/$B$98</f>
        <v>216.4863033</v>
      </c>
      <c r="AN97" s="448">
        <f t="shared" si="48"/>
        <v>174.7084467</v>
      </c>
      <c r="AO97" s="448">
        <f t="shared" si="48"/>
        <v>155.1392849</v>
      </c>
      <c r="AP97" s="448">
        <f t="shared" si="48"/>
        <v>148.7600349</v>
      </c>
      <c r="AQ97" s="448">
        <f t="shared" si="48"/>
        <v>146.9996038</v>
      </c>
      <c r="AR97" s="448">
        <f t="shared" si="48"/>
        <v>147.8122035</v>
      </c>
      <c r="AS97" s="448">
        <f t="shared" si="48"/>
        <v>148.5784251</v>
      </c>
      <c r="AT97" s="448">
        <f t="shared" si="48"/>
        <v>149.3308234</v>
      </c>
      <c r="AU97" s="448">
        <f t="shared" si="48"/>
        <v>150.0808047</v>
      </c>
      <c r="AV97" s="448">
        <f t="shared" si="48"/>
        <v>150.8323732</v>
      </c>
      <c r="AW97" s="448">
        <f t="shared" si="48"/>
        <v>151.5869427</v>
      </c>
      <c r="AX97" s="448">
        <f t="shared" si="48"/>
        <v>152.34502</v>
      </c>
      <c r="AY97" s="448">
        <f t="shared" si="48"/>
        <v>153.6057252</v>
      </c>
      <c r="AZ97" s="448">
        <f t="shared" si="48"/>
        <v>155.0498218</v>
      </c>
      <c r="BA97" s="448">
        <f t="shared" si="48"/>
        <v>156.0616946</v>
      </c>
      <c r="BB97" s="448">
        <f t="shared" si="48"/>
        <v>156.9248214</v>
      </c>
      <c r="BC97" s="448">
        <f t="shared" si="48"/>
        <v>157.7384319</v>
      </c>
      <c r="BD97" s="448">
        <f t="shared" si="48"/>
        <v>158.5372693</v>
      </c>
      <c r="BE97" s="448">
        <f t="shared" si="48"/>
        <v>159.3335065</v>
      </c>
      <c r="BF97" s="448">
        <f t="shared" si="48"/>
        <v>160.1314168</v>
      </c>
      <c r="BG97" s="448">
        <f t="shared" si="48"/>
        <v>160.9325089</v>
      </c>
      <c r="BH97" s="448">
        <f t="shared" si="48"/>
        <v>161.7373237</v>
      </c>
      <c r="BI97" s="448">
        <f t="shared" si="48"/>
        <v>162.5460636</v>
      </c>
      <c r="BJ97" s="448">
        <f t="shared" si="48"/>
        <v>163.3588126</v>
      </c>
      <c r="BK97" s="448">
        <f t="shared" si="48"/>
        <v>169.5256146</v>
      </c>
      <c r="BL97" s="448">
        <f t="shared" si="48"/>
        <v>171.4031202</v>
      </c>
      <c r="BM97" s="448">
        <f t="shared" si="48"/>
        <v>172.620593</v>
      </c>
      <c r="BN97" s="448">
        <f t="shared" si="48"/>
        <v>173.6098559</v>
      </c>
      <c r="BO97" s="448">
        <f t="shared" si="48"/>
        <v>174.5220612</v>
      </c>
      <c r="BP97" s="448">
        <f t="shared" si="48"/>
        <v>175.4101261</v>
      </c>
      <c r="BQ97" s="448">
        <f t="shared" si="48"/>
        <v>176.2925859</v>
      </c>
      <c r="BR97" s="448">
        <f t="shared" si="48"/>
        <v>177.175942</v>
      </c>
      <c r="BS97" s="448">
        <f t="shared" si="48"/>
        <v>178.0624843</v>
      </c>
      <c r="BT97" s="448">
        <f t="shared" si="48"/>
        <v>178.9530286</v>
      </c>
      <c r="BU97" s="448">
        <f t="shared" si="48"/>
        <v>179.847875</v>
      </c>
      <c r="BV97" s="448">
        <f t="shared" si="48"/>
        <v>180.7471427</v>
      </c>
      <c r="BW97" s="448">
        <f t="shared" si="48"/>
        <v>181.6508884</v>
      </c>
      <c r="BX97" s="448">
        <f t="shared" si="48"/>
        <v>170.1282605</v>
      </c>
      <c r="BY97" s="448">
        <f t="shared" si="48"/>
        <v>166.628093</v>
      </c>
      <c r="BZ97" s="448">
        <f t="shared" si="48"/>
        <v>165.9384504</v>
      </c>
      <c r="CA97" s="448">
        <f t="shared" si="48"/>
        <v>166.2351686</v>
      </c>
      <c r="CB97" s="448">
        <f t="shared" si="48"/>
        <v>166.8798035</v>
      </c>
      <c r="CC97" s="448">
        <f t="shared" si="48"/>
        <v>167.6489132</v>
      </c>
      <c r="CD97" s="448">
        <f t="shared" si="48"/>
        <v>168.4643065</v>
      </c>
      <c r="CE97" s="448">
        <f t="shared" si="48"/>
        <v>169.2986301</v>
      </c>
      <c r="CF97" s="448">
        <f t="shared" si="48"/>
        <v>170.142324</v>
      </c>
      <c r="CG97" s="448">
        <f t="shared" si="48"/>
        <v>170.9920558</v>
      </c>
      <c r="CH97" s="448">
        <f t="shared" si="48"/>
        <v>171.8466732</v>
      </c>
      <c r="CI97" s="448"/>
    </row>
    <row r="98" ht="15.75" customHeight="1" outlineLevel="1">
      <c r="A98" s="449" t="s">
        <v>679</v>
      </c>
      <c r="B98" s="454">
        <v>555.0</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ht="15.75" customHeight="1" outlineLevel="1">
      <c r="A99" s="1" t="s">
        <v>683</v>
      </c>
      <c r="B99" s="452">
        <v>0.65</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ht="15.75" customHeight="1" outlineLevel="1">
      <c r="A100" s="1"/>
      <c r="B100" s="1"/>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row>
    <row r="101" ht="15.75" customHeight="1" outlineLevel="1">
      <c r="A101" s="1"/>
      <c r="B101" s="1"/>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row>
    <row r="102" ht="15.75" customHeight="1">
      <c r="A102" s="1" t="s">
        <v>685</v>
      </c>
      <c r="B102" s="1"/>
      <c r="C102" s="453">
        <f t="shared" ref="C102:CH102" si="49">SUM(C94,C88)</f>
        <v>203271</v>
      </c>
      <c r="D102" s="453">
        <f t="shared" si="49"/>
        <v>139789</v>
      </c>
      <c r="E102" s="453">
        <f t="shared" si="49"/>
        <v>173116</v>
      </c>
      <c r="F102" s="453">
        <f t="shared" si="49"/>
        <v>234675</v>
      </c>
      <c r="G102" s="453">
        <f t="shared" si="49"/>
        <v>268150</v>
      </c>
      <c r="H102" s="453">
        <f t="shared" si="49"/>
        <v>263187</v>
      </c>
      <c r="I102" s="453">
        <f t="shared" si="49"/>
        <v>261112</v>
      </c>
      <c r="J102" s="453">
        <f t="shared" si="49"/>
        <v>188247</v>
      </c>
      <c r="K102" s="453">
        <f t="shared" si="49"/>
        <v>181572</v>
      </c>
      <c r="L102" s="453">
        <f t="shared" si="49"/>
        <v>150133</v>
      </c>
      <c r="M102" s="453">
        <f t="shared" si="49"/>
        <v>184682</v>
      </c>
      <c r="N102" s="453">
        <f t="shared" si="49"/>
        <v>148278</v>
      </c>
      <c r="O102" s="453">
        <f t="shared" si="49"/>
        <v>193838</v>
      </c>
      <c r="P102" s="453">
        <f t="shared" si="49"/>
        <v>193578</v>
      </c>
      <c r="Q102" s="453">
        <f t="shared" si="49"/>
        <v>203241</v>
      </c>
      <c r="R102" s="453">
        <f t="shared" si="49"/>
        <v>250416</v>
      </c>
      <c r="S102" s="453">
        <f t="shared" si="49"/>
        <v>237819</v>
      </c>
      <c r="T102" s="453">
        <f t="shared" si="49"/>
        <v>158273</v>
      </c>
      <c r="U102" s="453">
        <f t="shared" si="49"/>
        <v>191633</v>
      </c>
      <c r="V102" s="453">
        <f t="shared" si="49"/>
        <v>230583</v>
      </c>
      <c r="W102" s="453">
        <f t="shared" si="49"/>
        <v>247749</v>
      </c>
      <c r="X102" s="453">
        <f t="shared" si="49"/>
        <v>258341</v>
      </c>
      <c r="Y102" s="453">
        <f t="shared" si="49"/>
        <v>207412</v>
      </c>
      <c r="Z102" s="303">
        <f t="shared" si="49"/>
        <v>276010.975</v>
      </c>
      <c r="AA102" s="303">
        <f t="shared" si="49"/>
        <v>350687.0274</v>
      </c>
      <c r="AB102" s="303">
        <f t="shared" si="49"/>
        <v>425236.3339</v>
      </c>
      <c r="AC102" s="303">
        <f t="shared" si="49"/>
        <v>493846.1583</v>
      </c>
      <c r="AD102" s="303">
        <f t="shared" si="49"/>
        <v>557565.2007</v>
      </c>
      <c r="AE102" s="303">
        <f t="shared" si="49"/>
        <v>618794.0664</v>
      </c>
      <c r="AF102" s="303">
        <f t="shared" si="49"/>
        <v>679166.8654</v>
      </c>
      <c r="AG102" s="303">
        <f t="shared" si="49"/>
        <v>737945.7206</v>
      </c>
      <c r="AH102" s="303">
        <f t="shared" si="49"/>
        <v>798955.3159</v>
      </c>
      <c r="AI102" s="303">
        <f t="shared" si="49"/>
        <v>857035.5227</v>
      </c>
      <c r="AJ102" s="303">
        <f t="shared" si="49"/>
        <v>909223.7479</v>
      </c>
      <c r="AK102" s="303">
        <f t="shared" si="49"/>
        <v>954796.8069</v>
      </c>
      <c r="AL102" s="303">
        <f t="shared" si="49"/>
        <v>1000310.763</v>
      </c>
      <c r="AM102" s="303">
        <f t="shared" si="49"/>
        <v>1045803.08</v>
      </c>
      <c r="AN102" s="303">
        <f t="shared" si="49"/>
        <v>1060837.482</v>
      </c>
      <c r="AO102" s="303">
        <f t="shared" si="49"/>
        <v>1066689.864</v>
      </c>
      <c r="AP102" s="303">
        <f t="shared" si="49"/>
        <v>1076646.148</v>
      </c>
      <c r="AQ102" s="303">
        <f t="shared" si="49"/>
        <v>1088887.103</v>
      </c>
      <c r="AR102" s="303">
        <f t="shared" si="49"/>
        <v>1102294.281</v>
      </c>
      <c r="AS102" s="303">
        <f t="shared" si="49"/>
        <v>1115918.837</v>
      </c>
      <c r="AT102" s="303">
        <f t="shared" si="49"/>
        <v>1129283.422</v>
      </c>
      <c r="AU102" s="303">
        <f t="shared" si="49"/>
        <v>1142410.106</v>
      </c>
      <c r="AV102" s="303">
        <f t="shared" si="49"/>
        <v>1155316.089</v>
      </c>
      <c r="AW102" s="303">
        <f t="shared" si="49"/>
        <v>1168016.417</v>
      </c>
      <c r="AX102" s="303">
        <f t="shared" si="49"/>
        <v>1180524.946</v>
      </c>
      <c r="AY102" s="303">
        <f t="shared" si="49"/>
        <v>1193131.617</v>
      </c>
      <c r="AZ102" s="303">
        <f t="shared" si="49"/>
        <v>1215896.824</v>
      </c>
      <c r="BA102" s="303">
        <f t="shared" si="49"/>
        <v>1238203.963</v>
      </c>
      <c r="BB102" s="303">
        <f t="shared" si="49"/>
        <v>1259966.901</v>
      </c>
      <c r="BC102" s="303">
        <f t="shared" si="49"/>
        <v>1281262.865</v>
      </c>
      <c r="BD102" s="303">
        <f t="shared" si="49"/>
        <v>1302132.414</v>
      </c>
      <c r="BE102" s="303">
        <f t="shared" si="49"/>
        <v>1322602.735</v>
      </c>
      <c r="BF102" s="303">
        <f t="shared" si="49"/>
        <v>1342695.826</v>
      </c>
      <c r="BG102" s="303">
        <f t="shared" si="49"/>
        <v>1362431.372</v>
      </c>
      <c r="BH102" s="303">
        <f t="shared" si="49"/>
        <v>1381827.782</v>
      </c>
      <c r="BI102" s="303">
        <f t="shared" si="49"/>
        <v>1400902.562</v>
      </c>
      <c r="BJ102" s="303">
        <f t="shared" si="49"/>
        <v>1419672.474</v>
      </c>
      <c r="BK102" s="303">
        <f t="shared" si="49"/>
        <v>1441122.851</v>
      </c>
      <c r="BL102" s="303">
        <f t="shared" si="49"/>
        <v>1465179.478</v>
      </c>
      <c r="BM102" s="303">
        <f t="shared" si="49"/>
        <v>1488062.037</v>
      </c>
      <c r="BN102" s="303">
        <f t="shared" si="49"/>
        <v>1509147.715</v>
      </c>
      <c r="BO102" s="303">
        <f t="shared" si="49"/>
        <v>1529904.053</v>
      </c>
      <c r="BP102" s="303">
        <f t="shared" si="49"/>
        <v>1550377.039</v>
      </c>
      <c r="BQ102" s="303">
        <f t="shared" si="49"/>
        <v>1570593.034</v>
      </c>
      <c r="BR102" s="303">
        <f t="shared" si="49"/>
        <v>1590571.194</v>
      </c>
      <c r="BS102" s="303">
        <f t="shared" si="49"/>
        <v>1610327.838</v>
      </c>
      <c r="BT102" s="303">
        <f t="shared" si="49"/>
        <v>1629877.987</v>
      </c>
      <c r="BU102" s="303">
        <f t="shared" si="49"/>
        <v>1649235.922</v>
      </c>
      <c r="BV102" s="303">
        <f t="shared" si="49"/>
        <v>1668415.386</v>
      </c>
      <c r="BW102" s="303">
        <f t="shared" si="49"/>
        <v>1687429.669</v>
      </c>
      <c r="BX102" s="303">
        <f t="shared" si="49"/>
        <v>1701265.07</v>
      </c>
      <c r="BY102" s="303">
        <f t="shared" si="49"/>
        <v>1712809.028</v>
      </c>
      <c r="BZ102" s="303">
        <f t="shared" si="49"/>
        <v>1724389.739</v>
      </c>
      <c r="CA102" s="303">
        <f t="shared" si="49"/>
        <v>1736419.269</v>
      </c>
      <c r="CB102" s="303">
        <f t="shared" si="49"/>
        <v>1748552.268</v>
      </c>
      <c r="CC102" s="303">
        <f t="shared" si="49"/>
        <v>1760673.347</v>
      </c>
      <c r="CD102" s="303">
        <f t="shared" si="49"/>
        <v>1772747.379</v>
      </c>
      <c r="CE102" s="303">
        <f t="shared" si="49"/>
        <v>1784767.117</v>
      </c>
      <c r="CF102" s="303">
        <f t="shared" si="49"/>
        <v>1796734.866</v>
      </c>
      <c r="CG102" s="303">
        <f t="shared" si="49"/>
        <v>1808656.08</v>
      </c>
      <c r="CH102" s="303">
        <f t="shared" si="49"/>
        <v>1820537.127</v>
      </c>
      <c r="CI102" s="303"/>
    </row>
    <row r="103" ht="15.75" customHeight="1">
      <c r="A103" s="1" t="s">
        <v>325</v>
      </c>
      <c r="B103" s="1"/>
      <c r="C103" s="1"/>
      <c r="D103" s="387">
        <f t="shared" ref="D103:CH103" si="50">D102-C102</f>
        <v>-63482</v>
      </c>
      <c r="E103" s="387">
        <f t="shared" si="50"/>
        <v>33327</v>
      </c>
      <c r="F103" s="387">
        <f t="shared" si="50"/>
        <v>61559</v>
      </c>
      <c r="G103" s="387">
        <f t="shared" si="50"/>
        <v>33475</v>
      </c>
      <c r="H103" s="387">
        <f t="shared" si="50"/>
        <v>-4963</v>
      </c>
      <c r="I103" s="387">
        <f t="shared" si="50"/>
        <v>-2075</v>
      </c>
      <c r="J103" s="387">
        <f t="shared" si="50"/>
        <v>-72865</v>
      </c>
      <c r="K103" s="387">
        <f t="shared" si="50"/>
        <v>-6675</v>
      </c>
      <c r="L103" s="387">
        <f t="shared" si="50"/>
        <v>-31439</v>
      </c>
      <c r="M103" s="387">
        <f t="shared" si="50"/>
        <v>34549</v>
      </c>
      <c r="N103" s="387">
        <f t="shared" si="50"/>
        <v>-36404</v>
      </c>
      <c r="O103" s="387">
        <f t="shared" si="50"/>
        <v>45560</v>
      </c>
      <c r="P103" s="387">
        <f t="shared" si="50"/>
        <v>-260</v>
      </c>
      <c r="Q103" s="387">
        <f t="shared" si="50"/>
        <v>9663</v>
      </c>
      <c r="R103" s="387">
        <f t="shared" si="50"/>
        <v>47175</v>
      </c>
      <c r="S103" s="387">
        <f t="shared" si="50"/>
        <v>-12597</v>
      </c>
      <c r="T103" s="387">
        <f t="shared" si="50"/>
        <v>-79546</v>
      </c>
      <c r="U103" s="387">
        <f t="shared" si="50"/>
        <v>33360</v>
      </c>
      <c r="V103" s="387">
        <f t="shared" si="50"/>
        <v>38950</v>
      </c>
      <c r="W103" s="387">
        <f t="shared" si="50"/>
        <v>17166</v>
      </c>
      <c r="X103" s="387">
        <f t="shared" si="50"/>
        <v>10592</v>
      </c>
      <c r="Y103" s="387">
        <f t="shared" si="50"/>
        <v>-50929</v>
      </c>
      <c r="Z103" s="131">
        <f t="shared" si="50"/>
        <v>68598.975</v>
      </c>
      <c r="AA103" s="131">
        <f t="shared" si="50"/>
        <v>74676.05244</v>
      </c>
      <c r="AB103" s="131">
        <f t="shared" si="50"/>
        <v>74549.30645</v>
      </c>
      <c r="AC103" s="131">
        <f t="shared" si="50"/>
        <v>68609.82444</v>
      </c>
      <c r="AD103" s="131">
        <f t="shared" si="50"/>
        <v>63719.04238</v>
      </c>
      <c r="AE103" s="131">
        <f t="shared" si="50"/>
        <v>61228.8657</v>
      </c>
      <c r="AF103" s="131">
        <f t="shared" si="50"/>
        <v>60372.79902</v>
      </c>
      <c r="AG103" s="131">
        <f t="shared" si="50"/>
        <v>58778.85518</v>
      </c>
      <c r="AH103" s="131">
        <f t="shared" si="50"/>
        <v>61009.59532</v>
      </c>
      <c r="AI103" s="131">
        <f t="shared" si="50"/>
        <v>58080.2068</v>
      </c>
      <c r="AJ103" s="131">
        <f t="shared" si="50"/>
        <v>52188.22518</v>
      </c>
      <c r="AK103" s="131">
        <f t="shared" si="50"/>
        <v>45573.05903</v>
      </c>
      <c r="AL103" s="131">
        <f t="shared" si="50"/>
        <v>45513.95597</v>
      </c>
      <c r="AM103" s="131">
        <f t="shared" si="50"/>
        <v>45492.31741</v>
      </c>
      <c r="AN103" s="131">
        <f t="shared" si="50"/>
        <v>15034.40182</v>
      </c>
      <c r="AO103" s="131">
        <f t="shared" si="50"/>
        <v>5852.381905</v>
      </c>
      <c r="AP103" s="131">
        <f t="shared" si="50"/>
        <v>9956.283528</v>
      </c>
      <c r="AQ103" s="131">
        <f t="shared" si="50"/>
        <v>12240.95556</v>
      </c>
      <c r="AR103" s="131">
        <f t="shared" si="50"/>
        <v>13407.17802</v>
      </c>
      <c r="AS103" s="131">
        <f t="shared" si="50"/>
        <v>13624.55539</v>
      </c>
      <c r="AT103" s="131">
        <f t="shared" si="50"/>
        <v>13364.58586</v>
      </c>
      <c r="AU103" s="131">
        <f t="shared" si="50"/>
        <v>13126.68372</v>
      </c>
      <c r="AV103" s="131">
        <f t="shared" si="50"/>
        <v>12905.98325</v>
      </c>
      <c r="AW103" s="131">
        <f t="shared" si="50"/>
        <v>12700.32722</v>
      </c>
      <c r="AX103" s="131">
        <f t="shared" si="50"/>
        <v>12508.52928</v>
      </c>
      <c r="AY103" s="131">
        <f t="shared" si="50"/>
        <v>12606.67097</v>
      </c>
      <c r="AZ103" s="131">
        <f t="shared" si="50"/>
        <v>22765.20758</v>
      </c>
      <c r="BA103" s="131">
        <f t="shared" si="50"/>
        <v>22307.13866</v>
      </c>
      <c r="BB103" s="131">
        <f t="shared" si="50"/>
        <v>21762.93794</v>
      </c>
      <c r="BC103" s="131">
        <f t="shared" si="50"/>
        <v>21295.96439</v>
      </c>
      <c r="BD103" s="131">
        <f t="shared" si="50"/>
        <v>20869.54868</v>
      </c>
      <c r="BE103" s="131">
        <f t="shared" si="50"/>
        <v>20470.32139</v>
      </c>
      <c r="BF103" s="131">
        <f t="shared" si="50"/>
        <v>20093.09024</v>
      </c>
      <c r="BG103" s="131">
        <f t="shared" si="50"/>
        <v>19735.54617</v>
      </c>
      <c r="BH103" s="131">
        <f t="shared" si="50"/>
        <v>19396.40961</v>
      </c>
      <c r="BI103" s="131">
        <f t="shared" si="50"/>
        <v>19074.78088</v>
      </c>
      <c r="BJ103" s="131">
        <f t="shared" si="50"/>
        <v>18769.91195</v>
      </c>
      <c r="BK103" s="131">
        <f t="shared" si="50"/>
        <v>21450.37667</v>
      </c>
      <c r="BL103" s="131">
        <f t="shared" si="50"/>
        <v>24056.62703</v>
      </c>
      <c r="BM103" s="131">
        <f t="shared" si="50"/>
        <v>22882.55906</v>
      </c>
      <c r="BN103" s="131">
        <f t="shared" si="50"/>
        <v>21085.67796</v>
      </c>
      <c r="BO103" s="131">
        <f t="shared" si="50"/>
        <v>20756.33766</v>
      </c>
      <c r="BP103" s="131">
        <f t="shared" si="50"/>
        <v>20472.98656</v>
      </c>
      <c r="BQ103" s="131">
        <f t="shared" si="50"/>
        <v>20215.9948</v>
      </c>
      <c r="BR103" s="131">
        <f t="shared" si="50"/>
        <v>19978.15988</v>
      </c>
      <c r="BS103" s="131">
        <f t="shared" si="50"/>
        <v>19756.64366</v>
      </c>
      <c r="BT103" s="131">
        <f t="shared" si="50"/>
        <v>19550.14972</v>
      </c>
      <c r="BU103" s="131">
        <f t="shared" si="50"/>
        <v>19357.93499</v>
      </c>
      <c r="BV103" s="131">
        <f t="shared" si="50"/>
        <v>19179.46332</v>
      </c>
      <c r="BW103" s="131">
        <f t="shared" si="50"/>
        <v>19014.28376</v>
      </c>
      <c r="BX103" s="131">
        <f t="shared" si="50"/>
        <v>13835.40056</v>
      </c>
      <c r="BY103" s="131">
        <f t="shared" si="50"/>
        <v>11543.95818</v>
      </c>
      <c r="BZ103" s="131">
        <f t="shared" si="50"/>
        <v>11580.71127</v>
      </c>
      <c r="CA103" s="131">
        <f t="shared" si="50"/>
        <v>12029.52946</v>
      </c>
      <c r="CB103" s="131">
        <f t="shared" si="50"/>
        <v>12132.99897</v>
      </c>
      <c r="CC103" s="131">
        <f t="shared" si="50"/>
        <v>12121.079</v>
      </c>
      <c r="CD103" s="131">
        <f t="shared" si="50"/>
        <v>12074.03241</v>
      </c>
      <c r="CE103" s="131">
        <f t="shared" si="50"/>
        <v>12019.73792</v>
      </c>
      <c r="CF103" s="131">
        <f t="shared" si="50"/>
        <v>11967.74889</v>
      </c>
      <c r="CG103" s="131">
        <f t="shared" si="50"/>
        <v>11921.21363</v>
      </c>
      <c r="CH103" s="131">
        <f t="shared" si="50"/>
        <v>11881.04711</v>
      </c>
      <c r="CI103" s="131"/>
    </row>
    <row r="104" ht="15.75" customHeight="1">
      <c r="A104" s="1" t="s">
        <v>51</v>
      </c>
      <c r="B104" s="1"/>
      <c r="C104" s="1"/>
      <c r="D104" s="423">
        <f t="shared" ref="D104:CH104" si="51">D102/C102-1</f>
        <v>-0.3123022959</v>
      </c>
      <c r="E104" s="423">
        <f t="shared" si="51"/>
        <v>0.2384093169</v>
      </c>
      <c r="F104" s="423">
        <f t="shared" si="51"/>
        <v>0.355593937</v>
      </c>
      <c r="G104" s="423">
        <f t="shared" si="51"/>
        <v>0.1426440822</v>
      </c>
      <c r="H104" s="423">
        <f t="shared" si="51"/>
        <v>-0.01850829759</v>
      </c>
      <c r="I104" s="423">
        <f t="shared" si="51"/>
        <v>-0.007884128015</v>
      </c>
      <c r="J104" s="423">
        <f t="shared" si="51"/>
        <v>-0.2790564968</v>
      </c>
      <c r="K104" s="423">
        <f t="shared" si="51"/>
        <v>-0.03545873241</v>
      </c>
      <c r="L104" s="423">
        <f t="shared" si="51"/>
        <v>-0.1731489437</v>
      </c>
      <c r="M104" s="423">
        <f t="shared" si="51"/>
        <v>0.2301226246</v>
      </c>
      <c r="N104" s="423">
        <f t="shared" si="51"/>
        <v>-0.1971172069</v>
      </c>
      <c r="O104" s="423">
        <f t="shared" si="51"/>
        <v>0.307260686</v>
      </c>
      <c r="P104" s="423">
        <f t="shared" si="51"/>
        <v>-0.001341326262</v>
      </c>
      <c r="Q104" s="423">
        <f t="shared" si="51"/>
        <v>0.04991786257</v>
      </c>
      <c r="R104" s="423">
        <f t="shared" si="51"/>
        <v>0.2321135991</v>
      </c>
      <c r="S104" s="423">
        <f t="shared" si="51"/>
        <v>-0.05030429366</v>
      </c>
      <c r="T104" s="423">
        <f t="shared" si="51"/>
        <v>-0.3344812652</v>
      </c>
      <c r="U104" s="423">
        <f t="shared" si="51"/>
        <v>0.2107750532</v>
      </c>
      <c r="V104" s="423">
        <f t="shared" si="51"/>
        <v>0.2032530932</v>
      </c>
      <c r="W104" s="423">
        <f t="shared" si="51"/>
        <v>0.07444607798</v>
      </c>
      <c r="X104" s="423">
        <f t="shared" si="51"/>
        <v>0.04275294754</v>
      </c>
      <c r="Y104" s="423">
        <f t="shared" si="51"/>
        <v>-0.1971386656</v>
      </c>
      <c r="Z104" s="202">
        <f t="shared" si="51"/>
        <v>0.3307377346</v>
      </c>
      <c r="AA104" s="202">
        <f t="shared" si="51"/>
        <v>0.2705546489</v>
      </c>
      <c r="AB104" s="202">
        <f t="shared" si="51"/>
        <v>0.2125807362</v>
      </c>
      <c r="AC104" s="202">
        <f t="shared" si="51"/>
        <v>0.1613451603</v>
      </c>
      <c r="AD104" s="202">
        <f t="shared" si="51"/>
        <v>0.1290260971</v>
      </c>
      <c r="AE104" s="202">
        <f t="shared" si="51"/>
        <v>0.1098147187</v>
      </c>
      <c r="AF104" s="202">
        <f t="shared" si="51"/>
        <v>0.09756525199</v>
      </c>
      <c r="AG104" s="202">
        <f t="shared" si="51"/>
        <v>0.08654552831</v>
      </c>
      <c r="AH104" s="202">
        <f t="shared" si="51"/>
        <v>0.08267490903</v>
      </c>
      <c r="AI104" s="202">
        <f t="shared" si="51"/>
        <v>0.07269518788</v>
      </c>
      <c r="AJ104" s="202">
        <f t="shared" si="51"/>
        <v>0.06089388805</v>
      </c>
      <c r="AK104" s="202">
        <f t="shared" si="51"/>
        <v>0.05012304082</v>
      </c>
      <c r="AL104" s="202">
        <f t="shared" si="51"/>
        <v>0.04766873501</v>
      </c>
      <c r="AM104" s="202">
        <f t="shared" si="51"/>
        <v>0.04547818447</v>
      </c>
      <c r="AN104" s="202">
        <f t="shared" si="51"/>
        <v>0.01437593951</v>
      </c>
      <c r="AO104" s="202">
        <f t="shared" si="51"/>
        <v>0.005516756339</v>
      </c>
      <c r="AP104" s="202">
        <f t="shared" si="51"/>
        <v>0.00933381282</v>
      </c>
      <c r="AQ104" s="202">
        <f t="shared" si="51"/>
        <v>0.01136952525</v>
      </c>
      <c r="AR104" s="202">
        <f t="shared" si="51"/>
        <v>0.0123127347</v>
      </c>
      <c r="AS104" s="202">
        <f t="shared" si="51"/>
        <v>0.01236017969</v>
      </c>
      <c r="AT104" s="202">
        <f t="shared" si="51"/>
        <v>0.01197630636</v>
      </c>
      <c r="AU104" s="202">
        <f t="shared" si="51"/>
        <v>0.01162390545</v>
      </c>
      <c r="AV104" s="202">
        <f t="shared" si="51"/>
        <v>0.01129715431</v>
      </c>
      <c r="AW104" s="202">
        <f t="shared" si="51"/>
        <v>0.01099294585</v>
      </c>
      <c r="AX104" s="202">
        <f t="shared" si="51"/>
        <v>0.01070920674</v>
      </c>
      <c r="AY104" s="202">
        <f t="shared" si="51"/>
        <v>0.01067886876</v>
      </c>
      <c r="AZ104" s="202">
        <f t="shared" si="51"/>
        <v>0.01908021484</v>
      </c>
      <c r="BA104" s="202">
        <f t="shared" si="51"/>
        <v>0.01834624305</v>
      </c>
      <c r="BB104" s="202">
        <f t="shared" si="51"/>
        <v>0.01757621409</v>
      </c>
      <c r="BC104" s="202">
        <f t="shared" si="51"/>
        <v>0.01690200304</v>
      </c>
      <c r="BD104" s="202">
        <f t="shared" si="51"/>
        <v>0.01628826468</v>
      </c>
      <c r="BE104" s="202">
        <f t="shared" si="51"/>
        <v>0.01572061425</v>
      </c>
      <c r="BF104" s="202">
        <f t="shared" si="51"/>
        <v>0.01519208278</v>
      </c>
      <c r="BG104" s="202">
        <f t="shared" si="51"/>
        <v>0.01469844904</v>
      </c>
      <c r="BH104" s="202">
        <f t="shared" si="51"/>
        <v>0.01423661405</v>
      </c>
      <c r="BI104" s="202">
        <f t="shared" si="51"/>
        <v>0.01380402184</v>
      </c>
      <c r="BJ104" s="202">
        <f t="shared" si="51"/>
        <v>0.01339844216</v>
      </c>
      <c r="BK104" s="202">
        <f t="shared" si="51"/>
        <v>0.01510938407</v>
      </c>
      <c r="BL104" s="202">
        <f t="shared" si="51"/>
        <v>0.01669297452</v>
      </c>
      <c r="BM104" s="202">
        <f t="shared" si="51"/>
        <v>0.01561758092</v>
      </c>
      <c r="BN104" s="202">
        <f t="shared" si="51"/>
        <v>0.01416989173</v>
      </c>
      <c r="BO104" s="202">
        <f t="shared" si="51"/>
        <v>0.01375368193</v>
      </c>
      <c r="BP104" s="202">
        <f t="shared" si="51"/>
        <v>0.01338187615</v>
      </c>
      <c r="BQ104" s="202">
        <f t="shared" si="51"/>
        <v>0.01303940544</v>
      </c>
      <c r="BR104" s="202">
        <f t="shared" si="51"/>
        <v>0.01272013784</v>
      </c>
      <c r="BS104" s="202">
        <f t="shared" si="51"/>
        <v>0.01242109988</v>
      </c>
      <c r="BT104" s="202">
        <f t="shared" si="51"/>
        <v>0.01214047802</v>
      </c>
      <c r="BU104" s="202">
        <f t="shared" si="51"/>
        <v>0.01187692278</v>
      </c>
      <c r="BV104" s="202">
        <f t="shared" si="51"/>
        <v>0.01162930243</v>
      </c>
      <c r="BW104" s="202">
        <f t="shared" si="51"/>
        <v>0.01139661257</v>
      </c>
      <c r="BX104" s="202">
        <f t="shared" si="51"/>
        <v>0.008199097605</v>
      </c>
      <c r="BY104" s="202">
        <f t="shared" si="51"/>
        <v>0.006785514135</v>
      </c>
      <c r="BZ104" s="202">
        <f t="shared" si="51"/>
        <v>0.006761239039</v>
      </c>
      <c r="CA104" s="202">
        <f t="shared" si="51"/>
        <v>0.006976108234</v>
      </c>
      <c r="CB104" s="202">
        <f t="shared" si="51"/>
        <v>0.006987367156</v>
      </c>
      <c r="CC104" s="202">
        <f t="shared" si="51"/>
        <v>0.006932065583</v>
      </c>
      <c r="CD104" s="202">
        <f t="shared" si="51"/>
        <v>0.006857622077</v>
      </c>
      <c r="CE104" s="202">
        <f t="shared" si="51"/>
        <v>0.006780288076</v>
      </c>
      <c r="CF104" s="202">
        <f t="shared" si="51"/>
        <v>0.006705496069</v>
      </c>
      <c r="CG104" s="202">
        <f t="shared" si="51"/>
        <v>0.006634931985</v>
      </c>
      <c r="CH104" s="202">
        <f t="shared" si="51"/>
        <v>0.006568991885</v>
      </c>
      <c r="CI104" s="202"/>
    </row>
    <row r="105" ht="15.75" customHeight="1">
      <c r="A105" s="1" t="s">
        <v>678</v>
      </c>
      <c r="B105" s="1"/>
      <c r="C105" s="448">
        <f t="shared" ref="C105:CH105" si="52">SUM(C97,C91)</f>
        <v>406.542</v>
      </c>
      <c r="D105" s="448">
        <f t="shared" si="52"/>
        <v>279.578</v>
      </c>
      <c r="E105" s="448">
        <f t="shared" si="52"/>
        <v>346.232</v>
      </c>
      <c r="F105" s="448">
        <f t="shared" si="52"/>
        <v>469.35</v>
      </c>
      <c r="G105" s="448">
        <f t="shared" si="52"/>
        <v>536.3</v>
      </c>
      <c r="H105" s="448">
        <f t="shared" si="52"/>
        <v>526.374</v>
      </c>
      <c r="I105" s="448">
        <f t="shared" si="52"/>
        <v>522.224</v>
      </c>
      <c r="J105" s="448">
        <f t="shared" si="52"/>
        <v>376.494</v>
      </c>
      <c r="K105" s="448">
        <f t="shared" si="52"/>
        <v>363.144</v>
      </c>
      <c r="L105" s="448">
        <f t="shared" si="52"/>
        <v>300.266</v>
      </c>
      <c r="M105" s="448">
        <f t="shared" si="52"/>
        <v>369.364</v>
      </c>
      <c r="N105" s="448">
        <f t="shared" si="52"/>
        <v>296.556</v>
      </c>
      <c r="O105" s="448">
        <f t="shared" si="52"/>
        <v>387.676</v>
      </c>
      <c r="P105" s="448">
        <f t="shared" si="52"/>
        <v>387.156</v>
      </c>
      <c r="Q105" s="448">
        <f t="shared" si="52"/>
        <v>406.482</v>
      </c>
      <c r="R105" s="448">
        <f t="shared" si="52"/>
        <v>500.832</v>
      </c>
      <c r="S105" s="448">
        <f t="shared" si="52"/>
        <v>475.638</v>
      </c>
      <c r="T105" s="448">
        <f t="shared" si="52"/>
        <v>316.546</v>
      </c>
      <c r="U105" s="448">
        <f t="shared" si="52"/>
        <v>383.266</v>
      </c>
      <c r="V105" s="448">
        <f t="shared" si="52"/>
        <v>461.166</v>
      </c>
      <c r="W105" s="448">
        <f t="shared" si="52"/>
        <v>495.498</v>
      </c>
      <c r="X105" s="448">
        <f t="shared" si="52"/>
        <v>516.682</v>
      </c>
      <c r="Y105" s="448">
        <f t="shared" si="52"/>
        <v>414.824</v>
      </c>
      <c r="Z105" s="448">
        <f t="shared" si="52"/>
        <v>552.02195</v>
      </c>
      <c r="AA105" s="448">
        <f t="shared" si="52"/>
        <v>701.3740549</v>
      </c>
      <c r="AB105" s="448">
        <f t="shared" si="52"/>
        <v>850.4726678</v>
      </c>
      <c r="AC105" s="448">
        <f t="shared" si="52"/>
        <v>987.6923167</v>
      </c>
      <c r="AD105" s="448">
        <f t="shared" si="52"/>
        <v>1115.130401</v>
      </c>
      <c r="AE105" s="448">
        <f t="shared" si="52"/>
        <v>1237.588133</v>
      </c>
      <c r="AF105" s="448">
        <f t="shared" si="52"/>
        <v>1358.333731</v>
      </c>
      <c r="AG105" s="448">
        <f t="shared" si="52"/>
        <v>1475.891441</v>
      </c>
      <c r="AH105" s="448">
        <f t="shared" si="52"/>
        <v>1597.910632</v>
      </c>
      <c r="AI105" s="448">
        <f t="shared" si="52"/>
        <v>1714.071045</v>
      </c>
      <c r="AJ105" s="448">
        <f t="shared" si="52"/>
        <v>1818.447496</v>
      </c>
      <c r="AK105" s="448">
        <f t="shared" si="52"/>
        <v>1909.593614</v>
      </c>
      <c r="AL105" s="448">
        <f t="shared" si="52"/>
        <v>2000.621526</v>
      </c>
      <c r="AM105" s="448">
        <f t="shared" si="52"/>
        <v>2067.792667</v>
      </c>
      <c r="AN105" s="448">
        <f t="shared" si="52"/>
        <v>2102.457035</v>
      </c>
      <c r="AO105" s="448">
        <f t="shared" si="52"/>
        <v>2116.314407</v>
      </c>
      <c r="AP105" s="448">
        <f t="shared" si="52"/>
        <v>2136.928691</v>
      </c>
      <c r="AQ105" s="448">
        <f t="shared" si="52"/>
        <v>2161.60425</v>
      </c>
      <c r="AR105" s="448">
        <f t="shared" si="52"/>
        <v>2188.32922</v>
      </c>
      <c r="AS105" s="448">
        <f t="shared" si="52"/>
        <v>2215.494046</v>
      </c>
      <c r="AT105" s="448">
        <f t="shared" si="52"/>
        <v>2242.140454</v>
      </c>
      <c r="AU105" s="448">
        <f t="shared" si="52"/>
        <v>2268.311324</v>
      </c>
      <c r="AV105" s="448">
        <f t="shared" si="52"/>
        <v>2294.040618</v>
      </c>
      <c r="AW105" s="448">
        <f t="shared" si="52"/>
        <v>2319.358269</v>
      </c>
      <c r="AX105" s="448">
        <f t="shared" si="52"/>
        <v>2344.29194</v>
      </c>
      <c r="AY105" s="448">
        <f t="shared" si="52"/>
        <v>2369.366604</v>
      </c>
      <c r="AZ105" s="448">
        <f t="shared" si="52"/>
        <v>2414.738168</v>
      </c>
      <c r="BA105" s="448">
        <f t="shared" si="52"/>
        <v>2459.24114</v>
      </c>
      <c r="BB105" s="448">
        <f t="shared" si="52"/>
        <v>2502.672072</v>
      </c>
      <c r="BC105" s="448">
        <f t="shared" si="52"/>
        <v>2545.174503</v>
      </c>
      <c r="BD105" s="448">
        <f t="shared" si="52"/>
        <v>2586.825729</v>
      </c>
      <c r="BE105" s="448">
        <f t="shared" si="52"/>
        <v>2627.678785</v>
      </c>
      <c r="BF105" s="448">
        <f t="shared" si="52"/>
        <v>2667.777196</v>
      </c>
      <c r="BG105" s="448">
        <f t="shared" si="52"/>
        <v>2707.160168</v>
      </c>
      <c r="BH105" s="448">
        <f t="shared" si="52"/>
        <v>2745.864457</v>
      </c>
      <c r="BI105" s="448">
        <f t="shared" si="52"/>
        <v>2783.925058</v>
      </c>
      <c r="BJ105" s="448">
        <f t="shared" si="52"/>
        <v>2821.375479</v>
      </c>
      <c r="BK105" s="448">
        <f t="shared" si="52"/>
        <v>2596.61775</v>
      </c>
      <c r="BL105" s="448">
        <f t="shared" si="52"/>
        <v>2639.963023</v>
      </c>
      <c r="BM105" s="448">
        <f t="shared" si="52"/>
        <v>2681.19286</v>
      </c>
      <c r="BN105" s="448">
        <f t="shared" si="52"/>
        <v>2719.185072</v>
      </c>
      <c r="BO105" s="448">
        <f t="shared" si="52"/>
        <v>2756.583879</v>
      </c>
      <c r="BP105" s="448">
        <f t="shared" si="52"/>
        <v>2793.472143</v>
      </c>
      <c r="BQ105" s="448">
        <f t="shared" si="52"/>
        <v>2829.897359</v>
      </c>
      <c r="BR105" s="448">
        <f t="shared" si="52"/>
        <v>2865.894043</v>
      </c>
      <c r="BS105" s="448">
        <f t="shared" si="52"/>
        <v>2901.491599</v>
      </c>
      <c r="BT105" s="448">
        <f t="shared" si="52"/>
        <v>2936.717094</v>
      </c>
      <c r="BU105" s="448">
        <f t="shared" si="52"/>
        <v>2971.596256</v>
      </c>
      <c r="BV105" s="448">
        <f t="shared" si="52"/>
        <v>3006.153848</v>
      </c>
      <c r="BW105" s="448">
        <f t="shared" si="52"/>
        <v>3040.413819</v>
      </c>
      <c r="BX105" s="448">
        <f t="shared" si="52"/>
        <v>3065.342468</v>
      </c>
      <c r="BY105" s="448">
        <f t="shared" si="52"/>
        <v>3086.142393</v>
      </c>
      <c r="BZ105" s="448">
        <f t="shared" si="52"/>
        <v>3107.008539</v>
      </c>
      <c r="CA105" s="448">
        <f t="shared" si="52"/>
        <v>3128.683367</v>
      </c>
      <c r="CB105" s="448">
        <f t="shared" si="52"/>
        <v>3150.544627</v>
      </c>
      <c r="CC105" s="448">
        <f t="shared" si="52"/>
        <v>3172.384409</v>
      </c>
      <c r="CD105" s="448">
        <f t="shared" si="52"/>
        <v>3194.139422</v>
      </c>
      <c r="CE105" s="448">
        <f t="shared" si="52"/>
        <v>3215.796608</v>
      </c>
      <c r="CF105" s="448">
        <f t="shared" si="52"/>
        <v>3237.360119</v>
      </c>
      <c r="CG105" s="448">
        <f t="shared" si="52"/>
        <v>3258.839783</v>
      </c>
      <c r="CH105" s="448">
        <f t="shared" si="52"/>
        <v>3280.247075</v>
      </c>
      <c r="CI105" s="448"/>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ht="15.75" customHeight="1">
      <c r="A108" s="232" t="s">
        <v>89</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ht="15.75" customHeight="1" outlineLevel="1">
      <c r="A110" s="1" t="s">
        <v>673</v>
      </c>
      <c r="B110" s="1"/>
      <c r="C110" s="442">
        <f>Retention!C105</f>
        <v>2</v>
      </c>
      <c r="D110" s="442">
        <f>Retention!D105</f>
        <v>2</v>
      </c>
      <c r="E110" s="442">
        <f>Retention!E105</f>
        <v>2</v>
      </c>
      <c r="F110" s="442">
        <f>Retention!F105</f>
        <v>2</v>
      </c>
      <c r="G110" s="442">
        <f>Retention!G105</f>
        <v>2</v>
      </c>
      <c r="H110" s="442">
        <f>Retention!H105</f>
        <v>2</v>
      </c>
      <c r="I110" s="442">
        <f>Retention!I105</f>
        <v>2</v>
      </c>
      <c r="J110" s="442">
        <f>Retention!J105</f>
        <v>2</v>
      </c>
      <c r="K110" s="442">
        <f>Retention!K105</f>
        <v>2</v>
      </c>
      <c r="L110" s="442">
        <f>Retention!L105</f>
        <v>2</v>
      </c>
      <c r="M110" s="442">
        <f>Retention!M105</f>
        <v>2</v>
      </c>
      <c r="N110" s="442">
        <f>Retention!N105</f>
        <v>2</v>
      </c>
      <c r="O110" s="442">
        <f>Retention!O105</f>
        <v>2</v>
      </c>
      <c r="P110" s="442">
        <f>Retention!P105</f>
        <v>2</v>
      </c>
      <c r="Q110" s="442">
        <f>Retention!Q105</f>
        <v>2</v>
      </c>
      <c r="R110" s="442">
        <f>Retention!R105</f>
        <v>2</v>
      </c>
      <c r="S110" s="442">
        <f>Retention!S105</f>
        <v>2</v>
      </c>
      <c r="T110" s="442">
        <f>Retention!T105</f>
        <v>2</v>
      </c>
      <c r="U110" s="442">
        <f>Retention!U105</f>
        <v>2</v>
      </c>
      <c r="V110" s="442">
        <f>Retention!V105</f>
        <v>2</v>
      </c>
      <c r="W110" s="442">
        <f>Retention!W105</f>
        <v>2</v>
      </c>
      <c r="X110" s="442">
        <f>Retention!X105</f>
        <v>2</v>
      </c>
      <c r="Y110" s="442">
        <f>Retention!Y105</f>
        <v>2</v>
      </c>
      <c r="Z110" s="442">
        <f>Retention!Z105</f>
        <v>5.754187931</v>
      </c>
      <c r="AA110" s="442">
        <f>Retention!AA105</f>
        <v>6.381768758</v>
      </c>
      <c r="AB110" s="442">
        <f>Retention!AB105</f>
        <v>7.200932545</v>
      </c>
      <c r="AC110" s="442">
        <f>Retention!AC105</f>
        <v>7.688276494</v>
      </c>
      <c r="AD110" s="442">
        <f>Retention!AD105</f>
        <v>8.071322488</v>
      </c>
      <c r="AE110" s="442">
        <f>Retention!AE105</f>
        <v>7.662653706</v>
      </c>
      <c r="AF110" s="442">
        <f>Retention!AF105</f>
        <v>7.638085243</v>
      </c>
      <c r="AG110" s="442">
        <f>Retention!AG105</f>
        <v>7.693694489</v>
      </c>
      <c r="AH110" s="442">
        <f>Retention!AH105</f>
        <v>7.745112205</v>
      </c>
      <c r="AI110" s="442">
        <f>Retention!AI105</f>
        <v>7.936793209</v>
      </c>
      <c r="AJ110" s="442">
        <f>Retention!AJ105</f>
        <v>9.059949281</v>
      </c>
      <c r="AK110" s="442">
        <f>Retention!AK105</f>
        <v>9.220279024</v>
      </c>
      <c r="AL110" s="442">
        <f>Retention!AL105</f>
        <v>9.438628328</v>
      </c>
      <c r="AM110" s="442">
        <f>Retention!AM105</f>
        <v>7.923663063</v>
      </c>
      <c r="AN110" s="442">
        <f>Retention!AN105</f>
        <v>7.068007315</v>
      </c>
      <c r="AO110" s="442">
        <f>Retention!AO105</f>
        <v>6.943183467</v>
      </c>
      <c r="AP110" s="442">
        <f>Retention!AP105</f>
        <v>6.999959573</v>
      </c>
      <c r="AQ110" s="442">
        <f>Retention!AQ105</f>
        <v>7.05729557</v>
      </c>
      <c r="AR110" s="442">
        <f>Retention!AR105</f>
        <v>7.076336125</v>
      </c>
      <c r="AS110" s="442">
        <f>Retention!AS105</f>
        <v>7.13438974</v>
      </c>
      <c r="AT110" s="442">
        <f>Retention!AT105</f>
        <v>7.193017318</v>
      </c>
      <c r="AU110" s="442">
        <f>Retention!AU105</f>
        <v>7.252225288</v>
      </c>
      <c r="AV110" s="442">
        <f>Retention!AV105</f>
        <v>7.312020158</v>
      </c>
      <c r="AW110" s="442">
        <f>Retention!AW105</f>
        <v>7.372408513</v>
      </c>
      <c r="AX110" s="442">
        <f>Retention!AX105</f>
        <v>7.433397018</v>
      </c>
      <c r="AY110" s="442">
        <f>Retention!AY105</f>
        <v>7.372587793</v>
      </c>
      <c r="AZ110" s="442">
        <f>Retention!AZ105</f>
        <v>7.44846383</v>
      </c>
      <c r="BA110" s="442">
        <f>Retention!BA105</f>
        <v>7.508472249</v>
      </c>
      <c r="BB110" s="442">
        <f>Retention!BB105</f>
        <v>7.569054569</v>
      </c>
      <c r="BC110" s="442">
        <f>Retention!BC105</f>
        <v>7.63021695</v>
      </c>
      <c r="BD110" s="442">
        <f>Retention!BD105</f>
        <v>7.691965622</v>
      </c>
      <c r="BE110" s="442">
        <f>Retention!BE105</f>
        <v>7.754306884</v>
      </c>
      <c r="BF110" s="442">
        <f>Retention!BF105</f>
        <v>7.817247109</v>
      </c>
      <c r="BG110" s="442">
        <f>Retention!BG105</f>
        <v>7.880792743</v>
      </c>
      <c r="BH110" s="442">
        <f>Retention!BH105</f>
        <v>7.944950305</v>
      </c>
      <c r="BI110" s="442">
        <f>Retention!BI105</f>
        <v>8.009726389</v>
      </c>
      <c r="BJ110" s="442">
        <f>Retention!BJ105</f>
        <v>8.075127663</v>
      </c>
      <c r="BK110" s="442">
        <f>Retention!BK105</f>
        <v>7.879574582</v>
      </c>
      <c r="BL110" s="442">
        <f>Retention!BL105</f>
        <v>7.549842202</v>
      </c>
      <c r="BM110" s="442">
        <f>Retention!BM105</f>
        <v>7.315026827</v>
      </c>
      <c r="BN110" s="442">
        <f>Retention!BN105</f>
        <v>7.383917811</v>
      </c>
      <c r="BO110" s="442">
        <f>Retention!BO105</f>
        <v>7.453815317</v>
      </c>
      <c r="BP110" s="442">
        <f>Retention!BP105</f>
        <v>7.524741242</v>
      </c>
      <c r="BQ110" s="442">
        <f>Retention!BQ105</f>
        <v>7.596718087</v>
      </c>
      <c r="BR110" s="442">
        <f>Retention!BR105</f>
        <v>7.669768972</v>
      </c>
      <c r="BS110" s="442">
        <f>Retention!BS105</f>
        <v>7.743917659</v>
      </c>
      <c r="BT110" s="442">
        <f>Retention!BT105</f>
        <v>7.819188567</v>
      </c>
      <c r="BU110" s="442">
        <f>Retention!BU105</f>
        <v>7.895606795</v>
      </c>
      <c r="BV110" s="442">
        <f>Retention!BV105</f>
        <v>7.973198145</v>
      </c>
      <c r="BW110" s="442">
        <f>Retention!BW105</f>
        <v>8.11790647</v>
      </c>
      <c r="BX110" s="442">
        <f>Retention!BX105</f>
        <v>7.784927729</v>
      </c>
      <c r="BY110" s="442">
        <f>Retention!BY105</f>
        <v>7.504956092</v>
      </c>
      <c r="BZ110" s="442">
        <f>Retention!BZ105</f>
        <v>7.539788182</v>
      </c>
      <c r="CA110" s="442">
        <f>Retention!CA105</f>
        <v>7.575592176</v>
      </c>
      <c r="CB110" s="442">
        <f>Retention!CB105</f>
        <v>7.612361032</v>
      </c>
      <c r="CC110" s="442">
        <f>Retention!CC105</f>
        <v>7.650088093</v>
      </c>
      <c r="CD110" s="442">
        <f>Retention!CD105</f>
        <v>7.688767079</v>
      </c>
      <c r="CE110" s="442">
        <f>Retention!CE105</f>
        <v>7.728392078</v>
      </c>
      <c r="CF110" s="442">
        <f>Retention!CF105</f>
        <v>7.768957537</v>
      </c>
      <c r="CG110" s="442">
        <f>Retention!CG105</f>
        <v>7.810458262</v>
      </c>
      <c r="CH110" s="442">
        <f>Retention!CH105</f>
        <v>7.852889401</v>
      </c>
      <c r="CI110" s="442"/>
    </row>
    <row r="111" ht="15.75" customHeight="1" outlineLevel="1">
      <c r="A111" s="1" t="s">
        <v>674</v>
      </c>
      <c r="B111" s="1"/>
      <c r="C111" s="442">
        <f>Retention!C113</f>
        <v>50</v>
      </c>
      <c r="D111" s="442">
        <f>Retention!D113</f>
        <v>51</v>
      </c>
      <c r="E111" s="442">
        <f>Retention!E113</f>
        <v>52</v>
      </c>
      <c r="F111" s="442">
        <f>Retention!F113</f>
        <v>53</v>
      </c>
      <c r="G111" s="442">
        <f>Retention!G113</f>
        <v>54</v>
      </c>
      <c r="H111" s="442">
        <f>Retention!H113</f>
        <v>55</v>
      </c>
      <c r="I111" s="442">
        <f>Retention!I113</f>
        <v>56</v>
      </c>
      <c r="J111" s="442">
        <f>Retention!J113</f>
        <v>57</v>
      </c>
      <c r="K111" s="442">
        <f>Retention!K113</f>
        <v>58</v>
      </c>
      <c r="L111" s="442">
        <f>Retention!L113</f>
        <v>59</v>
      </c>
      <c r="M111" s="442">
        <f>Retention!M113</f>
        <v>60</v>
      </c>
      <c r="N111" s="442">
        <f>Retention!N113</f>
        <v>61</v>
      </c>
      <c r="O111" s="442">
        <f>Retention!O113</f>
        <v>62</v>
      </c>
      <c r="P111" s="442">
        <f>Retention!P113</f>
        <v>63</v>
      </c>
      <c r="Q111" s="442">
        <f>Retention!Q113</f>
        <v>64</v>
      </c>
      <c r="R111" s="442">
        <f>Retention!R113</f>
        <v>65</v>
      </c>
      <c r="S111" s="442">
        <f>Retention!S113</f>
        <v>66</v>
      </c>
      <c r="T111" s="442">
        <f>Retention!T113</f>
        <v>67</v>
      </c>
      <c r="U111" s="442">
        <f>Retention!U113</f>
        <v>68</v>
      </c>
      <c r="V111" s="442">
        <f>Retention!V113</f>
        <v>69</v>
      </c>
      <c r="W111" s="442">
        <f>Retention!W113</f>
        <v>70</v>
      </c>
      <c r="X111" s="442">
        <f>Retention!X113</f>
        <v>71</v>
      </c>
      <c r="Y111" s="442">
        <f>Retention!Y113</f>
        <v>72</v>
      </c>
      <c r="Z111" s="442">
        <f>Retention!Z113</f>
        <v>73</v>
      </c>
      <c r="AA111" s="442">
        <f>Retention!AA113</f>
        <v>31.75418793</v>
      </c>
      <c r="AB111" s="442">
        <f>Retention!AB113</f>
        <v>-24.86404331</v>
      </c>
      <c r="AC111" s="442">
        <f>Retention!AC113</f>
        <v>-64.66311077</v>
      </c>
      <c r="AD111" s="442">
        <f>Retention!AD113</f>
        <v>-73.97483427</v>
      </c>
      <c r="AE111" s="442">
        <f>Retention!AE113</f>
        <v>-54.90351178</v>
      </c>
      <c r="AF111" s="442">
        <f>Retention!AF113</f>
        <v>-22.24085808</v>
      </c>
      <c r="AG111" s="442">
        <f>Retention!AG113</f>
        <v>12.39722716</v>
      </c>
      <c r="AH111" s="442">
        <f>Retention!AH113</f>
        <v>40.09092165</v>
      </c>
      <c r="AI111" s="442">
        <f>Retention!AI113</f>
        <v>55.83603386</v>
      </c>
      <c r="AJ111" s="442">
        <f>Retention!AJ113</f>
        <v>58.77282707</v>
      </c>
      <c r="AK111" s="442">
        <f>Retention!AK113</f>
        <v>54.83277635</v>
      </c>
      <c r="AL111" s="442">
        <f>Retention!AL113</f>
        <v>45.05305537</v>
      </c>
      <c r="AM111" s="442">
        <f>Retention!AM113</f>
        <v>34.4916837</v>
      </c>
      <c r="AN111" s="442">
        <f>Retention!AN113</f>
        <v>25.41534676</v>
      </c>
      <c r="AO111" s="442">
        <f>Retention!AO113</f>
        <v>15.48335408</v>
      </c>
      <c r="AP111" s="442">
        <f>Retention!AP113</f>
        <v>9.426537543</v>
      </c>
      <c r="AQ111" s="442">
        <f>Retention!AQ113</f>
        <v>7.426497116</v>
      </c>
      <c r="AR111" s="442">
        <f>Retention!AR113</f>
        <v>8.483792686</v>
      </c>
      <c r="AS111" s="442">
        <f>Retention!AS113</f>
        <v>11.56012881</v>
      </c>
      <c r="AT111" s="442">
        <f>Retention!AT113</f>
        <v>15.69451855</v>
      </c>
      <c r="AU111" s="442">
        <f>Retention!AU113</f>
        <v>20.88753587</v>
      </c>
      <c r="AV111" s="442">
        <f>Retention!AV113</f>
        <v>26.13976116</v>
      </c>
      <c r="AW111" s="442">
        <f>Retention!AW113</f>
        <v>30.45178131</v>
      </c>
      <c r="AX111" s="442">
        <f>Retention!AX113</f>
        <v>33.82418983</v>
      </c>
      <c r="AY111" s="442">
        <f>Retention!AY113</f>
        <v>35.25758684</v>
      </c>
      <c r="AZ111" s="442">
        <f>Retention!AZ113</f>
        <v>35.63017464</v>
      </c>
      <c r="BA111" s="442">
        <f>Retention!BA113</f>
        <v>35.07863847</v>
      </c>
      <c r="BB111" s="442">
        <f>Retention!BB113</f>
        <v>33.58711072</v>
      </c>
      <c r="BC111" s="442">
        <f>Retention!BC113</f>
        <v>31.15616529</v>
      </c>
      <c r="BD111" s="442">
        <f>Retention!BD113</f>
        <v>28.78638224</v>
      </c>
      <c r="BE111" s="442">
        <f>Retention!BE113</f>
        <v>26.47834786</v>
      </c>
      <c r="BF111" s="442">
        <f>Retention!BF113</f>
        <v>25.23265474</v>
      </c>
      <c r="BG111" s="442">
        <f>Retention!BG113</f>
        <v>25.04990185</v>
      </c>
      <c r="BH111" s="442">
        <f>Retention!BH113</f>
        <v>24.93069459</v>
      </c>
      <c r="BI111" s="442">
        <f>Retention!BI113</f>
        <v>25.8756449</v>
      </c>
      <c r="BJ111" s="442">
        <f>Retention!BJ113</f>
        <v>26.88537129</v>
      </c>
      <c r="BK111" s="442">
        <f>Retention!BK113</f>
        <v>27.96049895</v>
      </c>
      <c r="BL111" s="442">
        <f>Retention!BL113</f>
        <v>28.84007353</v>
      </c>
      <c r="BM111" s="442">
        <f>Retention!BM113</f>
        <v>29.38991573</v>
      </c>
      <c r="BN111" s="442">
        <f>Retention!BN113</f>
        <v>29.70494256</v>
      </c>
      <c r="BO111" s="442">
        <f>Retention!BO113</f>
        <v>29.08886037</v>
      </c>
      <c r="BP111" s="442">
        <f>Retention!BP113</f>
        <v>28.54267569</v>
      </c>
      <c r="BQ111" s="442">
        <f>Retention!BQ113</f>
        <v>28.06741693</v>
      </c>
      <c r="BR111" s="442">
        <f>Retention!BR113</f>
        <v>27.66413502</v>
      </c>
      <c r="BS111" s="442">
        <f>Retention!BS113</f>
        <v>27.33390399</v>
      </c>
      <c r="BT111" s="442">
        <f>Retention!BT113</f>
        <v>27.07782165</v>
      </c>
      <c r="BU111" s="442">
        <f>Retention!BU113</f>
        <v>27.89701022</v>
      </c>
      <c r="BV111" s="442">
        <f>Retention!BV113</f>
        <v>28.79261701</v>
      </c>
      <c r="BW111" s="442">
        <f>Retention!BW113</f>
        <v>29.76581516</v>
      </c>
      <c r="BX111" s="442">
        <f>Retention!BX113</f>
        <v>30.88372163</v>
      </c>
      <c r="BY111" s="442">
        <f>Retention!BY113</f>
        <v>31.66864936</v>
      </c>
      <c r="BZ111" s="442">
        <f>Retention!BZ113</f>
        <v>32.17360545</v>
      </c>
      <c r="CA111" s="442">
        <f>Retention!CA113</f>
        <v>31.71339363</v>
      </c>
      <c r="CB111" s="442">
        <f>Retention!CB113</f>
        <v>31.28898581</v>
      </c>
      <c r="CC111" s="442">
        <f>Retention!CC113</f>
        <v>30.90134684</v>
      </c>
      <c r="CD111" s="442">
        <f>Retention!CD113</f>
        <v>30.55143493</v>
      </c>
      <c r="CE111" s="442">
        <f>Retention!CE113</f>
        <v>30.24020201</v>
      </c>
      <c r="CF111" s="442">
        <f>Retention!CF113</f>
        <v>29.96859409</v>
      </c>
      <c r="CG111" s="442">
        <f>Retention!CG113</f>
        <v>29.73755163</v>
      </c>
      <c r="CH111" s="442">
        <f>Retention!CH113</f>
        <v>29.54800989</v>
      </c>
      <c r="CI111" s="442"/>
    </row>
    <row r="112" ht="15.75" customHeight="1" outlineLevel="1">
      <c r="A112" s="1" t="s">
        <v>675</v>
      </c>
      <c r="B112" s="1"/>
      <c r="C112" s="443">
        <f>Retention!C121</f>
        <v>-1</v>
      </c>
      <c r="D112" s="443">
        <f>Retention!D121</f>
        <v>-1</v>
      </c>
      <c r="E112" s="443">
        <f>Retention!E121</f>
        <v>-1</v>
      </c>
      <c r="F112" s="443">
        <f>Retention!F121</f>
        <v>-1</v>
      </c>
      <c r="G112" s="443">
        <f>Retention!G121</f>
        <v>-1</v>
      </c>
      <c r="H112" s="443">
        <f>Retention!H121</f>
        <v>-1</v>
      </c>
      <c r="I112" s="443">
        <f>Retention!I121</f>
        <v>-1</v>
      </c>
      <c r="J112" s="443">
        <f>Retention!J121</f>
        <v>-1</v>
      </c>
      <c r="K112" s="443">
        <f>Retention!K121</f>
        <v>-1</v>
      </c>
      <c r="L112" s="443">
        <f>Retention!L121</f>
        <v>-1</v>
      </c>
      <c r="M112" s="443">
        <f>Retention!M121</f>
        <v>-1</v>
      </c>
      <c r="N112" s="443">
        <f>Retention!N121</f>
        <v>-1</v>
      </c>
      <c r="O112" s="442">
        <f>Retention!O121</f>
        <v>-1</v>
      </c>
      <c r="P112" s="442">
        <f>Retention!P121</f>
        <v>-1</v>
      </c>
      <c r="Q112" s="442">
        <f>Retention!Q121</f>
        <v>-1</v>
      </c>
      <c r="R112" s="442">
        <f>Retention!R121</f>
        <v>-1</v>
      </c>
      <c r="S112" s="442">
        <f>Retention!S121</f>
        <v>-1</v>
      </c>
      <c r="T112" s="442">
        <f>Retention!T121</f>
        <v>-1</v>
      </c>
      <c r="U112" s="442">
        <f>Retention!U121</f>
        <v>-1</v>
      </c>
      <c r="V112" s="442">
        <f>Retention!V121</f>
        <v>-1</v>
      </c>
      <c r="W112" s="442">
        <f>Retention!W121</f>
        <v>-1</v>
      </c>
      <c r="X112" s="442">
        <f>Retention!X121</f>
        <v>-1</v>
      </c>
      <c r="Y112" s="442">
        <f>Retention!Y121</f>
        <v>-1</v>
      </c>
      <c r="Z112" s="442">
        <f>Retention!Z121</f>
        <v>-47</v>
      </c>
      <c r="AA112" s="442">
        <f>Retention!AA121</f>
        <v>-63</v>
      </c>
      <c r="AB112" s="442">
        <f>Retention!AB121</f>
        <v>-47</v>
      </c>
      <c r="AC112" s="442">
        <f>Retention!AC121</f>
        <v>-17</v>
      </c>
      <c r="AD112" s="442">
        <f>Retention!AD121</f>
        <v>11</v>
      </c>
      <c r="AE112" s="442">
        <f>Retention!AE121</f>
        <v>25</v>
      </c>
      <c r="AF112" s="442">
        <f>Retention!AF121</f>
        <v>27</v>
      </c>
      <c r="AG112" s="442">
        <f>Retention!AG121</f>
        <v>20</v>
      </c>
      <c r="AH112" s="442">
        <f>Retention!AH121</f>
        <v>8</v>
      </c>
      <c r="AI112" s="442">
        <f>Retention!AI121</f>
        <v>-5</v>
      </c>
      <c r="AJ112" s="442">
        <f>Retention!AJ121</f>
        <v>-13</v>
      </c>
      <c r="AK112" s="442">
        <f>Retention!AK121</f>
        <v>-19</v>
      </c>
      <c r="AL112" s="442">
        <f>Retention!AL121</f>
        <v>-20</v>
      </c>
      <c r="AM112" s="442">
        <f>Retention!AM121</f>
        <v>-17</v>
      </c>
      <c r="AN112" s="442">
        <f>Retention!AN121</f>
        <v>-17</v>
      </c>
      <c r="AO112" s="442">
        <f>Retention!AO121</f>
        <v>-13</v>
      </c>
      <c r="AP112" s="442">
        <f>Retention!AP121</f>
        <v>-9</v>
      </c>
      <c r="AQ112" s="442">
        <f>Retention!AQ121</f>
        <v>-6</v>
      </c>
      <c r="AR112" s="442">
        <f>Retention!AR121</f>
        <v>-4</v>
      </c>
      <c r="AS112" s="442">
        <f>Retention!AS121</f>
        <v>-3</v>
      </c>
      <c r="AT112" s="442">
        <f>Retention!AT121</f>
        <v>-2</v>
      </c>
      <c r="AU112" s="442">
        <f>Retention!AU121</f>
        <v>-2</v>
      </c>
      <c r="AV112" s="442">
        <f>Retention!AV121</f>
        <v>-3</v>
      </c>
      <c r="AW112" s="442">
        <f>Retention!AW121</f>
        <v>-4</v>
      </c>
      <c r="AX112" s="442">
        <f>Retention!AX121</f>
        <v>-6</v>
      </c>
      <c r="AY112" s="442">
        <f>Retention!AY121</f>
        <v>-7</v>
      </c>
      <c r="AZ112" s="442">
        <f>Retention!AZ121</f>
        <v>-8</v>
      </c>
      <c r="BA112" s="442">
        <f>Retention!BA121</f>
        <v>-9</v>
      </c>
      <c r="BB112" s="442">
        <f>Retention!BB121</f>
        <v>-10</v>
      </c>
      <c r="BC112" s="442">
        <f>Retention!BC121</f>
        <v>-10</v>
      </c>
      <c r="BD112" s="442">
        <f>Retention!BD121</f>
        <v>-10</v>
      </c>
      <c r="BE112" s="442">
        <f>Retention!BE121</f>
        <v>-9</v>
      </c>
      <c r="BF112" s="442">
        <f>Retention!BF121</f>
        <v>-8</v>
      </c>
      <c r="BG112" s="442">
        <f>Retention!BG121</f>
        <v>-8</v>
      </c>
      <c r="BH112" s="442">
        <f>Retention!BH121</f>
        <v>-7</v>
      </c>
      <c r="BI112" s="442">
        <f>Retention!BI121</f>
        <v>-7</v>
      </c>
      <c r="BJ112" s="442">
        <f>Retention!BJ121</f>
        <v>-7</v>
      </c>
      <c r="BK112" s="442">
        <f>Retention!BK121</f>
        <v>-7</v>
      </c>
      <c r="BL112" s="442">
        <f>Retention!BL121</f>
        <v>-7</v>
      </c>
      <c r="BM112" s="442">
        <f>Retention!BM121</f>
        <v>-7</v>
      </c>
      <c r="BN112" s="442">
        <f>Retention!BN121</f>
        <v>-8</v>
      </c>
      <c r="BO112" s="442">
        <f>Retention!BO121</f>
        <v>-8</v>
      </c>
      <c r="BP112" s="442">
        <f>Retention!BP121</f>
        <v>-8</v>
      </c>
      <c r="BQ112" s="442">
        <f>Retention!BQ121</f>
        <v>-8</v>
      </c>
      <c r="BR112" s="442">
        <f>Retention!BR121</f>
        <v>-8</v>
      </c>
      <c r="BS112" s="442">
        <f>Retention!BS121</f>
        <v>-8</v>
      </c>
      <c r="BT112" s="442">
        <f>Retention!BT121</f>
        <v>-7</v>
      </c>
      <c r="BU112" s="442">
        <f>Retention!BU121</f>
        <v>-7</v>
      </c>
      <c r="BV112" s="442">
        <f>Retention!BV121</f>
        <v>-7</v>
      </c>
      <c r="BW112" s="442">
        <f>Retention!BW121</f>
        <v>-7</v>
      </c>
      <c r="BX112" s="442">
        <f>Retention!BX121</f>
        <v>-7</v>
      </c>
      <c r="BY112" s="442">
        <f>Retention!BY121</f>
        <v>-7</v>
      </c>
      <c r="BZ112" s="442">
        <f>Retention!BZ121</f>
        <v>-8</v>
      </c>
      <c r="CA112" s="442">
        <f>Retention!CA121</f>
        <v>-8</v>
      </c>
      <c r="CB112" s="442">
        <f>Retention!CB121</f>
        <v>-8</v>
      </c>
      <c r="CC112" s="442">
        <f>Retention!CC121</f>
        <v>-8</v>
      </c>
      <c r="CD112" s="442">
        <f>Retention!CD121</f>
        <v>-8</v>
      </c>
      <c r="CE112" s="442">
        <f>Retention!CE121</f>
        <v>-8</v>
      </c>
      <c r="CF112" s="442">
        <f>Retention!CF121</f>
        <v>-8</v>
      </c>
      <c r="CG112" s="442">
        <f>Retention!CG121</f>
        <v>-8</v>
      </c>
      <c r="CH112" s="442">
        <f>Retention!CH121</f>
        <v>-8</v>
      </c>
      <c r="CI112" s="442"/>
    </row>
    <row r="113" ht="15.75" customHeight="1" outlineLevel="1">
      <c r="A113" s="1" t="s">
        <v>676</v>
      </c>
      <c r="B113" s="1"/>
      <c r="C113" s="442">
        <f>Retention!C129</f>
        <v>51</v>
      </c>
      <c r="D113" s="442">
        <f>Retention!D129</f>
        <v>52</v>
      </c>
      <c r="E113" s="442">
        <f>Retention!E129</f>
        <v>53</v>
      </c>
      <c r="F113" s="442">
        <f>Retention!F129</f>
        <v>54</v>
      </c>
      <c r="G113" s="442">
        <f>Retention!G129</f>
        <v>55</v>
      </c>
      <c r="H113" s="442">
        <f>Retention!H129</f>
        <v>56</v>
      </c>
      <c r="I113" s="442">
        <f>Retention!I129</f>
        <v>57</v>
      </c>
      <c r="J113" s="442">
        <f>Retention!J129</f>
        <v>58</v>
      </c>
      <c r="K113" s="442">
        <f>Retention!K129</f>
        <v>59</v>
      </c>
      <c r="L113" s="442">
        <f>Retention!L129</f>
        <v>60</v>
      </c>
      <c r="M113" s="442">
        <f>Retention!M129</f>
        <v>61</v>
      </c>
      <c r="N113" s="442">
        <f>Retention!N129</f>
        <v>62</v>
      </c>
      <c r="O113" s="442">
        <f>Retention!O129</f>
        <v>63</v>
      </c>
      <c r="P113" s="442">
        <f>Retention!P129</f>
        <v>64</v>
      </c>
      <c r="Q113" s="442">
        <f>Retention!Q129</f>
        <v>65</v>
      </c>
      <c r="R113" s="442">
        <f>Retention!R129</f>
        <v>66</v>
      </c>
      <c r="S113" s="442">
        <f>Retention!S129</f>
        <v>67</v>
      </c>
      <c r="T113" s="442">
        <f>Retention!T129</f>
        <v>68</v>
      </c>
      <c r="U113" s="442">
        <f>Retention!U129</f>
        <v>69</v>
      </c>
      <c r="V113" s="442">
        <f>Retention!V129</f>
        <v>70</v>
      </c>
      <c r="W113" s="442">
        <f>Retention!W129</f>
        <v>71</v>
      </c>
      <c r="X113" s="442">
        <f>Retention!X129</f>
        <v>72</v>
      </c>
      <c r="Y113" s="442">
        <f>Retention!Y129</f>
        <v>73</v>
      </c>
      <c r="Z113" s="442">
        <f>Retention!Z129</f>
        <v>31.75418793</v>
      </c>
      <c r="AA113" s="442">
        <f>Retention!AA129</f>
        <v>-24.86404331</v>
      </c>
      <c r="AB113" s="442">
        <f>Retention!AB129</f>
        <v>-64.66311077</v>
      </c>
      <c r="AC113" s="442">
        <f>Retention!AC129</f>
        <v>-73.97483427</v>
      </c>
      <c r="AD113" s="442">
        <f>Retention!AD129</f>
        <v>-54.90351178</v>
      </c>
      <c r="AE113" s="442">
        <f>Retention!AE129</f>
        <v>-22.24085808</v>
      </c>
      <c r="AF113" s="442">
        <f>Retention!AF129</f>
        <v>12.39722716</v>
      </c>
      <c r="AG113" s="442">
        <f>Retention!AG129</f>
        <v>40.09092165</v>
      </c>
      <c r="AH113" s="442">
        <f>Retention!AH129</f>
        <v>55.83603386</v>
      </c>
      <c r="AI113" s="442">
        <f>Retention!AI129</f>
        <v>58.77282707</v>
      </c>
      <c r="AJ113" s="442">
        <f>Retention!AJ129</f>
        <v>54.83277635</v>
      </c>
      <c r="AK113" s="442">
        <f>Retention!AK129</f>
        <v>45.05305537</v>
      </c>
      <c r="AL113" s="442">
        <f>Retention!AL129</f>
        <v>34.4916837</v>
      </c>
      <c r="AM113" s="442">
        <f>Retention!AM129</f>
        <v>25.41534676</v>
      </c>
      <c r="AN113" s="442">
        <f>Retention!AN129</f>
        <v>15.48335408</v>
      </c>
      <c r="AO113" s="442">
        <f>Retention!AO129</f>
        <v>9.426537543</v>
      </c>
      <c r="AP113" s="442">
        <f>Retention!AP129</f>
        <v>7.426497116</v>
      </c>
      <c r="AQ113" s="442">
        <f>Retention!AQ129</f>
        <v>8.483792686</v>
      </c>
      <c r="AR113" s="442">
        <f>Retention!AR129</f>
        <v>11.56012881</v>
      </c>
      <c r="AS113" s="442">
        <f>Retention!AS129</f>
        <v>15.69451855</v>
      </c>
      <c r="AT113" s="442">
        <f>Retention!AT129</f>
        <v>20.88753587</v>
      </c>
      <c r="AU113" s="442">
        <f>Retention!AU129</f>
        <v>26.13976116</v>
      </c>
      <c r="AV113" s="442">
        <f>Retention!AV129</f>
        <v>30.45178131</v>
      </c>
      <c r="AW113" s="442">
        <f>Retention!AW129</f>
        <v>33.82418983</v>
      </c>
      <c r="AX113" s="442">
        <f>Retention!AX129</f>
        <v>35.25758684</v>
      </c>
      <c r="AY113" s="442">
        <f>Retention!AY129</f>
        <v>35.63017464</v>
      </c>
      <c r="AZ113" s="442">
        <f>Retention!AZ129</f>
        <v>35.07863847</v>
      </c>
      <c r="BA113" s="442">
        <f>Retention!BA129</f>
        <v>33.58711072</v>
      </c>
      <c r="BB113" s="442">
        <f>Retention!BB129</f>
        <v>31.15616529</v>
      </c>
      <c r="BC113" s="442">
        <f>Retention!BC129</f>
        <v>28.78638224</v>
      </c>
      <c r="BD113" s="442">
        <f>Retention!BD129</f>
        <v>26.47834786</v>
      </c>
      <c r="BE113" s="442">
        <f>Retention!BE129</f>
        <v>25.23265474</v>
      </c>
      <c r="BF113" s="442">
        <f>Retention!BF129</f>
        <v>25.04990185</v>
      </c>
      <c r="BG113" s="442">
        <f>Retention!BG129</f>
        <v>24.93069459</v>
      </c>
      <c r="BH113" s="442">
        <f>Retention!BH129</f>
        <v>25.8756449</v>
      </c>
      <c r="BI113" s="442">
        <f>Retention!BI129</f>
        <v>26.88537129</v>
      </c>
      <c r="BJ113" s="442">
        <f>Retention!BJ129</f>
        <v>27.96049895</v>
      </c>
      <c r="BK113" s="442">
        <f>Retention!BK129</f>
        <v>28.84007353</v>
      </c>
      <c r="BL113" s="442">
        <f>Retention!BL129</f>
        <v>29.38991573</v>
      </c>
      <c r="BM113" s="442">
        <f>Retention!BM129</f>
        <v>29.70494256</v>
      </c>
      <c r="BN113" s="442">
        <f>Retention!BN129</f>
        <v>29.08886037</v>
      </c>
      <c r="BO113" s="442">
        <f>Retention!BO129</f>
        <v>28.54267569</v>
      </c>
      <c r="BP113" s="442">
        <f>Retention!BP129</f>
        <v>28.06741693</v>
      </c>
      <c r="BQ113" s="442">
        <f>Retention!BQ129</f>
        <v>27.66413502</v>
      </c>
      <c r="BR113" s="442">
        <f>Retention!BR129</f>
        <v>27.33390399</v>
      </c>
      <c r="BS113" s="442">
        <f>Retention!BS129</f>
        <v>27.07782165</v>
      </c>
      <c r="BT113" s="442">
        <f>Retention!BT129</f>
        <v>27.89701022</v>
      </c>
      <c r="BU113" s="442">
        <f>Retention!BU129</f>
        <v>28.79261701</v>
      </c>
      <c r="BV113" s="442">
        <f>Retention!BV129</f>
        <v>29.76581516</v>
      </c>
      <c r="BW113" s="442">
        <f>Retention!BW129</f>
        <v>30.88372163</v>
      </c>
      <c r="BX113" s="442">
        <f>Retention!BX129</f>
        <v>31.66864936</v>
      </c>
      <c r="BY113" s="442">
        <f>Retention!BY129</f>
        <v>32.17360545</v>
      </c>
      <c r="BZ113" s="442">
        <f>Retention!BZ129</f>
        <v>31.71339363</v>
      </c>
      <c r="CA113" s="442">
        <f>Retention!CA129</f>
        <v>31.28898581</v>
      </c>
      <c r="CB113" s="442">
        <f>Retention!CB129</f>
        <v>30.90134684</v>
      </c>
      <c r="CC113" s="442">
        <f>Retention!CC129</f>
        <v>30.55143493</v>
      </c>
      <c r="CD113" s="442">
        <f>Retention!CD129</f>
        <v>30.24020201</v>
      </c>
      <c r="CE113" s="442">
        <f>Retention!CE129</f>
        <v>29.96859409</v>
      </c>
      <c r="CF113" s="442">
        <f>Retention!CF129</f>
        <v>29.73755163</v>
      </c>
      <c r="CG113" s="442">
        <f>Retention!CG129</f>
        <v>29.54800989</v>
      </c>
      <c r="CH113" s="442">
        <f>Retention!CH129</f>
        <v>29.40089929</v>
      </c>
      <c r="CI113" s="442"/>
    </row>
    <row r="114" ht="15.75" customHeight="1" outlineLevel="1">
      <c r="A114" s="1" t="s">
        <v>97</v>
      </c>
      <c r="B114" s="1"/>
      <c r="C114" s="445">
        <f>'New Biz Sales'!C99</f>
        <v>291580</v>
      </c>
      <c r="D114" s="445">
        <f>'New Biz Sales'!D99</f>
        <v>372012</v>
      </c>
      <c r="E114" s="445">
        <f>'New Biz Sales'!E99</f>
        <v>278811</v>
      </c>
      <c r="F114" s="445">
        <f>'New Biz Sales'!F99</f>
        <v>475487</v>
      </c>
      <c r="G114" s="445">
        <f>'New Biz Sales'!G99</f>
        <v>342919</v>
      </c>
      <c r="H114" s="445">
        <f>'New Biz Sales'!H99</f>
        <v>258019</v>
      </c>
      <c r="I114" s="445">
        <f>'New Biz Sales'!I99</f>
        <v>364197</v>
      </c>
      <c r="J114" s="445">
        <f>'New Biz Sales'!J99</f>
        <v>231346</v>
      </c>
      <c r="K114" s="445">
        <f>'New Biz Sales'!K99</f>
        <v>358132</v>
      </c>
      <c r="L114" s="445">
        <f>'New Biz Sales'!L99</f>
        <v>200143</v>
      </c>
      <c r="M114" s="445">
        <f>'New Biz Sales'!M99</f>
        <v>445499</v>
      </c>
      <c r="N114" s="445">
        <f>'New Biz Sales'!N99</f>
        <v>255251</v>
      </c>
      <c r="O114" s="445">
        <f>'New Biz Sales'!O99</f>
        <v>208508</v>
      </c>
      <c r="P114" s="445">
        <f>'New Biz Sales'!P99</f>
        <v>329458</v>
      </c>
      <c r="Q114" s="445">
        <f>'New Biz Sales'!Q99</f>
        <v>432189</v>
      </c>
      <c r="R114" s="445">
        <f>'New Biz Sales'!R99</f>
        <v>424553</v>
      </c>
      <c r="S114" s="445">
        <f>'New Biz Sales'!S99</f>
        <v>108659</v>
      </c>
      <c r="T114" s="445">
        <f>'New Biz Sales'!T99</f>
        <v>465660</v>
      </c>
      <c r="U114" s="445">
        <f>'New Biz Sales'!U99</f>
        <v>297991</v>
      </c>
      <c r="V114" s="445">
        <f>'New Biz Sales'!V99</f>
        <v>223591</v>
      </c>
      <c r="W114" s="445">
        <f>'New Biz Sales'!W99</f>
        <v>392857</v>
      </c>
      <c r="X114" s="445">
        <f>'New Biz Sales'!X99</f>
        <v>268265</v>
      </c>
      <c r="Y114" s="445">
        <f>'New Biz Sales'!Y99</f>
        <v>325194</v>
      </c>
      <c r="Z114" s="445">
        <f>'New Biz Sales'!Z99</f>
        <v>22500</v>
      </c>
      <c r="AA114" s="445">
        <f>'New Biz Sales'!AA99</f>
        <v>22950</v>
      </c>
      <c r="AB114" s="445">
        <f>'New Biz Sales'!AB99</f>
        <v>22950</v>
      </c>
      <c r="AC114" s="445">
        <f>'New Biz Sales'!AC99</f>
        <v>22950</v>
      </c>
      <c r="AD114" s="445">
        <f>'New Biz Sales'!AD99</f>
        <v>22950</v>
      </c>
      <c r="AE114" s="445">
        <f>'New Biz Sales'!AE99</f>
        <v>22950</v>
      </c>
      <c r="AF114" s="445">
        <f>'New Biz Sales'!AF99</f>
        <v>23638.5</v>
      </c>
      <c r="AG114" s="445">
        <f>'New Biz Sales'!AG99</f>
        <v>23638.5</v>
      </c>
      <c r="AH114" s="445">
        <f>'New Biz Sales'!AH99</f>
        <v>23638.5</v>
      </c>
      <c r="AI114" s="445">
        <f>'New Biz Sales'!AI99</f>
        <v>23638.5</v>
      </c>
      <c r="AJ114" s="445">
        <f>'New Biz Sales'!AJ99</f>
        <v>23638.5</v>
      </c>
      <c r="AK114" s="445">
        <f>'New Biz Sales'!AK99</f>
        <v>23638.5</v>
      </c>
      <c r="AL114" s="445">
        <f>'New Biz Sales'!AL99</f>
        <v>23638.5</v>
      </c>
      <c r="AM114" s="445">
        <f>'New Biz Sales'!AM99</f>
        <v>24584.04</v>
      </c>
      <c r="AN114" s="445">
        <f>'New Biz Sales'!AN99</f>
        <v>24584.04</v>
      </c>
      <c r="AO114" s="445">
        <f>'New Biz Sales'!AO99</f>
        <v>24584.04</v>
      </c>
      <c r="AP114" s="445">
        <f>'New Biz Sales'!AP99</f>
        <v>24584.04</v>
      </c>
      <c r="AQ114" s="445">
        <f>'New Biz Sales'!AQ99</f>
        <v>24584.04</v>
      </c>
      <c r="AR114" s="445">
        <f>'New Biz Sales'!AR99</f>
        <v>24829.8804</v>
      </c>
      <c r="AS114" s="445">
        <f>'New Biz Sales'!AS99</f>
        <v>24829.8804</v>
      </c>
      <c r="AT114" s="445">
        <f>'New Biz Sales'!AT99</f>
        <v>24829.8804</v>
      </c>
      <c r="AU114" s="445">
        <f>'New Biz Sales'!AU99</f>
        <v>24829.8804</v>
      </c>
      <c r="AV114" s="445">
        <f>'New Biz Sales'!AV99</f>
        <v>24829.8804</v>
      </c>
      <c r="AW114" s="445">
        <f>'New Biz Sales'!AW99</f>
        <v>24829.8804</v>
      </c>
      <c r="AX114" s="445">
        <f>'New Biz Sales'!AX99</f>
        <v>24829.8804</v>
      </c>
      <c r="AY114" s="445">
        <f>'New Biz Sales'!AY99</f>
        <v>25574.77681</v>
      </c>
      <c r="AZ114" s="445">
        <f>'New Biz Sales'!AZ99</f>
        <v>25574.77681</v>
      </c>
      <c r="BA114" s="445">
        <f>'New Biz Sales'!BA99</f>
        <v>25574.77681</v>
      </c>
      <c r="BB114" s="445">
        <f>'New Biz Sales'!BB99</f>
        <v>25574.77681</v>
      </c>
      <c r="BC114" s="445">
        <f>'New Biz Sales'!BC99</f>
        <v>25574.77681</v>
      </c>
      <c r="BD114" s="445">
        <f>'New Biz Sales'!BD99</f>
        <v>25574.77681</v>
      </c>
      <c r="BE114" s="445">
        <f>'New Biz Sales'!BE99</f>
        <v>25574.77681</v>
      </c>
      <c r="BF114" s="445">
        <f>'New Biz Sales'!BF99</f>
        <v>25574.77681</v>
      </c>
      <c r="BG114" s="445">
        <f>'New Biz Sales'!BG99</f>
        <v>25574.77681</v>
      </c>
      <c r="BH114" s="445">
        <f>'New Biz Sales'!BH99</f>
        <v>25574.77681</v>
      </c>
      <c r="BI114" s="445">
        <f>'New Biz Sales'!BI99</f>
        <v>25574.77681</v>
      </c>
      <c r="BJ114" s="445">
        <f>'New Biz Sales'!BJ99</f>
        <v>25574.77681</v>
      </c>
      <c r="BK114" s="445">
        <f>'New Biz Sales'!BK99</f>
        <v>26853.51565</v>
      </c>
      <c r="BL114" s="445">
        <f>'New Biz Sales'!BL99</f>
        <v>28196.19144</v>
      </c>
      <c r="BM114" s="445">
        <f>'New Biz Sales'!BM99</f>
        <v>28196.19144</v>
      </c>
      <c r="BN114" s="445">
        <f>'New Biz Sales'!BN99</f>
        <v>28196.19144</v>
      </c>
      <c r="BO114" s="445">
        <f>'New Biz Sales'!BO99</f>
        <v>28196.19144</v>
      </c>
      <c r="BP114" s="445">
        <f>'New Biz Sales'!BP99</f>
        <v>28196.19144</v>
      </c>
      <c r="BQ114" s="445">
        <f>'New Biz Sales'!BQ99</f>
        <v>28196.19144</v>
      </c>
      <c r="BR114" s="445">
        <f>'New Biz Sales'!BR99</f>
        <v>28196.19144</v>
      </c>
      <c r="BS114" s="445">
        <f>'New Biz Sales'!BS99</f>
        <v>28196.19144</v>
      </c>
      <c r="BT114" s="445">
        <f>'New Biz Sales'!BT99</f>
        <v>28196.19144</v>
      </c>
      <c r="BU114" s="445">
        <f>'New Biz Sales'!BU99</f>
        <v>28196.19144</v>
      </c>
      <c r="BV114" s="445">
        <f>'New Biz Sales'!BV99</f>
        <v>28196.19144</v>
      </c>
      <c r="BW114" s="445">
        <f>'New Biz Sales'!BW99</f>
        <v>28196.19144</v>
      </c>
      <c r="BX114" s="445">
        <f>'New Biz Sales'!BX99</f>
        <v>28196.19144</v>
      </c>
      <c r="BY114" s="445">
        <f>'New Biz Sales'!BY99</f>
        <v>28196.19144</v>
      </c>
      <c r="BZ114" s="445">
        <f>'New Biz Sales'!BZ99</f>
        <v>28196.19144</v>
      </c>
      <c r="CA114" s="445">
        <f>'New Biz Sales'!CA99</f>
        <v>28196.19144</v>
      </c>
      <c r="CB114" s="445">
        <f>'New Biz Sales'!CB99</f>
        <v>28196.19144</v>
      </c>
      <c r="CC114" s="445">
        <f>'New Biz Sales'!CC99</f>
        <v>28196.19144</v>
      </c>
      <c r="CD114" s="445">
        <f>'New Biz Sales'!CD99</f>
        <v>28196.19144</v>
      </c>
      <c r="CE114" s="445">
        <f>'New Biz Sales'!CE99</f>
        <v>28196.19144</v>
      </c>
      <c r="CF114" s="445">
        <f>'New Biz Sales'!CF99</f>
        <v>28196.19144</v>
      </c>
      <c r="CG114" s="445">
        <f>'New Biz Sales'!CG99</f>
        <v>28196.19144</v>
      </c>
      <c r="CH114" s="445">
        <f>'New Biz Sales'!CH99</f>
        <v>28196.19144</v>
      </c>
      <c r="CI114" s="445"/>
    </row>
    <row r="115" ht="15.75" customHeight="1" outlineLevel="1">
      <c r="A115" s="1"/>
      <c r="B115" s="1"/>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c r="BS115" s="117"/>
      <c r="BT115" s="117"/>
      <c r="BU115" s="117"/>
      <c r="BV115" s="117"/>
      <c r="BW115" s="117"/>
      <c r="BX115" s="117"/>
      <c r="BY115" s="117"/>
      <c r="BZ115" s="117"/>
      <c r="CA115" s="117"/>
      <c r="CB115" s="117"/>
      <c r="CC115" s="117"/>
      <c r="CD115" s="117"/>
      <c r="CE115" s="117"/>
      <c r="CF115" s="117"/>
      <c r="CG115" s="117"/>
      <c r="CH115" s="117"/>
      <c r="CI115" s="117"/>
    </row>
    <row r="116" ht="15.75" customHeight="1" outlineLevel="1">
      <c r="A116" s="1" t="s">
        <v>197</v>
      </c>
      <c r="B116" s="1"/>
      <c r="C116" s="387">
        <f t="array" ref="C116">INDEX('IS Proforma'!$1:$1048490,MATCH($A116,'IS Proforma'!$C:$C,0),MATCH(C$4,'IS Proforma'!$4:$4))</f>
        <v>161423</v>
      </c>
      <c r="D116" s="387">
        <f t="array" ref="D116">INDEX('IS Proforma'!$1:$1048490,MATCH($A116,'IS Proforma'!$C:$C,0),MATCH(D$4,'IS Proforma'!$4:$4))</f>
        <v>184184</v>
      </c>
      <c r="E116" s="387">
        <f t="array" ref="E116">INDEX('IS Proforma'!$1:$1048490,MATCH($A116,'IS Proforma'!$C:$C,0),MATCH(E$4,'IS Proforma'!$4:$4))</f>
        <v>157694</v>
      </c>
      <c r="F116" s="387">
        <f t="array" ref="F116">INDEX('IS Proforma'!$1:$1048490,MATCH($A116,'IS Proforma'!$C:$C,0),MATCH(F$4,'IS Proforma'!$4:$4))</f>
        <v>229490</v>
      </c>
      <c r="G116" s="387">
        <f t="array" ref="G116">INDEX('IS Proforma'!$1:$1048490,MATCH($A116,'IS Proforma'!$C:$C,0),MATCH(G$4,'IS Proforma'!$4:$4))</f>
        <v>106688</v>
      </c>
      <c r="H116" s="387">
        <f t="array" ref="H116">INDEX('IS Proforma'!$1:$1048490,MATCH($A116,'IS Proforma'!$C:$C,0),MATCH(H$4,'IS Proforma'!$4:$4))</f>
        <v>207245</v>
      </c>
      <c r="I116" s="387">
        <f t="array" ref="I116">INDEX('IS Proforma'!$1:$1048490,MATCH($A116,'IS Proforma'!$C:$C,0),MATCH(I$4,'IS Proforma'!$4:$4))</f>
        <v>103555</v>
      </c>
      <c r="J116" s="387">
        <f t="array" ref="J116">INDEX('IS Proforma'!$1:$1048490,MATCH($A116,'IS Proforma'!$C:$C,0),MATCH(J$4,'IS Proforma'!$4:$4))</f>
        <v>162516</v>
      </c>
      <c r="K116" s="387">
        <f t="array" ref="K116">INDEX('IS Proforma'!$1:$1048490,MATCH($A116,'IS Proforma'!$C:$C,0),MATCH(K$4,'IS Proforma'!$4:$4))</f>
        <v>118746</v>
      </c>
      <c r="L116" s="387">
        <f t="array" ref="L116">INDEX('IS Proforma'!$1:$1048490,MATCH($A116,'IS Proforma'!$C:$C,0),MATCH(L$4,'IS Proforma'!$4:$4))</f>
        <v>151485</v>
      </c>
      <c r="M116" s="387">
        <f t="array" ref="M116">INDEX('IS Proforma'!$1:$1048490,MATCH($A116,'IS Proforma'!$C:$C,0),MATCH(M$4,'IS Proforma'!$4:$4))</f>
        <v>134512</v>
      </c>
      <c r="N116" s="387">
        <f t="array" ref="N116">INDEX('IS Proforma'!$1:$1048490,MATCH($A116,'IS Proforma'!$C:$C,0),MATCH(N$4,'IS Proforma'!$4:$4))</f>
        <v>153506</v>
      </c>
      <c r="O116" s="117">
        <f t="array" ref="O116">INDEX('IS Proforma'!$1:$1048490,MATCH($A116,'IS Proforma'!$C:$C,0),MATCH(O$4,'IS Proforma'!$4:$4))</f>
        <v>226884</v>
      </c>
      <c r="P116" s="117">
        <f t="array" ref="P116">INDEX('IS Proforma'!$1:$1048490,MATCH($A116,'IS Proforma'!$C:$C,0),MATCH(P$4,'IS Proforma'!$4:$4))</f>
        <v>146787</v>
      </c>
      <c r="Q116" s="387">
        <f t="array" ref="Q116">INDEX('IS Proforma'!$1:$1048490,MATCH($A116,'IS Proforma'!$C:$C,0),MATCH(Q$4,'IS Proforma'!$4:$4))</f>
        <v>203460</v>
      </c>
      <c r="R116" s="387">
        <f t="array" ref="R116">INDEX('IS Proforma'!$1:$1048490,MATCH($A116,'IS Proforma'!$C:$C,0),MATCH(R$4,'IS Proforma'!$4:$4))</f>
        <v>215821</v>
      </c>
      <c r="S116" s="387">
        <f t="array" ref="S116">INDEX('IS Proforma'!$1:$1048490,MATCH($A116,'IS Proforma'!$C:$C,0),MATCH(S$4,'IS Proforma'!$4:$4))</f>
        <v>177446</v>
      </c>
      <c r="T116" s="387">
        <f t="array" ref="T116">INDEX('IS Proforma'!$1:$1048490,MATCH($A116,'IS Proforma'!$C:$C,0),MATCH(T$4,'IS Proforma'!$4:$4))</f>
        <v>238987</v>
      </c>
      <c r="U116" s="387">
        <f t="array" ref="U116">INDEX('IS Proforma'!$1:$1048490,MATCH($A116,'IS Proforma'!$C:$C,0),MATCH(U$4,'IS Proforma'!$4:$4))</f>
        <v>235624</v>
      </c>
      <c r="V116" s="387">
        <f t="array" ref="V116">INDEX('IS Proforma'!$1:$1048490,MATCH($A116,'IS Proforma'!$C:$C,0),MATCH(V$4,'IS Proforma'!$4:$4))</f>
        <v>206309</v>
      </c>
      <c r="W116" s="387">
        <f t="array" ref="W116">INDEX('IS Proforma'!$1:$1048490,MATCH($A116,'IS Proforma'!$C:$C,0),MATCH(W$4,'IS Proforma'!$4:$4))</f>
        <v>135630</v>
      </c>
      <c r="X116" s="387">
        <f t="array" ref="X116">INDEX('IS Proforma'!$1:$1048490,MATCH($A116,'IS Proforma'!$C:$C,0),MATCH(X$4,'IS Proforma'!$4:$4))</f>
        <v>187158</v>
      </c>
      <c r="Y116" s="387">
        <f t="array" ref="Y116">INDEX('IS Proforma'!$1:$1048490,MATCH($A116,'IS Proforma'!$C:$C,0),MATCH(Y$4,'IS Proforma'!$4:$4))</f>
        <v>106005</v>
      </c>
      <c r="Z116" s="131">
        <f t="shared" ref="Z116:CH116" si="53">Y116+Z117</f>
        <v>106005</v>
      </c>
      <c r="AA116" s="131">
        <f t="shared" si="53"/>
        <v>106505</v>
      </c>
      <c r="AB116" s="131">
        <f t="shared" si="53"/>
        <v>107005</v>
      </c>
      <c r="AC116" s="131">
        <f t="shared" si="53"/>
        <v>107505</v>
      </c>
      <c r="AD116" s="131">
        <f t="shared" si="53"/>
        <v>108005</v>
      </c>
      <c r="AE116" s="131">
        <f t="shared" si="53"/>
        <v>108505</v>
      </c>
      <c r="AF116" s="131">
        <f t="shared" si="53"/>
        <v>109005</v>
      </c>
      <c r="AG116" s="131">
        <f t="shared" si="53"/>
        <v>109505</v>
      </c>
      <c r="AH116" s="131">
        <f t="shared" si="53"/>
        <v>110005</v>
      </c>
      <c r="AI116" s="131">
        <f t="shared" si="53"/>
        <v>110505</v>
      </c>
      <c r="AJ116" s="131">
        <f t="shared" si="53"/>
        <v>111005</v>
      </c>
      <c r="AK116" s="131">
        <f t="shared" si="53"/>
        <v>111505</v>
      </c>
      <c r="AL116" s="131">
        <f t="shared" si="53"/>
        <v>112005</v>
      </c>
      <c r="AM116" s="131">
        <f t="shared" si="53"/>
        <v>112505</v>
      </c>
      <c r="AN116" s="131">
        <f t="shared" si="53"/>
        <v>113005</v>
      </c>
      <c r="AO116" s="131">
        <f t="shared" si="53"/>
        <v>113505</v>
      </c>
      <c r="AP116" s="131">
        <f t="shared" si="53"/>
        <v>114005</v>
      </c>
      <c r="AQ116" s="131">
        <f t="shared" si="53"/>
        <v>114505</v>
      </c>
      <c r="AR116" s="131">
        <f t="shared" si="53"/>
        <v>115005</v>
      </c>
      <c r="AS116" s="131">
        <f t="shared" si="53"/>
        <v>115505</v>
      </c>
      <c r="AT116" s="131">
        <f t="shared" si="53"/>
        <v>116005</v>
      </c>
      <c r="AU116" s="131">
        <f t="shared" si="53"/>
        <v>116505</v>
      </c>
      <c r="AV116" s="131">
        <f t="shared" si="53"/>
        <v>117005</v>
      </c>
      <c r="AW116" s="131">
        <f t="shared" si="53"/>
        <v>117505</v>
      </c>
      <c r="AX116" s="131">
        <f t="shared" si="53"/>
        <v>118005</v>
      </c>
      <c r="AY116" s="131">
        <f t="shared" si="53"/>
        <v>118505</v>
      </c>
      <c r="AZ116" s="131">
        <f t="shared" si="53"/>
        <v>119005</v>
      </c>
      <c r="BA116" s="131">
        <f t="shared" si="53"/>
        <v>119505</v>
      </c>
      <c r="BB116" s="131">
        <f t="shared" si="53"/>
        <v>120005</v>
      </c>
      <c r="BC116" s="131">
        <f t="shared" si="53"/>
        <v>120505</v>
      </c>
      <c r="BD116" s="131">
        <f t="shared" si="53"/>
        <v>121005</v>
      </c>
      <c r="BE116" s="131">
        <f t="shared" si="53"/>
        <v>121505</v>
      </c>
      <c r="BF116" s="131">
        <f t="shared" si="53"/>
        <v>122005</v>
      </c>
      <c r="BG116" s="131">
        <f t="shared" si="53"/>
        <v>122505</v>
      </c>
      <c r="BH116" s="131">
        <f t="shared" si="53"/>
        <v>123005</v>
      </c>
      <c r="BI116" s="131">
        <f t="shared" si="53"/>
        <v>123505</v>
      </c>
      <c r="BJ116" s="131">
        <f t="shared" si="53"/>
        <v>124005</v>
      </c>
      <c r="BK116" s="131">
        <f t="shared" si="53"/>
        <v>126005</v>
      </c>
      <c r="BL116" s="131">
        <f t="shared" si="53"/>
        <v>128005</v>
      </c>
      <c r="BM116" s="131">
        <f t="shared" si="53"/>
        <v>130005</v>
      </c>
      <c r="BN116" s="131">
        <f t="shared" si="53"/>
        <v>132005</v>
      </c>
      <c r="BO116" s="131">
        <f t="shared" si="53"/>
        <v>134005</v>
      </c>
      <c r="BP116" s="131">
        <f t="shared" si="53"/>
        <v>136005</v>
      </c>
      <c r="BQ116" s="131">
        <f t="shared" si="53"/>
        <v>138005</v>
      </c>
      <c r="BR116" s="131">
        <f t="shared" si="53"/>
        <v>140005</v>
      </c>
      <c r="BS116" s="131">
        <f t="shared" si="53"/>
        <v>142005</v>
      </c>
      <c r="BT116" s="131">
        <f t="shared" si="53"/>
        <v>144005</v>
      </c>
      <c r="BU116" s="131">
        <f t="shared" si="53"/>
        <v>146005</v>
      </c>
      <c r="BV116" s="131">
        <f t="shared" si="53"/>
        <v>148005</v>
      </c>
      <c r="BW116" s="131">
        <f t="shared" si="53"/>
        <v>150005</v>
      </c>
      <c r="BX116" s="131">
        <f t="shared" si="53"/>
        <v>152005</v>
      </c>
      <c r="BY116" s="131">
        <f t="shared" si="53"/>
        <v>154005</v>
      </c>
      <c r="BZ116" s="131">
        <f t="shared" si="53"/>
        <v>156005</v>
      </c>
      <c r="CA116" s="131">
        <f t="shared" si="53"/>
        <v>158005</v>
      </c>
      <c r="CB116" s="131">
        <f t="shared" si="53"/>
        <v>160005</v>
      </c>
      <c r="CC116" s="131">
        <f t="shared" si="53"/>
        <v>162005</v>
      </c>
      <c r="CD116" s="131">
        <f t="shared" si="53"/>
        <v>164005</v>
      </c>
      <c r="CE116" s="131">
        <f t="shared" si="53"/>
        <v>166005</v>
      </c>
      <c r="CF116" s="131">
        <f t="shared" si="53"/>
        <v>168005</v>
      </c>
      <c r="CG116" s="131">
        <f t="shared" si="53"/>
        <v>170005</v>
      </c>
      <c r="CH116" s="131">
        <f t="shared" si="53"/>
        <v>172005</v>
      </c>
      <c r="CI116" s="131"/>
    </row>
    <row r="117" ht="15.75" customHeight="1" outlineLevel="1">
      <c r="A117" s="1" t="s">
        <v>325</v>
      </c>
      <c r="B117" s="1"/>
      <c r="C117" s="1"/>
      <c r="D117" s="387">
        <f t="shared" ref="D117:V117" si="54">D116-C116</f>
        <v>22761</v>
      </c>
      <c r="E117" s="387">
        <f t="shared" si="54"/>
        <v>-26490</v>
      </c>
      <c r="F117" s="387">
        <f t="shared" si="54"/>
        <v>71796</v>
      </c>
      <c r="G117" s="387">
        <f t="shared" si="54"/>
        <v>-122802</v>
      </c>
      <c r="H117" s="387">
        <f t="shared" si="54"/>
        <v>100557</v>
      </c>
      <c r="I117" s="387">
        <f t="shared" si="54"/>
        <v>-103690</v>
      </c>
      <c r="J117" s="387">
        <f t="shared" si="54"/>
        <v>58961</v>
      </c>
      <c r="K117" s="387">
        <f t="shared" si="54"/>
        <v>-43770</v>
      </c>
      <c r="L117" s="387">
        <f t="shared" si="54"/>
        <v>32739</v>
      </c>
      <c r="M117" s="387">
        <f t="shared" si="54"/>
        <v>-16973</v>
      </c>
      <c r="N117" s="387">
        <f t="shared" si="54"/>
        <v>18994</v>
      </c>
      <c r="O117" s="387">
        <f t="shared" si="54"/>
        <v>73378</v>
      </c>
      <c r="P117" s="387">
        <f t="shared" si="54"/>
        <v>-80097</v>
      </c>
      <c r="Q117" s="387">
        <f t="shared" si="54"/>
        <v>56673</v>
      </c>
      <c r="R117" s="387">
        <f t="shared" si="54"/>
        <v>12361</v>
      </c>
      <c r="S117" s="387">
        <f t="shared" si="54"/>
        <v>-38375</v>
      </c>
      <c r="T117" s="387">
        <f t="shared" si="54"/>
        <v>61541</v>
      </c>
      <c r="U117" s="387">
        <f t="shared" si="54"/>
        <v>-3363</v>
      </c>
      <c r="V117" s="387">
        <f t="shared" si="54"/>
        <v>-29315</v>
      </c>
      <c r="W117" s="387">
        <v>0.0</v>
      </c>
      <c r="X117" s="387">
        <v>0.0</v>
      </c>
      <c r="Y117" s="387">
        <v>0.0</v>
      </c>
      <c r="Z117" s="295">
        <v>0.0</v>
      </c>
      <c r="AA117" s="295">
        <v>500.0</v>
      </c>
      <c r="AB117" s="295">
        <v>500.0</v>
      </c>
      <c r="AC117" s="295">
        <v>500.0</v>
      </c>
      <c r="AD117" s="295">
        <v>500.0</v>
      </c>
      <c r="AE117" s="295">
        <v>500.0</v>
      </c>
      <c r="AF117" s="295">
        <f t="shared" ref="AF117:BJ117" si="55">AE117</f>
        <v>500</v>
      </c>
      <c r="AG117" s="295">
        <f t="shared" si="55"/>
        <v>500</v>
      </c>
      <c r="AH117" s="295">
        <f t="shared" si="55"/>
        <v>500</v>
      </c>
      <c r="AI117" s="295">
        <f t="shared" si="55"/>
        <v>500</v>
      </c>
      <c r="AJ117" s="295">
        <f t="shared" si="55"/>
        <v>500</v>
      </c>
      <c r="AK117" s="295">
        <f t="shared" si="55"/>
        <v>500</v>
      </c>
      <c r="AL117" s="295">
        <f t="shared" si="55"/>
        <v>500</v>
      </c>
      <c r="AM117" s="295">
        <f t="shared" si="55"/>
        <v>500</v>
      </c>
      <c r="AN117" s="295">
        <f t="shared" si="55"/>
        <v>500</v>
      </c>
      <c r="AO117" s="295">
        <f t="shared" si="55"/>
        <v>500</v>
      </c>
      <c r="AP117" s="295">
        <f t="shared" si="55"/>
        <v>500</v>
      </c>
      <c r="AQ117" s="295">
        <f t="shared" si="55"/>
        <v>500</v>
      </c>
      <c r="AR117" s="295">
        <f t="shared" si="55"/>
        <v>500</v>
      </c>
      <c r="AS117" s="295">
        <f t="shared" si="55"/>
        <v>500</v>
      </c>
      <c r="AT117" s="295">
        <f t="shared" si="55"/>
        <v>500</v>
      </c>
      <c r="AU117" s="295">
        <f t="shared" si="55"/>
        <v>500</v>
      </c>
      <c r="AV117" s="295">
        <f t="shared" si="55"/>
        <v>500</v>
      </c>
      <c r="AW117" s="295">
        <f t="shared" si="55"/>
        <v>500</v>
      </c>
      <c r="AX117" s="295">
        <f t="shared" si="55"/>
        <v>500</v>
      </c>
      <c r="AY117" s="295">
        <f t="shared" si="55"/>
        <v>500</v>
      </c>
      <c r="AZ117" s="295">
        <f t="shared" si="55"/>
        <v>500</v>
      </c>
      <c r="BA117" s="295">
        <f t="shared" si="55"/>
        <v>500</v>
      </c>
      <c r="BB117" s="295">
        <f t="shared" si="55"/>
        <v>500</v>
      </c>
      <c r="BC117" s="295">
        <f t="shared" si="55"/>
        <v>500</v>
      </c>
      <c r="BD117" s="295">
        <f t="shared" si="55"/>
        <v>500</v>
      </c>
      <c r="BE117" s="295">
        <f t="shared" si="55"/>
        <v>500</v>
      </c>
      <c r="BF117" s="295">
        <f t="shared" si="55"/>
        <v>500</v>
      </c>
      <c r="BG117" s="295">
        <f t="shared" si="55"/>
        <v>500</v>
      </c>
      <c r="BH117" s="295">
        <f t="shared" si="55"/>
        <v>500</v>
      </c>
      <c r="BI117" s="295">
        <f t="shared" si="55"/>
        <v>500</v>
      </c>
      <c r="BJ117" s="295">
        <f t="shared" si="55"/>
        <v>500</v>
      </c>
      <c r="BK117" s="295">
        <v>2000.0</v>
      </c>
      <c r="BL117" s="295">
        <f t="shared" ref="BL117:CH117" si="56">BK117</f>
        <v>2000</v>
      </c>
      <c r="BM117" s="295">
        <f t="shared" si="56"/>
        <v>2000</v>
      </c>
      <c r="BN117" s="295">
        <f t="shared" si="56"/>
        <v>2000</v>
      </c>
      <c r="BO117" s="295">
        <f t="shared" si="56"/>
        <v>2000</v>
      </c>
      <c r="BP117" s="295">
        <f t="shared" si="56"/>
        <v>2000</v>
      </c>
      <c r="BQ117" s="295">
        <f t="shared" si="56"/>
        <v>2000</v>
      </c>
      <c r="BR117" s="295">
        <f t="shared" si="56"/>
        <v>2000</v>
      </c>
      <c r="BS117" s="295">
        <f t="shared" si="56"/>
        <v>2000</v>
      </c>
      <c r="BT117" s="295">
        <f t="shared" si="56"/>
        <v>2000</v>
      </c>
      <c r="BU117" s="295">
        <f t="shared" si="56"/>
        <v>2000</v>
      </c>
      <c r="BV117" s="295">
        <f t="shared" si="56"/>
        <v>2000</v>
      </c>
      <c r="BW117" s="295">
        <f t="shared" si="56"/>
        <v>2000</v>
      </c>
      <c r="BX117" s="295">
        <f t="shared" si="56"/>
        <v>2000</v>
      </c>
      <c r="BY117" s="295">
        <f t="shared" si="56"/>
        <v>2000</v>
      </c>
      <c r="BZ117" s="295">
        <f t="shared" si="56"/>
        <v>2000</v>
      </c>
      <c r="CA117" s="295">
        <f t="shared" si="56"/>
        <v>2000</v>
      </c>
      <c r="CB117" s="295">
        <f t="shared" si="56"/>
        <v>2000</v>
      </c>
      <c r="CC117" s="295">
        <f t="shared" si="56"/>
        <v>2000</v>
      </c>
      <c r="CD117" s="295">
        <f t="shared" si="56"/>
        <v>2000</v>
      </c>
      <c r="CE117" s="295">
        <f t="shared" si="56"/>
        <v>2000</v>
      </c>
      <c r="CF117" s="295">
        <f t="shared" si="56"/>
        <v>2000</v>
      </c>
      <c r="CG117" s="295">
        <f t="shared" si="56"/>
        <v>2000</v>
      </c>
      <c r="CH117" s="295">
        <f t="shared" si="56"/>
        <v>2000</v>
      </c>
      <c r="CI117" s="295"/>
    </row>
    <row r="118" ht="15.75" customHeight="1" outlineLevel="1">
      <c r="A118" s="1" t="s">
        <v>51</v>
      </c>
      <c r="B118" s="446" t="s">
        <v>677</v>
      </c>
      <c r="C118" s="1"/>
      <c r="D118" s="425">
        <f t="shared" ref="D118:CH118" si="57">D116/C116-1</f>
        <v>0.1410022116</v>
      </c>
      <c r="E118" s="425">
        <f t="shared" si="57"/>
        <v>-0.1438235677</v>
      </c>
      <c r="F118" s="425">
        <f t="shared" si="57"/>
        <v>0.4552868213</v>
      </c>
      <c r="G118" s="425">
        <f t="shared" si="57"/>
        <v>-0.5351082836</v>
      </c>
      <c r="H118" s="425">
        <f t="shared" si="57"/>
        <v>0.9425333683</v>
      </c>
      <c r="I118" s="425">
        <f t="shared" si="57"/>
        <v>-0.5003257015</v>
      </c>
      <c r="J118" s="425">
        <f t="shared" si="57"/>
        <v>0.5693689344</v>
      </c>
      <c r="K118" s="425">
        <f t="shared" si="57"/>
        <v>-0.2693273278</v>
      </c>
      <c r="L118" s="425">
        <f t="shared" si="57"/>
        <v>0.275706129</v>
      </c>
      <c r="M118" s="425">
        <f t="shared" si="57"/>
        <v>-0.1120440968</v>
      </c>
      <c r="N118" s="425">
        <f t="shared" si="57"/>
        <v>0.1412067325</v>
      </c>
      <c r="O118" s="425">
        <f t="shared" si="57"/>
        <v>0.4780138887</v>
      </c>
      <c r="P118" s="425">
        <f t="shared" si="57"/>
        <v>-0.3530306236</v>
      </c>
      <c r="Q118" s="425">
        <f t="shared" si="57"/>
        <v>0.3860900488</v>
      </c>
      <c r="R118" s="423">
        <f t="shared" si="57"/>
        <v>0.06075395655</v>
      </c>
      <c r="S118" s="423">
        <f t="shared" si="57"/>
        <v>-0.1778093883</v>
      </c>
      <c r="T118" s="423">
        <f t="shared" si="57"/>
        <v>0.3468153692</v>
      </c>
      <c r="U118" s="423">
        <f t="shared" si="57"/>
        <v>-0.01407189512</v>
      </c>
      <c r="V118" s="423">
        <f t="shared" si="57"/>
        <v>-0.1244143211</v>
      </c>
      <c r="W118" s="423">
        <f t="shared" si="57"/>
        <v>-0.3425880597</v>
      </c>
      <c r="X118" s="423">
        <f t="shared" si="57"/>
        <v>0.3799159478</v>
      </c>
      <c r="Y118" s="423">
        <f t="shared" si="57"/>
        <v>-0.433606899</v>
      </c>
      <c r="Z118" s="202">
        <f t="shared" si="57"/>
        <v>0</v>
      </c>
      <c r="AA118" s="202">
        <f t="shared" si="57"/>
        <v>0.004716758643</v>
      </c>
      <c r="AB118" s="202">
        <f t="shared" si="57"/>
        <v>0.004694615276</v>
      </c>
      <c r="AC118" s="202">
        <f t="shared" si="57"/>
        <v>0.004672678847</v>
      </c>
      <c r="AD118" s="202">
        <f t="shared" si="57"/>
        <v>0.004650946468</v>
      </c>
      <c r="AE118" s="202">
        <f t="shared" si="57"/>
        <v>0.004629415305</v>
      </c>
      <c r="AF118" s="202">
        <f t="shared" si="57"/>
        <v>0.004608082577</v>
      </c>
      <c r="AG118" s="202">
        <f t="shared" si="57"/>
        <v>0.004586945553</v>
      </c>
      <c r="AH118" s="202">
        <f t="shared" si="57"/>
        <v>0.004566001552</v>
      </c>
      <c r="AI118" s="202">
        <f t="shared" si="57"/>
        <v>0.004545247943</v>
      </c>
      <c r="AJ118" s="202">
        <f t="shared" si="57"/>
        <v>0.004524682141</v>
      </c>
      <c r="AK118" s="202">
        <f t="shared" si="57"/>
        <v>0.004504301608</v>
      </c>
      <c r="AL118" s="202">
        <f t="shared" si="57"/>
        <v>0.004484103852</v>
      </c>
      <c r="AM118" s="202">
        <f t="shared" si="57"/>
        <v>0.004464086425</v>
      </c>
      <c r="AN118" s="202">
        <f t="shared" si="57"/>
        <v>0.004444246922</v>
      </c>
      <c r="AO118" s="202">
        <f t="shared" si="57"/>
        <v>0.004424582983</v>
      </c>
      <c r="AP118" s="202">
        <f t="shared" si="57"/>
        <v>0.004405092287</v>
      </c>
      <c r="AQ118" s="202">
        <f t="shared" si="57"/>
        <v>0.004385772554</v>
      </c>
      <c r="AR118" s="202">
        <f t="shared" si="57"/>
        <v>0.004366621545</v>
      </c>
      <c r="AS118" s="202">
        <f t="shared" si="57"/>
        <v>0.004347637059</v>
      </c>
      <c r="AT118" s="202">
        <f t="shared" si="57"/>
        <v>0.004328816934</v>
      </c>
      <c r="AU118" s="202">
        <f t="shared" si="57"/>
        <v>0.004310159045</v>
      </c>
      <c r="AV118" s="202">
        <f t="shared" si="57"/>
        <v>0.004291661302</v>
      </c>
      <c r="AW118" s="202">
        <f t="shared" si="57"/>
        <v>0.004273321653</v>
      </c>
      <c r="AX118" s="202">
        <f t="shared" si="57"/>
        <v>0.004255138079</v>
      </c>
      <c r="AY118" s="202">
        <f t="shared" si="57"/>
        <v>0.004237108597</v>
      </c>
      <c r="AZ118" s="202">
        <f t="shared" si="57"/>
        <v>0.004219231256</v>
      </c>
      <c r="BA118" s="202">
        <f t="shared" si="57"/>
        <v>0.004201504138</v>
      </c>
      <c r="BB118" s="202">
        <f t="shared" si="57"/>
        <v>0.004183925359</v>
      </c>
      <c r="BC118" s="202">
        <f t="shared" si="57"/>
        <v>0.004166493063</v>
      </c>
      <c r="BD118" s="202">
        <f t="shared" si="57"/>
        <v>0.004149205427</v>
      </c>
      <c r="BE118" s="202">
        <f t="shared" si="57"/>
        <v>0.004132060659</v>
      </c>
      <c r="BF118" s="202">
        <f t="shared" si="57"/>
        <v>0.004115056994</v>
      </c>
      <c r="BG118" s="202">
        <f t="shared" si="57"/>
        <v>0.004098192697</v>
      </c>
      <c r="BH118" s="202">
        <f t="shared" si="57"/>
        <v>0.004081466063</v>
      </c>
      <c r="BI118" s="202">
        <f t="shared" si="57"/>
        <v>0.004064875412</v>
      </c>
      <c r="BJ118" s="202">
        <f t="shared" si="57"/>
        <v>0.004048419092</v>
      </c>
      <c r="BK118" s="202">
        <f t="shared" si="57"/>
        <v>0.01612838192</v>
      </c>
      <c r="BL118" s="202">
        <f t="shared" si="57"/>
        <v>0.01587238602</v>
      </c>
      <c r="BM118" s="202">
        <f t="shared" si="57"/>
        <v>0.01562438967</v>
      </c>
      <c r="BN118" s="202">
        <f t="shared" si="57"/>
        <v>0.01538402369</v>
      </c>
      <c r="BO118" s="202">
        <f t="shared" si="57"/>
        <v>0.01515094125</v>
      </c>
      <c r="BP118" s="202">
        <f t="shared" si="57"/>
        <v>0.01492481624</v>
      </c>
      <c r="BQ118" s="202">
        <f t="shared" si="57"/>
        <v>0.01470534172</v>
      </c>
      <c r="BR118" s="202">
        <f t="shared" si="57"/>
        <v>0.01449222854</v>
      </c>
      <c r="BS118" s="202">
        <f t="shared" si="57"/>
        <v>0.0142852041</v>
      </c>
      <c r="BT118" s="202">
        <f t="shared" si="57"/>
        <v>0.01408401113</v>
      </c>
      <c r="BU118" s="202">
        <f t="shared" si="57"/>
        <v>0.01388840665</v>
      </c>
      <c r="BV118" s="202">
        <f t="shared" si="57"/>
        <v>0.01369816102</v>
      </c>
      <c r="BW118" s="202">
        <f t="shared" si="57"/>
        <v>0.01351305699</v>
      </c>
      <c r="BX118" s="202">
        <f t="shared" si="57"/>
        <v>0.0133328889</v>
      </c>
      <c r="BY118" s="202">
        <f t="shared" si="57"/>
        <v>0.01315746193</v>
      </c>
      <c r="BZ118" s="202">
        <f t="shared" si="57"/>
        <v>0.01298659134</v>
      </c>
      <c r="CA118" s="202">
        <f t="shared" si="57"/>
        <v>0.01282010192</v>
      </c>
      <c r="CB118" s="202">
        <f t="shared" si="57"/>
        <v>0.01265782728</v>
      </c>
      <c r="CC118" s="202">
        <f t="shared" si="57"/>
        <v>0.01249960939</v>
      </c>
      <c r="CD118" s="202">
        <f t="shared" si="57"/>
        <v>0.01234529798</v>
      </c>
      <c r="CE118" s="202">
        <f t="shared" si="57"/>
        <v>0.01219475016</v>
      </c>
      <c r="CF118" s="202">
        <f t="shared" si="57"/>
        <v>0.01204782988</v>
      </c>
      <c r="CG118" s="202">
        <f t="shared" si="57"/>
        <v>0.01190440761</v>
      </c>
      <c r="CH118" s="202">
        <f t="shared" si="57"/>
        <v>0.01176435987</v>
      </c>
      <c r="CI118" s="202"/>
    </row>
    <row r="119" ht="15.75" customHeight="1" outlineLevel="1">
      <c r="A119" s="1" t="s">
        <v>678</v>
      </c>
      <c r="B119" s="447">
        <v>500.0</v>
      </c>
      <c r="C119" s="448">
        <f t="shared" ref="C119:BJ119" si="58">C116/$B$119</f>
        <v>322.846</v>
      </c>
      <c r="D119" s="448">
        <f t="shared" si="58"/>
        <v>368.368</v>
      </c>
      <c r="E119" s="448">
        <f t="shared" si="58"/>
        <v>315.388</v>
      </c>
      <c r="F119" s="448">
        <f t="shared" si="58"/>
        <v>458.98</v>
      </c>
      <c r="G119" s="448">
        <f t="shared" si="58"/>
        <v>213.376</v>
      </c>
      <c r="H119" s="448">
        <f t="shared" si="58"/>
        <v>414.49</v>
      </c>
      <c r="I119" s="448">
        <f t="shared" si="58"/>
        <v>207.11</v>
      </c>
      <c r="J119" s="448">
        <f t="shared" si="58"/>
        <v>325.032</v>
      </c>
      <c r="K119" s="448">
        <f t="shared" si="58"/>
        <v>237.492</v>
      </c>
      <c r="L119" s="448">
        <f t="shared" si="58"/>
        <v>302.97</v>
      </c>
      <c r="M119" s="448">
        <f t="shared" si="58"/>
        <v>269.024</v>
      </c>
      <c r="N119" s="448">
        <f t="shared" si="58"/>
        <v>307.012</v>
      </c>
      <c r="O119" s="448">
        <f t="shared" si="58"/>
        <v>453.768</v>
      </c>
      <c r="P119" s="448">
        <f t="shared" si="58"/>
        <v>293.574</v>
      </c>
      <c r="Q119" s="448">
        <f t="shared" si="58"/>
        <v>406.92</v>
      </c>
      <c r="R119" s="448">
        <f t="shared" si="58"/>
        <v>431.642</v>
      </c>
      <c r="S119" s="448">
        <f t="shared" si="58"/>
        <v>354.892</v>
      </c>
      <c r="T119" s="448">
        <f t="shared" si="58"/>
        <v>477.974</v>
      </c>
      <c r="U119" s="448">
        <f t="shared" si="58"/>
        <v>471.248</v>
      </c>
      <c r="V119" s="448">
        <f t="shared" si="58"/>
        <v>412.618</v>
      </c>
      <c r="W119" s="448">
        <f t="shared" si="58"/>
        <v>271.26</v>
      </c>
      <c r="X119" s="448">
        <f t="shared" si="58"/>
        <v>374.316</v>
      </c>
      <c r="Y119" s="448">
        <f t="shared" si="58"/>
        <v>212.01</v>
      </c>
      <c r="Z119" s="448">
        <f t="shared" si="58"/>
        <v>212.01</v>
      </c>
      <c r="AA119" s="448">
        <f t="shared" si="58"/>
        <v>213.01</v>
      </c>
      <c r="AB119" s="448">
        <f t="shared" si="58"/>
        <v>214.01</v>
      </c>
      <c r="AC119" s="448">
        <f t="shared" si="58"/>
        <v>215.01</v>
      </c>
      <c r="AD119" s="448">
        <f t="shared" si="58"/>
        <v>216.01</v>
      </c>
      <c r="AE119" s="448">
        <f t="shared" si="58"/>
        <v>217.01</v>
      </c>
      <c r="AF119" s="448">
        <f t="shared" si="58"/>
        <v>218.01</v>
      </c>
      <c r="AG119" s="448">
        <f t="shared" si="58"/>
        <v>219.01</v>
      </c>
      <c r="AH119" s="448">
        <f t="shared" si="58"/>
        <v>220.01</v>
      </c>
      <c r="AI119" s="448">
        <f t="shared" si="58"/>
        <v>221.01</v>
      </c>
      <c r="AJ119" s="448">
        <f t="shared" si="58"/>
        <v>222.01</v>
      </c>
      <c r="AK119" s="448">
        <f t="shared" si="58"/>
        <v>223.01</v>
      </c>
      <c r="AL119" s="448">
        <f t="shared" si="58"/>
        <v>224.01</v>
      </c>
      <c r="AM119" s="448">
        <f t="shared" si="58"/>
        <v>225.01</v>
      </c>
      <c r="AN119" s="448">
        <f t="shared" si="58"/>
        <v>226.01</v>
      </c>
      <c r="AO119" s="448">
        <f t="shared" si="58"/>
        <v>227.01</v>
      </c>
      <c r="AP119" s="448">
        <f t="shared" si="58"/>
        <v>228.01</v>
      </c>
      <c r="AQ119" s="448">
        <f t="shared" si="58"/>
        <v>229.01</v>
      </c>
      <c r="AR119" s="448">
        <f t="shared" si="58"/>
        <v>230.01</v>
      </c>
      <c r="AS119" s="448">
        <f t="shared" si="58"/>
        <v>231.01</v>
      </c>
      <c r="AT119" s="448">
        <f t="shared" si="58"/>
        <v>232.01</v>
      </c>
      <c r="AU119" s="448">
        <f t="shared" si="58"/>
        <v>233.01</v>
      </c>
      <c r="AV119" s="448">
        <f t="shared" si="58"/>
        <v>234.01</v>
      </c>
      <c r="AW119" s="448">
        <f t="shared" si="58"/>
        <v>235.01</v>
      </c>
      <c r="AX119" s="448">
        <f t="shared" si="58"/>
        <v>236.01</v>
      </c>
      <c r="AY119" s="448">
        <f t="shared" si="58"/>
        <v>237.01</v>
      </c>
      <c r="AZ119" s="448">
        <f t="shared" si="58"/>
        <v>238.01</v>
      </c>
      <c r="BA119" s="448">
        <f t="shared" si="58"/>
        <v>239.01</v>
      </c>
      <c r="BB119" s="448">
        <f t="shared" si="58"/>
        <v>240.01</v>
      </c>
      <c r="BC119" s="448">
        <f t="shared" si="58"/>
        <v>241.01</v>
      </c>
      <c r="BD119" s="448">
        <f t="shared" si="58"/>
        <v>242.01</v>
      </c>
      <c r="BE119" s="448">
        <f t="shared" si="58"/>
        <v>243.01</v>
      </c>
      <c r="BF119" s="448">
        <f t="shared" si="58"/>
        <v>244.01</v>
      </c>
      <c r="BG119" s="448">
        <f t="shared" si="58"/>
        <v>245.01</v>
      </c>
      <c r="BH119" s="448">
        <f t="shared" si="58"/>
        <v>246.01</v>
      </c>
      <c r="BI119" s="448">
        <f t="shared" si="58"/>
        <v>247.01</v>
      </c>
      <c r="BJ119" s="448">
        <f t="shared" si="58"/>
        <v>248.01</v>
      </c>
      <c r="BK119" s="448">
        <f t="shared" ref="BK119:CH119" si="59">BK116/$B$120</f>
        <v>227.036036</v>
      </c>
      <c r="BL119" s="448">
        <f t="shared" si="59"/>
        <v>230.6396396</v>
      </c>
      <c r="BM119" s="448">
        <f t="shared" si="59"/>
        <v>234.2432432</v>
      </c>
      <c r="BN119" s="448">
        <f t="shared" si="59"/>
        <v>237.8468468</v>
      </c>
      <c r="BO119" s="448">
        <f t="shared" si="59"/>
        <v>241.4504505</v>
      </c>
      <c r="BP119" s="448">
        <f t="shared" si="59"/>
        <v>245.0540541</v>
      </c>
      <c r="BQ119" s="448">
        <f t="shared" si="59"/>
        <v>248.6576577</v>
      </c>
      <c r="BR119" s="448">
        <f t="shared" si="59"/>
        <v>252.2612613</v>
      </c>
      <c r="BS119" s="448">
        <f t="shared" si="59"/>
        <v>255.8648649</v>
      </c>
      <c r="BT119" s="448">
        <f t="shared" si="59"/>
        <v>259.4684685</v>
      </c>
      <c r="BU119" s="448">
        <f t="shared" si="59"/>
        <v>263.0720721</v>
      </c>
      <c r="BV119" s="448">
        <f t="shared" si="59"/>
        <v>266.6756757</v>
      </c>
      <c r="BW119" s="448">
        <f t="shared" si="59"/>
        <v>270.2792793</v>
      </c>
      <c r="BX119" s="448">
        <f t="shared" si="59"/>
        <v>273.8828829</v>
      </c>
      <c r="BY119" s="448">
        <f t="shared" si="59"/>
        <v>277.4864865</v>
      </c>
      <c r="BZ119" s="448">
        <f t="shared" si="59"/>
        <v>281.0900901</v>
      </c>
      <c r="CA119" s="448">
        <f t="shared" si="59"/>
        <v>284.6936937</v>
      </c>
      <c r="CB119" s="448">
        <f t="shared" si="59"/>
        <v>288.2972973</v>
      </c>
      <c r="CC119" s="448">
        <f t="shared" si="59"/>
        <v>291.9009009</v>
      </c>
      <c r="CD119" s="448">
        <f t="shared" si="59"/>
        <v>295.5045045</v>
      </c>
      <c r="CE119" s="448">
        <f t="shared" si="59"/>
        <v>299.1081081</v>
      </c>
      <c r="CF119" s="448">
        <f t="shared" si="59"/>
        <v>302.7117117</v>
      </c>
      <c r="CG119" s="448">
        <f t="shared" si="59"/>
        <v>306.3153153</v>
      </c>
      <c r="CH119" s="448">
        <f t="shared" si="59"/>
        <v>309.9189189</v>
      </c>
      <c r="CI119" s="448"/>
    </row>
    <row r="120" ht="15.75" customHeight="1" outlineLevel="1">
      <c r="A120" s="449" t="s">
        <v>679</v>
      </c>
      <c r="B120" s="454">
        <v>555.0</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ht="15.75" customHeight="1" outlineLevel="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ht="15.75" customHeight="1" outlineLevel="1">
      <c r="A122" s="1" t="s">
        <v>198</v>
      </c>
      <c r="B122" s="1"/>
      <c r="C122" s="387">
        <f t="array" ref="C122">INDEX('IS Proforma'!$1:$1048490,MATCH($A122,'IS Proforma'!$C:$C,0),MATCH(C$4,'IS Proforma'!$4:$4))</f>
        <v>34302</v>
      </c>
      <c r="D122" s="387">
        <f t="array" ref="D122">INDEX('IS Proforma'!$1:$1048490,MATCH($A122,'IS Proforma'!$C:$C,0),MATCH(D$4,'IS Proforma'!$4:$4))</f>
        <v>30429</v>
      </c>
      <c r="E122" s="387">
        <f t="array" ref="E122">INDEX('IS Proforma'!$1:$1048490,MATCH($A122,'IS Proforma'!$C:$C,0),MATCH(E$4,'IS Proforma'!$4:$4))</f>
        <v>39698</v>
      </c>
      <c r="F122" s="387">
        <f t="array" ref="F122">INDEX('IS Proforma'!$1:$1048490,MATCH($A122,'IS Proforma'!$C:$C,0),MATCH(F$4,'IS Proforma'!$4:$4))</f>
        <v>28787</v>
      </c>
      <c r="G122" s="387">
        <f t="array" ref="G122">INDEX('IS Proforma'!$1:$1048490,MATCH($A122,'IS Proforma'!$C:$C,0),MATCH(G$4,'IS Proforma'!$4:$4))</f>
        <v>32734</v>
      </c>
      <c r="H122" s="387">
        <f t="array" ref="H122">INDEX('IS Proforma'!$1:$1048490,MATCH($A122,'IS Proforma'!$C:$C,0),MATCH(H$4,'IS Proforma'!$4:$4))</f>
        <v>39885</v>
      </c>
      <c r="I122" s="387">
        <f t="array" ref="I122">INDEX('IS Proforma'!$1:$1048490,MATCH($A122,'IS Proforma'!$C:$C,0),MATCH(I$4,'IS Proforma'!$4:$4))</f>
        <v>35931</v>
      </c>
      <c r="J122" s="387">
        <f t="array" ref="J122">INDEX('IS Proforma'!$1:$1048490,MATCH($A122,'IS Proforma'!$C:$C,0),MATCH(J$4,'IS Proforma'!$4:$4))</f>
        <v>34051</v>
      </c>
      <c r="K122" s="387">
        <f t="array" ref="K122">INDEX('IS Proforma'!$1:$1048490,MATCH($A122,'IS Proforma'!$C:$C,0),MATCH(K$4,'IS Proforma'!$4:$4))</f>
        <v>34501</v>
      </c>
      <c r="L122" s="387">
        <f t="array" ref="L122">INDEX('IS Proforma'!$1:$1048490,MATCH($A122,'IS Proforma'!$C:$C,0),MATCH(L$4,'IS Proforma'!$4:$4))</f>
        <v>29809</v>
      </c>
      <c r="M122" s="387">
        <f t="array" ref="M122">INDEX('IS Proforma'!$1:$1048490,MATCH($A122,'IS Proforma'!$C:$C,0),MATCH(M$4,'IS Proforma'!$4:$4))</f>
        <v>35463</v>
      </c>
      <c r="N122" s="387">
        <f t="array" ref="N122">INDEX('IS Proforma'!$1:$1048490,MATCH($A122,'IS Proforma'!$C:$C,0),MATCH(N$4,'IS Proforma'!$4:$4))</f>
        <v>36998</v>
      </c>
      <c r="O122" s="387">
        <f t="array" ref="O122">INDEX('IS Proforma'!$1:$1048490,MATCH($A122,'IS Proforma'!$C:$C,0),MATCH(O$4,'IS Proforma'!$4:$4))</f>
        <v>39925</v>
      </c>
      <c r="P122" s="387">
        <f t="array" ref="P122">INDEX('IS Proforma'!$1:$1048490,MATCH($A122,'IS Proforma'!$C:$C,0),MATCH(P$4,'IS Proforma'!$4:$4))</f>
        <v>24531</v>
      </c>
      <c r="Q122" s="387">
        <f t="array" ref="Q122">INDEX('IS Proforma'!$1:$1048490,MATCH($A122,'IS Proforma'!$C:$C,0),MATCH(Q$4,'IS Proforma'!$4:$4))</f>
        <v>38302</v>
      </c>
      <c r="R122" s="387">
        <f t="array" ref="R122">INDEX('IS Proforma'!$1:$1048490,MATCH($A122,'IS Proforma'!$C:$C,0),MATCH(R$4,'IS Proforma'!$4:$4))</f>
        <v>39790</v>
      </c>
      <c r="S122" s="387">
        <f t="array" ref="S122">INDEX('IS Proforma'!$1:$1048490,MATCH($A122,'IS Proforma'!$C:$C,0),MATCH(S$4,'IS Proforma'!$4:$4))</f>
        <v>27795</v>
      </c>
      <c r="T122" s="387">
        <f t="array" ref="T122">INDEX('IS Proforma'!$1:$1048490,MATCH($A122,'IS Proforma'!$C:$C,0),MATCH(T$4,'IS Proforma'!$4:$4))</f>
        <v>32523</v>
      </c>
      <c r="U122" s="387">
        <f t="array" ref="U122">INDEX('IS Proforma'!$1:$1048490,MATCH($A122,'IS Proforma'!$C:$C,0),MATCH(U$4,'IS Proforma'!$4:$4))</f>
        <v>20739</v>
      </c>
      <c r="V122" s="387">
        <f t="array" ref="V122">INDEX('IS Proforma'!$1:$1048490,MATCH($A122,'IS Proforma'!$C:$C,0),MATCH(V$4,'IS Proforma'!$4:$4))</f>
        <v>26143</v>
      </c>
      <c r="W122" s="387">
        <f t="array" ref="W122">INDEX('IS Proforma'!$1:$1048490,MATCH($A122,'IS Proforma'!$C:$C,0),MATCH(W$4,'IS Proforma'!$4:$4))</f>
        <v>20732</v>
      </c>
      <c r="X122" s="387">
        <f t="array" ref="X122">INDEX('IS Proforma'!$1:$1048490,MATCH($A122,'IS Proforma'!$C:$C,0),MATCH(X$4,'IS Proforma'!$4:$4))</f>
        <v>21674</v>
      </c>
      <c r="Y122" s="387">
        <f t="array" ref="Y122">INDEX('IS Proforma'!$1:$1048490,MATCH($A122,'IS Proforma'!$C:$C,0),MATCH(Y$4,'IS Proforma'!$4:$4))</f>
        <v>39390</v>
      </c>
      <c r="Z122" s="451">
        <f>Retention!Z43</f>
        <v>57486.35237</v>
      </c>
      <c r="AA122" s="451">
        <f>Retention!AA43</f>
        <v>76539.73884</v>
      </c>
      <c r="AB122" s="451">
        <f>Retention!AB43</f>
        <v>93454.03351</v>
      </c>
      <c r="AC122" s="451">
        <f>Retention!AC43</f>
        <v>105718.6562</v>
      </c>
      <c r="AD122" s="451">
        <f>Retention!AD43</f>
        <v>114668.5289</v>
      </c>
      <c r="AE122" s="451">
        <f>Retention!AE43</f>
        <v>122176.7352</v>
      </c>
      <c r="AF122" s="451">
        <f>Retention!AF43</f>
        <v>127378.8968</v>
      </c>
      <c r="AG122" s="451">
        <f>Retention!AG43</f>
        <v>131025.91</v>
      </c>
      <c r="AH122" s="451">
        <f>Retention!AH43</f>
        <v>132296.9064</v>
      </c>
      <c r="AI122" s="451">
        <f>Retention!AI43</f>
        <v>130880.1234</v>
      </c>
      <c r="AJ122" s="451">
        <f>Retention!AJ43</f>
        <v>133326.6618</v>
      </c>
      <c r="AK122" s="451">
        <f>Retention!AK43</f>
        <v>135281.6721</v>
      </c>
      <c r="AL122" s="451">
        <f>Retention!AL43</f>
        <v>137021.6499</v>
      </c>
      <c r="AM122" s="451">
        <f>Retention!AM43</f>
        <v>143660.6355</v>
      </c>
      <c r="AN122" s="451">
        <f>Retention!AN43</f>
        <v>137960.6349</v>
      </c>
      <c r="AO122" s="451">
        <f>Retention!AO43</f>
        <v>132595.6974</v>
      </c>
      <c r="AP122" s="451">
        <f>Retention!AP43</f>
        <v>128956.5661</v>
      </c>
      <c r="AQ122" s="451">
        <f>Retention!AQ43</f>
        <v>126558.1936</v>
      </c>
      <c r="AR122" s="451">
        <f>Retention!AR43</f>
        <v>125313.7559</v>
      </c>
      <c r="AS122" s="451">
        <f>Retention!AS43</f>
        <v>124639.3862</v>
      </c>
      <c r="AT122" s="451">
        <f>Retention!AT43</f>
        <v>124376.0082</v>
      </c>
      <c r="AU122" s="451">
        <f>Retention!AU43</f>
        <v>124409.4205</v>
      </c>
      <c r="AV122" s="451">
        <f>Retention!AV43</f>
        <v>124657.6428</v>
      </c>
      <c r="AW122" s="451">
        <f>Retention!AW43</f>
        <v>125061.8292</v>
      </c>
      <c r="AX122" s="451">
        <f>Retention!AX43</f>
        <v>125579.7447</v>
      </c>
      <c r="AY122" s="451">
        <f>Retention!AY43</f>
        <v>129763.4075</v>
      </c>
      <c r="AZ122" s="451">
        <f>Retention!AZ43</f>
        <v>133232.2445</v>
      </c>
      <c r="BA122" s="451">
        <f>Retention!BA43</f>
        <v>136033.7403</v>
      </c>
      <c r="BB122" s="451">
        <f>Retention!BB43</f>
        <v>138343.16</v>
      </c>
      <c r="BC122" s="451">
        <f>Retention!BC43</f>
        <v>140290.2157</v>
      </c>
      <c r="BD122" s="451">
        <f>Retention!BD43</f>
        <v>141970.9103</v>
      </c>
      <c r="BE122" s="451">
        <f>Retention!BE43</f>
        <v>143456.3019</v>
      </c>
      <c r="BF122" s="451">
        <f>Retention!BF43</f>
        <v>144798.9899</v>
      </c>
      <c r="BG122" s="451">
        <f>Retention!BG43</f>
        <v>146037.9142</v>
      </c>
      <c r="BH122" s="451">
        <f>Retention!BH43</f>
        <v>147201.9072</v>
      </c>
      <c r="BI122" s="451">
        <f>Retention!BI43</f>
        <v>148312.3215</v>
      </c>
      <c r="BJ122" s="451">
        <f>Retention!BJ43</f>
        <v>149384.9749</v>
      </c>
      <c r="BK122" s="451">
        <f>Retention!BK43</f>
        <v>151840.5494</v>
      </c>
      <c r="BL122" s="451">
        <f>Retention!BL43</f>
        <v>153705.394</v>
      </c>
      <c r="BM122" s="451">
        <f>Retention!BM43</f>
        <v>154651.6556</v>
      </c>
      <c r="BN122" s="451">
        <f>Retention!BN43</f>
        <v>155632.3694</v>
      </c>
      <c r="BO122" s="451">
        <f>Retention!BO43</f>
        <v>156641.5361</v>
      </c>
      <c r="BP122" s="451">
        <f>Retention!BP43</f>
        <v>157674.7702</v>
      </c>
      <c r="BQ122" s="451">
        <f>Retention!BQ43</f>
        <v>158728.8826</v>
      </c>
      <c r="BR122" s="451">
        <f>Retention!BR43</f>
        <v>159801.5706</v>
      </c>
      <c r="BS122" s="451">
        <f>Retention!BS43</f>
        <v>160891.1889</v>
      </c>
      <c r="BT122" s="451">
        <f>Retention!BT43</f>
        <v>161996.5806</v>
      </c>
      <c r="BU122" s="451">
        <f>Retention!BU43</f>
        <v>163116.9515</v>
      </c>
      <c r="BV122" s="451">
        <f>Retention!BV43</f>
        <v>164251.7776</v>
      </c>
      <c r="BW122" s="451">
        <f>Retention!BW43</f>
        <v>165555.6213</v>
      </c>
      <c r="BX122" s="451">
        <f>Retention!BX43</f>
        <v>163244.591</v>
      </c>
      <c r="BY122" s="451">
        <f>Retention!BY43</f>
        <v>160988.7907</v>
      </c>
      <c r="BZ122" s="451">
        <f>Retention!BZ43</f>
        <v>159514.1105</v>
      </c>
      <c r="CA122" s="451">
        <f>Retention!CA43</f>
        <v>158620.3067</v>
      </c>
      <c r="CB122" s="451">
        <f>Retention!CB43</f>
        <v>158159.1851</v>
      </c>
      <c r="CC122" s="451">
        <f>Retention!CC43</f>
        <v>158021.0694</v>
      </c>
      <c r="CD122" s="451">
        <f>Retention!CD43</f>
        <v>158124.7871</v>
      </c>
      <c r="CE122" s="451">
        <f>Retention!CE43</f>
        <v>158410.2595</v>
      </c>
      <c r="CF122" s="451">
        <f>Retention!CF43</f>
        <v>158833.0183</v>
      </c>
      <c r="CG122" s="451">
        <f>Retention!CG43</f>
        <v>159360.1476</v>
      </c>
      <c r="CH122" s="451">
        <f>Retention!CH43</f>
        <v>159967.281</v>
      </c>
      <c r="CI122" s="451"/>
    </row>
    <row r="123" ht="15.75" customHeight="1" outlineLevel="1">
      <c r="A123" s="1" t="s">
        <v>325</v>
      </c>
      <c r="B123" s="1"/>
      <c r="C123" s="1"/>
      <c r="D123" s="387">
        <f t="shared" ref="D123:CH123" si="60">D122-C122</f>
        <v>-3873</v>
      </c>
      <c r="E123" s="387">
        <f t="shared" si="60"/>
        <v>9269</v>
      </c>
      <c r="F123" s="387">
        <f t="shared" si="60"/>
        <v>-10911</v>
      </c>
      <c r="G123" s="387">
        <f t="shared" si="60"/>
        <v>3947</v>
      </c>
      <c r="H123" s="387">
        <f t="shared" si="60"/>
        <v>7151</v>
      </c>
      <c r="I123" s="387">
        <f t="shared" si="60"/>
        <v>-3954</v>
      </c>
      <c r="J123" s="387">
        <f t="shared" si="60"/>
        <v>-1880</v>
      </c>
      <c r="K123" s="387">
        <f t="shared" si="60"/>
        <v>450</v>
      </c>
      <c r="L123" s="387">
        <f t="shared" si="60"/>
        <v>-4692</v>
      </c>
      <c r="M123" s="387">
        <f t="shared" si="60"/>
        <v>5654</v>
      </c>
      <c r="N123" s="387">
        <f t="shared" si="60"/>
        <v>1535</v>
      </c>
      <c r="O123" s="387">
        <f t="shared" si="60"/>
        <v>2927</v>
      </c>
      <c r="P123" s="387">
        <f t="shared" si="60"/>
        <v>-15394</v>
      </c>
      <c r="Q123" s="387">
        <f t="shared" si="60"/>
        <v>13771</v>
      </c>
      <c r="R123" s="387">
        <f t="shared" si="60"/>
        <v>1488</v>
      </c>
      <c r="S123" s="387">
        <f t="shared" si="60"/>
        <v>-11995</v>
      </c>
      <c r="T123" s="387">
        <f t="shared" si="60"/>
        <v>4728</v>
      </c>
      <c r="U123" s="387">
        <f t="shared" si="60"/>
        <v>-11784</v>
      </c>
      <c r="V123" s="387">
        <f t="shared" si="60"/>
        <v>5404</v>
      </c>
      <c r="W123" s="387">
        <f t="shared" si="60"/>
        <v>-5411</v>
      </c>
      <c r="X123" s="387">
        <f t="shared" si="60"/>
        <v>942</v>
      </c>
      <c r="Y123" s="387">
        <f t="shared" si="60"/>
        <v>17716</v>
      </c>
      <c r="Z123" s="131">
        <f t="shared" si="60"/>
        <v>18096.35237</v>
      </c>
      <c r="AA123" s="131">
        <f t="shared" si="60"/>
        <v>19053.38647</v>
      </c>
      <c r="AB123" s="131">
        <f t="shared" si="60"/>
        <v>16914.29468</v>
      </c>
      <c r="AC123" s="131">
        <f t="shared" si="60"/>
        <v>12264.62274</v>
      </c>
      <c r="AD123" s="131">
        <f t="shared" si="60"/>
        <v>8949.872696</v>
      </c>
      <c r="AE123" s="131">
        <f t="shared" si="60"/>
        <v>7508.206239</v>
      </c>
      <c r="AF123" s="131">
        <f t="shared" si="60"/>
        <v>5202.161659</v>
      </c>
      <c r="AG123" s="131">
        <f t="shared" si="60"/>
        <v>3647.013192</v>
      </c>
      <c r="AH123" s="131">
        <f t="shared" si="60"/>
        <v>1270.996344</v>
      </c>
      <c r="AI123" s="131">
        <f t="shared" si="60"/>
        <v>-1416.78296</v>
      </c>
      <c r="AJ123" s="131">
        <f t="shared" si="60"/>
        <v>2446.538424</v>
      </c>
      <c r="AK123" s="131">
        <f t="shared" si="60"/>
        <v>1955.010296</v>
      </c>
      <c r="AL123" s="131">
        <f t="shared" si="60"/>
        <v>1739.977734</v>
      </c>
      <c r="AM123" s="131">
        <f t="shared" si="60"/>
        <v>6638.985627</v>
      </c>
      <c r="AN123" s="131">
        <f t="shared" si="60"/>
        <v>-5700.000606</v>
      </c>
      <c r="AO123" s="131">
        <f t="shared" si="60"/>
        <v>-5364.937511</v>
      </c>
      <c r="AP123" s="131">
        <f t="shared" si="60"/>
        <v>-3639.131279</v>
      </c>
      <c r="AQ123" s="131">
        <f t="shared" si="60"/>
        <v>-2398.372478</v>
      </c>
      <c r="AR123" s="131">
        <f t="shared" si="60"/>
        <v>-1244.437744</v>
      </c>
      <c r="AS123" s="131">
        <f t="shared" si="60"/>
        <v>-674.3696504</v>
      </c>
      <c r="AT123" s="131">
        <f t="shared" si="60"/>
        <v>-263.378068</v>
      </c>
      <c r="AU123" s="131">
        <f t="shared" si="60"/>
        <v>33.41235934</v>
      </c>
      <c r="AV123" s="131">
        <f t="shared" si="60"/>
        <v>248.2223099</v>
      </c>
      <c r="AW123" s="131">
        <f t="shared" si="60"/>
        <v>404.1864051</v>
      </c>
      <c r="AX123" s="131">
        <f t="shared" si="60"/>
        <v>517.9154794</v>
      </c>
      <c r="AY123" s="131">
        <f t="shared" si="60"/>
        <v>4183.662822</v>
      </c>
      <c r="AZ123" s="131">
        <f t="shared" si="60"/>
        <v>3468.836939</v>
      </c>
      <c r="BA123" s="131">
        <f t="shared" si="60"/>
        <v>2801.495776</v>
      </c>
      <c r="BB123" s="131">
        <f t="shared" si="60"/>
        <v>2309.419755</v>
      </c>
      <c r="BC123" s="131">
        <f t="shared" si="60"/>
        <v>1947.055733</v>
      </c>
      <c r="BD123" s="131">
        <f t="shared" si="60"/>
        <v>1680.694546</v>
      </c>
      <c r="BE123" s="131">
        <f t="shared" si="60"/>
        <v>1485.391579</v>
      </c>
      <c r="BF123" s="131">
        <f t="shared" si="60"/>
        <v>1342.687983</v>
      </c>
      <c r="BG123" s="131">
        <f t="shared" si="60"/>
        <v>1238.924378</v>
      </c>
      <c r="BH123" s="131">
        <f t="shared" si="60"/>
        <v>1163.992994</v>
      </c>
      <c r="BI123" s="131">
        <f t="shared" si="60"/>
        <v>1110.414255</v>
      </c>
      <c r="BJ123" s="131">
        <f t="shared" si="60"/>
        <v>1072.653446</v>
      </c>
      <c r="BK123" s="131">
        <f t="shared" si="60"/>
        <v>2455.574522</v>
      </c>
      <c r="BL123" s="131">
        <f t="shared" si="60"/>
        <v>1864.844505</v>
      </c>
      <c r="BM123" s="131">
        <f t="shared" si="60"/>
        <v>946.2616006</v>
      </c>
      <c r="BN123" s="131">
        <f t="shared" si="60"/>
        <v>980.7138964</v>
      </c>
      <c r="BO123" s="131">
        <f t="shared" si="60"/>
        <v>1009.166643</v>
      </c>
      <c r="BP123" s="131">
        <f t="shared" si="60"/>
        <v>1033.234142</v>
      </c>
      <c r="BQ123" s="131">
        <f t="shared" si="60"/>
        <v>1054.112405</v>
      </c>
      <c r="BR123" s="131">
        <f t="shared" si="60"/>
        <v>1072.687956</v>
      </c>
      <c r="BS123" s="131">
        <f t="shared" si="60"/>
        <v>1089.61834</v>
      </c>
      <c r="BT123" s="131">
        <f t="shared" si="60"/>
        <v>1105.391706</v>
      </c>
      <c r="BU123" s="131">
        <f t="shared" si="60"/>
        <v>1120.370893</v>
      </c>
      <c r="BV123" s="131">
        <f t="shared" si="60"/>
        <v>1134.826066</v>
      </c>
      <c r="BW123" s="131">
        <f t="shared" si="60"/>
        <v>1303.843666</v>
      </c>
      <c r="BX123" s="131">
        <f t="shared" si="60"/>
        <v>-2311.030259</v>
      </c>
      <c r="BY123" s="131">
        <f t="shared" si="60"/>
        <v>-2255.800272</v>
      </c>
      <c r="BZ123" s="131">
        <f t="shared" si="60"/>
        <v>-1474.6802</v>
      </c>
      <c r="CA123" s="131">
        <f t="shared" si="60"/>
        <v>-893.8038455</v>
      </c>
      <c r="CB123" s="131">
        <f t="shared" si="60"/>
        <v>-461.121566</v>
      </c>
      <c r="CC123" s="131">
        <f t="shared" si="60"/>
        <v>-138.1157099</v>
      </c>
      <c r="CD123" s="131">
        <f t="shared" si="60"/>
        <v>103.7176827</v>
      </c>
      <c r="CE123" s="131">
        <f t="shared" si="60"/>
        <v>285.472422</v>
      </c>
      <c r="CF123" s="131">
        <f t="shared" si="60"/>
        <v>422.7587907</v>
      </c>
      <c r="CG123" s="131">
        <f t="shared" si="60"/>
        <v>527.1292448</v>
      </c>
      <c r="CH123" s="131">
        <f t="shared" si="60"/>
        <v>607.1334321</v>
      </c>
      <c r="CI123" s="131"/>
    </row>
    <row r="124" ht="15.75" customHeight="1" outlineLevel="1">
      <c r="A124" s="1" t="s">
        <v>51</v>
      </c>
      <c r="B124" s="446" t="s">
        <v>677</v>
      </c>
      <c r="C124" s="1"/>
      <c r="D124" s="425">
        <f t="shared" ref="D124:CH124" si="61">D122/C122-1</f>
        <v>-0.1129088683</v>
      </c>
      <c r="E124" s="423">
        <f t="shared" si="61"/>
        <v>0.3046107332</v>
      </c>
      <c r="F124" s="423">
        <f t="shared" si="61"/>
        <v>-0.2748501184</v>
      </c>
      <c r="G124" s="425">
        <f t="shared" si="61"/>
        <v>0.1371105013</v>
      </c>
      <c r="H124" s="425">
        <f t="shared" si="61"/>
        <v>0.2184578725</v>
      </c>
      <c r="I124" s="423">
        <f t="shared" si="61"/>
        <v>-0.09913501316</v>
      </c>
      <c r="J124" s="423">
        <f t="shared" si="61"/>
        <v>-0.05232250703</v>
      </c>
      <c r="K124" s="423">
        <f t="shared" si="61"/>
        <v>0.01321547091</v>
      </c>
      <c r="L124" s="423">
        <f t="shared" si="61"/>
        <v>-0.1359960581</v>
      </c>
      <c r="M124" s="423">
        <f t="shared" si="61"/>
        <v>0.1896742595</v>
      </c>
      <c r="N124" s="423">
        <f t="shared" si="61"/>
        <v>0.04328455009</v>
      </c>
      <c r="O124" s="423">
        <f t="shared" si="61"/>
        <v>0.07911238445</v>
      </c>
      <c r="P124" s="423">
        <f t="shared" si="61"/>
        <v>-0.3855729493</v>
      </c>
      <c r="Q124" s="423">
        <f t="shared" si="61"/>
        <v>0.5613713261</v>
      </c>
      <c r="R124" s="423">
        <f t="shared" si="61"/>
        <v>0.03884914626</v>
      </c>
      <c r="S124" s="423">
        <f t="shared" si="61"/>
        <v>-0.3014576527</v>
      </c>
      <c r="T124" s="423">
        <f t="shared" si="61"/>
        <v>0.1701025364</v>
      </c>
      <c r="U124" s="423">
        <f t="shared" si="61"/>
        <v>-0.3623281985</v>
      </c>
      <c r="V124" s="423">
        <f t="shared" si="61"/>
        <v>0.2605718694</v>
      </c>
      <c r="W124" s="423">
        <f t="shared" si="61"/>
        <v>-0.2069770111</v>
      </c>
      <c r="X124" s="423">
        <f t="shared" si="61"/>
        <v>0.0454370056</v>
      </c>
      <c r="Y124" s="423">
        <f t="shared" si="61"/>
        <v>0.8173848851</v>
      </c>
      <c r="Z124" s="202">
        <f t="shared" si="61"/>
        <v>0.4594148863</v>
      </c>
      <c r="AA124" s="202">
        <f t="shared" si="61"/>
        <v>0.3314419107</v>
      </c>
      <c r="AB124" s="202">
        <f t="shared" si="61"/>
        <v>0.2209870968</v>
      </c>
      <c r="AC124" s="202">
        <f t="shared" si="61"/>
        <v>0.1312369544</v>
      </c>
      <c r="AD124" s="202">
        <f t="shared" si="61"/>
        <v>0.08465745795</v>
      </c>
      <c r="AE124" s="202">
        <f t="shared" si="61"/>
        <v>0.06547747938</v>
      </c>
      <c r="AF124" s="202">
        <f t="shared" si="61"/>
        <v>0.04257898732</v>
      </c>
      <c r="AG124" s="202">
        <f t="shared" si="61"/>
        <v>0.02863121979</v>
      </c>
      <c r="AH124" s="202">
        <f t="shared" si="61"/>
        <v>0.009700343572</v>
      </c>
      <c r="AI124" s="202">
        <f t="shared" si="61"/>
        <v>-0.01070911632</v>
      </c>
      <c r="AJ124" s="202">
        <f t="shared" si="61"/>
        <v>0.01869297155</v>
      </c>
      <c r="AK124" s="202">
        <f t="shared" si="61"/>
        <v>0.01466331091</v>
      </c>
      <c r="AL124" s="202">
        <f t="shared" si="61"/>
        <v>0.01286188814</v>
      </c>
      <c r="AM124" s="202">
        <f t="shared" si="61"/>
        <v>0.0484520923</v>
      </c>
      <c r="AN124" s="202">
        <f t="shared" si="61"/>
        <v>-0.03967684388</v>
      </c>
      <c r="AO124" s="202">
        <f t="shared" si="61"/>
        <v>-0.03888745159</v>
      </c>
      <c r="AP124" s="202">
        <f t="shared" si="61"/>
        <v>-0.0274453195</v>
      </c>
      <c r="AQ124" s="202">
        <f t="shared" si="61"/>
        <v>-0.0185982967</v>
      </c>
      <c r="AR124" s="202">
        <f t="shared" si="61"/>
        <v>-0.009832929096</v>
      </c>
      <c r="AS124" s="202">
        <f t="shared" si="61"/>
        <v>-0.005381449512</v>
      </c>
      <c r="AT124" s="202">
        <f t="shared" si="61"/>
        <v>-0.002113120707</v>
      </c>
      <c r="AU124" s="202">
        <f t="shared" si="61"/>
        <v>0.0002686399076</v>
      </c>
      <c r="AV124" s="202">
        <f t="shared" si="61"/>
        <v>0.001995205097</v>
      </c>
      <c r="AW124" s="202">
        <f t="shared" si="61"/>
        <v>0.003242371634</v>
      </c>
      <c r="AX124" s="202">
        <f t="shared" si="61"/>
        <v>0.00414127542</v>
      </c>
      <c r="AY124" s="202">
        <f t="shared" si="61"/>
        <v>0.03331478999</v>
      </c>
      <c r="AZ124" s="202">
        <f t="shared" si="61"/>
        <v>0.02673201178</v>
      </c>
      <c r="BA124" s="202">
        <f t="shared" si="61"/>
        <v>0.02102716041</v>
      </c>
      <c r="BB124" s="202">
        <f t="shared" si="61"/>
        <v>0.01697681583</v>
      </c>
      <c r="BC124" s="202">
        <f t="shared" si="61"/>
        <v>0.01407410191</v>
      </c>
      <c r="BD124" s="202">
        <f t="shared" si="61"/>
        <v>0.01198012661</v>
      </c>
      <c r="BE124" s="202">
        <f t="shared" si="61"/>
        <v>0.01046264743</v>
      </c>
      <c r="BF124" s="202">
        <f t="shared" si="61"/>
        <v>0.009359560823</v>
      </c>
      <c r="BG124" s="202">
        <f t="shared" si="61"/>
        <v>0.008556167271</v>
      </c>
      <c r="BH124" s="202">
        <f t="shared" si="61"/>
        <v>0.007970484928</v>
      </c>
      <c r="BI124" s="202">
        <f t="shared" si="61"/>
        <v>0.007543477362</v>
      </c>
      <c r="BJ124" s="202">
        <f t="shared" si="61"/>
        <v>0.007232396039</v>
      </c>
      <c r="BK124" s="202">
        <f t="shared" si="61"/>
        <v>0.01643789493</v>
      </c>
      <c r="BL124" s="202">
        <f t="shared" si="61"/>
        <v>0.01228159745</v>
      </c>
      <c r="BM124" s="202">
        <f t="shared" si="61"/>
        <v>0.006156333075</v>
      </c>
      <c r="BN124" s="202">
        <f t="shared" si="61"/>
        <v>0.006341438072</v>
      </c>
      <c r="BO124" s="202">
        <f t="shared" si="61"/>
        <v>0.00648429788</v>
      </c>
      <c r="BP124" s="202">
        <f t="shared" si="61"/>
        <v>0.006596169622</v>
      </c>
      <c r="BQ124" s="202">
        <f t="shared" si="61"/>
        <v>0.006685358753</v>
      </c>
      <c r="BR124" s="202">
        <f t="shared" si="61"/>
        <v>0.006757988455</v>
      </c>
      <c r="BS124" s="202">
        <f t="shared" si="61"/>
        <v>0.006818570909</v>
      </c>
      <c r="BT124" s="202">
        <f t="shared" si="61"/>
        <v>0.006870430338</v>
      </c>
      <c r="BU124" s="202">
        <f t="shared" si="61"/>
        <v>0.006916015686</v>
      </c>
      <c r="BV124" s="202">
        <f t="shared" si="61"/>
        <v>0.006957131402</v>
      </c>
      <c r="BW124" s="202">
        <f t="shared" si="61"/>
        <v>0.007938079485</v>
      </c>
      <c r="BX124" s="202">
        <f t="shared" si="61"/>
        <v>-0.01395923763</v>
      </c>
      <c r="BY124" s="202">
        <f t="shared" si="61"/>
        <v>-0.01381852996</v>
      </c>
      <c r="BZ124" s="202">
        <f t="shared" si="61"/>
        <v>-0.0091601421</v>
      </c>
      <c r="CA124" s="202">
        <f t="shared" si="61"/>
        <v>-0.005603290157</v>
      </c>
      <c r="CB124" s="202">
        <f t="shared" si="61"/>
        <v>-0.002907077761</v>
      </c>
      <c r="CC124" s="202">
        <f t="shared" si="61"/>
        <v>-0.0008732702419</v>
      </c>
      <c r="CD124" s="202">
        <f t="shared" si="61"/>
        <v>0.0006563535046</v>
      </c>
      <c r="CE124" s="202">
        <f t="shared" si="61"/>
        <v>0.001805361621</v>
      </c>
      <c r="CF124" s="202">
        <f t="shared" si="61"/>
        <v>0.002668758905</v>
      </c>
      <c r="CG124" s="202">
        <f t="shared" si="61"/>
        <v>0.003318763632</v>
      </c>
      <c r="CH124" s="202">
        <f t="shared" si="61"/>
        <v>0.003809819716</v>
      </c>
      <c r="CI124" s="202"/>
    </row>
    <row r="125" ht="15.75" customHeight="1" outlineLevel="1">
      <c r="A125" s="1" t="s">
        <v>678</v>
      </c>
      <c r="B125" s="447">
        <v>500.0</v>
      </c>
      <c r="C125" s="448">
        <f t="shared" ref="C125:AL125" si="62">C122/$B$125</f>
        <v>68.604</v>
      </c>
      <c r="D125" s="448">
        <f t="shared" si="62"/>
        <v>60.858</v>
      </c>
      <c r="E125" s="448">
        <f t="shared" si="62"/>
        <v>79.396</v>
      </c>
      <c r="F125" s="448">
        <f t="shared" si="62"/>
        <v>57.574</v>
      </c>
      <c r="G125" s="448">
        <f t="shared" si="62"/>
        <v>65.468</v>
      </c>
      <c r="H125" s="448">
        <f t="shared" si="62"/>
        <v>79.77</v>
      </c>
      <c r="I125" s="448">
        <f t="shared" si="62"/>
        <v>71.862</v>
      </c>
      <c r="J125" s="448">
        <f t="shared" si="62"/>
        <v>68.102</v>
      </c>
      <c r="K125" s="448">
        <f t="shared" si="62"/>
        <v>69.002</v>
      </c>
      <c r="L125" s="448">
        <f t="shared" si="62"/>
        <v>59.618</v>
      </c>
      <c r="M125" s="448">
        <f t="shared" si="62"/>
        <v>70.926</v>
      </c>
      <c r="N125" s="448">
        <f t="shared" si="62"/>
        <v>73.996</v>
      </c>
      <c r="O125" s="448">
        <f t="shared" si="62"/>
        <v>79.85</v>
      </c>
      <c r="P125" s="448">
        <f t="shared" si="62"/>
        <v>49.062</v>
      </c>
      <c r="Q125" s="448">
        <f t="shared" si="62"/>
        <v>76.604</v>
      </c>
      <c r="R125" s="448">
        <f t="shared" si="62"/>
        <v>79.58</v>
      </c>
      <c r="S125" s="448">
        <f t="shared" si="62"/>
        <v>55.59</v>
      </c>
      <c r="T125" s="448">
        <f t="shared" si="62"/>
        <v>65.046</v>
      </c>
      <c r="U125" s="448">
        <f t="shared" si="62"/>
        <v>41.478</v>
      </c>
      <c r="V125" s="448">
        <f t="shared" si="62"/>
        <v>52.286</v>
      </c>
      <c r="W125" s="448">
        <f t="shared" si="62"/>
        <v>41.464</v>
      </c>
      <c r="X125" s="448">
        <f t="shared" si="62"/>
        <v>43.348</v>
      </c>
      <c r="Y125" s="448">
        <f t="shared" si="62"/>
        <v>78.78</v>
      </c>
      <c r="Z125" s="448">
        <f t="shared" si="62"/>
        <v>114.9727047</v>
      </c>
      <c r="AA125" s="448">
        <f t="shared" si="62"/>
        <v>153.0794777</v>
      </c>
      <c r="AB125" s="448">
        <f t="shared" si="62"/>
        <v>186.908067</v>
      </c>
      <c r="AC125" s="448">
        <f t="shared" si="62"/>
        <v>211.4373125</v>
      </c>
      <c r="AD125" s="448">
        <f t="shared" si="62"/>
        <v>229.3370579</v>
      </c>
      <c r="AE125" s="448">
        <f t="shared" si="62"/>
        <v>244.3534704</v>
      </c>
      <c r="AF125" s="448">
        <f t="shared" si="62"/>
        <v>254.7577937</v>
      </c>
      <c r="AG125" s="448">
        <f t="shared" si="62"/>
        <v>262.0518201</v>
      </c>
      <c r="AH125" s="448">
        <f t="shared" si="62"/>
        <v>264.5938128</v>
      </c>
      <c r="AI125" s="448">
        <f t="shared" si="62"/>
        <v>261.7602468</v>
      </c>
      <c r="AJ125" s="448">
        <f t="shared" si="62"/>
        <v>266.6533237</v>
      </c>
      <c r="AK125" s="448">
        <f t="shared" si="62"/>
        <v>270.5633443</v>
      </c>
      <c r="AL125" s="448">
        <f t="shared" si="62"/>
        <v>274.0432997</v>
      </c>
      <c r="AM125" s="448">
        <f t="shared" ref="AM125:CH125" si="63">AM122/$B$126</f>
        <v>258.8479919</v>
      </c>
      <c r="AN125" s="448">
        <f t="shared" si="63"/>
        <v>248.5777205</v>
      </c>
      <c r="AO125" s="448">
        <f t="shared" si="63"/>
        <v>238.9111665</v>
      </c>
      <c r="AP125" s="448">
        <f t="shared" si="63"/>
        <v>232.3541732</v>
      </c>
      <c r="AQ125" s="448">
        <f t="shared" si="63"/>
        <v>228.0327813</v>
      </c>
      <c r="AR125" s="448">
        <f t="shared" si="63"/>
        <v>225.7905511</v>
      </c>
      <c r="AS125" s="448">
        <f t="shared" si="63"/>
        <v>224.5754707</v>
      </c>
      <c r="AT125" s="448">
        <f t="shared" si="63"/>
        <v>224.1009156</v>
      </c>
      <c r="AU125" s="448">
        <f t="shared" si="63"/>
        <v>224.1611181</v>
      </c>
      <c r="AV125" s="448">
        <f t="shared" si="63"/>
        <v>224.6083655</v>
      </c>
      <c r="AW125" s="448">
        <f t="shared" si="63"/>
        <v>225.3366293</v>
      </c>
      <c r="AX125" s="448">
        <f t="shared" si="63"/>
        <v>226.2698103</v>
      </c>
      <c r="AY125" s="448">
        <f t="shared" si="63"/>
        <v>233.8079415</v>
      </c>
      <c r="AZ125" s="448">
        <f t="shared" si="63"/>
        <v>240.0580982</v>
      </c>
      <c r="BA125" s="448">
        <f t="shared" si="63"/>
        <v>245.1058383</v>
      </c>
      <c r="BB125" s="448">
        <f t="shared" si="63"/>
        <v>249.266955</v>
      </c>
      <c r="BC125" s="448">
        <f t="shared" si="63"/>
        <v>252.7751635</v>
      </c>
      <c r="BD125" s="448">
        <f t="shared" si="63"/>
        <v>255.803442</v>
      </c>
      <c r="BE125" s="448">
        <f t="shared" si="63"/>
        <v>258.4798232</v>
      </c>
      <c r="BF125" s="448">
        <f t="shared" si="63"/>
        <v>260.8990808</v>
      </c>
      <c r="BG125" s="448">
        <f t="shared" si="63"/>
        <v>263.131377</v>
      </c>
      <c r="BH125" s="448">
        <f t="shared" si="63"/>
        <v>265.2286617</v>
      </c>
      <c r="BI125" s="448">
        <f t="shared" si="63"/>
        <v>267.2294081</v>
      </c>
      <c r="BJ125" s="448">
        <f t="shared" si="63"/>
        <v>269.162117</v>
      </c>
      <c r="BK125" s="448">
        <f t="shared" si="63"/>
        <v>273.5865756</v>
      </c>
      <c r="BL125" s="448">
        <f t="shared" si="63"/>
        <v>276.9466558</v>
      </c>
      <c r="BM125" s="448">
        <f t="shared" si="63"/>
        <v>278.6516316</v>
      </c>
      <c r="BN125" s="448">
        <f t="shared" si="63"/>
        <v>280.4186837</v>
      </c>
      <c r="BO125" s="448">
        <f t="shared" si="63"/>
        <v>282.237002</v>
      </c>
      <c r="BP125" s="448">
        <f t="shared" si="63"/>
        <v>284.0986851</v>
      </c>
      <c r="BQ125" s="448">
        <f t="shared" si="63"/>
        <v>285.9979867</v>
      </c>
      <c r="BR125" s="448">
        <f t="shared" si="63"/>
        <v>287.9307578</v>
      </c>
      <c r="BS125" s="448">
        <f t="shared" si="63"/>
        <v>289.8940341</v>
      </c>
      <c r="BT125" s="448">
        <f t="shared" si="63"/>
        <v>291.8857309</v>
      </c>
      <c r="BU125" s="448">
        <f t="shared" si="63"/>
        <v>293.9044172</v>
      </c>
      <c r="BV125" s="448">
        <f t="shared" si="63"/>
        <v>295.9491488</v>
      </c>
      <c r="BW125" s="448">
        <f t="shared" si="63"/>
        <v>298.2984167</v>
      </c>
      <c r="BX125" s="448">
        <f t="shared" si="63"/>
        <v>294.1343982</v>
      </c>
      <c r="BY125" s="448">
        <f t="shared" si="63"/>
        <v>290.0698932</v>
      </c>
      <c r="BZ125" s="448">
        <f t="shared" si="63"/>
        <v>287.4128118</v>
      </c>
      <c r="CA125" s="448">
        <f t="shared" si="63"/>
        <v>285.8023544</v>
      </c>
      <c r="CB125" s="448">
        <f t="shared" si="63"/>
        <v>284.9715047</v>
      </c>
      <c r="CC125" s="448">
        <f t="shared" si="63"/>
        <v>284.7226476</v>
      </c>
      <c r="CD125" s="448">
        <f t="shared" si="63"/>
        <v>284.9095263</v>
      </c>
      <c r="CE125" s="448">
        <f t="shared" si="63"/>
        <v>285.423891</v>
      </c>
      <c r="CF125" s="448">
        <f t="shared" si="63"/>
        <v>286.1856186</v>
      </c>
      <c r="CG125" s="448">
        <f t="shared" si="63"/>
        <v>287.135401</v>
      </c>
      <c r="CH125" s="448">
        <f t="shared" si="63"/>
        <v>288.2293351</v>
      </c>
      <c r="CI125" s="448"/>
    </row>
    <row r="126" ht="15.75" customHeight="1" outlineLevel="1">
      <c r="A126" s="449" t="s">
        <v>679</v>
      </c>
      <c r="B126" s="454">
        <v>555.0</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ht="15.75" customHeight="1" outlineLevel="1">
      <c r="A127" s="1"/>
      <c r="B127" s="1"/>
      <c r="C127" s="117"/>
      <c r="D127" s="117"/>
      <c r="E127" s="117"/>
      <c r="F127" s="117"/>
      <c r="G127" s="117"/>
      <c r="H127" s="117"/>
      <c r="I127" s="117"/>
      <c r="J127" s="117"/>
      <c r="K127" s="117"/>
      <c r="L127" s="117"/>
      <c r="M127" s="117"/>
      <c r="N127" s="117"/>
      <c r="O127" s="117"/>
      <c r="P127" s="117"/>
      <c r="Q127" s="117"/>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1"/>
      <c r="BF127" s="131"/>
      <c r="BG127" s="131"/>
      <c r="BH127" s="131"/>
      <c r="BI127" s="131"/>
      <c r="BJ127" s="131"/>
      <c r="BK127" s="131"/>
      <c r="BL127" s="131"/>
      <c r="BM127" s="131"/>
      <c r="BN127" s="131"/>
      <c r="BO127" s="131"/>
      <c r="BP127" s="131"/>
      <c r="BQ127" s="131"/>
      <c r="BR127" s="131"/>
      <c r="BS127" s="131"/>
      <c r="BT127" s="131"/>
      <c r="BU127" s="131"/>
      <c r="BV127" s="131"/>
      <c r="BW127" s="131"/>
      <c r="BX127" s="131"/>
      <c r="BY127" s="131"/>
      <c r="BZ127" s="131"/>
      <c r="CA127" s="131"/>
      <c r="CB127" s="131"/>
      <c r="CC127" s="131"/>
      <c r="CD127" s="131"/>
      <c r="CE127" s="131"/>
      <c r="CF127" s="131"/>
      <c r="CG127" s="131"/>
      <c r="CH127" s="131"/>
      <c r="CI127" s="131"/>
    </row>
    <row r="128" ht="15.75" customHeight="1" outlineLevel="1">
      <c r="A128" s="1"/>
      <c r="B128" s="1"/>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c r="AI128" s="117"/>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7"/>
      <c r="BO128" s="117"/>
      <c r="BP128" s="117"/>
      <c r="BQ128" s="117"/>
      <c r="BR128" s="117"/>
      <c r="BS128" s="117"/>
      <c r="BT128" s="117"/>
      <c r="BU128" s="117"/>
      <c r="BV128" s="117"/>
      <c r="BW128" s="117"/>
      <c r="BX128" s="117"/>
      <c r="BY128" s="117"/>
      <c r="BZ128" s="117"/>
      <c r="CA128" s="117"/>
      <c r="CB128" s="117"/>
      <c r="CC128" s="117"/>
      <c r="CD128" s="117"/>
      <c r="CE128" s="117"/>
      <c r="CF128" s="117"/>
      <c r="CG128" s="117"/>
      <c r="CH128" s="117"/>
      <c r="CI128" s="117"/>
    </row>
    <row r="129" ht="15.75" customHeight="1">
      <c r="A129" s="1" t="s">
        <v>686</v>
      </c>
      <c r="B129" s="1"/>
      <c r="C129" s="453">
        <f t="shared" ref="C129:CH129" si="64">SUM(C116,C122)</f>
        <v>195725</v>
      </c>
      <c r="D129" s="453">
        <f t="shared" si="64"/>
        <v>214613</v>
      </c>
      <c r="E129" s="453">
        <f t="shared" si="64"/>
        <v>197392</v>
      </c>
      <c r="F129" s="453">
        <f t="shared" si="64"/>
        <v>258277</v>
      </c>
      <c r="G129" s="453">
        <f t="shared" si="64"/>
        <v>139422</v>
      </c>
      <c r="H129" s="453">
        <f t="shared" si="64"/>
        <v>247130</v>
      </c>
      <c r="I129" s="453">
        <f t="shared" si="64"/>
        <v>139486</v>
      </c>
      <c r="J129" s="453">
        <f t="shared" si="64"/>
        <v>196567</v>
      </c>
      <c r="K129" s="453">
        <f t="shared" si="64"/>
        <v>153247</v>
      </c>
      <c r="L129" s="453">
        <f t="shared" si="64"/>
        <v>181294</v>
      </c>
      <c r="M129" s="453">
        <f t="shared" si="64"/>
        <v>169975</v>
      </c>
      <c r="N129" s="453">
        <f t="shared" si="64"/>
        <v>190504</v>
      </c>
      <c r="O129" s="453">
        <f t="shared" si="64"/>
        <v>266809</v>
      </c>
      <c r="P129" s="453">
        <f t="shared" si="64"/>
        <v>171318</v>
      </c>
      <c r="Q129" s="453">
        <f t="shared" si="64"/>
        <v>241762</v>
      </c>
      <c r="R129" s="453">
        <f t="shared" si="64"/>
        <v>255611</v>
      </c>
      <c r="S129" s="453">
        <f t="shared" si="64"/>
        <v>205241</v>
      </c>
      <c r="T129" s="453">
        <f t="shared" si="64"/>
        <v>271510</v>
      </c>
      <c r="U129" s="453">
        <f t="shared" si="64"/>
        <v>256363</v>
      </c>
      <c r="V129" s="453">
        <f t="shared" si="64"/>
        <v>232452</v>
      </c>
      <c r="W129" s="453">
        <f t="shared" si="64"/>
        <v>156362</v>
      </c>
      <c r="X129" s="453">
        <f t="shared" si="64"/>
        <v>208832</v>
      </c>
      <c r="Y129" s="453">
        <f t="shared" si="64"/>
        <v>145395</v>
      </c>
      <c r="Z129" s="303">
        <f t="shared" si="64"/>
        <v>163491.3524</v>
      </c>
      <c r="AA129" s="303">
        <f t="shared" si="64"/>
        <v>183044.7388</v>
      </c>
      <c r="AB129" s="303">
        <f t="shared" si="64"/>
        <v>200459.0335</v>
      </c>
      <c r="AC129" s="303">
        <f t="shared" si="64"/>
        <v>213223.6562</v>
      </c>
      <c r="AD129" s="303">
        <f t="shared" si="64"/>
        <v>222673.5289</v>
      </c>
      <c r="AE129" s="303">
        <f t="shared" si="64"/>
        <v>230681.7352</v>
      </c>
      <c r="AF129" s="303">
        <f t="shared" si="64"/>
        <v>236383.8968</v>
      </c>
      <c r="AG129" s="303">
        <f t="shared" si="64"/>
        <v>240530.91</v>
      </c>
      <c r="AH129" s="303">
        <f t="shared" si="64"/>
        <v>242301.9064</v>
      </c>
      <c r="AI129" s="303">
        <f t="shared" si="64"/>
        <v>241385.1234</v>
      </c>
      <c r="AJ129" s="303">
        <f t="shared" si="64"/>
        <v>244331.6618</v>
      </c>
      <c r="AK129" s="303">
        <f t="shared" si="64"/>
        <v>246786.6721</v>
      </c>
      <c r="AL129" s="303">
        <f t="shared" si="64"/>
        <v>249026.6499</v>
      </c>
      <c r="AM129" s="303">
        <f t="shared" si="64"/>
        <v>256165.6355</v>
      </c>
      <c r="AN129" s="303">
        <f t="shared" si="64"/>
        <v>250965.6349</v>
      </c>
      <c r="AO129" s="303">
        <f t="shared" si="64"/>
        <v>246100.6974</v>
      </c>
      <c r="AP129" s="303">
        <f t="shared" si="64"/>
        <v>242961.5661</v>
      </c>
      <c r="AQ129" s="303">
        <f t="shared" si="64"/>
        <v>241063.1936</v>
      </c>
      <c r="AR129" s="303">
        <f t="shared" si="64"/>
        <v>240318.7559</v>
      </c>
      <c r="AS129" s="303">
        <f t="shared" si="64"/>
        <v>240144.3862</v>
      </c>
      <c r="AT129" s="303">
        <f t="shared" si="64"/>
        <v>240381.0082</v>
      </c>
      <c r="AU129" s="303">
        <f t="shared" si="64"/>
        <v>240914.4205</v>
      </c>
      <c r="AV129" s="303">
        <f t="shared" si="64"/>
        <v>241662.6428</v>
      </c>
      <c r="AW129" s="303">
        <f t="shared" si="64"/>
        <v>242566.8292</v>
      </c>
      <c r="AX129" s="303">
        <f t="shared" si="64"/>
        <v>243584.7447</v>
      </c>
      <c r="AY129" s="303">
        <f t="shared" si="64"/>
        <v>248268.4075</v>
      </c>
      <c r="AZ129" s="303">
        <f t="shared" si="64"/>
        <v>252237.2445</v>
      </c>
      <c r="BA129" s="303">
        <f t="shared" si="64"/>
        <v>255538.7403</v>
      </c>
      <c r="BB129" s="303">
        <f t="shared" si="64"/>
        <v>258348.16</v>
      </c>
      <c r="BC129" s="303">
        <f t="shared" si="64"/>
        <v>260795.2157</v>
      </c>
      <c r="BD129" s="303">
        <f t="shared" si="64"/>
        <v>262975.9103</v>
      </c>
      <c r="BE129" s="303">
        <f t="shared" si="64"/>
        <v>264961.3019</v>
      </c>
      <c r="BF129" s="303">
        <f t="shared" si="64"/>
        <v>266803.9899</v>
      </c>
      <c r="BG129" s="303">
        <f t="shared" si="64"/>
        <v>268542.9142</v>
      </c>
      <c r="BH129" s="303">
        <f t="shared" si="64"/>
        <v>270206.9072</v>
      </c>
      <c r="BI129" s="303">
        <f t="shared" si="64"/>
        <v>271817.3215</v>
      </c>
      <c r="BJ129" s="303">
        <f t="shared" si="64"/>
        <v>273389.9749</v>
      </c>
      <c r="BK129" s="303">
        <f t="shared" si="64"/>
        <v>277845.5494</v>
      </c>
      <c r="BL129" s="303">
        <f t="shared" si="64"/>
        <v>281710.394</v>
      </c>
      <c r="BM129" s="303">
        <f t="shared" si="64"/>
        <v>284656.6556</v>
      </c>
      <c r="BN129" s="303">
        <f t="shared" si="64"/>
        <v>287637.3694</v>
      </c>
      <c r="BO129" s="303">
        <f t="shared" si="64"/>
        <v>290646.5361</v>
      </c>
      <c r="BP129" s="303">
        <f t="shared" si="64"/>
        <v>293679.7702</v>
      </c>
      <c r="BQ129" s="303">
        <f t="shared" si="64"/>
        <v>296733.8826</v>
      </c>
      <c r="BR129" s="303">
        <f t="shared" si="64"/>
        <v>299806.5706</v>
      </c>
      <c r="BS129" s="303">
        <f t="shared" si="64"/>
        <v>302896.1889</v>
      </c>
      <c r="BT129" s="303">
        <f t="shared" si="64"/>
        <v>306001.5806</v>
      </c>
      <c r="BU129" s="303">
        <f t="shared" si="64"/>
        <v>309121.9515</v>
      </c>
      <c r="BV129" s="303">
        <f t="shared" si="64"/>
        <v>312256.7776</v>
      </c>
      <c r="BW129" s="303">
        <f t="shared" si="64"/>
        <v>315560.6213</v>
      </c>
      <c r="BX129" s="303">
        <f t="shared" si="64"/>
        <v>315249.591</v>
      </c>
      <c r="BY129" s="303">
        <f t="shared" si="64"/>
        <v>314993.7907</v>
      </c>
      <c r="BZ129" s="303">
        <f t="shared" si="64"/>
        <v>315519.1105</v>
      </c>
      <c r="CA129" s="303">
        <f t="shared" si="64"/>
        <v>316625.3067</v>
      </c>
      <c r="CB129" s="303">
        <f t="shared" si="64"/>
        <v>318164.1851</v>
      </c>
      <c r="CC129" s="303">
        <f t="shared" si="64"/>
        <v>320026.0694</v>
      </c>
      <c r="CD129" s="303">
        <f t="shared" si="64"/>
        <v>322129.7871</v>
      </c>
      <c r="CE129" s="303">
        <f t="shared" si="64"/>
        <v>324415.2595</v>
      </c>
      <c r="CF129" s="303">
        <f t="shared" si="64"/>
        <v>326838.0183</v>
      </c>
      <c r="CG129" s="303">
        <f t="shared" si="64"/>
        <v>329365.1476</v>
      </c>
      <c r="CH129" s="303">
        <f t="shared" si="64"/>
        <v>331972.281</v>
      </c>
      <c r="CI129" s="303"/>
    </row>
    <row r="130" ht="15.75" customHeight="1">
      <c r="A130" s="1" t="s">
        <v>325</v>
      </c>
      <c r="B130" s="1"/>
      <c r="C130" s="1"/>
      <c r="D130" s="387">
        <f t="shared" ref="D130:X130" si="65">D129-C129</f>
        <v>18888</v>
      </c>
      <c r="E130" s="387">
        <f t="shared" si="65"/>
        <v>-17221</v>
      </c>
      <c r="F130" s="387">
        <f t="shared" si="65"/>
        <v>60885</v>
      </c>
      <c r="G130" s="387">
        <f t="shared" si="65"/>
        <v>-118855</v>
      </c>
      <c r="H130" s="387">
        <f t="shared" si="65"/>
        <v>107708</v>
      </c>
      <c r="I130" s="387">
        <f t="shared" si="65"/>
        <v>-107644</v>
      </c>
      <c r="J130" s="387">
        <f t="shared" si="65"/>
        <v>57081</v>
      </c>
      <c r="K130" s="387">
        <f t="shared" si="65"/>
        <v>-43320</v>
      </c>
      <c r="L130" s="387">
        <f t="shared" si="65"/>
        <v>28047</v>
      </c>
      <c r="M130" s="387">
        <f t="shared" si="65"/>
        <v>-11319</v>
      </c>
      <c r="N130" s="387">
        <f t="shared" si="65"/>
        <v>20529</v>
      </c>
      <c r="O130" s="387">
        <f t="shared" si="65"/>
        <v>76305</v>
      </c>
      <c r="P130" s="387">
        <f t="shared" si="65"/>
        <v>-95491</v>
      </c>
      <c r="Q130" s="387">
        <f t="shared" si="65"/>
        <v>70444</v>
      </c>
      <c r="R130" s="387">
        <f t="shared" si="65"/>
        <v>13849</v>
      </c>
      <c r="S130" s="387">
        <f t="shared" si="65"/>
        <v>-50370</v>
      </c>
      <c r="T130" s="387">
        <f t="shared" si="65"/>
        <v>66269</v>
      </c>
      <c r="U130" s="387">
        <f t="shared" si="65"/>
        <v>-15147</v>
      </c>
      <c r="V130" s="387">
        <f t="shared" si="65"/>
        <v>-23911</v>
      </c>
      <c r="W130" s="387">
        <f t="shared" si="65"/>
        <v>-76090</v>
      </c>
      <c r="X130" s="387">
        <f t="shared" si="65"/>
        <v>52470</v>
      </c>
      <c r="Y130" s="387" t="str">
        <f>#REF!/$B$119</f>
        <v>#REF!</v>
      </c>
      <c r="Z130" s="131">
        <f t="shared" ref="Z130:CH130" si="66">Z129-Y129</f>
        <v>18096.35237</v>
      </c>
      <c r="AA130" s="131">
        <f t="shared" si="66"/>
        <v>19553.38647</v>
      </c>
      <c r="AB130" s="131">
        <f t="shared" si="66"/>
        <v>17414.29468</v>
      </c>
      <c r="AC130" s="131">
        <f t="shared" si="66"/>
        <v>12764.62274</v>
      </c>
      <c r="AD130" s="131">
        <f t="shared" si="66"/>
        <v>9449.872696</v>
      </c>
      <c r="AE130" s="131">
        <f t="shared" si="66"/>
        <v>8008.206239</v>
      </c>
      <c r="AF130" s="131">
        <f t="shared" si="66"/>
        <v>5702.161659</v>
      </c>
      <c r="AG130" s="131">
        <f t="shared" si="66"/>
        <v>4147.013192</v>
      </c>
      <c r="AH130" s="131">
        <f t="shared" si="66"/>
        <v>1770.996344</v>
      </c>
      <c r="AI130" s="131">
        <f t="shared" si="66"/>
        <v>-916.7829596</v>
      </c>
      <c r="AJ130" s="131">
        <f t="shared" si="66"/>
        <v>2946.538424</v>
      </c>
      <c r="AK130" s="131">
        <f t="shared" si="66"/>
        <v>2455.010296</v>
      </c>
      <c r="AL130" s="131">
        <f t="shared" si="66"/>
        <v>2239.977734</v>
      </c>
      <c r="AM130" s="131">
        <f t="shared" si="66"/>
        <v>7138.985627</v>
      </c>
      <c r="AN130" s="131">
        <f t="shared" si="66"/>
        <v>-5200.000606</v>
      </c>
      <c r="AO130" s="131">
        <f t="shared" si="66"/>
        <v>-4864.937511</v>
      </c>
      <c r="AP130" s="131">
        <f t="shared" si="66"/>
        <v>-3139.131279</v>
      </c>
      <c r="AQ130" s="131">
        <f t="shared" si="66"/>
        <v>-1898.372478</v>
      </c>
      <c r="AR130" s="131">
        <f t="shared" si="66"/>
        <v>-744.4377444</v>
      </c>
      <c r="AS130" s="131">
        <f t="shared" si="66"/>
        <v>-174.3696504</v>
      </c>
      <c r="AT130" s="131">
        <f t="shared" si="66"/>
        <v>236.621932</v>
      </c>
      <c r="AU130" s="131">
        <f t="shared" si="66"/>
        <v>533.4123593</v>
      </c>
      <c r="AV130" s="131">
        <f t="shared" si="66"/>
        <v>748.2223099</v>
      </c>
      <c r="AW130" s="131">
        <f t="shared" si="66"/>
        <v>904.1864051</v>
      </c>
      <c r="AX130" s="131">
        <f t="shared" si="66"/>
        <v>1017.915479</v>
      </c>
      <c r="AY130" s="131">
        <f t="shared" si="66"/>
        <v>4683.662822</v>
      </c>
      <c r="AZ130" s="131">
        <f t="shared" si="66"/>
        <v>3968.836939</v>
      </c>
      <c r="BA130" s="131">
        <f t="shared" si="66"/>
        <v>3301.495776</v>
      </c>
      <c r="BB130" s="131">
        <f t="shared" si="66"/>
        <v>2809.419755</v>
      </c>
      <c r="BC130" s="131">
        <f t="shared" si="66"/>
        <v>2447.055733</v>
      </c>
      <c r="BD130" s="131">
        <f t="shared" si="66"/>
        <v>2180.694546</v>
      </c>
      <c r="BE130" s="131">
        <f t="shared" si="66"/>
        <v>1985.391579</v>
      </c>
      <c r="BF130" s="131">
        <f t="shared" si="66"/>
        <v>1842.687983</v>
      </c>
      <c r="BG130" s="131">
        <f t="shared" si="66"/>
        <v>1738.924378</v>
      </c>
      <c r="BH130" s="131">
        <f t="shared" si="66"/>
        <v>1663.992994</v>
      </c>
      <c r="BI130" s="131">
        <f t="shared" si="66"/>
        <v>1610.414255</v>
      </c>
      <c r="BJ130" s="131">
        <f t="shared" si="66"/>
        <v>1572.653446</v>
      </c>
      <c r="BK130" s="131">
        <f t="shared" si="66"/>
        <v>4455.574522</v>
      </c>
      <c r="BL130" s="131">
        <f t="shared" si="66"/>
        <v>3864.844505</v>
      </c>
      <c r="BM130" s="131">
        <f t="shared" si="66"/>
        <v>2946.261601</v>
      </c>
      <c r="BN130" s="131">
        <f t="shared" si="66"/>
        <v>2980.713896</v>
      </c>
      <c r="BO130" s="131">
        <f t="shared" si="66"/>
        <v>3009.166643</v>
      </c>
      <c r="BP130" s="131">
        <f t="shared" si="66"/>
        <v>3033.234142</v>
      </c>
      <c r="BQ130" s="131">
        <f t="shared" si="66"/>
        <v>3054.112405</v>
      </c>
      <c r="BR130" s="131">
        <f t="shared" si="66"/>
        <v>3072.687956</v>
      </c>
      <c r="BS130" s="131">
        <f t="shared" si="66"/>
        <v>3089.61834</v>
      </c>
      <c r="BT130" s="131">
        <f t="shared" si="66"/>
        <v>3105.391706</v>
      </c>
      <c r="BU130" s="131">
        <f t="shared" si="66"/>
        <v>3120.370893</v>
      </c>
      <c r="BV130" s="131">
        <f t="shared" si="66"/>
        <v>3134.826066</v>
      </c>
      <c r="BW130" s="131">
        <f t="shared" si="66"/>
        <v>3303.843666</v>
      </c>
      <c r="BX130" s="131">
        <f t="shared" si="66"/>
        <v>-311.0302585</v>
      </c>
      <c r="BY130" s="131">
        <f t="shared" si="66"/>
        <v>-255.8002715</v>
      </c>
      <c r="BZ130" s="131">
        <f t="shared" si="66"/>
        <v>525.3198003</v>
      </c>
      <c r="CA130" s="131">
        <f t="shared" si="66"/>
        <v>1106.196155</v>
      </c>
      <c r="CB130" s="131">
        <f t="shared" si="66"/>
        <v>1538.878434</v>
      </c>
      <c r="CC130" s="131">
        <f t="shared" si="66"/>
        <v>1861.88429</v>
      </c>
      <c r="CD130" s="131">
        <f t="shared" si="66"/>
        <v>2103.717683</v>
      </c>
      <c r="CE130" s="131">
        <f t="shared" si="66"/>
        <v>2285.472422</v>
      </c>
      <c r="CF130" s="131">
        <f t="shared" si="66"/>
        <v>2422.758791</v>
      </c>
      <c r="CG130" s="131">
        <f t="shared" si="66"/>
        <v>2527.129245</v>
      </c>
      <c r="CH130" s="131">
        <f t="shared" si="66"/>
        <v>2607.133432</v>
      </c>
      <c r="CI130" s="131"/>
    </row>
    <row r="131" ht="15.75" customHeight="1">
      <c r="A131" s="1" t="s">
        <v>51</v>
      </c>
      <c r="B131" s="1"/>
      <c r="C131" s="1"/>
      <c r="D131" s="425">
        <f t="shared" ref="D131:CH131" si="67">D129/C129-1</f>
        <v>0.0965027462</v>
      </c>
      <c r="E131" s="423">
        <f t="shared" si="67"/>
        <v>-0.08024211022</v>
      </c>
      <c r="F131" s="423">
        <f t="shared" si="67"/>
        <v>0.3084471508</v>
      </c>
      <c r="G131" s="425">
        <f t="shared" si="67"/>
        <v>-0.4601842208</v>
      </c>
      <c r="H131" s="425">
        <f t="shared" si="67"/>
        <v>0.772532312</v>
      </c>
      <c r="I131" s="423">
        <f t="shared" si="67"/>
        <v>-0.4355764173</v>
      </c>
      <c r="J131" s="423">
        <f t="shared" si="67"/>
        <v>0.4092238648</v>
      </c>
      <c r="K131" s="423">
        <f t="shared" si="67"/>
        <v>-0.220382872</v>
      </c>
      <c r="L131" s="423">
        <f t="shared" si="67"/>
        <v>0.1830182646</v>
      </c>
      <c r="M131" s="423">
        <f t="shared" si="67"/>
        <v>-0.06243449866</v>
      </c>
      <c r="N131" s="423">
        <f t="shared" si="67"/>
        <v>0.1207765848</v>
      </c>
      <c r="O131" s="423">
        <f t="shared" si="67"/>
        <v>0.4005427708</v>
      </c>
      <c r="P131" s="423">
        <f t="shared" si="67"/>
        <v>-0.3579002208</v>
      </c>
      <c r="Q131" s="423">
        <f t="shared" si="67"/>
        <v>0.4111885499</v>
      </c>
      <c r="R131" s="423">
        <f t="shared" si="67"/>
        <v>0.0572836095</v>
      </c>
      <c r="S131" s="423">
        <f t="shared" si="67"/>
        <v>-0.1970572471</v>
      </c>
      <c r="T131" s="423">
        <f t="shared" si="67"/>
        <v>0.3228838293</v>
      </c>
      <c r="U131" s="423">
        <f t="shared" si="67"/>
        <v>-0.05578800044</v>
      </c>
      <c r="V131" s="423">
        <f t="shared" si="67"/>
        <v>-0.09327008968</v>
      </c>
      <c r="W131" s="423">
        <f t="shared" si="67"/>
        <v>-0.3273363963</v>
      </c>
      <c r="X131" s="423">
        <f t="shared" si="67"/>
        <v>0.3355674652</v>
      </c>
      <c r="Y131" s="423">
        <f t="shared" si="67"/>
        <v>-0.3037704949</v>
      </c>
      <c r="Z131" s="202">
        <f t="shared" si="67"/>
        <v>0.1244633747</v>
      </c>
      <c r="AA131" s="202">
        <f t="shared" si="67"/>
        <v>0.1195989035</v>
      </c>
      <c r="AB131" s="202">
        <f t="shared" si="67"/>
        <v>0.09513682167</v>
      </c>
      <c r="AC131" s="202">
        <f t="shared" si="67"/>
        <v>0.06367696437</v>
      </c>
      <c r="AD131" s="202">
        <f t="shared" si="67"/>
        <v>0.04431906319</v>
      </c>
      <c r="AE131" s="202">
        <f t="shared" si="67"/>
        <v>0.03596388972</v>
      </c>
      <c r="AF131" s="202">
        <f t="shared" si="67"/>
        <v>0.02471873924</v>
      </c>
      <c r="AG131" s="202">
        <f t="shared" si="67"/>
        <v>0.01754355203</v>
      </c>
      <c r="AH131" s="202">
        <f t="shared" si="67"/>
        <v>0.007362863858</v>
      </c>
      <c r="AI131" s="202">
        <f t="shared" si="67"/>
        <v>-0.003783639069</v>
      </c>
      <c r="AJ131" s="202">
        <f t="shared" si="67"/>
        <v>0.01220679378</v>
      </c>
      <c r="AK131" s="202">
        <f t="shared" si="67"/>
        <v>0.01004785985</v>
      </c>
      <c r="AL131" s="202">
        <f t="shared" si="67"/>
        <v>0.009076574981</v>
      </c>
      <c r="AM131" s="202">
        <f t="shared" si="67"/>
        <v>0.02866755679</v>
      </c>
      <c r="AN131" s="202">
        <f t="shared" si="67"/>
        <v>-0.0202993684</v>
      </c>
      <c r="AO131" s="202">
        <f t="shared" si="67"/>
        <v>-0.0193848752</v>
      </c>
      <c r="AP131" s="202">
        <f t="shared" si="67"/>
        <v>-0.01275547494</v>
      </c>
      <c r="AQ131" s="202">
        <f t="shared" si="67"/>
        <v>-0.007813468232</v>
      </c>
      <c r="AR131" s="202">
        <f t="shared" si="67"/>
        <v>-0.003088143541</v>
      </c>
      <c r="AS131" s="202">
        <f t="shared" si="67"/>
        <v>-0.000725576536</v>
      </c>
      <c r="AT131" s="202">
        <f t="shared" si="67"/>
        <v>0.0009853319318</v>
      </c>
      <c r="AU131" s="202">
        <f t="shared" si="67"/>
        <v>0.002219028714</v>
      </c>
      <c r="AV131" s="202">
        <f t="shared" si="67"/>
        <v>0.003105759748</v>
      </c>
      <c r="AW131" s="202">
        <f t="shared" si="67"/>
        <v>0.003741523284</v>
      </c>
      <c r="AX131" s="202">
        <f t="shared" si="67"/>
        <v>0.004196433134</v>
      </c>
      <c r="AY131" s="202">
        <f t="shared" si="67"/>
        <v>0.01922806302</v>
      </c>
      <c r="AZ131" s="202">
        <f t="shared" si="67"/>
        <v>0.01598607321</v>
      </c>
      <c r="BA131" s="202">
        <f t="shared" si="67"/>
        <v>0.01308885126</v>
      </c>
      <c r="BB131" s="202">
        <f t="shared" si="67"/>
        <v>0.01099410505</v>
      </c>
      <c r="BC131" s="202">
        <f t="shared" si="67"/>
        <v>0.009471930178</v>
      </c>
      <c r="BD131" s="202">
        <f t="shared" si="67"/>
        <v>0.008361712235</v>
      </c>
      <c r="BE131" s="202">
        <f t="shared" si="67"/>
        <v>0.007549708933</v>
      </c>
      <c r="BF131" s="202">
        <f t="shared" si="67"/>
        <v>0.006954555136</v>
      </c>
      <c r="BG131" s="202">
        <f t="shared" si="67"/>
        <v>0.006517610096</v>
      </c>
      <c r="BH131" s="202">
        <f t="shared" si="67"/>
        <v>0.006196376468</v>
      </c>
      <c r="BI131" s="202">
        <f t="shared" si="67"/>
        <v>0.005959930008</v>
      </c>
      <c r="BJ131" s="202">
        <f t="shared" si="67"/>
        <v>0.005785699888</v>
      </c>
      <c r="BK131" s="202">
        <f t="shared" si="67"/>
        <v>0.01629750514</v>
      </c>
      <c r="BL131" s="202">
        <f t="shared" si="67"/>
        <v>0.01391004647</v>
      </c>
      <c r="BM131" s="202">
        <f t="shared" si="67"/>
        <v>0.01045847673</v>
      </c>
      <c r="BN131" s="202">
        <f t="shared" si="67"/>
        <v>0.01047126016</v>
      </c>
      <c r="BO131" s="202">
        <f t="shared" si="67"/>
        <v>0.01046166793</v>
      </c>
      <c r="BP131" s="202">
        <f t="shared" si="67"/>
        <v>0.01043616133</v>
      </c>
      <c r="BQ131" s="202">
        <f t="shared" si="67"/>
        <v>0.01039946471</v>
      </c>
      <c r="BR131" s="202">
        <f t="shared" si="67"/>
        <v>0.01035502899</v>
      </c>
      <c r="BS131" s="202">
        <f t="shared" si="67"/>
        <v>0.01030537234</v>
      </c>
      <c r="BT131" s="202">
        <f t="shared" si="67"/>
        <v>0.01025233007</v>
      </c>
      <c r="BU131" s="202">
        <f t="shared" si="67"/>
        <v>0.01019723783</v>
      </c>
      <c r="BV131" s="202">
        <f t="shared" si="67"/>
        <v>0.01014106585</v>
      </c>
      <c r="BW131" s="202">
        <f t="shared" si="67"/>
        <v>0.01058053469</v>
      </c>
      <c r="BX131" s="202">
        <f t="shared" si="67"/>
        <v>-0.0009856434472</v>
      </c>
      <c r="BY131" s="202">
        <f t="shared" si="67"/>
        <v>-0.0008114214223</v>
      </c>
      <c r="BZ131" s="202">
        <f t="shared" si="67"/>
        <v>0.00166771478</v>
      </c>
      <c r="CA131" s="202">
        <f t="shared" si="67"/>
        <v>0.003505956114</v>
      </c>
      <c r="CB131" s="202">
        <f t="shared" si="67"/>
        <v>0.004860250907</v>
      </c>
      <c r="CC131" s="202">
        <f t="shared" si="67"/>
        <v>0.005851960645</v>
      </c>
      <c r="CD131" s="202">
        <f t="shared" si="67"/>
        <v>0.006573582229</v>
      </c>
      <c r="CE131" s="202">
        <f t="shared" si="67"/>
        <v>0.007094880739</v>
      </c>
      <c r="CF131" s="202">
        <f t="shared" si="67"/>
        <v>0.007468079012</v>
      </c>
      <c r="CG131" s="202">
        <f t="shared" si="67"/>
        <v>0.007732054116</v>
      </c>
      <c r="CH131" s="202">
        <f t="shared" si="67"/>
        <v>0.007915632396</v>
      </c>
      <c r="CI131" s="202"/>
    </row>
    <row r="132" ht="15.75" customHeight="1">
      <c r="A132" s="1" t="s">
        <v>678</v>
      </c>
      <c r="B132" s="1"/>
      <c r="C132" s="448">
        <f t="shared" ref="C132:CH132" si="68">SUM(C125,C119)</f>
        <v>391.45</v>
      </c>
      <c r="D132" s="448">
        <f t="shared" si="68"/>
        <v>429.226</v>
      </c>
      <c r="E132" s="448">
        <f t="shared" si="68"/>
        <v>394.784</v>
      </c>
      <c r="F132" s="448">
        <f t="shared" si="68"/>
        <v>516.554</v>
      </c>
      <c r="G132" s="448">
        <f t="shared" si="68"/>
        <v>278.844</v>
      </c>
      <c r="H132" s="448">
        <f t="shared" si="68"/>
        <v>494.26</v>
      </c>
      <c r="I132" s="448">
        <f t="shared" si="68"/>
        <v>278.972</v>
      </c>
      <c r="J132" s="448">
        <f t="shared" si="68"/>
        <v>393.134</v>
      </c>
      <c r="K132" s="448">
        <f t="shared" si="68"/>
        <v>306.494</v>
      </c>
      <c r="L132" s="448">
        <f t="shared" si="68"/>
        <v>362.588</v>
      </c>
      <c r="M132" s="448">
        <f t="shared" si="68"/>
        <v>339.95</v>
      </c>
      <c r="N132" s="448">
        <f t="shared" si="68"/>
        <v>381.008</v>
      </c>
      <c r="O132" s="448">
        <f t="shared" si="68"/>
        <v>533.618</v>
      </c>
      <c r="P132" s="448">
        <f t="shared" si="68"/>
        <v>342.636</v>
      </c>
      <c r="Q132" s="448">
        <f t="shared" si="68"/>
        <v>483.524</v>
      </c>
      <c r="R132" s="448">
        <f t="shared" si="68"/>
        <v>511.222</v>
      </c>
      <c r="S132" s="448">
        <f t="shared" si="68"/>
        <v>410.482</v>
      </c>
      <c r="T132" s="448">
        <f t="shared" si="68"/>
        <v>543.02</v>
      </c>
      <c r="U132" s="448">
        <f t="shared" si="68"/>
        <v>512.726</v>
      </c>
      <c r="V132" s="448">
        <f t="shared" si="68"/>
        <v>464.904</v>
      </c>
      <c r="W132" s="448">
        <f t="shared" si="68"/>
        <v>312.724</v>
      </c>
      <c r="X132" s="448">
        <f t="shared" si="68"/>
        <v>417.664</v>
      </c>
      <c r="Y132" s="448">
        <f t="shared" si="68"/>
        <v>290.79</v>
      </c>
      <c r="Z132" s="448">
        <f t="shared" si="68"/>
        <v>326.9827047</v>
      </c>
      <c r="AA132" s="448">
        <f t="shared" si="68"/>
        <v>366.0894777</v>
      </c>
      <c r="AB132" s="448">
        <f t="shared" si="68"/>
        <v>400.918067</v>
      </c>
      <c r="AC132" s="448">
        <f t="shared" si="68"/>
        <v>426.4473125</v>
      </c>
      <c r="AD132" s="448">
        <f t="shared" si="68"/>
        <v>445.3470579</v>
      </c>
      <c r="AE132" s="448">
        <f t="shared" si="68"/>
        <v>461.3634704</v>
      </c>
      <c r="AF132" s="448">
        <f t="shared" si="68"/>
        <v>472.7677937</v>
      </c>
      <c r="AG132" s="448">
        <f t="shared" si="68"/>
        <v>481.0618201</v>
      </c>
      <c r="AH132" s="448">
        <f t="shared" si="68"/>
        <v>484.6038128</v>
      </c>
      <c r="AI132" s="448">
        <f t="shared" si="68"/>
        <v>482.7702468</v>
      </c>
      <c r="AJ132" s="448">
        <f t="shared" si="68"/>
        <v>488.6633237</v>
      </c>
      <c r="AK132" s="448">
        <f t="shared" si="68"/>
        <v>493.5733443</v>
      </c>
      <c r="AL132" s="448">
        <f t="shared" si="68"/>
        <v>498.0532997</v>
      </c>
      <c r="AM132" s="448">
        <f t="shared" si="68"/>
        <v>483.8579919</v>
      </c>
      <c r="AN132" s="448">
        <f t="shared" si="68"/>
        <v>474.5877205</v>
      </c>
      <c r="AO132" s="448">
        <f t="shared" si="68"/>
        <v>465.9211665</v>
      </c>
      <c r="AP132" s="448">
        <f t="shared" si="68"/>
        <v>460.3641732</v>
      </c>
      <c r="AQ132" s="448">
        <f t="shared" si="68"/>
        <v>457.0427813</v>
      </c>
      <c r="AR132" s="448">
        <f t="shared" si="68"/>
        <v>455.8005511</v>
      </c>
      <c r="AS132" s="448">
        <f t="shared" si="68"/>
        <v>455.5854707</v>
      </c>
      <c r="AT132" s="448">
        <f t="shared" si="68"/>
        <v>456.1109156</v>
      </c>
      <c r="AU132" s="448">
        <f t="shared" si="68"/>
        <v>457.1711181</v>
      </c>
      <c r="AV132" s="448">
        <f t="shared" si="68"/>
        <v>458.6183655</v>
      </c>
      <c r="AW132" s="448">
        <f t="shared" si="68"/>
        <v>460.3466293</v>
      </c>
      <c r="AX132" s="448">
        <f t="shared" si="68"/>
        <v>462.2798103</v>
      </c>
      <c r="AY132" s="448">
        <f t="shared" si="68"/>
        <v>470.8179415</v>
      </c>
      <c r="AZ132" s="448">
        <f t="shared" si="68"/>
        <v>478.0680982</v>
      </c>
      <c r="BA132" s="448">
        <f t="shared" si="68"/>
        <v>484.1158383</v>
      </c>
      <c r="BB132" s="448">
        <f t="shared" si="68"/>
        <v>489.276955</v>
      </c>
      <c r="BC132" s="448">
        <f t="shared" si="68"/>
        <v>493.7851635</v>
      </c>
      <c r="BD132" s="448">
        <f t="shared" si="68"/>
        <v>497.813442</v>
      </c>
      <c r="BE132" s="448">
        <f t="shared" si="68"/>
        <v>501.4898232</v>
      </c>
      <c r="BF132" s="448">
        <f t="shared" si="68"/>
        <v>504.9090808</v>
      </c>
      <c r="BG132" s="448">
        <f t="shared" si="68"/>
        <v>508.141377</v>
      </c>
      <c r="BH132" s="448">
        <f t="shared" si="68"/>
        <v>511.2386617</v>
      </c>
      <c r="BI132" s="448">
        <f t="shared" si="68"/>
        <v>514.2394081</v>
      </c>
      <c r="BJ132" s="448">
        <f t="shared" si="68"/>
        <v>517.172117</v>
      </c>
      <c r="BK132" s="448">
        <f t="shared" si="68"/>
        <v>500.6226116</v>
      </c>
      <c r="BL132" s="448">
        <f t="shared" si="68"/>
        <v>507.5862954</v>
      </c>
      <c r="BM132" s="448">
        <f t="shared" si="68"/>
        <v>512.8948749</v>
      </c>
      <c r="BN132" s="448">
        <f t="shared" si="68"/>
        <v>518.2655305</v>
      </c>
      <c r="BO132" s="448">
        <f t="shared" si="68"/>
        <v>523.6874524</v>
      </c>
      <c r="BP132" s="448">
        <f t="shared" si="68"/>
        <v>529.1527392</v>
      </c>
      <c r="BQ132" s="448">
        <f t="shared" si="68"/>
        <v>534.6556444</v>
      </c>
      <c r="BR132" s="448">
        <f t="shared" si="68"/>
        <v>540.1920191</v>
      </c>
      <c r="BS132" s="448">
        <f t="shared" si="68"/>
        <v>545.758899</v>
      </c>
      <c r="BT132" s="448">
        <f t="shared" si="68"/>
        <v>551.3541994</v>
      </c>
      <c r="BU132" s="448">
        <f t="shared" si="68"/>
        <v>556.9764893</v>
      </c>
      <c r="BV132" s="448">
        <f t="shared" si="68"/>
        <v>562.6248245</v>
      </c>
      <c r="BW132" s="448">
        <f t="shared" si="68"/>
        <v>568.577696</v>
      </c>
      <c r="BX132" s="448">
        <f t="shared" si="68"/>
        <v>568.0172811</v>
      </c>
      <c r="BY132" s="448">
        <f t="shared" si="68"/>
        <v>567.5563797</v>
      </c>
      <c r="BZ132" s="448">
        <f t="shared" si="68"/>
        <v>568.5029019</v>
      </c>
      <c r="CA132" s="448">
        <f t="shared" si="68"/>
        <v>570.4960481</v>
      </c>
      <c r="CB132" s="448">
        <f t="shared" si="68"/>
        <v>573.268802</v>
      </c>
      <c r="CC132" s="448">
        <f t="shared" si="68"/>
        <v>576.6235485</v>
      </c>
      <c r="CD132" s="448">
        <f t="shared" si="68"/>
        <v>580.4140308</v>
      </c>
      <c r="CE132" s="448">
        <f t="shared" si="68"/>
        <v>584.5319991</v>
      </c>
      <c r="CF132" s="448">
        <f t="shared" si="68"/>
        <v>588.8973303</v>
      </c>
      <c r="CG132" s="448">
        <f t="shared" si="68"/>
        <v>593.4507163</v>
      </c>
      <c r="CH132" s="448">
        <f t="shared" si="68"/>
        <v>598.148254</v>
      </c>
      <c r="CI132" s="448"/>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ht="15.75" customHeight="1">
      <c r="A135" s="232" t="s">
        <v>94</v>
      </c>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ht="15.75" customHeight="1" outlineLevel="1">
      <c r="A137" s="1" t="s">
        <v>673</v>
      </c>
      <c r="B137" s="1"/>
      <c r="C137" s="442">
        <f>Retention!C106</f>
        <v>2</v>
      </c>
      <c r="D137" s="442">
        <f>Retention!D106</f>
        <v>2</v>
      </c>
      <c r="E137" s="442">
        <f>Retention!E106</f>
        <v>2</v>
      </c>
      <c r="F137" s="442">
        <f>Retention!F106</f>
        <v>2</v>
      </c>
      <c r="G137" s="442">
        <f>Retention!G106</f>
        <v>2</v>
      </c>
      <c r="H137" s="442">
        <f>Retention!H106</f>
        <v>2</v>
      </c>
      <c r="I137" s="442">
        <f>Retention!I106</f>
        <v>2</v>
      </c>
      <c r="J137" s="442">
        <f>Retention!J106</f>
        <v>2</v>
      </c>
      <c r="K137" s="442">
        <f>Retention!K106</f>
        <v>2</v>
      </c>
      <c r="L137" s="442">
        <f>Retention!L106</f>
        <v>2</v>
      </c>
      <c r="M137" s="442">
        <f>Retention!M106</f>
        <v>2</v>
      </c>
      <c r="N137" s="442">
        <f>Retention!N106</f>
        <v>2</v>
      </c>
      <c r="O137" s="442">
        <f>Retention!O106</f>
        <v>2</v>
      </c>
      <c r="P137" s="442">
        <f>Retention!P106</f>
        <v>2</v>
      </c>
      <c r="Q137" s="442">
        <f>Retention!Q106</f>
        <v>2</v>
      </c>
      <c r="R137" s="442">
        <f>Retention!R106</f>
        <v>2</v>
      </c>
      <c r="S137" s="442">
        <f>Retention!S106</f>
        <v>2</v>
      </c>
      <c r="T137" s="442">
        <f>Retention!T106</f>
        <v>2</v>
      </c>
      <c r="U137" s="442">
        <f>Retention!U106</f>
        <v>2</v>
      </c>
      <c r="V137" s="442">
        <f>Retention!V106</f>
        <v>2</v>
      </c>
      <c r="W137" s="442">
        <f>Retention!W106</f>
        <v>2</v>
      </c>
      <c r="X137" s="442">
        <f>Retention!X106</f>
        <v>2</v>
      </c>
      <c r="Y137" s="442">
        <f>Retention!Y106</f>
        <v>2</v>
      </c>
      <c r="Z137" s="442">
        <f>Retention!Z106</f>
        <v>5.897344211</v>
      </c>
      <c r="AA137" s="442">
        <f>Retention!AA106</f>
        <v>6.852210947</v>
      </c>
      <c r="AB137" s="442">
        <f>Retention!AB106</f>
        <v>7.200932545</v>
      </c>
      <c r="AC137" s="442">
        <f>Retention!AC106</f>
        <v>8.372845617</v>
      </c>
      <c r="AD137" s="442">
        <f>Retention!AD106</f>
        <v>9.631983732</v>
      </c>
      <c r="AE137" s="442">
        <f>Retention!AE106</f>
        <v>7.391388335</v>
      </c>
      <c r="AF137" s="442">
        <f>Retention!AF106</f>
        <v>7.392995118</v>
      </c>
      <c r="AG137" s="442">
        <f>Retention!AG106</f>
        <v>6.612356073</v>
      </c>
      <c r="AH137" s="442">
        <f>Retention!AH106</f>
        <v>6.64350916</v>
      </c>
      <c r="AI137" s="442">
        <f>Retention!AI106</f>
        <v>7.664467946</v>
      </c>
      <c r="AJ137" s="442">
        <f>Retention!AJ106</f>
        <v>9.416967184</v>
      </c>
      <c r="AK137" s="442">
        <f>Retention!AK106</f>
        <v>9.590433187</v>
      </c>
      <c r="AL137" s="442">
        <f>Retention!AL106</f>
        <v>9.826672456</v>
      </c>
      <c r="AM137" s="442">
        <f>Retention!AM106</f>
        <v>8.288417112</v>
      </c>
      <c r="AN137" s="442">
        <f>Retention!AN106</f>
        <v>8.961949119</v>
      </c>
      <c r="AO137" s="442">
        <f>Retention!AO106</f>
        <v>9.245829027</v>
      </c>
      <c r="AP137" s="442">
        <f>Retention!AP106</f>
        <v>9.316634753</v>
      </c>
      <c r="AQ137" s="442">
        <f>Retention!AQ106</f>
        <v>9.388102004</v>
      </c>
      <c r="AR137" s="442">
        <f>Retention!AR106</f>
        <v>9.416943428</v>
      </c>
      <c r="AS137" s="442">
        <f>Retention!AS106</f>
        <v>9.489286253</v>
      </c>
      <c r="AT137" s="442">
        <f>Retention!AT106</f>
        <v>9.562306848</v>
      </c>
      <c r="AU137" s="442">
        <f>Retention!AU106</f>
        <v>9.636012567</v>
      </c>
      <c r="AV137" s="442">
        <f>Retention!AV106</f>
        <v>9.710410853</v>
      </c>
      <c r="AW137" s="442">
        <f>Retention!AW106</f>
        <v>9.785509236</v>
      </c>
      <c r="AX137" s="442">
        <f>Retention!AX106</f>
        <v>9.861315336</v>
      </c>
      <c r="AY137" s="442">
        <f>Retention!AY106</f>
        <v>9.801469616</v>
      </c>
      <c r="AZ137" s="442">
        <f>Retention!AZ106</f>
        <v>9.901879739</v>
      </c>
      <c r="BA137" s="442">
        <f>Retention!BA106</f>
        <v>9.976752152</v>
      </c>
      <c r="BB137" s="442">
        <f>Retention!BB106</f>
        <v>10.05230403</v>
      </c>
      <c r="BC137" s="442">
        <f>Retention!BC106</f>
        <v>10.12854242</v>
      </c>
      <c r="BD137" s="442">
        <f>Retention!BD106</f>
        <v>10.20547448</v>
      </c>
      <c r="BE137" s="442">
        <f>Retention!BE106</f>
        <v>10.28310743</v>
      </c>
      <c r="BF137" s="442">
        <f>Retention!BF106</f>
        <v>10.36144857</v>
      </c>
      <c r="BG137" s="442">
        <f>Retention!BG106</f>
        <v>10.44050528</v>
      </c>
      <c r="BH137" s="442">
        <f>Retention!BH106</f>
        <v>10.52028503</v>
      </c>
      <c r="BI137" s="442">
        <f>Retention!BI106</f>
        <v>10.60079538</v>
      </c>
      <c r="BJ137" s="442">
        <f>Retention!BJ106</f>
        <v>10.68204396</v>
      </c>
      <c r="BK137" s="442">
        <f>Retention!BK106</f>
        <v>10.47261321</v>
      </c>
      <c r="BL137" s="442">
        <f>Retention!BL106</f>
        <v>10.02055744</v>
      </c>
      <c r="BM137" s="442">
        <f>Retention!BM106</f>
        <v>9.767004367</v>
      </c>
      <c r="BN137" s="442">
        <f>Retention!BN106</f>
        <v>9.851841488</v>
      </c>
      <c r="BO137" s="442">
        <f>Retention!BO106</f>
        <v>9.937840384</v>
      </c>
      <c r="BP137" s="442">
        <f>Retention!BP106</f>
        <v>10.02502565</v>
      </c>
      <c r="BQ137" s="442">
        <f>Retention!BQ106</f>
        <v>10.11342256</v>
      </c>
      <c r="BR137" s="442">
        <f>Retention!BR106</f>
        <v>10.20305707</v>
      </c>
      <c r="BS137" s="442">
        <f>Retention!BS106</f>
        <v>10.29395586</v>
      </c>
      <c r="BT137" s="442">
        <f>Retention!BT106</f>
        <v>10.38614635</v>
      </c>
      <c r="BU137" s="442">
        <f>Retention!BU106</f>
        <v>10.4796567</v>
      </c>
      <c r="BV137" s="442">
        <f>Retention!BV106</f>
        <v>10.57451586</v>
      </c>
      <c r="BW137" s="442">
        <f>Retention!BW106</f>
        <v>10.74419007</v>
      </c>
      <c r="BX137" s="442">
        <f>Retention!BX106</f>
        <v>10.20320075</v>
      </c>
      <c r="BY137" s="442">
        <f>Retention!BY106</f>
        <v>9.898944179</v>
      </c>
      <c r="BZ137" s="442">
        <f>Retention!BZ106</f>
        <v>9.945439057</v>
      </c>
      <c r="CA137" s="442">
        <f>Retention!CA106</f>
        <v>9.993055149</v>
      </c>
      <c r="CB137" s="442">
        <f>Retention!CB106</f>
        <v>10.04178481</v>
      </c>
      <c r="CC137" s="442">
        <f>Retention!CC106</f>
        <v>10.0916208</v>
      </c>
      <c r="CD137" s="442">
        <f>Retention!CD106</f>
        <v>10.14255633</v>
      </c>
      <c r="CE137" s="442">
        <f>Retention!CE106</f>
        <v>10.19458501</v>
      </c>
      <c r="CF137" s="442">
        <f>Retention!CF106</f>
        <v>10.24770085</v>
      </c>
      <c r="CG137" s="442">
        <f>Retention!CG106</f>
        <v>10.30189825</v>
      </c>
      <c r="CH137" s="442">
        <f>Retention!CH106</f>
        <v>10.35717202</v>
      </c>
      <c r="CI137" s="442"/>
    </row>
    <row r="138" ht="15.75" customHeight="1" outlineLevel="1">
      <c r="A138" s="1" t="s">
        <v>674</v>
      </c>
      <c r="B138" s="1"/>
      <c r="C138" s="442">
        <f>Retention!C114</f>
        <v>50</v>
      </c>
      <c r="D138" s="442">
        <f>Retention!D114</f>
        <v>51</v>
      </c>
      <c r="E138" s="442">
        <f>Retention!E114</f>
        <v>52</v>
      </c>
      <c r="F138" s="442">
        <f>Retention!F114</f>
        <v>53</v>
      </c>
      <c r="G138" s="442">
        <f>Retention!G114</f>
        <v>54</v>
      </c>
      <c r="H138" s="442">
        <f>Retention!H114</f>
        <v>55</v>
      </c>
      <c r="I138" s="442">
        <f>Retention!I114</f>
        <v>56</v>
      </c>
      <c r="J138" s="442">
        <f>Retention!J114</f>
        <v>57</v>
      </c>
      <c r="K138" s="442">
        <f>Retention!K114</f>
        <v>58</v>
      </c>
      <c r="L138" s="442">
        <f>Retention!L114</f>
        <v>59</v>
      </c>
      <c r="M138" s="442">
        <f>Retention!M114</f>
        <v>60</v>
      </c>
      <c r="N138" s="442">
        <f>Retention!N114</f>
        <v>61</v>
      </c>
      <c r="O138" s="442">
        <f>Retention!O114</f>
        <v>62</v>
      </c>
      <c r="P138" s="442">
        <f>Retention!P114</f>
        <v>63</v>
      </c>
      <c r="Q138" s="442">
        <f>Retention!Q114</f>
        <v>64</v>
      </c>
      <c r="R138" s="442">
        <f>Retention!R114</f>
        <v>65</v>
      </c>
      <c r="S138" s="442">
        <f>Retention!S114</f>
        <v>66</v>
      </c>
      <c r="T138" s="442">
        <f>Retention!T114</f>
        <v>67</v>
      </c>
      <c r="U138" s="442">
        <f>Retention!U114</f>
        <v>68</v>
      </c>
      <c r="V138" s="442">
        <f>Retention!V114</f>
        <v>69</v>
      </c>
      <c r="W138" s="442">
        <f>Retention!W114</f>
        <v>70</v>
      </c>
      <c r="X138" s="442">
        <f>Retention!X114</f>
        <v>71</v>
      </c>
      <c r="Y138" s="442">
        <f>Retention!Y114</f>
        <v>72</v>
      </c>
      <c r="Z138" s="442">
        <f>Retention!Z114</f>
        <v>73</v>
      </c>
      <c r="AA138" s="442">
        <f>Retention!AA114</f>
        <v>65.89734421</v>
      </c>
      <c r="AB138" s="442">
        <f>Retention!AB114</f>
        <v>50.74955516</v>
      </c>
      <c r="AC138" s="442">
        <f>Retention!AC114</f>
        <v>16.9504877</v>
      </c>
      <c r="AD138" s="442">
        <f>Retention!AD114</f>
        <v>-25.67666668</v>
      </c>
      <c r="AE138" s="442">
        <f>Retention!AE114</f>
        <v>-50.04468295</v>
      </c>
      <c r="AF138" s="442">
        <f>Retention!AF114</f>
        <v>-63.65329461</v>
      </c>
      <c r="AG138" s="442">
        <f>Retention!AG114</f>
        <v>-62.26029949</v>
      </c>
      <c r="AH138" s="442">
        <f>Retention!AH114</f>
        <v>-47.64794342</v>
      </c>
      <c r="AI138" s="442">
        <f>Retention!AI114</f>
        <v>-26.00443426</v>
      </c>
      <c r="AJ138" s="442">
        <f>Retention!AJ114</f>
        <v>-0.339966316</v>
      </c>
      <c r="AK138" s="442">
        <f>Retention!AK114</f>
        <v>26.07700087</v>
      </c>
      <c r="AL138" s="442">
        <f>Retention!AL114</f>
        <v>48.66743406</v>
      </c>
      <c r="AM138" s="442">
        <f>Retention!AM114</f>
        <v>65.49410651</v>
      </c>
      <c r="AN138" s="442">
        <f>Retention!AN114</f>
        <v>73.78252362</v>
      </c>
      <c r="AO138" s="442">
        <f>Retention!AO114</f>
        <v>75.74447274</v>
      </c>
      <c r="AP138" s="442">
        <f>Retention!AP114</f>
        <v>71.99030177</v>
      </c>
      <c r="AQ138" s="442">
        <f>Retention!AQ114</f>
        <v>64.30693652</v>
      </c>
      <c r="AR138" s="442">
        <f>Retention!AR114</f>
        <v>53.69503853</v>
      </c>
      <c r="AS138" s="442">
        <f>Retention!AS114</f>
        <v>43.11198195</v>
      </c>
      <c r="AT138" s="442">
        <f>Retention!AT114</f>
        <v>33.60126821</v>
      </c>
      <c r="AU138" s="442">
        <f>Retention!AU114</f>
        <v>26.16357505</v>
      </c>
      <c r="AV138" s="442">
        <f>Retention!AV114</f>
        <v>21.79958762</v>
      </c>
      <c r="AW138" s="442">
        <f>Retention!AW114</f>
        <v>20.50999848</v>
      </c>
      <c r="AX138" s="442">
        <f>Retention!AX114</f>
        <v>21.29550771</v>
      </c>
      <c r="AY138" s="442">
        <f>Retention!AY114</f>
        <v>24.15682305</v>
      </c>
      <c r="AZ138" s="442">
        <f>Retention!AZ114</f>
        <v>27.95829266</v>
      </c>
      <c r="BA138" s="442">
        <f>Retention!BA114</f>
        <v>32.8601724</v>
      </c>
      <c r="BB138" s="442">
        <f>Retention!BB114</f>
        <v>36.83692456</v>
      </c>
      <c r="BC138" s="442">
        <f>Retention!BC114</f>
        <v>40.88922858</v>
      </c>
      <c r="BD138" s="442">
        <f>Retention!BD114</f>
        <v>44.017771</v>
      </c>
      <c r="BE138" s="442">
        <f>Retention!BE114</f>
        <v>45.22324549</v>
      </c>
      <c r="BF138" s="442">
        <f>Retention!BF114</f>
        <v>45.50635292</v>
      </c>
      <c r="BG138" s="442">
        <f>Retention!BG114</f>
        <v>44.86780149</v>
      </c>
      <c r="BH138" s="442">
        <f>Retention!BH114</f>
        <v>44.30830676</v>
      </c>
      <c r="BI138" s="442">
        <f>Retention!BI114</f>
        <v>42.82859179</v>
      </c>
      <c r="BJ138" s="442">
        <f>Retention!BJ114</f>
        <v>41.42938717</v>
      </c>
      <c r="BK138" s="442">
        <f>Retention!BK114</f>
        <v>40.11143112</v>
      </c>
      <c r="BL138" s="442">
        <f>Retention!BL114</f>
        <v>39.58404433</v>
      </c>
      <c r="BM138" s="442">
        <f>Retention!BM114</f>
        <v>38.60460178</v>
      </c>
      <c r="BN138" s="442">
        <f>Retention!BN114</f>
        <v>37.37160614</v>
      </c>
      <c r="BO138" s="442">
        <f>Retention!BO114</f>
        <v>36.22344763</v>
      </c>
      <c r="BP138" s="442">
        <f>Retention!BP114</f>
        <v>36.16128802</v>
      </c>
      <c r="BQ138" s="442">
        <f>Retention!BQ114</f>
        <v>36.18631367</v>
      </c>
      <c r="BR138" s="442">
        <f>Retention!BR114</f>
        <v>36.29973622</v>
      </c>
      <c r="BS138" s="442">
        <f>Retention!BS114</f>
        <v>37.5027933</v>
      </c>
      <c r="BT138" s="442">
        <f>Retention!BT114</f>
        <v>38.79674916</v>
      </c>
      <c r="BU138" s="442">
        <f>Retention!BU114</f>
        <v>40.18289551</v>
      </c>
      <c r="BV138" s="442">
        <f>Retention!BV114</f>
        <v>41.66255221</v>
      </c>
      <c r="BW138" s="442">
        <f>Retention!BW114</f>
        <v>42.23706807</v>
      </c>
      <c r="BX138" s="442">
        <f>Retention!BX114</f>
        <v>42.98125814</v>
      </c>
      <c r="BY138" s="442">
        <f>Retention!BY114</f>
        <v>43.1844589</v>
      </c>
      <c r="BZ138" s="442">
        <f>Retention!BZ114</f>
        <v>42.08340307</v>
      </c>
      <c r="CA138" s="442">
        <f>Retention!CA114</f>
        <v>42.02884213</v>
      </c>
      <c r="CB138" s="442">
        <f>Retention!CB114</f>
        <v>42.02189728</v>
      </c>
      <c r="CC138" s="442">
        <f>Retention!CC114</f>
        <v>41.06368209</v>
      </c>
      <c r="CD138" s="442">
        <f>Retention!CD114</f>
        <v>41.15530289</v>
      </c>
      <c r="CE138" s="442">
        <f>Retention!CE114</f>
        <v>40.29785922</v>
      </c>
      <c r="CF138" s="442">
        <f>Retention!CF114</f>
        <v>39.49244424</v>
      </c>
      <c r="CG138" s="442">
        <f>Retention!CG114</f>
        <v>39.74014509</v>
      </c>
      <c r="CH138" s="442">
        <f>Retention!CH114</f>
        <v>40.04204334</v>
      </c>
      <c r="CI138" s="442"/>
    </row>
    <row r="139" ht="15.75" customHeight="1" outlineLevel="1">
      <c r="A139" s="1" t="s">
        <v>675</v>
      </c>
      <c r="B139" s="1"/>
      <c r="C139" s="442">
        <f>Retention!C122</f>
        <v>-1</v>
      </c>
      <c r="D139" s="442">
        <f>Retention!D122</f>
        <v>-1</v>
      </c>
      <c r="E139" s="442">
        <f>Retention!E122</f>
        <v>-1</v>
      </c>
      <c r="F139" s="442">
        <f>Retention!F122</f>
        <v>-1</v>
      </c>
      <c r="G139" s="442">
        <f>Retention!G122</f>
        <v>-1</v>
      </c>
      <c r="H139" s="442">
        <f>Retention!H122</f>
        <v>-1</v>
      </c>
      <c r="I139" s="442">
        <f>Retention!I122</f>
        <v>-1</v>
      </c>
      <c r="J139" s="442">
        <f>Retention!J122</f>
        <v>-1</v>
      </c>
      <c r="K139" s="442">
        <f>Retention!K122</f>
        <v>-1</v>
      </c>
      <c r="L139" s="442">
        <f>Retention!L122</f>
        <v>-1</v>
      </c>
      <c r="M139" s="442">
        <f>Retention!M122</f>
        <v>-1</v>
      </c>
      <c r="N139" s="442">
        <f>Retention!N122</f>
        <v>-1</v>
      </c>
      <c r="O139" s="442">
        <f>Retention!O122</f>
        <v>-1</v>
      </c>
      <c r="P139" s="442">
        <f>Retention!P122</f>
        <v>-1</v>
      </c>
      <c r="Q139" s="442">
        <f>Retention!Q122</f>
        <v>-1</v>
      </c>
      <c r="R139" s="442">
        <f>Retention!R122</f>
        <v>-1</v>
      </c>
      <c r="S139" s="442">
        <f>Retention!S122</f>
        <v>-1</v>
      </c>
      <c r="T139" s="442">
        <f>Retention!T122</f>
        <v>-1</v>
      </c>
      <c r="U139" s="442">
        <f>Retention!U122</f>
        <v>-1</v>
      </c>
      <c r="V139" s="442">
        <f>Retention!V122</f>
        <v>-1</v>
      </c>
      <c r="W139" s="442">
        <f>Retention!W122</f>
        <v>-1</v>
      </c>
      <c r="X139" s="442">
        <f>Retention!X122</f>
        <v>-1</v>
      </c>
      <c r="Y139" s="442">
        <f>Retention!Y122</f>
        <v>-1</v>
      </c>
      <c r="Z139" s="442">
        <f>Retention!Z122</f>
        <v>-13</v>
      </c>
      <c r="AA139" s="442">
        <f>Retention!AA122</f>
        <v>-22</v>
      </c>
      <c r="AB139" s="442">
        <f>Retention!AB122</f>
        <v>-41</v>
      </c>
      <c r="AC139" s="442">
        <f>Retention!AC122</f>
        <v>-51</v>
      </c>
      <c r="AD139" s="442">
        <f>Retention!AD122</f>
        <v>-34</v>
      </c>
      <c r="AE139" s="442">
        <f>Retention!AE122</f>
        <v>-21</v>
      </c>
      <c r="AF139" s="442">
        <f>Retention!AF122</f>
        <v>-6</v>
      </c>
      <c r="AG139" s="442">
        <f>Retention!AG122</f>
        <v>8</v>
      </c>
      <c r="AH139" s="442">
        <f>Retention!AH122</f>
        <v>15</v>
      </c>
      <c r="AI139" s="442">
        <f>Retention!AI122</f>
        <v>18</v>
      </c>
      <c r="AJ139" s="442">
        <f>Retention!AJ122</f>
        <v>17</v>
      </c>
      <c r="AK139" s="442">
        <f>Retention!AK122</f>
        <v>13</v>
      </c>
      <c r="AL139" s="442">
        <f>Retention!AL122</f>
        <v>7</v>
      </c>
      <c r="AM139" s="442">
        <f>Retention!AM122</f>
        <v>0</v>
      </c>
      <c r="AN139" s="442">
        <f>Retention!AN122</f>
        <v>-7</v>
      </c>
      <c r="AO139" s="442">
        <f>Retention!AO122</f>
        <v>-13</v>
      </c>
      <c r="AP139" s="442">
        <f>Retention!AP122</f>
        <v>-17</v>
      </c>
      <c r="AQ139" s="442">
        <f>Retention!AQ122</f>
        <v>-20</v>
      </c>
      <c r="AR139" s="442">
        <f>Retention!AR122</f>
        <v>-20</v>
      </c>
      <c r="AS139" s="442">
        <f>Retention!AS122</f>
        <v>-19</v>
      </c>
      <c r="AT139" s="442">
        <f>Retention!AT122</f>
        <v>-17</v>
      </c>
      <c r="AU139" s="442">
        <f>Retention!AU122</f>
        <v>-14</v>
      </c>
      <c r="AV139" s="442">
        <f>Retention!AV122</f>
        <v>-11</v>
      </c>
      <c r="AW139" s="442">
        <f>Retention!AW122</f>
        <v>-9</v>
      </c>
      <c r="AX139" s="442">
        <f>Retention!AX122</f>
        <v>-7</v>
      </c>
      <c r="AY139" s="442">
        <f>Retention!AY122</f>
        <v>-6</v>
      </c>
      <c r="AZ139" s="442">
        <f>Retention!AZ122</f>
        <v>-5</v>
      </c>
      <c r="BA139" s="442">
        <f>Retention!BA122</f>
        <v>-6</v>
      </c>
      <c r="BB139" s="442">
        <f>Retention!BB122</f>
        <v>-6</v>
      </c>
      <c r="BC139" s="442">
        <f>Retention!BC122</f>
        <v>-7</v>
      </c>
      <c r="BD139" s="442">
        <f>Retention!BD122</f>
        <v>-9</v>
      </c>
      <c r="BE139" s="442">
        <f>Retention!BE122</f>
        <v>-10</v>
      </c>
      <c r="BF139" s="442">
        <f>Retention!BF122</f>
        <v>-11</v>
      </c>
      <c r="BG139" s="442">
        <f>Retention!BG122</f>
        <v>-11</v>
      </c>
      <c r="BH139" s="442">
        <f>Retention!BH122</f>
        <v>-12</v>
      </c>
      <c r="BI139" s="442">
        <f>Retention!BI122</f>
        <v>-12</v>
      </c>
      <c r="BJ139" s="442">
        <f>Retention!BJ122</f>
        <v>-12</v>
      </c>
      <c r="BK139" s="442">
        <f>Retention!BK122</f>
        <v>-11</v>
      </c>
      <c r="BL139" s="442">
        <f>Retention!BL122</f>
        <v>-11</v>
      </c>
      <c r="BM139" s="442">
        <f>Retention!BM122</f>
        <v>-11</v>
      </c>
      <c r="BN139" s="442">
        <f>Retention!BN122</f>
        <v>-11</v>
      </c>
      <c r="BO139" s="442">
        <f>Retention!BO122</f>
        <v>-10</v>
      </c>
      <c r="BP139" s="442">
        <f>Retention!BP122</f>
        <v>-10</v>
      </c>
      <c r="BQ139" s="442">
        <f>Retention!BQ122</f>
        <v>-10</v>
      </c>
      <c r="BR139" s="442">
        <f>Retention!BR122</f>
        <v>-9</v>
      </c>
      <c r="BS139" s="442">
        <f>Retention!BS122</f>
        <v>-9</v>
      </c>
      <c r="BT139" s="442">
        <f>Retention!BT122</f>
        <v>-9</v>
      </c>
      <c r="BU139" s="442">
        <f>Retention!BU122</f>
        <v>-9</v>
      </c>
      <c r="BV139" s="442">
        <f>Retention!BV122</f>
        <v>-10</v>
      </c>
      <c r="BW139" s="442">
        <f>Retention!BW122</f>
        <v>-10</v>
      </c>
      <c r="BX139" s="442">
        <f>Retention!BX122</f>
        <v>-10</v>
      </c>
      <c r="BY139" s="442">
        <f>Retention!BY122</f>
        <v>-11</v>
      </c>
      <c r="BZ139" s="442">
        <f>Retention!BZ122</f>
        <v>-10</v>
      </c>
      <c r="CA139" s="442">
        <f>Retention!CA122</f>
        <v>-10</v>
      </c>
      <c r="CB139" s="442">
        <f>Retention!CB122</f>
        <v>-11</v>
      </c>
      <c r="CC139" s="442">
        <f>Retention!CC122</f>
        <v>-10</v>
      </c>
      <c r="CD139" s="442">
        <f>Retention!CD122</f>
        <v>-11</v>
      </c>
      <c r="CE139" s="442">
        <f>Retention!CE122</f>
        <v>-11</v>
      </c>
      <c r="CF139" s="442">
        <f>Retention!CF122</f>
        <v>-10</v>
      </c>
      <c r="CG139" s="442">
        <f>Retention!CG122</f>
        <v>-10</v>
      </c>
      <c r="CH139" s="442">
        <f>Retention!CH122</f>
        <v>-10</v>
      </c>
      <c r="CI139" s="442"/>
    </row>
    <row r="140" ht="15.75" customHeight="1" outlineLevel="1">
      <c r="A140" s="1" t="s">
        <v>676</v>
      </c>
      <c r="B140" s="1"/>
      <c r="C140" s="442">
        <f>Retention!C130</f>
        <v>51</v>
      </c>
      <c r="D140" s="442">
        <f>Retention!D130</f>
        <v>52</v>
      </c>
      <c r="E140" s="442">
        <f>Retention!E130</f>
        <v>53</v>
      </c>
      <c r="F140" s="442">
        <f>Retention!F130</f>
        <v>54</v>
      </c>
      <c r="G140" s="442">
        <f>Retention!G130</f>
        <v>55</v>
      </c>
      <c r="H140" s="442">
        <f>Retention!H130</f>
        <v>56</v>
      </c>
      <c r="I140" s="442">
        <f>Retention!I130</f>
        <v>57</v>
      </c>
      <c r="J140" s="442">
        <f>Retention!J130</f>
        <v>58</v>
      </c>
      <c r="K140" s="442">
        <f>Retention!K130</f>
        <v>59</v>
      </c>
      <c r="L140" s="442">
        <f>Retention!L130</f>
        <v>60</v>
      </c>
      <c r="M140" s="442">
        <f>Retention!M130</f>
        <v>61</v>
      </c>
      <c r="N140" s="442">
        <f>Retention!N130</f>
        <v>62</v>
      </c>
      <c r="O140" s="442">
        <f>Retention!O130</f>
        <v>63</v>
      </c>
      <c r="P140" s="442">
        <f>Retention!P130</f>
        <v>64</v>
      </c>
      <c r="Q140" s="442">
        <f>Retention!Q130</f>
        <v>65</v>
      </c>
      <c r="R140" s="442">
        <f>Retention!R130</f>
        <v>66</v>
      </c>
      <c r="S140" s="442">
        <f>Retention!S130</f>
        <v>67</v>
      </c>
      <c r="T140" s="442">
        <f>Retention!T130</f>
        <v>68</v>
      </c>
      <c r="U140" s="442">
        <f>Retention!U130</f>
        <v>69</v>
      </c>
      <c r="V140" s="442">
        <f>Retention!V130</f>
        <v>70</v>
      </c>
      <c r="W140" s="442">
        <f>Retention!W130</f>
        <v>71</v>
      </c>
      <c r="X140" s="442">
        <f>Retention!X130</f>
        <v>72</v>
      </c>
      <c r="Y140" s="442">
        <f>Retention!Y130</f>
        <v>73</v>
      </c>
      <c r="Z140" s="442">
        <f>Retention!Z130</f>
        <v>65.89734421</v>
      </c>
      <c r="AA140" s="442">
        <f>Retention!AA130</f>
        <v>50.74955516</v>
      </c>
      <c r="AB140" s="442">
        <f>Retention!AB130</f>
        <v>16.9504877</v>
      </c>
      <c r="AC140" s="442">
        <f>Retention!AC130</f>
        <v>-25.67666668</v>
      </c>
      <c r="AD140" s="442">
        <f>Retention!AD130</f>
        <v>-50.04468295</v>
      </c>
      <c r="AE140" s="442">
        <f>Retention!AE130</f>
        <v>-63.65329461</v>
      </c>
      <c r="AF140" s="442">
        <f>Retention!AF130</f>
        <v>-62.26029949</v>
      </c>
      <c r="AG140" s="442">
        <f>Retention!AG130</f>
        <v>-47.64794342</v>
      </c>
      <c r="AH140" s="442">
        <f>Retention!AH130</f>
        <v>-26.00443426</v>
      </c>
      <c r="AI140" s="442">
        <f>Retention!AI130</f>
        <v>-0.339966316</v>
      </c>
      <c r="AJ140" s="442">
        <f>Retention!AJ130</f>
        <v>26.07700087</v>
      </c>
      <c r="AK140" s="442">
        <f>Retention!AK130</f>
        <v>48.66743406</v>
      </c>
      <c r="AL140" s="442">
        <f>Retention!AL130</f>
        <v>65.49410651</v>
      </c>
      <c r="AM140" s="442">
        <f>Retention!AM130</f>
        <v>73.78252362</v>
      </c>
      <c r="AN140" s="442">
        <f>Retention!AN130</f>
        <v>75.74447274</v>
      </c>
      <c r="AO140" s="442">
        <f>Retention!AO130</f>
        <v>71.99030177</v>
      </c>
      <c r="AP140" s="442">
        <f>Retention!AP130</f>
        <v>64.30693652</v>
      </c>
      <c r="AQ140" s="442">
        <f>Retention!AQ130</f>
        <v>53.69503853</v>
      </c>
      <c r="AR140" s="442">
        <f>Retention!AR130</f>
        <v>43.11198195</v>
      </c>
      <c r="AS140" s="442">
        <f>Retention!AS130</f>
        <v>33.60126821</v>
      </c>
      <c r="AT140" s="442">
        <f>Retention!AT130</f>
        <v>26.16357505</v>
      </c>
      <c r="AU140" s="442">
        <f>Retention!AU130</f>
        <v>21.79958762</v>
      </c>
      <c r="AV140" s="442">
        <f>Retention!AV130</f>
        <v>20.50999848</v>
      </c>
      <c r="AW140" s="442">
        <f>Retention!AW130</f>
        <v>21.29550771</v>
      </c>
      <c r="AX140" s="442">
        <f>Retention!AX130</f>
        <v>24.15682305</v>
      </c>
      <c r="AY140" s="442">
        <f>Retention!AY130</f>
        <v>27.95829266</v>
      </c>
      <c r="AZ140" s="442">
        <f>Retention!AZ130</f>
        <v>32.8601724</v>
      </c>
      <c r="BA140" s="442">
        <f>Retention!BA130</f>
        <v>36.83692456</v>
      </c>
      <c r="BB140" s="442">
        <f>Retention!BB130</f>
        <v>40.88922858</v>
      </c>
      <c r="BC140" s="442">
        <f>Retention!BC130</f>
        <v>44.017771</v>
      </c>
      <c r="BD140" s="442">
        <f>Retention!BD130</f>
        <v>45.22324549</v>
      </c>
      <c r="BE140" s="442">
        <f>Retention!BE130</f>
        <v>45.50635292</v>
      </c>
      <c r="BF140" s="442">
        <f>Retention!BF130</f>
        <v>44.86780149</v>
      </c>
      <c r="BG140" s="442">
        <f>Retention!BG130</f>
        <v>44.30830676</v>
      </c>
      <c r="BH140" s="442">
        <f>Retention!BH130</f>
        <v>42.82859179</v>
      </c>
      <c r="BI140" s="442">
        <f>Retention!BI130</f>
        <v>41.42938717</v>
      </c>
      <c r="BJ140" s="442">
        <f>Retention!BJ130</f>
        <v>40.11143112</v>
      </c>
      <c r="BK140" s="442">
        <f>Retention!BK130</f>
        <v>39.58404433</v>
      </c>
      <c r="BL140" s="442">
        <f>Retention!BL130</f>
        <v>38.60460178</v>
      </c>
      <c r="BM140" s="442">
        <f>Retention!BM130</f>
        <v>37.37160614</v>
      </c>
      <c r="BN140" s="442">
        <f>Retention!BN130</f>
        <v>36.22344763</v>
      </c>
      <c r="BO140" s="442">
        <f>Retention!BO130</f>
        <v>36.16128802</v>
      </c>
      <c r="BP140" s="442">
        <f>Retention!BP130</f>
        <v>36.18631367</v>
      </c>
      <c r="BQ140" s="442">
        <f>Retention!BQ130</f>
        <v>36.29973622</v>
      </c>
      <c r="BR140" s="442">
        <f>Retention!BR130</f>
        <v>37.5027933</v>
      </c>
      <c r="BS140" s="442">
        <f>Retention!BS130</f>
        <v>38.79674916</v>
      </c>
      <c r="BT140" s="442">
        <f>Retention!BT130</f>
        <v>40.18289551</v>
      </c>
      <c r="BU140" s="442">
        <f>Retention!BU130</f>
        <v>41.66255221</v>
      </c>
      <c r="BV140" s="442">
        <f>Retention!BV130</f>
        <v>42.23706807</v>
      </c>
      <c r="BW140" s="442">
        <f>Retention!BW130</f>
        <v>42.98125814</v>
      </c>
      <c r="BX140" s="442">
        <f>Retention!BX130</f>
        <v>43.1844589</v>
      </c>
      <c r="BY140" s="442">
        <f>Retention!BY130</f>
        <v>42.08340307</v>
      </c>
      <c r="BZ140" s="442">
        <f>Retention!BZ130</f>
        <v>42.02884213</v>
      </c>
      <c r="CA140" s="442">
        <f>Retention!CA130</f>
        <v>42.02189728</v>
      </c>
      <c r="CB140" s="442">
        <f>Retention!CB130</f>
        <v>41.06368209</v>
      </c>
      <c r="CC140" s="442">
        <f>Retention!CC130</f>
        <v>41.15530289</v>
      </c>
      <c r="CD140" s="442">
        <f>Retention!CD130</f>
        <v>40.29785922</v>
      </c>
      <c r="CE140" s="442">
        <f>Retention!CE130</f>
        <v>39.49244424</v>
      </c>
      <c r="CF140" s="442">
        <f>Retention!CF130</f>
        <v>39.74014509</v>
      </c>
      <c r="CG140" s="442">
        <f>Retention!CG130</f>
        <v>40.04204334</v>
      </c>
      <c r="CH140" s="442">
        <f>Retention!CH130</f>
        <v>40.39921536</v>
      </c>
      <c r="CI140" s="442"/>
    </row>
    <row r="141" ht="15.75" customHeight="1" outlineLevel="1">
      <c r="A141" s="1" t="s">
        <v>97</v>
      </c>
      <c r="B141" s="1"/>
      <c r="C141" s="445"/>
      <c r="D141" s="445">
        <f>'New Biz Sales'!C100</f>
        <v>391841</v>
      </c>
      <c r="E141" s="445">
        <f>'New Biz Sales'!D100</f>
        <v>362382</v>
      </c>
      <c r="F141" s="445">
        <f>'New Biz Sales'!E100</f>
        <v>469073</v>
      </c>
      <c r="G141" s="445">
        <f>'New Biz Sales'!F100</f>
        <v>189488</v>
      </c>
      <c r="H141" s="445">
        <f>'New Biz Sales'!G100</f>
        <v>373283</v>
      </c>
      <c r="I141" s="445">
        <f>'New Biz Sales'!H100</f>
        <v>449100</v>
      </c>
      <c r="J141" s="445">
        <f>'New Biz Sales'!I100</f>
        <v>136137</v>
      </c>
      <c r="K141" s="445">
        <f>'New Biz Sales'!J100</f>
        <v>345172</v>
      </c>
      <c r="L141" s="445">
        <f>'New Biz Sales'!K100</f>
        <v>273611</v>
      </c>
      <c r="M141" s="445">
        <f>'New Biz Sales'!L100</f>
        <v>150720</v>
      </c>
      <c r="N141" s="445">
        <f>'New Biz Sales'!M100</f>
        <v>294603</v>
      </c>
      <c r="O141" s="445">
        <f>'New Biz Sales'!N100</f>
        <v>393049</v>
      </c>
      <c r="P141" s="445">
        <f>'New Biz Sales'!O100</f>
        <v>275586</v>
      </c>
      <c r="Q141" s="445">
        <f>'New Biz Sales'!P100</f>
        <v>232621</v>
      </c>
      <c r="R141" s="445">
        <f>'New Biz Sales'!Q100</f>
        <v>256601</v>
      </c>
      <c r="S141" s="445">
        <f>'New Biz Sales'!S100</f>
        <v>458057</v>
      </c>
      <c r="T141" s="445">
        <f>'New Biz Sales'!T100</f>
        <v>384341</v>
      </c>
      <c r="U141" s="445">
        <f>'New Biz Sales'!U100</f>
        <v>299408</v>
      </c>
      <c r="V141" s="445">
        <f>'New Biz Sales'!V100</f>
        <v>185686</v>
      </c>
      <c r="W141" s="445">
        <f>'New Biz Sales'!W100</f>
        <v>319966</v>
      </c>
      <c r="X141" s="445">
        <f>'New Biz Sales'!X100</f>
        <v>144475</v>
      </c>
      <c r="Y141" s="445">
        <f>'New Biz Sales'!Y100</f>
        <v>358700</v>
      </c>
      <c r="Z141" s="445">
        <f>'New Biz Sales'!Z100</f>
        <v>15000</v>
      </c>
      <c r="AA141" s="445">
        <f>'New Biz Sales'!AA100</f>
        <v>15300</v>
      </c>
      <c r="AB141" s="445">
        <f>'New Biz Sales'!AB100</f>
        <v>15300</v>
      </c>
      <c r="AC141" s="445">
        <f>'New Biz Sales'!AC100</f>
        <v>15300</v>
      </c>
      <c r="AD141" s="445">
        <f>'New Biz Sales'!AD100</f>
        <v>15300</v>
      </c>
      <c r="AE141" s="445">
        <f>'New Biz Sales'!AE100</f>
        <v>15300</v>
      </c>
      <c r="AF141" s="445">
        <f>'New Biz Sales'!AF100</f>
        <v>15606</v>
      </c>
      <c r="AG141" s="445">
        <f>'New Biz Sales'!AG100</f>
        <v>15606</v>
      </c>
      <c r="AH141" s="445">
        <f>'New Biz Sales'!AH100</f>
        <v>15606</v>
      </c>
      <c r="AI141" s="445">
        <f>'New Biz Sales'!AI100</f>
        <v>15606</v>
      </c>
      <c r="AJ141" s="445">
        <f>'New Biz Sales'!AJ100</f>
        <v>15606</v>
      </c>
      <c r="AK141" s="445">
        <f>'New Biz Sales'!AK100</f>
        <v>15606</v>
      </c>
      <c r="AL141" s="445">
        <f>'New Biz Sales'!AL100</f>
        <v>15606</v>
      </c>
      <c r="AM141" s="445">
        <f>'New Biz Sales'!AM100</f>
        <v>15762.06</v>
      </c>
      <c r="AN141" s="445">
        <f>'New Biz Sales'!AN100</f>
        <v>15762.06</v>
      </c>
      <c r="AO141" s="445">
        <f>'New Biz Sales'!AO100</f>
        <v>15762.06</v>
      </c>
      <c r="AP141" s="445">
        <f>'New Biz Sales'!AP100</f>
        <v>15762.06</v>
      </c>
      <c r="AQ141" s="445">
        <f>'New Biz Sales'!AQ100</f>
        <v>15762.06</v>
      </c>
      <c r="AR141" s="445">
        <f>'New Biz Sales'!AR100</f>
        <v>15919.6806</v>
      </c>
      <c r="AS141" s="445">
        <f>'New Biz Sales'!AS100</f>
        <v>15919.6806</v>
      </c>
      <c r="AT141" s="445">
        <f>'New Biz Sales'!AT100</f>
        <v>15919.6806</v>
      </c>
      <c r="AU141" s="445">
        <f>'New Biz Sales'!AU100</f>
        <v>15919.6806</v>
      </c>
      <c r="AV141" s="445">
        <f>'New Biz Sales'!AV100</f>
        <v>15919.6806</v>
      </c>
      <c r="AW141" s="445">
        <f>'New Biz Sales'!AW100</f>
        <v>15919.6806</v>
      </c>
      <c r="AX141" s="445">
        <f>'New Biz Sales'!AX100</f>
        <v>15919.6806</v>
      </c>
      <c r="AY141" s="445">
        <f>'New Biz Sales'!AY100</f>
        <v>16397.27102</v>
      </c>
      <c r="AZ141" s="445">
        <f>'New Biz Sales'!AZ100</f>
        <v>16397.27102</v>
      </c>
      <c r="BA141" s="445">
        <f>'New Biz Sales'!BA100</f>
        <v>16397.27102</v>
      </c>
      <c r="BB141" s="445">
        <f>'New Biz Sales'!BB100</f>
        <v>16397.27102</v>
      </c>
      <c r="BC141" s="445">
        <f>'New Biz Sales'!BC100</f>
        <v>16397.27102</v>
      </c>
      <c r="BD141" s="445">
        <f>'New Biz Sales'!BD100</f>
        <v>16397.27102</v>
      </c>
      <c r="BE141" s="445">
        <f>'New Biz Sales'!BE100</f>
        <v>16397.27102</v>
      </c>
      <c r="BF141" s="445">
        <f>'New Biz Sales'!BF100</f>
        <v>16397.27102</v>
      </c>
      <c r="BG141" s="445">
        <f>'New Biz Sales'!BG100</f>
        <v>16397.27102</v>
      </c>
      <c r="BH141" s="445">
        <f>'New Biz Sales'!BH100</f>
        <v>16397.27102</v>
      </c>
      <c r="BI141" s="445">
        <f>'New Biz Sales'!BI100</f>
        <v>16397.27102</v>
      </c>
      <c r="BJ141" s="445">
        <f>'New Biz Sales'!BJ100</f>
        <v>16397.27102</v>
      </c>
      <c r="BK141" s="445">
        <f>'New Biz Sales'!BK100</f>
        <v>17217.13457</v>
      </c>
      <c r="BL141" s="445">
        <f>'New Biz Sales'!BL100</f>
        <v>18077.9913</v>
      </c>
      <c r="BM141" s="445">
        <f>'New Biz Sales'!BM100</f>
        <v>18077.9913</v>
      </c>
      <c r="BN141" s="445">
        <f>'New Biz Sales'!BN100</f>
        <v>18077.9913</v>
      </c>
      <c r="BO141" s="445">
        <f>'New Biz Sales'!BO100</f>
        <v>18077.9913</v>
      </c>
      <c r="BP141" s="445">
        <f>'New Biz Sales'!BP100</f>
        <v>18077.9913</v>
      </c>
      <c r="BQ141" s="445">
        <f>'New Biz Sales'!BQ100</f>
        <v>18077.9913</v>
      </c>
      <c r="BR141" s="445">
        <f>'New Biz Sales'!BR100</f>
        <v>18077.9913</v>
      </c>
      <c r="BS141" s="445">
        <f>'New Biz Sales'!BS100</f>
        <v>18077.9913</v>
      </c>
      <c r="BT141" s="445">
        <f>'New Biz Sales'!BT100</f>
        <v>18077.9913</v>
      </c>
      <c r="BU141" s="445">
        <f>'New Biz Sales'!BU100</f>
        <v>18077.9913</v>
      </c>
      <c r="BV141" s="445">
        <f>'New Biz Sales'!BV100</f>
        <v>18077.9913</v>
      </c>
      <c r="BW141" s="445">
        <f>'New Biz Sales'!BW100</f>
        <v>18077.9913</v>
      </c>
      <c r="BX141" s="445">
        <f>'New Biz Sales'!BX100</f>
        <v>18077.9913</v>
      </c>
      <c r="BY141" s="445">
        <f>'New Biz Sales'!BY100</f>
        <v>18077.9913</v>
      </c>
      <c r="BZ141" s="445">
        <f>'New Biz Sales'!BZ100</f>
        <v>18077.9913</v>
      </c>
      <c r="CA141" s="445">
        <f>'New Biz Sales'!CA100</f>
        <v>18077.9913</v>
      </c>
      <c r="CB141" s="445">
        <f>'New Biz Sales'!CB100</f>
        <v>18077.9913</v>
      </c>
      <c r="CC141" s="445">
        <f>'New Biz Sales'!CC100</f>
        <v>18077.9913</v>
      </c>
      <c r="CD141" s="445">
        <f>'New Biz Sales'!CD100</f>
        <v>18077.9913</v>
      </c>
      <c r="CE141" s="445">
        <f>'New Biz Sales'!CE100</f>
        <v>18077.9913</v>
      </c>
      <c r="CF141" s="445">
        <f>'New Biz Sales'!CF100</f>
        <v>18077.9913</v>
      </c>
      <c r="CG141" s="445">
        <f>'New Biz Sales'!CG100</f>
        <v>18077.9913</v>
      </c>
      <c r="CH141" s="445">
        <f>'New Biz Sales'!CH100</f>
        <v>18077.9913</v>
      </c>
      <c r="CI141" s="445"/>
    </row>
    <row r="142" ht="15.75" customHeight="1" outlineLevel="1">
      <c r="A142" s="1"/>
      <c r="B142" s="1"/>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c r="AI142" s="117"/>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7"/>
      <c r="BO142" s="117"/>
      <c r="BP142" s="117"/>
      <c r="BQ142" s="117"/>
      <c r="BR142" s="117"/>
      <c r="BS142" s="117"/>
      <c r="BT142" s="117"/>
      <c r="BU142" s="117"/>
      <c r="BV142" s="117"/>
      <c r="BW142" s="117"/>
      <c r="BX142" s="117"/>
      <c r="BY142" s="117"/>
      <c r="BZ142" s="117"/>
      <c r="CA142" s="117"/>
      <c r="CB142" s="117"/>
      <c r="CC142" s="117"/>
      <c r="CD142" s="117"/>
      <c r="CE142" s="117"/>
      <c r="CF142" s="117"/>
      <c r="CG142" s="117"/>
      <c r="CH142" s="117"/>
      <c r="CI142" s="117"/>
    </row>
    <row r="143" ht="15.75" customHeight="1" outlineLevel="1">
      <c r="A143" s="1" t="s">
        <v>199</v>
      </c>
      <c r="B143" s="1"/>
      <c r="C143" s="117"/>
      <c r="D143" s="117"/>
      <c r="E143" s="117"/>
      <c r="F143" s="117"/>
      <c r="G143" s="117"/>
      <c r="H143" s="117"/>
      <c r="I143" s="117"/>
      <c r="J143" s="117"/>
      <c r="K143" s="117"/>
      <c r="L143" s="117"/>
      <c r="M143" s="117"/>
      <c r="N143" s="387">
        <f t="array" ref="N143">INDEX('IS Proforma'!$1:$1048490,MATCH($A143,'IS Proforma'!$C:$C,0),MATCH(N$4,'IS Proforma'!$4:$4))</f>
        <v>145624</v>
      </c>
      <c r="O143" s="387">
        <f t="array" ref="O143">INDEX('IS Proforma'!$1:$1048490,MATCH($A143,'IS Proforma'!$C:$C,0),MATCH(O$4,'IS Proforma'!$4:$4))</f>
        <v>159476</v>
      </c>
      <c r="P143" s="387">
        <f t="array" ref="P143">INDEX('IS Proforma'!$1:$1048490,MATCH($A143,'IS Proforma'!$C:$C,0),MATCH(P$4,'IS Proforma'!$4:$4))</f>
        <v>137941</v>
      </c>
      <c r="Q143" s="387">
        <f t="array" ref="Q143">INDEX('IS Proforma'!$1:$1048490,MATCH($A143,'IS Proforma'!$C:$C,0),MATCH(Q$4,'IS Proforma'!$4:$4))</f>
        <v>187531</v>
      </c>
      <c r="R143" s="387">
        <f t="array" ref="R143">INDEX('IS Proforma'!$1:$1048490,MATCH($A143,'IS Proforma'!$C:$C,0),MATCH(R$4,'IS Proforma'!$4:$4))</f>
        <v>218267</v>
      </c>
      <c r="S143" s="387">
        <f t="array" ref="S143">INDEX('IS Proforma'!$1:$1048490,MATCH($A143,'IS Proforma'!$C:$C,0),MATCH(S$4,'IS Proforma'!$4:$4))</f>
        <v>194947</v>
      </c>
      <c r="T143" s="387">
        <f t="array" ref="T143">INDEX('IS Proforma'!$1:$1048490,MATCH($A143,'IS Proforma'!$C:$C,0),MATCH(T$4,'IS Proforma'!$4:$4))</f>
        <v>147623</v>
      </c>
      <c r="U143" s="387">
        <f t="array" ref="U143">INDEX('IS Proforma'!$1:$1048490,MATCH($A143,'IS Proforma'!$C:$C,0),MATCH(U$4,'IS Proforma'!$4:$4))</f>
        <v>164585</v>
      </c>
      <c r="V143" s="387">
        <f t="array" ref="V143">INDEX('IS Proforma'!$1:$1048490,MATCH($A143,'IS Proforma'!$C:$C,0),MATCH(V$4,'IS Proforma'!$4:$4))</f>
        <v>230501</v>
      </c>
      <c r="W143" s="387">
        <f t="array" ref="W143">INDEX('IS Proforma'!$1:$1048490,MATCH($A143,'IS Proforma'!$C:$C,0),MATCH(W$4,'IS Proforma'!$4:$4))</f>
        <v>221862</v>
      </c>
      <c r="X143" s="387">
        <f t="array" ref="X143">INDEX('IS Proforma'!$1:$1048490,MATCH($A143,'IS Proforma'!$C:$C,0),MATCH(X$4,'IS Proforma'!$4:$4))</f>
        <v>203650</v>
      </c>
      <c r="Y143" s="387">
        <f t="array" ref="Y143">INDEX('IS Proforma'!$1:$1048490,MATCH($A143,'IS Proforma'!$C:$C,0),MATCH(Y$4,'IS Proforma'!$4:$4))</f>
        <v>196694</v>
      </c>
      <c r="Z143" s="131">
        <f t="shared" ref="Z143:CH143" si="69">Y143+Z144</f>
        <v>196694</v>
      </c>
      <c r="AA143" s="131">
        <f t="shared" si="69"/>
        <v>198194</v>
      </c>
      <c r="AB143" s="131">
        <f t="shared" si="69"/>
        <v>199694</v>
      </c>
      <c r="AC143" s="131">
        <f t="shared" si="69"/>
        <v>201194</v>
      </c>
      <c r="AD143" s="131">
        <f t="shared" si="69"/>
        <v>202694</v>
      </c>
      <c r="AE143" s="131">
        <f t="shared" si="69"/>
        <v>204194</v>
      </c>
      <c r="AF143" s="131">
        <f t="shared" si="69"/>
        <v>205694</v>
      </c>
      <c r="AG143" s="131">
        <f t="shared" si="69"/>
        <v>207194</v>
      </c>
      <c r="AH143" s="131">
        <f t="shared" si="69"/>
        <v>208694</v>
      </c>
      <c r="AI143" s="131">
        <f t="shared" si="69"/>
        <v>210194</v>
      </c>
      <c r="AJ143" s="131">
        <f t="shared" si="69"/>
        <v>211694</v>
      </c>
      <c r="AK143" s="131">
        <f t="shared" si="69"/>
        <v>213194</v>
      </c>
      <c r="AL143" s="131">
        <f t="shared" si="69"/>
        <v>214694</v>
      </c>
      <c r="AM143" s="131">
        <f t="shared" si="69"/>
        <v>216194</v>
      </c>
      <c r="AN143" s="131">
        <f t="shared" si="69"/>
        <v>217694</v>
      </c>
      <c r="AO143" s="131">
        <f t="shared" si="69"/>
        <v>219194</v>
      </c>
      <c r="AP143" s="131">
        <f t="shared" si="69"/>
        <v>220694</v>
      </c>
      <c r="AQ143" s="131">
        <f t="shared" si="69"/>
        <v>222194</v>
      </c>
      <c r="AR143" s="131">
        <f t="shared" si="69"/>
        <v>223694</v>
      </c>
      <c r="AS143" s="131">
        <f t="shared" si="69"/>
        <v>225194</v>
      </c>
      <c r="AT143" s="131">
        <f t="shared" si="69"/>
        <v>226694</v>
      </c>
      <c r="AU143" s="131">
        <f t="shared" si="69"/>
        <v>228194</v>
      </c>
      <c r="AV143" s="131">
        <f t="shared" si="69"/>
        <v>229694</v>
      </c>
      <c r="AW143" s="131">
        <f t="shared" si="69"/>
        <v>231194</v>
      </c>
      <c r="AX143" s="131">
        <f t="shared" si="69"/>
        <v>232694</v>
      </c>
      <c r="AY143" s="131">
        <f t="shared" si="69"/>
        <v>234194</v>
      </c>
      <c r="AZ143" s="131">
        <f t="shared" si="69"/>
        <v>235694</v>
      </c>
      <c r="BA143" s="131">
        <f t="shared" si="69"/>
        <v>237194</v>
      </c>
      <c r="BB143" s="131">
        <f t="shared" si="69"/>
        <v>238694</v>
      </c>
      <c r="BC143" s="131">
        <f t="shared" si="69"/>
        <v>240194</v>
      </c>
      <c r="BD143" s="131">
        <f t="shared" si="69"/>
        <v>241694</v>
      </c>
      <c r="BE143" s="131">
        <f t="shared" si="69"/>
        <v>243194</v>
      </c>
      <c r="BF143" s="131">
        <f t="shared" si="69"/>
        <v>244694</v>
      </c>
      <c r="BG143" s="131">
        <f t="shared" si="69"/>
        <v>246194</v>
      </c>
      <c r="BH143" s="131">
        <f t="shared" si="69"/>
        <v>247694</v>
      </c>
      <c r="BI143" s="131">
        <f t="shared" si="69"/>
        <v>249194</v>
      </c>
      <c r="BJ143" s="131">
        <f t="shared" si="69"/>
        <v>250694</v>
      </c>
      <c r="BK143" s="131">
        <f t="shared" si="69"/>
        <v>252194</v>
      </c>
      <c r="BL143" s="131">
        <f t="shared" si="69"/>
        <v>254194</v>
      </c>
      <c r="BM143" s="131">
        <f t="shared" si="69"/>
        <v>256194</v>
      </c>
      <c r="BN143" s="131">
        <f t="shared" si="69"/>
        <v>258194</v>
      </c>
      <c r="BO143" s="131">
        <f t="shared" si="69"/>
        <v>260194</v>
      </c>
      <c r="BP143" s="131">
        <f t="shared" si="69"/>
        <v>262194</v>
      </c>
      <c r="BQ143" s="131">
        <f t="shared" si="69"/>
        <v>264194</v>
      </c>
      <c r="BR143" s="131">
        <f t="shared" si="69"/>
        <v>266194</v>
      </c>
      <c r="BS143" s="131">
        <f t="shared" si="69"/>
        <v>268194</v>
      </c>
      <c r="BT143" s="131">
        <f t="shared" si="69"/>
        <v>270194</v>
      </c>
      <c r="BU143" s="131">
        <f t="shared" si="69"/>
        <v>272194</v>
      </c>
      <c r="BV143" s="131">
        <f t="shared" si="69"/>
        <v>274194</v>
      </c>
      <c r="BW143" s="131">
        <f t="shared" si="69"/>
        <v>276194</v>
      </c>
      <c r="BX143" s="131">
        <f t="shared" si="69"/>
        <v>278194</v>
      </c>
      <c r="BY143" s="131">
        <f t="shared" si="69"/>
        <v>280194</v>
      </c>
      <c r="BZ143" s="131">
        <f t="shared" si="69"/>
        <v>282194</v>
      </c>
      <c r="CA143" s="131">
        <f t="shared" si="69"/>
        <v>284194</v>
      </c>
      <c r="CB143" s="131">
        <f t="shared" si="69"/>
        <v>286194</v>
      </c>
      <c r="CC143" s="131">
        <f t="shared" si="69"/>
        <v>288194</v>
      </c>
      <c r="CD143" s="131">
        <f t="shared" si="69"/>
        <v>290194</v>
      </c>
      <c r="CE143" s="131">
        <f t="shared" si="69"/>
        <v>292194</v>
      </c>
      <c r="CF143" s="131">
        <f t="shared" si="69"/>
        <v>294194</v>
      </c>
      <c r="CG143" s="131">
        <f t="shared" si="69"/>
        <v>296194</v>
      </c>
      <c r="CH143" s="131">
        <f t="shared" si="69"/>
        <v>298194</v>
      </c>
      <c r="CI143" s="131"/>
    </row>
    <row r="144" ht="15.75" customHeight="1" outlineLevel="1">
      <c r="A144" s="1" t="s">
        <v>325</v>
      </c>
      <c r="B144" s="1"/>
      <c r="C144" s="1"/>
      <c r="D144" s="117"/>
      <c r="E144" s="117"/>
      <c r="F144" s="117"/>
      <c r="G144" s="117"/>
      <c r="H144" s="117"/>
      <c r="I144" s="117"/>
      <c r="J144" s="117"/>
      <c r="K144" s="117"/>
      <c r="L144" s="117"/>
      <c r="M144" s="117"/>
      <c r="N144" s="387">
        <f t="shared" ref="N144:X144" si="70">N143-M143</f>
        <v>145624</v>
      </c>
      <c r="O144" s="387">
        <f t="shared" si="70"/>
        <v>13852</v>
      </c>
      <c r="P144" s="387">
        <f t="shared" si="70"/>
        <v>-21535</v>
      </c>
      <c r="Q144" s="387">
        <f t="shared" si="70"/>
        <v>49590</v>
      </c>
      <c r="R144" s="387">
        <f t="shared" si="70"/>
        <v>30736</v>
      </c>
      <c r="S144" s="387">
        <f t="shared" si="70"/>
        <v>-23320</v>
      </c>
      <c r="T144" s="387">
        <f t="shared" si="70"/>
        <v>-47324</v>
      </c>
      <c r="U144" s="387">
        <f t="shared" si="70"/>
        <v>16962</v>
      </c>
      <c r="V144" s="387">
        <f t="shared" si="70"/>
        <v>65916</v>
      </c>
      <c r="W144" s="387">
        <f t="shared" si="70"/>
        <v>-8639</v>
      </c>
      <c r="X144" s="387">
        <f t="shared" si="70"/>
        <v>-18212</v>
      </c>
      <c r="Y144" s="387">
        <v>0.0</v>
      </c>
      <c r="Z144" s="295">
        <v>0.0</v>
      </c>
      <c r="AA144" s="295">
        <v>1500.0</v>
      </c>
      <c r="AB144" s="295">
        <f t="shared" ref="AB144:BK144" si="71">AA144</f>
        <v>1500</v>
      </c>
      <c r="AC144" s="295">
        <f t="shared" si="71"/>
        <v>1500</v>
      </c>
      <c r="AD144" s="295">
        <f t="shared" si="71"/>
        <v>1500</v>
      </c>
      <c r="AE144" s="295">
        <f t="shared" si="71"/>
        <v>1500</v>
      </c>
      <c r="AF144" s="295">
        <f t="shared" si="71"/>
        <v>1500</v>
      </c>
      <c r="AG144" s="295">
        <f t="shared" si="71"/>
        <v>1500</v>
      </c>
      <c r="AH144" s="295">
        <f t="shared" si="71"/>
        <v>1500</v>
      </c>
      <c r="AI144" s="295">
        <f t="shared" si="71"/>
        <v>1500</v>
      </c>
      <c r="AJ144" s="295">
        <f t="shared" si="71"/>
        <v>1500</v>
      </c>
      <c r="AK144" s="295">
        <f t="shared" si="71"/>
        <v>1500</v>
      </c>
      <c r="AL144" s="295">
        <f t="shared" si="71"/>
        <v>1500</v>
      </c>
      <c r="AM144" s="295">
        <f t="shared" si="71"/>
        <v>1500</v>
      </c>
      <c r="AN144" s="295">
        <f t="shared" si="71"/>
        <v>1500</v>
      </c>
      <c r="AO144" s="295">
        <f t="shared" si="71"/>
        <v>1500</v>
      </c>
      <c r="AP144" s="295">
        <f t="shared" si="71"/>
        <v>1500</v>
      </c>
      <c r="AQ144" s="295">
        <f t="shared" si="71"/>
        <v>1500</v>
      </c>
      <c r="AR144" s="295">
        <f t="shared" si="71"/>
        <v>1500</v>
      </c>
      <c r="AS144" s="295">
        <f t="shared" si="71"/>
        <v>1500</v>
      </c>
      <c r="AT144" s="295">
        <f t="shared" si="71"/>
        <v>1500</v>
      </c>
      <c r="AU144" s="295">
        <f t="shared" si="71"/>
        <v>1500</v>
      </c>
      <c r="AV144" s="295">
        <f t="shared" si="71"/>
        <v>1500</v>
      </c>
      <c r="AW144" s="295">
        <f t="shared" si="71"/>
        <v>1500</v>
      </c>
      <c r="AX144" s="295">
        <f t="shared" si="71"/>
        <v>1500</v>
      </c>
      <c r="AY144" s="295">
        <f t="shared" si="71"/>
        <v>1500</v>
      </c>
      <c r="AZ144" s="295">
        <f t="shared" si="71"/>
        <v>1500</v>
      </c>
      <c r="BA144" s="295">
        <f t="shared" si="71"/>
        <v>1500</v>
      </c>
      <c r="BB144" s="295">
        <f t="shared" si="71"/>
        <v>1500</v>
      </c>
      <c r="BC144" s="295">
        <f t="shared" si="71"/>
        <v>1500</v>
      </c>
      <c r="BD144" s="295">
        <f t="shared" si="71"/>
        <v>1500</v>
      </c>
      <c r="BE144" s="295">
        <f t="shared" si="71"/>
        <v>1500</v>
      </c>
      <c r="BF144" s="295">
        <f t="shared" si="71"/>
        <v>1500</v>
      </c>
      <c r="BG144" s="295">
        <f t="shared" si="71"/>
        <v>1500</v>
      </c>
      <c r="BH144" s="295">
        <f t="shared" si="71"/>
        <v>1500</v>
      </c>
      <c r="BI144" s="295">
        <f t="shared" si="71"/>
        <v>1500</v>
      </c>
      <c r="BJ144" s="295">
        <f t="shared" si="71"/>
        <v>1500</v>
      </c>
      <c r="BK144" s="295">
        <f t="shared" si="71"/>
        <v>1500</v>
      </c>
      <c r="BL144" s="295">
        <v>2000.0</v>
      </c>
      <c r="BM144" s="295">
        <v>2000.0</v>
      </c>
      <c r="BN144" s="295">
        <v>2000.0</v>
      </c>
      <c r="BO144" s="295">
        <v>2000.0</v>
      </c>
      <c r="BP144" s="295">
        <v>2000.0</v>
      </c>
      <c r="BQ144" s="295">
        <v>2000.0</v>
      </c>
      <c r="BR144" s="295">
        <v>2000.0</v>
      </c>
      <c r="BS144" s="295">
        <v>2000.0</v>
      </c>
      <c r="BT144" s="295">
        <v>2000.0</v>
      </c>
      <c r="BU144" s="295">
        <v>2000.0</v>
      </c>
      <c r="BV144" s="295">
        <v>2000.0</v>
      </c>
      <c r="BW144" s="295">
        <v>2000.0</v>
      </c>
      <c r="BX144" s="295">
        <v>2000.0</v>
      </c>
      <c r="BY144" s="295">
        <v>2000.0</v>
      </c>
      <c r="BZ144" s="295">
        <v>2000.0</v>
      </c>
      <c r="CA144" s="295">
        <v>2000.0</v>
      </c>
      <c r="CB144" s="295">
        <v>2000.0</v>
      </c>
      <c r="CC144" s="295">
        <v>2000.0</v>
      </c>
      <c r="CD144" s="295">
        <v>2000.0</v>
      </c>
      <c r="CE144" s="295">
        <v>2000.0</v>
      </c>
      <c r="CF144" s="295">
        <v>2000.0</v>
      </c>
      <c r="CG144" s="295">
        <v>2000.0</v>
      </c>
      <c r="CH144" s="295">
        <v>2000.0</v>
      </c>
      <c r="CI144" s="295"/>
    </row>
    <row r="145" ht="15.75" customHeight="1" outlineLevel="1">
      <c r="A145" s="1" t="s">
        <v>51</v>
      </c>
      <c r="B145" s="446" t="s">
        <v>677</v>
      </c>
      <c r="C145" s="1"/>
      <c r="D145" s="130"/>
      <c r="E145" s="130"/>
      <c r="F145" s="130"/>
      <c r="G145" s="130"/>
      <c r="H145" s="130"/>
      <c r="I145" s="130"/>
      <c r="J145" s="130"/>
      <c r="K145" s="130"/>
      <c r="L145" s="130"/>
      <c r="M145" s="130"/>
      <c r="N145" s="425" t="str">
        <f t="shared" ref="N145:X145" si="72">N143/M143-1</f>
        <v>#DIV/0!</v>
      </c>
      <c r="O145" s="425">
        <f t="shared" si="72"/>
        <v>0.09512168324</v>
      </c>
      <c r="P145" s="423">
        <f t="shared" si="72"/>
        <v>-0.1350359929</v>
      </c>
      <c r="Q145" s="423">
        <f t="shared" si="72"/>
        <v>0.359501526</v>
      </c>
      <c r="R145" s="423">
        <f t="shared" si="72"/>
        <v>0.1638982355</v>
      </c>
      <c r="S145" s="423">
        <f t="shared" si="72"/>
        <v>-0.1068416206</v>
      </c>
      <c r="T145" s="423">
        <f t="shared" si="72"/>
        <v>-0.2427531586</v>
      </c>
      <c r="U145" s="423">
        <f t="shared" si="72"/>
        <v>0.1149007946</v>
      </c>
      <c r="V145" s="423">
        <f t="shared" si="72"/>
        <v>0.4004982228</v>
      </c>
      <c r="W145" s="423">
        <f t="shared" si="72"/>
        <v>-0.03747923003</v>
      </c>
      <c r="X145" s="423">
        <f t="shared" si="72"/>
        <v>-0.08208706313</v>
      </c>
      <c r="Y145" s="423">
        <f t="shared" ref="Y145:Z145" si="73">X145</f>
        <v>-0.08208706313</v>
      </c>
      <c r="Z145" s="202">
        <f t="shared" si="73"/>
        <v>-0.08208706313</v>
      </c>
      <c r="AA145" s="197">
        <v>0.07</v>
      </c>
      <c r="AB145" s="202">
        <f t="shared" ref="AB145:CH145" si="74">AA145*0.97</f>
        <v>0.0679</v>
      </c>
      <c r="AC145" s="202">
        <f t="shared" si="74"/>
        <v>0.065863</v>
      </c>
      <c r="AD145" s="202">
        <f t="shared" si="74"/>
        <v>0.06388711</v>
      </c>
      <c r="AE145" s="202">
        <f t="shared" si="74"/>
        <v>0.0619704967</v>
      </c>
      <c r="AF145" s="202">
        <f t="shared" si="74"/>
        <v>0.0601113818</v>
      </c>
      <c r="AG145" s="202">
        <f t="shared" si="74"/>
        <v>0.05830804035</v>
      </c>
      <c r="AH145" s="202">
        <f t="shared" si="74"/>
        <v>0.05655879913</v>
      </c>
      <c r="AI145" s="202">
        <f t="shared" si="74"/>
        <v>0.05486203516</v>
      </c>
      <c r="AJ145" s="202">
        <f t="shared" si="74"/>
        <v>0.05321617411</v>
      </c>
      <c r="AK145" s="202">
        <f t="shared" si="74"/>
        <v>0.05161968888</v>
      </c>
      <c r="AL145" s="202">
        <f t="shared" si="74"/>
        <v>0.05007109822</v>
      </c>
      <c r="AM145" s="202">
        <f t="shared" si="74"/>
        <v>0.04856896527</v>
      </c>
      <c r="AN145" s="202">
        <f t="shared" si="74"/>
        <v>0.04711189631</v>
      </c>
      <c r="AO145" s="202">
        <f t="shared" si="74"/>
        <v>0.04569853942</v>
      </c>
      <c r="AP145" s="202">
        <f t="shared" si="74"/>
        <v>0.04432758324</v>
      </c>
      <c r="AQ145" s="202">
        <f t="shared" si="74"/>
        <v>0.04299775574</v>
      </c>
      <c r="AR145" s="202">
        <f t="shared" si="74"/>
        <v>0.04170782307</v>
      </c>
      <c r="AS145" s="202">
        <f t="shared" si="74"/>
        <v>0.04045658838</v>
      </c>
      <c r="AT145" s="202">
        <f t="shared" si="74"/>
        <v>0.03924289073</v>
      </c>
      <c r="AU145" s="202">
        <f t="shared" si="74"/>
        <v>0.038065604</v>
      </c>
      <c r="AV145" s="202">
        <f t="shared" si="74"/>
        <v>0.03692363588</v>
      </c>
      <c r="AW145" s="202">
        <f t="shared" si="74"/>
        <v>0.03581592681</v>
      </c>
      <c r="AX145" s="202">
        <f t="shared" si="74"/>
        <v>0.034741449</v>
      </c>
      <c r="AY145" s="202">
        <f t="shared" si="74"/>
        <v>0.03369920553</v>
      </c>
      <c r="AZ145" s="202">
        <f t="shared" si="74"/>
        <v>0.03268822937</v>
      </c>
      <c r="BA145" s="202">
        <f t="shared" si="74"/>
        <v>0.03170758249</v>
      </c>
      <c r="BB145" s="202">
        <f t="shared" si="74"/>
        <v>0.03075635501</v>
      </c>
      <c r="BC145" s="202">
        <f t="shared" si="74"/>
        <v>0.02983366436</v>
      </c>
      <c r="BD145" s="202">
        <f t="shared" si="74"/>
        <v>0.02893865443</v>
      </c>
      <c r="BE145" s="202">
        <f t="shared" si="74"/>
        <v>0.0280704948</v>
      </c>
      <c r="BF145" s="202">
        <f t="shared" si="74"/>
        <v>0.02722837995</v>
      </c>
      <c r="BG145" s="202">
        <f t="shared" si="74"/>
        <v>0.02641152856</v>
      </c>
      <c r="BH145" s="202">
        <f t="shared" si="74"/>
        <v>0.0256191827</v>
      </c>
      <c r="BI145" s="202">
        <f t="shared" si="74"/>
        <v>0.02485060722</v>
      </c>
      <c r="BJ145" s="202">
        <f t="shared" si="74"/>
        <v>0.024105089</v>
      </c>
      <c r="BK145" s="202">
        <f t="shared" si="74"/>
        <v>0.02338193633</v>
      </c>
      <c r="BL145" s="202">
        <f t="shared" si="74"/>
        <v>0.02268047824</v>
      </c>
      <c r="BM145" s="202">
        <f t="shared" si="74"/>
        <v>0.02200006389</v>
      </c>
      <c r="BN145" s="202">
        <f t="shared" si="74"/>
        <v>0.02134006198</v>
      </c>
      <c r="BO145" s="202">
        <f t="shared" si="74"/>
        <v>0.02069986012</v>
      </c>
      <c r="BP145" s="202">
        <f t="shared" si="74"/>
        <v>0.02007886431</v>
      </c>
      <c r="BQ145" s="202">
        <f t="shared" si="74"/>
        <v>0.01947649838</v>
      </c>
      <c r="BR145" s="202">
        <f t="shared" si="74"/>
        <v>0.01889220343</v>
      </c>
      <c r="BS145" s="202">
        <f t="shared" si="74"/>
        <v>0.01832543733</v>
      </c>
      <c r="BT145" s="202">
        <f t="shared" si="74"/>
        <v>0.01777567421</v>
      </c>
      <c r="BU145" s="202">
        <f t="shared" si="74"/>
        <v>0.01724240398</v>
      </c>
      <c r="BV145" s="202">
        <f t="shared" si="74"/>
        <v>0.01672513186</v>
      </c>
      <c r="BW145" s="202">
        <f t="shared" si="74"/>
        <v>0.01622337791</v>
      </c>
      <c r="BX145" s="202">
        <f t="shared" si="74"/>
        <v>0.01573667657</v>
      </c>
      <c r="BY145" s="202">
        <f t="shared" si="74"/>
        <v>0.01526457627</v>
      </c>
      <c r="BZ145" s="202">
        <f t="shared" si="74"/>
        <v>0.01480663899</v>
      </c>
      <c r="CA145" s="202">
        <f t="shared" si="74"/>
        <v>0.01436243982</v>
      </c>
      <c r="CB145" s="202">
        <f t="shared" si="74"/>
        <v>0.01393156662</v>
      </c>
      <c r="CC145" s="202">
        <f t="shared" si="74"/>
        <v>0.01351361962</v>
      </c>
      <c r="CD145" s="202">
        <f t="shared" si="74"/>
        <v>0.01310821103</v>
      </c>
      <c r="CE145" s="202">
        <f t="shared" si="74"/>
        <v>0.0127149647</v>
      </c>
      <c r="CF145" s="202">
        <f t="shared" si="74"/>
        <v>0.01233351576</v>
      </c>
      <c r="CG145" s="202">
        <f t="shared" si="74"/>
        <v>0.01196351029</v>
      </c>
      <c r="CH145" s="202">
        <f t="shared" si="74"/>
        <v>0.01160460498</v>
      </c>
      <c r="CI145" s="202"/>
    </row>
    <row r="146" ht="15.75" customHeight="1" outlineLevel="1">
      <c r="A146" s="1" t="s">
        <v>678</v>
      </c>
      <c r="B146" s="447">
        <v>500.0</v>
      </c>
      <c r="C146" s="1"/>
      <c r="D146" s="1"/>
      <c r="E146" s="1"/>
      <c r="F146" s="1"/>
      <c r="G146" s="1"/>
      <c r="H146" s="1"/>
      <c r="I146" s="1"/>
      <c r="J146" s="1"/>
      <c r="K146" s="1"/>
      <c r="L146" s="1"/>
      <c r="M146" s="1"/>
      <c r="N146" s="448">
        <f t="shared" ref="N146:BJ146" si="75">N143/$B$146</f>
        <v>291.248</v>
      </c>
      <c r="O146" s="448">
        <f t="shared" si="75"/>
        <v>318.952</v>
      </c>
      <c r="P146" s="448">
        <f t="shared" si="75"/>
        <v>275.882</v>
      </c>
      <c r="Q146" s="448">
        <f t="shared" si="75"/>
        <v>375.062</v>
      </c>
      <c r="R146" s="448">
        <f t="shared" si="75"/>
        <v>436.534</v>
      </c>
      <c r="S146" s="448">
        <f t="shared" si="75"/>
        <v>389.894</v>
      </c>
      <c r="T146" s="448">
        <f t="shared" si="75"/>
        <v>295.246</v>
      </c>
      <c r="U146" s="448">
        <f t="shared" si="75"/>
        <v>329.17</v>
      </c>
      <c r="V146" s="448">
        <f t="shared" si="75"/>
        <v>461.002</v>
      </c>
      <c r="W146" s="448">
        <f t="shared" si="75"/>
        <v>443.724</v>
      </c>
      <c r="X146" s="448">
        <f t="shared" si="75"/>
        <v>407.3</v>
      </c>
      <c r="Y146" s="448">
        <f t="shared" si="75"/>
        <v>393.388</v>
      </c>
      <c r="Z146" s="448">
        <f t="shared" si="75"/>
        <v>393.388</v>
      </c>
      <c r="AA146" s="448">
        <f t="shared" si="75"/>
        <v>396.388</v>
      </c>
      <c r="AB146" s="448">
        <f t="shared" si="75"/>
        <v>399.388</v>
      </c>
      <c r="AC146" s="448">
        <f t="shared" si="75"/>
        <v>402.388</v>
      </c>
      <c r="AD146" s="448">
        <f t="shared" si="75"/>
        <v>405.388</v>
      </c>
      <c r="AE146" s="448">
        <f t="shared" si="75"/>
        <v>408.388</v>
      </c>
      <c r="AF146" s="448">
        <f t="shared" si="75"/>
        <v>411.388</v>
      </c>
      <c r="AG146" s="448">
        <f t="shared" si="75"/>
        <v>414.388</v>
      </c>
      <c r="AH146" s="448">
        <f t="shared" si="75"/>
        <v>417.388</v>
      </c>
      <c r="AI146" s="448">
        <f t="shared" si="75"/>
        <v>420.388</v>
      </c>
      <c r="AJ146" s="448">
        <f t="shared" si="75"/>
        <v>423.388</v>
      </c>
      <c r="AK146" s="448">
        <f t="shared" si="75"/>
        <v>426.388</v>
      </c>
      <c r="AL146" s="448">
        <f t="shared" si="75"/>
        <v>429.388</v>
      </c>
      <c r="AM146" s="448">
        <f t="shared" si="75"/>
        <v>432.388</v>
      </c>
      <c r="AN146" s="448">
        <f t="shared" si="75"/>
        <v>435.388</v>
      </c>
      <c r="AO146" s="448">
        <f t="shared" si="75"/>
        <v>438.388</v>
      </c>
      <c r="AP146" s="448">
        <f t="shared" si="75"/>
        <v>441.388</v>
      </c>
      <c r="AQ146" s="448">
        <f t="shared" si="75"/>
        <v>444.388</v>
      </c>
      <c r="AR146" s="448">
        <f t="shared" si="75"/>
        <v>447.388</v>
      </c>
      <c r="AS146" s="448">
        <f t="shared" si="75"/>
        <v>450.388</v>
      </c>
      <c r="AT146" s="448">
        <f t="shared" si="75"/>
        <v>453.388</v>
      </c>
      <c r="AU146" s="448">
        <f t="shared" si="75"/>
        <v>456.388</v>
      </c>
      <c r="AV146" s="448">
        <f t="shared" si="75"/>
        <v>459.388</v>
      </c>
      <c r="AW146" s="448">
        <f t="shared" si="75"/>
        <v>462.388</v>
      </c>
      <c r="AX146" s="448">
        <f t="shared" si="75"/>
        <v>465.388</v>
      </c>
      <c r="AY146" s="448">
        <f t="shared" si="75"/>
        <v>468.388</v>
      </c>
      <c r="AZ146" s="448">
        <f t="shared" si="75"/>
        <v>471.388</v>
      </c>
      <c r="BA146" s="448">
        <f t="shared" si="75"/>
        <v>474.388</v>
      </c>
      <c r="BB146" s="448">
        <f t="shared" si="75"/>
        <v>477.388</v>
      </c>
      <c r="BC146" s="448">
        <f t="shared" si="75"/>
        <v>480.388</v>
      </c>
      <c r="BD146" s="448">
        <f t="shared" si="75"/>
        <v>483.388</v>
      </c>
      <c r="BE146" s="448">
        <f t="shared" si="75"/>
        <v>486.388</v>
      </c>
      <c r="BF146" s="448">
        <f t="shared" si="75"/>
        <v>489.388</v>
      </c>
      <c r="BG146" s="448">
        <f t="shared" si="75"/>
        <v>492.388</v>
      </c>
      <c r="BH146" s="448">
        <f t="shared" si="75"/>
        <v>495.388</v>
      </c>
      <c r="BI146" s="448">
        <f t="shared" si="75"/>
        <v>498.388</v>
      </c>
      <c r="BJ146" s="448">
        <f t="shared" si="75"/>
        <v>501.388</v>
      </c>
      <c r="BK146" s="448">
        <f t="shared" ref="BK146:CH146" si="76">BK143/$B$147</f>
        <v>454.4036036</v>
      </c>
      <c r="BL146" s="448">
        <f t="shared" si="76"/>
        <v>458.0072072</v>
      </c>
      <c r="BM146" s="448">
        <f t="shared" si="76"/>
        <v>461.6108108</v>
      </c>
      <c r="BN146" s="448">
        <f t="shared" si="76"/>
        <v>465.2144144</v>
      </c>
      <c r="BO146" s="448">
        <f t="shared" si="76"/>
        <v>468.818018</v>
      </c>
      <c r="BP146" s="448">
        <f t="shared" si="76"/>
        <v>472.4216216</v>
      </c>
      <c r="BQ146" s="448">
        <f t="shared" si="76"/>
        <v>476.0252252</v>
      </c>
      <c r="BR146" s="448">
        <f t="shared" si="76"/>
        <v>479.6288288</v>
      </c>
      <c r="BS146" s="448">
        <f t="shared" si="76"/>
        <v>483.2324324</v>
      </c>
      <c r="BT146" s="448">
        <f t="shared" si="76"/>
        <v>486.836036</v>
      </c>
      <c r="BU146" s="448">
        <f t="shared" si="76"/>
        <v>490.4396396</v>
      </c>
      <c r="BV146" s="448">
        <f t="shared" si="76"/>
        <v>494.0432432</v>
      </c>
      <c r="BW146" s="448">
        <f t="shared" si="76"/>
        <v>497.6468468</v>
      </c>
      <c r="BX146" s="448">
        <f t="shared" si="76"/>
        <v>501.2504505</v>
      </c>
      <c r="BY146" s="448">
        <f t="shared" si="76"/>
        <v>504.8540541</v>
      </c>
      <c r="BZ146" s="448">
        <f t="shared" si="76"/>
        <v>508.4576577</v>
      </c>
      <c r="CA146" s="448">
        <f t="shared" si="76"/>
        <v>512.0612613</v>
      </c>
      <c r="CB146" s="448">
        <f t="shared" si="76"/>
        <v>515.6648649</v>
      </c>
      <c r="CC146" s="448">
        <f t="shared" si="76"/>
        <v>519.2684685</v>
      </c>
      <c r="CD146" s="448">
        <f t="shared" si="76"/>
        <v>522.8720721</v>
      </c>
      <c r="CE146" s="448">
        <f t="shared" si="76"/>
        <v>526.4756757</v>
      </c>
      <c r="CF146" s="448">
        <f t="shared" si="76"/>
        <v>530.0792793</v>
      </c>
      <c r="CG146" s="448">
        <f t="shared" si="76"/>
        <v>533.6828829</v>
      </c>
      <c r="CH146" s="448">
        <f t="shared" si="76"/>
        <v>537.2864865</v>
      </c>
      <c r="CI146" s="448"/>
    </row>
    <row r="147" ht="15.75" customHeight="1" outlineLevel="1">
      <c r="A147" s="449" t="s">
        <v>687</v>
      </c>
      <c r="B147" s="454">
        <v>555.0</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ht="15.75" customHeight="1" outlineLevel="1">
      <c r="A148" s="1" t="s">
        <v>200</v>
      </c>
      <c r="B148" s="1"/>
      <c r="C148" s="387">
        <f t="array" ref="C148">INDEX('IS Proforma'!$1:$1048490,MATCH($A148,'IS Proforma'!$C:$C,0),MATCH(C$4,'IS Proforma'!$4:$4))</f>
        <v>32145</v>
      </c>
      <c r="D148" s="387">
        <f t="array" ref="D148">INDEX('IS Proforma'!$1:$1048490,MATCH($A148,'IS Proforma'!$C:$C,0),MATCH(D$4,'IS Proforma'!$4:$4))</f>
        <v>20023</v>
      </c>
      <c r="E148" s="387">
        <f t="array" ref="E148">INDEX('IS Proforma'!$1:$1048490,MATCH($A148,'IS Proforma'!$C:$C,0),MATCH(E$4,'IS Proforma'!$4:$4))</f>
        <v>38675</v>
      </c>
      <c r="F148" s="387">
        <f t="array" ref="F148">INDEX('IS Proforma'!$1:$1048490,MATCH($A148,'IS Proforma'!$C:$C,0),MATCH(F$4,'IS Proforma'!$4:$4))</f>
        <v>38382</v>
      </c>
      <c r="G148" s="387">
        <f t="array" ref="G148">INDEX('IS Proforma'!$1:$1048490,MATCH($A148,'IS Proforma'!$C:$C,0),MATCH(G$4,'IS Proforma'!$4:$4))</f>
        <v>25077</v>
      </c>
      <c r="H148" s="387">
        <f t="array" ref="H148">INDEX('IS Proforma'!$1:$1048490,MATCH($A148,'IS Proforma'!$C:$C,0),MATCH(H$4,'IS Proforma'!$4:$4))</f>
        <v>31269</v>
      </c>
      <c r="I148" s="387">
        <f t="array" ref="I148">INDEX('IS Proforma'!$1:$1048490,MATCH($A148,'IS Proforma'!$C:$C,0),MATCH(I$4,'IS Proforma'!$4:$4))</f>
        <v>26693</v>
      </c>
      <c r="J148" s="387">
        <f t="array" ref="J148">INDEX('IS Proforma'!$1:$1048490,MATCH($A148,'IS Proforma'!$C:$C,0),MATCH(J$4,'IS Proforma'!$4:$4))</f>
        <v>35918</v>
      </c>
      <c r="K148" s="387">
        <f t="array" ref="K148">INDEX('IS Proforma'!$1:$1048490,MATCH($A148,'IS Proforma'!$C:$C,0),MATCH(K$4,'IS Proforma'!$4:$4))</f>
        <v>38988</v>
      </c>
      <c r="L148" s="387">
        <f t="array" ref="L148">INDEX('IS Proforma'!$1:$1048490,MATCH($A148,'IS Proforma'!$C:$C,0),MATCH(L$4,'IS Proforma'!$4:$4))</f>
        <v>26246</v>
      </c>
      <c r="M148" s="387">
        <f t="array" ref="M148">INDEX('IS Proforma'!$1:$1048490,MATCH($A148,'IS Proforma'!$C:$C,0),MATCH(M$4,'IS Proforma'!$4:$4))</f>
        <v>25203</v>
      </c>
      <c r="N148" s="387">
        <f t="array" ref="N148">INDEX('IS Proforma'!$1:$1048490,MATCH($A148,'IS Proforma'!$C:$C,0),MATCH(N$4,'IS Proforma'!$4:$4))</f>
        <v>28999</v>
      </c>
      <c r="O148" s="387">
        <f t="array" ref="O148">INDEX('IS Proforma'!$1:$1048490,MATCH($A148,'IS Proforma'!$C:$C,0),MATCH(O$4,'IS Proforma'!$4:$4))</f>
        <v>23676</v>
      </c>
      <c r="P148" s="387">
        <f t="array" ref="P148">INDEX('IS Proforma'!$1:$1048490,MATCH($A148,'IS Proforma'!$C:$C,0),MATCH(P$4,'IS Proforma'!$4:$4))</f>
        <v>26413</v>
      </c>
      <c r="Q148" s="387">
        <f t="array" ref="Q148">INDEX('IS Proforma'!$1:$1048490,MATCH($A148,'IS Proforma'!$C:$C,0),MATCH(Q$4,'IS Proforma'!$4:$4))</f>
        <v>32776</v>
      </c>
      <c r="R148" s="387">
        <f t="array" ref="R148">INDEX('IS Proforma'!$1:$1048490,MATCH($A148,'IS Proforma'!$C:$C,0),MATCH(R$4,'IS Proforma'!$4:$4))</f>
        <v>21590</v>
      </c>
      <c r="S148" s="387">
        <f t="array" ref="S148">INDEX('IS Proforma'!$1:$1048490,MATCH($A148,'IS Proforma'!$C:$C,0),MATCH(S$4,'IS Proforma'!$4:$4))</f>
        <v>33814</v>
      </c>
      <c r="T148" s="387">
        <f t="array" ref="T148">INDEX('IS Proforma'!$1:$1048490,MATCH($A148,'IS Proforma'!$C:$C,0),MATCH(T$4,'IS Proforma'!$4:$4))</f>
        <v>34386</v>
      </c>
      <c r="U148" s="387">
        <f t="array" ref="U148">INDEX('IS Proforma'!$1:$1048490,MATCH($A148,'IS Proforma'!$C:$C,0),MATCH(U$4,'IS Proforma'!$4:$4))</f>
        <v>22249</v>
      </c>
      <c r="V148" s="387">
        <f t="array" ref="V148">INDEX('IS Proforma'!$1:$1048490,MATCH($A148,'IS Proforma'!$C:$C,0),MATCH(V$4,'IS Proforma'!$4:$4))</f>
        <v>34970</v>
      </c>
      <c r="W148" s="387">
        <f t="array" ref="W148">INDEX('IS Proforma'!$1:$1048490,MATCH($A148,'IS Proforma'!$C:$C,0),MATCH(W$4,'IS Proforma'!$4:$4))</f>
        <v>34511</v>
      </c>
      <c r="X148" s="387">
        <f t="array" ref="X148">INDEX('IS Proforma'!$1:$1048490,MATCH($A148,'IS Proforma'!$C:$C,0),MATCH(X$4,'IS Proforma'!$4:$4))</f>
        <v>25370</v>
      </c>
      <c r="Y148" s="387">
        <f t="array" ref="Y148">INDEX('IS Proforma'!$1:$1048490,MATCH($A148,'IS Proforma'!$C:$C,0),MATCH(Y$4,'IS Proforma'!$4:$4))</f>
        <v>25892</v>
      </c>
      <c r="Z148" s="451">
        <f>Retention!Z44</f>
        <v>40594.26026</v>
      </c>
      <c r="AA148" s="451">
        <f>Retention!AA44</f>
        <v>55988.82155</v>
      </c>
      <c r="AB148" s="451">
        <f>Retention!AB44</f>
        <v>69546.66694</v>
      </c>
      <c r="AC148" s="451">
        <f>Retention!AC44</f>
        <v>81073.6617</v>
      </c>
      <c r="AD148" s="451">
        <f>Retention!AD44</f>
        <v>91209.03892</v>
      </c>
      <c r="AE148" s="451">
        <f>Retention!AE44</f>
        <v>95852.45893</v>
      </c>
      <c r="AF148" s="451">
        <f>Retention!AF44</f>
        <v>99857.83476</v>
      </c>
      <c r="AG148" s="451">
        <f>Retention!AG44</f>
        <v>101806.5918</v>
      </c>
      <c r="AH148" s="451">
        <f>Retention!AH44</f>
        <v>103289.1866</v>
      </c>
      <c r="AI148" s="451">
        <f>Retention!AI44</f>
        <v>105714.0636</v>
      </c>
      <c r="AJ148" s="451">
        <f>Retention!AJ44</f>
        <v>108821.9767</v>
      </c>
      <c r="AK148" s="451">
        <f>Retention!AK44</f>
        <v>111347.4248</v>
      </c>
      <c r="AL148" s="451">
        <f>Retention!AL44</f>
        <v>113523.4857</v>
      </c>
      <c r="AM148" s="451">
        <f>Retention!AM44</f>
        <v>114311.8443</v>
      </c>
      <c r="AN148" s="451">
        <f>Retention!AN44</f>
        <v>115971.665</v>
      </c>
      <c r="AO148" s="451">
        <f>Retention!AO44</f>
        <v>118524.8864</v>
      </c>
      <c r="AP148" s="451">
        <f>Retention!AP44</f>
        <v>120623.8945</v>
      </c>
      <c r="AQ148" s="451">
        <f>Retention!AQ44</f>
        <v>122384.968</v>
      </c>
      <c r="AR148" s="451">
        <f>Retention!AR44</f>
        <v>124162.2766</v>
      </c>
      <c r="AS148" s="451">
        <f>Retention!AS44</f>
        <v>125687.1381</v>
      </c>
      <c r="AT148" s="451">
        <f>Retention!AT44</f>
        <v>127024.8269</v>
      </c>
      <c r="AU148" s="451">
        <f>Retention!AU44</f>
        <v>128224.1154</v>
      </c>
      <c r="AV148" s="451">
        <f>Retention!AV44</f>
        <v>129321.4489</v>
      </c>
      <c r="AW148" s="451">
        <f>Retention!AW44</f>
        <v>130344.0646</v>
      </c>
      <c r="AX148" s="451">
        <f>Retention!AX44</f>
        <v>131312.3214</v>
      </c>
      <c r="AY148" s="451">
        <f>Retention!AY44</f>
        <v>133079.6368</v>
      </c>
      <c r="AZ148" s="451">
        <f>Retention!AZ44</f>
        <v>134752.9878</v>
      </c>
      <c r="BA148" s="451">
        <f>Retention!BA44</f>
        <v>136214.3506</v>
      </c>
      <c r="BB148" s="451">
        <f>Retention!BB44</f>
        <v>137518.8319</v>
      </c>
      <c r="BC148" s="451">
        <f>Retention!BC44</f>
        <v>138707.6088</v>
      </c>
      <c r="BD148" s="451">
        <f>Retention!BD44</f>
        <v>139811.4531</v>
      </c>
      <c r="BE148" s="451">
        <f>Retention!BE44</f>
        <v>140853.3641</v>
      </c>
      <c r="BF148" s="451">
        <f>Retention!BF44</f>
        <v>141850.5348</v>
      </c>
      <c r="BG148" s="451">
        <f>Retention!BG44</f>
        <v>142815.8214</v>
      </c>
      <c r="BH148" s="451">
        <f>Retention!BH44</f>
        <v>143758.8405</v>
      </c>
      <c r="BI148" s="451">
        <f>Retention!BI44</f>
        <v>144686.7887</v>
      </c>
      <c r="BJ148" s="451">
        <f>Retention!BJ44</f>
        <v>145605.0552</v>
      </c>
      <c r="BK148" s="451">
        <f>Retention!BK44</f>
        <v>147987.0886</v>
      </c>
      <c r="BL148" s="451">
        <f>Retention!BL44</f>
        <v>149776.2448</v>
      </c>
      <c r="BM148" s="451">
        <f>Retention!BM44</f>
        <v>150851.4366</v>
      </c>
      <c r="BN148" s="451">
        <f>Retention!BN44</f>
        <v>151903.6849</v>
      </c>
      <c r="BO148" s="451">
        <f>Retention!BO44</f>
        <v>152941.151</v>
      </c>
      <c r="BP148" s="451">
        <f>Retention!BP44</f>
        <v>153969.9715</v>
      </c>
      <c r="BQ148" s="451">
        <f>Retention!BQ44</f>
        <v>154994.7715</v>
      </c>
      <c r="BR148" s="451">
        <f>Retention!BR44</f>
        <v>156019.048</v>
      </c>
      <c r="BS148" s="451">
        <f>Retention!BS44</f>
        <v>157045.4569</v>
      </c>
      <c r="BT148" s="451">
        <f>Retention!BT44</f>
        <v>158076.0262</v>
      </c>
      <c r="BU148" s="451">
        <f>Retention!BU44</f>
        <v>159112.3164</v>
      </c>
      <c r="BV148" s="451">
        <f>Retention!BV44</f>
        <v>160155.5402</v>
      </c>
      <c r="BW148" s="451">
        <f>Retention!BW44</f>
        <v>161317.2831</v>
      </c>
      <c r="BX148" s="451">
        <f>Retention!BX44</f>
        <v>158820.607</v>
      </c>
      <c r="BY148" s="451">
        <f>Retention!BY44</f>
        <v>156611.9551</v>
      </c>
      <c r="BZ148" s="451">
        <f>Retention!BZ44</f>
        <v>155147.4376</v>
      </c>
      <c r="CA148" s="451">
        <f>Retention!CA44</f>
        <v>154241.0543</v>
      </c>
      <c r="CB148" s="451">
        <f>Retention!CB44</f>
        <v>153753.854</v>
      </c>
      <c r="CC148" s="451">
        <f>Retention!CC44</f>
        <v>153582.0326</v>
      </c>
      <c r="CD148" s="451">
        <f>Retention!CD44</f>
        <v>153648.0407</v>
      </c>
      <c r="CE148" s="451">
        <f>Retention!CE44</f>
        <v>153893.9425</v>
      </c>
      <c r="CF148" s="451">
        <f>Retention!CF44</f>
        <v>154276.4537</v>
      </c>
      <c r="CG148" s="451">
        <f>Retention!CG44</f>
        <v>154763.2355</v>
      </c>
      <c r="CH148" s="451">
        <f>Retention!CH44</f>
        <v>155330.1261</v>
      </c>
      <c r="CI148" s="451"/>
    </row>
    <row r="149" ht="15.75" customHeight="1" outlineLevel="1">
      <c r="A149" s="1" t="s">
        <v>325</v>
      </c>
      <c r="B149" s="1"/>
      <c r="C149" s="1"/>
      <c r="D149" s="387">
        <f t="shared" ref="D149:CH149" si="77">D148-C148</f>
        <v>-12122</v>
      </c>
      <c r="E149" s="387">
        <f t="shared" si="77"/>
        <v>18652</v>
      </c>
      <c r="F149" s="387">
        <f t="shared" si="77"/>
        <v>-293</v>
      </c>
      <c r="G149" s="387">
        <f t="shared" si="77"/>
        <v>-13305</v>
      </c>
      <c r="H149" s="387">
        <f t="shared" si="77"/>
        <v>6192</v>
      </c>
      <c r="I149" s="387">
        <f t="shared" si="77"/>
        <v>-4576</v>
      </c>
      <c r="J149" s="387">
        <f t="shared" si="77"/>
        <v>9225</v>
      </c>
      <c r="K149" s="387">
        <f t="shared" si="77"/>
        <v>3070</v>
      </c>
      <c r="L149" s="387">
        <f t="shared" si="77"/>
        <v>-12742</v>
      </c>
      <c r="M149" s="387">
        <f t="shared" si="77"/>
        <v>-1043</v>
      </c>
      <c r="N149" s="387">
        <f t="shared" si="77"/>
        <v>3796</v>
      </c>
      <c r="O149" s="387">
        <f t="shared" si="77"/>
        <v>-5323</v>
      </c>
      <c r="P149" s="387">
        <f t="shared" si="77"/>
        <v>2737</v>
      </c>
      <c r="Q149" s="387">
        <f t="shared" si="77"/>
        <v>6363</v>
      </c>
      <c r="R149" s="387">
        <f t="shared" si="77"/>
        <v>-11186</v>
      </c>
      <c r="S149" s="387">
        <f t="shared" si="77"/>
        <v>12224</v>
      </c>
      <c r="T149" s="387">
        <f t="shared" si="77"/>
        <v>572</v>
      </c>
      <c r="U149" s="387">
        <f t="shared" si="77"/>
        <v>-12137</v>
      </c>
      <c r="V149" s="387">
        <f t="shared" si="77"/>
        <v>12721</v>
      </c>
      <c r="W149" s="387">
        <f t="shared" si="77"/>
        <v>-459</v>
      </c>
      <c r="X149" s="387">
        <f t="shared" si="77"/>
        <v>-9141</v>
      </c>
      <c r="Y149" s="387">
        <f t="shared" si="77"/>
        <v>522</v>
      </c>
      <c r="Z149" s="131">
        <f t="shared" si="77"/>
        <v>14702.26026</v>
      </c>
      <c r="AA149" s="131">
        <f t="shared" si="77"/>
        <v>15394.56129</v>
      </c>
      <c r="AB149" s="131">
        <f t="shared" si="77"/>
        <v>13557.84539</v>
      </c>
      <c r="AC149" s="131">
        <f t="shared" si="77"/>
        <v>11526.99476</v>
      </c>
      <c r="AD149" s="131">
        <f t="shared" si="77"/>
        <v>10135.37722</v>
      </c>
      <c r="AE149" s="131">
        <f t="shared" si="77"/>
        <v>4643.420009</v>
      </c>
      <c r="AF149" s="131">
        <f t="shared" si="77"/>
        <v>4005.37583</v>
      </c>
      <c r="AG149" s="131">
        <f t="shared" si="77"/>
        <v>1948.757036</v>
      </c>
      <c r="AH149" s="131">
        <f t="shared" si="77"/>
        <v>1482.594796</v>
      </c>
      <c r="AI149" s="131">
        <f t="shared" si="77"/>
        <v>2424.877051</v>
      </c>
      <c r="AJ149" s="131">
        <f t="shared" si="77"/>
        <v>3107.913027</v>
      </c>
      <c r="AK149" s="131">
        <f t="shared" si="77"/>
        <v>2525.448177</v>
      </c>
      <c r="AL149" s="131">
        <f t="shared" si="77"/>
        <v>2176.060819</v>
      </c>
      <c r="AM149" s="131">
        <f t="shared" si="77"/>
        <v>788.3585927</v>
      </c>
      <c r="AN149" s="131">
        <f t="shared" si="77"/>
        <v>1659.820759</v>
      </c>
      <c r="AO149" s="131">
        <f t="shared" si="77"/>
        <v>2553.221404</v>
      </c>
      <c r="AP149" s="131">
        <f t="shared" si="77"/>
        <v>2099.008114</v>
      </c>
      <c r="AQ149" s="131">
        <f t="shared" si="77"/>
        <v>1761.073443</v>
      </c>
      <c r="AR149" s="131">
        <f t="shared" si="77"/>
        <v>1777.308616</v>
      </c>
      <c r="AS149" s="131">
        <f t="shared" si="77"/>
        <v>1524.861482</v>
      </c>
      <c r="AT149" s="131">
        <f t="shared" si="77"/>
        <v>1337.688824</v>
      </c>
      <c r="AU149" s="131">
        <f t="shared" si="77"/>
        <v>1199.288488</v>
      </c>
      <c r="AV149" s="131">
        <f t="shared" si="77"/>
        <v>1097.333494</v>
      </c>
      <c r="AW149" s="131">
        <f t="shared" si="77"/>
        <v>1022.615716</v>
      </c>
      <c r="AX149" s="131">
        <f t="shared" si="77"/>
        <v>968.2568174</v>
      </c>
      <c r="AY149" s="131">
        <f t="shared" si="77"/>
        <v>1767.315337</v>
      </c>
      <c r="AZ149" s="131">
        <f t="shared" si="77"/>
        <v>1673.351088</v>
      </c>
      <c r="BA149" s="131">
        <f t="shared" si="77"/>
        <v>1461.362778</v>
      </c>
      <c r="BB149" s="131">
        <f t="shared" si="77"/>
        <v>1304.481256</v>
      </c>
      <c r="BC149" s="131">
        <f t="shared" si="77"/>
        <v>1188.776881</v>
      </c>
      <c r="BD149" s="131">
        <f t="shared" si="77"/>
        <v>1103.844335</v>
      </c>
      <c r="BE149" s="131">
        <f t="shared" si="77"/>
        <v>1041.910966</v>
      </c>
      <c r="BF149" s="131">
        <f t="shared" si="77"/>
        <v>997.1707297</v>
      </c>
      <c r="BG149" s="131">
        <f t="shared" si="77"/>
        <v>965.2866359</v>
      </c>
      <c r="BH149" s="131">
        <f t="shared" si="77"/>
        <v>943.019081</v>
      </c>
      <c r="BI149" s="131">
        <f t="shared" si="77"/>
        <v>927.9482098</v>
      </c>
      <c r="BJ149" s="131">
        <f t="shared" si="77"/>
        <v>918.2665207</v>
      </c>
      <c r="BK149" s="131">
        <f t="shared" si="77"/>
        <v>2382.033399</v>
      </c>
      <c r="BL149" s="131">
        <f t="shared" si="77"/>
        <v>1789.156189</v>
      </c>
      <c r="BM149" s="131">
        <f t="shared" si="77"/>
        <v>1075.191786</v>
      </c>
      <c r="BN149" s="131">
        <f t="shared" si="77"/>
        <v>1052.24831</v>
      </c>
      <c r="BO149" s="131">
        <f t="shared" si="77"/>
        <v>1037.466109</v>
      </c>
      <c r="BP149" s="131">
        <f t="shared" si="77"/>
        <v>1028.82047</v>
      </c>
      <c r="BQ149" s="131">
        <f t="shared" si="77"/>
        <v>1024.799959</v>
      </c>
      <c r="BR149" s="131">
        <f t="shared" si="77"/>
        <v>1024.276592</v>
      </c>
      <c r="BS149" s="131">
        <f t="shared" si="77"/>
        <v>1026.408859</v>
      </c>
      <c r="BT149" s="131">
        <f t="shared" si="77"/>
        <v>1030.569272</v>
      </c>
      <c r="BU149" s="131">
        <f t="shared" si="77"/>
        <v>1036.290257</v>
      </c>
      <c r="BV149" s="131">
        <f t="shared" si="77"/>
        <v>1043.223729</v>
      </c>
      <c r="BW149" s="131">
        <f t="shared" si="77"/>
        <v>1161.742903</v>
      </c>
      <c r="BX149" s="131">
        <f t="shared" si="77"/>
        <v>-2496.67607</v>
      </c>
      <c r="BY149" s="131">
        <f t="shared" si="77"/>
        <v>-2208.651925</v>
      </c>
      <c r="BZ149" s="131">
        <f t="shared" si="77"/>
        <v>-1464.517441</v>
      </c>
      <c r="CA149" s="131">
        <f t="shared" si="77"/>
        <v>-906.3833671</v>
      </c>
      <c r="CB149" s="131">
        <f t="shared" si="77"/>
        <v>-487.200244</v>
      </c>
      <c r="CC149" s="131">
        <f t="shared" si="77"/>
        <v>-171.8214655</v>
      </c>
      <c r="CD149" s="131">
        <f t="shared" si="77"/>
        <v>66.00813033</v>
      </c>
      <c r="CE149" s="131">
        <f t="shared" si="77"/>
        <v>245.9017839</v>
      </c>
      <c r="CF149" s="131">
        <f t="shared" si="77"/>
        <v>382.511208</v>
      </c>
      <c r="CG149" s="131">
        <f t="shared" si="77"/>
        <v>486.781843</v>
      </c>
      <c r="CH149" s="131">
        <f t="shared" si="77"/>
        <v>566.8905319</v>
      </c>
      <c r="CI149" s="131"/>
    </row>
    <row r="150" ht="15.75" customHeight="1" outlineLevel="1">
      <c r="A150" s="1" t="s">
        <v>51</v>
      </c>
      <c r="B150" s="446" t="s">
        <v>677</v>
      </c>
      <c r="C150" s="1"/>
      <c r="D150" s="425">
        <f t="shared" ref="D150:V150" si="78">D148/C148-1</f>
        <v>-0.3771037486</v>
      </c>
      <c r="E150" s="425">
        <f t="shared" si="78"/>
        <v>0.9315287419</v>
      </c>
      <c r="F150" s="425">
        <f t="shared" si="78"/>
        <v>-0.007575953458</v>
      </c>
      <c r="G150" s="425">
        <f t="shared" si="78"/>
        <v>-0.3466468657</v>
      </c>
      <c r="H150" s="425">
        <f t="shared" si="78"/>
        <v>0.246919488</v>
      </c>
      <c r="I150" s="425">
        <f t="shared" si="78"/>
        <v>-0.1463430234</v>
      </c>
      <c r="J150" s="425">
        <f t="shared" si="78"/>
        <v>0.3455962237</v>
      </c>
      <c r="K150" s="425">
        <f t="shared" si="78"/>
        <v>0.08547246506</v>
      </c>
      <c r="L150" s="425">
        <f t="shared" si="78"/>
        <v>-0.3268185083</v>
      </c>
      <c r="M150" s="423">
        <f t="shared" si="78"/>
        <v>-0.03973938886</v>
      </c>
      <c r="N150" s="423">
        <f t="shared" si="78"/>
        <v>0.15061699</v>
      </c>
      <c r="O150" s="425">
        <f t="shared" si="78"/>
        <v>-0.1835580537</v>
      </c>
      <c r="P150" s="423">
        <f t="shared" si="78"/>
        <v>0.1156022977</v>
      </c>
      <c r="Q150" s="423">
        <f t="shared" si="78"/>
        <v>0.2409041003</v>
      </c>
      <c r="R150" s="423">
        <f t="shared" si="78"/>
        <v>-0.3412863071</v>
      </c>
      <c r="S150" s="423">
        <f t="shared" si="78"/>
        <v>0.56618805</v>
      </c>
      <c r="T150" s="423">
        <f t="shared" si="78"/>
        <v>0.01691607027</v>
      </c>
      <c r="U150" s="423">
        <f t="shared" si="78"/>
        <v>-0.3529634153</v>
      </c>
      <c r="V150" s="423">
        <f t="shared" si="78"/>
        <v>0.571756034</v>
      </c>
      <c r="W150" s="423">
        <v>0.0</v>
      </c>
      <c r="X150" s="423">
        <v>0.0</v>
      </c>
      <c r="Y150" s="423">
        <f t="shared" ref="Y150:Z150" si="79">X150</f>
        <v>0</v>
      </c>
      <c r="Z150" s="202">
        <f t="shared" si="79"/>
        <v>0</v>
      </c>
      <c r="AA150" s="197">
        <v>0.04</v>
      </c>
      <c r="AB150" s="202">
        <f t="shared" ref="AB150:CH150" si="80">AA150*0.97</f>
        <v>0.0388</v>
      </c>
      <c r="AC150" s="202">
        <f t="shared" si="80"/>
        <v>0.037636</v>
      </c>
      <c r="AD150" s="202">
        <f t="shared" si="80"/>
        <v>0.03650692</v>
      </c>
      <c r="AE150" s="202">
        <f t="shared" si="80"/>
        <v>0.0354117124</v>
      </c>
      <c r="AF150" s="202">
        <f t="shared" si="80"/>
        <v>0.03434936103</v>
      </c>
      <c r="AG150" s="202">
        <f t="shared" si="80"/>
        <v>0.0333188802</v>
      </c>
      <c r="AH150" s="202">
        <f t="shared" si="80"/>
        <v>0.03231931379</v>
      </c>
      <c r="AI150" s="202">
        <f t="shared" si="80"/>
        <v>0.03134973438</v>
      </c>
      <c r="AJ150" s="202">
        <f t="shared" si="80"/>
        <v>0.03040924235</v>
      </c>
      <c r="AK150" s="202">
        <f t="shared" si="80"/>
        <v>0.02949696508</v>
      </c>
      <c r="AL150" s="202">
        <f t="shared" si="80"/>
        <v>0.02861205612</v>
      </c>
      <c r="AM150" s="202">
        <f t="shared" si="80"/>
        <v>0.02775369444</v>
      </c>
      <c r="AN150" s="202">
        <f t="shared" si="80"/>
        <v>0.02692108361</v>
      </c>
      <c r="AO150" s="202">
        <f t="shared" si="80"/>
        <v>0.0261134511</v>
      </c>
      <c r="AP150" s="202">
        <f t="shared" si="80"/>
        <v>0.02533004757</v>
      </c>
      <c r="AQ150" s="202">
        <f t="shared" si="80"/>
        <v>0.02457014614</v>
      </c>
      <c r="AR150" s="202">
        <f t="shared" si="80"/>
        <v>0.02383304175</v>
      </c>
      <c r="AS150" s="202">
        <f t="shared" si="80"/>
        <v>0.0231180505</v>
      </c>
      <c r="AT150" s="202">
        <f t="shared" si="80"/>
        <v>0.02242450899</v>
      </c>
      <c r="AU150" s="202">
        <f t="shared" si="80"/>
        <v>0.02175177372</v>
      </c>
      <c r="AV150" s="202">
        <f t="shared" si="80"/>
        <v>0.02109922051</v>
      </c>
      <c r="AW150" s="202">
        <f t="shared" si="80"/>
        <v>0.02046624389</v>
      </c>
      <c r="AX150" s="202">
        <f t="shared" si="80"/>
        <v>0.01985225657</v>
      </c>
      <c r="AY150" s="202">
        <f t="shared" si="80"/>
        <v>0.01925668888</v>
      </c>
      <c r="AZ150" s="202">
        <f t="shared" si="80"/>
        <v>0.01867898821</v>
      </c>
      <c r="BA150" s="202">
        <f t="shared" si="80"/>
        <v>0.01811861856</v>
      </c>
      <c r="BB150" s="202">
        <f t="shared" si="80"/>
        <v>0.01757506001</v>
      </c>
      <c r="BC150" s="202">
        <f t="shared" si="80"/>
        <v>0.01704780821</v>
      </c>
      <c r="BD150" s="202">
        <f t="shared" si="80"/>
        <v>0.01653637396</v>
      </c>
      <c r="BE150" s="202">
        <f t="shared" si="80"/>
        <v>0.01604028274</v>
      </c>
      <c r="BF150" s="202">
        <f t="shared" si="80"/>
        <v>0.01555907426</v>
      </c>
      <c r="BG150" s="202">
        <f t="shared" si="80"/>
        <v>0.01509230203</v>
      </c>
      <c r="BH150" s="202">
        <f t="shared" si="80"/>
        <v>0.01463953297</v>
      </c>
      <c r="BI150" s="202">
        <f t="shared" si="80"/>
        <v>0.01420034698</v>
      </c>
      <c r="BJ150" s="202">
        <f t="shared" si="80"/>
        <v>0.01377433657</v>
      </c>
      <c r="BK150" s="202">
        <f t="shared" si="80"/>
        <v>0.01336110648</v>
      </c>
      <c r="BL150" s="202">
        <f t="shared" si="80"/>
        <v>0.01296027328</v>
      </c>
      <c r="BM150" s="202">
        <f t="shared" si="80"/>
        <v>0.01257146508</v>
      </c>
      <c r="BN150" s="202">
        <f t="shared" si="80"/>
        <v>0.01219432113</v>
      </c>
      <c r="BO150" s="202">
        <f t="shared" si="80"/>
        <v>0.0118284915</v>
      </c>
      <c r="BP150" s="202">
        <f t="shared" si="80"/>
        <v>0.01147363675</v>
      </c>
      <c r="BQ150" s="202">
        <f t="shared" si="80"/>
        <v>0.01112942765</v>
      </c>
      <c r="BR150" s="202">
        <f t="shared" si="80"/>
        <v>0.01079554482</v>
      </c>
      <c r="BS150" s="202">
        <f t="shared" si="80"/>
        <v>0.01047167847</v>
      </c>
      <c r="BT150" s="202">
        <f t="shared" si="80"/>
        <v>0.01015752812</v>
      </c>
      <c r="BU150" s="202">
        <f t="shared" si="80"/>
        <v>0.009852802277</v>
      </c>
      <c r="BV150" s="202">
        <f t="shared" si="80"/>
        <v>0.009557218208</v>
      </c>
      <c r="BW150" s="202">
        <f t="shared" si="80"/>
        <v>0.009270501662</v>
      </c>
      <c r="BX150" s="202">
        <f t="shared" si="80"/>
        <v>0.008992386612</v>
      </c>
      <c r="BY150" s="202">
        <f t="shared" si="80"/>
        <v>0.008722615014</v>
      </c>
      <c r="BZ150" s="202">
        <f t="shared" si="80"/>
        <v>0.008460936563</v>
      </c>
      <c r="CA150" s="202">
        <f t="shared" si="80"/>
        <v>0.008207108467</v>
      </c>
      <c r="CB150" s="202">
        <f t="shared" si="80"/>
        <v>0.007960895213</v>
      </c>
      <c r="CC150" s="202">
        <f t="shared" si="80"/>
        <v>0.007722068356</v>
      </c>
      <c r="CD150" s="202">
        <f t="shared" si="80"/>
        <v>0.007490406306</v>
      </c>
      <c r="CE150" s="202">
        <f t="shared" si="80"/>
        <v>0.007265694116</v>
      </c>
      <c r="CF150" s="202">
        <f t="shared" si="80"/>
        <v>0.007047723293</v>
      </c>
      <c r="CG150" s="202">
        <f t="shared" si="80"/>
        <v>0.006836291594</v>
      </c>
      <c r="CH150" s="202">
        <f t="shared" si="80"/>
        <v>0.006631202846</v>
      </c>
      <c r="CI150" s="202"/>
    </row>
    <row r="151" ht="15.75" customHeight="1" outlineLevel="1">
      <c r="A151" s="1" t="s">
        <v>678</v>
      </c>
      <c r="B151" s="447">
        <f>B146</f>
        <v>500</v>
      </c>
      <c r="C151" s="448">
        <f t="shared" ref="C151:BJ151" si="81">C148/$B$151</f>
        <v>64.29</v>
      </c>
      <c r="D151" s="448">
        <f t="shared" si="81"/>
        <v>40.046</v>
      </c>
      <c r="E151" s="448">
        <f t="shared" si="81"/>
        <v>77.35</v>
      </c>
      <c r="F151" s="448">
        <f t="shared" si="81"/>
        <v>76.764</v>
      </c>
      <c r="G151" s="448">
        <f t="shared" si="81"/>
        <v>50.154</v>
      </c>
      <c r="H151" s="448">
        <f t="shared" si="81"/>
        <v>62.538</v>
      </c>
      <c r="I151" s="448">
        <f t="shared" si="81"/>
        <v>53.386</v>
      </c>
      <c r="J151" s="448">
        <f t="shared" si="81"/>
        <v>71.836</v>
      </c>
      <c r="K151" s="448">
        <f t="shared" si="81"/>
        <v>77.976</v>
      </c>
      <c r="L151" s="448">
        <f t="shared" si="81"/>
        <v>52.492</v>
      </c>
      <c r="M151" s="448">
        <f t="shared" si="81"/>
        <v>50.406</v>
      </c>
      <c r="N151" s="448">
        <f t="shared" si="81"/>
        <v>57.998</v>
      </c>
      <c r="O151" s="448">
        <f t="shared" si="81"/>
        <v>47.352</v>
      </c>
      <c r="P151" s="448">
        <f t="shared" si="81"/>
        <v>52.826</v>
      </c>
      <c r="Q151" s="448">
        <f t="shared" si="81"/>
        <v>65.552</v>
      </c>
      <c r="R151" s="448">
        <f t="shared" si="81"/>
        <v>43.18</v>
      </c>
      <c r="S151" s="448">
        <f t="shared" si="81"/>
        <v>67.628</v>
      </c>
      <c r="T151" s="448">
        <f t="shared" si="81"/>
        <v>68.772</v>
      </c>
      <c r="U151" s="448">
        <f t="shared" si="81"/>
        <v>44.498</v>
      </c>
      <c r="V151" s="448">
        <f t="shared" si="81"/>
        <v>69.94</v>
      </c>
      <c r="W151" s="161">
        <f t="shared" si="81"/>
        <v>69.022</v>
      </c>
      <c r="X151" s="161">
        <f t="shared" si="81"/>
        <v>50.74</v>
      </c>
      <c r="Y151" s="161">
        <f t="shared" si="81"/>
        <v>51.784</v>
      </c>
      <c r="Z151" s="448">
        <f t="shared" si="81"/>
        <v>81.18852053</v>
      </c>
      <c r="AA151" s="448">
        <f t="shared" si="81"/>
        <v>111.9776431</v>
      </c>
      <c r="AB151" s="448">
        <f t="shared" si="81"/>
        <v>139.0933339</v>
      </c>
      <c r="AC151" s="448">
        <f t="shared" si="81"/>
        <v>162.1473234</v>
      </c>
      <c r="AD151" s="448">
        <f t="shared" si="81"/>
        <v>182.4180778</v>
      </c>
      <c r="AE151" s="448">
        <f t="shared" si="81"/>
        <v>191.7049179</v>
      </c>
      <c r="AF151" s="448">
        <f t="shared" si="81"/>
        <v>199.7156695</v>
      </c>
      <c r="AG151" s="448">
        <f t="shared" si="81"/>
        <v>203.6131836</v>
      </c>
      <c r="AH151" s="448">
        <f t="shared" si="81"/>
        <v>206.5783732</v>
      </c>
      <c r="AI151" s="448">
        <f t="shared" si="81"/>
        <v>211.4281273</v>
      </c>
      <c r="AJ151" s="448">
        <f t="shared" si="81"/>
        <v>217.6439533</v>
      </c>
      <c r="AK151" s="448">
        <f t="shared" si="81"/>
        <v>222.6948497</v>
      </c>
      <c r="AL151" s="448">
        <f t="shared" si="81"/>
        <v>227.0469713</v>
      </c>
      <c r="AM151" s="448">
        <f t="shared" si="81"/>
        <v>228.6236885</v>
      </c>
      <c r="AN151" s="448">
        <f t="shared" si="81"/>
        <v>231.94333</v>
      </c>
      <c r="AO151" s="448">
        <f t="shared" si="81"/>
        <v>237.0497728</v>
      </c>
      <c r="AP151" s="448">
        <f t="shared" si="81"/>
        <v>241.2477891</v>
      </c>
      <c r="AQ151" s="448">
        <f t="shared" si="81"/>
        <v>244.769936</v>
      </c>
      <c r="AR151" s="448">
        <f t="shared" si="81"/>
        <v>248.3245532</v>
      </c>
      <c r="AS151" s="448">
        <f t="shared" si="81"/>
        <v>251.3742761</v>
      </c>
      <c r="AT151" s="448">
        <f t="shared" si="81"/>
        <v>254.0496538</v>
      </c>
      <c r="AU151" s="448">
        <f t="shared" si="81"/>
        <v>256.4482308</v>
      </c>
      <c r="AV151" s="448">
        <f t="shared" si="81"/>
        <v>258.6428978</v>
      </c>
      <c r="AW151" s="448">
        <f t="shared" si="81"/>
        <v>260.6881292</v>
      </c>
      <c r="AX151" s="448">
        <f t="shared" si="81"/>
        <v>262.6246428</v>
      </c>
      <c r="AY151" s="448">
        <f t="shared" si="81"/>
        <v>266.1592735</v>
      </c>
      <c r="AZ151" s="448">
        <f t="shared" si="81"/>
        <v>269.5059757</v>
      </c>
      <c r="BA151" s="448">
        <f t="shared" si="81"/>
        <v>272.4287012</v>
      </c>
      <c r="BB151" s="448">
        <f t="shared" si="81"/>
        <v>275.0376637</v>
      </c>
      <c r="BC151" s="448">
        <f t="shared" si="81"/>
        <v>277.4152175</v>
      </c>
      <c r="BD151" s="448">
        <f t="shared" si="81"/>
        <v>279.6229062</v>
      </c>
      <c r="BE151" s="448">
        <f t="shared" si="81"/>
        <v>281.7067281</v>
      </c>
      <c r="BF151" s="448">
        <f t="shared" si="81"/>
        <v>283.7010696</v>
      </c>
      <c r="BG151" s="448">
        <f t="shared" si="81"/>
        <v>285.6316428</v>
      </c>
      <c r="BH151" s="448">
        <f t="shared" si="81"/>
        <v>287.517681</v>
      </c>
      <c r="BI151" s="448">
        <f t="shared" si="81"/>
        <v>289.3735774</v>
      </c>
      <c r="BJ151" s="448">
        <f t="shared" si="81"/>
        <v>291.2101105</v>
      </c>
      <c r="BK151" s="448">
        <f t="shared" ref="BK151:CH151" si="82">BK148/$B$152</f>
        <v>2690.674339</v>
      </c>
      <c r="BL151" s="448">
        <f t="shared" si="82"/>
        <v>2723.204451</v>
      </c>
      <c r="BM151" s="448">
        <f t="shared" si="82"/>
        <v>2742.753393</v>
      </c>
      <c r="BN151" s="448">
        <f t="shared" si="82"/>
        <v>2761.88518</v>
      </c>
      <c r="BO151" s="448">
        <f t="shared" si="82"/>
        <v>2780.7482</v>
      </c>
      <c r="BP151" s="448">
        <f t="shared" si="82"/>
        <v>2799.454027</v>
      </c>
      <c r="BQ151" s="448">
        <f t="shared" si="82"/>
        <v>2818.086754</v>
      </c>
      <c r="BR151" s="448">
        <f t="shared" si="82"/>
        <v>2836.709964</v>
      </c>
      <c r="BS151" s="448">
        <f t="shared" si="82"/>
        <v>2855.371944</v>
      </c>
      <c r="BT151" s="448">
        <f t="shared" si="82"/>
        <v>2874.109567</v>
      </c>
      <c r="BU151" s="448">
        <f t="shared" si="82"/>
        <v>2892.951208</v>
      </c>
      <c r="BV151" s="448">
        <f t="shared" si="82"/>
        <v>2911.918912</v>
      </c>
      <c r="BW151" s="448">
        <f t="shared" si="82"/>
        <v>2933.04151</v>
      </c>
      <c r="BX151" s="448">
        <f t="shared" si="82"/>
        <v>2887.6474</v>
      </c>
      <c r="BY151" s="448">
        <f t="shared" si="82"/>
        <v>2847.490092</v>
      </c>
      <c r="BZ151" s="448">
        <f t="shared" si="82"/>
        <v>2820.862502</v>
      </c>
      <c r="CA151" s="448">
        <f t="shared" si="82"/>
        <v>2804.382805</v>
      </c>
      <c r="CB151" s="448">
        <f t="shared" si="82"/>
        <v>2795.524619</v>
      </c>
      <c r="CC151" s="448">
        <f t="shared" si="82"/>
        <v>2792.400592</v>
      </c>
      <c r="CD151" s="448">
        <f t="shared" si="82"/>
        <v>2793.60074</v>
      </c>
      <c r="CE151" s="448">
        <f t="shared" si="82"/>
        <v>2798.071681</v>
      </c>
      <c r="CF151" s="448">
        <f t="shared" si="82"/>
        <v>2805.02643</v>
      </c>
      <c r="CG151" s="448">
        <f t="shared" si="82"/>
        <v>2813.877009</v>
      </c>
      <c r="CH151" s="448">
        <f t="shared" si="82"/>
        <v>2824.18411</v>
      </c>
      <c r="CI151" s="448"/>
    </row>
    <row r="152" ht="15.75" customHeight="1" outlineLevel="1">
      <c r="A152" s="449" t="s">
        <v>687</v>
      </c>
      <c r="B152" s="454">
        <v>55.0</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row>
    <row r="153" ht="15.75" customHeight="1" outlineLevel="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row>
    <row r="154" ht="15.75" customHeight="1">
      <c r="A154" s="1"/>
      <c r="B154" s="1"/>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c r="AI154" s="117"/>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7"/>
      <c r="BO154" s="117"/>
      <c r="BP154" s="117"/>
      <c r="BQ154" s="117"/>
      <c r="BR154" s="117"/>
      <c r="BS154" s="117"/>
      <c r="BT154" s="117"/>
      <c r="BU154" s="117"/>
      <c r="BV154" s="117"/>
      <c r="BW154" s="117"/>
      <c r="BX154" s="117"/>
      <c r="BY154" s="117"/>
      <c r="BZ154" s="117"/>
      <c r="CA154" s="117"/>
      <c r="CB154" s="117"/>
      <c r="CC154" s="117"/>
      <c r="CD154" s="117"/>
      <c r="CE154" s="117"/>
      <c r="CF154" s="117"/>
      <c r="CG154" s="117"/>
      <c r="CH154" s="117"/>
      <c r="CI154" s="117"/>
    </row>
    <row r="155" ht="15.75" customHeight="1">
      <c r="A155" s="1" t="s">
        <v>688</v>
      </c>
      <c r="B155" s="1"/>
      <c r="C155" s="453">
        <f t="shared" ref="C155:CH155" si="83">SUM(C143,C148)</f>
        <v>32145</v>
      </c>
      <c r="D155" s="453">
        <f t="shared" si="83"/>
        <v>20023</v>
      </c>
      <c r="E155" s="453">
        <f t="shared" si="83"/>
        <v>38675</v>
      </c>
      <c r="F155" s="453">
        <f t="shared" si="83"/>
        <v>38382</v>
      </c>
      <c r="G155" s="453">
        <f t="shared" si="83"/>
        <v>25077</v>
      </c>
      <c r="H155" s="453">
        <f t="shared" si="83"/>
        <v>31269</v>
      </c>
      <c r="I155" s="453">
        <f t="shared" si="83"/>
        <v>26693</v>
      </c>
      <c r="J155" s="453">
        <f t="shared" si="83"/>
        <v>35918</v>
      </c>
      <c r="K155" s="453">
        <f t="shared" si="83"/>
        <v>38988</v>
      </c>
      <c r="L155" s="453">
        <f t="shared" si="83"/>
        <v>26246</v>
      </c>
      <c r="M155" s="453">
        <f t="shared" si="83"/>
        <v>25203</v>
      </c>
      <c r="N155" s="453">
        <f t="shared" si="83"/>
        <v>174623</v>
      </c>
      <c r="O155" s="453">
        <f t="shared" si="83"/>
        <v>183152</v>
      </c>
      <c r="P155" s="453">
        <f t="shared" si="83"/>
        <v>164354</v>
      </c>
      <c r="Q155" s="453">
        <f t="shared" si="83"/>
        <v>220307</v>
      </c>
      <c r="R155" s="453">
        <f t="shared" si="83"/>
        <v>239857</v>
      </c>
      <c r="S155" s="453">
        <f t="shared" si="83"/>
        <v>228761</v>
      </c>
      <c r="T155" s="453">
        <f t="shared" si="83"/>
        <v>182009</v>
      </c>
      <c r="U155" s="453">
        <f t="shared" si="83"/>
        <v>186834</v>
      </c>
      <c r="V155" s="453">
        <f t="shared" si="83"/>
        <v>265471</v>
      </c>
      <c r="W155" s="453">
        <f t="shared" si="83"/>
        <v>256373</v>
      </c>
      <c r="X155" s="453">
        <f t="shared" si="83"/>
        <v>229020</v>
      </c>
      <c r="Y155" s="453">
        <f t="shared" si="83"/>
        <v>222586</v>
      </c>
      <c r="Z155" s="303">
        <f t="shared" si="83"/>
        <v>237288.2603</v>
      </c>
      <c r="AA155" s="303">
        <f t="shared" si="83"/>
        <v>254182.8216</v>
      </c>
      <c r="AB155" s="303">
        <f t="shared" si="83"/>
        <v>269240.6669</v>
      </c>
      <c r="AC155" s="303">
        <f t="shared" si="83"/>
        <v>282267.6617</v>
      </c>
      <c r="AD155" s="303">
        <f t="shared" si="83"/>
        <v>293903.0389</v>
      </c>
      <c r="AE155" s="303">
        <f t="shared" si="83"/>
        <v>300046.4589</v>
      </c>
      <c r="AF155" s="303">
        <f t="shared" si="83"/>
        <v>305551.8348</v>
      </c>
      <c r="AG155" s="303">
        <f t="shared" si="83"/>
        <v>309000.5918</v>
      </c>
      <c r="AH155" s="303">
        <f t="shared" si="83"/>
        <v>311983.1866</v>
      </c>
      <c r="AI155" s="303">
        <f t="shared" si="83"/>
        <v>315908.0636</v>
      </c>
      <c r="AJ155" s="303">
        <f t="shared" si="83"/>
        <v>320515.9767</v>
      </c>
      <c r="AK155" s="303">
        <f t="shared" si="83"/>
        <v>324541.4248</v>
      </c>
      <c r="AL155" s="303">
        <f t="shared" si="83"/>
        <v>328217.4857</v>
      </c>
      <c r="AM155" s="303">
        <f t="shared" si="83"/>
        <v>330505.8443</v>
      </c>
      <c r="AN155" s="303">
        <f t="shared" si="83"/>
        <v>333665.665</v>
      </c>
      <c r="AO155" s="303">
        <f t="shared" si="83"/>
        <v>337718.8864</v>
      </c>
      <c r="AP155" s="303">
        <f t="shared" si="83"/>
        <v>341317.8945</v>
      </c>
      <c r="AQ155" s="303">
        <f t="shared" si="83"/>
        <v>344578.968</v>
      </c>
      <c r="AR155" s="303">
        <f t="shared" si="83"/>
        <v>347856.2766</v>
      </c>
      <c r="AS155" s="303">
        <f t="shared" si="83"/>
        <v>350881.1381</v>
      </c>
      <c r="AT155" s="303">
        <f t="shared" si="83"/>
        <v>353718.8269</v>
      </c>
      <c r="AU155" s="303">
        <f t="shared" si="83"/>
        <v>356418.1154</v>
      </c>
      <c r="AV155" s="303">
        <f t="shared" si="83"/>
        <v>359015.4489</v>
      </c>
      <c r="AW155" s="303">
        <f t="shared" si="83"/>
        <v>361538.0646</v>
      </c>
      <c r="AX155" s="303">
        <f t="shared" si="83"/>
        <v>364006.3214</v>
      </c>
      <c r="AY155" s="303">
        <f t="shared" si="83"/>
        <v>367273.6368</v>
      </c>
      <c r="AZ155" s="303">
        <f t="shared" si="83"/>
        <v>370446.9878</v>
      </c>
      <c r="BA155" s="303">
        <f t="shared" si="83"/>
        <v>373408.3506</v>
      </c>
      <c r="BB155" s="303">
        <f t="shared" si="83"/>
        <v>376212.8319</v>
      </c>
      <c r="BC155" s="303">
        <f t="shared" si="83"/>
        <v>378901.6088</v>
      </c>
      <c r="BD155" s="303">
        <f t="shared" si="83"/>
        <v>381505.4531</v>
      </c>
      <c r="BE155" s="303">
        <f t="shared" si="83"/>
        <v>384047.3641</v>
      </c>
      <c r="BF155" s="303">
        <f t="shared" si="83"/>
        <v>386544.5348</v>
      </c>
      <c r="BG155" s="303">
        <f t="shared" si="83"/>
        <v>389009.8214</v>
      </c>
      <c r="BH155" s="303">
        <f t="shared" si="83"/>
        <v>391452.8405</v>
      </c>
      <c r="BI155" s="303">
        <f t="shared" si="83"/>
        <v>393880.7887</v>
      </c>
      <c r="BJ155" s="303">
        <f t="shared" si="83"/>
        <v>396299.0552</v>
      </c>
      <c r="BK155" s="303">
        <f t="shared" si="83"/>
        <v>400181.0886</v>
      </c>
      <c r="BL155" s="303">
        <f t="shared" si="83"/>
        <v>403970.2448</v>
      </c>
      <c r="BM155" s="303">
        <f t="shared" si="83"/>
        <v>407045.4366</v>
      </c>
      <c r="BN155" s="303">
        <f t="shared" si="83"/>
        <v>410097.6849</v>
      </c>
      <c r="BO155" s="303">
        <f t="shared" si="83"/>
        <v>413135.151</v>
      </c>
      <c r="BP155" s="303">
        <f t="shared" si="83"/>
        <v>416163.9715</v>
      </c>
      <c r="BQ155" s="303">
        <f t="shared" si="83"/>
        <v>419188.7715</v>
      </c>
      <c r="BR155" s="303">
        <f t="shared" si="83"/>
        <v>422213.048</v>
      </c>
      <c r="BS155" s="303">
        <f t="shared" si="83"/>
        <v>425239.4569</v>
      </c>
      <c r="BT155" s="303">
        <f t="shared" si="83"/>
        <v>428270.0262</v>
      </c>
      <c r="BU155" s="303">
        <f t="shared" si="83"/>
        <v>431306.3164</v>
      </c>
      <c r="BV155" s="303">
        <f t="shared" si="83"/>
        <v>434349.5402</v>
      </c>
      <c r="BW155" s="303">
        <f t="shared" si="83"/>
        <v>437511.2831</v>
      </c>
      <c r="BX155" s="303">
        <f t="shared" si="83"/>
        <v>437014.607</v>
      </c>
      <c r="BY155" s="303">
        <f t="shared" si="83"/>
        <v>436805.9551</v>
      </c>
      <c r="BZ155" s="303">
        <f t="shared" si="83"/>
        <v>437341.4376</v>
      </c>
      <c r="CA155" s="303">
        <f t="shared" si="83"/>
        <v>438435.0543</v>
      </c>
      <c r="CB155" s="303">
        <f t="shared" si="83"/>
        <v>439947.854</v>
      </c>
      <c r="CC155" s="303">
        <f t="shared" si="83"/>
        <v>441776.0326</v>
      </c>
      <c r="CD155" s="303">
        <f t="shared" si="83"/>
        <v>443842.0407</v>
      </c>
      <c r="CE155" s="303">
        <f t="shared" si="83"/>
        <v>446087.9425</v>
      </c>
      <c r="CF155" s="303">
        <f t="shared" si="83"/>
        <v>448470.4537</v>
      </c>
      <c r="CG155" s="303">
        <f t="shared" si="83"/>
        <v>450957.2355</v>
      </c>
      <c r="CH155" s="303">
        <f t="shared" si="83"/>
        <v>453524.1261</v>
      </c>
      <c r="CI155" s="303"/>
    </row>
    <row r="156" ht="15.75" customHeight="1">
      <c r="A156" s="1" t="s">
        <v>325</v>
      </c>
      <c r="B156" s="1"/>
      <c r="C156" s="1"/>
      <c r="D156" s="387">
        <f t="shared" ref="D156:CH156" si="84">D155-C155</f>
        <v>-12122</v>
      </c>
      <c r="E156" s="387">
        <f t="shared" si="84"/>
        <v>18652</v>
      </c>
      <c r="F156" s="387">
        <f t="shared" si="84"/>
        <v>-293</v>
      </c>
      <c r="G156" s="387">
        <f t="shared" si="84"/>
        <v>-13305</v>
      </c>
      <c r="H156" s="387">
        <f t="shared" si="84"/>
        <v>6192</v>
      </c>
      <c r="I156" s="387">
        <f t="shared" si="84"/>
        <v>-4576</v>
      </c>
      <c r="J156" s="387">
        <f t="shared" si="84"/>
        <v>9225</v>
      </c>
      <c r="K156" s="387">
        <f t="shared" si="84"/>
        <v>3070</v>
      </c>
      <c r="L156" s="387">
        <f t="shared" si="84"/>
        <v>-12742</v>
      </c>
      <c r="M156" s="387">
        <f t="shared" si="84"/>
        <v>-1043</v>
      </c>
      <c r="N156" s="387">
        <f t="shared" si="84"/>
        <v>149420</v>
      </c>
      <c r="O156" s="387">
        <f t="shared" si="84"/>
        <v>8529</v>
      </c>
      <c r="P156" s="387">
        <f t="shared" si="84"/>
        <v>-18798</v>
      </c>
      <c r="Q156" s="387">
        <f t="shared" si="84"/>
        <v>55953</v>
      </c>
      <c r="R156" s="387">
        <f t="shared" si="84"/>
        <v>19550</v>
      </c>
      <c r="S156" s="387">
        <f t="shared" si="84"/>
        <v>-11096</v>
      </c>
      <c r="T156" s="387">
        <f t="shared" si="84"/>
        <v>-46752</v>
      </c>
      <c r="U156" s="387">
        <f t="shared" si="84"/>
        <v>4825</v>
      </c>
      <c r="V156" s="387">
        <f t="shared" si="84"/>
        <v>78637</v>
      </c>
      <c r="W156" s="387">
        <f t="shared" si="84"/>
        <v>-9098</v>
      </c>
      <c r="X156" s="387">
        <f t="shared" si="84"/>
        <v>-27353</v>
      </c>
      <c r="Y156" s="387">
        <f t="shared" si="84"/>
        <v>-6434</v>
      </c>
      <c r="Z156" s="131">
        <f t="shared" si="84"/>
        <v>14702.26026</v>
      </c>
      <c r="AA156" s="131">
        <f t="shared" si="84"/>
        <v>16894.56129</v>
      </c>
      <c r="AB156" s="131">
        <f t="shared" si="84"/>
        <v>15057.84539</v>
      </c>
      <c r="AC156" s="131">
        <f t="shared" si="84"/>
        <v>13026.99476</v>
      </c>
      <c r="AD156" s="131">
        <f t="shared" si="84"/>
        <v>11635.37722</v>
      </c>
      <c r="AE156" s="131">
        <f t="shared" si="84"/>
        <v>6143.420009</v>
      </c>
      <c r="AF156" s="131">
        <f t="shared" si="84"/>
        <v>5505.37583</v>
      </c>
      <c r="AG156" s="131">
        <f t="shared" si="84"/>
        <v>3448.757036</v>
      </c>
      <c r="AH156" s="131">
        <f t="shared" si="84"/>
        <v>2982.594796</v>
      </c>
      <c r="AI156" s="131">
        <f t="shared" si="84"/>
        <v>3924.877051</v>
      </c>
      <c r="AJ156" s="131">
        <f t="shared" si="84"/>
        <v>4607.913027</v>
      </c>
      <c r="AK156" s="131">
        <f t="shared" si="84"/>
        <v>4025.448177</v>
      </c>
      <c r="AL156" s="131">
        <f t="shared" si="84"/>
        <v>3676.060819</v>
      </c>
      <c r="AM156" s="131">
        <f t="shared" si="84"/>
        <v>2288.358593</v>
      </c>
      <c r="AN156" s="131">
        <f t="shared" si="84"/>
        <v>3159.820759</v>
      </c>
      <c r="AO156" s="131">
        <f t="shared" si="84"/>
        <v>4053.221404</v>
      </c>
      <c r="AP156" s="131">
        <f t="shared" si="84"/>
        <v>3599.008114</v>
      </c>
      <c r="AQ156" s="131">
        <f t="shared" si="84"/>
        <v>3261.073443</v>
      </c>
      <c r="AR156" s="131">
        <f t="shared" si="84"/>
        <v>3277.308616</v>
      </c>
      <c r="AS156" s="131">
        <f t="shared" si="84"/>
        <v>3024.861482</v>
      </c>
      <c r="AT156" s="131">
        <f t="shared" si="84"/>
        <v>2837.688824</v>
      </c>
      <c r="AU156" s="131">
        <f t="shared" si="84"/>
        <v>2699.288488</v>
      </c>
      <c r="AV156" s="131">
        <f t="shared" si="84"/>
        <v>2597.333494</v>
      </c>
      <c r="AW156" s="131">
        <f t="shared" si="84"/>
        <v>2522.615716</v>
      </c>
      <c r="AX156" s="131">
        <f t="shared" si="84"/>
        <v>2468.256817</v>
      </c>
      <c r="AY156" s="131">
        <f t="shared" si="84"/>
        <v>3267.315337</v>
      </c>
      <c r="AZ156" s="131">
        <f t="shared" si="84"/>
        <v>3173.351088</v>
      </c>
      <c r="BA156" s="131">
        <f t="shared" si="84"/>
        <v>2961.362778</v>
      </c>
      <c r="BB156" s="131">
        <f t="shared" si="84"/>
        <v>2804.481256</v>
      </c>
      <c r="BC156" s="131">
        <f t="shared" si="84"/>
        <v>2688.776881</v>
      </c>
      <c r="BD156" s="131">
        <f t="shared" si="84"/>
        <v>2603.844335</v>
      </c>
      <c r="BE156" s="131">
        <f t="shared" si="84"/>
        <v>2541.910966</v>
      </c>
      <c r="BF156" s="131">
        <f t="shared" si="84"/>
        <v>2497.17073</v>
      </c>
      <c r="BG156" s="131">
        <f t="shared" si="84"/>
        <v>2465.286636</v>
      </c>
      <c r="BH156" s="131">
        <f t="shared" si="84"/>
        <v>2443.019081</v>
      </c>
      <c r="BI156" s="131">
        <f t="shared" si="84"/>
        <v>2427.94821</v>
      </c>
      <c r="BJ156" s="131">
        <f t="shared" si="84"/>
        <v>2418.266521</v>
      </c>
      <c r="BK156" s="131">
        <f t="shared" si="84"/>
        <v>3882.033399</v>
      </c>
      <c r="BL156" s="131">
        <f t="shared" si="84"/>
        <v>3789.156189</v>
      </c>
      <c r="BM156" s="131">
        <f t="shared" si="84"/>
        <v>3075.191786</v>
      </c>
      <c r="BN156" s="131">
        <f t="shared" si="84"/>
        <v>3052.24831</v>
      </c>
      <c r="BO156" s="131">
        <f t="shared" si="84"/>
        <v>3037.466109</v>
      </c>
      <c r="BP156" s="131">
        <f t="shared" si="84"/>
        <v>3028.82047</v>
      </c>
      <c r="BQ156" s="131">
        <f t="shared" si="84"/>
        <v>3024.799959</v>
      </c>
      <c r="BR156" s="131">
        <f t="shared" si="84"/>
        <v>3024.276592</v>
      </c>
      <c r="BS156" s="131">
        <f t="shared" si="84"/>
        <v>3026.408859</v>
      </c>
      <c r="BT156" s="131">
        <f t="shared" si="84"/>
        <v>3030.569272</v>
      </c>
      <c r="BU156" s="131">
        <f t="shared" si="84"/>
        <v>3036.290257</v>
      </c>
      <c r="BV156" s="131">
        <f t="shared" si="84"/>
        <v>3043.223729</v>
      </c>
      <c r="BW156" s="131">
        <f t="shared" si="84"/>
        <v>3161.742903</v>
      </c>
      <c r="BX156" s="131">
        <f t="shared" si="84"/>
        <v>-496.67607</v>
      </c>
      <c r="BY156" s="131">
        <f t="shared" si="84"/>
        <v>-208.6519248</v>
      </c>
      <c r="BZ156" s="131">
        <f t="shared" si="84"/>
        <v>535.4825592</v>
      </c>
      <c r="CA156" s="131">
        <f t="shared" si="84"/>
        <v>1093.616633</v>
      </c>
      <c r="CB156" s="131">
        <f t="shared" si="84"/>
        <v>1512.799756</v>
      </c>
      <c r="CC156" s="131">
        <f t="shared" si="84"/>
        <v>1828.178534</v>
      </c>
      <c r="CD156" s="131">
        <f t="shared" si="84"/>
        <v>2066.00813</v>
      </c>
      <c r="CE156" s="131">
        <f t="shared" si="84"/>
        <v>2245.901784</v>
      </c>
      <c r="CF156" s="131">
        <f t="shared" si="84"/>
        <v>2382.511208</v>
      </c>
      <c r="CG156" s="131">
        <f t="shared" si="84"/>
        <v>2486.781843</v>
      </c>
      <c r="CH156" s="131">
        <f t="shared" si="84"/>
        <v>2566.890532</v>
      </c>
      <c r="CI156" s="131"/>
    </row>
    <row r="157" ht="15.75" customHeight="1">
      <c r="A157" s="1" t="s">
        <v>51</v>
      </c>
      <c r="B157" s="1"/>
      <c r="C157" s="1"/>
      <c r="D157" s="425">
        <f t="shared" ref="D157:CH157" si="85">D155/C155-1</f>
        <v>-0.3771037486</v>
      </c>
      <c r="E157" s="425">
        <f t="shared" si="85"/>
        <v>0.9315287419</v>
      </c>
      <c r="F157" s="425">
        <f t="shared" si="85"/>
        <v>-0.007575953458</v>
      </c>
      <c r="G157" s="425">
        <f t="shared" si="85"/>
        <v>-0.3466468657</v>
      </c>
      <c r="H157" s="425">
        <f t="shared" si="85"/>
        <v>0.246919488</v>
      </c>
      <c r="I157" s="425">
        <f t="shared" si="85"/>
        <v>-0.1463430234</v>
      </c>
      <c r="J157" s="425">
        <f t="shared" si="85"/>
        <v>0.3455962237</v>
      </c>
      <c r="K157" s="425">
        <f t="shared" si="85"/>
        <v>0.08547246506</v>
      </c>
      <c r="L157" s="425">
        <f t="shared" si="85"/>
        <v>-0.3268185083</v>
      </c>
      <c r="M157" s="423">
        <f t="shared" si="85"/>
        <v>-0.03973938886</v>
      </c>
      <c r="N157" s="423">
        <f t="shared" si="85"/>
        <v>5.928659287</v>
      </c>
      <c r="O157" s="425">
        <f t="shared" si="85"/>
        <v>0.04884236326</v>
      </c>
      <c r="P157" s="423">
        <f t="shared" si="85"/>
        <v>-0.1026360619</v>
      </c>
      <c r="Q157" s="423">
        <f t="shared" si="85"/>
        <v>0.3404419728</v>
      </c>
      <c r="R157" s="423">
        <f t="shared" si="85"/>
        <v>0.088739804</v>
      </c>
      <c r="S157" s="423">
        <f t="shared" si="85"/>
        <v>-0.04626089712</v>
      </c>
      <c r="T157" s="423">
        <f t="shared" si="85"/>
        <v>-0.2043705002</v>
      </c>
      <c r="U157" s="423">
        <f t="shared" si="85"/>
        <v>0.02650967809</v>
      </c>
      <c r="V157" s="423">
        <f t="shared" si="85"/>
        <v>0.4208923429</v>
      </c>
      <c r="W157" s="423">
        <f t="shared" si="85"/>
        <v>-0.03427116333</v>
      </c>
      <c r="X157" s="423">
        <f t="shared" si="85"/>
        <v>-0.1066922024</v>
      </c>
      <c r="Y157" s="423">
        <f t="shared" si="85"/>
        <v>-0.02809361628</v>
      </c>
      <c r="Z157" s="202">
        <f t="shared" si="85"/>
        <v>0.06605204399</v>
      </c>
      <c r="AA157" s="202">
        <f t="shared" si="85"/>
        <v>0.07119847088</v>
      </c>
      <c r="AB157" s="202">
        <f t="shared" si="85"/>
        <v>0.05924021655</v>
      </c>
      <c r="AC157" s="202">
        <f t="shared" si="85"/>
        <v>0.04838420178</v>
      </c>
      <c r="AD157" s="202">
        <f t="shared" si="85"/>
        <v>0.0412210777</v>
      </c>
      <c r="AE157" s="202">
        <f t="shared" si="85"/>
        <v>0.02090288019</v>
      </c>
      <c r="AF157" s="202">
        <f t="shared" si="85"/>
        <v>0.01834841127</v>
      </c>
      <c r="AG157" s="202">
        <f t="shared" si="85"/>
        <v>0.01128697865</v>
      </c>
      <c r="AH157" s="202">
        <f t="shared" si="85"/>
        <v>0.009652391858</v>
      </c>
      <c r="AI157" s="202">
        <f t="shared" si="85"/>
        <v>0.01258041209</v>
      </c>
      <c r="AJ157" s="202">
        <f t="shared" si="85"/>
        <v>0.01458624694</v>
      </c>
      <c r="AK157" s="202">
        <f t="shared" si="85"/>
        <v>0.01255927464</v>
      </c>
      <c r="AL157" s="202">
        <f t="shared" si="85"/>
        <v>0.01132693868</v>
      </c>
      <c r="AM157" s="202">
        <f t="shared" si="85"/>
        <v>0.006972080077</v>
      </c>
      <c r="AN157" s="202">
        <f t="shared" si="85"/>
        <v>0.009560559409</v>
      </c>
      <c r="AO157" s="202">
        <f t="shared" si="85"/>
        <v>0.01214755316</v>
      </c>
      <c r="AP157" s="202">
        <f t="shared" si="85"/>
        <v>0.01065681624</v>
      </c>
      <c r="AQ157" s="202">
        <f t="shared" si="85"/>
        <v>0.009554358253</v>
      </c>
      <c r="AR157" s="202">
        <f t="shared" si="85"/>
        <v>0.009511052389</v>
      </c>
      <c r="AS157" s="202">
        <f t="shared" si="85"/>
        <v>0.008695722015</v>
      </c>
      <c r="AT157" s="202">
        <f t="shared" si="85"/>
        <v>0.008087322219</v>
      </c>
      <c r="AU157" s="202">
        <f t="shared" si="85"/>
        <v>0.007631169966</v>
      </c>
      <c r="AV157" s="202">
        <f t="shared" si="85"/>
        <v>0.007287321777</v>
      </c>
      <c r="AW157" s="202">
        <f t="shared" si="85"/>
        <v>0.007026482354</v>
      </c>
      <c r="AX157" s="202">
        <f t="shared" si="85"/>
        <v>0.00682710082</v>
      </c>
      <c r="AY157" s="202">
        <f t="shared" si="85"/>
        <v>0.008975985153</v>
      </c>
      <c r="AZ157" s="202">
        <f t="shared" si="85"/>
        <v>0.008640290972</v>
      </c>
      <c r="BA157" s="202">
        <f t="shared" si="85"/>
        <v>0.007994025798</v>
      </c>
      <c r="BB157" s="202">
        <f t="shared" si="85"/>
        <v>0.007510494211</v>
      </c>
      <c r="BC157" s="202">
        <f t="shared" si="85"/>
        <v>0.007146956865</v>
      </c>
      <c r="BD157" s="202">
        <f t="shared" si="85"/>
        <v>0.006872085721</v>
      </c>
      <c r="BE157" s="202">
        <f t="shared" si="85"/>
        <v>0.006662843075</v>
      </c>
      <c r="BF157" s="202">
        <f t="shared" si="85"/>
        <v>0.006502246763</v>
      </c>
      <c r="BG157" s="202">
        <f t="shared" si="85"/>
        <v>0.006377755767</v>
      </c>
      <c r="BH157" s="202">
        <f t="shared" si="85"/>
        <v>0.006280096148</v>
      </c>
      <c r="BI157" s="202">
        <f t="shared" si="85"/>
        <v>0.00620240284</v>
      </c>
      <c r="BJ157" s="202">
        <f t="shared" si="85"/>
        <v>0.006139589922</v>
      </c>
      <c r="BK157" s="202">
        <f t="shared" si="85"/>
        <v>0.009795717017</v>
      </c>
      <c r="BL157" s="202">
        <f t="shared" si="85"/>
        <v>0.009468603832</v>
      </c>
      <c r="BM157" s="202">
        <f t="shared" si="85"/>
        <v>0.007612421521</v>
      </c>
      <c r="BN157" s="202">
        <f t="shared" si="85"/>
        <v>0.007498544475</v>
      </c>
      <c r="BO157" s="202">
        <f t="shared" si="85"/>
        <v>0.007406689237</v>
      </c>
      <c r="BP157" s="202">
        <f t="shared" si="85"/>
        <v>0.007331306626</v>
      </c>
      <c r="BQ157" s="202">
        <f t="shared" si="85"/>
        <v>0.007268288861</v>
      </c>
      <c r="BR157" s="202">
        <f t="shared" si="85"/>
        <v>0.007214593515</v>
      </c>
      <c r="BS157" s="202">
        <f t="shared" si="85"/>
        <v>0.007167966202</v>
      </c>
      <c r="BT157" s="202">
        <f t="shared" si="85"/>
        <v>0.007126735825</v>
      </c>
      <c r="BU157" s="202">
        <f t="shared" si="85"/>
        <v>0.00708966323</v>
      </c>
      <c r="BV157" s="202">
        <f t="shared" si="85"/>
        <v>0.007055829264</v>
      </c>
      <c r="BW157" s="202">
        <f t="shared" si="85"/>
        <v>0.007279259239</v>
      </c>
      <c r="BX157" s="202">
        <f t="shared" si="85"/>
        <v>-0.001135230311</v>
      </c>
      <c r="BY157" s="202">
        <f t="shared" si="85"/>
        <v>-0.0004774483998</v>
      </c>
      <c r="BZ157" s="202">
        <f t="shared" si="85"/>
        <v>0.001225904897</v>
      </c>
      <c r="CA157" s="202">
        <f t="shared" si="85"/>
        <v>0.00250060145</v>
      </c>
      <c r="CB157" s="202">
        <f t="shared" si="85"/>
        <v>0.003450453474</v>
      </c>
      <c r="CC157" s="202">
        <f t="shared" si="85"/>
        <v>0.004155443691</v>
      </c>
      <c r="CD157" s="202">
        <f t="shared" si="85"/>
        <v>0.004676596235</v>
      </c>
      <c r="CE157" s="202">
        <f t="shared" si="85"/>
        <v>0.005060137567</v>
      </c>
      <c r="CF157" s="202">
        <f t="shared" si="85"/>
        <v>0.00534090026</v>
      </c>
      <c r="CG157" s="202">
        <f t="shared" si="85"/>
        <v>0.005545029383</v>
      </c>
      <c r="CH157" s="202">
        <f t="shared" si="85"/>
        <v>0.005692093018</v>
      </c>
      <c r="CI157" s="202"/>
    </row>
    <row r="158" ht="15.75" customHeight="1">
      <c r="A158" s="1" t="s">
        <v>678</v>
      </c>
      <c r="B158" s="1"/>
      <c r="C158" s="448">
        <f t="shared" ref="C158:CH158" si="86">SUM(C151,C146)</f>
        <v>64.29</v>
      </c>
      <c r="D158" s="448">
        <f t="shared" si="86"/>
        <v>40.046</v>
      </c>
      <c r="E158" s="448">
        <f t="shared" si="86"/>
        <v>77.35</v>
      </c>
      <c r="F158" s="448">
        <f t="shared" si="86"/>
        <v>76.764</v>
      </c>
      <c r="G158" s="448">
        <f t="shared" si="86"/>
        <v>50.154</v>
      </c>
      <c r="H158" s="448">
        <f t="shared" si="86"/>
        <v>62.538</v>
      </c>
      <c r="I158" s="448">
        <f t="shared" si="86"/>
        <v>53.386</v>
      </c>
      <c r="J158" s="448">
        <f t="shared" si="86"/>
        <v>71.836</v>
      </c>
      <c r="K158" s="448">
        <f t="shared" si="86"/>
        <v>77.976</v>
      </c>
      <c r="L158" s="448">
        <f t="shared" si="86"/>
        <v>52.492</v>
      </c>
      <c r="M158" s="448">
        <f t="shared" si="86"/>
        <v>50.406</v>
      </c>
      <c r="N158" s="448">
        <f t="shared" si="86"/>
        <v>349.246</v>
      </c>
      <c r="O158" s="448">
        <f t="shared" si="86"/>
        <v>366.304</v>
      </c>
      <c r="P158" s="448">
        <f t="shared" si="86"/>
        <v>328.708</v>
      </c>
      <c r="Q158" s="448">
        <f t="shared" si="86"/>
        <v>440.614</v>
      </c>
      <c r="R158" s="448">
        <f t="shared" si="86"/>
        <v>479.714</v>
      </c>
      <c r="S158" s="448">
        <f t="shared" si="86"/>
        <v>457.522</v>
      </c>
      <c r="T158" s="448">
        <f t="shared" si="86"/>
        <v>364.018</v>
      </c>
      <c r="U158" s="448">
        <f t="shared" si="86"/>
        <v>373.668</v>
      </c>
      <c r="V158" s="448">
        <f t="shared" si="86"/>
        <v>530.942</v>
      </c>
      <c r="W158" s="448">
        <f t="shared" si="86"/>
        <v>512.746</v>
      </c>
      <c r="X158" s="448">
        <f t="shared" si="86"/>
        <v>458.04</v>
      </c>
      <c r="Y158" s="448">
        <f t="shared" si="86"/>
        <v>445.172</v>
      </c>
      <c r="Z158" s="448">
        <f t="shared" si="86"/>
        <v>474.5765205</v>
      </c>
      <c r="AA158" s="448">
        <f t="shared" si="86"/>
        <v>508.3656431</v>
      </c>
      <c r="AB158" s="448">
        <f t="shared" si="86"/>
        <v>538.4813339</v>
      </c>
      <c r="AC158" s="448">
        <f t="shared" si="86"/>
        <v>564.5353234</v>
      </c>
      <c r="AD158" s="448">
        <f t="shared" si="86"/>
        <v>587.8060778</v>
      </c>
      <c r="AE158" s="448">
        <f t="shared" si="86"/>
        <v>600.0929179</v>
      </c>
      <c r="AF158" s="448">
        <f t="shared" si="86"/>
        <v>611.1036695</v>
      </c>
      <c r="AG158" s="448">
        <f t="shared" si="86"/>
        <v>618.0011836</v>
      </c>
      <c r="AH158" s="448">
        <f t="shared" si="86"/>
        <v>623.9663732</v>
      </c>
      <c r="AI158" s="448">
        <f t="shared" si="86"/>
        <v>631.8161273</v>
      </c>
      <c r="AJ158" s="448">
        <f t="shared" si="86"/>
        <v>641.0319533</v>
      </c>
      <c r="AK158" s="448">
        <f t="shared" si="86"/>
        <v>649.0828497</v>
      </c>
      <c r="AL158" s="448">
        <f t="shared" si="86"/>
        <v>656.4349713</v>
      </c>
      <c r="AM158" s="448">
        <f t="shared" si="86"/>
        <v>661.0116885</v>
      </c>
      <c r="AN158" s="448">
        <f t="shared" si="86"/>
        <v>667.33133</v>
      </c>
      <c r="AO158" s="448">
        <f t="shared" si="86"/>
        <v>675.4377728</v>
      </c>
      <c r="AP158" s="448">
        <f t="shared" si="86"/>
        <v>682.6357891</v>
      </c>
      <c r="AQ158" s="448">
        <f t="shared" si="86"/>
        <v>689.157936</v>
      </c>
      <c r="AR158" s="448">
        <f t="shared" si="86"/>
        <v>695.7125532</v>
      </c>
      <c r="AS158" s="448">
        <f t="shared" si="86"/>
        <v>701.7622761</v>
      </c>
      <c r="AT158" s="448">
        <f t="shared" si="86"/>
        <v>707.4376538</v>
      </c>
      <c r="AU158" s="448">
        <f t="shared" si="86"/>
        <v>712.8362308</v>
      </c>
      <c r="AV158" s="448">
        <f t="shared" si="86"/>
        <v>718.0308978</v>
      </c>
      <c r="AW158" s="448">
        <f t="shared" si="86"/>
        <v>723.0761292</v>
      </c>
      <c r="AX158" s="448">
        <f t="shared" si="86"/>
        <v>728.0126428</v>
      </c>
      <c r="AY158" s="448">
        <f t="shared" si="86"/>
        <v>734.5472735</v>
      </c>
      <c r="AZ158" s="448">
        <f t="shared" si="86"/>
        <v>740.8939757</v>
      </c>
      <c r="BA158" s="448">
        <f t="shared" si="86"/>
        <v>746.8167012</v>
      </c>
      <c r="BB158" s="448">
        <f t="shared" si="86"/>
        <v>752.4256637</v>
      </c>
      <c r="BC158" s="448">
        <f t="shared" si="86"/>
        <v>757.8032175</v>
      </c>
      <c r="BD158" s="448">
        <f t="shared" si="86"/>
        <v>763.0109062</v>
      </c>
      <c r="BE158" s="448">
        <f t="shared" si="86"/>
        <v>768.0947281</v>
      </c>
      <c r="BF158" s="448">
        <f t="shared" si="86"/>
        <v>773.0890696</v>
      </c>
      <c r="BG158" s="448">
        <f t="shared" si="86"/>
        <v>778.0196428</v>
      </c>
      <c r="BH158" s="448">
        <f t="shared" si="86"/>
        <v>782.905681</v>
      </c>
      <c r="BI158" s="448">
        <f t="shared" si="86"/>
        <v>787.7615774</v>
      </c>
      <c r="BJ158" s="448">
        <f t="shared" si="86"/>
        <v>792.5981105</v>
      </c>
      <c r="BK158" s="448">
        <f t="shared" si="86"/>
        <v>3145.077942</v>
      </c>
      <c r="BL158" s="448">
        <f t="shared" si="86"/>
        <v>3181.211658</v>
      </c>
      <c r="BM158" s="448">
        <f t="shared" si="86"/>
        <v>3204.364204</v>
      </c>
      <c r="BN158" s="448">
        <f t="shared" si="86"/>
        <v>3227.099595</v>
      </c>
      <c r="BO158" s="448">
        <f t="shared" si="86"/>
        <v>3249.566218</v>
      </c>
      <c r="BP158" s="448">
        <f t="shared" si="86"/>
        <v>3271.875649</v>
      </c>
      <c r="BQ158" s="448">
        <f t="shared" si="86"/>
        <v>3294.111979</v>
      </c>
      <c r="BR158" s="448">
        <f t="shared" si="86"/>
        <v>3316.338793</v>
      </c>
      <c r="BS158" s="448">
        <f t="shared" si="86"/>
        <v>3338.604376</v>
      </c>
      <c r="BT158" s="448">
        <f t="shared" si="86"/>
        <v>3360.945603</v>
      </c>
      <c r="BU158" s="448">
        <f t="shared" si="86"/>
        <v>3383.390848</v>
      </c>
      <c r="BV158" s="448">
        <f t="shared" si="86"/>
        <v>3405.962155</v>
      </c>
      <c r="BW158" s="448">
        <f t="shared" si="86"/>
        <v>3430.688357</v>
      </c>
      <c r="BX158" s="448">
        <f t="shared" si="86"/>
        <v>3388.89785</v>
      </c>
      <c r="BY158" s="448">
        <f t="shared" si="86"/>
        <v>3352.344146</v>
      </c>
      <c r="BZ158" s="448">
        <f t="shared" si="86"/>
        <v>3329.32016</v>
      </c>
      <c r="CA158" s="448">
        <f t="shared" si="86"/>
        <v>3316.444066</v>
      </c>
      <c r="CB158" s="448">
        <f t="shared" si="86"/>
        <v>3311.189483</v>
      </c>
      <c r="CC158" s="448">
        <f t="shared" si="86"/>
        <v>3311.66906</v>
      </c>
      <c r="CD158" s="448">
        <f t="shared" si="86"/>
        <v>3316.472812</v>
      </c>
      <c r="CE158" s="448">
        <f t="shared" si="86"/>
        <v>3324.547357</v>
      </c>
      <c r="CF158" s="448">
        <f t="shared" si="86"/>
        <v>3335.10571</v>
      </c>
      <c r="CG158" s="448">
        <f t="shared" si="86"/>
        <v>3347.559892</v>
      </c>
      <c r="CH158" s="448">
        <f t="shared" si="86"/>
        <v>3361.470596</v>
      </c>
      <c r="CI158" s="448"/>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row>
    <row r="161" ht="15.75" customHeight="1">
      <c r="A161" s="232" t="s">
        <v>96</v>
      </c>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row>
    <row r="163" ht="15.75" customHeight="1" outlineLevel="1">
      <c r="A163" s="1" t="s">
        <v>673</v>
      </c>
      <c r="B163" s="1"/>
      <c r="C163" s="442">
        <f>Retention!C115</f>
        <v>50</v>
      </c>
      <c r="D163" s="442">
        <f>Retention!C115</f>
        <v>50</v>
      </c>
      <c r="E163" s="442">
        <f>Retention!D115</f>
        <v>51</v>
      </c>
      <c r="F163" s="442">
        <f>Retention!E115</f>
        <v>52</v>
      </c>
      <c r="G163" s="442">
        <f>Retention!F115</f>
        <v>53</v>
      </c>
      <c r="H163" s="442">
        <f>Retention!G115</f>
        <v>54</v>
      </c>
      <c r="I163" s="442">
        <f>Retention!H115</f>
        <v>55</v>
      </c>
      <c r="J163" s="442">
        <f>Retention!I115</f>
        <v>56</v>
      </c>
      <c r="K163" s="442">
        <f>Retention!J115</f>
        <v>57</v>
      </c>
      <c r="L163" s="442">
        <f>Retention!K115</f>
        <v>58</v>
      </c>
      <c r="M163" s="442">
        <f>Retention!L115</f>
        <v>59</v>
      </c>
      <c r="N163" s="442">
        <f>Retention!M115</f>
        <v>60</v>
      </c>
      <c r="O163" s="442">
        <f>Retention!N115</f>
        <v>61</v>
      </c>
      <c r="P163" s="442">
        <f>Retention!O115</f>
        <v>62</v>
      </c>
      <c r="Q163" s="442">
        <f>Retention!P115</f>
        <v>63</v>
      </c>
      <c r="R163" s="442">
        <f>Retention!Q115</f>
        <v>64</v>
      </c>
      <c r="S163" s="442">
        <f>Retention!R115</f>
        <v>65</v>
      </c>
      <c r="T163" s="442">
        <f>Retention!S115</f>
        <v>66</v>
      </c>
      <c r="U163" s="442">
        <f>Retention!T115</f>
        <v>67</v>
      </c>
      <c r="V163" s="442">
        <f>Retention!U115</f>
        <v>68</v>
      </c>
      <c r="W163" s="442">
        <f>Retention!V115</f>
        <v>69</v>
      </c>
      <c r="X163" s="442">
        <f>Retention!W115</f>
        <v>70</v>
      </c>
      <c r="Y163" s="442">
        <f>Retention!X115</f>
        <v>71</v>
      </c>
      <c r="Z163" s="442">
        <f>Retention!Y115</f>
        <v>72</v>
      </c>
      <c r="AA163" s="442">
        <f>Retention!Z115</f>
        <v>73</v>
      </c>
      <c r="AB163" s="442">
        <f>Retention!AA115</f>
        <v>40</v>
      </c>
      <c r="AC163" s="442">
        <f>Retention!AB115</f>
        <v>25</v>
      </c>
      <c r="AD163" s="442">
        <f>Retention!AC115</f>
        <v>17</v>
      </c>
      <c r="AE163" s="442">
        <f>Retention!AD115</f>
        <v>13</v>
      </c>
      <c r="AF163" s="442">
        <f>Retention!AE115</f>
        <v>11</v>
      </c>
      <c r="AG163" s="442">
        <f>Retention!AF115</f>
        <v>10</v>
      </c>
      <c r="AH163" s="442">
        <f>Retention!AG115</f>
        <v>10</v>
      </c>
      <c r="AI163" s="442">
        <f>Retention!AH115</f>
        <v>10</v>
      </c>
      <c r="AJ163" s="442">
        <f>Retention!AI115</f>
        <v>10</v>
      </c>
      <c r="AK163" s="442">
        <f>Retention!AJ115</f>
        <v>10</v>
      </c>
      <c r="AL163" s="442">
        <f>Retention!AK115</f>
        <v>10</v>
      </c>
      <c r="AM163" s="442">
        <f>Retention!AL115</f>
        <v>10</v>
      </c>
      <c r="AN163" s="442">
        <f>Retention!AM115</f>
        <v>10</v>
      </c>
      <c r="AO163" s="442">
        <f>Retention!AN115</f>
        <v>10</v>
      </c>
      <c r="AP163" s="442">
        <f>Retention!AO115</f>
        <v>10</v>
      </c>
      <c r="AQ163" s="442">
        <f>Retention!AP115</f>
        <v>10</v>
      </c>
      <c r="AR163" s="442">
        <f>Retention!AQ115</f>
        <v>10</v>
      </c>
      <c r="AS163" s="442">
        <f>Retention!AR115</f>
        <v>10</v>
      </c>
      <c r="AT163" s="442">
        <f>Retention!AS115</f>
        <v>10</v>
      </c>
      <c r="AU163" s="442">
        <f>Retention!AT115</f>
        <v>10</v>
      </c>
      <c r="AV163" s="442">
        <f>Retention!AU115</f>
        <v>10</v>
      </c>
      <c r="AW163" s="442">
        <f>Retention!AV115</f>
        <v>10</v>
      </c>
      <c r="AX163" s="442">
        <f>Retention!AW115</f>
        <v>10</v>
      </c>
      <c r="AY163" s="442">
        <f>Retention!AX115</f>
        <v>10</v>
      </c>
      <c r="AZ163" s="442">
        <f>Retention!AY115</f>
        <v>10</v>
      </c>
      <c r="BA163" s="442">
        <f>Retention!AZ115</f>
        <v>10</v>
      </c>
      <c r="BB163" s="442">
        <f>Retention!BA115</f>
        <v>10</v>
      </c>
      <c r="BC163" s="442">
        <f>Retention!BB115</f>
        <v>10</v>
      </c>
      <c r="BD163" s="442">
        <f>Retention!BC115</f>
        <v>10</v>
      </c>
      <c r="BE163" s="442">
        <f>Retention!BD115</f>
        <v>10</v>
      </c>
      <c r="BF163" s="442">
        <f>Retention!BE115</f>
        <v>10</v>
      </c>
      <c r="BG163" s="442">
        <f>Retention!BF115</f>
        <v>10</v>
      </c>
      <c r="BH163" s="442">
        <f>Retention!BG115</f>
        <v>10</v>
      </c>
      <c r="BI163" s="442">
        <f>Retention!BH115</f>
        <v>10</v>
      </c>
      <c r="BJ163" s="442">
        <f>Retention!BI115</f>
        <v>10</v>
      </c>
      <c r="BK163" s="442">
        <f>Retention!BJ115</f>
        <v>10</v>
      </c>
      <c r="BL163" s="442">
        <f>Retention!BK115</f>
        <v>10</v>
      </c>
      <c r="BM163" s="442">
        <f>Retention!BL115</f>
        <v>10</v>
      </c>
      <c r="BN163" s="442">
        <f>Retention!BM115</f>
        <v>10</v>
      </c>
      <c r="BO163" s="442">
        <f>Retention!BN115</f>
        <v>10</v>
      </c>
      <c r="BP163" s="442">
        <f>Retention!BO115</f>
        <v>10</v>
      </c>
      <c r="BQ163" s="442">
        <f>Retention!BP115</f>
        <v>10</v>
      </c>
      <c r="BR163" s="442">
        <f>Retention!BQ115</f>
        <v>10</v>
      </c>
      <c r="BS163" s="442">
        <f>Retention!BR115</f>
        <v>10</v>
      </c>
      <c r="BT163" s="442">
        <f>Retention!BS115</f>
        <v>10</v>
      </c>
      <c r="BU163" s="442">
        <f>Retention!BT115</f>
        <v>10</v>
      </c>
      <c r="BV163" s="442">
        <f>Retention!BU115</f>
        <v>10</v>
      </c>
      <c r="BW163" s="442">
        <f>Retention!BV115</f>
        <v>10</v>
      </c>
      <c r="BX163" s="442">
        <f>Retention!BW115</f>
        <v>10</v>
      </c>
      <c r="BY163" s="442">
        <f>Retention!BX115</f>
        <v>10</v>
      </c>
      <c r="BZ163" s="442">
        <f>Retention!BY115</f>
        <v>10</v>
      </c>
      <c r="CA163" s="442">
        <f>Retention!BZ115</f>
        <v>10</v>
      </c>
      <c r="CB163" s="442">
        <f>Retention!CA115</f>
        <v>10</v>
      </c>
      <c r="CC163" s="442">
        <f>Retention!CB115</f>
        <v>10</v>
      </c>
      <c r="CD163" s="442">
        <f>Retention!CC115</f>
        <v>10</v>
      </c>
      <c r="CE163" s="442">
        <f>Retention!CD115</f>
        <v>10</v>
      </c>
      <c r="CF163" s="442">
        <f>Retention!CE115</f>
        <v>10</v>
      </c>
      <c r="CG163" s="442">
        <f>Retention!CF115</f>
        <v>10</v>
      </c>
      <c r="CH163" s="442">
        <f>Retention!CG115</f>
        <v>10</v>
      </c>
      <c r="CI163" s="442"/>
    </row>
    <row r="164" ht="15.75" customHeight="1" outlineLevel="1">
      <c r="A164" s="1" t="s">
        <v>674</v>
      </c>
      <c r="B164" s="1"/>
      <c r="C164" s="442">
        <f>Retention!C115</f>
        <v>50</v>
      </c>
      <c r="D164" s="442">
        <f>Retention!D115</f>
        <v>51</v>
      </c>
      <c r="E164" s="442">
        <f>Retention!E115</f>
        <v>52</v>
      </c>
      <c r="F164" s="442">
        <f>Retention!F115</f>
        <v>53</v>
      </c>
      <c r="G164" s="442">
        <f>Retention!G115</f>
        <v>54</v>
      </c>
      <c r="H164" s="442">
        <f>Retention!H115</f>
        <v>55</v>
      </c>
      <c r="I164" s="442">
        <f>Retention!I115</f>
        <v>56</v>
      </c>
      <c r="J164" s="442">
        <f>Retention!J115</f>
        <v>57</v>
      </c>
      <c r="K164" s="442">
        <f>Retention!K115</f>
        <v>58</v>
      </c>
      <c r="L164" s="442">
        <f>Retention!L115</f>
        <v>59</v>
      </c>
      <c r="M164" s="442">
        <f>Retention!M115</f>
        <v>60</v>
      </c>
      <c r="N164" s="442">
        <f>Retention!N115</f>
        <v>61</v>
      </c>
      <c r="O164" s="442">
        <f>Retention!O115</f>
        <v>62</v>
      </c>
      <c r="P164" s="442">
        <f>Retention!P115</f>
        <v>63</v>
      </c>
      <c r="Q164" s="442">
        <f>Retention!Q115</f>
        <v>64</v>
      </c>
      <c r="R164" s="442">
        <f>Retention!R115</f>
        <v>65</v>
      </c>
      <c r="S164" s="442">
        <f>Retention!S115</f>
        <v>66</v>
      </c>
      <c r="T164" s="442">
        <f>Retention!T115</f>
        <v>67</v>
      </c>
      <c r="U164" s="442">
        <f>Retention!U115</f>
        <v>68</v>
      </c>
      <c r="V164" s="442">
        <f>Retention!V115</f>
        <v>69</v>
      </c>
      <c r="W164" s="442">
        <f>Retention!W115</f>
        <v>70</v>
      </c>
      <c r="X164" s="442">
        <f>Retention!X115</f>
        <v>71</v>
      </c>
      <c r="Y164" s="442">
        <f>Retention!Y115</f>
        <v>72</v>
      </c>
      <c r="Z164" s="442">
        <f>Retention!Z115</f>
        <v>73</v>
      </c>
      <c r="AA164" s="442">
        <f>Retention!AA115</f>
        <v>40</v>
      </c>
      <c r="AB164" s="442">
        <f>Retention!AB115</f>
        <v>25</v>
      </c>
      <c r="AC164" s="442">
        <f>Retention!AC115</f>
        <v>17</v>
      </c>
      <c r="AD164" s="442">
        <f>Retention!AD115</f>
        <v>13</v>
      </c>
      <c r="AE164" s="442">
        <f>Retention!AE115</f>
        <v>11</v>
      </c>
      <c r="AF164" s="442">
        <f>Retention!AF115</f>
        <v>10</v>
      </c>
      <c r="AG164" s="442">
        <f>Retention!AG115</f>
        <v>10</v>
      </c>
      <c r="AH164" s="442">
        <f>Retention!AH115</f>
        <v>10</v>
      </c>
      <c r="AI164" s="442">
        <f>Retention!AI115</f>
        <v>10</v>
      </c>
      <c r="AJ164" s="442">
        <f>Retention!AJ115</f>
        <v>10</v>
      </c>
      <c r="AK164" s="442">
        <f>Retention!AK115</f>
        <v>10</v>
      </c>
      <c r="AL164" s="442">
        <f>Retention!AL115</f>
        <v>10</v>
      </c>
      <c r="AM164" s="442">
        <f>Retention!AM115</f>
        <v>10</v>
      </c>
      <c r="AN164" s="442">
        <f>Retention!AN115</f>
        <v>10</v>
      </c>
      <c r="AO164" s="442">
        <f>Retention!AO115</f>
        <v>10</v>
      </c>
      <c r="AP164" s="442">
        <f>Retention!AP115</f>
        <v>10</v>
      </c>
      <c r="AQ164" s="442">
        <f>Retention!AQ115</f>
        <v>10</v>
      </c>
      <c r="AR164" s="442">
        <f>Retention!AR115</f>
        <v>10</v>
      </c>
      <c r="AS164" s="442">
        <f>Retention!AS115</f>
        <v>10</v>
      </c>
      <c r="AT164" s="442">
        <f>Retention!AT115</f>
        <v>10</v>
      </c>
      <c r="AU164" s="442">
        <f>Retention!AU115</f>
        <v>10</v>
      </c>
      <c r="AV164" s="442">
        <f>Retention!AV115</f>
        <v>10</v>
      </c>
      <c r="AW164" s="442">
        <f>Retention!AW115</f>
        <v>10</v>
      </c>
      <c r="AX164" s="442">
        <f>Retention!AX115</f>
        <v>10</v>
      </c>
      <c r="AY164" s="442">
        <f>Retention!AY115</f>
        <v>10</v>
      </c>
      <c r="AZ164" s="442">
        <f>Retention!AZ115</f>
        <v>10</v>
      </c>
      <c r="BA164" s="442">
        <f>Retention!BA115</f>
        <v>10</v>
      </c>
      <c r="BB164" s="442">
        <f>Retention!BB115</f>
        <v>10</v>
      </c>
      <c r="BC164" s="442">
        <f>Retention!BC115</f>
        <v>10</v>
      </c>
      <c r="BD164" s="442">
        <f>Retention!BD115</f>
        <v>10</v>
      </c>
      <c r="BE164" s="442">
        <f>Retention!BE115</f>
        <v>10</v>
      </c>
      <c r="BF164" s="442">
        <f>Retention!BF115</f>
        <v>10</v>
      </c>
      <c r="BG164" s="442">
        <f>Retention!BG115</f>
        <v>10</v>
      </c>
      <c r="BH164" s="442">
        <f>Retention!BH115</f>
        <v>10</v>
      </c>
      <c r="BI164" s="442">
        <f>Retention!BI115</f>
        <v>10</v>
      </c>
      <c r="BJ164" s="442">
        <f>Retention!BJ115</f>
        <v>10</v>
      </c>
      <c r="BK164" s="442">
        <f>Retention!BK115</f>
        <v>10</v>
      </c>
      <c r="BL164" s="442">
        <f>Retention!BL115</f>
        <v>10</v>
      </c>
      <c r="BM164" s="442">
        <f>Retention!BM115</f>
        <v>10</v>
      </c>
      <c r="BN164" s="442">
        <f>Retention!BN115</f>
        <v>10</v>
      </c>
      <c r="BO164" s="442">
        <f>Retention!BO115</f>
        <v>10</v>
      </c>
      <c r="BP164" s="442">
        <f>Retention!BP115</f>
        <v>10</v>
      </c>
      <c r="BQ164" s="442">
        <f>Retention!BQ115</f>
        <v>10</v>
      </c>
      <c r="BR164" s="442">
        <f>Retention!BR115</f>
        <v>10</v>
      </c>
      <c r="BS164" s="442">
        <f>Retention!BS115</f>
        <v>10</v>
      </c>
      <c r="BT164" s="442">
        <f>Retention!BT115</f>
        <v>10</v>
      </c>
      <c r="BU164" s="442">
        <f>Retention!BU115</f>
        <v>10</v>
      </c>
      <c r="BV164" s="442">
        <f>Retention!BV115</f>
        <v>10</v>
      </c>
      <c r="BW164" s="442">
        <f>Retention!BW115</f>
        <v>10</v>
      </c>
      <c r="BX164" s="442">
        <f>Retention!BX115</f>
        <v>10</v>
      </c>
      <c r="BY164" s="442">
        <f>Retention!BY115</f>
        <v>10</v>
      </c>
      <c r="BZ164" s="442">
        <f>Retention!BZ115</f>
        <v>10</v>
      </c>
      <c r="CA164" s="442">
        <f>Retention!CA115</f>
        <v>10</v>
      </c>
      <c r="CB164" s="442">
        <f>Retention!CB115</f>
        <v>10</v>
      </c>
      <c r="CC164" s="442">
        <f>Retention!CC115</f>
        <v>10</v>
      </c>
      <c r="CD164" s="442">
        <f>Retention!CD115</f>
        <v>10</v>
      </c>
      <c r="CE164" s="442">
        <f>Retention!CE115</f>
        <v>10</v>
      </c>
      <c r="CF164" s="442">
        <f>Retention!CF115</f>
        <v>10</v>
      </c>
      <c r="CG164" s="442">
        <f>Retention!CG115</f>
        <v>10</v>
      </c>
      <c r="CH164" s="442">
        <f>Retention!CH115</f>
        <v>10</v>
      </c>
      <c r="CI164" s="442"/>
    </row>
    <row r="165" ht="15.75" customHeight="1" outlineLevel="1">
      <c r="A165" s="1" t="s">
        <v>675</v>
      </c>
      <c r="B165" s="1"/>
      <c r="C165" s="442">
        <f>Retention!C123</f>
        <v>-1</v>
      </c>
      <c r="D165" s="442">
        <f>Retention!D123</f>
        <v>-1</v>
      </c>
      <c r="E165" s="442">
        <f>Retention!E123</f>
        <v>-1</v>
      </c>
      <c r="F165" s="442">
        <f>Retention!F123</f>
        <v>-1</v>
      </c>
      <c r="G165" s="442">
        <f>Retention!G123</f>
        <v>-1</v>
      </c>
      <c r="H165" s="442">
        <f>Retention!H123</f>
        <v>-1</v>
      </c>
      <c r="I165" s="442">
        <f>Retention!I123</f>
        <v>-1</v>
      </c>
      <c r="J165" s="442">
        <f>Retention!J123</f>
        <v>-1</v>
      </c>
      <c r="K165" s="442">
        <f>Retention!K123</f>
        <v>-1</v>
      </c>
      <c r="L165" s="442">
        <f>Retention!L123</f>
        <v>-1</v>
      </c>
      <c r="M165" s="442">
        <f>Retention!M123</f>
        <v>-1</v>
      </c>
      <c r="N165" s="442">
        <f>Retention!N123</f>
        <v>-1</v>
      </c>
      <c r="O165" s="442">
        <f>Retention!O123</f>
        <v>-1</v>
      </c>
      <c r="P165" s="442">
        <f>Retention!P123</f>
        <v>-1</v>
      </c>
      <c r="Q165" s="442">
        <f>Retention!Q123</f>
        <v>-1</v>
      </c>
      <c r="R165" s="442">
        <f>Retention!R123</f>
        <v>-1</v>
      </c>
      <c r="S165" s="442">
        <f>Retention!S123</f>
        <v>-1</v>
      </c>
      <c r="T165" s="442">
        <f>Retention!T123</f>
        <v>-1</v>
      </c>
      <c r="U165" s="442">
        <f>Retention!U123</f>
        <v>-1</v>
      </c>
      <c r="V165" s="442">
        <f>Retention!V123</f>
        <v>-1</v>
      </c>
      <c r="W165" s="442">
        <f>Retention!W123</f>
        <v>-1</v>
      </c>
      <c r="X165" s="442">
        <f>Retention!X123</f>
        <v>-1</v>
      </c>
      <c r="Y165" s="442">
        <f>Retention!Y123</f>
        <v>-1</v>
      </c>
      <c r="Z165" s="442">
        <f>Retention!Z123</f>
        <v>-36.5</v>
      </c>
      <c r="AA165" s="442">
        <f>Retention!AA123</f>
        <v>-20</v>
      </c>
      <c r="AB165" s="442">
        <f>Retention!AB123</f>
        <v>-12.5</v>
      </c>
      <c r="AC165" s="442">
        <f>Retention!AC123</f>
        <v>-8.5</v>
      </c>
      <c r="AD165" s="442">
        <f>Retention!AD123</f>
        <v>-6.5</v>
      </c>
      <c r="AE165" s="442">
        <f>Retention!AE123</f>
        <v>-5.5</v>
      </c>
      <c r="AF165" s="442">
        <f>Retention!AF123</f>
        <v>-5</v>
      </c>
      <c r="AG165" s="442">
        <f>Retention!AG123</f>
        <v>-5</v>
      </c>
      <c r="AH165" s="442">
        <f>Retention!AH123</f>
        <v>-5</v>
      </c>
      <c r="AI165" s="442">
        <f>Retention!AI123</f>
        <v>-5</v>
      </c>
      <c r="AJ165" s="442">
        <f>Retention!AJ123</f>
        <v>-5</v>
      </c>
      <c r="AK165" s="442">
        <f>Retention!AK123</f>
        <v>-5</v>
      </c>
      <c r="AL165" s="442">
        <f>Retention!AL123</f>
        <v>-5</v>
      </c>
      <c r="AM165" s="442">
        <f>Retention!AM123</f>
        <v>-5</v>
      </c>
      <c r="AN165" s="442">
        <f>Retention!AN123</f>
        <v>-5</v>
      </c>
      <c r="AO165" s="442">
        <f>Retention!AO123</f>
        <v>-5</v>
      </c>
      <c r="AP165" s="442">
        <f>Retention!AP123</f>
        <v>-5</v>
      </c>
      <c r="AQ165" s="442">
        <f>Retention!AQ123</f>
        <v>-5</v>
      </c>
      <c r="AR165" s="442">
        <f>Retention!AR123</f>
        <v>-5</v>
      </c>
      <c r="AS165" s="442">
        <f>Retention!AS123</f>
        <v>-5</v>
      </c>
      <c r="AT165" s="442">
        <f>Retention!AT123</f>
        <v>-5</v>
      </c>
      <c r="AU165" s="442">
        <f>Retention!AU123</f>
        <v>-5</v>
      </c>
      <c r="AV165" s="442">
        <f>Retention!AV123</f>
        <v>-5</v>
      </c>
      <c r="AW165" s="442">
        <f>Retention!AW123</f>
        <v>-5</v>
      </c>
      <c r="AX165" s="442">
        <f>Retention!AX123</f>
        <v>-5</v>
      </c>
      <c r="AY165" s="442">
        <f>Retention!AY123</f>
        <v>-5</v>
      </c>
      <c r="AZ165" s="442">
        <f>Retention!AZ123</f>
        <v>-5</v>
      </c>
      <c r="BA165" s="442">
        <f>Retention!BA123</f>
        <v>-5</v>
      </c>
      <c r="BB165" s="442">
        <f>Retention!BB123</f>
        <v>-5</v>
      </c>
      <c r="BC165" s="442">
        <f>Retention!BC123</f>
        <v>-5</v>
      </c>
      <c r="BD165" s="442">
        <f>Retention!BD123</f>
        <v>-5</v>
      </c>
      <c r="BE165" s="442">
        <f>Retention!BE123</f>
        <v>-5</v>
      </c>
      <c r="BF165" s="442">
        <f>Retention!BF123</f>
        <v>-5</v>
      </c>
      <c r="BG165" s="442">
        <f>Retention!BG123</f>
        <v>-5</v>
      </c>
      <c r="BH165" s="442">
        <f>Retention!BH123</f>
        <v>-5</v>
      </c>
      <c r="BI165" s="442">
        <f>Retention!BI123</f>
        <v>-5</v>
      </c>
      <c r="BJ165" s="442">
        <f>Retention!BJ123</f>
        <v>-5</v>
      </c>
      <c r="BK165" s="442">
        <f>Retention!BK123</f>
        <v>-5</v>
      </c>
      <c r="BL165" s="442">
        <f>Retention!BL123</f>
        <v>-5</v>
      </c>
      <c r="BM165" s="442">
        <f>Retention!BM123</f>
        <v>-5</v>
      </c>
      <c r="BN165" s="442">
        <f>Retention!BN123</f>
        <v>-5</v>
      </c>
      <c r="BO165" s="442">
        <f>Retention!BO123</f>
        <v>-5</v>
      </c>
      <c r="BP165" s="442">
        <f>Retention!BP123</f>
        <v>-5</v>
      </c>
      <c r="BQ165" s="442">
        <f>Retention!BQ123</f>
        <v>-5</v>
      </c>
      <c r="BR165" s="442">
        <f>Retention!BR123</f>
        <v>-5</v>
      </c>
      <c r="BS165" s="442">
        <f>Retention!BS123</f>
        <v>-5</v>
      </c>
      <c r="BT165" s="442">
        <f>Retention!BT123</f>
        <v>-5</v>
      </c>
      <c r="BU165" s="442">
        <f>Retention!BU123</f>
        <v>-5</v>
      </c>
      <c r="BV165" s="442">
        <f>Retention!BV123</f>
        <v>-5</v>
      </c>
      <c r="BW165" s="442">
        <f>Retention!BW123</f>
        <v>-5</v>
      </c>
      <c r="BX165" s="442">
        <f>Retention!BX123</f>
        <v>-5</v>
      </c>
      <c r="BY165" s="442">
        <f>Retention!BY123</f>
        <v>-5</v>
      </c>
      <c r="BZ165" s="442">
        <f>Retention!BZ123</f>
        <v>-5</v>
      </c>
      <c r="CA165" s="442">
        <f>Retention!CA123</f>
        <v>-5</v>
      </c>
      <c r="CB165" s="442">
        <f>Retention!CB123</f>
        <v>-5</v>
      </c>
      <c r="CC165" s="442">
        <f>Retention!CC123</f>
        <v>-5</v>
      </c>
      <c r="CD165" s="442">
        <f>Retention!CD123</f>
        <v>-5</v>
      </c>
      <c r="CE165" s="442">
        <f>Retention!CE123</f>
        <v>-5</v>
      </c>
      <c r="CF165" s="442">
        <f>Retention!CF123</f>
        <v>-5</v>
      </c>
      <c r="CG165" s="442">
        <f>Retention!CG123</f>
        <v>-5</v>
      </c>
      <c r="CH165" s="442">
        <f>Retention!CH123</f>
        <v>-5</v>
      </c>
      <c r="CI165" s="442"/>
    </row>
    <row r="166" ht="15.75" customHeight="1" outlineLevel="1">
      <c r="A166" s="1" t="s">
        <v>676</v>
      </c>
      <c r="B166" s="1"/>
      <c r="C166" s="442">
        <f>Retention!C131</f>
        <v>51</v>
      </c>
      <c r="D166" s="442">
        <f>Retention!D131</f>
        <v>52</v>
      </c>
      <c r="E166" s="442">
        <f>Retention!E131</f>
        <v>53</v>
      </c>
      <c r="F166" s="442">
        <f>Retention!F131</f>
        <v>54</v>
      </c>
      <c r="G166" s="442">
        <f>Retention!G131</f>
        <v>55</v>
      </c>
      <c r="H166" s="442">
        <f>Retention!H131</f>
        <v>56</v>
      </c>
      <c r="I166" s="442">
        <f>Retention!I131</f>
        <v>57</v>
      </c>
      <c r="J166" s="442">
        <f>Retention!J131</f>
        <v>58</v>
      </c>
      <c r="K166" s="442">
        <f>Retention!K131</f>
        <v>59</v>
      </c>
      <c r="L166" s="442">
        <f>Retention!L131</f>
        <v>60</v>
      </c>
      <c r="M166" s="442">
        <f>Retention!M131</f>
        <v>61</v>
      </c>
      <c r="N166" s="442">
        <f>Retention!N131</f>
        <v>62</v>
      </c>
      <c r="O166" s="442">
        <f>Retention!O131</f>
        <v>63</v>
      </c>
      <c r="P166" s="442">
        <f>Retention!P131</f>
        <v>64</v>
      </c>
      <c r="Q166" s="442">
        <f>Retention!Q131</f>
        <v>65</v>
      </c>
      <c r="R166" s="442">
        <f>Retention!R131</f>
        <v>66</v>
      </c>
      <c r="S166" s="442">
        <f>Retention!S131</f>
        <v>67</v>
      </c>
      <c r="T166" s="442">
        <f>Retention!T131</f>
        <v>68</v>
      </c>
      <c r="U166" s="442">
        <f>Retention!U131</f>
        <v>69</v>
      </c>
      <c r="V166" s="442">
        <f>Retention!V131</f>
        <v>70</v>
      </c>
      <c r="W166" s="442">
        <f>Retention!W131</f>
        <v>71</v>
      </c>
      <c r="X166" s="442">
        <f>Retention!X131</f>
        <v>72</v>
      </c>
      <c r="Y166" s="442">
        <f>Retention!Y131</f>
        <v>73</v>
      </c>
      <c r="Z166" s="442">
        <f>Retention!Z131</f>
        <v>40</v>
      </c>
      <c r="AA166" s="442">
        <f>Retention!AA131</f>
        <v>25</v>
      </c>
      <c r="AB166" s="442">
        <f>Retention!AB131</f>
        <v>17</v>
      </c>
      <c r="AC166" s="442">
        <f>Retention!AC131</f>
        <v>13</v>
      </c>
      <c r="AD166" s="442">
        <f>Retention!AD131</f>
        <v>11</v>
      </c>
      <c r="AE166" s="442">
        <f>Retention!AE131</f>
        <v>10</v>
      </c>
      <c r="AF166" s="442">
        <f>Retention!AF131</f>
        <v>10</v>
      </c>
      <c r="AG166" s="442">
        <f>Retention!AG131</f>
        <v>10</v>
      </c>
      <c r="AH166" s="442">
        <f>Retention!AH131</f>
        <v>10</v>
      </c>
      <c r="AI166" s="442">
        <f>Retention!AI131</f>
        <v>10</v>
      </c>
      <c r="AJ166" s="442">
        <f>Retention!AJ131</f>
        <v>10</v>
      </c>
      <c r="AK166" s="442">
        <f>Retention!AK131</f>
        <v>10</v>
      </c>
      <c r="AL166" s="442">
        <f>Retention!AL131</f>
        <v>10</v>
      </c>
      <c r="AM166" s="442">
        <f>Retention!AM131</f>
        <v>10</v>
      </c>
      <c r="AN166" s="442">
        <f>Retention!AN131</f>
        <v>10</v>
      </c>
      <c r="AO166" s="442">
        <f>Retention!AO131</f>
        <v>10</v>
      </c>
      <c r="AP166" s="442">
        <f>Retention!AP131</f>
        <v>10</v>
      </c>
      <c r="AQ166" s="442">
        <f>Retention!AQ131</f>
        <v>10</v>
      </c>
      <c r="AR166" s="442">
        <f>Retention!AR131</f>
        <v>10</v>
      </c>
      <c r="AS166" s="442">
        <f>Retention!AS131</f>
        <v>10</v>
      </c>
      <c r="AT166" s="442">
        <f>Retention!AT131</f>
        <v>10</v>
      </c>
      <c r="AU166" s="442">
        <f>Retention!AU131</f>
        <v>10</v>
      </c>
      <c r="AV166" s="442">
        <f>Retention!AV131</f>
        <v>10</v>
      </c>
      <c r="AW166" s="442">
        <f>Retention!AW131</f>
        <v>10</v>
      </c>
      <c r="AX166" s="442">
        <f>Retention!AX131</f>
        <v>10</v>
      </c>
      <c r="AY166" s="442">
        <f>Retention!AY131</f>
        <v>10</v>
      </c>
      <c r="AZ166" s="442">
        <f>Retention!AZ131</f>
        <v>10</v>
      </c>
      <c r="BA166" s="442">
        <f>Retention!BA131</f>
        <v>10</v>
      </c>
      <c r="BB166" s="442">
        <f>Retention!BB131</f>
        <v>10</v>
      </c>
      <c r="BC166" s="442">
        <f>Retention!BC131</f>
        <v>10</v>
      </c>
      <c r="BD166" s="442">
        <f>Retention!BD131</f>
        <v>10</v>
      </c>
      <c r="BE166" s="442">
        <f>Retention!BE131</f>
        <v>10</v>
      </c>
      <c r="BF166" s="442">
        <f>Retention!BF131</f>
        <v>10</v>
      </c>
      <c r="BG166" s="442">
        <f>Retention!BG131</f>
        <v>10</v>
      </c>
      <c r="BH166" s="442">
        <f>Retention!BH131</f>
        <v>10</v>
      </c>
      <c r="BI166" s="442">
        <f>Retention!BI131</f>
        <v>10</v>
      </c>
      <c r="BJ166" s="442">
        <f>Retention!BJ131</f>
        <v>10</v>
      </c>
      <c r="BK166" s="442">
        <f>Retention!BK131</f>
        <v>10</v>
      </c>
      <c r="BL166" s="442">
        <f>Retention!BL131</f>
        <v>10</v>
      </c>
      <c r="BM166" s="442">
        <f>Retention!BM131</f>
        <v>10</v>
      </c>
      <c r="BN166" s="442">
        <f>Retention!BN131</f>
        <v>10</v>
      </c>
      <c r="BO166" s="442">
        <f>Retention!BO131</f>
        <v>10</v>
      </c>
      <c r="BP166" s="442">
        <f>Retention!BP131</f>
        <v>10</v>
      </c>
      <c r="BQ166" s="442">
        <f>Retention!BQ131</f>
        <v>10</v>
      </c>
      <c r="BR166" s="442">
        <f>Retention!BR131</f>
        <v>10</v>
      </c>
      <c r="BS166" s="442">
        <f>Retention!BS131</f>
        <v>10</v>
      </c>
      <c r="BT166" s="442">
        <f>Retention!BT131</f>
        <v>10</v>
      </c>
      <c r="BU166" s="442">
        <f>Retention!BU131</f>
        <v>10</v>
      </c>
      <c r="BV166" s="442">
        <f>Retention!BV131</f>
        <v>10</v>
      </c>
      <c r="BW166" s="442">
        <f>Retention!BW131</f>
        <v>10</v>
      </c>
      <c r="BX166" s="442">
        <f>Retention!BX131</f>
        <v>10</v>
      </c>
      <c r="BY166" s="442">
        <f>Retention!BY131</f>
        <v>10</v>
      </c>
      <c r="BZ166" s="442">
        <f>Retention!BZ131</f>
        <v>10</v>
      </c>
      <c r="CA166" s="442">
        <f>Retention!CA131</f>
        <v>10</v>
      </c>
      <c r="CB166" s="442">
        <f>Retention!CB131</f>
        <v>10</v>
      </c>
      <c r="CC166" s="442">
        <f>Retention!CC131</f>
        <v>10</v>
      </c>
      <c r="CD166" s="442">
        <f>Retention!CD131</f>
        <v>10</v>
      </c>
      <c r="CE166" s="442">
        <f>Retention!CE131</f>
        <v>10</v>
      </c>
      <c r="CF166" s="442">
        <f>Retention!CF131</f>
        <v>10</v>
      </c>
      <c r="CG166" s="442">
        <f>Retention!CG131</f>
        <v>10</v>
      </c>
      <c r="CH166" s="442">
        <f>Retention!CH131</f>
        <v>10</v>
      </c>
      <c r="CI166" s="442"/>
    </row>
    <row r="167" ht="15.75" customHeight="1" outlineLevel="1">
      <c r="A167" s="1" t="s">
        <v>97</v>
      </c>
      <c r="B167" s="1"/>
      <c r="C167" s="442">
        <f>Retention!C119</f>
        <v>-1</v>
      </c>
      <c r="D167" s="442">
        <f>'New Biz Sales'!C101</f>
        <v>141371</v>
      </c>
      <c r="E167" s="442">
        <f>'New Biz Sales'!D101</f>
        <v>440218</v>
      </c>
      <c r="F167" s="442">
        <f>'New Biz Sales'!E101</f>
        <v>214725</v>
      </c>
      <c r="G167" s="442">
        <f>'New Biz Sales'!F101</f>
        <v>482049</v>
      </c>
      <c r="H167" s="442">
        <f>'New Biz Sales'!G101</f>
        <v>175864</v>
      </c>
      <c r="I167" s="442">
        <f>'New Biz Sales'!H101</f>
        <v>430131</v>
      </c>
      <c r="J167" s="442">
        <f>'New Biz Sales'!I101</f>
        <v>100662</v>
      </c>
      <c r="K167" s="442">
        <f>'New Biz Sales'!J101</f>
        <v>104992</v>
      </c>
      <c r="L167" s="442">
        <f>'New Biz Sales'!K101</f>
        <v>431495</v>
      </c>
      <c r="M167" s="442">
        <f>'New Biz Sales'!L101</f>
        <v>156783</v>
      </c>
      <c r="N167" s="442">
        <f>'New Biz Sales'!M101</f>
        <v>253723</v>
      </c>
      <c r="O167" s="442">
        <f>'New Biz Sales'!N101</f>
        <v>327733</v>
      </c>
      <c r="P167" s="442">
        <f>'New Biz Sales'!O101</f>
        <v>161784</v>
      </c>
      <c r="Q167" s="442">
        <f>'New Biz Sales'!P101</f>
        <v>374718</v>
      </c>
      <c r="R167" s="442">
        <f>'New Biz Sales'!Q101</f>
        <v>216152</v>
      </c>
      <c r="S167" s="442">
        <f>'New Biz Sales'!S101</f>
        <v>127283</v>
      </c>
      <c r="T167" s="442">
        <f>'New Biz Sales'!T101</f>
        <v>169261</v>
      </c>
      <c r="U167" s="442">
        <f>'New Biz Sales'!U101</f>
        <v>474856</v>
      </c>
      <c r="V167" s="442">
        <f>'New Biz Sales'!V101</f>
        <v>290656</v>
      </c>
      <c r="W167" s="442">
        <f>'New Biz Sales'!W101</f>
        <v>480415</v>
      </c>
      <c r="X167" s="442">
        <f>'New Biz Sales'!X101</f>
        <v>199930</v>
      </c>
      <c r="Y167" s="442">
        <f>'New Biz Sales'!Y101</f>
        <v>398800</v>
      </c>
      <c r="Z167" s="442">
        <f>'New Biz Sales'!Z101</f>
        <v>100000</v>
      </c>
      <c r="AA167" s="442">
        <f>'New Biz Sales'!AA101</f>
        <v>100000</v>
      </c>
      <c r="AB167" s="442">
        <f>'New Biz Sales'!AB101</f>
        <v>100000</v>
      </c>
      <c r="AC167" s="442">
        <f>'New Biz Sales'!AC101</f>
        <v>100000</v>
      </c>
      <c r="AD167" s="442">
        <f>'New Biz Sales'!AD101</f>
        <v>100000</v>
      </c>
      <c r="AE167" s="442">
        <f>'New Biz Sales'!AE101</f>
        <v>100000</v>
      </c>
      <c r="AF167" s="442">
        <f>'New Biz Sales'!AF101</f>
        <v>100000</v>
      </c>
      <c r="AG167" s="442">
        <f>'New Biz Sales'!AG101</f>
        <v>100000</v>
      </c>
      <c r="AH167" s="442">
        <f>'New Biz Sales'!AH101</f>
        <v>100000</v>
      </c>
      <c r="AI167" s="442">
        <f>'New Biz Sales'!AI101</f>
        <v>100000</v>
      </c>
      <c r="AJ167" s="442">
        <f>'New Biz Sales'!AJ101</f>
        <v>100000</v>
      </c>
      <c r="AK167" s="442">
        <f>'New Biz Sales'!AK101</f>
        <v>100000</v>
      </c>
      <c r="AL167" s="442">
        <f>'New Biz Sales'!AL101</f>
        <v>100000</v>
      </c>
      <c r="AM167" s="442">
        <f>'New Biz Sales'!AM101</f>
        <v>100000</v>
      </c>
      <c r="AN167" s="442">
        <f>'New Biz Sales'!AN101</f>
        <v>100000</v>
      </c>
      <c r="AO167" s="442">
        <f>'New Biz Sales'!AO101</f>
        <v>100000</v>
      </c>
      <c r="AP167" s="442">
        <f>'New Biz Sales'!AP101</f>
        <v>100000</v>
      </c>
      <c r="AQ167" s="442">
        <f>'New Biz Sales'!AQ101</f>
        <v>100000</v>
      </c>
      <c r="AR167" s="442">
        <f>'New Biz Sales'!AR101</f>
        <v>100000</v>
      </c>
      <c r="AS167" s="442">
        <f>'New Biz Sales'!AS101</f>
        <v>100000</v>
      </c>
      <c r="AT167" s="442">
        <f>'New Biz Sales'!AT101</f>
        <v>100000</v>
      </c>
      <c r="AU167" s="442">
        <f>'New Biz Sales'!AU101</f>
        <v>100000</v>
      </c>
      <c r="AV167" s="442">
        <f>'New Biz Sales'!AV101</f>
        <v>100000</v>
      </c>
      <c r="AW167" s="442">
        <f>'New Biz Sales'!AW101</f>
        <v>100000</v>
      </c>
      <c r="AX167" s="442">
        <f>'New Biz Sales'!AX101</f>
        <v>100000</v>
      </c>
      <c r="AY167" s="442">
        <f>'New Biz Sales'!AY101</f>
        <v>100000</v>
      </c>
      <c r="AZ167" s="442">
        <f>'New Biz Sales'!AZ101</f>
        <v>100000</v>
      </c>
      <c r="BA167" s="442">
        <f>'New Biz Sales'!BA101</f>
        <v>100000</v>
      </c>
      <c r="BB167" s="442">
        <f>'New Biz Sales'!BB101</f>
        <v>100000</v>
      </c>
      <c r="BC167" s="442">
        <f>'New Biz Sales'!BC101</f>
        <v>100000</v>
      </c>
      <c r="BD167" s="442">
        <f>'New Biz Sales'!BD101</f>
        <v>100000</v>
      </c>
      <c r="BE167" s="442">
        <f>'New Biz Sales'!BE101</f>
        <v>100000</v>
      </c>
      <c r="BF167" s="442">
        <f>'New Biz Sales'!BF101</f>
        <v>100000</v>
      </c>
      <c r="BG167" s="442">
        <f>'New Biz Sales'!BG101</f>
        <v>100000</v>
      </c>
      <c r="BH167" s="442">
        <f>'New Biz Sales'!BH101</f>
        <v>100000</v>
      </c>
      <c r="BI167" s="442">
        <f>'New Biz Sales'!BI101</f>
        <v>100000</v>
      </c>
      <c r="BJ167" s="442">
        <f>'New Biz Sales'!BJ101</f>
        <v>100000</v>
      </c>
      <c r="BK167" s="442">
        <f>'New Biz Sales'!BK101</f>
        <v>100000</v>
      </c>
      <c r="BL167" s="442">
        <f>'New Biz Sales'!BL101</f>
        <v>100000</v>
      </c>
      <c r="BM167" s="442">
        <f>'New Biz Sales'!BM101</f>
        <v>100000</v>
      </c>
      <c r="BN167" s="442">
        <f>'New Biz Sales'!BN101</f>
        <v>100000</v>
      </c>
      <c r="BO167" s="442">
        <f>'New Biz Sales'!BO101</f>
        <v>100000</v>
      </c>
      <c r="BP167" s="442">
        <f>'New Biz Sales'!BP101</f>
        <v>100000</v>
      </c>
      <c r="BQ167" s="442">
        <f>'New Biz Sales'!BQ101</f>
        <v>100000</v>
      </c>
      <c r="BR167" s="442">
        <f>'New Biz Sales'!BR101</f>
        <v>100000</v>
      </c>
      <c r="BS167" s="442">
        <f>'New Biz Sales'!BS101</f>
        <v>100000</v>
      </c>
      <c r="BT167" s="442">
        <f>'New Biz Sales'!BT101</f>
        <v>100000</v>
      </c>
      <c r="BU167" s="442">
        <f>'New Biz Sales'!BU101</f>
        <v>100000</v>
      </c>
      <c r="BV167" s="442">
        <f>'New Biz Sales'!BV101</f>
        <v>100000</v>
      </c>
      <c r="BW167" s="442">
        <f>'New Biz Sales'!BW101</f>
        <v>100000</v>
      </c>
      <c r="BX167" s="442">
        <f>'New Biz Sales'!BX101</f>
        <v>100000</v>
      </c>
      <c r="BY167" s="442">
        <f>'New Biz Sales'!BY101</f>
        <v>100000</v>
      </c>
      <c r="BZ167" s="442">
        <f>'New Biz Sales'!BZ101</f>
        <v>100000</v>
      </c>
      <c r="CA167" s="442">
        <f>'New Biz Sales'!CA101</f>
        <v>100000</v>
      </c>
      <c r="CB167" s="442">
        <f>'New Biz Sales'!CB101</f>
        <v>100000</v>
      </c>
      <c r="CC167" s="442">
        <f>'New Biz Sales'!CC101</f>
        <v>100000</v>
      </c>
      <c r="CD167" s="442">
        <f>'New Biz Sales'!CD101</f>
        <v>100000</v>
      </c>
      <c r="CE167" s="442">
        <f>'New Biz Sales'!CE101</f>
        <v>100000</v>
      </c>
      <c r="CF167" s="442">
        <f>'New Biz Sales'!CF101</f>
        <v>100000</v>
      </c>
      <c r="CG167" s="442">
        <f>'New Biz Sales'!CG101</f>
        <v>100000</v>
      </c>
      <c r="CH167" s="442">
        <f>'New Biz Sales'!CH101</f>
        <v>100000</v>
      </c>
      <c r="CI167" s="442"/>
    </row>
    <row r="168" ht="15.75" customHeight="1" outlineLevel="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row>
    <row r="169" ht="15.75" customHeight="1">
      <c r="A169" s="1"/>
      <c r="B169" s="1"/>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7"/>
      <c r="BO169" s="117"/>
      <c r="BP169" s="117"/>
      <c r="BQ169" s="117"/>
      <c r="BR169" s="117"/>
      <c r="BS169" s="117"/>
      <c r="BT169" s="117"/>
      <c r="BU169" s="117"/>
      <c r="BV169" s="117"/>
      <c r="BW169" s="117"/>
      <c r="BX169" s="117"/>
      <c r="BY169" s="117"/>
      <c r="BZ169" s="117"/>
      <c r="CA169" s="117"/>
      <c r="CB169" s="117"/>
      <c r="CC169" s="117"/>
      <c r="CD169" s="117"/>
      <c r="CE169" s="117"/>
      <c r="CF169" s="117"/>
      <c r="CG169" s="117"/>
      <c r="CH169" s="117"/>
      <c r="CI169" s="117"/>
    </row>
    <row r="170" ht="15.75" customHeight="1">
      <c r="A170" s="1" t="s">
        <v>201</v>
      </c>
      <c r="B170" s="1"/>
      <c r="C170" s="387">
        <f t="array" ref="C170">INDEX('IS Proforma'!$1:$1048490,MATCH($A170,'IS Proforma'!$C:$C,0),MATCH(C$4,'IS Proforma'!$4:$4))</f>
        <v>39950</v>
      </c>
      <c r="D170" s="387">
        <f t="array" ref="D170">INDEX('IS Proforma'!$1:$1048490,MATCH($A170,'IS Proforma'!$C:$C,0),MATCH(D$4,'IS Proforma'!$4:$4))</f>
        <v>38867</v>
      </c>
      <c r="E170" s="387">
        <f t="array" ref="E170">INDEX('IS Proforma'!$1:$1048490,MATCH($A170,'IS Proforma'!$C:$C,0),MATCH(E$4,'IS Proforma'!$4:$4))</f>
        <v>36759</v>
      </c>
      <c r="F170" s="387">
        <f t="array" ref="F170">INDEX('IS Proforma'!$1:$1048490,MATCH($A170,'IS Proforma'!$C:$C,0),MATCH(F$4,'IS Proforma'!$4:$4))</f>
        <v>25125</v>
      </c>
      <c r="G170" s="387">
        <f t="array" ref="G170">INDEX('IS Proforma'!$1:$1048490,MATCH($A170,'IS Proforma'!$C:$C,0),MATCH(G$4,'IS Proforma'!$4:$4))</f>
        <v>36781</v>
      </c>
      <c r="H170" s="387">
        <f t="array" ref="H170">INDEX('IS Proforma'!$1:$1048490,MATCH($A170,'IS Proforma'!$C:$C,0),MATCH(H$4,'IS Proforma'!$4:$4))</f>
        <v>37960</v>
      </c>
      <c r="I170" s="387">
        <f t="array" ref="I170">INDEX('IS Proforma'!$1:$1048490,MATCH($A170,'IS Proforma'!$C:$C,0),MATCH(I$4,'IS Proforma'!$4:$4))</f>
        <v>26320</v>
      </c>
      <c r="J170" s="387">
        <f t="array" ref="J170">INDEX('IS Proforma'!$1:$1048490,MATCH($A170,'IS Proforma'!$C:$C,0),MATCH(J$4,'IS Proforma'!$4:$4))</f>
        <v>26527</v>
      </c>
      <c r="K170" s="387">
        <f t="array" ref="K170">INDEX('IS Proforma'!$1:$1048490,MATCH($A170,'IS Proforma'!$C:$C,0),MATCH(K$4,'IS Proforma'!$4:$4))</f>
        <v>20651</v>
      </c>
      <c r="L170" s="387">
        <f t="array" ref="L170">INDEX('IS Proforma'!$1:$1048490,MATCH($A170,'IS Proforma'!$C:$C,0),MATCH(L$4,'IS Proforma'!$4:$4))</f>
        <v>39016</v>
      </c>
      <c r="M170" s="387">
        <f t="array" ref="M170">INDEX('IS Proforma'!$1:$1048490,MATCH($A170,'IS Proforma'!$C:$C,0),MATCH(M$4,'IS Proforma'!$4:$4))</f>
        <v>30718</v>
      </c>
      <c r="N170" s="387">
        <f t="array" ref="N170">INDEX('IS Proforma'!$1:$1048490,MATCH($A170,'IS Proforma'!$C:$C,0),MATCH(N$4,'IS Proforma'!$4:$4))</f>
        <v>20546</v>
      </c>
      <c r="O170" s="387">
        <f t="array" ref="O170">INDEX('IS Proforma'!$1:$1048490,MATCH($A170,'IS Proforma'!$C:$C,0),MATCH(O$4,'IS Proforma'!$4:$4))</f>
        <v>35731</v>
      </c>
      <c r="P170" s="387">
        <f t="array" ref="P170">INDEX('IS Proforma'!$1:$1048490,MATCH($A170,'IS Proforma'!$C:$C,0),MATCH(P$4,'IS Proforma'!$4:$4))</f>
        <v>22841</v>
      </c>
      <c r="Q170" s="387">
        <f t="array" ref="Q170">INDEX('IS Proforma'!$1:$1048490,MATCH($A170,'IS Proforma'!$C:$C,0),MATCH(Q$4,'IS Proforma'!$4:$4))</f>
        <v>24132</v>
      </c>
      <c r="R170" s="387">
        <f t="array" ref="R170">INDEX('IS Proforma'!$1:$1048490,MATCH($A170,'IS Proforma'!$C:$C,0),MATCH(R$4,'IS Proforma'!$4:$4))</f>
        <v>24634</v>
      </c>
      <c r="S170" s="387">
        <f t="array" ref="S170">INDEX('IS Proforma'!$1:$1048490,MATCH($A170,'IS Proforma'!$C:$C,0),MATCH(S$4,'IS Proforma'!$4:$4))</f>
        <v>24667</v>
      </c>
      <c r="T170" s="387">
        <f t="array" ref="T170">INDEX('IS Proforma'!$1:$1048490,MATCH($A170,'IS Proforma'!$C:$C,0),MATCH(T$4,'IS Proforma'!$4:$4))</f>
        <v>35176</v>
      </c>
      <c r="U170" s="387">
        <f t="array" ref="U170">INDEX('IS Proforma'!$1:$1048490,MATCH($A170,'IS Proforma'!$C:$C,0),MATCH(U$4,'IS Proforma'!$4:$4))</f>
        <v>37262</v>
      </c>
      <c r="V170" s="387">
        <f t="array" ref="V170">INDEX('IS Proforma'!$1:$1048490,MATCH($A170,'IS Proforma'!$C:$C,0),MATCH(V$4,'IS Proforma'!$4:$4))</f>
        <v>25313</v>
      </c>
      <c r="W170" s="387">
        <f t="array" ref="W170">INDEX('IS Proforma'!$1:$1048490,MATCH($A170,'IS Proforma'!$C:$C,0),MATCH(W$4,'IS Proforma'!$4:$4))</f>
        <v>36298</v>
      </c>
      <c r="X170" s="387">
        <f t="array" ref="X170">INDEX('IS Proforma'!$1:$1048490,MATCH($A170,'IS Proforma'!$C:$C,0),MATCH(X$4,'IS Proforma'!$4:$4))</f>
        <v>23322</v>
      </c>
      <c r="Y170" s="387">
        <f t="array" ref="Y170">INDEX('IS Proforma'!$1:$1048490,MATCH($A170,'IS Proforma'!$C:$C,0),MATCH(Y$4,'IS Proforma'!$4:$4))</f>
        <v>35512</v>
      </c>
      <c r="Z170" s="451">
        <v>50000.0</v>
      </c>
      <c r="AA170" s="455">
        <v>50000.0</v>
      </c>
      <c r="AB170" s="455">
        <v>50000.0</v>
      </c>
      <c r="AC170" s="455">
        <v>50000.0</v>
      </c>
      <c r="AD170" s="455">
        <v>50000.0</v>
      </c>
      <c r="AE170" s="455">
        <v>50000.0</v>
      </c>
      <c r="AF170" s="455">
        <v>50000.0</v>
      </c>
      <c r="AG170" s="455">
        <v>50000.0</v>
      </c>
      <c r="AH170" s="455">
        <v>50000.0</v>
      </c>
      <c r="AI170" s="455">
        <v>50000.0</v>
      </c>
      <c r="AJ170" s="455">
        <v>50000.0</v>
      </c>
      <c r="AK170" s="455">
        <v>50000.0</v>
      </c>
      <c r="AL170" s="455">
        <v>50000.0</v>
      </c>
      <c r="AM170" s="451">
        <v>75000.0</v>
      </c>
      <c r="AN170" s="451">
        <v>75000.0</v>
      </c>
      <c r="AO170" s="451">
        <v>75000.0</v>
      </c>
      <c r="AP170" s="451">
        <v>75000.0</v>
      </c>
      <c r="AQ170" s="451">
        <v>75000.0</v>
      </c>
      <c r="AR170" s="451">
        <v>75000.0</v>
      </c>
      <c r="AS170" s="451">
        <v>75000.0</v>
      </c>
      <c r="AT170" s="451">
        <v>75000.0</v>
      </c>
      <c r="AU170" s="451">
        <v>75000.0</v>
      </c>
      <c r="AV170" s="451">
        <v>75000.0</v>
      </c>
      <c r="AW170" s="451">
        <v>75000.0</v>
      </c>
      <c r="AX170" s="451">
        <v>75000.0</v>
      </c>
      <c r="AY170" s="451">
        <v>100000.0</v>
      </c>
      <c r="AZ170" s="451">
        <v>100000.0</v>
      </c>
      <c r="BA170" s="451">
        <v>100000.0</v>
      </c>
      <c r="BB170" s="451">
        <v>100000.0</v>
      </c>
      <c r="BC170" s="451">
        <v>100000.0</v>
      </c>
      <c r="BD170" s="451">
        <v>100000.0</v>
      </c>
      <c r="BE170" s="451">
        <v>100000.0</v>
      </c>
      <c r="BF170" s="451">
        <v>100000.0</v>
      </c>
      <c r="BG170" s="451">
        <v>100000.0</v>
      </c>
      <c r="BH170" s="451">
        <v>100000.0</v>
      </c>
      <c r="BI170" s="451">
        <v>100000.0</v>
      </c>
      <c r="BJ170" s="451">
        <v>100000.0</v>
      </c>
      <c r="BK170" s="451">
        <v>100000.0</v>
      </c>
      <c r="BL170" s="451">
        <v>100000.0</v>
      </c>
      <c r="BM170" s="451">
        <v>100000.0</v>
      </c>
      <c r="BN170" s="451">
        <v>100000.0</v>
      </c>
      <c r="BO170" s="451">
        <v>100000.0</v>
      </c>
      <c r="BP170" s="451">
        <v>100000.0</v>
      </c>
      <c r="BQ170" s="451">
        <v>100000.0</v>
      </c>
      <c r="BR170" s="451">
        <v>100000.0</v>
      </c>
      <c r="BS170" s="451">
        <v>100000.0</v>
      </c>
      <c r="BT170" s="451">
        <v>100000.0</v>
      </c>
      <c r="BU170" s="451">
        <v>100000.0</v>
      </c>
      <c r="BV170" s="451">
        <v>100000.0</v>
      </c>
      <c r="BW170" s="451">
        <v>100000.0</v>
      </c>
      <c r="BX170" s="451">
        <v>100000.0</v>
      </c>
      <c r="BY170" s="451">
        <v>100000.0</v>
      </c>
      <c r="BZ170" s="451">
        <v>100000.0</v>
      </c>
      <c r="CA170" s="451">
        <v>100000.0</v>
      </c>
      <c r="CB170" s="451">
        <v>100000.0</v>
      </c>
      <c r="CC170" s="451">
        <v>100000.0</v>
      </c>
      <c r="CD170" s="451">
        <v>100000.0</v>
      </c>
      <c r="CE170" s="451">
        <v>100000.0</v>
      </c>
      <c r="CF170" s="451">
        <v>100000.0</v>
      </c>
      <c r="CG170" s="451">
        <v>100000.0</v>
      </c>
      <c r="CH170" s="451">
        <v>100000.0</v>
      </c>
      <c r="CI170" s="451"/>
    </row>
    <row r="171" ht="15.75" customHeight="1">
      <c r="A171" s="1" t="s">
        <v>325</v>
      </c>
      <c r="B171" s="1"/>
      <c r="C171" s="1"/>
      <c r="D171" s="387">
        <f t="shared" ref="D171:CH171" si="87">D170-C170</f>
        <v>-1083</v>
      </c>
      <c r="E171" s="387">
        <f t="shared" si="87"/>
        <v>-2108</v>
      </c>
      <c r="F171" s="387">
        <f t="shared" si="87"/>
        <v>-11634</v>
      </c>
      <c r="G171" s="387">
        <f t="shared" si="87"/>
        <v>11656</v>
      </c>
      <c r="H171" s="387">
        <f t="shared" si="87"/>
        <v>1179</v>
      </c>
      <c r="I171" s="387">
        <f t="shared" si="87"/>
        <v>-11640</v>
      </c>
      <c r="J171" s="387">
        <f t="shared" si="87"/>
        <v>207</v>
      </c>
      <c r="K171" s="387">
        <f t="shared" si="87"/>
        <v>-5876</v>
      </c>
      <c r="L171" s="387">
        <f t="shared" si="87"/>
        <v>18365</v>
      </c>
      <c r="M171" s="387">
        <f t="shared" si="87"/>
        <v>-8298</v>
      </c>
      <c r="N171" s="387">
        <f t="shared" si="87"/>
        <v>-10172</v>
      </c>
      <c r="O171" s="387">
        <f t="shared" si="87"/>
        <v>15185</v>
      </c>
      <c r="P171" s="387">
        <f t="shared" si="87"/>
        <v>-12890</v>
      </c>
      <c r="Q171" s="387">
        <f t="shared" si="87"/>
        <v>1291</v>
      </c>
      <c r="R171" s="387">
        <f t="shared" si="87"/>
        <v>502</v>
      </c>
      <c r="S171" s="387">
        <f t="shared" si="87"/>
        <v>33</v>
      </c>
      <c r="T171" s="387">
        <f t="shared" si="87"/>
        <v>10509</v>
      </c>
      <c r="U171" s="387">
        <f t="shared" si="87"/>
        <v>2086</v>
      </c>
      <c r="V171" s="387">
        <f t="shared" si="87"/>
        <v>-11949</v>
      </c>
      <c r="W171" s="387">
        <f t="shared" si="87"/>
        <v>10985</v>
      </c>
      <c r="X171" s="387">
        <f t="shared" si="87"/>
        <v>-12976</v>
      </c>
      <c r="Y171" s="387">
        <f t="shared" si="87"/>
        <v>12190</v>
      </c>
      <c r="Z171" s="131">
        <f t="shared" si="87"/>
        <v>14488</v>
      </c>
      <c r="AA171" s="131">
        <f t="shared" si="87"/>
        <v>0</v>
      </c>
      <c r="AB171" s="131">
        <f t="shared" si="87"/>
        <v>0</v>
      </c>
      <c r="AC171" s="131">
        <f t="shared" si="87"/>
        <v>0</v>
      </c>
      <c r="AD171" s="131">
        <f t="shared" si="87"/>
        <v>0</v>
      </c>
      <c r="AE171" s="131">
        <f t="shared" si="87"/>
        <v>0</v>
      </c>
      <c r="AF171" s="131">
        <f t="shared" si="87"/>
        <v>0</v>
      </c>
      <c r="AG171" s="131">
        <f t="shared" si="87"/>
        <v>0</v>
      </c>
      <c r="AH171" s="131">
        <f t="shared" si="87"/>
        <v>0</v>
      </c>
      <c r="AI171" s="131">
        <f t="shared" si="87"/>
        <v>0</v>
      </c>
      <c r="AJ171" s="131">
        <f t="shared" si="87"/>
        <v>0</v>
      </c>
      <c r="AK171" s="131">
        <f t="shared" si="87"/>
        <v>0</v>
      </c>
      <c r="AL171" s="131">
        <f t="shared" si="87"/>
        <v>0</v>
      </c>
      <c r="AM171" s="131">
        <f t="shared" si="87"/>
        <v>25000</v>
      </c>
      <c r="AN171" s="131">
        <f t="shared" si="87"/>
        <v>0</v>
      </c>
      <c r="AO171" s="131">
        <f t="shared" si="87"/>
        <v>0</v>
      </c>
      <c r="AP171" s="131">
        <f t="shared" si="87"/>
        <v>0</v>
      </c>
      <c r="AQ171" s="131">
        <f t="shared" si="87"/>
        <v>0</v>
      </c>
      <c r="AR171" s="131">
        <f t="shared" si="87"/>
        <v>0</v>
      </c>
      <c r="AS171" s="131">
        <f t="shared" si="87"/>
        <v>0</v>
      </c>
      <c r="AT171" s="131">
        <f t="shared" si="87"/>
        <v>0</v>
      </c>
      <c r="AU171" s="131">
        <f t="shared" si="87"/>
        <v>0</v>
      </c>
      <c r="AV171" s="131">
        <f t="shared" si="87"/>
        <v>0</v>
      </c>
      <c r="AW171" s="131">
        <f t="shared" si="87"/>
        <v>0</v>
      </c>
      <c r="AX171" s="131">
        <f t="shared" si="87"/>
        <v>0</v>
      </c>
      <c r="AY171" s="131">
        <f t="shared" si="87"/>
        <v>25000</v>
      </c>
      <c r="AZ171" s="131">
        <f t="shared" si="87"/>
        <v>0</v>
      </c>
      <c r="BA171" s="131">
        <f t="shared" si="87"/>
        <v>0</v>
      </c>
      <c r="BB171" s="131">
        <f t="shared" si="87"/>
        <v>0</v>
      </c>
      <c r="BC171" s="131">
        <f t="shared" si="87"/>
        <v>0</v>
      </c>
      <c r="BD171" s="131">
        <f t="shared" si="87"/>
        <v>0</v>
      </c>
      <c r="BE171" s="131">
        <f t="shared" si="87"/>
        <v>0</v>
      </c>
      <c r="BF171" s="131">
        <f t="shared" si="87"/>
        <v>0</v>
      </c>
      <c r="BG171" s="131">
        <f t="shared" si="87"/>
        <v>0</v>
      </c>
      <c r="BH171" s="131">
        <f t="shared" si="87"/>
        <v>0</v>
      </c>
      <c r="BI171" s="131">
        <f t="shared" si="87"/>
        <v>0</v>
      </c>
      <c r="BJ171" s="131">
        <f t="shared" si="87"/>
        <v>0</v>
      </c>
      <c r="BK171" s="131">
        <f t="shared" si="87"/>
        <v>0</v>
      </c>
      <c r="BL171" s="131">
        <f t="shared" si="87"/>
        <v>0</v>
      </c>
      <c r="BM171" s="131">
        <f t="shared" si="87"/>
        <v>0</v>
      </c>
      <c r="BN171" s="131">
        <f t="shared" si="87"/>
        <v>0</v>
      </c>
      <c r="BO171" s="131">
        <f t="shared" si="87"/>
        <v>0</v>
      </c>
      <c r="BP171" s="131">
        <f t="shared" si="87"/>
        <v>0</v>
      </c>
      <c r="BQ171" s="131">
        <f t="shared" si="87"/>
        <v>0</v>
      </c>
      <c r="BR171" s="131">
        <f t="shared" si="87"/>
        <v>0</v>
      </c>
      <c r="BS171" s="131">
        <f t="shared" si="87"/>
        <v>0</v>
      </c>
      <c r="BT171" s="131">
        <f t="shared" si="87"/>
        <v>0</v>
      </c>
      <c r="BU171" s="131">
        <f t="shared" si="87"/>
        <v>0</v>
      </c>
      <c r="BV171" s="131">
        <f t="shared" si="87"/>
        <v>0</v>
      </c>
      <c r="BW171" s="131">
        <f t="shared" si="87"/>
        <v>0</v>
      </c>
      <c r="BX171" s="131">
        <f t="shared" si="87"/>
        <v>0</v>
      </c>
      <c r="BY171" s="131">
        <f t="shared" si="87"/>
        <v>0</v>
      </c>
      <c r="BZ171" s="131">
        <f t="shared" si="87"/>
        <v>0</v>
      </c>
      <c r="CA171" s="131">
        <f t="shared" si="87"/>
        <v>0</v>
      </c>
      <c r="CB171" s="131">
        <f t="shared" si="87"/>
        <v>0</v>
      </c>
      <c r="CC171" s="131">
        <f t="shared" si="87"/>
        <v>0</v>
      </c>
      <c r="CD171" s="131">
        <f t="shared" si="87"/>
        <v>0</v>
      </c>
      <c r="CE171" s="131">
        <f t="shared" si="87"/>
        <v>0</v>
      </c>
      <c r="CF171" s="131">
        <f t="shared" si="87"/>
        <v>0</v>
      </c>
      <c r="CG171" s="131">
        <f t="shared" si="87"/>
        <v>0</v>
      </c>
      <c r="CH171" s="131">
        <f t="shared" si="87"/>
        <v>0</v>
      </c>
      <c r="CI171" s="131"/>
    </row>
    <row r="172" ht="15.75" customHeight="1">
      <c r="A172" s="1" t="s">
        <v>51</v>
      </c>
      <c r="B172" s="446" t="s">
        <v>677</v>
      </c>
      <c r="C172" s="1"/>
      <c r="D172" s="425">
        <f t="shared" ref="D172:CH172" si="88">D170/C170-1</f>
        <v>-0.02710888611</v>
      </c>
      <c r="E172" s="425">
        <f t="shared" si="88"/>
        <v>-0.05423624154</v>
      </c>
      <c r="F172" s="425">
        <f t="shared" si="88"/>
        <v>-0.3164939199</v>
      </c>
      <c r="G172" s="425">
        <f t="shared" si="88"/>
        <v>0.463920398</v>
      </c>
      <c r="H172" s="425">
        <f t="shared" si="88"/>
        <v>0.0320545934</v>
      </c>
      <c r="I172" s="425">
        <f t="shared" si="88"/>
        <v>-0.3066385669</v>
      </c>
      <c r="J172" s="425">
        <f t="shared" si="88"/>
        <v>0.007864741641</v>
      </c>
      <c r="K172" s="425">
        <f t="shared" si="88"/>
        <v>-0.2215101595</v>
      </c>
      <c r="L172" s="425">
        <f t="shared" si="88"/>
        <v>0.8893031814</v>
      </c>
      <c r="M172" s="423">
        <f t="shared" si="88"/>
        <v>-0.2126819766</v>
      </c>
      <c r="N172" s="423">
        <f t="shared" si="88"/>
        <v>-0.3311413503</v>
      </c>
      <c r="O172" s="423">
        <f t="shared" si="88"/>
        <v>0.7390732989</v>
      </c>
      <c r="P172" s="423">
        <f t="shared" si="88"/>
        <v>-0.3607511685</v>
      </c>
      <c r="Q172" s="423">
        <f t="shared" si="88"/>
        <v>0.05652116807</v>
      </c>
      <c r="R172" s="423">
        <f t="shared" si="88"/>
        <v>0.02080225427</v>
      </c>
      <c r="S172" s="423">
        <f t="shared" si="88"/>
        <v>0.001339611918</v>
      </c>
      <c r="T172" s="423">
        <f t="shared" si="88"/>
        <v>0.4260347833</v>
      </c>
      <c r="U172" s="423">
        <f t="shared" si="88"/>
        <v>0.05930179668</v>
      </c>
      <c r="V172" s="423">
        <f t="shared" si="88"/>
        <v>-0.3206752187</v>
      </c>
      <c r="W172" s="423">
        <f t="shared" si="88"/>
        <v>0.4339667365</v>
      </c>
      <c r="X172" s="423">
        <f t="shared" si="88"/>
        <v>-0.3574852609</v>
      </c>
      <c r="Y172" s="423">
        <f t="shared" si="88"/>
        <v>0.5226824458</v>
      </c>
      <c r="Z172" s="202">
        <f t="shared" si="88"/>
        <v>0.4079747691</v>
      </c>
      <c r="AA172" s="202">
        <f t="shared" si="88"/>
        <v>0</v>
      </c>
      <c r="AB172" s="202">
        <f t="shared" si="88"/>
        <v>0</v>
      </c>
      <c r="AC172" s="202">
        <f t="shared" si="88"/>
        <v>0</v>
      </c>
      <c r="AD172" s="202">
        <f t="shared" si="88"/>
        <v>0</v>
      </c>
      <c r="AE172" s="202">
        <f t="shared" si="88"/>
        <v>0</v>
      </c>
      <c r="AF172" s="202">
        <f t="shared" si="88"/>
        <v>0</v>
      </c>
      <c r="AG172" s="202">
        <f t="shared" si="88"/>
        <v>0</v>
      </c>
      <c r="AH172" s="202">
        <f t="shared" si="88"/>
        <v>0</v>
      </c>
      <c r="AI172" s="202">
        <f t="shared" si="88"/>
        <v>0</v>
      </c>
      <c r="AJ172" s="202">
        <f t="shared" si="88"/>
        <v>0</v>
      </c>
      <c r="AK172" s="202">
        <f t="shared" si="88"/>
        <v>0</v>
      </c>
      <c r="AL172" s="202">
        <f t="shared" si="88"/>
        <v>0</v>
      </c>
      <c r="AM172" s="202">
        <f t="shared" si="88"/>
        <v>0.5</v>
      </c>
      <c r="AN172" s="202">
        <f t="shared" si="88"/>
        <v>0</v>
      </c>
      <c r="AO172" s="202">
        <f t="shared" si="88"/>
        <v>0</v>
      </c>
      <c r="AP172" s="202">
        <f t="shared" si="88"/>
        <v>0</v>
      </c>
      <c r="AQ172" s="202">
        <f t="shared" si="88"/>
        <v>0</v>
      </c>
      <c r="AR172" s="202">
        <f t="shared" si="88"/>
        <v>0</v>
      </c>
      <c r="AS172" s="202">
        <f t="shared" si="88"/>
        <v>0</v>
      </c>
      <c r="AT172" s="202">
        <f t="shared" si="88"/>
        <v>0</v>
      </c>
      <c r="AU172" s="202">
        <f t="shared" si="88"/>
        <v>0</v>
      </c>
      <c r="AV172" s="202">
        <f t="shared" si="88"/>
        <v>0</v>
      </c>
      <c r="AW172" s="202">
        <f t="shared" si="88"/>
        <v>0</v>
      </c>
      <c r="AX172" s="202">
        <f t="shared" si="88"/>
        <v>0</v>
      </c>
      <c r="AY172" s="202">
        <f t="shared" si="88"/>
        <v>0.3333333333</v>
      </c>
      <c r="AZ172" s="202">
        <f t="shared" si="88"/>
        <v>0</v>
      </c>
      <c r="BA172" s="202">
        <f t="shared" si="88"/>
        <v>0</v>
      </c>
      <c r="BB172" s="202">
        <f t="shared" si="88"/>
        <v>0</v>
      </c>
      <c r="BC172" s="202">
        <f t="shared" si="88"/>
        <v>0</v>
      </c>
      <c r="BD172" s="202">
        <f t="shared" si="88"/>
        <v>0</v>
      </c>
      <c r="BE172" s="202">
        <f t="shared" si="88"/>
        <v>0</v>
      </c>
      <c r="BF172" s="202">
        <f t="shared" si="88"/>
        <v>0</v>
      </c>
      <c r="BG172" s="202">
        <f t="shared" si="88"/>
        <v>0</v>
      </c>
      <c r="BH172" s="202">
        <f t="shared" si="88"/>
        <v>0</v>
      </c>
      <c r="BI172" s="202">
        <f t="shared" si="88"/>
        <v>0</v>
      </c>
      <c r="BJ172" s="202">
        <f t="shared" si="88"/>
        <v>0</v>
      </c>
      <c r="BK172" s="202">
        <f t="shared" si="88"/>
        <v>0</v>
      </c>
      <c r="BL172" s="202">
        <f t="shared" si="88"/>
        <v>0</v>
      </c>
      <c r="BM172" s="202">
        <f t="shared" si="88"/>
        <v>0</v>
      </c>
      <c r="BN172" s="202">
        <f t="shared" si="88"/>
        <v>0</v>
      </c>
      <c r="BO172" s="202">
        <f t="shared" si="88"/>
        <v>0</v>
      </c>
      <c r="BP172" s="202">
        <f t="shared" si="88"/>
        <v>0</v>
      </c>
      <c r="BQ172" s="202">
        <f t="shared" si="88"/>
        <v>0</v>
      </c>
      <c r="BR172" s="202">
        <f t="shared" si="88"/>
        <v>0</v>
      </c>
      <c r="BS172" s="202">
        <f t="shared" si="88"/>
        <v>0</v>
      </c>
      <c r="BT172" s="202">
        <f t="shared" si="88"/>
        <v>0</v>
      </c>
      <c r="BU172" s="202">
        <f t="shared" si="88"/>
        <v>0</v>
      </c>
      <c r="BV172" s="202">
        <f t="shared" si="88"/>
        <v>0</v>
      </c>
      <c r="BW172" s="202">
        <f t="shared" si="88"/>
        <v>0</v>
      </c>
      <c r="BX172" s="202">
        <f t="shared" si="88"/>
        <v>0</v>
      </c>
      <c r="BY172" s="202">
        <f t="shared" si="88"/>
        <v>0</v>
      </c>
      <c r="BZ172" s="202">
        <f t="shared" si="88"/>
        <v>0</v>
      </c>
      <c r="CA172" s="202">
        <f t="shared" si="88"/>
        <v>0</v>
      </c>
      <c r="CB172" s="202">
        <f t="shared" si="88"/>
        <v>0</v>
      </c>
      <c r="CC172" s="202">
        <f t="shared" si="88"/>
        <v>0</v>
      </c>
      <c r="CD172" s="202">
        <f t="shared" si="88"/>
        <v>0</v>
      </c>
      <c r="CE172" s="202">
        <f t="shared" si="88"/>
        <v>0</v>
      </c>
      <c r="CF172" s="202">
        <f t="shared" si="88"/>
        <v>0</v>
      </c>
      <c r="CG172" s="202">
        <f t="shared" si="88"/>
        <v>0</v>
      </c>
      <c r="CH172" s="202">
        <f t="shared" si="88"/>
        <v>0</v>
      </c>
      <c r="CI172" s="202"/>
    </row>
    <row r="173" ht="15.75" customHeight="1">
      <c r="A173" s="1" t="s">
        <v>678</v>
      </c>
      <c r="B173" s="447">
        <v>500.0</v>
      </c>
      <c r="C173" s="448">
        <f t="shared" ref="C173:CH173" si="89">C170/$B$173</f>
        <v>79.9</v>
      </c>
      <c r="D173" s="448">
        <f t="shared" si="89"/>
        <v>77.734</v>
      </c>
      <c r="E173" s="448">
        <f t="shared" si="89"/>
        <v>73.518</v>
      </c>
      <c r="F173" s="448">
        <f t="shared" si="89"/>
        <v>50.25</v>
      </c>
      <c r="G173" s="448">
        <f t="shared" si="89"/>
        <v>73.562</v>
      </c>
      <c r="H173" s="448">
        <f t="shared" si="89"/>
        <v>75.92</v>
      </c>
      <c r="I173" s="448">
        <f t="shared" si="89"/>
        <v>52.64</v>
      </c>
      <c r="J173" s="448">
        <f t="shared" si="89"/>
        <v>53.054</v>
      </c>
      <c r="K173" s="448">
        <f t="shared" si="89"/>
        <v>41.302</v>
      </c>
      <c r="L173" s="448">
        <f t="shared" si="89"/>
        <v>78.032</v>
      </c>
      <c r="M173" s="448">
        <f t="shared" si="89"/>
        <v>61.436</v>
      </c>
      <c r="N173" s="448">
        <f t="shared" si="89"/>
        <v>41.092</v>
      </c>
      <c r="O173" s="448">
        <f t="shared" si="89"/>
        <v>71.462</v>
      </c>
      <c r="P173" s="448">
        <f t="shared" si="89"/>
        <v>45.682</v>
      </c>
      <c r="Q173" s="448">
        <f t="shared" si="89"/>
        <v>48.264</v>
      </c>
      <c r="R173" s="448">
        <f t="shared" si="89"/>
        <v>49.268</v>
      </c>
      <c r="S173" s="448">
        <f t="shared" si="89"/>
        <v>49.334</v>
      </c>
      <c r="T173" s="448">
        <f t="shared" si="89"/>
        <v>70.352</v>
      </c>
      <c r="U173" s="448">
        <f t="shared" si="89"/>
        <v>74.524</v>
      </c>
      <c r="V173" s="448">
        <f t="shared" si="89"/>
        <v>50.626</v>
      </c>
      <c r="W173" s="448">
        <f t="shared" si="89"/>
        <v>72.596</v>
      </c>
      <c r="X173" s="448">
        <f t="shared" si="89"/>
        <v>46.644</v>
      </c>
      <c r="Y173" s="448">
        <f t="shared" si="89"/>
        <v>71.024</v>
      </c>
      <c r="Z173" s="448">
        <f t="shared" si="89"/>
        <v>100</v>
      </c>
      <c r="AA173" s="448">
        <f t="shared" si="89"/>
        <v>100</v>
      </c>
      <c r="AB173" s="448">
        <f t="shared" si="89"/>
        <v>100</v>
      </c>
      <c r="AC173" s="448">
        <f t="shared" si="89"/>
        <v>100</v>
      </c>
      <c r="AD173" s="448">
        <f t="shared" si="89"/>
        <v>100</v>
      </c>
      <c r="AE173" s="448">
        <f t="shared" si="89"/>
        <v>100</v>
      </c>
      <c r="AF173" s="448">
        <f t="shared" si="89"/>
        <v>100</v>
      </c>
      <c r="AG173" s="448">
        <f t="shared" si="89"/>
        <v>100</v>
      </c>
      <c r="AH173" s="448">
        <f t="shared" si="89"/>
        <v>100</v>
      </c>
      <c r="AI173" s="448">
        <f t="shared" si="89"/>
        <v>100</v>
      </c>
      <c r="AJ173" s="448">
        <f t="shared" si="89"/>
        <v>100</v>
      </c>
      <c r="AK173" s="448">
        <f t="shared" si="89"/>
        <v>100</v>
      </c>
      <c r="AL173" s="448">
        <f t="shared" si="89"/>
        <v>100</v>
      </c>
      <c r="AM173" s="448">
        <f t="shared" si="89"/>
        <v>150</v>
      </c>
      <c r="AN173" s="448">
        <f t="shared" si="89"/>
        <v>150</v>
      </c>
      <c r="AO173" s="448">
        <f t="shared" si="89"/>
        <v>150</v>
      </c>
      <c r="AP173" s="448">
        <f t="shared" si="89"/>
        <v>150</v>
      </c>
      <c r="AQ173" s="448">
        <f t="shared" si="89"/>
        <v>150</v>
      </c>
      <c r="AR173" s="448">
        <f t="shared" si="89"/>
        <v>150</v>
      </c>
      <c r="AS173" s="448">
        <f t="shared" si="89"/>
        <v>150</v>
      </c>
      <c r="AT173" s="448">
        <f t="shared" si="89"/>
        <v>150</v>
      </c>
      <c r="AU173" s="448">
        <f t="shared" si="89"/>
        <v>150</v>
      </c>
      <c r="AV173" s="448">
        <f t="shared" si="89"/>
        <v>150</v>
      </c>
      <c r="AW173" s="448">
        <f t="shared" si="89"/>
        <v>150</v>
      </c>
      <c r="AX173" s="448">
        <f t="shared" si="89"/>
        <v>150</v>
      </c>
      <c r="AY173" s="448">
        <f t="shared" si="89"/>
        <v>200</v>
      </c>
      <c r="AZ173" s="448">
        <f t="shared" si="89"/>
        <v>200</v>
      </c>
      <c r="BA173" s="448">
        <f t="shared" si="89"/>
        <v>200</v>
      </c>
      <c r="BB173" s="448">
        <f t="shared" si="89"/>
        <v>200</v>
      </c>
      <c r="BC173" s="448">
        <f t="shared" si="89"/>
        <v>200</v>
      </c>
      <c r="BD173" s="448">
        <f t="shared" si="89"/>
        <v>200</v>
      </c>
      <c r="BE173" s="448">
        <f t="shared" si="89"/>
        <v>200</v>
      </c>
      <c r="BF173" s="448">
        <f t="shared" si="89"/>
        <v>200</v>
      </c>
      <c r="BG173" s="448">
        <f t="shared" si="89"/>
        <v>200</v>
      </c>
      <c r="BH173" s="448">
        <f t="shared" si="89"/>
        <v>200</v>
      </c>
      <c r="BI173" s="448">
        <f t="shared" si="89"/>
        <v>200</v>
      </c>
      <c r="BJ173" s="448">
        <f t="shared" si="89"/>
        <v>200</v>
      </c>
      <c r="BK173" s="448">
        <f t="shared" si="89"/>
        <v>200</v>
      </c>
      <c r="BL173" s="448">
        <f t="shared" si="89"/>
        <v>200</v>
      </c>
      <c r="BM173" s="448">
        <f t="shared" si="89"/>
        <v>200</v>
      </c>
      <c r="BN173" s="448">
        <f t="shared" si="89"/>
        <v>200</v>
      </c>
      <c r="BO173" s="448">
        <f t="shared" si="89"/>
        <v>200</v>
      </c>
      <c r="BP173" s="448">
        <f t="shared" si="89"/>
        <v>200</v>
      </c>
      <c r="BQ173" s="448">
        <f t="shared" si="89"/>
        <v>200</v>
      </c>
      <c r="BR173" s="448">
        <f t="shared" si="89"/>
        <v>200</v>
      </c>
      <c r="BS173" s="448">
        <f t="shared" si="89"/>
        <v>200</v>
      </c>
      <c r="BT173" s="448">
        <f t="shared" si="89"/>
        <v>200</v>
      </c>
      <c r="BU173" s="448">
        <f t="shared" si="89"/>
        <v>200</v>
      </c>
      <c r="BV173" s="448">
        <f t="shared" si="89"/>
        <v>200</v>
      </c>
      <c r="BW173" s="448">
        <f t="shared" si="89"/>
        <v>200</v>
      </c>
      <c r="BX173" s="448">
        <f t="shared" si="89"/>
        <v>200</v>
      </c>
      <c r="BY173" s="448">
        <f t="shared" si="89"/>
        <v>200</v>
      </c>
      <c r="BZ173" s="448">
        <f t="shared" si="89"/>
        <v>200</v>
      </c>
      <c r="CA173" s="448">
        <f t="shared" si="89"/>
        <v>200</v>
      </c>
      <c r="CB173" s="448">
        <f t="shared" si="89"/>
        <v>200</v>
      </c>
      <c r="CC173" s="448">
        <f t="shared" si="89"/>
        <v>200</v>
      </c>
      <c r="CD173" s="448">
        <f t="shared" si="89"/>
        <v>200</v>
      </c>
      <c r="CE173" s="448">
        <f t="shared" si="89"/>
        <v>200</v>
      </c>
      <c r="CF173" s="448">
        <f t="shared" si="89"/>
        <v>200</v>
      </c>
      <c r="CG173" s="448">
        <f t="shared" si="89"/>
        <v>200</v>
      </c>
      <c r="CH173" s="448">
        <f t="shared" si="89"/>
        <v>200</v>
      </c>
      <c r="CI173" s="448"/>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row>
    <row r="176" ht="15.75" customHeight="1">
      <c r="A176" s="232" t="s">
        <v>72</v>
      </c>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row>
    <row r="178" ht="15.75" customHeight="1">
      <c r="A178" s="1" t="s">
        <v>202</v>
      </c>
      <c r="B178" s="1"/>
      <c r="C178" s="387">
        <f t="array" ref="C178">INDEX('IS Proforma'!$1:$1048490,MATCH($A178,'IS Proforma'!$C:$C,0),MATCH(C$4,'IS Proforma'!$4:$4))</f>
        <v>549</v>
      </c>
      <c r="D178" s="387">
        <f t="array" ref="D178">INDEX('IS Proforma'!$1:$1048490,MATCH($A178,'IS Proforma'!$C:$C,0),MATCH(D$4,'IS Proforma'!$4:$4))</f>
        <v>400</v>
      </c>
      <c r="E178" s="387">
        <f t="array" ref="E178">INDEX('IS Proforma'!$1:$1048490,MATCH($A178,'IS Proforma'!$C:$C,0),MATCH(E$4,'IS Proforma'!$4:$4))</f>
        <v>5898</v>
      </c>
      <c r="F178" s="387">
        <f t="array" ref="F178">INDEX('IS Proforma'!$1:$1048490,MATCH($A178,'IS Proforma'!$C:$C,0),MATCH(F$4,'IS Proforma'!$4:$4))</f>
        <v>3018</v>
      </c>
      <c r="G178" s="387">
        <f t="array" ref="G178">INDEX('IS Proforma'!$1:$1048490,MATCH($A178,'IS Proforma'!$C:$C,0),MATCH(G$4,'IS Proforma'!$4:$4))</f>
        <v>9312</v>
      </c>
      <c r="H178" s="387">
        <f t="array" ref="H178">INDEX('IS Proforma'!$1:$1048490,MATCH($A178,'IS Proforma'!$C:$C,0),MATCH(H$4,'IS Proforma'!$4:$4))</f>
        <v>973</v>
      </c>
      <c r="I178" s="387">
        <f t="array" ref="I178">INDEX('IS Proforma'!$1:$1048490,MATCH($A178,'IS Proforma'!$C:$C,0),MATCH(I$4,'IS Proforma'!$4:$4))</f>
        <v>7168</v>
      </c>
      <c r="J178" s="387">
        <f t="array" ref="J178">INDEX('IS Proforma'!$1:$1048490,MATCH($A178,'IS Proforma'!$C:$C,0),MATCH(J$4,'IS Proforma'!$4:$4))</f>
        <v>5526</v>
      </c>
      <c r="K178" s="387">
        <f t="array" ref="K178">INDEX('IS Proforma'!$1:$1048490,MATCH($A178,'IS Proforma'!$C:$C,0),MATCH(K$4,'IS Proforma'!$4:$4))</f>
        <v>8632</v>
      </c>
      <c r="L178" s="387">
        <f t="array" ref="L178">INDEX('IS Proforma'!$1:$1048490,MATCH($A178,'IS Proforma'!$C:$C,0),MATCH(L$4,'IS Proforma'!$4:$4))</f>
        <v>7139</v>
      </c>
      <c r="M178" s="387">
        <f t="array" ref="M178">INDEX('IS Proforma'!$1:$1048490,MATCH($A178,'IS Proforma'!$C:$C,0),MATCH(M$4,'IS Proforma'!$4:$4))</f>
        <v>1443</v>
      </c>
      <c r="N178" s="387">
        <f t="array" ref="N178">INDEX('IS Proforma'!$1:$1048490,MATCH($A178,'IS Proforma'!$C:$C,0),MATCH(N$4,'IS Proforma'!$4:$4))</f>
        <v>8992</v>
      </c>
      <c r="O178" s="387">
        <f t="array" ref="O178">INDEX('IS Proforma'!$1:$1048490,MATCH($A178,'IS Proforma'!$C:$C,0),MATCH(O$4,'IS Proforma'!$4:$4))</f>
        <v>690</v>
      </c>
      <c r="P178" s="387">
        <f t="array" ref="P178">INDEX('IS Proforma'!$1:$1048490,MATCH($A178,'IS Proforma'!$C:$C,0),MATCH(P$4,'IS Proforma'!$4:$4))</f>
        <v>6384</v>
      </c>
      <c r="Q178" s="387">
        <f t="array" ref="Q178">INDEX('IS Proforma'!$1:$1048490,MATCH($A178,'IS Proforma'!$C:$C,0),MATCH(Q$4,'IS Proforma'!$4:$4))</f>
        <v>5253</v>
      </c>
      <c r="R178" s="387">
        <f t="array" ref="R178">INDEX('IS Proforma'!$1:$1048490,MATCH($A178,'IS Proforma'!$C:$C,0),MATCH(R$4,'IS Proforma'!$4:$4))</f>
        <v>6258</v>
      </c>
      <c r="S178" s="387">
        <f t="array" ref="S178">INDEX('IS Proforma'!$1:$1048490,MATCH($A178,'IS Proforma'!$C:$C,0),MATCH(S$4,'IS Proforma'!$4:$4))</f>
        <v>6883</v>
      </c>
      <c r="T178" s="387">
        <f t="array" ref="T178">INDEX('IS Proforma'!$1:$1048490,MATCH($A178,'IS Proforma'!$C:$C,0),MATCH(T$4,'IS Proforma'!$4:$4))</f>
        <v>2027</v>
      </c>
      <c r="U178" s="387">
        <f t="array" ref="U178">INDEX('IS Proforma'!$1:$1048490,MATCH($A178,'IS Proforma'!$C:$C,0),MATCH(U$4,'IS Proforma'!$4:$4))</f>
        <v>9693</v>
      </c>
      <c r="V178" s="387">
        <f t="array" ref="V178">INDEX('IS Proforma'!$1:$1048490,MATCH($A178,'IS Proforma'!$C:$C,0),MATCH(V$4,'IS Proforma'!$4:$4))</f>
        <v>6645</v>
      </c>
      <c r="W178" s="387">
        <v>1413.0</v>
      </c>
      <c r="X178" s="387">
        <v>1794.0</v>
      </c>
      <c r="Y178" s="387">
        <v>1013.0</v>
      </c>
      <c r="Z178" s="131">
        <f t="shared" ref="Z178:CH178" si="90">Y178*(1+Z180)</f>
        <v>1073.78</v>
      </c>
      <c r="AA178" s="131">
        <f t="shared" si="90"/>
        <v>1116.7312</v>
      </c>
      <c r="AB178" s="131">
        <f t="shared" si="90"/>
        <v>1161.400448</v>
      </c>
      <c r="AC178" s="131">
        <f t="shared" si="90"/>
        <v>1207.856466</v>
      </c>
      <c r="AD178" s="131">
        <f t="shared" si="90"/>
        <v>1256.170725</v>
      </c>
      <c r="AE178" s="131">
        <f t="shared" si="90"/>
        <v>1306.417554</v>
      </c>
      <c r="AF178" s="131">
        <f t="shared" si="90"/>
        <v>1358.674256</v>
      </c>
      <c r="AG178" s="131">
        <f t="shared" si="90"/>
        <v>1413.021226</v>
      </c>
      <c r="AH178" s="131">
        <f t="shared" si="90"/>
        <v>1469.542075</v>
      </c>
      <c r="AI178" s="131">
        <f t="shared" si="90"/>
        <v>1528.323758</v>
      </c>
      <c r="AJ178" s="131">
        <f t="shared" si="90"/>
        <v>1589.456708</v>
      </c>
      <c r="AK178" s="131">
        <f t="shared" si="90"/>
        <v>1653.034977</v>
      </c>
      <c r="AL178" s="131">
        <f t="shared" si="90"/>
        <v>1719.156376</v>
      </c>
      <c r="AM178" s="131">
        <f t="shared" si="90"/>
        <v>1787.922631</v>
      </c>
      <c r="AN178" s="131">
        <f t="shared" si="90"/>
        <v>1859.439536</v>
      </c>
      <c r="AO178" s="131">
        <f t="shared" si="90"/>
        <v>1933.817117</v>
      </c>
      <c r="AP178" s="131">
        <f t="shared" si="90"/>
        <v>2011.169802</v>
      </c>
      <c r="AQ178" s="131">
        <f t="shared" si="90"/>
        <v>2091.616594</v>
      </c>
      <c r="AR178" s="131">
        <f t="shared" si="90"/>
        <v>2175.281258</v>
      </c>
      <c r="AS178" s="131">
        <f t="shared" si="90"/>
        <v>2262.292508</v>
      </c>
      <c r="AT178" s="131">
        <f t="shared" si="90"/>
        <v>2352.784209</v>
      </c>
      <c r="AU178" s="131">
        <f t="shared" si="90"/>
        <v>2446.895577</v>
      </c>
      <c r="AV178" s="131">
        <f t="shared" si="90"/>
        <v>2544.7714</v>
      </c>
      <c r="AW178" s="131">
        <f t="shared" si="90"/>
        <v>2646.562256</v>
      </c>
      <c r="AX178" s="131">
        <f t="shared" si="90"/>
        <v>2752.424746</v>
      </c>
      <c r="AY178" s="131">
        <f t="shared" si="90"/>
        <v>2862.521736</v>
      </c>
      <c r="AZ178" s="131">
        <f t="shared" si="90"/>
        <v>2977.022605</v>
      </c>
      <c r="BA178" s="131">
        <f t="shared" si="90"/>
        <v>3096.10351</v>
      </c>
      <c r="BB178" s="131">
        <f t="shared" si="90"/>
        <v>3219.94765</v>
      </c>
      <c r="BC178" s="131">
        <f t="shared" si="90"/>
        <v>3348.745556</v>
      </c>
      <c r="BD178" s="131">
        <f t="shared" si="90"/>
        <v>3482.695378</v>
      </c>
      <c r="BE178" s="131">
        <f t="shared" si="90"/>
        <v>3622.003193</v>
      </c>
      <c r="BF178" s="131">
        <f t="shared" si="90"/>
        <v>3766.883321</v>
      </c>
      <c r="BG178" s="131">
        <f t="shared" si="90"/>
        <v>3917.558654</v>
      </c>
      <c r="BH178" s="131">
        <f t="shared" si="90"/>
        <v>4074.261</v>
      </c>
      <c r="BI178" s="131">
        <f t="shared" si="90"/>
        <v>4237.23144</v>
      </c>
      <c r="BJ178" s="131">
        <f t="shared" si="90"/>
        <v>4406.720698</v>
      </c>
      <c r="BK178" s="131">
        <f t="shared" si="90"/>
        <v>4582.989526</v>
      </c>
      <c r="BL178" s="131">
        <f t="shared" si="90"/>
        <v>4766.309107</v>
      </c>
      <c r="BM178" s="131">
        <f t="shared" si="90"/>
        <v>4956.961471</v>
      </c>
      <c r="BN178" s="131">
        <f t="shared" si="90"/>
        <v>5155.23993</v>
      </c>
      <c r="BO178" s="131">
        <f t="shared" si="90"/>
        <v>5361.449527</v>
      </c>
      <c r="BP178" s="131">
        <f t="shared" si="90"/>
        <v>5575.907508</v>
      </c>
      <c r="BQ178" s="131">
        <f t="shared" si="90"/>
        <v>5798.943808</v>
      </c>
      <c r="BR178" s="131">
        <f t="shared" si="90"/>
        <v>6030.901561</v>
      </c>
      <c r="BS178" s="131">
        <f t="shared" si="90"/>
        <v>6272.137623</v>
      </c>
      <c r="BT178" s="131">
        <f t="shared" si="90"/>
        <v>6523.023128</v>
      </c>
      <c r="BU178" s="131">
        <f t="shared" si="90"/>
        <v>6783.944053</v>
      </c>
      <c r="BV178" s="131">
        <f t="shared" si="90"/>
        <v>7055.301815</v>
      </c>
      <c r="BW178" s="131">
        <f t="shared" si="90"/>
        <v>7337.513888</v>
      </c>
      <c r="BX178" s="131">
        <f t="shared" si="90"/>
        <v>7631.014444</v>
      </c>
      <c r="BY178" s="131">
        <f t="shared" si="90"/>
        <v>7936.255021</v>
      </c>
      <c r="BZ178" s="131">
        <f t="shared" si="90"/>
        <v>8253.705222</v>
      </c>
      <c r="CA178" s="131">
        <f t="shared" si="90"/>
        <v>8583.853431</v>
      </c>
      <c r="CB178" s="131">
        <f t="shared" si="90"/>
        <v>8927.207568</v>
      </c>
      <c r="CC178" s="131">
        <f t="shared" si="90"/>
        <v>9284.295871</v>
      </c>
      <c r="CD178" s="131">
        <f t="shared" si="90"/>
        <v>9655.667706</v>
      </c>
      <c r="CE178" s="131">
        <f t="shared" si="90"/>
        <v>10041.89441</v>
      </c>
      <c r="CF178" s="131">
        <f t="shared" si="90"/>
        <v>10443.57019</v>
      </c>
      <c r="CG178" s="131">
        <f t="shared" si="90"/>
        <v>10861.313</v>
      </c>
      <c r="CH178" s="131">
        <f t="shared" si="90"/>
        <v>11295.76552</v>
      </c>
      <c r="CI178" s="131"/>
    </row>
    <row r="179" ht="15.75" customHeight="1">
      <c r="A179" s="1" t="s">
        <v>325</v>
      </c>
      <c r="B179" s="1"/>
      <c r="C179" s="1"/>
      <c r="D179" s="387">
        <f t="shared" ref="D179:CH179" si="91">D178-C178</f>
        <v>-149</v>
      </c>
      <c r="E179" s="387">
        <f t="shared" si="91"/>
        <v>5498</v>
      </c>
      <c r="F179" s="387">
        <f t="shared" si="91"/>
        <v>-2880</v>
      </c>
      <c r="G179" s="387">
        <f t="shared" si="91"/>
        <v>6294</v>
      </c>
      <c r="H179" s="387">
        <f t="shared" si="91"/>
        <v>-8339</v>
      </c>
      <c r="I179" s="387">
        <f t="shared" si="91"/>
        <v>6195</v>
      </c>
      <c r="J179" s="387">
        <f t="shared" si="91"/>
        <v>-1642</v>
      </c>
      <c r="K179" s="387">
        <f t="shared" si="91"/>
        <v>3106</v>
      </c>
      <c r="L179" s="387">
        <f t="shared" si="91"/>
        <v>-1493</v>
      </c>
      <c r="M179" s="387">
        <f t="shared" si="91"/>
        <v>-5696</v>
      </c>
      <c r="N179" s="387">
        <f t="shared" si="91"/>
        <v>7549</v>
      </c>
      <c r="O179" s="387">
        <f t="shared" si="91"/>
        <v>-8302</v>
      </c>
      <c r="P179" s="387">
        <f t="shared" si="91"/>
        <v>5694</v>
      </c>
      <c r="Q179" s="387">
        <f t="shared" si="91"/>
        <v>-1131</v>
      </c>
      <c r="R179" s="387">
        <f t="shared" si="91"/>
        <v>1005</v>
      </c>
      <c r="S179" s="387">
        <f t="shared" si="91"/>
        <v>625</v>
      </c>
      <c r="T179" s="387">
        <f t="shared" si="91"/>
        <v>-4856</v>
      </c>
      <c r="U179" s="387">
        <f t="shared" si="91"/>
        <v>7666</v>
      </c>
      <c r="V179" s="387">
        <f t="shared" si="91"/>
        <v>-3048</v>
      </c>
      <c r="W179" s="387">
        <f t="shared" si="91"/>
        <v>-5232</v>
      </c>
      <c r="X179" s="387">
        <f t="shared" si="91"/>
        <v>381</v>
      </c>
      <c r="Y179" s="387">
        <f t="shared" si="91"/>
        <v>-781</v>
      </c>
      <c r="Z179" s="131">
        <f t="shared" si="91"/>
        <v>60.78</v>
      </c>
      <c r="AA179" s="131">
        <f t="shared" si="91"/>
        <v>42.9512</v>
      </c>
      <c r="AB179" s="131">
        <f t="shared" si="91"/>
        <v>44.669248</v>
      </c>
      <c r="AC179" s="131">
        <f t="shared" si="91"/>
        <v>46.45601792</v>
      </c>
      <c r="AD179" s="131">
        <f t="shared" si="91"/>
        <v>48.31425864</v>
      </c>
      <c r="AE179" s="131">
        <f t="shared" si="91"/>
        <v>50.24682898</v>
      </c>
      <c r="AF179" s="131">
        <f t="shared" si="91"/>
        <v>52.25670214</v>
      </c>
      <c r="AG179" s="131">
        <f t="shared" si="91"/>
        <v>54.34697023</v>
      </c>
      <c r="AH179" s="131">
        <f t="shared" si="91"/>
        <v>56.52084904</v>
      </c>
      <c r="AI179" s="131">
        <f t="shared" si="91"/>
        <v>58.781683</v>
      </c>
      <c r="AJ179" s="131">
        <f t="shared" si="91"/>
        <v>61.13295032</v>
      </c>
      <c r="AK179" s="131">
        <f t="shared" si="91"/>
        <v>63.57826833</v>
      </c>
      <c r="AL179" s="131">
        <f t="shared" si="91"/>
        <v>66.12139906</v>
      </c>
      <c r="AM179" s="131">
        <f t="shared" si="91"/>
        <v>68.76625503</v>
      </c>
      <c r="AN179" s="131">
        <f t="shared" si="91"/>
        <v>71.51690523</v>
      </c>
      <c r="AO179" s="131">
        <f t="shared" si="91"/>
        <v>74.37758144</v>
      </c>
      <c r="AP179" s="131">
        <f t="shared" si="91"/>
        <v>77.35268469</v>
      </c>
      <c r="AQ179" s="131">
        <f t="shared" si="91"/>
        <v>80.44679208</v>
      </c>
      <c r="AR179" s="131">
        <f t="shared" si="91"/>
        <v>83.66466376</v>
      </c>
      <c r="AS179" s="131">
        <f t="shared" si="91"/>
        <v>87.01125032</v>
      </c>
      <c r="AT179" s="131">
        <f t="shared" si="91"/>
        <v>90.49170033</v>
      </c>
      <c r="AU179" s="131">
        <f t="shared" si="91"/>
        <v>94.11136834</v>
      </c>
      <c r="AV179" s="131">
        <f t="shared" si="91"/>
        <v>97.87582307</v>
      </c>
      <c r="AW179" s="131">
        <f t="shared" si="91"/>
        <v>101.790856</v>
      </c>
      <c r="AX179" s="131">
        <f t="shared" si="91"/>
        <v>105.8624902</v>
      </c>
      <c r="AY179" s="131">
        <f t="shared" si="91"/>
        <v>110.0969898</v>
      </c>
      <c r="AZ179" s="131">
        <f t="shared" si="91"/>
        <v>114.5008694</v>
      </c>
      <c r="BA179" s="131">
        <f t="shared" si="91"/>
        <v>119.0809042</v>
      </c>
      <c r="BB179" s="131">
        <f t="shared" si="91"/>
        <v>123.8441404</v>
      </c>
      <c r="BC179" s="131">
        <f t="shared" si="91"/>
        <v>128.797906</v>
      </c>
      <c r="BD179" s="131">
        <f t="shared" si="91"/>
        <v>133.9498222</v>
      </c>
      <c r="BE179" s="131">
        <f t="shared" si="91"/>
        <v>139.3078151</v>
      </c>
      <c r="BF179" s="131">
        <f t="shared" si="91"/>
        <v>144.8801277</v>
      </c>
      <c r="BG179" s="131">
        <f t="shared" si="91"/>
        <v>150.6753328</v>
      </c>
      <c r="BH179" s="131">
        <f t="shared" si="91"/>
        <v>156.7023462</v>
      </c>
      <c r="BI179" s="131">
        <f t="shared" si="91"/>
        <v>162.97044</v>
      </c>
      <c r="BJ179" s="131">
        <f t="shared" si="91"/>
        <v>169.4892576</v>
      </c>
      <c r="BK179" s="131">
        <f t="shared" si="91"/>
        <v>176.2688279</v>
      </c>
      <c r="BL179" s="131">
        <f t="shared" si="91"/>
        <v>183.319581</v>
      </c>
      <c r="BM179" s="131">
        <f t="shared" si="91"/>
        <v>190.6523643</v>
      </c>
      <c r="BN179" s="131">
        <f t="shared" si="91"/>
        <v>198.2784588</v>
      </c>
      <c r="BO179" s="131">
        <f t="shared" si="91"/>
        <v>206.2095972</v>
      </c>
      <c r="BP179" s="131">
        <f t="shared" si="91"/>
        <v>214.4579811</v>
      </c>
      <c r="BQ179" s="131">
        <f t="shared" si="91"/>
        <v>223.0363003</v>
      </c>
      <c r="BR179" s="131">
        <f t="shared" si="91"/>
        <v>231.9577523</v>
      </c>
      <c r="BS179" s="131">
        <f t="shared" si="91"/>
        <v>241.2360624</v>
      </c>
      <c r="BT179" s="131">
        <f t="shared" si="91"/>
        <v>250.8855049</v>
      </c>
      <c r="BU179" s="131">
        <f t="shared" si="91"/>
        <v>260.9209251</v>
      </c>
      <c r="BV179" s="131">
        <f t="shared" si="91"/>
        <v>271.3577621</v>
      </c>
      <c r="BW179" s="131">
        <f t="shared" si="91"/>
        <v>282.2120726</v>
      </c>
      <c r="BX179" s="131">
        <f t="shared" si="91"/>
        <v>293.5005555</v>
      </c>
      <c r="BY179" s="131">
        <f t="shared" si="91"/>
        <v>305.2405777</v>
      </c>
      <c r="BZ179" s="131">
        <f t="shared" si="91"/>
        <v>317.4502009</v>
      </c>
      <c r="CA179" s="131">
        <f t="shared" si="91"/>
        <v>330.1482089</v>
      </c>
      <c r="CB179" s="131">
        <f t="shared" si="91"/>
        <v>343.3541372</v>
      </c>
      <c r="CC179" s="131">
        <f t="shared" si="91"/>
        <v>357.0883027</v>
      </c>
      <c r="CD179" s="131">
        <f t="shared" si="91"/>
        <v>371.3718348</v>
      </c>
      <c r="CE179" s="131">
        <f t="shared" si="91"/>
        <v>386.2267082</v>
      </c>
      <c r="CF179" s="131">
        <f t="shared" si="91"/>
        <v>401.6757766</v>
      </c>
      <c r="CG179" s="131">
        <f t="shared" si="91"/>
        <v>417.7428076</v>
      </c>
      <c r="CH179" s="131">
        <f t="shared" si="91"/>
        <v>434.4525199</v>
      </c>
      <c r="CI179" s="131"/>
    </row>
    <row r="180" ht="15.75" customHeight="1">
      <c r="A180" s="1" t="s">
        <v>51</v>
      </c>
      <c r="B180" s="1"/>
      <c r="C180" s="1"/>
      <c r="D180" s="423">
        <f t="shared" ref="D180:V180" si="92">D178/C178-1</f>
        <v>-0.2714025501</v>
      </c>
      <c r="E180" s="423">
        <f t="shared" si="92"/>
        <v>13.745</v>
      </c>
      <c r="F180" s="423">
        <f t="shared" si="92"/>
        <v>-0.488301119</v>
      </c>
      <c r="G180" s="423">
        <f t="shared" si="92"/>
        <v>2.085487078</v>
      </c>
      <c r="H180" s="423">
        <f t="shared" si="92"/>
        <v>-0.8955111684</v>
      </c>
      <c r="I180" s="423">
        <f t="shared" si="92"/>
        <v>6.366906475</v>
      </c>
      <c r="J180" s="423">
        <f t="shared" si="92"/>
        <v>-0.2290736607</v>
      </c>
      <c r="K180" s="423">
        <f t="shared" si="92"/>
        <v>0.5620702135</v>
      </c>
      <c r="L180" s="423">
        <f t="shared" si="92"/>
        <v>-0.1729610751</v>
      </c>
      <c r="M180" s="423">
        <f t="shared" si="92"/>
        <v>-0.7978708503</v>
      </c>
      <c r="N180" s="423">
        <f t="shared" si="92"/>
        <v>5.231462231</v>
      </c>
      <c r="O180" s="423">
        <f t="shared" si="92"/>
        <v>-0.9232651246</v>
      </c>
      <c r="P180" s="423">
        <f t="shared" si="92"/>
        <v>8.252173913</v>
      </c>
      <c r="Q180" s="423">
        <f t="shared" si="92"/>
        <v>-0.1771616541</v>
      </c>
      <c r="R180" s="423">
        <f t="shared" si="92"/>
        <v>0.1913192461</v>
      </c>
      <c r="S180" s="423">
        <f t="shared" si="92"/>
        <v>0.09987216363</v>
      </c>
      <c r="T180" s="423">
        <f t="shared" si="92"/>
        <v>-0.7055063199</v>
      </c>
      <c r="U180" s="423">
        <f t="shared" si="92"/>
        <v>3.781943759</v>
      </c>
      <c r="V180" s="423">
        <f t="shared" si="92"/>
        <v>-0.3144537295</v>
      </c>
      <c r="W180" s="197">
        <v>0.06</v>
      </c>
      <c r="X180" s="202">
        <f t="shared" ref="X180:Z180" si="93">W180</f>
        <v>0.06</v>
      </c>
      <c r="Y180" s="202">
        <f t="shared" si="93"/>
        <v>0.06</v>
      </c>
      <c r="Z180" s="202">
        <f t="shared" si="93"/>
        <v>0.06</v>
      </c>
      <c r="AA180" s="197">
        <v>0.04</v>
      </c>
      <c r="AB180" s="202">
        <f t="shared" ref="AB180:CH180" si="94">AA180</f>
        <v>0.04</v>
      </c>
      <c r="AC180" s="202">
        <f t="shared" si="94"/>
        <v>0.04</v>
      </c>
      <c r="AD180" s="202">
        <f t="shared" si="94"/>
        <v>0.04</v>
      </c>
      <c r="AE180" s="202">
        <f t="shared" si="94"/>
        <v>0.04</v>
      </c>
      <c r="AF180" s="202">
        <f t="shared" si="94"/>
        <v>0.04</v>
      </c>
      <c r="AG180" s="202">
        <f t="shared" si="94"/>
        <v>0.04</v>
      </c>
      <c r="AH180" s="202">
        <f t="shared" si="94"/>
        <v>0.04</v>
      </c>
      <c r="AI180" s="202">
        <f t="shared" si="94"/>
        <v>0.04</v>
      </c>
      <c r="AJ180" s="202">
        <f t="shared" si="94"/>
        <v>0.04</v>
      </c>
      <c r="AK180" s="202">
        <f t="shared" si="94"/>
        <v>0.04</v>
      </c>
      <c r="AL180" s="202">
        <f t="shared" si="94"/>
        <v>0.04</v>
      </c>
      <c r="AM180" s="202">
        <f t="shared" si="94"/>
        <v>0.04</v>
      </c>
      <c r="AN180" s="202">
        <f t="shared" si="94"/>
        <v>0.04</v>
      </c>
      <c r="AO180" s="202">
        <f t="shared" si="94"/>
        <v>0.04</v>
      </c>
      <c r="AP180" s="202">
        <f t="shared" si="94"/>
        <v>0.04</v>
      </c>
      <c r="AQ180" s="202">
        <f t="shared" si="94"/>
        <v>0.04</v>
      </c>
      <c r="AR180" s="202">
        <f t="shared" si="94"/>
        <v>0.04</v>
      </c>
      <c r="AS180" s="202">
        <f t="shared" si="94"/>
        <v>0.04</v>
      </c>
      <c r="AT180" s="202">
        <f t="shared" si="94"/>
        <v>0.04</v>
      </c>
      <c r="AU180" s="202">
        <f t="shared" si="94"/>
        <v>0.04</v>
      </c>
      <c r="AV180" s="202">
        <f t="shared" si="94"/>
        <v>0.04</v>
      </c>
      <c r="AW180" s="202">
        <f t="shared" si="94"/>
        <v>0.04</v>
      </c>
      <c r="AX180" s="202">
        <f t="shared" si="94"/>
        <v>0.04</v>
      </c>
      <c r="AY180" s="202">
        <f t="shared" si="94"/>
        <v>0.04</v>
      </c>
      <c r="AZ180" s="202">
        <f t="shared" si="94"/>
        <v>0.04</v>
      </c>
      <c r="BA180" s="202">
        <f t="shared" si="94"/>
        <v>0.04</v>
      </c>
      <c r="BB180" s="202">
        <f t="shared" si="94"/>
        <v>0.04</v>
      </c>
      <c r="BC180" s="202">
        <f t="shared" si="94"/>
        <v>0.04</v>
      </c>
      <c r="BD180" s="202">
        <f t="shared" si="94"/>
        <v>0.04</v>
      </c>
      <c r="BE180" s="202">
        <f t="shared" si="94"/>
        <v>0.04</v>
      </c>
      <c r="BF180" s="202">
        <f t="shared" si="94"/>
        <v>0.04</v>
      </c>
      <c r="BG180" s="202">
        <f t="shared" si="94"/>
        <v>0.04</v>
      </c>
      <c r="BH180" s="202">
        <f t="shared" si="94"/>
        <v>0.04</v>
      </c>
      <c r="BI180" s="202">
        <f t="shared" si="94"/>
        <v>0.04</v>
      </c>
      <c r="BJ180" s="202">
        <f t="shared" si="94"/>
        <v>0.04</v>
      </c>
      <c r="BK180" s="202">
        <f t="shared" si="94"/>
        <v>0.04</v>
      </c>
      <c r="BL180" s="202">
        <f t="shared" si="94"/>
        <v>0.04</v>
      </c>
      <c r="BM180" s="202">
        <f t="shared" si="94"/>
        <v>0.04</v>
      </c>
      <c r="BN180" s="202">
        <f t="shared" si="94"/>
        <v>0.04</v>
      </c>
      <c r="BO180" s="202">
        <f t="shared" si="94"/>
        <v>0.04</v>
      </c>
      <c r="BP180" s="202">
        <f t="shared" si="94"/>
        <v>0.04</v>
      </c>
      <c r="BQ180" s="202">
        <f t="shared" si="94"/>
        <v>0.04</v>
      </c>
      <c r="BR180" s="202">
        <f t="shared" si="94"/>
        <v>0.04</v>
      </c>
      <c r="BS180" s="202">
        <f t="shared" si="94"/>
        <v>0.04</v>
      </c>
      <c r="BT180" s="202">
        <f t="shared" si="94"/>
        <v>0.04</v>
      </c>
      <c r="BU180" s="202">
        <f t="shared" si="94"/>
        <v>0.04</v>
      </c>
      <c r="BV180" s="202">
        <f t="shared" si="94"/>
        <v>0.04</v>
      </c>
      <c r="BW180" s="202">
        <f t="shared" si="94"/>
        <v>0.04</v>
      </c>
      <c r="BX180" s="202">
        <f t="shared" si="94"/>
        <v>0.04</v>
      </c>
      <c r="BY180" s="202">
        <f t="shared" si="94"/>
        <v>0.04</v>
      </c>
      <c r="BZ180" s="202">
        <f t="shared" si="94"/>
        <v>0.04</v>
      </c>
      <c r="CA180" s="202">
        <f t="shared" si="94"/>
        <v>0.04</v>
      </c>
      <c r="CB180" s="202">
        <f t="shared" si="94"/>
        <v>0.04</v>
      </c>
      <c r="CC180" s="202">
        <f t="shared" si="94"/>
        <v>0.04</v>
      </c>
      <c r="CD180" s="202">
        <f t="shared" si="94"/>
        <v>0.04</v>
      </c>
      <c r="CE180" s="202">
        <f t="shared" si="94"/>
        <v>0.04</v>
      </c>
      <c r="CF180" s="202">
        <f t="shared" si="94"/>
        <v>0.04</v>
      </c>
      <c r="CG180" s="202">
        <f t="shared" si="94"/>
        <v>0.04</v>
      </c>
      <c r="CH180" s="202">
        <f t="shared" si="94"/>
        <v>0.04</v>
      </c>
      <c r="CI180" s="202"/>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row>
    <row r="182" ht="15.75" customHeight="1">
      <c r="A182" s="1"/>
      <c r="B182" s="1"/>
      <c r="C182" s="1"/>
      <c r="D182" s="1"/>
      <c r="E182" s="1"/>
      <c r="F182" s="1"/>
      <c r="G182" s="1"/>
      <c r="H182" s="1"/>
      <c r="I182" s="1"/>
      <c r="J182" s="1"/>
      <c r="K182" s="1"/>
      <c r="L182" s="1"/>
      <c r="M182" s="1"/>
      <c r="N182" s="1"/>
      <c r="O182" s="323">
        <v>0.0</v>
      </c>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row>
    <row r="184" ht="15.75" customHeight="1">
      <c r="A184" s="1" t="s">
        <v>203</v>
      </c>
      <c r="B184" s="1"/>
      <c r="C184" s="387">
        <f t="array" ref="C184">INDEX('IS Proforma'!$1:$1048490,MATCH($A184,'IS Proforma'!$C:$C,0),MATCH(C$4,'IS Proforma'!$4:$4))</f>
        <v>-1698</v>
      </c>
      <c r="D184" s="387">
        <f t="array" ref="D184">INDEX('IS Proforma'!$1:$1048490,MATCH($A184,'IS Proforma'!$C:$C,0),MATCH(D$4,'IS Proforma'!$4:$4))</f>
        <v>-2438</v>
      </c>
      <c r="E184" s="387">
        <f t="array" ref="E184">INDEX('IS Proforma'!$1:$1048490,MATCH($A184,'IS Proforma'!$C:$C,0),MATCH(E$4,'IS Proforma'!$4:$4))</f>
        <v>-875</v>
      </c>
      <c r="F184" s="387">
        <f t="array" ref="F184">INDEX('IS Proforma'!$1:$1048490,MATCH($A184,'IS Proforma'!$C:$C,0),MATCH(F$4,'IS Proforma'!$4:$4))</f>
        <v>-4315</v>
      </c>
      <c r="G184" s="387">
        <f t="array" ref="G184">INDEX('IS Proforma'!$1:$1048490,MATCH($A184,'IS Proforma'!$C:$C,0),MATCH(G$4,'IS Proforma'!$4:$4))</f>
        <v>-3523</v>
      </c>
      <c r="H184" s="387">
        <f t="array" ref="H184">INDEX('IS Proforma'!$1:$1048490,MATCH($A184,'IS Proforma'!$C:$C,0),MATCH(H$4,'IS Proforma'!$4:$4))</f>
        <v>-4015</v>
      </c>
      <c r="I184" s="387">
        <f t="array" ref="I184">INDEX('IS Proforma'!$1:$1048490,MATCH($A184,'IS Proforma'!$C:$C,0),MATCH(I$4,'IS Proforma'!$4:$4))</f>
        <v>-4391</v>
      </c>
      <c r="J184" s="387">
        <f t="array" ref="J184">INDEX('IS Proforma'!$1:$1048490,MATCH($A184,'IS Proforma'!$C:$C,0),MATCH(J$4,'IS Proforma'!$4:$4))</f>
        <v>-3850</v>
      </c>
      <c r="K184" s="387">
        <f t="array" ref="K184">INDEX('IS Proforma'!$1:$1048490,MATCH($A184,'IS Proforma'!$C:$C,0),MATCH(K$4,'IS Proforma'!$4:$4))</f>
        <v>-5505</v>
      </c>
      <c r="L184" s="387">
        <f t="array" ref="L184">INDEX('IS Proforma'!$1:$1048490,MATCH($A184,'IS Proforma'!$C:$C,0),MATCH(L$4,'IS Proforma'!$4:$4))</f>
        <v>-9039</v>
      </c>
      <c r="M184" s="387">
        <f t="array" ref="M184">INDEX('IS Proforma'!$1:$1048490,MATCH($A184,'IS Proforma'!$C:$C,0),MATCH(M$4,'IS Proforma'!$4:$4))</f>
        <v>-8799</v>
      </c>
      <c r="N184" s="387">
        <f t="array" ref="N184">INDEX('IS Proforma'!$1:$1048490,MATCH($A184,'IS Proforma'!$C:$C,0),MATCH(N$4,'IS Proforma'!$4:$4))</f>
        <v>-4983</v>
      </c>
      <c r="O184" s="387">
        <f t="array" ref="O184">INDEX('IS Proforma'!$1:$1048490,MATCH($A184,'IS Proforma'!$C:$C,0),MATCH(O$4,'IS Proforma'!$4:$4))</f>
        <v>-7654</v>
      </c>
      <c r="P184" s="387">
        <f t="array" ref="P184">INDEX('IS Proforma'!$1:$1048490,MATCH($A184,'IS Proforma'!$C:$C,0),MATCH(P$4,'IS Proforma'!$4:$4))</f>
        <v>-9171</v>
      </c>
      <c r="Q184" s="387">
        <f t="array" ref="Q184">INDEX('IS Proforma'!$1:$1048490,MATCH($A184,'IS Proforma'!$C:$C,0),MATCH(Q$4,'IS Proforma'!$4:$4))</f>
        <v>-161</v>
      </c>
      <c r="R184" s="387">
        <f t="array" ref="R184">INDEX('IS Proforma'!$1:$1048490,MATCH($A184,'IS Proforma'!$C:$C,0),MATCH(R$4,'IS Proforma'!$4:$4))</f>
        <v>-32</v>
      </c>
      <c r="S184" s="387">
        <f t="array" ref="S184">INDEX('IS Proforma'!$1:$1048490,MATCH($A184,'IS Proforma'!$C:$C,0),MATCH(S$4,'IS Proforma'!$4:$4))</f>
        <v>-5994</v>
      </c>
      <c r="T184" s="387">
        <f t="array" ref="T184">INDEX('IS Proforma'!$1:$1048490,MATCH($A184,'IS Proforma'!$C:$C,0),MATCH(T$4,'IS Proforma'!$4:$4))</f>
        <v>-2401</v>
      </c>
      <c r="U184" s="387">
        <f t="array" ref="U184">INDEX('IS Proforma'!$1:$1048490,MATCH($A184,'IS Proforma'!$C:$C,0),MATCH(U$4,'IS Proforma'!$4:$4))</f>
        <v>-854</v>
      </c>
      <c r="V184" s="387">
        <f t="array" ref="V184">INDEX('IS Proforma'!$1:$1048490,MATCH($A184,'IS Proforma'!$C:$C,0),MATCH(V$4,'IS Proforma'!$4:$4))</f>
        <v>-9592</v>
      </c>
      <c r="W184" s="117">
        <f t="shared" ref="W184:AE184" si="95">V184</f>
        <v>-9592</v>
      </c>
      <c r="X184" s="117">
        <f t="shared" si="95"/>
        <v>-9592</v>
      </c>
      <c r="Y184" s="117">
        <f t="shared" si="95"/>
        <v>-9592</v>
      </c>
      <c r="Z184" s="117">
        <f t="shared" si="95"/>
        <v>-9592</v>
      </c>
      <c r="AA184" s="117">
        <f t="shared" si="95"/>
        <v>-9592</v>
      </c>
      <c r="AB184" s="117">
        <f t="shared" si="95"/>
        <v>-9592</v>
      </c>
      <c r="AC184" s="117">
        <f t="shared" si="95"/>
        <v>-9592</v>
      </c>
      <c r="AD184" s="117">
        <f t="shared" si="95"/>
        <v>-9592</v>
      </c>
      <c r="AE184" s="117">
        <f t="shared" si="95"/>
        <v>-9592</v>
      </c>
      <c r="AF184" s="117"/>
      <c r="AG184" s="117" t="str">
        <f t="shared" ref="AG184:CH184" si="96">AF184</f>
        <v/>
      </c>
      <c r="AH184" s="117" t="str">
        <f t="shared" si="96"/>
        <v/>
      </c>
      <c r="AI184" s="117" t="str">
        <f t="shared" si="96"/>
        <v/>
      </c>
      <c r="AJ184" s="117" t="str">
        <f t="shared" si="96"/>
        <v/>
      </c>
      <c r="AK184" s="117" t="str">
        <f t="shared" si="96"/>
        <v/>
      </c>
      <c r="AL184" s="117" t="str">
        <f t="shared" si="96"/>
        <v/>
      </c>
      <c r="AM184" s="117" t="str">
        <f t="shared" si="96"/>
        <v/>
      </c>
      <c r="AN184" s="117" t="str">
        <f t="shared" si="96"/>
        <v/>
      </c>
      <c r="AO184" s="117" t="str">
        <f t="shared" si="96"/>
        <v/>
      </c>
      <c r="AP184" s="117" t="str">
        <f t="shared" si="96"/>
        <v/>
      </c>
      <c r="AQ184" s="117" t="str">
        <f t="shared" si="96"/>
        <v/>
      </c>
      <c r="AR184" s="117" t="str">
        <f t="shared" si="96"/>
        <v/>
      </c>
      <c r="AS184" s="117" t="str">
        <f t="shared" si="96"/>
        <v/>
      </c>
      <c r="AT184" s="117" t="str">
        <f t="shared" si="96"/>
        <v/>
      </c>
      <c r="AU184" s="117" t="str">
        <f t="shared" si="96"/>
        <v/>
      </c>
      <c r="AV184" s="117" t="str">
        <f t="shared" si="96"/>
        <v/>
      </c>
      <c r="AW184" s="117" t="str">
        <f t="shared" si="96"/>
        <v/>
      </c>
      <c r="AX184" s="117" t="str">
        <f t="shared" si="96"/>
        <v/>
      </c>
      <c r="AY184" s="117" t="str">
        <f t="shared" si="96"/>
        <v/>
      </c>
      <c r="AZ184" s="117" t="str">
        <f t="shared" si="96"/>
        <v/>
      </c>
      <c r="BA184" s="117" t="str">
        <f t="shared" si="96"/>
        <v/>
      </c>
      <c r="BB184" s="117" t="str">
        <f t="shared" si="96"/>
        <v/>
      </c>
      <c r="BC184" s="117" t="str">
        <f t="shared" si="96"/>
        <v/>
      </c>
      <c r="BD184" s="117" t="str">
        <f t="shared" si="96"/>
        <v/>
      </c>
      <c r="BE184" s="117" t="str">
        <f t="shared" si="96"/>
        <v/>
      </c>
      <c r="BF184" s="117" t="str">
        <f t="shared" si="96"/>
        <v/>
      </c>
      <c r="BG184" s="117" t="str">
        <f t="shared" si="96"/>
        <v/>
      </c>
      <c r="BH184" s="117" t="str">
        <f t="shared" si="96"/>
        <v/>
      </c>
      <c r="BI184" s="117" t="str">
        <f t="shared" si="96"/>
        <v/>
      </c>
      <c r="BJ184" s="117" t="str">
        <f t="shared" si="96"/>
        <v/>
      </c>
      <c r="BK184" s="117" t="str">
        <f t="shared" si="96"/>
        <v/>
      </c>
      <c r="BL184" s="117" t="str">
        <f t="shared" si="96"/>
        <v/>
      </c>
      <c r="BM184" s="117" t="str">
        <f t="shared" si="96"/>
        <v/>
      </c>
      <c r="BN184" s="117" t="str">
        <f t="shared" si="96"/>
        <v/>
      </c>
      <c r="BO184" s="117" t="str">
        <f t="shared" si="96"/>
        <v/>
      </c>
      <c r="BP184" s="117" t="str">
        <f t="shared" si="96"/>
        <v/>
      </c>
      <c r="BQ184" s="117" t="str">
        <f t="shared" si="96"/>
        <v/>
      </c>
      <c r="BR184" s="117" t="str">
        <f t="shared" si="96"/>
        <v/>
      </c>
      <c r="BS184" s="117" t="str">
        <f t="shared" si="96"/>
        <v/>
      </c>
      <c r="BT184" s="117" t="str">
        <f t="shared" si="96"/>
        <v/>
      </c>
      <c r="BU184" s="117" t="str">
        <f t="shared" si="96"/>
        <v/>
      </c>
      <c r="BV184" s="117" t="str">
        <f t="shared" si="96"/>
        <v/>
      </c>
      <c r="BW184" s="117" t="str">
        <f t="shared" si="96"/>
        <v/>
      </c>
      <c r="BX184" s="117" t="str">
        <f t="shared" si="96"/>
        <v/>
      </c>
      <c r="BY184" s="117" t="str">
        <f t="shared" si="96"/>
        <v/>
      </c>
      <c r="BZ184" s="117" t="str">
        <f t="shared" si="96"/>
        <v/>
      </c>
      <c r="CA184" s="117" t="str">
        <f t="shared" si="96"/>
        <v/>
      </c>
      <c r="CB184" s="117" t="str">
        <f t="shared" si="96"/>
        <v/>
      </c>
      <c r="CC184" s="117" t="str">
        <f t="shared" si="96"/>
        <v/>
      </c>
      <c r="CD184" s="117" t="str">
        <f t="shared" si="96"/>
        <v/>
      </c>
      <c r="CE184" s="117" t="str">
        <f t="shared" si="96"/>
        <v/>
      </c>
      <c r="CF184" s="117" t="str">
        <f t="shared" si="96"/>
        <v/>
      </c>
      <c r="CG184" s="117" t="str">
        <f t="shared" si="96"/>
        <v/>
      </c>
      <c r="CH184" s="117" t="str">
        <f t="shared" si="96"/>
        <v/>
      </c>
      <c r="CI184" s="117"/>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row>
    <row r="186" ht="15.75" customHeight="1">
      <c r="A186" s="23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row>
    <row r="188" ht="15.75" customHeight="1">
      <c r="CI188" s="1"/>
    </row>
    <row r="189" ht="15.75" customHeight="1">
      <c r="CI189" s="456"/>
    </row>
    <row r="190" ht="15.75" customHeight="1">
      <c r="CI190" s="456"/>
    </row>
    <row r="191" ht="15.75" customHeight="1">
      <c r="CI191" s="456"/>
    </row>
    <row r="192" ht="15.75" customHeight="1">
      <c r="CI192" s="130"/>
    </row>
    <row r="193" ht="15.75" customHeight="1" outlineLevel="1">
      <c r="CI193" s="457"/>
    </row>
    <row r="194" ht="15.75" customHeight="1" outlineLevel="1">
      <c r="CI194" s="197"/>
    </row>
    <row r="195" ht="15.75" customHeight="1" outlineLevel="1">
      <c r="CI195" s="457"/>
    </row>
    <row r="196" ht="15.75" customHeight="1" outlineLevel="1">
      <c r="CI196" s="458"/>
    </row>
    <row r="197" ht="15.75" customHeight="1" outlineLevel="1">
      <c r="CI197" s="458"/>
    </row>
    <row r="198" ht="15.75" customHeight="1" outlineLevel="1">
      <c r="CI198" s="458"/>
    </row>
    <row r="199" ht="15.75" customHeight="1" outlineLevel="1">
      <c r="CI199" s="457"/>
    </row>
    <row r="200" ht="15.75" customHeight="1" outlineLevel="1">
      <c r="CI200" s="459"/>
    </row>
    <row r="201" ht="15.75" customHeight="1" outlineLevel="1">
      <c r="CI201" s="198"/>
    </row>
    <row r="202" ht="15.75" customHeight="1" outlineLevel="1">
      <c r="CI202" s="198"/>
    </row>
    <row r="203" ht="15.75" customHeight="1" outlineLevel="1">
      <c r="CI203" s="458"/>
    </row>
    <row r="204" ht="15.75" customHeight="1" outlineLevel="1">
      <c r="CI204" s="198"/>
    </row>
    <row r="205" ht="15.75" customHeight="1" outlineLevel="1">
      <c r="CI205" s="460"/>
    </row>
    <row r="206" ht="15.75" customHeight="1" outlineLevel="1">
      <c r="CI206" s="202"/>
    </row>
    <row r="207" ht="15.75" customHeight="1" outlineLevel="1">
      <c r="CI207" s="130"/>
    </row>
    <row r="208" ht="15.75" customHeight="1" outlineLevel="1">
      <c r="CI208" s="202"/>
    </row>
    <row r="209" ht="15.75" customHeight="1" outlineLevel="1">
      <c r="CI209" s="458"/>
    </row>
    <row r="210" ht="15.75" customHeight="1" outlineLevel="1">
      <c r="CI210" s="458"/>
    </row>
    <row r="211" ht="15.75" customHeight="1" outlineLevel="1">
      <c r="CI211" s="458"/>
    </row>
    <row r="212" ht="15.75" customHeight="1" outlineLevel="1">
      <c r="CI212" s="458"/>
    </row>
    <row r="213" ht="15.75" customHeight="1" outlineLevel="1">
      <c r="CI213" s="458"/>
    </row>
    <row r="214" ht="15.75" customHeight="1" outlineLevel="1">
      <c r="CI214" s="233"/>
    </row>
    <row r="215" ht="15.75" customHeight="1" outlineLevel="1">
      <c r="CI215" s="137"/>
    </row>
    <row r="216" ht="15.75" customHeight="1" outlineLevel="1">
      <c r="CI216" s="198"/>
    </row>
    <row r="217" ht="15.75" customHeight="1" outlineLevel="1">
      <c r="CI217" s="198"/>
    </row>
    <row r="218" ht="15.75" customHeight="1" outlineLevel="1">
      <c r="CI218" s="198"/>
    </row>
    <row r="219" ht="15.75" customHeight="1">
      <c r="CI219" s="198"/>
    </row>
    <row r="220" ht="15.75" customHeight="1">
      <c r="CI220" s="198"/>
    </row>
    <row r="221" ht="15.75" customHeight="1">
      <c r="CI221" s="198"/>
    </row>
    <row r="222" ht="15.75" customHeight="1">
      <c r="CI222" s="460"/>
    </row>
    <row r="223" ht="15.75" customHeight="1">
      <c r="CI223" s="1"/>
    </row>
    <row r="224" ht="15.75" customHeight="1">
      <c r="CI224" s="1"/>
    </row>
    <row r="225" ht="15.75" customHeight="1">
      <c r="CI225" s="1"/>
    </row>
    <row r="226" ht="15.75" customHeight="1">
      <c r="CI226" s="1"/>
    </row>
    <row r="227" ht="15.75" customHeight="1">
      <c r="CI227" s="1"/>
    </row>
    <row r="228" ht="15.75" customHeight="1">
      <c r="CI228" s="1"/>
    </row>
    <row r="229" ht="15.75" customHeight="1">
      <c r="CI229" s="1"/>
    </row>
    <row r="230" ht="15.75" customHeight="1">
      <c r="CI230" s="1"/>
    </row>
    <row r="231" ht="15.75" customHeight="1">
      <c r="CI231" s="1"/>
    </row>
    <row r="232" ht="15.75" customHeight="1" outlineLevel="1">
      <c r="CI232" s="456"/>
    </row>
    <row r="233" ht="15.75" customHeight="1" outlineLevel="1">
      <c r="CI233" s="456"/>
    </row>
    <row r="234" ht="15.75" customHeight="1" outlineLevel="1">
      <c r="CI234" s="456"/>
    </row>
    <row r="235" ht="15.75" customHeight="1" outlineLevel="1">
      <c r="CI235" s="457"/>
    </row>
    <row r="236" ht="15.75" customHeight="1" outlineLevel="1">
      <c r="CI236" s="197"/>
    </row>
    <row r="237" ht="15.75" customHeight="1" outlineLevel="1">
      <c r="CI237" s="457"/>
    </row>
    <row r="238" ht="15.75" customHeight="1" outlineLevel="1">
      <c r="CI238" s="458"/>
    </row>
    <row r="239" ht="15.75" customHeight="1" outlineLevel="1">
      <c r="CI239" s="458"/>
    </row>
    <row r="240" ht="15.75" customHeight="1" outlineLevel="1">
      <c r="CI240" s="458"/>
    </row>
    <row r="241" ht="15.75" customHeight="1" outlineLevel="1">
      <c r="CI241" s="457"/>
    </row>
    <row r="242" ht="15.75" customHeight="1" outlineLevel="1">
      <c r="CI242" s="459"/>
    </row>
    <row r="243" ht="15.75" customHeight="1" outlineLevel="1">
      <c r="CI243" s="198"/>
    </row>
    <row r="244" ht="15.75" customHeight="1" outlineLevel="1">
      <c r="CI244" s="198"/>
    </row>
    <row r="245" ht="15.75" customHeight="1" outlineLevel="1">
      <c r="CI245" s="458"/>
    </row>
    <row r="246" ht="15.75" customHeight="1" outlineLevel="1">
      <c r="CI246" s="198"/>
    </row>
    <row r="247" ht="15.75" customHeight="1" outlineLevel="1">
      <c r="CI247" s="460"/>
    </row>
    <row r="248" ht="15.75" customHeight="1" outlineLevel="1">
      <c r="CI248" s="202"/>
    </row>
    <row r="249" ht="15.75" customHeight="1" outlineLevel="1">
      <c r="CI249" s="130"/>
    </row>
    <row r="250" ht="15.75" customHeight="1" outlineLevel="1">
      <c r="CI250" s="202"/>
    </row>
    <row r="251" ht="15.75" customHeight="1" outlineLevel="1">
      <c r="CI251" s="458"/>
    </row>
    <row r="252" ht="15.75" customHeight="1" outlineLevel="1">
      <c r="CI252" s="458"/>
    </row>
    <row r="253" ht="15.75" customHeight="1" outlineLevel="1">
      <c r="CI253" s="458"/>
    </row>
    <row r="254" ht="15.75" customHeight="1" outlineLevel="1">
      <c r="CI254" s="458"/>
    </row>
    <row r="255" ht="15.75" customHeight="1" outlineLevel="1">
      <c r="CI255" s="458"/>
    </row>
    <row r="256" ht="15.75" customHeight="1" outlineLevel="1">
      <c r="CI256" s="233"/>
    </row>
    <row r="257" ht="15.75" customHeight="1" outlineLevel="1">
      <c r="CI257" s="137"/>
    </row>
    <row r="258" ht="15.75" customHeight="1" outlineLevel="1">
      <c r="CI258" s="198"/>
    </row>
    <row r="259" ht="15.75" customHeight="1" outlineLevel="1">
      <c r="CI259" s="198"/>
    </row>
    <row r="260" ht="15.75" customHeight="1">
      <c r="CI260" s="198"/>
    </row>
    <row r="261" ht="15.75" customHeight="1">
      <c r="CI261" s="198"/>
    </row>
    <row r="262" ht="15.75" customHeight="1">
      <c r="CI262" s="198"/>
    </row>
    <row r="263" ht="15.75" customHeight="1">
      <c r="CI263" s="198"/>
    </row>
    <row r="264" ht="15.75" customHeight="1">
      <c r="CI264" s="460"/>
    </row>
    <row r="265" ht="15.75" customHeight="1" outlineLevel="1">
      <c r="CI265" s="456"/>
    </row>
    <row r="266" ht="15.75" customHeight="1" outlineLevel="1">
      <c r="CI266" s="456"/>
    </row>
    <row r="267" ht="15.75" customHeight="1" outlineLevel="1">
      <c r="CI267" s="456"/>
    </row>
    <row r="268" ht="15.75" customHeight="1" outlineLevel="1">
      <c r="CI268" s="456"/>
    </row>
    <row r="269" ht="15.75" customHeight="1" outlineLevel="1">
      <c r="CI269" s="456"/>
    </row>
    <row r="270" ht="15.75" customHeight="1" outlineLevel="1">
      <c r="CI270" s="456"/>
    </row>
    <row r="271" ht="15.75" customHeight="1" outlineLevel="1">
      <c r="CI271" s="456"/>
    </row>
    <row r="272" ht="15.75" customHeight="1" outlineLevel="1">
      <c r="CI272" s="456"/>
    </row>
    <row r="273" ht="15.75" customHeight="1" outlineLevel="1">
      <c r="CI273" s="130"/>
    </row>
    <row r="274" ht="15.75" customHeight="1" outlineLevel="1">
      <c r="CI274" s="456"/>
    </row>
    <row r="275" ht="15.75" customHeight="1" outlineLevel="1">
      <c r="CI275" s="130"/>
    </row>
    <row r="276" ht="15.75" customHeight="1" outlineLevel="1">
      <c r="CI276" s="457"/>
    </row>
    <row r="277" ht="15.75" customHeight="1" outlineLevel="1">
      <c r="CI277" s="197"/>
    </row>
    <row r="278" ht="15.75" customHeight="1" outlineLevel="1">
      <c r="CI278" s="457"/>
    </row>
    <row r="279" ht="15.75" customHeight="1" outlineLevel="1">
      <c r="CI279" s="458"/>
    </row>
    <row r="280" ht="15.75" customHeight="1" outlineLevel="1">
      <c r="CI280" s="458"/>
    </row>
    <row r="281" ht="15.75" customHeight="1" outlineLevel="1">
      <c r="CI281" s="458"/>
    </row>
    <row r="282" ht="15.75" customHeight="1" outlineLevel="1">
      <c r="CI282" s="457"/>
    </row>
    <row r="283" ht="15.75" customHeight="1" outlineLevel="1">
      <c r="CI283" s="459"/>
    </row>
    <row r="284" ht="15.75" customHeight="1" outlineLevel="1">
      <c r="CI284" s="198"/>
    </row>
    <row r="285" ht="15.75" customHeight="1" outlineLevel="1">
      <c r="CI285" s="198"/>
    </row>
    <row r="286" ht="15.75" customHeight="1" outlineLevel="1">
      <c r="CI286" s="458"/>
    </row>
    <row r="287" ht="15.75" customHeight="1" outlineLevel="1">
      <c r="CI287" s="198"/>
    </row>
    <row r="288" ht="15.75" customHeight="1" outlineLevel="1">
      <c r="CI288" s="460"/>
    </row>
    <row r="289" ht="15.75" customHeight="1" outlineLevel="1">
      <c r="CI289" s="202"/>
    </row>
    <row r="290" ht="15.75" customHeight="1" outlineLevel="1">
      <c r="CI290" s="130"/>
    </row>
    <row r="291" ht="15.75" customHeight="1" outlineLevel="1">
      <c r="CI291" s="202"/>
    </row>
    <row r="292" ht="15.75" customHeight="1" outlineLevel="1">
      <c r="CI292" s="458"/>
    </row>
    <row r="293" ht="15.75" customHeight="1" outlineLevel="1">
      <c r="CI293" s="458"/>
    </row>
    <row r="294" ht="15.75" customHeight="1" outlineLevel="1">
      <c r="CI294" s="458"/>
    </row>
    <row r="295" ht="15.75" customHeight="1" outlineLevel="1">
      <c r="CI295" s="458"/>
    </row>
    <row r="296" ht="15.75" customHeight="1" outlineLevel="1">
      <c r="CI296" s="458"/>
    </row>
    <row r="297" ht="15.75" customHeight="1" outlineLevel="1">
      <c r="CI297" s="233"/>
    </row>
    <row r="298" ht="15.75" customHeight="1" outlineLevel="1">
      <c r="CI298" s="137"/>
    </row>
    <row r="299" ht="15.75" customHeight="1" outlineLevel="1">
      <c r="CI299" s="198"/>
    </row>
    <row r="300" ht="15.75" customHeight="1">
      <c r="CI300" s="198"/>
    </row>
    <row r="301" ht="15.75" customHeight="1">
      <c r="CI301" s="198"/>
    </row>
    <row r="302" ht="15.75" customHeight="1">
      <c r="CI302" s="198"/>
    </row>
    <row r="303" ht="15.75" customHeight="1">
      <c r="CI303" s="198"/>
    </row>
    <row r="304" ht="15.75" customHeight="1">
      <c r="CI304" s="198"/>
    </row>
    <row r="305" ht="15.75" customHeight="1" outlineLevel="1">
      <c r="CI305" s="460"/>
    </row>
    <row r="306" ht="15.75" customHeight="1" outlineLevel="1">
      <c r="CI306" s="130"/>
    </row>
    <row r="307" ht="15.75" customHeight="1" outlineLevel="1">
      <c r="CI307" s="456"/>
    </row>
    <row r="308" ht="15.75" customHeight="1" outlineLevel="1">
      <c r="CI308" s="456"/>
    </row>
    <row r="309" ht="15.75" customHeight="1" outlineLevel="1">
      <c r="CI309" s="456"/>
    </row>
    <row r="310" ht="15.75" customHeight="1" outlineLevel="1">
      <c r="CI310" s="456"/>
    </row>
    <row r="311" ht="15.75" customHeight="1" outlineLevel="1">
      <c r="CI311" s="456"/>
    </row>
    <row r="312" ht="15.75" customHeight="1" outlineLevel="1">
      <c r="CI312" s="456"/>
    </row>
    <row r="313" ht="15.75" customHeight="1" outlineLevel="1">
      <c r="CI313" s="456"/>
    </row>
    <row r="314" ht="15.75" customHeight="1" outlineLevel="1">
      <c r="CI314" s="456"/>
    </row>
    <row r="315" ht="15.75" customHeight="1" outlineLevel="1">
      <c r="CI315" s="456"/>
    </row>
    <row r="316" ht="15.75" customHeight="1" outlineLevel="1">
      <c r="CI316" s="456"/>
    </row>
    <row r="317" ht="15.75" customHeight="1" outlineLevel="1">
      <c r="CI317" s="456"/>
    </row>
    <row r="318" ht="15.75" customHeight="1" outlineLevel="1">
      <c r="CI318" s="137"/>
    </row>
    <row r="319" ht="15.75" customHeight="1" outlineLevel="1">
      <c r="CI319" s="366"/>
    </row>
    <row r="320" ht="15.75" customHeight="1" outlineLevel="1">
      <c r="CI320" s="137"/>
    </row>
    <row r="321" ht="15.75" customHeight="1" outlineLevel="1">
      <c r="CI321" s="366"/>
    </row>
    <row r="322" ht="15.75" customHeight="1" outlineLevel="1">
      <c r="CI322" s="202"/>
    </row>
    <row r="323" ht="15.75" customHeight="1" outlineLevel="1">
      <c r="CI323" s="457"/>
    </row>
    <row r="324" ht="15.75" customHeight="1" outlineLevel="1">
      <c r="CI324" s="198"/>
    </row>
    <row r="325" ht="15.75" customHeight="1" outlineLevel="1">
      <c r="CI325" s="198"/>
    </row>
    <row r="326" ht="15.75" customHeight="1" outlineLevel="1">
      <c r="CI326" s="198"/>
    </row>
    <row r="327" ht="15.75" customHeight="1" outlineLevel="1">
      <c r="CI327" s="198"/>
    </row>
    <row r="328" ht="15.75" customHeight="1" outlineLevel="1">
      <c r="CI328" s="460"/>
    </row>
    <row r="329" ht="15.75" customHeight="1" outlineLevel="1">
      <c r="CI329" s="202"/>
    </row>
    <row r="330" ht="15.75" customHeight="1" outlineLevel="1">
      <c r="CI330" s="130"/>
    </row>
    <row r="331" ht="15.75" customHeight="1" outlineLevel="1">
      <c r="CI331" s="202"/>
    </row>
    <row r="332" ht="15.75" customHeight="1" outlineLevel="1">
      <c r="CI332" s="202"/>
    </row>
    <row r="333" ht="15.75" customHeight="1" outlineLevel="1">
      <c r="CI333" s="202"/>
    </row>
    <row r="334" ht="15.75" customHeight="1" outlineLevel="1">
      <c r="CI334" s="202"/>
    </row>
    <row r="335" ht="15.75" customHeight="1" outlineLevel="1">
      <c r="CI335" s="202"/>
    </row>
    <row r="336" ht="15.75" customHeight="1" outlineLevel="1">
      <c r="CI336" s="202"/>
    </row>
    <row r="337" ht="15.75" customHeight="1" outlineLevel="1">
      <c r="CI337" s="233"/>
    </row>
    <row r="338" ht="15.75" customHeight="1" outlineLevel="1">
      <c r="CI338" s="137"/>
    </row>
    <row r="339" ht="15.75" customHeight="1" outlineLevel="1">
      <c r="CI339" s="198"/>
    </row>
    <row r="340" ht="15.75" customHeight="1">
      <c r="CI340" s="198"/>
    </row>
    <row r="341" ht="15.75" customHeight="1">
      <c r="CI341" s="198"/>
    </row>
    <row r="342" ht="15.75" customHeight="1">
      <c r="CI342" s="198"/>
    </row>
    <row r="343" ht="15.75" customHeight="1">
      <c r="CI343" s="198"/>
    </row>
    <row r="344" ht="15.75" customHeight="1">
      <c r="CI344" s="198"/>
    </row>
    <row r="345" ht="15.75" customHeight="1">
      <c r="CI345" s="460"/>
    </row>
    <row r="346" ht="15.75" customHeight="1">
      <c r="CI346" s="1"/>
    </row>
    <row r="347" ht="15.75" customHeight="1">
      <c r="CI347" s="126"/>
    </row>
    <row r="348" ht="15.75" customHeight="1"/>
    <row r="349" ht="15.75" customHeight="1"/>
    <row r="350" ht="15.75" customHeight="1"/>
    <row r="351" ht="15.75" customHeight="1"/>
    <row r="352" ht="15.75" customHeight="1"/>
    <row r="353" ht="15.75" customHeight="1"/>
    <row r="354" ht="15.75" customHeight="1">
      <c r="M354" s="458"/>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0" topLeftCell="C21" activePane="bottomRight" state="frozen"/>
      <selection activeCell="C1" sqref="C1" pane="topRight"/>
      <selection activeCell="A21" sqref="A21" pane="bottomLeft"/>
      <selection activeCell="C21" sqref="C21" pane="bottomRight"/>
    </sheetView>
  </sheetViews>
  <sheetFormatPr customHeight="1" defaultColWidth="14.43" defaultRowHeight="15.0" outlineLevelCol="1" outlineLevelRow="1"/>
  <cols>
    <col customWidth="1" min="1" max="1" width="42.14"/>
    <col customWidth="1" min="2" max="2" width="15.57"/>
    <col customWidth="1" min="3" max="14" width="12.57" outlineLevel="1"/>
    <col customWidth="1" min="15" max="15" width="12.57"/>
    <col customWidth="1" min="16" max="26" width="14.29"/>
  </cols>
  <sheetData>
    <row r="4">
      <c r="C4" s="241">
        <v>44197.0</v>
      </c>
      <c r="D4" s="241">
        <v>44228.0</v>
      </c>
      <c r="E4" s="241">
        <v>44256.0</v>
      </c>
      <c r="F4" s="241">
        <v>44287.0</v>
      </c>
      <c r="G4" s="241">
        <v>44317.0</v>
      </c>
      <c r="H4" s="241">
        <v>44348.0</v>
      </c>
      <c r="I4" s="241">
        <v>44378.0</v>
      </c>
      <c r="J4" s="241">
        <v>44409.0</v>
      </c>
      <c r="K4" s="241">
        <v>44440.0</v>
      </c>
      <c r="L4" s="241">
        <v>44470.0</v>
      </c>
      <c r="M4" s="241">
        <v>44501.0</v>
      </c>
      <c r="N4" s="241">
        <v>44531.0</v>
      </c>
      <c r="O4" s="92">
        <v>44562.0</v>
      </c>
      <c r="P4" s="93">
        <v>44593.0</v>
      </c>
      <c r="Q4" s="93">
        <v>44621.0</v>
      </c>
      <c r="R4" s="93">
        <v>44652.0</v>
      </c>
      <c r="S4" s="93">
        <v>44682.0</v>
      </c>
      <c r="T4" s="93">
        <v>44713.0</v>
      </c>
      <c r="U4" s="93">
        <v>44743.0</v>
      </c>
      <c r="V4" s="93">
        <v>44774.0</v>
      </c>
      <c r="W4" s="95">
        <v>44805.0</v>
      </c>
      <c r="X4" s="95">
        <v>44835.0</v>
      </c>
      <c r="Y4" s="95">
        <v>44866.0</v>
      </c>
      <c r="Z4" s="95">
        <v>44896.0</v>
      </c>
      <c r="AA4" s="150">
        <v>44927.0</v>
      </c>
      <c r="AB4" s="97">
        <v>44958.0</v>
      </c>
      <c r="AC4" s="97">
        <v>44986.0</v>
      </c>
      <c r="AD4" s="97">
        <v>45017.0</v>
      </c>
      <c r="AE4" s="98">
        <v>45047.0</v>
      </c>
      <c r="AF4" s="98">
        <v>45078.0</v>
      </c>
      <c r="AG4" s="98">
        <v>45108.0</v>
      </c>
      <c r="AH4" s="98">
        <v>45139.0</v>
      </c>
      <c r="AI4" s="98">
        <v>45170.0</v>
      </c>
      <c r="AJ4" s="98">
        <v>45200.0</v>
      </c>
      <c r="AK4" s="98">
        <v>45231.0</v>
      </c>
      <c r="AL4" s="99">
        <v>45261.0</v>
      </c>
      <c r="AM4" s="100">
        <v>45292.0</v>
      </c>
      <c r="AN4" s="98">
        <v>45323.0</v>
      </c>
      <c r="AO4" s="98">
        <v>45352.0</v>
      </c>
      <c r="AP4" s="98">
        <v>45383.0</v>
      </c>
      <c r="AQ4" s="98">
        <v>45413.0</v>
      </c>
      <c r="AR4" s="98">
        <v>45444.0</v>
      </c>
      <c r="AS4" s="98">
        <v>45474.0</v>
      </c>
      <c r="AT4" s="98">
        <v>45505.0</v>
      </c>
      <c r="AU4" s="98">
        <v>45536.0</v>
      </c>
      <c r="AV4" s="98">
        <v>45566.0</v>
      </c>
      <c r="AW4" s="98">
        <v>45597.0</v>
      </c>
      <c r="AX4" s="99">
        <v>45627.0</v>
      </c>
      <c r="AY4" s="100">
        <v>45658.0</v>
      </c>
      <c r="AZ4" s="98">
        <v>45689.0</v>
      </c>
      <c r="BA4" s="98">
        <v>45717.0</v>
      </c>
      <c r="BB4" s="98">
        <v>45748.0</v>
      </c>
      <c r="BC4" s="98">
        <v>45778.0</v>
      </c>
      <c r="BD4" s="98">
        <v>45809.0</v>
      </c>
      <c r="BE4" s="98">
        <v>45839.0</v>
      </c>
      <c r="BF4" s="98">
        <v>45870.0</v>
      </c>
      <c r="BG4" s="98">
        <v>45901.0</v>
      </c>
      <c r="BH4" s="98">
        <v>45931.0</v>
      </c>
      <c r="BI4" s="98">
        <v>45962.0</v>
      </c>
      <c r="BJ4" s="99">
        <v>45992.0</v>
      </c>
      <c r="BK4" s="100">
        <v>46023.0</v>
      </c>
      <c r="BL4" s="98">
        <v>46054.0</v>
      </c>
      <c r="BM4" s="98">
        <v>46082.0</v>
      </c>
      <c r="BN4" s="98">
        <v>46113.0</v>
      </c>
      <c r="BO4" s="98">
        <v>46143.0</v>
      </c>
      <c r="BP4" s="98">
        <v>46174.0</v>
      </c>
      <c r="BQ4" s="98">
        <v>46204.0</v>
      </c>
      <c r="BR4" s="98">
        <v>46235.0</v>
      </c>
      <c r="BS4" s="98">
        <v>46266.0</v>
      </c>
      <c r="BT4" s="98">
        <v>46296.0</v>
      </c>
      <c r="BU4" s="98">
        <v>46327.0</v>
      </c>
      <c r="BV4" s="99">
        <v>46357.0</v>
      </c>
      <c r="BW4" s="100">
        <v>46388.0</v>
      </c>
      <c r="BX4" s="98">
        <v>46419.0</v>
      </c>
      <c r="BY4" s="98">
        <v>46447.0</v>
      </c>
      <c r="BZ4" s="98">
        <v>46478.0</v>
      </c>
      <c r="CA4" s="98">
        <v>46508.0</v>
      </c>
      <c r="CB4" s="98">
        <v>46539.0</v>
      </c>
      <c r="CC4" s="98">
        <v>46569.0</v>
      </c>
      <c r="CD4" s="98">
        <v>46600.0</v>
      </c>
      <c r="CE4" s="98">
        <v>46631.0</v>
      </c>
      <c r="CF4" s="98">
        <v>46661.0</v>
      </c>
      <c r="CG4" s="98">
        <v>46692.0</v>
      </c>
      <c r="CH4" s="99">
        <v>46722.0</v>
      </c>
    </row>
    <row r="5">
      <c r="A5" s="461"/>
    </row>
    <row r="6" hidden="1" outlineLevel="1">
      <c r="A6" s="461" t="s">
        <v>414</v>
      </c>
      <c r="B6" s="461"/>
      <c r="C6" s="461"/>
      <c r="D6" s="461" t="str">
        <f t="shared" ref="D6:CH6" si="1">C213</f>
        <v/>
      </c>
      <c r="E6" s="461" t="str">
        <f t="shared" si="1"/>
        <v/>
      </c>
      <c r="F6" s="461" t="str">
        <f t="shared" si="1"/>
        <v/>
      </c>
      <c r="G6" s="461" t="str">
        <f t="shared" si="1"/>
        <v/>
      </c>
      <c r="H6" s="461" t="str">
        <f t="shared" si="1"/>
        <v/>
      </c>
      <c r="I6" s="461" t="str">
        <f t="shared" si="1"/>
        <v/>
      </c>
      <c r="J6" s="461" t="str">
        <f t="shared" si="1"/>
        <v/>
      </c>
      <c r="K6" s="461" t="str">
        <f t="shared" si="1"/>
        <v/>
      </c>
      <c r="L6" s="461" t="str">
        <f t="shared" si="1"/>
        <v/>
      </c>
      <c r="M6" s="461" t="str">
        <f t="shared" si="1"/>
        <v/>
      </c>
      <c r="N6" s="461" t="str">
        <f t="shared" si="1"/>
        <v/>
      </c>
      <c r="O6" s="461" t="str">
        <f t="shared" si="1"/>
        <v/>
      </c>
      <c r="P6" s="461" t="str">
        <f t="shared" si="1"/>
        <v/>
      </c>
      <c r="Q6" s="461" t="str">
        <f t="shared" si="1"/>
        <v/>
      </c>
      <c r="R6" s="461" t="str">
        <f t="shared" si="1"/>
        <v/>
      </c>
      <c r="S6" s="461" t="str">
        <f t="shared" si="1"/>
        <v/>
      </c>
      <c r="T6" s="461" t="str">
        <f t="shared" si="1"/>
        <v/>
      </c>
      <c r="U6" s="461" t="str">
        <f t="shared" si="1"/>
        <v/>
      </c>
      <c r="V6" s="461">
        <f t="shared" si="1"/>
        <v>0</v>
      </c>
      <c r="W6" s="461">
        <f t="shared" si="1"/>
        <v>1</v>
      </c>
      <c r="X6" s="461">
        <f t="shared" si="1"/>
        <v>1</v>
      </c>
      <c r="Y6" s="461">
        <f t="shared" si="1"/>
        <v>0</v>
      </c>
      <c r="Z6" s="461">
        <f t="shared" si="1"/>
        <v>0</v>
      </c>
      <c r="AA6" s="461">
        <f t="shared" si="1"/>
        <v>0</v>
      </c>
      <c r="AB6" s="461">
        <f t="shared" si="1"/>
        <v>0</v>
      </c>
      <c r="AC6" s="461">
        <f t="shared" si="1"/>
        <v>0</v>
      </c>
      <c r="AD6" s="461">
        <f t="shared" si="1"/>
        <v>0</v>
      </c>
      <c r="AE6" s="461">
        <f t="shared" si="1"/>
        <v>0</v>
      </c>
      <c r="AF6" s="461">
        <f t="shared" si="1"/>
        <v>0</v>
      </c>
      <c r="AG6" s="461">
        <f t="shared" si="1"/>
        <v>0</v>
      </c>
      <c r="AH6" s="461">
        <f t="shared" si="1"/>
        <v>0</v>
      </c>
      <c r="AI6" s="461">
        <f t="shared" si="1"/>
        <v>0</v>
      </c>
      <c r="AJ6" s="461">
        <f t="shared" si="1"/>
        <v>0</v>
      </c>
      <c r="AK6" s="461">
        <f t="shared" si="1"/>
        <v>0</v>
      </c>
      <c r="AL6" s="461">
        <f t="shared" si="1"/>
        <v>0</v>
      </c>
      <c r="AM6" s="461">
        <f t="shared" si="1"/>
        <v>0</v>
      </c>
      <c r="AN6" s="461">
        <f t="shared" si="1"/>
        <v>0</v>
      </c>
      <c r="AO6" s="461">
        <f t="shared" si="1"/>
        <v>0</v>
      </c>
      <c r="AP6" s="461">
        <f t="shared" si="1"/>
        <v>0</v>
      </c>
      <c r="AQ6" s="461">
        <f t="shared" si="1"/>
        <v>0</v>
      </c>
      <c r="AR6" s="461">
        <f t="shared" si="1"/>
        <v>0</v>
      </c>
      <c r="AS6" s="461">
        <f t="shared" si="1"/>
        <v>0</v>
      </c>
      <c r="AT6" s="461">
        <f t="shared" si="1"/>
        <v>0</v>
      </c>
      <c r="AU6" s="461">
        <f t="shared" si="1"/>
        <v>0</v>
      </c>
      <c r="AV6" s="461">
        <f t="shared" si="1"/>
        <v>0</v>
      </c>
      <c r="AW6" s="461">
        <f t="shared" si="1"/>
        <v>0</v>
      </c>
      <c r="AX6" s="461">
        <f t="shared" si="1"/>
        <v>0</v>
      </c>
      <c r="AY6" s="461">
        <f t="shared" si="1"/>
        <v>0</v>
      </c>
      <c r="AZ6" s="461">
        <f t="shared" si="1"/>
        <v>0</v>
      </c>
      <c r="BA6" s="461">
        <f t="shared" si="1"/>
        <v>0</v>
      </c>
      <c r="BB6" s="461">
        <f t="shared" si="1"/>
        <v>0</v>
      </c>
      <c r="BC6" s="461">
        <f t="shared" si="1"/>
        <v>0</v>
      </c>
      <c r="BD6" s="461">
        <f t="shared" si="1"/>
        <v>0</v>
      </c>
      <c r="BE6" s="461">
        <f t="shared" si="1"/>
        <v>0</v>
      </c>
      <c r="BF6" s="461">
        <f t="shared" si="1"/>
        <v>0</v>
      </c>
      <c r="BG6" s="461">
        <f t="shared" si="1"/>
        <v>0</v>
      </c>
      <c r="BH6" s="461">
        <f t="shared" si="1"/>
        <v>0</v>
      </c>
      <c r="BI6" s="461">
        <f t="shared" si="1"/>
        <v>0</v>
      </c>
      <c r="BJ6" s="461">
        <f t="shared" si="1"/>
        <v>0</v>
      </c>
      <c r="BK6" s="461">
        <f t="shared" si="1"/>
        <v>0</v>
      </c>
      <c r="BL6" s="461">
        <f t="shared" si="1"/>
        <v>0</v>
      </c>
      <c r="BM6" s="461">
        <f t="shared" si="1"/>
        <v>0</v>
      </c>
      <c r="BN6" s="461">
        <f t="shared" si="1"/>
        <v>0</v>
      </c>
      <c r="BO6" s="461">
        <f t="shared" si="1"/>
        <v>0</v>
      </c>
      <c r="BP6" s="461">
        <f t="shared" si="1"/>
        <v>0</v>
      </c>
      <c r="BQ6" s="461">
        <f t="shared" si="1"/>
        <v>0</v>
      </c>
      <c r="BR6" s="461">
        <f t="shared" si="1"/>
        <v>0</v>
      </c>
      <c r="BS6" s="461">
        <f t="shared" si="1"/>
        <v>0</v>
      </c>
      <c r="BT6" s="461">
        <f t="shared" si="1"/>
        <v>0</v>
      </c>
      <c r="BU6" s="461">
        <f t="shared" si="1"/>
        <v>0</v>
      </c>
      <c r="BV6" s="461">
        <f t="shared" si="1"/>
        <v>0</v>
      </c>
      <c r="BW6" s="461">
        <f t="shared" si="1"/>
        <v>0</v>
      </c>
      <c r="BX6" s="461">
        <f t="shared" si="1"/>
        <v>0</v>
      </c>
      <c r="BY6" s="461">
        <f t="shared" si="1"/>
        <v>0</v>
      </c>
      <c r="BZ6" s="461">
        <f t="shared" si="1"/>
        <v>0</v>
      </c>
      <c r="CA6" s="461">
        <f t="shared" si="1"/>
        <v>0</v>
      </c>
      <c r="CB6" s="461">
        <f t="shared" si="1"/>
        <v>0</v>
      </c>
      <c r="CC6" s="461">
        <f t="shared" si="1"/>
        <v>0</v>
      </c>
      <c r="CD6" s="461">
        <f t="shared" si="1"/>
        <v>0</v>
      </c>
      <c r="CE6" s="461">
        <f t="shared" si="1"/>
        <v>0</v>
      </c>
      <c r="CF6" s="461">
        <f t="shared" si="1"/>
        <v>0</v>
      </c>
      <c r="CG6" s="461">
        <f t="shared" si="1"/>
        <v>0</v>
      </c>
      <c r="CH6" s="461">
        <f t="shared" si="1"/>
        <v>0</v>
      </c>
    </row>
    <row r="7" hidden="1" outlineLevel="1">
      <c r="A7" s="461" t="s">
        <v>415</v>
      </c>
      <c r="B7" s="461"/>
      <c r="C7" s="461"/>
      <c r="D7" s="461" t="str">
        <f t="shared" ref="D7:CH7" si="2">C239</f>
        <v/>
      </c>
      <c r="E7" s="461" t="str">
        <f t="shared" si="2"/>
        <v/>
      </c>
      <c r="F7" s="461" t="str">
        <f t="shared" si="2"/>
        <v/>
      </c>
      <c r="G7" s="461" t="str">
        <f t="shared" si="2"/>
        <v/>
      </c>
      <c r="H7" s="461" t="str">
        <f t="shared" si="2"/>
        <v/>
      </c>
      <c r="I7" s="461" t="str">
        <f t="shared" si="2"/>
        <v/>
      </c>
      <c r="J7" s="461" t="str">
        <f t="shared" si="2"/>
        <v/>
      </c>
      <c r="K7" s="461" t="str">
        <f t="shared" si="2"/>
        <v/>
      </c>
      <c r="L7" s="461" t="str">
        <f t="shared" si="2"/>
        <v/>
      </c>
      <c r="M7" s="461" t="str">
        <f t="shared" si="2"/>
        <v/>
      </c>
      <c r="N7" s="461" t="str">
        <f t="shared" si="2"/>
        <v/>
      </c>
      <c r="O7" s="461" t="str">
        <f t="shared" si="2"/>
        <v/>
      </c>
      <c r="P7" s="461" t="str">
        <f t="shared" si="2"/>
        <v/>
      </c>
      <c r="Q7" s="461" t="str">
        <f t="shared" si="2"/>
        <v/>
      </c>
      <c r="R7" s="461" t="str">
        <f t="shared" si="2"/>
        <v/>
      </c>
      <c r="S7" s="461">
        <f t="shared" si="2"/>
        <v>3</v>
      </c>
      <c r="T7" s="461">
        <f t="shared" si="2"/>
        <v>0</v>
      </c>
      <c r="U7" s="461">
        <f t="shared" si="2"/>
        <v>0</v>
      </c>
      <c r="V7" s="461">
        <f t="shared" si="2"/>
        <v>3</v>
      </c>
      <c r="W7" s="461">
        <f t="shared" si="2"/>
        <v>2</v>
      </c>
      <c r="X7" s="461">
        <f t="shared" si="2"/>
        <v>-1</v>
      </c>
      <c r="Y7" s="461">
        <f t="shared" si="2"/>
        <v>1</v>
      </c>
      <c r="Z7" s="461">
        <f t="shared" si="2"/>
        <v>1</v>
      </c>
      <c r="AA7" s="461">
        <f t="shared" si="2"/>
        <v>-5</v>
      </c>
      <c r="AB7" s="461">
        <f t="shared" si="2"/>
        <v>0</v>
      </c>
      <c r="AC7" s="461">
        <f t="shared" si="2"/>
        <v>0</v>
      </c>
      <c r="AD7" s="461">
        <f t="shared" si="2"/>
        <v>0</v>
      </c>
      <c r="AE7" s="461">
        <f t="shared" si="2"/>
        <v>0</v>
      </c>
      <c r="AF7" s="461">
        <f t="shared" si="2"/>
        <v>0</v>
      </c>
      <c r="AG7" s="461">
        <f t="shared" si="2"/>
        <v>0</v>
      </c>
      <c r="AH7" s="461">
        <f t="shared" si="2"/>
        <v>0</v>
      </c>
      <c r="AI7" s="461">
        <f t="shared" si="2"/>
        <v>0</v>
      </c>
      <c r="AJ7" s="461">
        <f t="shared" si="2"/>
        <v>1</v>
      </c>
      <c r="AK7" s="461">
        <f t="shared" si="2"/>
        <v>0</v>
      </c>
      <c r="AL7" s="461">
        <f t="shared" si="2"/>
        <v>0</v>
      </c>
      <c r="AM7" s="461">
        <f t="shared" si="2"/>
        <v>0</v>
      </c>
      <c r="AN7" s="461">
        <f t="shared" si="2"/>
        <v>0</v>
      </c>
      <c r="AO7" s="461">
        <f t="shared" si="2"/>
        <v>0</v>
      </c>
      <c r="AP7" s="461">
        <f t="shared" si="2"/>
        <v>0</v>
      </c>
      <c r="AQ7" s="461">
        <f t="shared" si="2"/>
        <v>0</v>
      </c>
      <c r="AR7" s="461">
        <f t="shared" si="2"/>
        <v>0</v>
      </c>
      <c r="AS7" s="461">
        <f t="shared" si="2"/>
        <v>0</v>
      </c>
      <c r="AT7" s="461">
        <f t="shared" si="2"/>
        <v>0</v>
      </c>
      <c r="AU7" s="461">
        <f t="shared" si="2"/>
        <v>0</v>
      </c>
      <c r="AV7" s="461">
        <f t="shared" si="2"/>
        <v>0</v>
      </c>
      <c r="AW7" s="461">
        <f t="shared" si="2"/>
        <v>0</v>
      </c>
      <c r="AX7" s="461">
        <f t="shared" si="2"/>
        <v>0</v>
      </c>
      <c r="AY7" s="461">
        <f t="shared" si="2"/>
        <v>0</v>
      </c>
      <c r="AZ7" s="461">
        <f t="shared" si="2"/>
        <v>0</v>
      </c>
      <c r="BA7" s="461">
        <f t="shared" si="2"/>
        <v>0</v>
      </c>
      <c r="BB7" s="461">
        <f t="shared" si="2"/>
        <v>1</v>
      </c>
      <c r="BC7" s="461">
        <f t="shared" si="2"/>
        <v>0</v>
      </c>
      <c r="BD7" s="461">
        <f t="shared" si="2"/>
        <v>0</v>
      </c>
      <c r="BE7" s="461">
        <f t="shared" si="2"/>
        <v>0</v>
      </c>
      <c r="BF7" s="461">
        <f t="shared" si="2"/>
        <v>0</v>
      </c>
      <c r="BG7" s="461">
        <f t="shared" si="2"/>
        <v>0</v>
      </c>
      <c r="BH7" s="461">
        <f t="shared" si="2"/>
        <v>0</v>
      </c>
      <c r="BI7" s="461">
        <f t="shared" si="2"/>
        <v>0</v>
      </c>
      <c r="BJ7" s="461">
        <f t="shared" si="2"/>
        <v>0</v>
      </c>
      <c r="BK7" s="461">
        <f t="shared" si="2"/>
        <v>0</v>
      </c>
      <c r="BL7" s="461">
        <f t="shared" si="2"/>
        <v>0</v>
      </c>
      <c r="BM7" s="461">
        <f t="shared" si="2"/>
        <v>0</v>
      </c>
      <c r="BN7" s="461">
        <f t="shared" si="2"/>
        <v>1</v>
      </c>
      <c r="BO7" s="461">
        <f t="shared" si="2"/>
        <v>0</v>
      </c>
      <c r="BP7" s="461">
        <f t="shared" si="2"/>
        <v>0</v>
      </c>
      <c r="BQ7" s="461">
        <f t="shared" si="2"/>
        <v>0</v>
      </c>
      <c r="BR7" s="461">
        <f t="shared" si="2"/>
        <v>0</v>
      </c>
      <c r="BS7" s="461">
        <f t="shared" si="2"/>
        <v>0</v>
      </c>
      <c r="BT7" s="461">
        <f t="shared" si="2"/>
        <v>0</v>
      </c>
      <c r="BU7" s="461">
        <f t="shared" si="2"/>
        <v>0</v>
      </c>
      <c r="BV7" s="461">
        <f t="shared" si="2"/>
        <v>0</v>
      </c>
      <c r="BW7" s="461">
        <f t="shared" si="2"/>
        <v>0</v>
      </c>
      <c r="BX7" s="461">
        <f t="shared" si="2"/>
        <v>0</v>
      </c>
      <c r="BY7" s="461">
        <f t="shared" si="2"/>
        <v>0</v>
      </c>
      <c r="BZ7" s="461">
        <f t="shared" si="2"/>
        <v>0</v>
      </c>
      <c r="CA7" s="461">
        <f t="shared" si="2"/>
        <v>0</v>
      </c>
      <c r="CB7" s="461">
        <f t="shared" si="2"/>
        <v>0</v>
      </c>
      <c r="CC7" s="461">
        <f t="shared" si="2"/>
        <v>0</v>
      </c>
      <c r="CD7" s="461">
        <f t="shared" si="2"/>
        <v>0</v>
      </c>
      <c r="CE7" s="461">
        <f t="shared" si="2"/>
        <v>0</v>
      </c>
      <c r="CF7" s="461">
        <f t="shared" si="2"/>
        <v>0</v>
      </c>
      <c r="CG7" s="461">
        <f t="shared" si="2"/>
        <v>0</v>
      </c>
      <c r="CH7" s="461">
        <f t="shared" si="2"/>
        <v>0</v>
      </c>
    </row>
    <row r="8" hidden="1" outlineLevel="1">
      <c r="A8" s="461" t="s">
        <v>47</v>
      </c>
      <c r="B8" s="432"/>
      <c r="C8" s="461"/>
      <c r="D8" s="461">
        <f t="shared" ref="D8:CH8" si="3">SUM(C40,C55)</f>
        <v>0</v>
      </c>
      <c r="E8" s="461">
        <f t="shared" si="3"/>
        <v>0</v>
      </c>
      <c r="F8" s="461">
        <f t="shared" si="3"/>
        <v>0</v>
      </c>
      <c r="G8" s="461">
        <f t="shared" si="3"/>
        <v>0</v>
      </c>
      <c r="H8" s="461">
        <f t="shared" si="3"/>
        <v>0</v>
      </c>
      <c r="I8" s="461">
        <f t="shared" si="3"/>
        <v>0</v>
      </c>
      <c r="J8" s="461">
        <f t="shared" si="3"/>
        <v>0</v>
      </c>
      <c r="K8" s="461">
        <f t="shared" si="3"/>
        <v>0</v>
      </c>
      <c r="L8" s="461">
        <f t="shared" si="3"/>
        <v>0</v>
      </c>
      <c r="M8" s="461">
        <f t="shared" si="3"/>
        <v>0</v>
      </c>
      <c r="N8" s="461">
        <f t="shared" si="3"/>
        <v>2</v>
      </c>
      <c r="O8" s="461">
        <f t="shared" si="3"/>
        <v>0</v>
      </c>
      <c r="P8" s="461">
        <f t="shared" si="3"/>
        <v>0</v>
      </c>
      <c r="Q8" s="461">
        <f t="shared" si="3"/>
        <v>0</v>
      </c>
      <c r="R8" s="461">
        <f t="shared" si="3"/>
        <v>0</v>
      </c>
      <c r="S8" s="461">
        <f t="shared" si="3"/>
        <v>0</v>
      </c>
      <c r="T8" s="461">
        <f t="shared" si="3"/>
        <v>0</v>
      </c>
      <c r="U8" s="461">
        <f t="shared" si="3"/>
        <v>0</v>
      </c>
      <c r="V8" s="461">
        <f t="shared" si="3"/>
        <v>0</v>
      </c>
      <c r="W8" s="461">
        <f t="shared" si="3"/>
        <v>0</v>
      </c>
      <c r="X8" s="461">
        <f t="shared" si="3"/>
        <v>0</v>
      </c>
      <c r="Y8" s="461">
        <f t="shared" si="3"/>
        <v>0</v>
      </c>
      <c r="Z8" s="461">
        <f t="shared" si="3"/>
        <v>1</v>
      </c>
      <c r="AA8" s="461">
        <f t="shared" si="3"/>
        <v>1</v>
      </c>
      <c r="AB8" s="461">
        <f t="shared" si="3"/>
        <v>0</v>
      </c>
      <c r="AC8" s="461">
        <f t="shared" si="3"/>
        <v>0</v>
      </c>
      <c r="AD8" s="461">
        <f t="shared" si="3"/>
        <v>0</v>
      </c>
      <c r="AE8" s="461">
        <f t="shared" si="3"/>
        <v>0</v>
      </c>
      <c r="AF8" s="461">
        <f t="shared" si="3"/>
        <v>0</v>
      </c>
      <c r="AG8" s="461">
        <f t="shared" si="3"/>
        <v>0</v>
      </c>
      <c r="AH8" s="461">
        <f t="shared" si="3"/>
        <v>0</v>
      </c>
      <c r="AI8" s="461">
        <f t="shared" si="3"/>
        <v>0</v>
      </c>
      <c r="AJ8" s="461">
        <f t="shared" si="3"/>
        <v>0</v>
      </c>
      <c r="AK8" s="461">
        <f t="shared" si="3"/>
        <v>0</v>
      </c>
      <c r="AL8" s="461">
        <f t="shared" si="3"/>
        <v>1</v>
      </c>
      <c r="AM8" s="461">
        <f t="shared" si="3"/>
        <v>1</v>
      </c>
      <c r="AN8" s="461">
        <f t="shared" si="3"/>
        <v>2</v>
      </c>
      <c r="AO8" s="461">
        <f t="shared" si="3"/>
        <v>1</v>
      </c>
      <c r="AP8" s="461">
        <f t="shared" si="3"/>
        <v>0</v>
      </c>
      <c r="AQ8" s="461">
        <f t="shared" si="3"/>
        <v>1</v>
      </c>
      <c r="AR8" s="461">
        <f t="shared" si="3"/>
        <v>0</v>
      </c>
      <c r="AS8" s="461">
        <f t="shared" si="3"/>
        <v>1</v>
      </c>
      <c r="AT8" s="461">
        <f t="shared" si="3"/>
        <v>1</v>
      </c>
      <c r="AU8" s="461">
        <f t="shared" si="3"/>
        <v>1</v>
      </c>
      <c r="AV8" s="461">
        <f t="shared" si="3"/>
        <v>1</v>
      </c>
      <c r="AW8" s="461">
        <f t="shared" si="3"/>
        <v>1</v>
      </c>
      <c r="AX8" s="461">
        <f t="shared" si="3"/>
        <v>0</v>
      </c>
      <c r="AY8" s="461">
        <f t="shared" si="3"/>
        <v>0</v>
      </c>
      <c r="AZ8" s="461">
        <f t="shared" si="3"/>
        <v>2</v>
      </c>
      <c r="BA8" s="461">
        <f t="shared" si="3"/>
        <v>1</v>
      </c>
      <c r="BB8" s="461">
        <f t="shared" si="3"/>
        <v>2</v>
      </c>
      <c r="BC8" s="461">
        <f t="shared" si="3"/>
        <v>0</v>
      </c>
      <c r="BD8" s="461">
        <f t="shared" si="3"/>
        <v>1</v>
      </c>
      <c r="BE8" s="461">
        <f t="shared" si="3"/>
        <v>1</v>
      </c>
      <c r="BF8" s="461">
        <f t="shared" si="3"/>
        <v>0</v>
      </c>
      <c r="BG8" s="461">
        <f t="shared" si="3"/>
        <v>1</v>
      </c>
      <c r="BH8" s="461">
        <f t="shared" si="3"/>
        <v>1</v>
      </c>
      <c r="BI8" s="461">
        <f t="shared" si="3"/>
        <v>0</v>
      </c>
      <c r="BJ8" s="461">
        <f t="shared" si="3"/>
        <v>1</v>
      </c>
      <c r="BK8" s="461">
        <f t="shared" si="3"/>
        <v>1</v>
      </c>
      <c r="BL8" s="461">
        <f t="shared" si="3"/>
        <v>0</v>
      </c>
      <c r="BM8" s="461">
        <f t="shared" si="3"/>
        <v>1</v>
      </c>
      <c r="BN8" s="461">
        <f t="shared" si="3"/>
        <v>0</v>
      </c>
      <c r="BO8" s="461">
        <f t="shared" si="3"/>
        <v>1</v>
      </c>
      <c r="BP8" s="461">
        <f t="shared" si="3"/>
        <v>0</v>
      </c>
      <c r="BQ8" s="461">
        <f t="shared" si="3"/>
        <v>1</v>
      </c>
      <c r="BR8" s="461">
        <f t="shared" si="3"/>
        <v>0</v>
      </c>
      <c r="BS8" s="461">
        <f t="shared" si="3"/>
        <v>1</v>
      </c>
      <c r="BT8" s="461">
        <f t="shared" si="3"/>
        <v>0</v>
      </c>
      <c r="BU8" s="461">
        <f t="shared" si="3"/>
        <v>1</v>
      </c>
      <c r="BV8" s="461">
        <f t="shared" si="3"/>
        <v>0</v>
      </c>
      <c r="BW8" s="461">
        <f t="shared" si="3"/>
        <v>1</v>
      </c>
      <c r="BX8" s="461">
        <f t="shared" si="3"/>
        <v>2</v>
      </c>
      <c r="BY8" s="461">
        <f t="shared" si="3"/>
        <v>1</v>
      </c>
      <c r="BZ8" s="461">
        <f t="shared" si="3"/>
        <v>1</v>
      </c>
      <c r="CA8" s="461">
        <f t="shared" si="3"/>
        <v>0</v>
      </c>
      <c r="CB8" s="461">
        <f t="shared" si="3"/>
        <v>1</v>
      </c>
      <c r="CC8" s="461">
        <f t="shared" si="3"/>
        <v>0</v>
      </c>
      <c r="CD8" s="461">
        <f t="shared" si="3"/>
        <v>0</v>
      </c>
      <c r="CE8" s="461">
        <f t="shared" si="3"/>
        <v>1</v>
      </c>
      <c r="CF8" s="461">
        <f t="shared" si="3"/>
        <v>0</v>
      </c>
      <c r="CG8" s="461">
        <f t="shared" si="3"/>
        <v>1</v>
      </c>
      <c r="CH8" s="461">
        <f t="shared" si="3"/>
        <v>1</v>
      </c>
    </row>
    <row r="9" hidden="1" outlineLevel="1">
      <c r="A9" s="461" t="s">
        <v>689</v>
      </c>
      <c r="B9" s="432"/>
      <c r="C9" s="461"/>
      <c r="D9" s="461" t="str">
        <f t="shared" ref="D9:CH9" si="4">C47</f>
        <v/>
      </c>
      <c r="E9" s="461" t="str">
        <f t="shared" si="4"/>
        <v/>
      </c>
      <c r="F9" s="461" t="str">
        <f t="shared" si="4"/>
        <v/>
      </c>
      <c r="G9" s="461" t="str">
        <f t="shared" si="4"/>
        <v/>
      </c>
      <c r="H9" s="461" t="str">
        <f t="shared" si="4"/>
        <v/>
      </c>
      <c r="I9" s="461" t="str">
        <f t="shared" si="4"/>
        <v/>
      </c>
      <c r="J9" s="461" t="str">
        <f t="shared" si="4"/>
        <v/>
      </c>
      <c r="K9" s="461" t="str">
        <f t="shared" si="4"/>
        <v/>
      </c>
      <c r="L9" s="461" t="str">
        <f t="shared" si="4"/>
        <v/>
      </c>
      <c r="M9" s="461" t="str">
        <f t="shared" si="4"/>
        <v/>
      </c>
      <c r="N9" s="461" t="str">
        <f t="shared" si="4"/>
        <v/>
      </c>
      <c r="O9" s="461" t="str">
        <f t="shared" si="4"/>
        <v/>
      </c>
      <c r="P9" s="461" t="str">
        <f t="shared" si="4"/>
        <v/>
      </c>
      <c r="Q9" s="461" t="str">
        <f t="shared" si="4"/>
        <v/>
      </c>
      <c r="R9" s="461" t="str">
        <f t="shared" si="4"/>
        <v/>
      </c>
      <c r="S9" s="461" t="str">
        <f t="shared" si="4"/>
        <v/>
      </c>
      <c r="T9" s="461" t="str">
        <f t="shared" si="4"/>
        <v/>
      </c>
      <c r="U9" s="461" t="str">
        <f t="shared" si="4"/>
        <v/>
      </c>
      <c r="V9" s="461" t="str">
        <f t="shared" si="4"/>
        <v/>
      </c>
      <c r="W9" s="461" t="str">
        <f t="shared" si="4"/>
        <v/>
      </c>
      <c r="X9" s="461" t="str">
        <f t="shared" si="4"/>
        <v/>
      </c>
      <c r="Y9" s="461" t="str">
        <f t="shared" si="4"/>
        <v/>
      </c>
      <c r="Z9" s="461">
        <f t="shared" si="4"/>
        <v>5</v>
      </c>
      <c r="AA9" s="461">
        <f t="shared" si="4"/>
        <v>2</v>
      </c>
      <c r="AB9" s="461">
        <f t="shared" si="4"/>
        <v>1</v>
      </c>
      <c r="AC9" s="461">
        <f t="shared" si="4"/>
        <v>1</v>
      </c>
      <c r="AD9" s="461">
        <f t="shared" si="4"/>
        <v>0</v>
      </c>
      <c r="AE9" s="461">
        <f t="shared" si="4"/>
        <v>0</v>
      </c>
      <c r="AF9" s="461">
        <f t="shared" si="4"/>
        <v>0</v>
      </c>
      <c r="AG9" s="461">
        <f t="shared" si="4"/>
        <v>0</v>
      </c>
      <c r="AH9" s="461">
        <f t="shared" si="4"/>
        <v>0</v>
      </c>
      <c r="AI9" s="461">
        <f t="shared" si="4"/>
        <v>0</v>
      </c>
      <c r="AJ9" s="461">
        <f t="shared" si="4"/>
        <v>0</v>
      </c>
      <c r="AK9" s="461">
        <f t="shared" si="4"/>
        <v>0</v>
      </c>
      <c r="AL9" s="461">
        <f t="shared" si="4"/>
        <v>0</v>
      </c>
      <c r="AM9" s="461">
        <f t="shared" si="4"/>
        <v>0</v>
      </c>
      <c r="AN9" s="461">
        <f t="shared" si="4"/>
        <v>0</v>
      </c>
      <c r="AO9" s="461">
        <f t="shared" si="4"/>
        <v>0</v>
      </c>
      <c r="AP9" s="461">
        <f t="shared" si="4"/>
        <v>0</v>
      </c>
      <c r="AQ9" s="461">
        <f t="shared" si="4"/>
        <v>0</v>
      </c>
      <c r="AR9" s="461">
        <f t="shared" si="4"/>
        <v>0</v>
      </c>
      <c r="AS9" s="461">
        <f t="shared" si="4"/>
        <v>0</v>
      </c>
      <c r="AT9" s="461">
        <f t="shared" si="4"/>
        <v>1</v>
      </c>
      <c r="AU9" s="461">
        <f t="shared" si="4"/>
        <v>0</v>
      </c>
      <c r="AV9" s="461">
        <f t="shared" si="4"/>
        <v>0</v>
      </c>
      <c r="AW9" s="461">
        <f t="shared" si="4"/>
        <v>1</v>
      </c>
      <c r="AX9" s="461">
        <f t="shared" si="4"/>
        <v>0</v>
      </c>
      <c r="AY9" s="461">
        <f t="shared" si="4"/>
        <v>0</v>
      </c>
      <c r="AZ9" s="461">
        <f t="shared" si="4"/>
        <v>0</v>
      </c>
      <c r="BA9" s="461">
        <f t="shared" si="4"/>
        <v>1</v>
      </c>
      <c r="BB9" s="461">
        <f t="shared" si="4"/>
        <v>1</v>
      </c>
      <c r="BC9" s="461">
        <f t="shared" si="4"/>
        <v>0</v>
      </c>
      <c r="BD9" s="461">
        <f t="shared" si="4"/>
        <v>0</v>
      </c>
      <c r="BE9" s="461">
        <f t="shared" si="4"/>
        <v>1</v>
      </c>
      <c r="BF9" s="461">
        <f t="shared" si="4"/>
        <v>0</v>
      </c>
      <c r="BG9" s="461">
        <f t="shared" si="4"/>
        <v>0</v>
      </c>
      <c r="BH9" s="461">
        <f t="shared" si="4"/>
        <v>1</v>
      </c>
      <c r="BI9" s="461">
        <f t="shared" si="4"/>
        <v>0</v>
      </c>
      <c r="BJ9" s="461">
        <f t="shared" si="4"/>
        <v>0</v>
      </c>
      <c r="BK9" s="461">
        <f t="shared" si="4"/>
        <v>1</v>
      </c>
      <c r="BL9" s="461">
        <f t="shared" si="4"/>
        <v>0</v>
      </c>
      <c r="BM9" s="461">
        <f t="shared" si="4"/>
        <v>0</v>
      </c>
      <c r="BN9" s="461">
        <f t="shared" si="4"/>
        <v>0</v>
      </c>
      <c r="BO9" s="461">
        <f t="shared" si="4"/>
        <v>0</v>
      </c>
      <c r="BP9" s="461">
        <f t="shared" si="4"/>
        <v>1</v>
      </c>
      <c r="BQ9" s="461">
        <f t="shared" si="4"/>
        <v>0</v>
      </c>
      <c r="BR9" s="461">
        <f t="shared" si="4"/>
        <v>0</v>
      </c>
      <c r="BS9" s="461">
        <f t="shared" si="4"/>
        <v>0</v>
      </c>
      <c r="BT9" s="461">
        <f t="shared" si="4"/>
        <v>1</v>
      </c>
      <c r="BU9" s="461">
        <f t="shared" si="4"/>
        <v>0</v>
      </c>
      <c r="BV9" s="461">
        <f t="shared" si="4"/>
        <v>0</v>
      </c>
      <c r="BW9" s="461">
        <f t="shared" si="4"/>
        <v>0</v>
      </c>
      <c r="BX9" s="461">
        <f t="shared" si="4"/>
        <v>1</v>
      </c>
      <c r="BY9" s="461">
        <f t="shared" si="4"/>
        <v>0</v>
      </c>
      <c r="BZ9" s="461">
        <f t="shared" si="4"/>
        <v>1</v>
      </c>
      <c r="CA9" s="461">
        <f t="shared" si="4"/>
        <v>0</v>
      </c>
      <c r="CB9" s="461">
        <f t="shared" si="4"/>
        <v>0</v>
      </c>
      <c r="CC9" s="461">
        <f t="shared" si="4"/>
        <v>1</v>
      </c>
      <c r="CD9" s="461">
        <f t="shared" si="4"/>
        <v>0</v>
      </c>
      <c r="CE9" s="461">
        <f t="shared" si="4"/>
        <v>0</v>
      </c>
      <c r="CF9" s="461">
        <f t="shared" si="4"/>
        <v>0</v>
      </c>
      <c r="CG9" s="461">
        <f t="shared" si="4"/>
        <v>0</v>
      </c>
      <c r="CH9" s="461">
        <f t="shared" si="4"/>
        <v>1</v>
      </c>
    </row>
    <row r="10" hidden="1" outlineLevel="1">
      <c r="A10" s="461" t="s">
        <v>85</v>
      </c>
      <c r="B10" s="432"/>
      <c r="C10" s="461"/>
      <c r="D10" s="461">
        <f t="shared" ref="D10:CH10" si="5">SUM(C77,C91)</f>
        <v>0</v>
      </c>
      <c r="E10" s="461">
        <f t="shared" si="5"/>
        <v>0</v>
      </c>
      <c r="F10" s="461">
        <f t="shared" si="5"/>
        <v>0</v>
      </c>
      <c r="G10" s="461">
        <f t="shared" si="5"/>
        <v>0</v>
      </c>
      <c r="H10" s="461">
        <f t="shared" si="5"/>
        <v>0</v>
      </c>
      <c r="I10" s="461">
        <f t="shared" si="5"/>
        <v>0</v>
      </c>
      <c r="J10" s="461">
        <f t="shared" si="5"/>
        <v>0</v>
      </c>
      <c r="K10" s="461">
        <f t="shared" si="5"/>
        <v>0</v>
      </c>
      <c r="L10" s="461">
        <f t="shared" si="5"/>
        <v>0</v>
      </c>
      <c r="M10" s="461">
        <f t="shared" si="5"/>
        <v>0</v>
      </c>
      <c r="N10" s="461">
        <f t="shared" si="5"/>
        <v>0</v>
      </c>
      <c r="O10" s="461">
        <f t="shared" si="5"/>
        <v>0</v>
      </c>
      <c r="P10" s="461">
        <f t="shared" si="5"/>
        <v>0</v>
      </c>
      <c r="Q10" s="461">
        <f t="shared" si="5"/>
        <v>0</v>
      </c>
      <c r="R10" s="461">
        <f t="shared" si="5"/>
        <v>0</v>
      </c>
      <c r="S10" s="461">
        <f t="shared" si="5"/>
        <v>0</v>
      </c>
      <c r="T10" s="461">
        <f t="shared" si="5"/>
        <v>0</v>
      </c>
      <c r="U10" s="461">
        <f t="shared" si="5"/>
        <v>0</v>
      </c>
      <c r="V10" s="461">
        <f t="shared" si="5"/>
        <v>0</v>
      </c>
      <c r="W10" s="461">
        <f t="shared" si="5"/>
        <v>0</v>
      </c>
      <c r="X10" s="461">
        <f t="shared" si="5"/>
        <v>0</v>
      </c>
      <c r="Y10" s="461">
        <f t="shared" si="5"/>
        <v>0</v>
      </c>
      <c r="Z10" s="461">
        <f t="shared" si="5"/>
        <v>1</v>
      </c>
      <c r="AA10" s="461">
        <f t="shared" si="5"/>
        <v>0</v>
      </c>
      <c r="AB10" s="461">
        <f t="shared" si="5"/>
        <v>0</v>
      </c>
      <c r="AC10" s="461">
        <f t="shared" si="5"/>
        <v>0</v>
      </c>
      <c r="AD10" s="461">
        <f t="shared" si="5"/>
        <v>0</v>
      </c>
      <c r="AE10" s="461">
        <f t="shared" si="5"/>
        <v>0</v>
      </c>
      <c r="AF10" s="461">
        <f t="shared" si="5"/>
        <v>0</v>
      </c>
      <c r="AG10" s="461">
        <f t="shared" si="5"/>
        <v>0</v>
      </c>
      <c r="AH10" s="461">
        <f t="shared" si="5"/>
        <v>0</v>
      </c>
      <c r="AI10" s="461">
        <f t="shared" si="5"/>
        <v>0</v>
      </c>
      <c r="AJ10" s="461">
        <f t="shared" si="5"/>
        <v>0</v>
      </c>
      <c r="AK10" s="461">
        <f t="shared" si="5"/>
        <v>0</v>
      </c>
      <c r="AL10" s="461">
        <f t="shared" si="5"/>
        <v>0</v>
      </c>
      <c r="AM10" s="461">
        <f t="shared" si="5"/>
        <v>0</v>
      </c>
      <c r="AN10" s="461">
        <f t="shared" si="5"/>
        <v>0</v>
      </c>
      <c r="AO10" s="461">
        <f t="shared" si="5"/>
        <v>0</v>
      </c>
      <c r="AP10" s="461">
        <f t="shared" si="5"/>
        <v>0</v>
      </c>
      <c r="AQ10" s="461">
        <f t="shared" si="5"/>
        <v>0</v>
      </c>
      <c r="AR10" s="461">
        <f t="shared" si="5"/>
        <v>0</v>
      </c>
      <c r="AS10" s="461">
        <f t="shared" si="5"/>
        <v>0</v>
      </c>
      <c r="AT10" s="461">
        <f t="shared" si="5"/>
        <v>0</v>
      </c>
      <c r="AU10" s="461">
        <f t="shared" si="5"/>
        <v>0</v>
      </c>
      <c r="AV10" s="461">
        <f t="shared" si="5"/>
        <v>0</v>
      </c>
      <c r="AW10" s="461">
        <f t="shared" si="5"/>
        <v>0</v>
      </c>
      <c r="AX10" s="461">
        <f t="shared" si="5"/>
        <v>0</v>
      </c>
      <c r="AY10" s="461">
        <f t="shared" si="5"/>
        <v>0</v>
      </c>
      <c r="AZ10" s="461">
        <f t="shared" si="5"/>
        <v>0</v>
      </c>
      <c r="BA10" s="461">
        <f t="shared" si="5"/>
        <v>0</v>
      </c>
      <c r="BB10" s="461">
        <f t="shared" si="5"/>
        <v>0</v>
      </c>
      <c r="BC10" s="461">
        <f t="shared" si="5"/>
        <v>0</v>
      </c>
      <c r="BD10" s="461">
        <f t="shared" si="5"/>
        <v>0</v>
      </c>
      <c r="BE10" s="461">
        <f t="shared" si="5"/>
        <v>0</v>
      </c>
      <c r="BF10" s="461">
        <f t="shared" si="5"/>
        <v>0</v>
      </c>
      <c r="BG10" s="461">
        <f t="shared" si="5"/>
        <v>0</v>
      </c>
      <c r="BH10" s="461">
        <f t="shared" si="5"/>
        <v>0</v>
      </c>
      <c r="BI10" s="461">
        <f t="shared" si="5"/>
        <v>0</v>
      </c>
      <c r="BJ10" s="461">
        <f t="shared" si="5"/>
        <v>1</v>
      </c>
      <c r="BK10" s="461">
        <f t="shared" si="5"/>
        <v>0</v>
      </c>
      <c r="BL10" s="461">
        <f t="shared" si="5"/>
        <v>3</v>
      </c>
      <c r="BM10" s="461">
        <f t="shared" si="5"/>
        <v>1</v>
      </c>
      <c r="BN10" s="461">
        <f t="shared" si="5"/>
        <v>0</v>
      </c>
      <c r="BO10" s="461">
        <f t="shared" si="5"/>
        <v>0</v>
      </c>
      <c r="BP10" s="461">
        <f t="shared" si="5"/>
        <v>0</v>
      </c>
      <c r="BQ10" s="461">
        <f t="shared" si="5"/>
        <v>1</v>
      </c>
      <c r="BR10" s="461">
        <f t="shared" si="5"/>
        <v>1</v>
      </c>
      <c r="BS10" s="461">
        <f t="shared" si="5"/>
        <v>0</v>
      </c>
      <c r="BT10" s="461">
        <f t="shared" si="5"/>
        <v>0</v>
      </c>
      <c r="BU10" s="461">
        <f t="shared" si="5"/>
        <v>1</v>
      </c>
      <c r="BV10" s="461">
        <f t="shared" si="5"/>
        <v>0</v>
      </c>
      <c r="BW10" s="461">
        <f t="shared" si="5"/>
        <v>0</v>
      </c>
      <c r="BX10" s="461">
        <f t="shared" si="5"/>
        <v>0</v>
      </c>
      <c r="BY10" s="461">
        <f t="shared" si="5"/>
        <v>0</v>
      </c>
      <c r="BZ10" s="461">
        <f t="shared" si="5"/>
        <v>0</v>
      </c>
      <c r="CA10" s="461">
        <f t="shared" si="5"/>
        <v>0</v>
      </c>
      <c r="CB10" s="461">
        <f t="shared" si="5"/>
        <v>1</v>
      </c>
      <c r="CC10" s="461">
        <f t="shared" si="5"/>
        <v>0</v>
      </c>
      <c r="CD10" s="461">
        <f t="shared" si="5"/>
        <v>0</v>
      </c>
      <c r="CE10" s="461">
        <f t="shared" si="5"/>
        <v>0</v>
      </c>
      <c r="CF10" s="461">
        <f t="shared" si="5"/>
        <v>0</v>
      </c>
      <c r="CG10" s="461">
        <f t="shared" si="5"/>
        <v>1</v>
      </c>
      <c r="CH10" s="461">
        <f t="shared" si="5"/>
        <v>0</v>
      </c>
    </row>
    <row r="11" hidden="1" outlineLevel="1">
      <c r="A11" s="461" t="s">
        <v>690</v>
      </c>
      <c r="B11" s="432"/>
      <c r="C11" s="461"/>
      <c r="D11" s="461"/>
      <c r="E11" s="461"/>
      <c r="F11" s="461"/>
      <c r="G11" s="461"/>
      <c r="H11" s="461"/>
      <c r="I11" s="461"/>
      <c r="J11" s="461"/>
      <c r="K11" s="461"/>
      <c r="L11" s="461"/>
      <c r="M11" s="461"/>
      <c r="N11" s="461"/>
      <c r="O11" s="461"/>
      <c r="P11" s="461"/>
      <c r="Q11" s="461"/>
      <c r="R11" s="461"/>
      <c r="S11" s="461"/>
      <c r="T11" s="461"/>
      <c r="U11" s="461"/>
      <c r="V11" s="461"/>
      <c r="W11" s="461"/>
      <c r="X11" s="461"/>
      <c r="Y11" s="461">
        <f t="shared" ref="Y11:CH11" si="6">X83</f>
        <v>1</v>
      </c>
      <c r="Z11" s="461">
        <f t="shared" si="6"/>
        <v>1</v>
      </c>
      <c r="AA11" s="461">
        <f t="shared" si="6"/>
        <v>4</v>
      </c>
      <c r="AB11" s="461">
        <f t="shared" si="6"/>
        <v>1</v>
      </c>
      <c r="AC11" s="461">
        <f t="shared" si="6"/>
        <v>1</v>
      </c>
      <c r="AD11" s="461">
        <f t="shared" si="6"/>
        <v>1</v>
      </c>
      <c r="AE11" s="461">
        <f t="shared" si="6"/>
        <v>0</v>
      </c>
      <c r="AF11" s="461">
        <f t="shared" si="6"/>
        <v>0</v>
      </c>
      <c r="AG11" s="461">
        <f t="shared" si="6"/>
        <v>0</v>
      </c>
      <c r="AH11" s="461">
        <f t="shared" si="6"/>
        <v>0</v>
      </c>
      <c r="AI11" s="461">
        <f t="shared" si="6"/>
        <v>0</v>
      </c>
      <c r="AJ11" s="461">
        <f t="shared" si="6"/>
        <v>0</v>
      </c>
      <c r="AK11" s="461">
        <f t="shared" si="6"/>
        <v>0</v>
      </c>
      <c r="AL11" s="461">
        <f t="shared" si="6"/>
        <v>0</v>
      </c>
      <c r="AM11" s="461">
        <f t="shared" si="6"/>
        <v>0</v>
      </c>
      <c r="AN11" s="461">
        <f t="shared" si="6"/>
        <v>0</v>
      </c>
      <c r="AO11" s="461">
        <f t="shared" si="6"/>
        <v>0</v>
      </c>
      <c r="AP11" s="461">
        <f t="shared" si="6"/>
        <v>0</v>
      </c>
      <c r="AQ11" s="461">
        <f t="shared" si="6"/>
        <v>0</v>
      </c>
      <c r="AR11" s="461">
        <f t="shared" si="6"/>
        <v>0</v>
      </c>
      <c r="AS11" s="461">
        <f t="shared" si="6"/>
        <v>0</v>
      </c>
      <c r="AT11" s="461">
        <f t="shared" si="6"/>
        <v>0</v>
      </c>
      <c r="AU11" s="461">
        <f t="shared" si="6"/>
        <v>0</v>
      </c>
      <c r="AV11" s="461">
        <f t="shared" si="6"/>
        <v>0</v>
      </c>
      <c r="AW11" s="461">
        <f t="shared" si="6"/>
        <v>0</v>
      </c>
      <c r="AX11" s="461">
        <f t="shared" si="6"/>
        <v>0</v>
      </c>
      <c r="AY11" s="461">
        <f t="shared" si="6"/>
        <v>0</v>
      </c>
      <c r="AZ11" s="461">
        <f t="shared" si="6"/>
        <v>0</v>
      </c>
      <c r="BA11" s="461">
        <f t="shared" si="6"/>
        <v>0</v>
      </c>
      <c r="BB11" s="461">
        <f t="shared" si="6"/>
        <v>0</v>
      </c>
      <c r="BC11" s="461">
        <f t="shared" si="6"/>
        <v>0</v>
      </c>
      <c r="BD11" s="461">
        <f t="shared" si="6"/>
        <v>0</v>
      </c>
      <c r="BE11" s="461">
        <f t="shared" si="6"/>
        <v>0</v>
      </c>
      <c r="BF11" s="461">
        <f t="shared" si="6"/>
        <v>0</v>
      </c>
      <c r="BG11" s="461">
        <f t="shared" si="6"/>
        <v>0</v>
      </c>
      <c r="BH11" s="461">
        <f t="shared" si="6"/>
        <v>0</v>
      </c>
      <c r="BI11" s="461">
        <f t="shared" si="6"/>
        <v>0</v>
      </c>
      <c r="BJ11" s="461">
        <f t="shared" si="6"/>
        <v>0</v>
      </c>
      <c r="BK11" s="461">
        <f t="shared" si="6"/>
        <v>0</v>
      </c>
      <c r="BL11" s="461">
        <f t="shared" si="6"/>
        <v>0</v>
      </c>
      <c r="BM11" s="461">
        <f t="shared" si="6"/>
        <v>1</v>
      </c>
      <c r="BN11" s="461">
        <f t="shared" si="6"/>
        <v>1</v>
      </c>
      <c r="BO11" s="461">
        <f t="shared" si="6"/>
        <v>0</v>
      </c>
      <c r="BP11" s="461">
        <f t="shared" si="6"/>
        <v>0</v>
      </c>
      <c r="BQ11" s="461">
        <f t="shared" si="6"/>
        <v>0</v>
      </c>
      <c r="BR11" s="461">
        <f t="shared" si="6"/>
        <v>1</v>
      </c>
      <c r="BS11" s="461">
        <f t="shared" si="6"/>
        <v>0</v>
      </c>
      <c r="BT11" s="461">
        <f t="shared" si="6"/>
        <v>0</v>
      </c>
      <c r="BU11" s="461">
        <f t="shared" si="6"/>
        <v>0</v>
      </c>
      <c r="BV11" s="461">
        <f t="shared" si="6"/>
        <v>0</v>
      </c>
      <c r="BW11" s="461">
        <f t="shared" si="6"/>
        <v>0</v>
      </c>
      <c r="BX11" s="461">
        <f t="shared" si="6"/>
        <v>0</v>
      </c>
      <c r="BY11" s="461">
        <f t="shared" si="6"/>
        <v>0</v>
      </c>
      <c r="BZ11" s="461">
        <f t="shared" si="6"/>
        <v>0</v>
      </c>
      <c r="CA11" s="461">
        <f t="shared" si="6"/>
        <v>0</v>
      </c>
      <c r="CB11" s="461">
        <f t="shared" si="6"/>
        <v>0</v>
      </c>
      <c r="CC11" s="461">
        <f t="shared" si="6"/>
        <v>1</v>
      </c>
      <c r="CD11" s="461">
        <f t="shared" si="6"/>
        <v>0</v>
      </c>
      <c r="CE11" s="461">
        <f t="shared" si="6"/>
        <v>0</v>
      </c>
      <c r="CF11" s="461">
        <f t="shared" si="6"/>
        <v>0</v>
      </c>
      <c r="CG11" s="461">
        <f t="shared" si="6"/>
        <v>0</v>
      </c>
      <c r="CH11" s="461">
        <f t="shared" si="6"/>
        <v>0</v>
      </c>
    </row>
    <row r="12" hidden="1" outlineLevel="1">
      <c r="A12" s="461" t="s">
        <v>168</v>
      </c>
      <c r="B12" s="432"/>
      <c r="C12" s="461"/>
      <c r="D12" s="461">
        <f t="shared" ref="D12:CH12" si="7">SUM(C113,C120)</f>
        <v>0</v>
      </c>
      <c r="E12" s="461">
        <f t="shared" si="7"/>
        <v>0</v>
      </c>
      <c r="F12" s="461">
        <f t="shared" si="7"/>
        <v>0</v>
      </c>
      <c r="G12" s="461">
        <f t="shared" si="7"/>
        <v>0</v>
      </c>
      <c r="H12" s="461">
        <f t="shared" si="7"/>
        <v>0</v>
      </c>
      <c r="I12" s="461">
        <f t="shared" si="7"/>
        <v>0</v>
      </c>
      <c r="J12" s="461">
        <f t="shared" si="7"/>
        <v>0</v>
      </c>
      <c r="K12" s="461">
        <f t="shared" si="7"/>
        <v>0</v>
      </c>
      <c r="L12" s="461">
        <f t="shared" si="7"/>
        <v>0</v>
      </c>
      <c r="M12" s="461">
        <f t="shared" si="7"/>
        <v>0</v>
      </c>
      <c r="N12" s="461">
        <f t="shared" si="7"/>
        <v>0</v>
      </c>
      <c r="O12" s="461">
        <f t="shared" si="7"/>
        <v>0</v>
      </c>
      <c r="P12" s="461">
        <f t="shared" si="7"/>
        <v>0</v>
      </c>
      <c r="Q12" s="461">
        <f t="shared" si="7"/>
        <v>0</v>
      </c>
      <c r="R12" s="461">
        <f t="shared" si="7"/>
        <v>0</v>
      </c>
      <c r="S12" s="461">
        <f t="shared" si="7"/>
        <v>0</v>
      </c>
      <c r="T12" s="461">
        <f t="shared" si="7"/>
        <v>0</v>
      </c>
      <c r="U12" s="461">
        <f t="shared" si="7"/>
        <v>0</v>
      </c>
      <c r="V12" s="461">
        <f t="shared" si="7"/>
        <v>0</v>
      </c>
      <c r="W12" s="461">
        <f t="shared" si="7"/>
        <v>0</v>
      </c>
      <c r="X12" s="461">
        <f t="shared" si="7"/>
        <v>0</v>
      </c>
      <c r="Y12" s="461">
        <f t="shared" si="7"/>
        <v>0</v>
      </c>
      <c r="Z12" s="461">
        <f t="shared" si="7"/>
        <v>0</v>
      </c>
      <c r="AA12" s="461">
        <f t="shared" si="7"/>
        <v>0</v>
      </c>
      <c r="AB12" s="461">
        <f t="shared" si="7"/>
        <v>0</v>
      </c>
      <c r="AC12" s="461">
        <f t="shared" si="7"/>
        <v>0</v>
      </c>
      <c r="AD12" s="461">
        <f t="shared" si="7"/>
        <v>0</v>
      </c>
      <c r="AE12" s="461">
        <f t="shared" si="7"/>
        <v>0</v>
      </c>
      <c r="AF12" s="461">
        <f t="shared" si="7"/>
        <v>0</v>
      </c>
      <c r="AG12" s="461">
        <f t="shared" si="7"/>
        <v>1</v>
      </c>
      <c r="AH12" s="461">
        <f t="shared" si="7"/>
        <v>1</v>
      </c>
      <c r="AI12" s="461">
        <f t="shared" si="7"/>
        <v>1</v>
      </c>
      <c r="AJ12" s="461">
        <f t="shared" si="7"/>
        <v>1</v>
      </c>
      <c r="AK12" s="461">
        <f t="shared" si="7"/>
        <v>1</v>
      </c>
      <c r="AL12" s="461">
        <f t="shared" si="7"/>
        <v>1</v>
      </c>
      <c r="AM12" s="461">
        <f t="shared" si="7"/>
        <v>0</v>
      </c>
      <c r="AN12" s="461">
        <f t="shared" si="7"/>
        <v>0</v>
      </c>
      <c r="AO12" s="461">
        <f t="shared" si="7"/>
        <v>0</v>
      </c>
      <c r="AP12" s="461">
        <f t="shared" si="7"/>
        <v>0</v>
      </c>
      <c r="AQ12" s="461">
        <f t="shared" si="7"/>
        <v>0</v>
      </c>
      <c r="AR12" s="461">
        <f t="shared" si="7"/>
        <v>1</v>
      </c>
      <c r="AS12" s="461">
        <f t="shared" si="7"/>
        <v>0</v>
      </c>
      <c r="AT12" s="461">
        <f t="shared" si="7"/>
        <v>0</v>
      </c>
      <c r="AU12" s="461">
        <f t="shared" si="7"/>
        <v>0</v>
      </c>
      <c r="AV12" s="461">
        <f t="shared" si="7"/>
        <v>0</v>
      </c>
      <c r="AW12" s="461">
        <f t="shared" si="7"/>
        <v>0</v>
      </c>
      <c r="AX12" s="461">
        <f t="shared" si="7"/>
        <v>0</v>
      </c>
      <c r="AY12" s="461">
        <f t="shared" si="7"/>
        <v>1</v>
      </c>
      <c r="AZ12" s="461">
        <f t="shared" si="7"/>
        <v>0</v>
      </c>
      <c r="BA12" s="461">
        <f t="shared" si="7"/>
        <v>0</v>
      </c>
      <c r="BB12" s="461">
        <f t="shared" si="7"/>
        <v>0</v>
      </c>
      <c r="BC12" s="461">
        <f t="shared" si="7"/>
        <v>0</v>
      </c>
      <c r="BD12" s="461">
        <f t="shared" si="7"/>
        <v>0</v>
      </c>
      <c r="BE12" s="461">
        <f t="shared" si="7"/>
        <v>0</v>
      </c>
      <c r="BF12" s="461">
        <f t="shared" si="7"/>
        <v>1</v>
      </c>
      <c r="BG12" s="461">
        <f t="shared" si="7"/>
        <v>0</v>
      </c>
      <c r="BH12" s="461">
        <f t="shared" si="7"/>
        <v>0</v>
      </c>
      <c r="BI12" s="461">
        <f t="shared" si="7"/>
        <v>0</v>
      </c>
      <c r="BJ12" s="461">
        <f t="shared" si="7"/>
        <v>1</v>
      </c>
      <c r="BK12" s="461">
        <f t="shared" si="7"/>
        <v>1</v>
      </c>
      <c r="BL12" s="461">
        <f t="shared" si="7"/>
        <v>0</v>
      </c>
      <c r="BM12" s="461">
        <f t="shared" si="7"/>
        <v>0</v>
      </c>
      <c r="BN12" s="461">
        <f t="shared" si="7"/>
        <v>0</v>
      </c>
      <c r="BO12" s="461">
        <f t="shared" si="7"/>
        <v>0</v>
      </c>
      <c r="BP12" s="461">
        <f t="shared" si="7"/>
        <v>0</v>
      </c>
      <c r="BQ12" s="461">
        <f t="shared" si="7"/>
        <v>0</v>
      </c>
      <c r="BR12" s="461">
        <f t="shared" si="7"/>
        <v>0</v>
      </c>
      <c r="BS12" s="461">
        <f t="shared" si="7"/>
        <v>0</v>
      </c>
      <c r="BT12" s="461">
        <f t="shared" si="7"/>
        <v>0</v>
      </c>
      <c r="BU12" s="461">
        <f t="shared" si="7"/>
        <v>0</v>
      </c>
      <c r="BV12" s="461">
        <f t="shared" si="7"/>
        <v>0</v>
      </c>
      <c r="BW12" s="461">
        <f t="shared" si="7"/>
        <v>0</v>
      </c>
      <c r="BX12" s="461">
        <f t="shared" si="7"/>
        <v>0</v>
      </c>
      <c r="BY12" s="461">
        <f t="shared" si="7"/>
        <v>0</v>
      </c>
      <c r="BZ12" s="461">
        <f t="shared" si="7"/>
        <v>0</v>
      </c>
      <c r="CA12" s="461">
        <f t="shared" si="7"/>
        <v>0</v>
      </c>
      <c r="CB12" s="461">
        <f t="shared" si="7"/>
        <v>0</v>
      </c>
      <c r="CC12" s="461">
        <f t="shared" si="7"/>
        <v>0</v>
      </c>
      <c r="CD12" s="461">
        <f t="shared" si="7"/>
        <v>0</v>
      </c>
      <c r="CE12" s="461">
        <f t="shared" si="7"/>
        <v>0</v>
      </c>
      <c r="CF12" s="461">
        <f t="shared" si="7"/>
        <v>0</v>
      </c>
      <c r="CG12" s="461">
        <f t="shared" si="7"/>
        <v>0</v>
      </c>
      <c r="CH12" s="461">
        <f t="shared" si="7"/>
        <v>0</v>
      </c>
    </row>
    <row r="13" hidden="1" outlineLevel="1">
      <c r="A13" s="461" t="s">
        <v>89</v>
      </c>
      <c r="B13" s="432"/>
      <c r="C13" s="461"/>
      <c r="D13" s="461">
        <f t="shared" ref="D13:CH13" si="8">SUM(C146,C158)</f>
        <v>0</v>
      </c>
      <c r="E13" s="461">
        <f t="shared" si="8"/>
        <v>0</v>
      </c>
      <c r="F13" s="461">
        <f t="shared" si="8"/>
        <v>0</v>
      </c>
      <c r="G13" s="461">
        <f t="shared" si="8"/>
        <v>0</v>
      </c>
      <c r="H13" s="461">
        <f t="shared" si="8"/>
        <v>0</v>
      </c>
      <c r="I13" s="461">
        <f t="shared" si="8"/>
        <v>0</v>
      </c>
      <c r="J13" s="461">
        <f t="shared" si="8"/>
        <v>0</v>
      </c>
      <c r="K13" s="461">
        <f t="shared" si="8"/>
        <v>0</v>
      </c>
      <c r="L13" s="461">
        <f t="shared" si="8"/>
        <v>0</v>
      </c>
      <c r="M13" s="461">
        <f t="shared" si="8"/>
        <v>0</v>
      </c>
      <c r="N13" s="461">
        <f t="shared" si="8"/>
        <v>0</v>
      </c>
      <c r="O13" s="461">
        <f t="shared" si="8"/>
        <v>0</v>
      </c>
      <c r="P13" s="461">
        <f t="shared" si="8"/>
        <v>0</v>
      </c>
      <c r="Q13" s="461">
        <f t="shared" si="8"/>
        <v>0</v>
      </c>
      <c r="R13" s="461">
        <f t="shared" si="8"/>
        <v>0</v>
      </c>
      <c r="S13" s="461">
        <f t="shared" si="8"/>
        <v>0</v>
      </c>
      <c r="T13" s="461">
        <f t="shared" si="8"/>
        <v>0</v>
      </c>
      <c r="U13" s="461">
        <f t="shared" si="8"/>
        <v>1</v>
      </c>
      <c r="V13" s="461">
        <f t="shared" si="8"/>
        <v>0</v>
      </c>
      <c r="W13" s="461">
        <f t="shared" si="8"/>
        <v>0</v>
      </c>
      <c r="X13" s="461">
        <f t="shared" si="8"/>
        <v>0</v>
      </c>
      <c r="Y13" s="461">
        <f t="shared" si="8"/>
        <v>0</v>
      </c>
      <c r="Z13" s="461">
        <f t="shared" si="8"/>
        <v>0</v>
      </c>
      <c r="AA13" s="461">
        <f t="shared" si="8"/>
        <v>0</v>
      </c>
      <c r="AB13" s="461">
        <f t="shared" si="8"/>
        <v>0</v>
      </c>
      <c r="AC13" s="461">
        <f t="shared" si="8"/>
        <v>0</v>
      </c>
      <c r="AD13" s="461">
        <f t="shared" si="8"/>
        <v>0</v>
      </c>
      <c r="AE13" s="461">
        <f t="shared" si="8"/>
        <v>0</v>
      </c>
      <c r="AF13" s="461">
        <f t="shared" si="8"/>
        <v>0</v>
      </c>
      <c r="AG13" s="461">
        <f t="shared" si="8"/>
        <v>0</v>
      </c>
      <c r="AH13" s="461">
        <f t="shared" si="8"/>
        <v>0</v>
      </c>
      <c r="AI13" s="461">
        <f t="shared" si="8"/>
        <v>0</v>
      </c>
      <c r="AJ13" s="461">
        <f t="shared" si="8"/>
        <v>0</v>
      </c>
      <c r="AK13" s="461">
        <f t="shared" si="8"/>
        <v>0</v>
      </c>
      <c r="AL13" s="461">
        <f t="shared" si="8"/>
        <v>0</v>
      </c>
      <c r="AM13" s="461">
        <f t="shared" si="8"/>
        <v>0</v>
      </c>
      <c r="AN13" s="461">
        <f t="shared" si="8"/>
        <v>0</v>
      </c>
      <c r="AO13" s="461">
        <f t="shared" si="8"/>
        <v>0</v>
      </c>
      <c r="AP13" s="461">
        <f t="shared" si="8"/>
        <v>0</v>
      </c>
      <c r="AQ13" s="461">
        <f t="shared" si="8"/>
        <v>0</v>
      </c>
      <c r="AR13" s="461">
        <f t="shared" si="8"/>
        <v>0</v>
      </c>
      <c r="AS13" s="461">
        <f t="shared" si="8"/>
        <v>0</v>
      </c>
      <c r="AT13" s="461">
        <f t="shared" si="8"/>
        <v>0</v>
      </c>
      <c r="AU13" s="461">
        <f t="shared" si="8"/>
        <v>0</v>
      </c>
      <c r="AV13" s="461">
        <f t="shared" si="8"/>
        <v>0</v>
      </c>
      <c r="AW13" s="461">
        <f t="shared" si="8"/>
        <v>0</v>
      </c>
      <c r="AX13" s="461">
        <f t="shared" si="8"/>
        <v>0</v>
      </c>
      <c r="AY13" s="461">
        <f t="shared" si="8"/>
        <v>0</v>
      </c>
      <c r="AZ13" s="461">
        <f t="shared" si="8"/>
        <v>0</v>
      </c>
      <c r="BA13" s="461">
        <f t="shared" si="8"/>
        <v>0</v>
      </c>
      <c r="BB13" s="461">
        <f t="shared" si="8"/>
        <v>0</v>
      </c>
      <c r="BC13" s="461">
        <f t="shared" si="8"/>
        <v>0</v>
      </c>
      <c r="BD13" s="461">
        <f t="shared" si="8"/>
        <v>0</v>
      </c>
      <c r="BE13" s="461">
        <f t="shared" si="8"/>
        <v>0</v>
      </c>
      <c r="BF13" s="461">
        <f t="shared" si="8"/>
        <v>0</v>
      </c>
      <c r="BG13" s="461">
        <f t="shared" si="8"/>
        <v>0</v>
      </c>
      <c r="BH13" s="461">
        <f t="shared" si="8"/>
        <v>0</v>
      </c>
      <c r="BI13" s="461">
        <f t="shared" si="8"/>
        <v>0</v>
      </c>
      <c r="BJ13" s="461">
        <f t="shared" si="8"/>
        <v>0</v>
      </c>
      <c r="BK13" s="461">
        <f t="shared" si="8"/>
        <v>0</v>
      </c>
      <c r="BL13" s="461">
        <f t="shared" si="8"/>
        <v>0</v>
      </c>
      <c r="BM13" s="461">
        <f t="shared" si="8"/>
        <v>0</v>
      </c>
      <c r="BN13" s="461">
        <f t="shared" si="8"/>
        <v>0</v>
      </c>
      <c r="BO13" s="461">
        <f t="shared" si="8"/>
        <v>0</v>
      </c>
      <c r="BP13" s="461">
        <f t="shared" si="8"/>
        <v>0</v>
      </c>
      <c r="BQ13" s="461">
        <f t="shared" si="8"/>
        <v>0</v>
      </c>
      <c r="BR13" s="461">
        <f t="shared" si="8"/>
        <v>0</v>
      </c>
      <c r="BS13" s="461">
        <f t="shared" si="8"/>
        <v>0</v>
      </c>
      <c r="BT13" s="461">
        <f t="shared" si="8"/>
        <v>0</v>
      </c>
      <c r="BU13" s="461">
        <f t="shared" si="8"/>
        <v>0</v>
      </c>
      <c r="BV13" s="461">
        <f t="shared" si="8"/>
        <v>0</v>
      </c>
      <c r="BW13" s="461">
        <f t="shared" si="8"/>
        <v>0</v>
      </c>
      <c r="BX13" s="461">
        <f t="shared" si="8"/>
        <v>0</v>
      </c>
      <c r="BY13" s="461">
        <f t="shared" si="8"/>
        <v>0</v>
      </c>
      <c r="BZ13" s="461">
        <f t="shared" si="8"/>
        <v>0</v>
      </c>
      <c r="CA13" s="461">
        <f t="shared" si="8"/>
        <v>0</v>
      </c>
      <c r="CB13" s="461">
        <f t="shared" si="8"/>
        <v>0</v>
      </c>
      <c r="CC13" s="461">
        <f t="shared" si="8"/>
        <v>0</v>
      </c>
      <c r="CD13" s="461">
        <f t="shared" si="8"/>
        <v>0</v>
      </c>
      <c r="CE13" s="461">
        <f t="shared" si="8"/>
        <v>0</v>
      </c>
      <c r="CF13" s="461">
        <f t="shared" si="8"/>
        <v>0</v>
      </c>
      <c r="CG13" s="461">
        <f t="shared" si="8"/>
        <v>0</v>
      </c>
      <c r="CH13" s="461">
        <f t="shared" si="8"/>
        <v>0</v>
      </c>
    </row>
    <row r="14" hidden="1" outlineLevel="1">
      <c r="A14" s="461" t="s">
        <v>94</v>
      </c>
      <c r="B14" s="432"/>
      <c r="C14" s="461"/>
      <c r="D14" s="461">
        <f t="shared" ref="D14:CH14" si="9">SUM(C178,C185)</f>
        <v>0</v>
      </c>
      <c r="E14" s="461">
        <f t="shared" si="9"/>
        <v>0</v>
      </c>
      <c r="F14" s="461">
        <f t="shared" si="9"/>
        <v>0</v>
      </c>
      <c r="G14" s="461">
        <f t="shared" si="9"/>
        <v>0</v>
      </c>
      <c r="H14" s="461">
        <f t="shared" si="9"/>
        <v>0</v>
      </c>
      <c r="I14" s="461">
        <f t="shared" si="9"/>
        <v>0</v>
      </c>
      <c r="J14" s="461">
        <f t="shared" si="9"/>
        <v>0</v>
      </c>
      <c r="K14" s="461">
        <f t="shared" si="9"/>
        <v>0</v>
      </c>
      <c r="L14" s="461">
        <f t="shared" si="9"/>
        <v>0</v>
      </c>
      <c r="M14" s="461">
        <f t="shared" si="9"/>
        <v>0</v>
      </c>
      <c r="N14" s="461">
        <f t="shared" si="9"/>
        <v>0</v>
      </c>
      <c r="O14" s="461">
        <f t="shared" si="9"/>
        <v>0</v>
      </c>
      <c r="P14" s="461">
        <f t="shared" si="9"/>
        <v>1</v>
      </c>
      <c r="Q14" s="461">
        <f t="shared" si="9"/>
        <v>1</v>
      </c>
      <c r="R14" s="461">
        <f t="shared" si="9"/>
        <v>1</v>
      </c>
      <c r="S14" s="461">
        <f t="shared" si="9"/>
        <v>0</v>
      </c>
      <c r="T14" s="461">
        <f t="shared" si="9"/>
        <v>1</v>
      </c>
      <c r="U14" s="461">
        <f t="shared" si="9"/>
        <v>0</v>
      </c>
      <c r="V14" s="461">
        <f t="shared" si="9"/>
        <v>0</v>
      </c>
      <c r="W14" s="461">
        <f t="shared" si="9"/>
        <v>0</v>
      </c>
      <c r="X14" s="461">
        <f t="shared" si="9"/>
        <v>0</v>
      </c>
      <c r="Y14" s="461">
        <f t="shared" si="9"/>
        <v>0</v>
      </c>
      <c r="Z14" s="461">
        <f t="shared" si="9"/>
        <v>1</v>
      </c>
      <c r="AA14" s="461">
        <f t="shared" si="9"/>
        <v>0</v>
      </c>
      <c r="AB14" s="461">
        <f t="shared" si="9"/>
        <v>0</v>
      </c>
      <c r="AC14" s="461">
        <f t="shared" si="9"/>
        <v>0</v>
      </c>
      <c r="AD14" s="461">
        <f t="shared" si="9"/>
        <v>0</v>
      </c>
      <c r="AE14" s="461">
        <f t="shared" si="9"/>
        <v>0</v>
      </c>
      <c r="AF14" s="461">
        <f t="shared" si="9"/>
        <v>0</v>
      </c>
      <c r="AG14" s="461">
        <f t="shared" si="9"/>
        <v>0</v>
      </c>
      <c r="AH14" s="461">
        <f t="shared" si="9"/>
        <v>0</v>
      </c>
      <c r="AI14" s="461">
        <f t="shared" si="9"/>
        <v>0</v>
      </c>
      <c r="AJ14" s="461">
        <f t="shared" si="9"/>
        <v>0</v>
      </c>
      <c r="AK14" s="461">
        <f t="shared" si="9"/>
        <v>0</v>
      </c>
      <c r="AL14" s="461">
        <f t="shared" si="9"/>
        <v>0</v>
      </c>
      <c r="AM14" s="461">
        <f t="shared" si="9"/>
        <v>0</v>
      </c>
      <c r="AN14" s="461">
        <f t="shared" si="9"/>
        <v>0</v>
      </c>
      <c r="AO14" s="461">
        <f t="shared" si="9"/>
        <v>0</v>
      </c>
      <c r="AP14" s="461">
        <f t="shared" si="9"/>
        <v>0</v>
      </c>
      <c r="AQ14" s="461">
        <f t="shared" si="9"/>
        <v>0</v>
      </c>
      <c r="AR14" s="461">
        <f t="shared" si="9"/>
        <v>0</v>
      </c>
      <c r="AS14" s="461">
        <f t="shared" si="9"/>
        <v>0</v>
      </c>
      <c r="AT14" s="461">
        <f t="shared" si="9"/>
        <v>0</v>
      </c>
      <c r="AU14" s="461">
        <f t="shared" si="9"/>
        <v>0</v>
      </c>
      <c r="AV14" s="461">
        <f t="shared" si="9"/>
        <v>0</v>
      </c>
      <c r="AW14" s="461">
        <f t="shared" si="9"/>
        <v>0</v>
      </c>
      <c r="AX14" s="461">
        <f t="shared" si="9"/>
        <v>0</v>
      </c>
      <c r="AY14" s="461">
        <f t="shared" si="9"/>
        <v>0</v>
      </c>
      <c r="AZ14" s="461">
        <f t="shared" si="9"/>
        <v>0</v>
      </c>
      <c r="BA14" s="461">
        <f t="shared" si="9"/>
        <v>0</v>
      </c>
      <c r="BB14" s="461">
        <f t="shared" si="9"/>
        <v>0</v>
      </c>
      <c r="BC14" s="461">
        <f t="shared" si="9"/>
        <v>0</v>
      </c>
      <c r="BD14" s="461">
        <f t="shared" si="9"/>
        <v>0</v>
      </c>
      <c r="BE14" s="461">
        <f t="shared" si="9"/>
        <v>0</v>
      </c>
      <c r="BF14" s="461">
        <f t="shared" si="9"/>
        <v>0</v>
      </c>
      <c r="BG14" s="461">
        <f t="shared" si="9"/>
        <v>0</v>
      </c>
      <c r="BH14" s="461">
        <f t="shared" si="9"/>
        <v>0</v>
      </c>
      <c r="BI14" s="461">
        <f t="shared" si="9"/>
        <v>0</v>
      </c>
      <c r="BJ14" s="461">
        <f t="shared" si="9"/>
        <v>0</v>
      </c>
      <c r="BK14" s="461">
        <f t="shared" si="9"/>
        <v>0</v>
      </c>
      <c r="BL14" s="461">
        <f t="shared" si="9"/>
        <v>12</v>
      </c>
      <c r="BM14" s="461">
        <f t="shared" si="9"/>
        <v>4</v>
      </c>
      <c r="BN14" s="461">
        <f t="shared" si="9"/>
        <v>0</v>
      </c>
      <c r="BO14" s="461">
        <f t="shared" si="9"/>
        <v>0</v>
      </c>
      <c r="BP14" s="461">
        <f t="shared" si="9"/>
        <v>0</v>
      </c>
      <c r="BQ14" s="461">
        <f t="shared" si="9"/>
        <v>0</v>
      </c>
      <c r="BR14" s="461">
        <f t="shared" si="9"/>
        <v>0</v>
      </c>
      <c r="BS14" s="461">
        <f t="shared" si="9"/>
        <v>0</v>
      </c>
      <c r="BT14" s="461">
        <f t="shared" si="9"/>
        <v>0</v>
      </c>
      <c r="BU14" s="461">
        <f t="shared" si="9"/>
        <v>1</v>
      </c>
      <c r="BV14" s="461">
        <f t="shared" si="9"/>
        <v>0</v>
      </c>
      <c r="BW14" s="461">
        <f t="shared" si="9"/>
        <v>0</v>
      </c>
      <c r="BX14" s="461">
        <f t="shared" si="9"/>
        <v>0</v>
      </c>
      <c r="BY14" s="461">
        <f t="shared" si="9"/>
        <v>0</v>
      </c>
      <c r="BZ14" s="461">
        <f t="shared" si="9"/>
        <v>0</v>
      </c>
      <c r="CA14" s="461">
        <f t="shared" si="9"/>
        <v>0</v>
      </c>
      <c r="CB14" s="461">
        <f t="shared" si="9"/>
        <v>0</v>
      </c>
      <c r="CC14" s="461">
        <f t="shared" si="9"/>
        <v>0</v>
      </c>
      <c r="CD14" s="461">
        <f t="shared" si="9"/>
        <v>0</v>
      </c>
      <c r="CE14" s="461">
        <f t="shared" si="9"/>
        <v>0</v>
      </c>
      <c r="CF14" s="461">
        <f t="shared" si="9"/>
        <v>0</v>
      </c>
      <c r="CG14" s="461">
        <f t="shared" si="9"/>
        <v>0</v>
      </c>
      <c r="CH14" s="461">
        <f t="shared" si="9"/>
        <v>0</v>
      </c>
    </row>
    <row r="15" hidden="1" outlineLevel="1">
      <c r="A15" s="461" t="s">
        <v>96</v>
      </c>
      <c r="B15" s="432"/>
      <c r="C15" s="461"/>
      <c r="D15" s="461" t="str">
        <f t="shared" ref="D15:CH15" si="10">C202</f>
        <v/>
      </c>
      <c r="E15" s="461" t="str">
        <f t="shared" si="10"/>
        <v/>
      </c>
      <c r="F15" s="461" t="str">
        <f t="shared" si="10"/>
        <v/>
      </c>
      <c r="G15" s="461" t="str">
        <f t="shared" si="10"/>
        <v/>
      </c>
      <c r="H15" s="461" t="str">
        <f t="shared" si="10"/>
        <v/>
      </c>
      <c r="I15" s="461" t="str">
        <f t="shared" si="10"/>
        <v/>
      </c>
      <c r="J15" s="461" t="str">
        <f t="shared" si="10"/>
        <v/>
      </c>
      <c r="K15" s="461" t="str">
        <f t="shared" si="10"/>
        <v/>
      </c>
      <c r="L15" s="461" t="str">
        <f t="shared" si="10"/>
        <v/>
      </c>
      <c r="M15" s="461" t="str">
        <f t="shared" si="10"/>
        <v/>
      </c>
      <c r="N15" s="461">
        <f t="shared" si="10"/>
        <v>0</v>
      </c>
      <c r="O15" s="461">
        <f t="shared" si="10"/>
        <v>0</v>
      </c>
      <c r="P15" s="461">
        <f t="shared" si="10"/>
        <v>0</v>
      </c>
      <c r="Q15" s="461">
        <f t="shared" si="10"/>
        <v>0</v>
      </c>
      <c r="R15" s="461">
        <f t="shared" si="10"/>
        <v>0</v>
      </c>
      <c r="S15" s="461">
        <f t="shared" si="10"/>
        <v>0</v>
      </c>
      <c r="T15" s="461">
        <f t="shared" si="10"/>
        <v>0</v>
      </c>
      <c r="U15" s="461">
        <f t="shared" si="10"/>
        <v>0</v>
      </c>
      <c r="V15" s="461">
        <f t="shared" si="10"/>
        <v>0</v>
      </c>
      <c r="W15" s="461">
        <f t="shared" si="10"/>
        <v>1</v>
      </c>
      <c r="X15" s="461">
        <f t="shared" si="10"/>
        <v>0</v>
      </c>
      <c r="Y15" s="461">
        <f t="shared" si="10"/>
        <v>0</v>
      </c>
      <c r="Z15" s="461">
        <f t="shared" si="10"/>
        <v>0</v>
      </c>
      <c r="AA15" s="461">
        <f t="shared" si="10"/>
        <v>0</v>
      </c>
      <c r="AB15" s="461">
        <f t="shared" si="10"/>
        <v>0</v>
      </c>
      <c r="AC15" s="461">
        <f t="shared" si="10"/>
        <v>0</v>
      </c>
      <c r="AD15" s="461">
        <f t="shared" si="10"/>
        <v>0</v>
      </c>
      <c r="AE15" s="461">
        <f t="shared" si="10"/>
        <v>0</v>
      </c>
      <c r="AF15" s="461">
        <f t="shared" si="10"/>
        <v>0</v>
      </c>
      <c r="AG15" s="461">
        <f t="shared" si="10"/>
        <v>0</v>
      </c>
      <c r="AH15" s="461">
        <f t="shared" si="10"/>
        <v>0</v>
      </c>
      <c r="AI15" s="461">
        <f t="shared" si="10"/>
        <v>0</v>
      </c>
      <c r="AJ15" s="461">
        <f t="shared" si="10"/>
        <v>0</v>
      </c>
      <c r="AK15" s="461">
        <f t="shared" si="10"/>
        <v>0</v>
      </c>
      <c r="AL15" s="461">
        <f t="shared" si="10"/>
        <v>0</v>
      </c>
      <c r="AM15" s="461">
        <f t="shared" si="10"/>
        <v>0</v>
      </c>
      <c r="AN15" s="461">
        <f t="shared" si="10"/>
        <v>0</v>
      </c>
      <c r="AO15" s="461">
        <f t="shared" si="10"/>
        <v>0</v>
      </c>
      <c r="AP15" s="461">
        <f t="shared" si="10"/>
        <v>0</v>
      </c>
      <c r="AQ15" s="461">
        <f t="shared" si="10"/>
        <v>0</v>
      </c>
      <c r="AR15" s="461">
        <f t="shared" si="10"/>
        <v>0</v>
      </c>
      <c r="AS15" s="461">
        <f t="shared" si="10"/>
        <v>0</v>
      </c>
      <c r="AT15" s="461">
        <f t="shared" si="10"/>
        <v>0</v>
      </c>
      <c r="AU15" s="461">
        <f t="shared" si="10"/>
        <v>0</v>
      </c>
      <c r="AV15" s="461">
        <f t="shared" si="10"/>
        <v>0</v>
      </c>
      <c r="AW15" s="461">
        <f t="shared" si="10"/>
        <v>0</v>
      </c>
      <c r="AX15" s="461">
        <f t="shared" si="10"/>
        <v>0</v>
      </c>
      <c r="AY15" s="461">
        <f t="shared" si="10"/>
        <v>0</v>
      </c>
      <c r="AZ15" s="461">
        <f t="shared" si="10"/>
        <v>1</v>
      </c>
      <c r="BA15" s="461">
        <f t="shared" si="10"/>
        <v>0</v>
      </c>
      <c r="BB15" s="461">
        <f t="shared" si="10"/>
        <v>0</v>
      </c>
      <c r="BC15" s="461">
        <f t="shared" si="10"/>
        <v>0</v>
      </c>
      <c r="BD15" s="461">
        <f t="shared" si="10"/>
        <v>0</v>
      </c>
      <c r="BE15" s="461">
        <f t="shared" si="10"/>
        <v>0</v>
      </c>
      <c r="BF15" s="461">
        <f t="shared" si="10"/>
        <v>0</v>
      </c>
      <c r="BG15" s="461">
        <f t="shared" si="10"/>
        <v>0</v>
      </c>
      <c r="BH15" s="461">
        <f t="shared" si="10"/>
        <v>0</v>
      </c>
      <c r="BI15" s="461">
        <f t="shared" si="10"/>
        <v>0</v>
      </c>
      <c r="BJ15" s="461">
        <f t="shared" si="10"/>
        <v>0</v>
      </c>
      <c r="BK15" s="461">
        <f t="shared" si="10"/>
        <v>0</v>
      </c>
      <c r="BL15" s="461">
        <f t="shared" si="10"/>
        <v>0</v>
      </c>
      <c r="BM15" s="461">
        <f t="shared" si="10"/>
        <v>0</v>
      </c>
      <c r="BN15" s="461">
        <f t="shared" si="10"/>
        <v>0</v>
      </c>
      <c r="BO15" s="461">
        <f t="shared" si="10"/>
        <v>0</v>
      </c>
      <c r="BP15" s="461">
        <f t="shared" si="10"/>
        <v>0</v>
      </c>
      <c r="BQ15" s="461">
        <f t="shared" si="10"/>
        <v>0</v>
      </c>
      <c r="BR15" s="461">
        <f t="shared" si="10"/>
        <v>0</v>
      </c>
      <c r="BS15" s="461">
        <f t="shared" si="10"/>
        <v>0</v>
      </c>
      <c r="BT15" s="461">
        <f t="shared" si="10"/>
        <v>0</v>
      </c>
      <c r="BU15" s="461">
        <f t="shared" si="10"/>
        <v>0</v>
      </c>
      <c r="BV15" s="461">
        <f t="shared" si="10"/>
        <v>0</v>
      </c>
      <c r="BW15" s="461">
        <f t="shared" si="10"/>
        <v>0</v>
      </c>
      <c r="BX15" s="461">
        <f t="shared" si="10"/>
        <v>0</v>
      </c>
      <c r="BY15" s="461">
        <f t="shared" si="10"/>
        <v>0</v>
      </c>
      <c r="BZ15" s="461">
        <f t="shared" si="10"/>
        <v>0</v>
      </c>
      <c r="CA15" s="461">
        <f t="shared" si="10"/>
        <v>0</v>
      </c>
      <c r="CB15" s="461">
        <f t="shared" si="10"/>
        <v>0</v>
      </c>
      <c r="CC15" s="461">
        <f t="shared" si="10"/>
        <v>0</v>
      </c>
      <c r="CD15" s="461">
        <f t="shared" si="10"/>
        <v>0</v>
      </c>
      <c r="CE15" s="461">
        <f t="shared" si="10"/>
        <v>0</v>
      </c>
      <c r="CF15" s="461">
        <f t="shared" si="10"/>
        <v>0</v>
      </c>
      <c r="CG15" s="461">
        <f t="shared" si="10"/>
        <v>0</v>
      </c>
      <c r="CH15" s="461">
        <f t="shared" si="10"/>
        <v>0</v>
      </c>
    </row>
    <row r="16" hidden="1" outlineLevel="1">
      <c r="A16" s="461" t="s">
        <v>121</v>
      </c>
      <c r="B16" s="432"/>
      <c r="C16" s="461"/>
      <c r="D16" s="461" t="str">
        <f t="shared" ref="D16:CH16" si="11">C242</f>
        <v/>
      </c>
      <c r="E16" s="461" t="str">
        <f t="shared" si="11"/>
        <v/>
      </c>
      <c r="F16" s="461" t="str">
        <f t="shared" si="11"/>
        <v/>
      </c>
      <c r="G16" s="461" t="str">
        <f t="shared" si="11"/>
        <v/>
      </c>
      <c r="H16" s="461" t="str">
        <f t="shared" si="11"/>
        <v/>
      </c>
      <c r="I16" s="461" t="str">
        <f t="shared" si="11"/>
        <v/>
      </c>
      <c r="J16" s="461" t="str">
        <f t="shared" si="11"/>
        <v/>
      </c>
      <c r="K16" s="461" t="str">
        <f t="shared" si="11"/>
        <v/>
      </c>
      <c r="L16" s="461" t="str">
        <f t="shared" si="11"/>
        <v/>
      </c>
      <c r="M16" s="461" t="str">
        <f t="shared" si="11"/>
        <v/>
      </c>
      <c r="N16" s="461" t="str">
        <f t="shared" si="11"/>
        <v/>
      </c>
      <c r="O16" s="461" t="str">
        <f t="shared" si="11"/>
        <v/>
      </c>
      <c r="P16" s="461" t="str">
        <f t="shared" si="11"/>
        <v/>
      </c>
      <c r="Q16" s="461" t="str">
        <f t="shared" si="11"/>
        <v/>
      </c>
      <c r="R16" s="461" t="str">
        <f t="shared" si="11"/>
        <v/>
      </c>
      <c r="S16" s="461" t="str">
        <f t="shared" si="11"/>
        <v/>
      </c>
      <c r="T16" s="461" t="str">
        <f t="shared" si="11"/>
        <v/>
      </c>
      <c r="U16" s="461" t="str">
        <f t="shared" si="11"/>
        <v/>
      </c>
      <c r="V16" s="461">
        <f t="shared" si="11"/>
        <v>0</v>
      </c>
      <c r="W16" s="461">
        <f t="shared" si="11"/>
        <v>0</v>
      </c>
      <c r="X16" s="461">
        <f t="shared" si="11"/>
        <v>0</v>
      </c>
      <c r="Y16" s="461">
        <f t="shared" si="11"/>
        <v>0</v>
      </c>
      <c r="Z16" s="461">
        <f t="shared" si="11"/>
        <v>0</v>
      </c>
      <c r="AA16" s="461">
        <f t="shared" si="11"/>
        <v>0</v>
      </c>
      <c r="AB16" s="461">
        <f t="shared" si="11"/>
        <v>0</v>
      </c>
      <c r="AC16" s="461">
        <f t="shared" si="11"/>
        <v>0</v>
      </c>
      <c r="AD16" s="461">
        <f t="shared" si="11"/>
        <v>1</v>
      </c>
      <c r="AE16" s="461">
        <f t="shared" si="11"/>
        <v>0</v>
      </c>
      <c r="AF16" s="461">
        <f t="shared" si="11"/>
        <v>0</v>
      </c>
      <c r="AG16" s="461">
        <f t="shared" si="11"/>
        <v>0</v>
      </c>
      <c r="AH16" s="461">
        <f t="shared" si="11"/>
        <v>1</v>
      </c>
      <c r="AI16" s="461">
        <f t="shared" si="11"/>
        <v>0</v>
      </c>
      <c r="AJ16" s="461">
        <f t="shared" si="11"/>
        <v>0</v>
      </c>
      <c r="AK16" s="461">
        <f t="shared" si="11"/>
        <v>1</v>
      </c>
      <c r="AL16" s="461">
        <f t="shared" si="11"/>
        <v>0</v>
      </c>
      <c r="AM16" s="461">
        <f t="shared" si="11"/>
        <v>0</v>
      </c>
      <c r="AN16" s="461">
        <f t="shared" si="11"/>
        <v>0</v>
      </c>
      <c r="AO16" s="461">
        <f t="shared" si="11"/>
        <v>0</v>
      </c>
      <c r="AP16" s="461">
        <f t="shared" si="11"/>
        <v>0</v>
      </c>
      <c r="AQ16" s="461">
        <f t="shared" si="11"/>
        <v>0</v>
      </c>
      <c r="AR16" s="461">
        <f t="shared" si="11"/>
        <v>0</v>
      </c>
      <c r="AS16" s="461">
        <f t="shared" si="11"/>
        <v>0</v>
      </c>
      <c r="AT16" s="461">
        <f t="shared" si="11"/>
        <v>0</v>
      </c>
      <c r="AU16" s="461">
        <f t="shared" si="11"/>
        <v>0</v>
      </c>
      <c r="AV16" s="461">
        <f t="shared" si="11"/>
        <v>0</v>
      </c>
      <c r="AW16" s="461">
        <f t="shared" si="11"/>
        <v>0</v>
      </c>
      <c r="AX16" s="461">
        <f t="shared" si="11"/>
        <v>0</v>
      </c>
      <c r="AY16" s="461">
        <f t="shared" si="11"/>
        <v>0</v>
      </c>
      <c r="AZ16" s="461">
        <f t="shared" si="11"/>
        <v>0</v>
      </c>
      <c r="BA16" s="461">
        <f t="shared" si="11"/>
        <v>0</v>
      </c>
      <c r="BB16" s="461">
        <f t="shared" si="11"/>
        <v>0</v>
      </c>
      <c r="BC16" s="461">
        <f t="shared" si="11"/>
        <v>0</v>
      </c>
      <c r="BD16" s="461">
        <f t="shared" si="11"/>
        <v>0</v>
      </c>
      <c r="BE16" s="461">
        <f t="shared" si="11"/>
        <v>1</v>
      </c>
      <c r="BF16" s="461">
        <f t="shared" si="11"/>
        <v>0</v>
      </c>
      <c r="BG16" s="461">
        <f t="shared" si="11"/>
        <v>0</v>
      </c>
      <c r="BH16" s="461">
        <f t="shared" si="11"/>
        <v>0</v>
      </c>
      <c r="BI16" s="461">
        <f t="shared" si="11"/>
        <v>0</v>
      </c>
      <c r="BJ16" s="461">
        <f t="shared" si="11"/>
        <v>0</v>
      </c>
      <c r="BK16" s="461">
        <f t="shared" si="11"/>
        <v>0</v>
      </c>
      <c r="BL16" s="461">
        <f t="shared" si="11"/>
        <v>0</v>
      </c>
      <c r="BM16" s="461">
        <f t="shared" si="11"/>
        <v>0</v>
      </c>
      <c r="BN16" s="461">
        <f t="shared" si="11"/>
        <v>0</v>
      </c>
      <c r="BO16" s="461">
        <f t="shared" si="11"/>
        <v>1</v>
      </c>
      <c r="BP16" s="461">
        <f t="shared" si="11"/>
        <v>0</v>
      </c>
      <c r="BQ16" s="461">
        <f t="shared" si="11"/>
        <v>0</v>
      </c>
      <c r="BR16" s="461">
        <f t="shared" si="11"/>
        <v>0</v>
      </c>
      <c r="BS16" s="461">
        <f t="shared" si="11"/>
        <v>0</v>
      </c>
      <c r="BT16" s="461">
        <f t="shared" si="11"/>
        <v>0</v>
      </c>
      <c r="BU16" s="461">
        <f t="shared" si="11"/>
        <v>0</v>
      </c>
      <c r="BV16" s="461">
        <f t="shared" si="11"/>
        <v>0</v>
      </c>
      <c r="BW16" s="461">
        <f t="shared" si="11"/>
        <v>0</v>
      </c>
      <c r="BX16" s="461">
        <f t="shared" si="11"/>
        <v>0</v>
      </c>
      <c r="BY16" s="461">
        <f t="shared" si="11"/>
        <v>0</v>
      </c>
      <c r="BZ16" s="461">
        <f t="shared" si="11"/>
        <v>0</v>
      </c>
      <c r="CA16" s="461">
        <f t="shared" si="11"/>
        <v>0</v>
      </c>
      <c r="CB16" s="461">
        <f t="shared" si="11"/>
        <v>0</v>
      </c>
      <c r="CC16" s="461">
        <f t="shared" si="11"/>
        <v>0</v>
      </c>
      <c r="CD16" s="461">
        <f t="shared" si="11"/>
        <v>0</v>
      </c>
      <c r="CE16" s="461">
        <f t="shared" si="11"/>
        <v>0</v>
      </c>
      <c r="CF16" s="461">
        <f t="shared" si="11"/>
        <v>0</v>
      </c>
      <c r="CG16" s="461">
        <f t="shared" si="11"/>
        <v>0</v>
      </c>
      <c r="CH16" s="461">
        <f t="shared" si="11"/>
        <v>0</v>
      </c>
    </row>
    <row r="17" hidden="1" outlineLevel="1">
      <c r="A17" s="461" t="s">
        <v>424</v>
      </c>
      <c r="B17" s="461"/>
      <c r="C17" s="461"/>
      <c r="D17" s="461" t="str">
        <f t="shared" ref="D17:CH17" si="12">C250</f>
        <v/>
      </c>
      <c r="E17" s="461" t="str">
        <f t="shared" si="12"/>
        <v/>
      </c>
      <c r="F17" s="461" t="str">
        <f t="shared" si="12"/>
        <v/>
      </c>
      <c r="G17" s="461" t="str">
        <f t="shared" si="12"/>
        <v/>
      </c>
      <c r="H17" s="461" t="str">
        <f t="shared" si="12"/>
        <v/>
      </c>
      <c r="I17" s="461" t="str">
        <f t="shared" si="12"/>
        <v/>
      </c>
      <c r="J17" s="461" t="str">
        <f t="shared" si="12"/>
        <v/>
      </c>
      <c r="K17" s="461" t="str">
        <f t="shared" si="12"/>
        <v/>
      </c>
      <c r="L17" s="461" t="str">
        <f t="shared" si="12"/>
        <v/>
      </c>
      <c r="M17" s="461" t="str">
        <f t="shared" si="12"/>
        <v/>
      </c>
      <c r="N17" s="461" t="str">
        <f t="shared" si="12"/>
        <v/>
      </c>
      <c r="O17" s="461" t="str">
        <f t="shared" si="12"/>
        <v/>
      </c>
      <c r="P17" s="461" t="str">
        <f t="shared" si="12"/>
        <v/>
      </c>
      <c r="Q17" s="461" t="str">
        <f t="shared" si="12"/>
        <v/>
      </c>
      <c r="R17" s="461" t="str">
        <f t="shared" si="12"/>
        <v/>
      </c>
      <c r="S17" s="461" t="str">
        <f t="shared" si="12"/>
        <v/>
      </c>
      <c r="T17" s="461" t="str">
        <f t="shared" si="12"/>
        <v/>
      </c>
      <c r="U17" s="461" t="str">
        <f t="shared" si="12"/>
        <v/>
      </c>
      <c r="V17" s="461">
        <f t="shared" si="12"/>
        <v>-1</v>
      </c>
      <c r="W17" s="461">
        <f t="shared" si="12"/>
        <v>1</v>
      </c>
      <c r="X17" s="461">
        <f t="shared" si="12"/>
        <v>0</v>
      </c>
      <c r="Y17" s="461">
        <f t="shared" si="12"/>
        <v>0</v>
      </c>
      <c r="Z17" s="461">
        <f t="shared" si="12"/>
        <v>2</v>
      </c>
      <c r="AA17" s="461">
        <f t="shared" si="12"/>
        <v>0</v>
      </c>
      <c r="AB17" s="461">
        <f t="shared" si="12"/>
        <v>0</v>
      </c>
      <c r="AC17" s="461">
        <f t="shared" si="12"/>
        <v>0</v>
      </c>
      <c r="AD17" s="461">
        <f t="shared" si="12"/>
        <v>0</v>
      </c>
      <c r="AE17" s="461">
        <f t="shared" si="12"/>
        <v>0</v>
      </c>
      <c r="AF17" s="461">
        <f t="shared" si="12"/>
        <v>0</v>
      </c>
      <c r="AG17" s="461">
        <f t="shared" si="12"/>
        <v>1</v>
      </c>
      <c r="AH17" s="461">
        <f t="shared" si="12"/>
        <v>1</v>
      </c>
      <c r="AI17" s="461">
        <f t="shared" si="12"/>
        <v>1</v>
      </c>
      <c r="AJ17" s="461">
        <f t="shared" si="12"/>
        <v>1</v>
      </c>
      <c r="AK17" s="461">
        <f t="shared" si="12"/>
        <v>1</v>
      </c>
      <c r="AL17" s="461">
        <f t="shared" si="12"/>
        <v>1</v>
      </c>
      <c r="AM17" s="461">
        <f t="shared" si="12"/>
        <v>1</v>
      </c>
      <c r="AN17" s="461">
        <f t="shared" si="12"/>
        <v>0</v>
      </c>
      <c r="AO17" s="461">
        <f t="shared" si="12"/>
        <v>0</v>
      </c>
      <c r="AP17" s="461">
        <f t="shared" si="12"/>
        <v>0</v>
      </c>
      <c r="AQ17" s="461">
        <f t="shared" si="12"/>
        <v>0</v>
      </c>
      <c r="AR17" s="461">
        <f t="shared" si="12"/>
        <v>0</v>
      </c>
      <c r="AS17" s="461">
        <f t="shared" si="12"/>
        <v>0</v>
      </c>
      <c r="AT17" s="461">
        <f t="shared" si="12"/>
        <v>0</v>
      </c>
      <c r="AU17" s="461">
        <f t="shared" si="12"/>
        <v>0</v>
      </c>
      <c r="AV17" s="461">
        <f t="shared" si="12"/>
        <v>0</v>
      </c>
      <c r="AW17" s="461">
        <f t="shared" si="12"/>
        <v>0</v>
      </c>
      <c r="AX17" s="461">
        <f t="shared" si="12"/>
        <v>0</v>
      </c>
      <c r="AY17" s="461">
        <f t="shared" si="12"/>
        <v>0</v>
      </c>
      <c r="AZ17" s="461">
        <f t="shared" si="12"/>
        <v>0</v>
      </c>
      <c r="BA17" s="461">
        <f t="shared" si="12"/>
        <v>0</v>
      </c>
      <c r="BB17" s="461">
        <f t="shared" si="12"/>
        <v>0</v>
      </c>
      <c r="BC17" s="461">
        <f t="shared" si="12"/>
        <v>1</v>
      </c>
      <c r="BD17" s="461">
        <f t="shared" si="12"/>
        <v>0</v>
      </c>
      <c r="BE17" s="461">
        <f t="shared" si="12"/>
        <v>0</v>
      </c>
      <c r="BF17" s="461">
        <f t="shared" si="12"/>
        <v>1</v>
      </c>
      <c r="BG17" s="461">
        <f t="shared" si="12"/>
        <v>0</v>
      </c>
      <c r="BH17" s="461">
        <f t="shared" si="12"/>
        <v>1</v>
      </c>
      <c r="BI17" s="461">
        <f t="shared" si="12"/>
        <v>0</v>
      </c>
      <c r="BJ17" s="461">
        <f t="shared" si="12"/>
        <v>0</v>
      </c>
      <c r="BK17" s="461">
        <f t="shared" si="12"/>
        <v>1</v>
      </c>
      <c r="BL17" s="461">
        <f t="shared" si="12"/>
        <v>0</v>
      </c>
      <c r="BM17" s="461">
        <f t="shared" si="12"/>
        <v>0</v>
      </c>
      <c r="BN17" s="461">
        <f t="shared" si="12"/>
        <v>1</v>
      </c>
      <c r="BO17" s="461">
        <f t="shared" si="12"/>
        <v>0</v>
      </c>
      <c r="BP17" s="461">
        <f t="shared" si="12"/>
        <v>0</v>
      </c>
      <c r="BQ17" s="461">
        <f t="shared" si="12"/>
        <v>1</v>
      </c>
      <c r="BR17" s="461">
        <f t="shared" si="12"/>
        <v>0</v>
      </c>
      <c r="BS17" s="461">
        <f t="shared" si="12"/>
        <v>0</v>
      </c>
      <c r="BT17" s="461">
        <f t="shared" si="12"/>
        <v>1</v>
      </c>
      <c r="BU17" s="461">
        <f t="shared" si="12"/>
        <v>0</v>
      </c>
      <c r="BV17" s="461">
        <f t="shared" si="12"/>
        <v>0</v>
      </c>
      <c r="BW17" s="461">
        <f t="shared" si="12"/>
        <v>1</v>
      </c>
      <c r="BX17" s="461">
        <f t="shared" si="12"/>
        <v>0</v>
      </c>
      <c r="BY17" s="461">
        <f t="shared" si="12"/>
        <v>0</v>
      </c>
      <c r="BZ17" s="461">
        <f t="shared" si="12"/>
        <v>0</v>
      </c>
      <c r="CA17" s="461">
        <f t="shared" si="12"/>
        <v>0</v>
      </c>
      <c r="CB17" s="461">
        <f t="shared" si="12"/>
        <v>0</v>
      </c>
      <c r="CC17" s="461">
        <f t="shared" si="12"/>
        <v>0</v>
      </c>
      <c r="CD17" s="461">
        <f t="shared" si="12"/>
        <v>0</v>
      </c>
      <c r="CE17" s="461">
        <f t="shared" si="12"/>
        <v>0</v>
      </c>
      <c r="CF17" s="461">
        <f t="shared" si="12"/>
        <v>0</v>
      </c>
      <c r="CG17" s="461">
        <f t="shared" si="12"/>
        <v>0</v>
      </c>
      <c r="CH17" s="461">
        <f t="shared" si="12"/>
        <v>0</v>
      </c>
    </row>
    <row r="18" hidden="1" outlineLevel="1">
      <c r="A18" s="461" t="s">
        <v>120</v>
      </c>
      <c r="B18" s="462"/>
      <c r="C18" s="461"/>
      <c r="D18" s="461" t="str">
        <f t="shared" ref="D18:CH18" si="13">C258</f>
        <v/>
      </c>
      <c r="E18" s="461" t="str">
        <f t="shared" si="13"/>
        <v/>
      </c>
      <c r="F18" s="461" t="str">
        <f t="shared" si="13"/>
        <v/>
      </c>
      <c r="G18" s="461" t="str">
        <f t="shared" si="13"/>
        <v/>
      </c>
      <c r="H18" s="461" t="str">
        <f t="shared" si="13"/>
        <v/>
      </c>
      <c r="I18" s="461" t="str">
        <f t="shared" si="13"/>
        <v/>
      </c>
      <c r="J18" s="461" t="str">
        <f t="shared" si="13"/>
        <v/>
      </c>
      <c r="K18" s="461" t="str">
        <f t="shared" si="13"/>
        <v/>
      </c>
      <c r="L18" s="461" t="str">
        <f t="shared" si="13"/>
        <v/>
      </c>
      <c r="M18" s="461" t="str">
        <f t="shared" si="13"/>
        <v/>
      </c>
      <c r="N18" s="461" t="str">
        <f t="shared" si="13"/>
        <v/>
      </c>
      <c r="O18" s="461" t="str">
        <f t="shared" si="13"/>
        <v/>
      </c>
      <c r="P18" s="461" t="str">
        <f t="shared" si="13"/>
        <v/>
      </c>
      <c r="Q18" s="461" t="str">
        <f t="shared" si="13"/>
        <v/>
      </c>
      <c r="R18" s="461" t="str">
        <f t="shared" si="13"/>
        <v/>
      </c>
      <c r="S18" s="461" t="str">
        <f t="shared" si="13"/>
        <v/>
      </c>
      <c r="T18" s="461" t="str">
        <f t="shared" si="13"/>
        <v/>
      </c>
      <c r="U18" s="461" t="str">
        <f t="shared" si="13"/>
        <v/>
      </c>
      <c r="V18" s="461">
        <f t="shared" si="13"/>
        <v>-1</v>
      </c>
      <c r="W18" s="461">
        <f t="shared" si="13"/>
        <v>-2</v>
      </c>
      <c r="X18" s="461">
        <f t="shared" si="13"/>
        <v>3</v>
      </c>
      <c r="Y18" s="461">
        <f t="shared" si="13"/>
        <v>0</v>
      </c>
      <c r="Z18" s="461">
        <f t="shared" si="13"/>
        <v>2</v>
      </c>
      <c r="AA18" s="461">
        <f t="shared" si="13"/>
        <v>4</v>
      </c>
      <c r="AB18" s="461">
        <f t="shared" si="13"/>
        <v>0</v>
      </c>
      <c r="AC18" s="461">
        <f t="shared" si="13"/>
        <v>0</v>
      </c>
      <c r="AD18" s="461">
        <f t="shared" si="13"/>
        <v>0</v>
      </c>
      <c r="AE18" s="461">
        <f t="shared" si="13"/>
        <v>0</v>
      </c>
      <c r="AF18" s="461">
        <f t="shared" si="13"/>
        <v>0</v>
      </c>
      <c r="AG18" s="461">
        <f t="shared" si="13"/>
        <v>0</v>
      </c>
      <c r="AH18" s="461">
        <f t="shared" si="13"/>
        <v>0</v>
      </c>
      <c r="AI18" s="461">
        <f t="shared" si="13"/>
        <v>0</v>
      </c>
      <c r="AJ18" s="461">
        <f t="shared" si="13"/>
        <v>0</v>
      </c>
      <c r="AK18" s="461">
        <f t="shared" si="13"/>
        <v>0</v>
      </c>
      <c r="AL18" s="461">
        <f t="shared" si="13"/>
        <v>0</v>
      </c>
      <c r="AM18" s="461">
        <f t="shared" si="13"/>
        <v>0</v>
      </c>
      <c r="AN18" s="461">
        <f t="shared" si="13"/>
        <v>0</v>
      </c>
      <c r="AO18" s="461">
        <f t="shared" si="13"/>
        <v>0</v>
      </c>
      <c r="AP18" s="461">
        <f t="shared" si="13"/>
        <v>0</v>
      </c>
      <c r="AQ18" s="461">
        <f t="shared" si="13"/>
        <v>0</v>
      </c>
      <c r="AR18" s="461">
        <f t="shared" si="13"/>
        <v>0</v>
      </c>
      <c r="AS18" s="461">
        <f t="shared" si="13"/>
        <v>0</v>
      </c>
      <c r="AT18" s="461">
        <f t="shared" si="13"/>
        <v>0</v>
      </c>
      <c r="AU18" s="461">
        <f t="shared" si="13"/>
        <v>0</v>
      </c>
      <c r="AV18" s="461">
        <f t="shared" si="13"/>
        <v>0</v>
      </c>
      <c r="AW18" s="461">
        <f t="shared" si="13"/>
        <v>0</v>
      </c>
      <c r="AX18" s="461">
        <f t="shared" si="13"/>
        <v>0</v>
      </c>
      <c r="AY18" s="461">
        <f t="shared" si="13"/>
        <v>0</v>
      </c>
      <c r="AZ18" s="461">
        <f t="shared" si="13"/>
        <v>0</v>
      </c>
      <c r="BA18" s="461">
        <f t="shared" si="13"/>
        <v>0</v>
      </c>
      <c r="BB18" s="461">
        <f t="shared" si="13"/>
        <v>0</v>
      </c>
      <c r="BC18" s="461">
        <f t="shared" si="13"/>
        <v>0</v>
      </c>
      <c r="BD18" s="461">
        <f t="shared" si="13"/>
        <v>0</v>
      </c>
      <c r="BE18" s="461">
        <f t="shared" si="13"/>
        <v>0</v>
      </c>
      <c r="BF18" s="461">
        <f t="shared" si="13"/>
        <v>0</v>
      </c>
      <c r="BG18" s="461">
        <f t="shared" si="13"/>
        <v>0</v>
      </c>
      <c r="BH18" s="461">
        <f t="shared" si="13"/>
        <v>0</v>
      </c>
      <c r="BI18" s="461">
        <f t="shared" si="13"/>
        <v>0</v>
      </c>
      <c r="BJ18" s="461">
        <f t="shared" si="13"/>
        <v>0</v>
      </c>
      <c r="BK18" s="461">
        <f t="shared" si="13"/>
        <v>0</v>
      </c>
      <c r="BL18" s="461">
        <f t="shared" si="13"/>
        <v>0</v>
      </c>
      <c r="BM18" s="461">
        <f t="shared" si="13"/>
        <v>0</v>
      </c>
      <c r="BN18" s="461">
        <f t="shared" si="13"/>
        <v>0</v>
      </c>
      <c r="BO18" s="461">
        <f t="shared" si="13"/>
        <v>0</v>
      </c>
      <c r="BP18" s="461">
        <f t="shared" si="13"/>
        <v>0</v>
      </c>
      <c r="BQ18" s="461">
        <f t="shared" si="13"/>
        <v>0</v>
      </c>
      <c r="BR18" s="461">
        <f t="shared" si="13"/>
        <v>0</v>
      </c>
      <c r="BS18" s="461">
        <f t="shared" si="13"/>
        <v>0</v>
      </c>
      <c r="BT18" s="461">
        <f t="shared" si="13"/>
        <v>0</v>
      </c>
      <c r="BU18" s="461">
        <f t="shared" si="13"/>
        <v>0</v>
      </c>
      <c r="BV18" s="461">
        <f t="shared" si="13"/>
        <v>0</v>
      </c>
      <c r="BW18" s="461">
        <f t="shared" si="13"/>
        <v>0</v>
      </c>
      <c r="BX18" s="461">
        <f t="shared" si="13"/>
        <v>0</v>
      </c>
      <c r="BY18" s="461">
        <f t="shared" si="13"/>
        <v>0</v>
      </c>
      <c r="BZ18" s="461">
        <f t="shared" si="13"/>
        <v>0</v>
      </c>
      <c r="CA18" s="461">
        <f t="shared" si="13"/>
        <v>0</v>
      </c>
      <c r="CB18" s="461">
        <f t="shared" si="13"/>
        <v>0</v>
      </c>
      <c r="CC18" s="461">
        <f t="shared" si="13"/>
        <v>0</v>
      </c>
      <c r="CD18" s="461">
        <f t="shared" si="13"/>
        <v>0</v>
      </c>
      <c r="CE18" s="461">
        <f t="shared" si="13"/>
        <v>0</v>
      </c>
      <c r="CF18" s="461">
        <f t="shared" si="13"/>
        <v>0</v>
      </c>
      <c r="CG18" s="461">
        <f t="shared" si="13"/>
        <v>0</v>
      </c>
      <c r="CH18" s="461">
        <f t="shared" si="13"/>
        <v>0</v>
      </c>
    </row>
    <row r="19" hidden="1" outlineLevel="1">
      <c r="A19" s="463" t="s">
        <v>119</v>
      </c>
      <c r="B19" s="461"/>
      <c r="C19" s="461"/>
      <c r="D19" s="461" t="str">
        <f t="shared" ref="D19:CH19" si="14">C377</f>
        <v/>
      </c>
      <c r="E19" s="461" t="str">
        <f t="shared" si="14"/>
        <v/>
      </c>
      <c r="F19" s="461" t="str">
        <f t="shared" si="14"/>
        <v/>
      </c>
      <c r="G19" s="461" t="str">
        <f t="shared" si="14"/>
        <v/>
      </c>
      <c r="H19" s="461" t="str">
        <f t="shared" si="14"/>
        <v/>
      </c>
      <c r="I19" s="461" t="str">
        <f t="shared" si="14"/>
        <v/>
      </c>
      <c r="J19" s="461" t="str">
        <f t="shared" si="14"/>
        <v/>
      </c>
      <c r="K19" s="461" t="str">
        <f t="shared" si="14"/>
        <v/>
      </c>
      <c r="L19" s="461" t="str">
        <f t="shared" si="14"/>
        <v/>
      </c>
      <c r="M19" s="461" t="str">
        <f t="shared" si="14"/>
        <v/>
      </c>
      <c r="N19" s="461" t="str">
        <f t="shared" si="14"/>
        <v/>
      </c>
      <c r="O19" s="461" t="str">
        <f t="shared" si="14"/>
        <v/>
      </c>
      <c r="P19" s="461" t="str">
        <f t="shared" si="14"/>
        <v/>
      </c>
      <c r="Q19" s="461" t="str">
        <f t="shared" si="14"/>
        <v/>
      </c>
      <c r="R19" s="461" t="str">
        <f t="shared" si="14"/>
        <v/>
      </c>
      <c r="S19" s="461" t="str">
        <f t="shared" si="14"/>
        <v/>
      </c>
      <c r="T19" s="461" t="str">
        <f t="shared" si="14"/>
        <v/>
      </c>
      <c r="U19" s="461" t="str">
        <f t="shared" si="14"/>
        <v/>
      </c>
      <c r="V19" s="461">
        <f t="shared" si="14"/>
        <v>0</v>
      </c>
      <c r="W19" s="461">
        <f t="shared" si="14"/>
        <v>-2</v>
      </c>
      <c r="X19" s="461">
        <f t="shared" si="14"/>
        <v>2</v>
      </c>
      <c r="Y19" s="461">
        <f t="shared" si="14"/>
        <v>2</v>
      </c>
      <c r="Z19" s="461">
        <f t="shared" si="14"/>
        <v>3</v>
      </c>
      <c r="AA19" s="461">
        <f t="shared" si="14"/>
        <v>0</v>
      </c>
      <c r="AB19" s="461">
        <f t="shared" si="14"/>
        <v>1</v>
      </c>
      <c r="AC19" s="461">
        <f t="shared" si="14"/>
        <v>1</v>
      </c>
      <c r="AD19" s="461">
        <f t="shared" si="14"/>
        <v>1</v>
      </c>
      <c r="AE19" s="461">
        <f t="shared" si="14"/>
        <v>0</v>
      </c>
      <c r="AF19" s="461">
        <f t="shared" si="14"/>
        <v>0</v>
      </c>
      <c r="AG19" s="461">
        <f t="shared" si="14"/>
        <v>0</v>
      </c>
      <c r="AH19" s="461">
        <f t="shared" si="14"/>
        <v>0</v>
      </c>
      <c r="AI19" s="461">
        <f t="shared" si="14"/>
        <v>0</v>
      </c>
      <c r="AJ19" s="461">
        <f t="shared" si="14"/>
        <v>0</v>
      </c>
      <c r="AK19" s="461">
        <f t="shared" si="14"/>
        <v>0</v>
      </c>
      <c r="AL19" s="461">
        <f t="shared" si="14"/>
        <v>0</v>
      </c>
      <c r="AM19" s="461">
        <f t="shared" si="14"/>
        <v>0</v>
      </c>
      <c r="AN19" s="461">
        <f t="shared" si="14"/>
        <v>0</v>
      </c>
      <c r="AO19" s="461">
        <f t="shared" si="14"/>
        <v>0</v>
      </c>
      <c r="AP19" s="461">
        <f t="shared" si="14"/>
        <v>0</v>
      </c>
      <c r="AQ19" s="461">
        <f t="shared" si="14"/>
        <v>0</v>
      </c>
      <c r="AR19" s="461">
        <f t="shared" si="14"/>
        <v>0</v>
      </c>
      <c r="AS19" s="461">
        <f t="shared" si="14"/>
        <v>0</v>
      </c>
      <c r="AT19" s="461">
        <f t="shared" si="14"/>
        <v>0</v>
      </c>
      <c r="AU19" s="461">
        <f t="shared" si="14"/>
        <v>0</v>
      </c>
      <c r="AV19" s="461">
        <f t="shared" si="14"/>
        <v>0</v>
      </c>
      <c r="AW19" s="461">
        <f t="shared" si="14"/>
        <v>0</v>
      </c>
      <c r="AX19" s="461">
        <f t="shared" si="14"/>
        <v>0</v>
      </c>
      <c r="AY19" s="461">
        <f t="shared" si="14"/>
        <v>0</v>
      </c>
      <c r="AZ19" s="461">
        <f t="shared" si="14"/>
        <v>0</v>
      </c>
      <c r="BA19" s="461">
        <f t="shared" si="14"/>
        <v>0</v>
      </c>
      <c r="BB19" s="461">
        <f t="shared" si="14"/>
        <v>0</v>
      </c>
      <c r="BC19" s="461">
        <f t="shared" si="14"/>
        <v>0</v>
      </c>
      <c r="BD19" s="461">
        <f t="shared" si="14"/>
        <v>0</v>
      </c>
      <c r="BE19" s="461">
        <f t="shared" si="14"/>
        <v>0</v>
      </c>
      <c r="BF19" s="461">
        <f t="shared" si="14"/>
        <v>0</v>
      </c>
      <c r="BG19" s="461">
        <f t="shared" si="14"/>
        <v>0</v>
      </c>
      <c r="BH19" s="461">
        <f t="shared" si="14"/>
        <v>0</v>
      </c>
      <c r="BI19" s="461">
        <f t="shared" si="14"/>
        <v>0</v>
      </c>
      <c r="BJ19" s="461">
        <f t="shared" si="14"/>
        <v>0</v>
      </c>
      <c r="BK19" s="461">
        <f t="shared" si="14"/>
        <v>0</v>
      </c>
      <c r="BL19" s="461">
        <f t="shared" si="14"/>
        <v>0</v>
      </c>
      <c r="BM19" s="461">
        <f t="shared" si="14"/>
        <v>0</v>
      </c>
      <c r="BN19" s="461">
        <f t="shared" si="14"/>
        <v>0</v>
      </c>
      <c r="BO19" s="461">
        <f t="shared" si="14"/>
        <v>0</v>
      </c>
      <c r="BP19" s="461">
        <f t="shared" si="14"/>
        <v>0</v>
      </c>
      <c r="BQ19" s="461">
        <f t="shared" si="14"/>
        <v>0</v>
      </c>
      <c r="BR19" s="461">
        <f t="shared" si="14"/>
        <v>0</v>
      </c>
      <c r="BS19" s="461">
        <f t="shared" si="14"/>
        <v>0</v>
      </c>
      <c r="BT19" s="461">
        <f t="shared" si="14"/>
        <v>0</v>
      </c>
      <c r="BU19" s="461">
        <f t="shared" si="14"/>
        <v>0</v>
      </c>
      <c r="BV19" s="461">
        <f t="shared" si="14"/>
        <v>0</v>
      </c>
      <c r="BW19" s="461">
        <f t="shared" si="14"/>
        <v>0</v>
      </c>
      <c r="BX19" s="461">
        <f t="shared" si="14"/>
        <v>0</v>
      </c>
      <c r="BY19" s="461">
        <f t="shared" si="14"/>
        <v>0</v>
      </c>
      <c r="BZ19" s="461">
        <f t="shared" si="14"/>
        <v>0</v>
      </c>
      <c r="CA19" s="461">
        <f t="shared" si="14"/>
        <v>0</v>
      </c>
      <c r="CB19" s="461">
        <f t="shared" si="14"/>
        <v>0</v>
      </c>
      <c r="CC19" s="461">
        <f t="shared" si="14"/>
        <v>0</v>
      </c>
      <c r="CD19" s="461">
        <f t="shared" si="14"/>
        <v>0</v>
      </c>
      <c r="CE19" s="461">
        <f t="shared" si="14"/>
        <v>0</v>
      </c>
      <c r="CF19" s="461">
        <f t="shared" si="14"/>
        <v>0</v>
      </c>
      <c r="CG19" s="461">
        <f t="shared" si="14"/>
        <v>0</v>
      </c>
      <c r="CH19" s="461">
        <f t="shared" si="14"/>
        <v>0</v>
      </c>
    </row>
    <row r="20" collapsed="1">
      <c r="A20" s="464" t="s">
        <v>691</v>
      </c>
      <c r="B20" s="464"/>
      <c r="C20" s="465">
        <f t="shared" ref="C20:N20" si="15">SUM(C8:C15)</f>
        <v>0</v>
      </c>
      <c r="D20" s="465">
        <f t="shared" si="15"/>
        <v>0</v>
      </c>
      <c r="E20" s="465">
        <f t="shared" si="15"/>
        <v>0</v>
      </c>
      <c r="F20" s="465">
        <f t="shared" si="15"/>
        <v>0</v>
      </c>
      <c r="G20" s="465">
        <f t="shared" si="15"/>
        <v>0</v>
      </c>
      <c r="H20" s="465">
        <f t="shared" si="15"/>
        <v>0</v>
      </c>
      <c r="I20" s="465">
        <f t="shared" si="15"/>
        <v>0</v>
      </c>
      <c r="J20" s="465">
        <f t="shared" si="15"/>
        <v>0</v>
      </c>
      <c r="K20" s="465">
        <f t="shared" si="15"/>
        <v>0</v>
      </c>
      <c r="L20" s="465">
        <f t="shared" si="15"/>
        <v>0</v>
      </c>
      <c r="M20" s="465">
        <f t="shared" si="15"/>
        <v>0</v>
      </c>
      <c r="N20" s="465">
        <f t="shared" si="15"/>
        <v>2</v>
      </c>
      <c r="O20" s="465">
        <f t="shared" ref="O20:CH20" si="16">SUM(O6:O19)</f>
        <v>0</v>
      </c>
      <c r="P20" s="465">
        <f t="shared" si="16"/>
        <v>1</v>
      </c>
      <c r="Q20" s="465">
        <f t="shared" si="16"/>
        <v>1</v>
      </c>
      <c r="R20" s="465">
        <f t="shared" si="16"/>
        <v>1</v>
      </c>
      <c r="S20" s="465">
        <f t="shared" si="16"/>
        <v>3</v>
      </c>
      <c r="T20" s="465">
        <f t="shared" si="16"/>
        <v>1</v>
      </c>
      <c r="U20" s="465">
        <f t="shared" si="16"/>
        <v>1</v>
      </c>
      <c r="V20" s="465">
        <f t="shared" si="16"/>
        <v>1</v>
      </c>
      <c r="W20" s="465">
        <f t="shared" si="16"/>
        <v>1</v>
      </c>
      <c r="X20" s="465">
        <f t="shared" si="16"/>
        <v>5</v>
      </c>
      <c r="Y20" s="465">
        <f t="shared" si="16"/>
        <v>4</v>
      </c>
      <c r="Z20" s="465">
        <f t="shared" si="16"/>
        <v>17</v>
      </c>
      <c r="AA20" s="465">
        <f t="shared" si="16"/>
        <v>6</v>
      </c>
      <c r="AB20" s="465">
        <f t="shared" si="16"/>
        <v>3</v>
      </c>
      <c r="AC20" s="465">
        <f t="shared" si="16"/>
        <v>3</v>
      </c>
      <c r="AD20" s="465">
        <f t="shared" si="16"/>
        <v>3</v>
      </c>
      <c r="AE20" s="465">
        <f t="shared" si="16"/>
        <v>0</v>
      </c>
      <c r="AF20" s="465">
        <f t="shared" si="16"/>
        <v>0</v>
      </c>
      <c r="AG20" s="465">
        <f t="shared" si="16"/>
        <v>2</v>
      </c>
      <c r="AH20" s="465">
        <f t="shared" si="16"/>
        <v>3</v>
      </c>
      <c r="AI20" s="465">
        <f t="shared" si="16"/>
        <v>2</v>
      </c>
      <c r="AJ20" s="465">
        <f t="shared" si="16"/>
        <v>3</v>
      </c>
      <c r="AK20" s="465">
        <f t="shared" si="16"/>
        <v>3</v>
      </c>
      <c r="AL20" s="465">
        <f t="shared" si="16"/>
        <v>3</v>
      </c>
      <c r="AM20" s="465">
        <f t="shared" si="16"/>
        <v>2</v>
      </c>
      <c r="AN20" s="465">
        <f t="shared" si="16"/>
        <v>2</v>
      </c>
      <c r="AO20" s="465">
        <f t="shared" si="16"/>
        <v>1</v>
      </c>
      <c r="AP20" s="465">
        <f t="shared" si="16"/>
        <v>0</v>
      </c>
      <c r="AQ20" s="465">
        <f t="shared" si="16"/>
        <v>1</v>
      </c>
      <c r="AR20" s="465">
        <f t="shared" si="16"/>
        <v>1</v>
      </c>
      <c r="AS20" s="465">
        <f t="shared" si="16"/>
        <v>1</v>
      </c>
      <c r="AT20" s="465">
        <f t="shared" si="16"/>
        <v>2</v>
      </c>
      <c r="AU20" s="465">
        <f t="shared" si="16"/>
        <v>1</v>
      </c>
      <c r="AV20" s="465">
        <f t="shared" si="16"/>
        <v>1</v>
      </c>
      <c r="AW20" s="465">
        <f t="shared" si="16"/>
        <v>2</v>
      </c>
      <c r="AX20" s="465">
        <f t="shared" si="16"/>
        <v>0</v>
      </c>
      <c r="AY20" s="465">
        <f t="shared" si="16"/>
        <v>1</v>
      </c>
      <c r="AZ20" s="465">
        <f t="shared" si="16"/>
        <v>3</v>
      </c>
      <c r="BA20" s="465">
        <f t="shared" si="16"/>
        <v>2</v>
      </c>
      <c r="BB20" s="465">
        <f t="shared" si="16"/>
        <v>4</v>
      </c>
      <c r="BC20" s="465">
        <f t="shared" si="16"/>
        <v>1</v>
      </c>
      <c r="BD20" s="465">
        <f t="shared" si="16"/>
        <v>1</v>
      </c>
      <c r="BE20" s="465">
        <f t="shared" si="16"/>
        <v>3</v>
      </c>
      <c r="BF20" s="465">
        <f t="shared" si="16"/>
        <v>2</v>
      </c>
      <c r="BG20" s="465">
        <f t="shared" si="16"/>
        <v>1</v>
      </c>
      <c r="BH20" s="465">
        <f t="shared" si="16"/>
        <v>3</v>
      </c>
      <c r="BI20" s="465">
        <f t="shared" si="16"/>
        <v>0</v>
      </c>
      <c r="BJ20" s="465">
        <f t="shared" si="16"/>
        <v>3</v>
      </c>
      <c r="BK20" s="465">
        <f t="shared" si="16"/>
        <v>4</v>
      </c>
      <c r="BL20" s="465">
        <f t="shared" si="16"/>
        <v>15</v>
      </c>
      <c r="BM20" s="465">
        <f t="shared" si="16"/>
        <v>7</v>
      </c>
      <c r="BN20" s="465">
        <f t="shared" si="16"/>
        <v>3</v>
      </c>
      <c r="BO20" s="465">
        <f t="shared" si="16"/>
        <v>2</v>
      </c>
      <c r="BP20" s="465">
        <f t="shared" si="16"/>
        <v>1</v>
      </c>
      <c r="BQ20" s="465">
        <f t="shared" si="16"/>
        <v>3</v>
      </c>
      <c r="BR20" s="465">
        <f t="shared" si="16"/>
        <v>2</v>
      </c>
      <c r="BS20" s="465">
        <f t="shared" si="16"/>
        <v>1</v>
      </c>
      <c r="BT20" s="465">
        <f t="shared" si="16"/>
        <v>2</v>
      </c>
      <c r="BU20" s="465">
        <f t="shared" si="16"/>
        <v>3</v>
      </c>
      <c r="BV20" s="465">
        <f t="shared" si="16"/>
        <v>0</v>
      </c>
      <c r="BW20" s="465">
        <f t="shared" si="16"/>
        <v>2</v>
      </c>
      <c r="BX20" s="465">
        <f t="shared" si="16"/>
        <v>3</v>
      </c>
      <c r="BY20" s="465">
        <f t="shared" si="16"/>
        <v>1</v>
      </c>
      <c r="BZ20" s="465">
        <f t="shared" si="16"/>
        <v>2</v>
      </c>
      <c r="CA20" s="465">
        <f t="shared" si="16"/>
        <v>0</v>
      </c>
      <c r="CB20" s="465">
        <f t="shared" si="16"/>
        <v>2</v>
      </c>
      <c r="CC20" s="465">
        <f t="shared" si="16"/>
        <v>2</v>
      </c>
      <c r="CD20" s="465">
        <f t="shared" si="16"/>
        <v>0</v>
      </c>
      <c r="CE20" s="465">
        <f t="shared" si="16"/>
        <v>1</v>
      </c>
      <c r="CF20" s="465">
        <f t="shared" si="16"/>
        <v>0</v>
      </c>
      <c r="CG20" s="465">
        <f t="shared" si="16"/>
        <v>2</v>
      </c>
      <c r="CH20" s="465">
        <f t="shared" si="16"/>
        <v>2</v>
      </c>
    </row>
    <row r="21" ht="15.75" customHeight="1"/>
    <row r="22" ht="15.75" customHeight="1">
      <c r="S22" s="466"/>
      <c r="T22" s="466"/>
    </row>
    <row r="23" ht="15.75" customHeight="1">
      <c r="S23" s="466"/>
      <c r="T23" s="466"/>
    </row>
    <row r="24" ht="15.75" customHeight="1">
      <c r="A24" s="115" t="s">
        <v>47</v>
      </c>
      <c r="Q24" s="450"/>
      <c r="S24" s="466"/>
      <c r="T24" s="466"/>
    </row>
    <row r="25" ht="15.75" customHeight="1"/>
    <row r="26" ht="15.75" customHeight="1">
      <c r="A26" s="1" t="s">
        <v>25</v>
      </c>
      <c r="C26" s="116">
        <f>Revenue!C6</f>
        <v>145221</v>
      </c>
      <c r="D26" s="116">
        <f>Revenue!D6</f>
        <v>268153</v>
      </c>
      <c r="E26" s="116">
        <f>Revenue!E6</f>
        <v>202602</v>
      </c>
      <c r="F26" s="116">
        <f>Revenue!F6</f>
        <v>249435</v>
      </c>
      <c r="G26" s="116">
        <f>Revenue!G6</f>
        <v>251204</v>
      </c>
      <c r="H26" s="116">
        <f>Revenue!H6</f>
        <v>175735</v>
      </c>
      <c r="I26" s="116">
        <f>Revenue!I6</f>
        <v>173627</v>
      </c>
      <c r="J26" s="116">
        <f>Revenue!J6</f>
        <v>163316</v>
      </c>
      <c r="K26" s="116">
        <f>Revenue!K6</f>
        <v>214926</v>
      </c>
      <c r="L26" s="116">
        <f>Revenue!L6</f>
        <v>242871</v>
      </c>
      <c r="M26" s="116">
        <f>Revenue!M6</f>
        <v>234725</v>
      </c>
      <c r="N26" s="116">
        <f>Revenue!N6</f>
        <v>201170</v>
      </c>
      <c r="O26" s="116">
        <f>Revenue!O6</f>
        <v>225168</v>
      </c>
      <c r="P26" s="116">
        <f>Revenue!P6</f>
        <v>202984</v>
      </c>
      <c r="Q26" s="116">
        <f>Revenue!Q6</f>
        <v>230137</v>
      </c>
      <c r="R26" s="116">
        <f>Revenue!R6</f>
        <v>215710</v>
      </c>
      <c r="S26" s="116">
        <f>Revenue!S6</f>
        <v>275885</v>
      </c>
      <c r="T26" s="116">
        <f>Revenue!T6</f>
        <v>196349</v>
      </c>
      <c r="U26" s="116">
        <f>Revenue!U6</f>
        <v>274969</v>
      </c>
      <c r="V26" s="116">
        <f>Revenue!V6</f>
        <v>270100</v>
      </c>
      <c r="W26" s="116">
        <f>Revenue!W6</f>
        <v>241649</v>
      </c>
      <c r="X26" s="116">
        <f>Revenue!X6</f>
        <v>195381</v>
      </c>
      <c r="Y26" s="116">
        <f>Revenue!Y6</f>
        <v>291011</v>
      </c>
      <c r="Z26" s="116">
        <f>Revenue!Z6</f>
        <v>424038.3587</v>
      </c>
      <c r="AA26" s="116">
        <f>Revenue!AA6</f>
        <v>504241.5363</v>
      </c>
      <c r="AB26" s="116">
        <f>Revenue!AB6</f>
        <v>582808.2623</v>
      </c>
      <c r="AC26" s="116">
        <f>Revenue!AC6</f>
        <v>656219.2844</v>
      </c>
      <c r="AD26" s="116">
        <f>Revenue!AD6</f>
        <v>729298.1637</v>
      </c>
      <c r="AE26" s="116">
        <f>Revenue!AE6</f>
        <v>810916.7567</v>
      </c>
      <c r="AF26" s="116">
        <f>Revenue!AF6</f>
        <v>888901.9038</v>
      </c>
      <c r="AG26" s="116">
        <f>Revenue!AG6</f>
        <v>964562.3903</v>
      </c>
      <c r="AH26" s="116">
        <f>Revenue!AH6</f>
        <v>1039304.834</v>
      </c>
      <c r="AI26" s="116">
        <f>Revenue!AI6</f>
        <v>1116079.352</v>
      </c>
      <c r="AJ26" s="116">
        <f>Revenue!AJ6</f>
        <v>1187157.271</v>
      </c>
      <c r="AK26" s="116">
        <f>Revenue!AK6</f>
        <v>1262204.801</v>
      </c>
      <c r="AL26" s="116">
        <f>Revenue!AL6</f>
        <v>1340193.399</v>
      </c>
      <c r="AM26" s="116">
        <f>Revenue!AM6</f>
        <v>1400947.54</v>
      </c>
      <c r="AN26" s="116">
        <f>Revenue!AN6</f>
        <v>1412547.753</v>
      </c>
      <c r="AO26" s="116">
        <f>Revenue!AO6</f>
        <v>1435663.774</v>
      </c>
      <c r="AP26" s="116">
        <f>Revenue!AP6</f>
        <v>1463030.47</v>
      </c>
      <c r="AQ26" s="116">
        <f>Revenue!AQ6</f>
        <v>1490534.739</v>
      </c>
      <c r="AR26" s="116">
        <f>Revenue!AR6</f>
        <v>1518058.964</v>
      </c>
      <c r="AS26" s="116">
        <f>Revenue!AS6</f>
        <v>1544868.694</v>
      </c>
      <c r="AT26" s="116">
        <f>Revenue!AT6</f>
        <v>1584805.768</v>
      </c>
      <c r="AU26" s="116">
        <f>Revenue!AU6</f>
        <v>1610842.016</v>
      </c>
      <c r="AV26" s="116">
        <f>Revenue!AV6</f>
        <v>1636433.352</v>
      </c>
      <c r="AW26" s="116">
        <f>Revenue!AW6</f>
        <v>1661609.333</v>
      </c>
      <c r="AX26" s="116">
        <f>Revenue!AX6</f>
        <v>1686397.772</v>
      </c>
      <c r="AY26" s="116">
        <f>Revenue!AY6</f>
        <v>1739238.992</v>
      </c>
      <c r="AZ26" s="116">
        <f>Revenue!AZ6</f>
        <v>1777119.667</v>
      </c>
      <c r="BA26" s="116">
        <f>Revenue!BA6</f>
        <v>1814093.164</v>
      </c>
      <c r="BB26" s="116">
        <f>Revenue!BB6</f>
        <v>1850394.164</v>
      </c>
      <c r="BC26" s="116">
        <f>Revenue!BC6</f>
        <v>1886085.975</v>
      </c>
      <c r="BD26" s="116">
        <f>Revenue!BD6</f>
        <v>1921205.146</v>
      </c>
      <c r="BE26" s="116">
        <f>Revenue!BE6</f>
        <v>1955783.201</v>
      </c>
      <c r="BF26" s="116">
        <f>Revenue!BF6</f>
        <v>1989849.94</v>
      </c>
      <c r="BG26" s="116">
        <f>Revenue!BG6</f>
        <v>2023433.974</v>
      </c>
      <c r="BH26" s="116">
        <f>Revenue!BH6</f>
        <v>2056562.845</v>
      </c>
      <c r="BI26" s="116">
        <f>Revenue!BI6</f>
        <v>2089263.077</v>
      </c>
      <c r="BJ26" s="116">
        <f>Revenue!BJ6</f>
        <v>2121560.221</v>
      </c>
      <c r="BK26" s="116">
        <f>Revenue!BK6</f>
        <v>2177703.884</v>
      </c>
      <c r="BL26" s="116">
        <f>Revenue!BL6</f>
        <v>2210505.931</v>
      </c>
      <c r="BM26" s="116">
        <f>Revenue!BM6</f>
        <v>2240108.088</v>
      </c>
      <c r="BN26" s="116">
        <f>Revenue!BN6</f>
        <v>2269833.804</v>
      </c>
      <c r="BO26" s="116">
        <f>Revenue!BO6</f>
        <v>2299513.652</v>
      </c>
      <c r="BP26" s="116">
        <f>Revenue!BP6</f>
        <v>2329137.542</v>
      </c>
      <c r="BQ26" s="116">
        <f>Revenue!BQ6</f>
        <v>2358718.982</v>
      </c>
      <c r="BR26" s="116">
        <f>Revenue!BR6</f>
        <v>2388274.732</v>
      </c>
      <c r="BS26" s="116">
        <f>Revenue!BS6</f>
        <v>2417821.78</v>
      </c>
      <c r="BT26" s="116">
        <f>Revenue!BT6</f>
        <v>2447376.898</v>
      </c>
      <c r="BU26" s="116">
        <f>Revenue!BU6</f>
        <v>2476956.595</v>
      </c>
      <c r="BV26" s="116">
        <f>Revenue!BV6</f>
        <v>2506577.134</v>
      </c>
      <c r="BW26" s="116">
        <f>Revenue!BW6</f>
        <v>2561373.418</v>
      </c>
      <c r="BX26" s="116">
        <f>Revenue!BX6</f>
        <v>2582415.164</v>
      </c>
      <c r="BY26" s="116">
        <f>Revenue!BY6</f>
        <v>2603208.601</v>
      </c>
      <c r="BZ26" s="116">
        <f>Revenue!BZ6</f>
        <v>2624466.562</v>
      </c>
      <c r="CA26" s="116">
        <f>Revenue!CA6</f>
        <v>2645601.904</v>
      </c>
      <c r="CB26" s="116">
        <f>Revenue!CB6</f>
        <v>2666545.797</v>
      </c>
      <c r="CC26" s="116">
        <f>Revenue!CC6</f>
        <v>2687306.365</v>
      </c>
      <c r="CD26" s="116">
        <f>Revenue!CD6</f>
        <v>2707902.517</v>
      </c>
      <c r="CE26" s="116">
        <f>Revenue!CE6</f>
        <v>2728354.052</v>
      </c>
      <c r="CF26" s="116">
        <f>Revenue!CF6</f>
        <v>2748680.209</v>
      </c>
      <c r="CG26" s="116">
        <f>Revenue!CG6</f>
        <v>2768899.477</v>
      </c>
      <c r="CH26" s="116">
        <f>Revenue!CH6</f>
        <v>2789029.597</v>
      </c>
    </row>
    <row r="27" ht="15.75" customHeight="1">
      <c r="A27" s="1" t="s">
        <v>325</v>
      </c>
      <c r="C27" s="116"/>
      <c r="D27" s="116">
        <f t="shared" ref="D27:CH27" si="17">D26-C26</f>
        <v>122932</v>
      </c>
      <c r="E27" s="116">
        <f t="shared" si="17"/>
        <v>-65551</v>
      </c>
      <c r="F27" s="116">
        <f t="shared" si="17"/>
        <v>46833</v>
      </c>
      <c r="G27" s="116">
        <f t="shared" si="17"/>
        <v>1769</v>
      </c>
      <c r="H27" s="116">
        <f t="shared" si="17"/>
        <v>-75469</v>
      </c>
      <c r="I27" s="116">
        <f t="shared" si="17"/>
        <v>-2108</v>
      </c>
      <c r="J27" s="116">
        <f t="shared" si="17"/>
        <v>-10311</v>
      </c>
      <c r="K27" s="116">
        <f t="shared" si="17"/>
        <v>51610</v>
      </c>
      <c r="L27" s="116">
        <f t="shared" si="17"/>
        <v>27945</v>
      </c>
      <c r="M27" s="116">
        <f t="shared" si="17"/>
        <v>-8146</v>
      </c>
      <c r="N27" s="116">
        <f t="shared" si="17"/>
        <v>-33555</v>
      </c>
      <c r="O27" s="116">
        <f t="shared" si="17"/>
        <v>23998</v>
      </c>
      <c r="P27" s="116">
        <f t="shared" si="17"/>
        <v>-22184</v>
      </c>
      <c r="Q27" s="116">
        <f t="shared" si="17"/>
        <v>27153</v>
      </c>
      <c r="R27" s="116">
        <f t="shared" si="17"/>
        <v>-14427</v>
      </c>
      <c r="S27" s="116">
        <f t="shared" si="17"/>
        <v>60175</v>
      </c>
      <c r="T27" s="116">
        <f t="shared" si="17"/>
        <v>-79536</v>
      </c>
      <c r="U27" s="116">
        <f t="shared" si="17"/>
        <v>78620</v>
      </c>
      <c r="V27" s="116">
        <f t="shared" si="17"/>
        <v>-4869</v>
      </c>
      <c r="W27" s="116">
        <f t="shared" si="17"/>
        <v>-28451</v>
      </c>
      <c r="X27" s="116">
        <f t="shared" si="17"/>
        <v>-46268</v>
      </c>
      <c r="Y27" s="116">
        <f t="shared" si="17"/>
        <v>95630</v>
      </c>
      <c r="Z27" s="116">
        <f t="shared" si="17"/>
        <v>133027.3587</v>
      </c>
      <c r="AA27" s="116">
        <f t="shared" si="17"/>
        <v>80203.17765</v>
      </c>
      <c r="AB27" s="116">
        <f t="shared" si="17"/>
        <v>78566.72594</v>
      </c>
      <c r="AC27" s="116">
        <f t="shared" si="17"/>
        <v>73411.02208</v>
      </c>
      <c r="AD27" s="116">
        <f t="shared" si="17"/>
        <v>73078.87934</v>
      </c>
      <c r="AE27" s="116">
        <f t="shared" si="17"/>
        <v>81618.59303</v>
      </c>
      <c r="AF27" s="116">
        <f t="shared" si="17"/>
        <v>77985.14704</v>
      </c>
      <c r="AG27" s="116">
        <f t="shared" si="17"/>
        <v>75660.48651</v>
      </c>
      <c r="AH27" s="116">
        <f t="shared" si="17"/>
        <v>74742.44392</v>
      </c>
      <c r="AI27" s="116">
        <f t="shared" si="17"/>
        <v>76774.51738</v>
      </c>
      <c r="AJ27" s="116">
        <f t="shared" si="17"/>
        <v>71077.91954</v>
      </c>
      <c r="AK27" s="116">
        <f t="shared" si="17"/>
        <v>75047.53002</v>
      </c>
      <c r="AL27" s="116">
        <f t="shared" si="17"/>
        <v>77988.59823</v>
      </c>
      <c r="AM27" s="116">
        <f t="shared" si="17"/>
        <v>60754.14063</v>
      </c>
      <c r="AN27" s="116">
        <f t="shared" si="17"/>
        <v>11600.21291</v>
      </c>
      <c r="AO27" s="116">
        <f t="shared" si="17"/>
        <v>23116.02121</v>
      </c>
      <c r="AP27" s="116">
        <f t="shared" si="17"/>
        <v>27366.69586</v>
      </c>
      <c r="AQ27" s="116">
        <f t="shared" si="17"/>
        <v>27504.26884</v>
      </c>
      <c r="AR27" s="116">
        <f t="shared" si="17"/>
        <v>27524.22547</v>
      </c>
      <c r="AS27" s="116">
        <f t="shared" si="17"/>
        <v>26809.73022</v>
      </c>
      <c r="AT27" s="116">
        <f t="shared" si="17"/>
        <v>39937.07314</v>
      </c>
      <c r="AU27" s="116">
        <f t="shared" si="17"/>
        <v>26036.24858</v>
      </c>
      <c r="AV27" s="116">
        <f t="shared" si="17"/>
        <v>25591.33577</v>
      </c>
      <c r="AW27" s="116">
        <f t="shared" si="17"/>
        <v>25175.98131</v>
      </c>
      <c r="AX27" s="116">
        <f t="shared" si="17"/>
        <v>24788.43866</v>
      </c>
      <c r="AY27" s="116">
        <f t="shared" si="17"/>
        <v>52841.22042</v>
      </c>
      <c r="AZ27" s="116">
        <f t="shared" si="17"/>
        <v>37880.67415</v>
      </c>
      <c r="BA27" s="116">
        <f t="shared" si="17"/>
        <v>36973.49775</v>
      </c>
      <c r="BB27" s="116">
        <f t="shared" si="17"/>
        <v>36301.00005</v>
      </c>
      <c r="BC27" s="116">
        <f t="shared" si="17"/>
        <v>35691.81098</v>
      </c>
      <c r="BD27" s="116">
        <f t="shared" si="17"/>
        <v>35119.17091</v>
      </c>
      <c r="BE27" s="116">
        <f t="shared" si="17"/>
        <v>34578.05475</v>
      </c>
      <c r="BF27" s="116">
        <f t="shared" si="17"/>
        <v>34066.73887</v>
      </c>
      <c r="BG27" s="116">
        <f t="shared" si="17"/>
        <v>33584.03442</v>
      </c>
      <c r="BH27" s="116">
        <f t="shared" si="17"/>
        <v>33128.87082</v>
      </c>
      <c r="BI27" s="116">
        <f t="shared" si="17"/>
        <v>32700.23178</v>
      </c>
      <c r="BJ27" s="116">
        <f t="shared" si="17"/>
        <v>32297.14418</v>
      </c>
      <c r="BK27" s="116">
        <f t="shared" si="17"/>
        <v>56143.66294</v>
      </c>
      <c r="BL27" s="116">
        <f t="shared" si="17"/>
        <v>32802.04719</v>
      </c>
      <c r="BM27" s="116">
        <f t="shared" si="17"/>
        <v>29602.15652</v>
      </c>
      <c r="BN27" s="116">
        <f t="shared" si="17"/>
        <v>29725.71616</v>
      </c>
      <c r="BO27" s="116">
        <f t="shared" si="17"/>
        <v>29679.84839</v>
      </c>
      <c r="BP27" s="116">
        <f t="shared" si="17"/>
        <v>29623.89025</v>
      </c>
      <c r="BQ27" s="116">
        <f t="shared" si="17"/>
        <v>29581.43912</v>
      </c>
      <c r="BR27" s="116">
        <f t="shared" si="17"/>
        <v>29555.75065</v>
      </c>
      <c r="BS27" s="116">
        <f t="shared" si="17"/>
        <v>29547.04793</v>
      </c>
      <c r="BT27" s="116">
        <f t="shared" si="17"/>
        <v>29555.11742</v>
      </c>
      <c r="BU27" s="116">
        <f t="shared" si="17"/>
        <v>29579.69787</v>
      </c>
      <c r="BV27" s="116">
        <f t="shared" si="17"/>
        <v>29620.53827</v>
      </c>
      <c r="BW27" s="116">
        <f t="shared" si="17"/>
        <v>54796.28391</v>
      </c>
      <c r="BX27" s="116">
        <f t="shared" si="17"/>
        <v>21041.74664</v>
      </c>
      <c r="BY27" s="116">
        <f t="shared" si="17"/>
        <v>20793.43706</v>
      </c>
      <c r="BZ27" s="116">
        <f t="shared" si="17"/>
        <v>21257.96115</v>
      </c>
      <c r="CA27" s="116">
        <f t="shared" si="17"/>
        <v>21135.3419</v>
      </c>
      <c r="CB27" s="116">
        <f t="shared" si="17"/>
        <v>20943.89286</v>
      </c>
      <c r="CC27" s="116">
        <f t="shared" si="17"/>
        <v>20760.56808</v>
      </c>
      <c r="CD27" s="116">
        <f t="shared" si="17"/>
        <v>20596.15172</v>
      </c>
      <c r="CE27" s="116">
        <f t="shared" si="17"/>
        <v>20451.53507</v>
      </c>
      <c r="CF27" s="116">
        <f t="shared" si="17"/>
        <v>20326.15686</v>
      </c>
      <c r="CG27" s="116">
        <f t="shared" si="17"/>
        <v>20219.26802</v>
      </c>
      <c r="CH27" s="116">
        <f t="shared" si="17"/>
        <v>20130.12021</v>
      </c>
    </row>
    <row r="28" ht="15.75" customHeight="1">
      <c r="A28" s="1" t="s">
        <v>692</v>
      </c>
      <c r="C28" s="146">
        <f>Revenue!C49</f>
        <v>386.626</v>
      </c>
      <c r="D28" s="146">
        <f>Revenue!D49</f>
        <v>702.562</v>
      </c>
      <c r="E28" s="146">
        <f>Revenue!E49</f>
        <v>495.428</v>
      </c>
      <c r="F28" s="146">
        <f>Revenue!F49</f>
        <v>662.23</v>
      </c>
      <c r="G28" s="146">
        <f>Revenue!G49</f>
        <v>686.496</v>
      </c>
      <c r="H28" s="146">
        <f>Revenue!H49</f>
        <v>460.91</v>
      </c>
      <c r="I28" s="146">
        <f>Revenue!I49</f>
        <v>444.31</v>
      </c>
      <c r="J28" s="146">
        <f>Revenue!J49</f>
        <v>485.384</v>
      </c>
      <c r="K28" s="146">
        <f>Revenue!K49</f>
        <v>558.516</v>
      </c>
      <c r="L28" s="146">
        <f>Revenue!L49</f>
        <v>653.214</v>
      </c>
      <c r="M28" s="146">
        <f>Revenue!M49</f>
        <v>618.626</v>
      </c>
      <c r="N28" s="146">
        <f>Revenue!N49</f>
        <v>519.644</v>
      </c>
      <c r="O28" s="146">
        <f>Revenue!O49</f>
        <v>561.608</v>
      </c>
      <c r="P28" s="146">
        <f>Revenue!P49</f>
        <v>557.648</v>
      </c>
      <c r="Q28" s="146">
        <f>Revenue!Q49</f>
        <v>606.482</v>
      </c>
      <c r="R28" s="146">
        <f>Revenue!R49</f>
        <v>604.22</v>
      </c>
      <c r="S28" s="146">
        <f>Revenue!S49</f>
        <v>661.034</v>
      </c>
      <c r="T28" s="146">
        <f>Revenue!T49</f>
        <v>582.618</v>
      </c>
      <c r="U28" s="146">
        <f>Revenue!U49</f>
        <v>703.074</v>
      </c>
      <c r="V28" s="146">
        <f>Revenue!V49</f>
        <v>621.904</v>
      </c>
      <c r="W28" s="146">
        <f>Revenue!W49</f>
        <v>665.794</v>
      </c>
      <c r="X28" s="146">
        <f>Revenue!X49</f>
        <v>571.082</v>
      </c>
      <c r="Y28" s="146">
        <f>Revenue!Y49</f>
        <v>764.926</v>
      </c>
      <c r="Z28" s="146">
        <f>Revenue!Z49</f>
        <v>1065.626885</v>
      </c>
      <c r="AA28" s="146">
        <f>Revenue!AA49</f>
        <v>1294.231037</v>
      </c>
      <c r="AB28" s="146">
        <f>Revenue!AB49</f>
        <v>1497.633548</v>
      </c>
      <c r="AC28" s="146">
        <f>Revenue!AC49</f>
        <v>1692.103042</v>
      </c>
      <c r="AD28" s="146">
        <f>Revenue!AD49</f>
        <v>1886.406453</v>
      </c>
      <c r="AE28" s="146">
        <f>Revenue!AE49</f>
        <v>2152.194845</v>
      </c>
      <c r="AF28" s="146">
        <f>Revenue!AF49</f>
        <v>2363.868673</v>
      </c>
      <c r="AG28" s="146">
        <f>Revenue!AG49</f>
        <v>2570.063514</v>
      </c>
      <c r="AH28" s="146">
        <f>Revenue!AH49</f>
        <v>2773.883752</v>
      </c>
      <c r="AI28" s="146">
        <f>Revenue!AI49</f>
        <v>2983.26538</v>
      </c>
      <c r="AJ28" s="146">
        <f>Revenue!AJ49</f>
        <v>3179.173731</v>
      </c>
      <c r="AK28" s="146">
        <f>Revenue!AK49</f>
        <v>3384.157735</v>
      </c>
      <c r="AL28" s="146">
        <f>Revenue!AL49</f>
        <v>3596.90025</v>
      </c>
      <c r="AM28" s="146">
        <f>Revenue!AM49</f>
        <v>3848.610047</v>
      </c>
      <c r="AN28" s="146">
        <f>Revenue!AN49</f>
        <v>3897.25737</v>
      </c>
      <c r="AO28" s="146">
        <f>Revenue!AO49</f>
        <v>3966.158372</v>
      </c>
      <c r="AP28" s="146">
        <f>Revenue!AP49</f>
        <v>4043.058302</v>
      </c>
      <c r="AQ28" s="146">
        <f>Revenue!AQ49</f>
        <v>4119.76069</v>
      </c>
      <c r="AR28" s="146">
        <f>Revenue!AR49</f>
        <v>4196.246918</v>
      </c>
      <c r="AS28" s="146">
        <f>Revenue!AS49</f>
        <v>4270.878814</v>
      </c>
      <c r="AT28" s="146">
        <f>Revenue!AT49</f>
        <v>4480.616714</v>
      </c>
      <c r="AU28" s="146">
        <f>Revenue!AU49</f>
        <v>4554.768383</v>
      </c>
      <c r="AV28" s="146">
        <f>Revenue!AV49</f>
        <v>4627.648206</v>
      </c>
      <c r="AW28" s="146">
        <f>Revenue!AW49</f>
        <v>4699.340189</v>
      </c>
      <c r="AX28" s="146">
        <f>Revenue!AX49</f>
        <v>4769.923722</v>
      </c>
      <c r="AY28" s="146">
        <f>Revenue!AY49</f>
        <v>5026.790268</v>
      </c>
      <c r="AZ28" s="146">
        <f>Revenue!AZ49</f>
        <v>5136.89686</v>
      </c>
      <c r="BA28" s="146">
        <f>Revenue!BA49</f>
        <v>5244.569497</v>
      </c>
      <c r="BB28" s="146">
        <f>Revenue!BB49</f>
        <v>5350.309376</v>
      </c>
      <c r="BC28" s="146">
        <f>Revenue!BC49</f>
        <v>5454.27375</v>
      </c>
      <c r="BD28" s="146">
        <f>Revenue!BD49</f>
        <v>5556.565206</v>
      </c>
      <c r="BE28" s="146">
        <f>Revenue!BE49</f>
        <v>5657.275177</v>
      </c>
      <c r="BF28" s="146">
        <f>Revenue!BF49</f>
        <v>5756.49059</v>
      </c>
      <c r="BG28" s="146">
        <f>Revenue!BG49</f>
        <v>5854.29498</v>
      </c>
      <c r="BH28" s="146">
        <f>Revenue!BH49</f>
        <v>5950.768768</v>
      </c>
      <c r="BI28" s="146">
        <f>Revenue!BI49</f>
        <v>6045.989406</v>
      </c>
      <c r="BJ28" s="146">
        <f>Revenue!BJ49</f>
        <v>6140.031508</v>
      </c>
      <c r="BK28" s="146">
        <f>Revenue!BK49</f>
        <v>6054.04442</v>
      </c>
      <c r="BL28" s="146">
        <f>Revenue!BL49</f>
        <v>6147.616848</v>
      </c>
      <c r="BM28" s="146">
        <f>Revenue!BM49</f>
        <v>6230.716766</v>
      </c>
      <c r="BN28" s="146">
        <f>Revenue!BN49</f>
        <v>6313.93963</v>
      </c>
      <c r="BO28" s="146">
        <f>Revenue!BO49</f>
        <v>6396.998765</v>
      </c>
      <c r="BP28" s="146">
        <f>Revenue!BP49</f>
        <v>6479.894201</v>
      </c>
      <c r="BQ28" s="146">
        <f>Revenue!BQ49</f>
        <v>6562.668122</v>
      </c>
      <c r="BR28" s="146">
        <f>Revenue!BR49</f>
        <v>6645.368239</v>
      </c>
      <c r="BS28" s="146">
        <f>Revenue!BS49</f>
        <v>6728.042346</v>
      </c>
      <c r="BT28" s="146">
        <f>Revenue!BT49</f>
        <v>6810.737556</v>
      </c>
      <c r="BU28" s="146">
        <f>Revenue!BU49</f>
        <v>6893.500236</v>
      </c>
      <c r="BV28" s="146">
        <f>Revenue!BV49</f>
        <v>6976.376047</v>
      </c>
      <c r="BW28" s="146">
        <f>Revenue!BW49</f>
        <v>7286.16203</v>
      </c>
      <c r="BX28" s="146">
        <f>Revenue!BX49</f>
        <v>7352.2998</v>
      </c>
      <c r="BY28" s="146">
        <f>Revenue!BY49</f>
        <v>7412.599257</v>
      </c>
      <c r="BZ28" s="146">
        <f>Revenue!BZ49</f>
        <v>7473.462318</v>
      </c>
      <c r="CA28" s="146">
        <f>Revenue!CA49</f>
        <v>7533.856501</v>
      </c>
      <c r="CB28" s="146">
        <f>Revenue!CB49</f>
        <v>7593.682173</v>
      </c>
      <c r="CC28" s="146">
        <f>Revenue!CC49</f>
        <v>7652.97735</v>
      </c>
      <c r="CD28" s="146">
        <f>Revenue!CD49</f>
        <v>7711.79852</v>
      </c>
      <c r="CE28" s="146">
        <f>Revenue!CE49</f>
        <v>7770.202852</v>
      </c>
      <c r="CF28" s="146">
        <f>Revenue!CF49</f>
        <v>7828.245624</v>
      </c>
      <c r="CG28" s="146">
        <f>Revenue!CG49</f>
        <v>7885.979921</v>
      </c>
      <c r="CH28" s="146">
        <f>Revenue!CH49</f>
        <v>7943.456674</v>
      </c>
    </row>
    <row r="29" ht="15.75" customHeight="1">
      <c r="A29" s="1" t="s">
        <v>693</v>
      </c>
      <c r="C29" s="146"/>
      <c r="D29" s="146">
        <f t="shared" ref="D29:CH29" si="18">D28-C28</f>
        <v>315.936</v>
      </c>
      <c r="E29" s="146">
        <f t="shared" si="18"/>
        <v>-207.134</v>
      </c>
      <c r="F29" s="146">
        <f t="shared" si="18"/>
        <v>166.802</v>
      </c>
      <c r="G29" s="146">
        <f t="shared" si="18"/>
        <v>24.266</v>
      </c>
      <c r="H29" s="146">
        <f t="shared" si="18"/>
        <v>-225.586</v>
      </c>
      <c r="I29" s="146">
        <f t="shared" si="18"/>
        <v>-16.6</v>
      </c>
      <c r="J29" s="146">
        <f t="shared" si="18"/>
        <v>41.074</v>
      </c>
      <c r="K29" s="146">
        <f t="shared" si="18"/>
        <v>73.132</v>
      </c>
      <c r="L29" s="146">
        <f t="shared" si="18"/>
        <v>94.698</v>
      </c>
      <c r="M29" s="146">
        <f t="shared" si="18"/>
        <v>-34.588</v>
      </c>
      <c r="N29" s="146">
        <f t="shared" si="18"/>
        <v>-98.982</v>
      </c>
      <c r="O29" s="146">
        <f t="shared" si="18"/>
        <v>41.964</v>
      </c>
      <c r="P29" s="146">
        <f t="shared" si="18"/>
        <v>-3.96</v>
      </c>
      <c r="Q29" s="146">
        <f t="shared" si="18"/>
        <v>48.834</v>
      </c>
      <c r="R29" s="146">
        <f t="shared" si="18"/>
        <v>-2.262</v>
      </c>
      <c r="S29" s="146">
        <f t="shared" si="18"/>
        <v>56.814</v>
      </c>
      <c r="T29" s="146">
        <f t="shared" si="18"/>
        <v>-78.416</v>
      </c>
      <c r="U29" s="146">
        <f t="shared" si="18"/>
        <v>120.456</v>
      </c>
      <c r="V29" s="146">
        <f t="shared" si="18"/>
        <v>-81.17</v>
      </c>
      <c r="W29" s="146">
        <f t="shared" si="18"/>
        <v>43.89</v>
      </c>
      <c r="X29" s="146">
        <f t="shared" si="18"/>
        <v>-94.712</v>
      </c>
      <c r="Y29" s="146">
        <f t="shared" si="18"/>
        <v>193.844</v>
      </c>
      <c r="Z29" s="146">
        <f t="shared" si="18"/>
        <v>300.7008855</v>
      </c>
      <c r="AA29" s="146">
        <f t="shared" si="18"/>
        <v>228.6041519</v>
      </c>
      <c r="AB29" s="146">
        <f t="shared" si="18"/>
        <v>203.4025102</v>
      </c>
      <c r="AC29" s="146">
        <f t="shared" si="18"/>
        <v>194.4694942</v>
      </c>
      <c r="AD29" s="146">
        <f t="shared" si="18"/>
        <v>194.3034108</v>
      </c>
      <c r="AE29" s="146">
        <f t="shared" si="18"/>
        <v>265.7883928</v>
      </c>
      <c r="AF29" s="146">
        <f t="shared" si="18"/>
        <v>211.6738276</v>
      </c>
      <c r="AG29" s="146">
        <f t="shared" si="18"/>
        <v>206.1948408</v>
      </c>
      <c r="AH29" s="146">
        <f t="shared" si="18"/>
        <v>203.8202378</v>
      </c>
      <c r="AI29" s="146">
        <f t="shared" si="18"/>
        <v>209.3816287</v>
      </c>
      <c r="AJ29" s="146">
        <f t="shared" si="18"/>
        <v>195.9083507</v>
      </c>
      <c r="AK29" s="146">
        <f t="shared" si="18"/>
        <v>204.9840037</v>
      </c>
      <c r="AL29" s="146">
        <f t="shared" si="18"/>
        <v>212.7425153</v>
      </c>
      <c r="AM29" s="146">
        <f t="shared" si="18"/>
        <v>251.7097966</v>
      </c>
      <c r="AN29" s="146">
        <f t="shared" si="18"/>
        <v>48.64732385</v>
      </c>
      <c r="AO29" s="146">
        <f t="shared" si="18"/>
        <v>68.90100192</v>
      </c>
      <c r="AP29" s="146">
        <f t="shared" si="18"/>
        <v>76.89992915</v>
      </c>
      <c r="AQ29" s="146">
        <f t="shared" si="18"/>
        <v>76.70238805</v>
      </c>
      <c r="AR29" s="146">
        <f t="shared" si="18"/>
        <v>76.48622823</v>
      </c>
      <c r="AS29" s="146">
        <f t="shared" si="18"/>
        <v>74.6318962</v>
      </c>
      <c r="AT29" s="146">
        <f t="shared" si="18"/>
        <v>209.7378997</v>
      </c>
      <c r="AU29" s="146">
        <f t="shared" si="18"/>
        <v>74.15166886</v>
      </c>
      <c r="AV29" s="146">
        <f t="shared" si="18"/>
        <v>72.87982322</v>
      </c>
      <c r="AW29" s="146">
        <f t="shared" si="18"/>
        <v>71.69198306</v>
      </c>
      <c r="AX29" s="146">
        <f t="shared" si="18"/>
        <v>70.58353314</v>
      </c>
      <c r="AY29" s="146">
        <f t="shared" si="18"/>
        <v>256.8665461</v>
      </c>
      <c r="AZ29" s="146">
        <f t="shared" si="18"/>
        <v>110.1065915</v>
      </c>
      <c r="BA29" s="146">
        <f t="shared" si="18"/>
        <v>107.6726377</v>
      </c>
      <c r="BB29" s="146">
        <f t="shared" si="18"/>
        <v>105.7398783</v>
      </c>
      <c r="BC29" s="146">
        <f t="shared" si="18"/>
        <v>103.9643741</v>
      </c>
      <c r="BD29" s="146">
        <f t="shared" si="18"/>
        <v>102.2914561</v>
      </c>
      <c r="BE29" s="146">
        <f t="shared" si="18"/>
        <v>100.709971</v>
      </c>
      <c r="BF29" s="146">
        <f t="shared" si="18"/>
        <v>99.21541318</v>
      </c>
      <c r="BG29" s="146">
        <f t="shared" si="18"/>
        <v>97.80439018</v>
      </c>
      <c r="BH29" s="146">
        <f t="shared" si="18"/>
        <v>96.47378735</v>
      </c>
      <c r="BI29" s="146">
        <f t="shared" si="18"/>
        <v>95.22063846</v>
      </c>
      <c r="BJ29" s="146">
        <f t="shared" si="18"/>
        <v>94.04210192</v>
      </c>
      <c r="BK29" s="146">
        <f t="shared" si="18"/>
        <v>-85.9870877</v>
      </c>
      <c r="BL29" s="146">
        <f t="shared" si="18"/>
        <v>93.57242777</v>
      </c>
      <c r="BM29" s="146">
        <f t="shared" si="18"/>
        <v>83.09991755</v>
      </c>
      <c r="BN29" s="146">
        <f t="shared" si="18"/>
        <v>83.2228647</v>
      </c>
      <c r="BO29" s="146">
        <f t="shared" si="18"/>
        <v>83.05913509</v>
      </c>
      <c r="BP29" s="146">
        <f t="shared" si="18"/>
        <v>82.89543573</v>
      </c>
      <c r="BQ29" s="146">
        <f t="shared" si="18"/>
        <v>82.77392116</v>
      </c>
      <c r="BR29" s="146">
        <f t="shared" si="18"/>
        <v>82.70011698</v>
      </c>
      <c r="BS29" s="146">
        <f t="shared" si="18"/>
        <v>82.67410701</v>
      </c>
      <c r="BT29" s="146">
        <f t="shared" si="18"/>
        <v>82.69521003</v>
      </c>
      <c r="BU29" s="146">
        <f t="shared" si="18"/>
        <v>82.76268008</v>
      </c>
      <c r="BV29" s="146">
        <f t="shared" si="18"/>
        <v>82.87581027</v>
      </c>
      <c r="BW29" s="146">
        <f t="shared" si="18"/>
        <v>309.7859832</v>
      </c>
      <c r="BX29" s="146">
        <f t="shared" si="18"/>
        <v>66.13777007</v>
      </c>
      <c r="BY29" s="146">
        <f t="shared" si="18"/>
        <v>60.29945751</v>
      </c>
      <c r="BZ29" s="146">
        <f t="shared" si="18"/>
        <v>60.86306074</v>
      </c>
      <c r="CA29" s="146">
        <f t="shared" si="18"/>
        <v>60.39418285</v>
      </c>
      <c r="CB29" s="146">
        <f t="shared" si="18"/>
        <v>59.82567173</v>
      </c>
      <c r="CC29" s="146">
        <f t="shared" si="18"/>
        <v>59.29517784</v>
      </c>
      <c r="CD29" s="146">
        <f t="shared" si="18"/>
        <v>58.82116961</v>
      </c>
      <c r="CE29" s="146">
        <f t="shared" si="18"/>
        <v>58.40433191</v>
      </c>
      <c r="CF29" s="146">
        <f t="shared" si="18"/>
        <v>58.04277208</v>
      </c>
      <c r="CG29" s="146">
        <f t="shared" si="18"/>
        <v>57.73429725</v>
      </c>
      <c r="CH29" s="146">
        <f t="shared" si="18"/>
        <v>57.4767525</v>
      </c>
    </row>
    <row r="30" ht="15.75" customHeight="1"/>
    <row r="31" ht="15.75" customHeight="1">
      <c r="A31" s="1" t="s">
        <v>694</v>
      </c>
      <c r="M31" s="242"/>
      <c r="N31" s="242"/>
      <c r="O31" s="208">
        <v>0.99</v>
      </c>
      <c r="P31" s="208">
        <f t="shared" ref="P31:S31" si="19">O31</f>
        <v>0.99</v>
      </c>
      <c r="Q31" s="208">
        <f t="shared" si="19"/>
        <v>0.99</v>
      </c>
      <c r="R31" s="208">
        <f t="shared" si="19"/>
        <v>0.99</v>
      </c>
      <c r="S31" s="208">
        <f t="shared" si="19"/>
        <v>0.99</v>
      </c>
      <c r="T31" s="208">
        <v>0.95</v>
      </c>
      <c r="U31" s="208">
        <v>0.98</v>
      </c>
      <c r="V31" s="208">
        <f t="shared" ref="V31:X31" si="20">U31</f>
        <v>0.98</v>
      </c>
      <c r="W31" s="208">
        <f t="shared" si="20"/>
        <v>0.98</v>
      </c>
      <c r="X31" s="208">
        <f t="shared" si="20"/>
        <v>0.98</v>
      </c>
      <c r="Y31" s="208">
        <v>0.985</v>
      </c>
      <c r="Z31" s="208">
        <v>0.985</v>
      </c>
      <c r="AA31" s="208">
        <v>0.99</v>
      </c>
      <c r="AB31" s="208">
        <v>0.99</v>
      </c>
      <c r="AC31" s="208">
        <v>0.99</v>
      </c>
      <c r="AD31" s="208">
        <v>0.99</v>
      </c>
      <c r="AE31" s="208">
        <v>0.985</v>
      </c>
      <c r="AF31" s="208">
        <v>0.985</v>
      </c>
      <c r="AG31" s="208">
        <v>0.985</v>
      </c>
      <c r="AH31" s="208">
        <v>0.985</v>
      </c>
      <c r="AI31" s="208">
        <v>0.985</v>
      </c>
      <c r="AJ31" s="208">
        <v>0.985</v>
      </c>
      <c r="AK31" s="208">
        <v>0.985</v>
      </c>
      <c r="AL31" s="208">
        <v>0.985</v>
      </c>
      <c r="AM31" s="208">
        <v>0.985</v>
      </c>
      <c r="AN31" s="208">
        <v>0.985</v>
      </c>
      <c r="AO31" s="208">
        <v>0.985</v>
      </c>
      <c r="AP31" s="208">
        <v>0.985</v>
      </c>
      <c r="AQ31" s="208">
        <v>0.985</v>
      </c>
      <c r="AR31" s="208">
        <v>0.985</v>
      </c>
      <c r="AS31" s="208">
        <v>0.985</v>
      </c>
      <c r="AT31" s="208">
        <v>0.985</v>
      </c>
      <c r="AU31" s="208">
        <v>0.985</v>
      </c>
      <c r="AV31" s="208">
        <v>0.985</v>
      </c>
      <c r="AW31" s="208">
        <v>0.985</v>
      </c>
      <c r="AX31" s="208">
        <v>0.985</v>
      </c>
      <c r="AY31" s="208">
        <v>0.985</v>
      </c>
      <c r="AZ31" s="208">
        <v>0.985</v>
      </c>
      <c r="BA31" s="208">
        <v>0.985</v>
      </c>
      <c r="BB31" s="208">
        <v>0.985</v>
      </c>
      <c r="BC31" s="208">
        <v>0.985</v>
      </c>
      <c r="BD31" s="208">
        <v>0.985</v>
      </c>
      <c r="BE31" s="208">
        <v>0.985</v>
      </c>
      <c r="BF31" s="208">
        <v>0.985</v>
      </c>
      <c r="BG31" s="208">
        <v>0.985</v>
      </c>
      <c r="BH31" s="208">
        <v>0.985</v>
      </c>
      <c r="BI31" s="208">
        <v>0.985</v>
      </c>
      <c r="BJ31" s="208">
        <v>0.985</v>
      </c>
      <c r="BK31" s="208">
        <v>0.985</v>
      </c>
      <c r="BL31" s="208">
        <v>0.985</v>
      </c>
      <c r="BM31" s="208">
        <v>0.985</v>
      </c>
      <c r="BN31" s="208">
        <v>0.985</v>
      </c>
      <c r="BO31" s="208">
        <v>0.985</v>
      </c>
      <c r="BP31" s="208">
        <v>0.985</v>
      </c>
      <c r="BQ31" s="208">
        <v>0.985</v>
      </c>
      <c r="BR31" s="208">
        <v>0.985</v>
      </c>
      <c r="BS31" s="208">
        <v>0.985</v>
      </c>
      <c r="BT31" s="208">
        <v>0.985</v>
      </c>
      <c r="BU31" s="208">
        <v>0.985</v>
      </c>
      <c r="BV31" s="208">
        <v>0.985</v>
      </c>
      <c r="BW31" s="208">
        <v>0.985</v>
      </c>
      <c r="BX31" s="208">
        <v>0.985</v>
      </c>
      <c r="BY31" s="208">
        <v>0.985</v>
      </c>
      <c r="BZ31" s="208">
        <v>0.985</v>
      </c>
      <c r="CA31" s="208">
        <v>0.985</v>
      </c>
      <c r="CB31" s="208">
        <v>0.985</v>
      </c>
      <c r="CC31" s="208">
        <v>0.985</v>
      </c>
      <c r="CD31" s="208">
        <v>0.985</v>
      </c>
      <c r="CE31" s="208">
        <v>0.985</v>
      </c>
      <c r="CF31" s="208">
        <v>0.985</v>
      </c>
      <c r="CG31" s="208">
        <v>0.985</v>
      </c>
      <c r="CH31" s="208">
        <v>0.985</v>
      </c>
    </row>
    <row r="32" ht="15.75" customHeight="1">
      <c r="A32" s="1" t="s">
        <v>695</v>
      </c>
      <c r="M32" s="242"/>
      <c r="N32" s="242"/>
      <c r="O32" s="130">
        <f t="shared" ref="O32:CH32" si="21">1-O31</f>
        <v>0.01</v>
      </c>
      <c r="P32" s="130">
        <f t="shared" si="21"/>
        <v>0.01</v>
      </c>
      <c r="Q32" s="130">
        <f t="shared" si="21"/>
        <v>0.01</v>
      </c>
      <c r="R32" s="130">
        <f t="shared" si="21"/>
        <v>0.01</v>
      </c>
      <c r="S32" s="130">
        <f t="shared" si="21"/>
        <v>0.01</v>
      </c>
      <c r="T32" s="130">
        <f t="shared" si="21"/>
        <v>0.05</v>
      </c>
      <c r="U32" s="130">
        <f t="shared" si="21"/>
        <v>0.02</v>
      </c>
      <c r="V32" s="130">
        <f t="shared" si="21"/>
        <v>0.02</v>
      </c>
      <c r="W32" s="130">
        <f t="shared" si="21"/>
        <v>0.02</v>
      </c>
      <c r="X32" s="130">
        <f t="shared" si="21"/>
        <v>0.02</v>
      </c>
      <c r="Y32" s="130">
        <f t="shared" si="21"/>
        <v>0.015</v>
      </c>
      <c r="Z32" s="130">
        <f t="shared" si="21"/>
        <v>0.015</v>
      </c>
      <c r="AA32" s="130">
        <f t="shared" si="21"/>
        <v>0.01</v>
      </c>
      <c r="AB32" s="130">
        <f t="shared" si="21"/>
        <v>0.01</v>
      </c>
      <c r="AC32" s="130">
        <f t="shared" si="21"/>
        <v>0.01</v>
      </c>
      <c r="AD32" s="130">
        <f t="shared" si="21"/>
        <v>0.01</v>
      </c>
      <c r="AE32" s="130">
        <f t="shared" si="21"/>
        <v>0.015</v>
      </c>
      <c r="AF32" s="130">
        <f t="shared" si="21"/>
        <v>0.015</v>
      </c>
      <c r="AG32" s="130">
        <f t="shared" si="21"/>
        <v>0.015</v>
      </c>
      <c r="AH32" s="130">
        <f t="shared" si="21"/>
        <v>0.015</v>
      </c>
      <c r="AI32" s="130">
        <f t="shared" si="21"/>
        <v>0.015</v>
      </c>
      <c r="AJ32" s="130">
        <f t="shared" si="21"/>
        <v>0.015</v>
      </c>
      <c r="AK32" s="130">
        <f t="shared" si="21"/>
        <v>0.015</v>
      </c>
      <c r="AL32" s="130">
        <f t="shared" si="21"/>
        <v>0.015</v>
      </c>
      <c r="AM32" s="130">
        <f t="shared" si="21"/>
        <v>0.015</v>
      </c>
      <c r="AN32" s="130">
        <f t="shared" si="21"/>
        <v>0.015</v>
      </c>
      <c r="AO32" s="130">
        <f t="shared" si="21"/>
        <v>0.015</v>
      </c>
      <c r="AP32" s="130">
        <f t="shared" si="21"/>
        <v>0.015</v>
      </c>
      <c r="AQ32" s="130">
        <f t="shared" si="21"/>
        <v>0.015</v>
      </c>
      <c r="AR32" s="130">
        <f t="shared" si="21"/>
        <v>0.015</v>
      </c>
      <c r="AS32" s="130">
        <f t="shared" si="21"/>
        <v>0.015</v>
      </c>
      <c r="AT32" s="130">
        <f t="shared" si="21"/>
        <v>0.015</v>
      </c>
      <c r="AU32" s="130">
        <f t="shared" si="21"/>
        <v>0.015</v>
      </c>
      <c r="AV32" s="130">
        <f t="shared" si="21"/>
        <v>0.015</v>
      </c>
      <c r="AW32" s="130">
        <f t="shared" si="21"/>
        <v>0.015</v>
      </c>
      <c r="AX32" s="130">
        <f t="shared" si="21"/>
        <v>0.015</v>
      </c>
      <c r="AY32" s="130">
        <f t="shared" si="21"/>
        <v>0.015</v>
      </c>
      <c r="AZ32" s="130">
        <f t="shared" si="21"/>
        <v>0.015</v>
      </c>
      <c r="BA32" s="130">
        <f t="shared" si="21"/>
        <v>0.015</v>
      </c>
      <c r="BB32" s="130">
        <f t="shared" si="21"/>
        <v>0.015</v>
      </c>
      <c r="BC32" s="130">
        <f t="shared" si="21"/>
        <v>0.015</v>
      </c>
      <c r="BD32" s="130">
        <f t="shared" si="21"/>
        <v>0.015</v>
      </c>
      <c r="BE32" s="130">
        <f t="shared" si="21"/>
        <v>0.015</v>
      </c>
      <c r="BF32" s="130">
        <f t="shared" si="21"/>
        <v>0.015</v>
      </c>
      <c r="BG32" s="130">
        <f t="shared" si="21"/>
        <v>0.015</v>
      </c>
      <c r="BH32" s="130">
        <f t="shared" si="21"/>
        <v>0.015</v>
      </c>
      <c r="BI32" s="130">
        <f t="shared" si="21"/>
        <v>0.015</v>
      </c>
      <c r="BJ32" s="130">
        <f t="shared" si="21"/>
        <v>0.015</v>
      </c>
      <c r="BK32" s="130">
        <f t="shared" si="21"/>
        <v>0.015</v>
      </c>
      <c r="BL32" s="130">
        <f t="shared" si="21"/>
        <v>0.015</v>
      </c>
      <c r="BM32" s="130">
        <f t="shared" si="21"/>
        <v>0.015</v>
      </c>
      <c r="BN32" s="130">
        <f t="shared" si="21"/>
        <v>0.015</v>
      </c>
      <c r="BO32" s="130">
        <f t="shared" si="21"/>
        <v>0.015</v>
      </c>
      <c r="BP32" s="130">
        <f t="shared" si="21"/>
        <v>0.015</v>
      </c>
      <c r="BQ32" s="130">
        <f t="shared" si="21"/>
        <v>0.015</v>
      </c>
      <c r="BR32" s="130">
        <f t="shared" si="21"/>
        <v>0.015</v>
      </c>
      <c r="BS32" s="130">
        <f t="shared" si="21"/>
        <v>0.015</v>
      </c>
      <c r="BT32" s="130">
        <f t="shared" si="21"/>
        <v>0.015</v>
      </c>
      <c r="BU32" s="130">
        <f t="shared" si="21"/>
        <v>0.015</v>
      </c>
      <c r="BV32" s="130">
        <f t="shared" si="21"/>
        <v>0.015</v>
      </c>
      <c r="BW32" s="130">
        <f t="shared" si="21"/>
        <v>0.015</v>
      </c>
      <c r="BX32" s="130">
        <f t="shared" si="21"/>
        <v>0.015</v>
      </c>
      <c r="BY32" s="130">
        <f t="shared" si="21"/>
        <v>0.015</v>
      </c>
      <c r="BZ32" s="130">
        <f t="shared" si="21"/>
        <v>0.015</v>
      </c>
      <c r="CA32" s="130">
        <f t="shared" si="21"/>
        <v>0.015</v>
      </c>
      <c r="CB32" s="130">
        <f t="shared" si="21"/>
        <v>0.015</v>
      </c>
      <c r="CC32" s="130">
        <f t="shared" si="21"/>
        <v>0.015</v>
      </c>
      <c r="CD32" s="130">
        <f t="shared" si="21"/>
        <v>0.015</v>
      </c>
      <c r="CE32" s="130">
        <f t="shared" si="21"/>
        <v>0.015</v>
      </c>
      <c r="CF32" s="130">
        <f t="shared" si="21"/>
        <v>0.015</v>
      </c>
      <c r="CG32" s="130">
        <f t="shared" si="21"/>
        <v>0.015</v>
      </c>
      <c r="CH32" s="130">
        <f t="shared" si="21"/>
        <v>0.015</v>
      </c>
    </row>
    <row r="33" ht="15.75" customHeight="1">
      <c r="A33" s="1"/>
      <c r="M33" s="242"/>
      <c r="N33" s="242"/>
      <c r="O33" s="242"/>
      <c r="P33" s="242"/>
      <c r="Q33" s="242"/>
      <c r="R33" s="242"/>
      <c r="S33" s="242"/>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row>
    <row r="34" ht="15.75" customHeight="1">
      <c r="A34" s="1" t="s">
        <v>696</v>
      </c>
      <c r="M34" s="242">
        <v>20.0</v>
      </c>
      <c r="N34" s="242">
        <v>20.0</v>
      </c>
      <c r="O34" s="242">
        <v>20.0</v>
      </c>
      <c r="P34" s="242">
        <v>20.0</v>
      </c>
      <c r="Q34" s="242">
        <v>20.0</v>
      </c>
      <c r="R34" s="242">
        <v>20.0</v>
      </c>
      <c r="S34" s="242">
        <v>20.0</v>
      </c>
      <c r="T34" s="242">
        <v>20.0</v>
      </c>
      <c r="U34" s="242">
        <v>20.0</v>
      </c>
      <c r="V34" s="242">
        <v>20.0</v>
      </c>
      <c r="W34" s="242">
        <v>20.0</v>
      </c>
      <c r="X34" s="242">
        <v>20.0</v>
      </c>
      <c r="Y34" s="242">
        <v>20.0</v>
      </c>
      <c r="Z34" s="146">
        <f t="shared" ref="Z34:CH34" si="22">Y34+Y39</f>
        <v>21</v>
      </c>
      <c r="AA34" s="146">
        <f t="shared" si="22"/>
        <v>22</v>
      </c>
      <c r="AB34" s="146">
        <f t="shared" si="22"/>
        <v>22</v>
      </c>
      <c r="AC34" s="146">
        <f t="shared" si="22"/>
        <v>22</v>
      </c>
      <c r="AD34" s="146">
        <f t="shared" si="22"/>
        <v>22</v>
      </c>
      <c r="AE34" s="146">
        <f t="shared" si="22"/>
        <v>22</v>
      </c>
      <c r="AF34" s="146">
        <f t="shared" si="22"/>
        <v>22</v>
      </c>
      <c r="AG34" s="146">
        <f t="shared" si="22"/>
        <v>22</v>
      </c>
      <c r="AH34" s="146">
        <f t="shared" si="22"/>
        <v>22</v>
      </c>
      <c r="AI34" s="146">
        <f t="shared" si="22"/>
        <v>22</v>
      </c>
      <c r="AJ34" s="146">
        <f t="shared" si="22"/>
        <v>22</v>
      </c>
      <c r="AK34" s="146">
        <f t="shared" si="22"/>
        <v>22</v>
      </c>
      <c r="AL34" s="146">
        <f t="shared" si="22"/>
        <v>23</v>
      </c>
      <c r="AM34" s="146">
        <f t="shared" si="22"/>
        <v>24</v>
      </c>
      <c r="AN34" s="146">
        <f t="shared" si="22"/>
        <v>26</v>
      </c>
      <c r="AO34" s="146">
        <f t="shared" si="22"/>
        <v>27</v>
      </c>
      <c r="AP34" s="146">
        <f t="shared" si="22"/>
        <v>27</v>
      </c>
      <c r="AQ34" s="146">
        <f t="shared" si="22"/>
        <v>28</v>
      </c>
      <c r="AR34" s="146">
        <f t="shared" si="22"/>
        <v>28</v>
      </c>
      <c r="AS34" s="146">
        <f t="shared" si="22"/>
        <v>29</v>
      </c>
      <c r="AT34" s="146">
        <f t="shared" si="22"/>
        <v>29</v>
      </c>
      <c r="AU34" s="146">
        <f t="shared" si="22"/>
        <v>30</v>
      </c>
      <c r="AV34" s="146">
        <f t="shared" si="22"/>
        <v>31</v>
      </c>
      <c r="AW34" s="146">
        <f t="shared" si="22"/>
        <v>32</v>
      </c>
      <c r="AX34" s="146">
        <f t="shared" si="22"/>
        <v>32</v>
      </c>
      <c r="AY34" s="146">
        <f t="shared" si="22"/>
        <v>32</v>
      </c>
      <c r="AZ34" s="146">
        <f t="shared" si="22"/>
        <v>34</v>
      </c>
      <c r="BA34" s="146">
        <f t="shared" si="22"/>
        <v>35</v>
      </c>
      <c r="BB34" s="146">
        <f t="shared" si="22"/>
        <v>36</v>
      </c>
      <c r="BC34" s="146">
        <f t="shared" si="22"/>
        <v>36</v>
      </c>
      <c r="BD34" s="146">
        <f t="shared" si="22"/>
        <v>37</v>
      </c>
      <c r="BE34" s="146">
        <f t="shared" si="22"/>
        <v>38</v>
      </c>
      <c r="BF34" s="146">
        <f t="shared" si="22"/>
        <v>38</v>
      </c>
      <c r="BG34" s="146">
        <f t="shared" si="22"/>
        <v>39</v>
      </c>
      <c r="BH34" s="146">
        <f t="shared" si="22"/>
        <v>40</v>
      </c>
      <c r="BI34" s="146">
        <f t="shared" si="22"/>
        <v>40</v>
      </c>
      <c r="BJ34" s="146">
        <f t="shared" si="22"/>
        <v>41</v>
      </c>
      <c r="BK34" s="146">
        <f t="shared" si="22"/>
        <v>41</v>
      </c>
      <c r="BL34" s="146">
        <f t="shared" si="22"/>
        <v>41</v>
      </c>
      <c r="BM34" s="146">
        <f t="shared" si="22"/>
        <v>42</v>
      </c>
      <c r="BN34" s="146">
        <f t="shared" si="22"/>
        <v>42</v>
      </c>
      <c r="BO34" s="146">
        <f t="shared" si="22"/>
        <v>43</v>
      </c>
      <c r="BP34" s="146">
        <f t="shared" si="22"/>
        <v>43</v>
      </c>
      <c r="BQ34" s="146">
        <f t="shared" si="22"/>
        <v>44</v>
      </c>
      <c r="BR34" s="146">
        <f t="shared" si="22"/>
        <v>44</v>
      </c>
      <c r="BS34" s="146">
        <f t="shared" si="22"/>
        <v>45</v>
      </c>
      <c r="BT34" s="146">
        <f t="shared" si="22"/>
        <v>45</v>
      </c>
      <c r="BU34" s="146">
        <f t="shared" si="22"/>
        <v>46</v>
      </c>
      <c r="BV34" s="146">
        <f t="shared" si="22"/>
        <v>46</v>
      </c>
      <c r="BW34" s="146">
        <f t="shared" si="22"/>
        <v>47</v>
      </c>
      <c r="BX34" s="146">
        <f t="shared" si="22"/>
        <v>48</v>
      </c>
      <c r="BY34" s="146">
        <f t="shared" si="22"/>
        <v>49</v>
      </c>
      <c r="BZ34" s="146">
        <f t="shared" si="22"/>
        <v>50</v>
      </c>
      <c r="CA34" s="146">
        <f t="shared" si="22"/>
        <v>50</v>
      </c>
      <c r="CB34" s="146">
        <f t="shared" si="22"/>
        <v>51</v>
      </c>
      <c r="CC34" s="146">
        <f t="shared" si="22"/>
        <v>51</v>
      </c>
      <c r="CD34" s="146">
        <f t="shared" si="22"/>
        <v>51</v>
      </c>
      <c r="CE34" s="146">
        <f t="shared" si="22"/>
        <v>52</v>
      </c>
      <c r="CF34" s="146">
        <f t="shared" si="22"/>
        <v>52</v>
      </c>
      <c r="CG34" s="146">
        <f t="shared" si="22"/>
        <v>53</v>
      </c>
      <c r="CH34" s="146">
        <f t="shared" si="22"/>
        <v>53</v>
      </c>
    </row>
    <row r="35" ht="15.75" customHeight="1">
      <c r="A35" s="1" t="s">
        <v>697</v>
      </c>
      <c r="M35" s="173">
        <v>146.0</v>
      </c>
      <c r="N35" s="146">
        <f>M35</f>
        <v>146</v>
      </c>
      <c r="O35" s="173">
        <f>167*0.9</f>
        <v>150.3</v>
      </c>
      <c r="P35" s="146">
        <f t="shared" ref="P35:Z35" si="23">O35</f>
        <v>150.3</v>
      </c>
      <c r="Q35" s="146">
        <f t="shared" si="23"/>
        <v>150.3</v>
      </c>
      <c r="R35" s="146">
        <f t="shared" si="23"/>
        <v>150.3</v>
      </c>
      <c r="S35" s="146">
        <f t="shared" si="23"/>
        <v>150.3</v>
      </c>
      <c r="T35" s="146">
        <f t="shared" si="23"/>
        <v>150.3</v>
      </c>
      <c r="U35" s="146">
        <f t="shared" si="23"/>
        <v>150.3</v>
      </c>
      <c r="V35" s="146">
        <f t="shared" si="23"/>
        <v>150.3</v>
      </c>
      <c r="W35" s="146">
        <f t="shared" si="23"/>
        <v>150.3</v>
      </c>
      <c r="X35" s="146">
        <f t="shared" si="23"/>
        <v>150.3</v>
      </c>
      <c r="Y35" s="146">
        <f t="shared" si="23"/>
        <v>150.3</v>
      </c>
      <c r="Z35" s="146">
        <f t="shared" si="23"/>
        <v>150.3</v>
      </c>
      <c r="AA35" s="146">
        <v>150.0</v>
      </c>
      <c r="AB35" s="146">
        <v>150.0</v>
      </c>
      <c r="AC35" s="146">
        <v>150.0</v>
      </c>
      <c r="AD35" s="146">
        <v>150.0</v>
      </c>
      <c r="AE35" s="146">
        <v>150.0</v>
      </c>
      <c r="AF35" s="146">
        <v>150.0</v>
      </c>
      <c r="AG35" s="146">
        <v>150.0</v>
      </c>
      <c r="AH35" s="146">
        <v>150.0</v>
      </c>
      <c r="AI35" s="146">
        <v>150.0</v>
      </c>
      <c r="AJ35" s="146">
        <v>150.0</v>
      </c>
      <c r="AK35" s="146">
        <v>150.0</v>
      </c>
      <c r="AL35" s="146">
        <v>150.0</v>
      </c>
      <c r="AM35" s="146">
        <v>150.0</v>
      </c>
      <c r="AN35" s="146">
        <v>150.0</v>
      </c>
      <c r="AO35" s="146">
        <v>150.0</v>
      </c>
      <c r="AP35" s="146">
        <v>150.0</v>
      </c>
      <c r="AQ35" s="146">
        <v>150.0</v>
      </c>
      <c r="AR35" s="146">
        <v>150.0</v>
      </c>
      <c r="AS35" s="146">
        <v>150.0</v>
      </c>
      <c r="AT35" s="146">
        <v>150.0</v>
      </c>
      <c r="AU35" s="146">
        <v>150.0</v>
      </c>
      <c r="AV35" s="146">
        <v>150.0</v>
      </c>
      <c r="AW35" s="146">
        <v>150.0</v>
      </c>
      <c r="AX35" s="146">
        <v>150.0</v>
      </c>
      <c r="AY35" s="146">
        <v>150.0</v>
      </c>
      <c r="AZ35" s="146">
        <v>150.0</v>
      </c>
      <c r="BA35" s="146">
        <v>150.0</v>
      </c>
      <c r="BB35" s="146">
        <v>150.0</v>
      </c>
      <c r="BC35" s="146">
        <v>150.0</v>
      </c>
      <c r="BD35" s="146">
        <v>150.0</v>
      </c>
      <c r="BE35" s="146">
        <v>150.0</v>
      </c>
      <c r="BF35" s="146">
        <v>150.0</v>
      </c>
      <c r="BG35" s="146">
        <v>150.0</v>
      </c>
      <c r="BH35" s="146">
        <v>150.0</v>
      </c>
      <c r="BI35" s="146">
        <v>150.0</v>
      </c>
      <c r="BJ35" s="146">
        <v>150.0</v>
      </c>
      <c r="BK35" s="146">
        <v>150.0</v>
      </c>
      <c r="BL35" s="146">
        <v>150.0</v>
      </c>
      <c r="BM35" s="146">
        <v>150.0</v>
      </c>
      <c r="BN35" s="146">
        <v>150.0</v>
      </c>
      <c r="BO35" s="146">
        <v>150.0</v>
      </c>
      <c r="BP35" s="146">
        <v>150.0</v>
      </c>
      <c r="BQ35" s="146">
        <v>150.0</v>
      </c>
      <c r="BR35" s="146">
        <v>150.0</v>
      </c>
      <c r="BS35" s="146">
        <v>150.0</v>
      </c>
      <c r="BT35" s="146">
        <v>150.0</v>
      </c>
      <c r="BU35" s="146">
        <v>150.0</v>
      </c>
      <c r="BV35" s="146">
        <v>150.0</v>
      </c>
      <c r="BW35" s="146">
        <v>150.0</v>
      </c>
      <c r="BX35" s="146">
        <v>150.0</v>
      </c>
      <c r="BY35" s="146">
        <v>150.0</v>
      </c>
      <c r="BZ35" s="146">
        <v>150.0</v>
      </c>
      <c r="CA35" s="146">
        <v>150.0</v>
      </c>
      <c r="CB35" s="146">
        <v>150.0</v>
      </c>
      <c r="CC35" s="146">
        <v>150.0</v>
      </c>
      <c r="CD35" s="146">
        <v>150.0</v>
      </c>
      <c r="CE35" s="146">
        <v>150.0</v>
      </c>
      <c r="CF35" s="146">
        <v>150.0</v>
      </c>
      <c r="CG35" s="146">
        <v>150.0</v>
      </c>
      <c r="CH35" s="146">
        <v>150.0</v>
      </c>
    </row>
    <row r="36" ht="15.75" customHeight="1">
      <c r="A36" s="1" t="s">
        <v>698</v>
      </c>
      <c r="M36" s="146">
        <f t="shared" ref="M36:CH36" si="24">M34*M35</f>
        <v>2920</v>
      </c>
      <c r="N36" s="146">
        <f t="shared" si="24"/>
        <v>2920</v>
      </c>
      <c r="O36" s="146">
        <f t="shared" si="24"/>
        <v>3006</v>
      </c>
      <c r="P36" s="146">
        <f t="shared" si="24"/>
        <v>3006</v>
      </c>
      <c r="Q36" s="146">
        <f t="shared" si="24"/>
        <v>3006</v>
      </c>
      <c r="R36" s="146">
        <f t="shared" si="24"/>
        <v>3006</v>
      </c>
      <c r="S36" s="146">
        <f t="shared" si="24"/>
        <v>3006</v>
      </c>
      <c r="T36" s="146">
        <f t="shared" si="24"/>
        <v>3006</v>
      </c>
      <c r="U36" s="146">
        <f t="shared" si="24"/>
        <v>3006</v>
      </c>
      <c r="V36" s="146">
        <f t="shared" si="24"/>
        <v>3006</v>
      </c>
      <c r="W36" s="146">
        <f t="shared" si="24"/>
        <v>3006</v>
      </c>
      <c r="X36" s="146">
        <f t="shared" si="24"/>
        <v>3006</v>
      </c>
      <c r="Y36" s="146">
        <f t="shared" si="24"/>
        <v>3006</v>
      </c>
      <c r="Z36" s="146">
        <f t="shared" si="24"/>
        <v>3156.3</v>
      </c>
      <c r="AA36" s="146">
        <f t="shared" si="24"/>
        <v>3300</v>
      </c>
      <c r="AB36" s="146">
        <f t="shared" si="24"/>
        <v>3300</v>
      </c>
      <c r="AC36" s="146">
        <f t="shared" si="24"/>
        <v>3300</v>
      </c>
      <c r="AD36" s="146">
        <f t="shared" si="24"/>
        <v>3300</v>
      </c>
      <c r="AE36" s="146">
        <f t="shared" si="24"/>
        <v>3300</v>
      </c>
      <c r="AF36" s="146">
        <f t="shared" si="24"/>
        <v>3300</v>
      </c>
      <c r="AG36" s="146">
        <f t="shared" si="24"/>
        <v>3300</v>
      </c>
      <c r="AH36" s="146">
        <f t="shared" si="24"/>
        <v>3300</v>
      </c>
      <c r="AI36" s="146">
        <f t="shared" si="24"/>
        <v>3300</v>
      </c>
      <c r="AJ36" s="146">
        <f t="shared" si="24"/>
        <v>3300</v>
      </c>
      <c r="AK36" s="146">
        <f t="shared" si="24"/>
        <v>3300</v>
      </c>
      <c r="AL36" s="146">
        <f t="shared" si="24"/>
        <v>3450</v>
      </c>
      <c r="AM36" s="146">
        <f t="shared" si="24"/>
        <v>3600</v>
      </c>
      <c r="AN36" s="146">
        <f t="shared" si="24"/>
        <v>3900</v>
      </c>
      <c r="AO36" s="146">
        <f t="shared" si="24"/>
        <v>4050</v>
      </c>
      <c r="AP36" s="146">
        <f t="shared" si="24"/>
        <v>4050</v>
      </c>
      <c r="AQ36" s="146">
        <f t="shared" si="24"/>
        <v>4200</v>
      </c>
      <c r="AR36" s="146">
        <f t="shared" si="24"/>
        <v>4200</v>
      </c>
      <c r="AS36" s="146">
        <f t="shared" si="24"/>
        <v>4350</v>
      </c>
      <c r="AT36" s="146">
        <f t="shared" si="24"/>
        <v>4350</v>
      </c>
      <c r="AU36" s="146">
        <f t="shared" si="24"/>
        <v>4500</v>
      </c>
      <c r="AV36" s="146">
        <f t="shared" si="24"/>
        <v>4650</v>
      </c>
      <c r="AW36" s="146">
        <f t="shared" si="24"/>
        <v>4800</v>
      </c>
      <c r="AX36" s="146">
        <f t="shared" si="24"/>
        <v>4800</v>
      </c>
      <c r="AY36" s="146">
        <f t="shared" si="24"/>
        <v>4800</v>
      </c>
      <c r="AZ36" s="146">
        <f t="shared" si="24"/>
        <v>5100</v>
      </c>
      <c r="BA36" s="146">
        <f t="shared" si="24"/>
        <v>5250</v>
      </c>
      <c r="BB36" s="146">
        <f t="shared" si="24"/>
        <v>5400</v>
      </c>
      <c r="BC36" s="146">
        <f t="shared" si="24"/>
        <v>5400</v>
      </c>
      <c r="BD36" s="146">
        <f t="shared" si="24"/>
        <v>5550</v>
      </c>
      <c r="BE36" s="146">
        <f t="shared" si="24"/>
        <v>5700</v>
      </c>
      <c r="BF36" s="146">
        <f t="shared" si="24"/>
        <v>5700</v>
      </c>
      <c r="BG36" s="146">
        <f t="shared" si="24"/>
        <v>5850</v>
      </c>
      <c r="BH36" s="146">
        <f t="shared" si="24"/>
        <v>6000</v>
      </c>
      <c r="BI36" s="146">
        <f t="shared" si="24"/>
        <v>6000</v>
      </c>
      <c r="BJ36" s="146">
        <f t="shared" si="24"/>
        <v>6150</v>
      </c>
      <c r="BK36" s="146">
        <f t="shared" si="24"/>
        <v>6150</v>
      </c>
      <c r="BL36" s="146">
        <f t="shared" si="24"/>
        <v>6150</v>
      </c>
      <c r="BM36" s="146">
        <f t="shared" si="24"/>
        <v>6300</v>
      </c>
      <c r="BN36" s="146">
        <f t="shared" si="24"/>
        <v>6300</v>
      </c>
      <c r="BO36" s="146">
        <f t="shared" si="24"/>
        <v>6450</v>
      </c>
      <c r="BP36" s="146">
        <f t="shared" si="24"/>
        <v>6450</v>
      </c>
      <c r="BQ36" s="146">
        <f t="shared" si="24"/>
        <v>6600</v>
      </c>
      <c r="BR36" s="146">
        <f t="shared" si="24"/>
        <v>6600</v>
      </c>
      <c r="BS36" s="146">
        <f t="shared" si="24"/>
        <v>6750</v>
      </c>
      <c r="BT36" s="146">
        <f t="shared" si="24"/>
        <v>6750</v>
      </c>
      <c r="BU36" s="146">
        <f t="shared" si="24"/>
        <v>6900</v>
      </c>
      <c r="BV36" s="146">
        <f t="shared" si="24"/>
        <v>6900</v>
      </c>
      <c r="BW36" s="146">
        <f t="shared" si="24"/>
        <v>7050</v>
      </c>
      <c r="BX36" s="146">
        <f t="shared" si="24"/>
        <v>7200</v>
      </c>
      <c r="BY36" s="146">
        <f t="shared" si="24"/>
        <v>7350</v>
      </c>
      <c r="BZ36" s="146">
        <f t="shared" si="24"/>
        <v>7500</v>
      </c>
      <c r="CA36" s="146">
        <f t="shared" si="24"/>
        <v>7500</v>
      </c>
      <c r="CB36" s="146">
        <f t="shared" si="24"/>
        <v>7650</v>
      </c>
      <c r="CC36" s="146">
        <f t="shared" si="24"/>
        <v>7650</v>
      </c>
      <c r="CD36" s="146">
        <f t="shared" si="24"/>
        <v>7650</v>
      </c>
      <c r="CE36" s="146">
        <f t="shared" si="24"/>
        <v>7800</v>
      </c>
      <c r="CF36" s="146">
        <f t="shared" si="24"/>
        <v>7800</v>
      </c>
      <c r="CG36" s="146">
        <f t="shared" si="24"/>
        <v>7950</v>
      </c>
      <c r="CH36" s="146">
        <f t="shared" si="24"/>
        <v>7950</v>
      </c>
    </row>
    <row r="37" ht="15.75" customHeight="1">
      <c r="A37" s="1" t="s">
        <v>699</v>
      </c>
      <c r="B37" s="467"/>
      <c r="M37" s="146"/>
      <c r="N37" s="146"/>
      <c r="O37" s="146"/>
      <c r="P37" s="146"/>
      <c r="Q37" s="146"/>
      <c r="R37" s="146"/>
      <c r="S37" s="146"/>
      <c r="T37" s="146">
        <f t="shared" ref="T37:CH37" si="25">T31*T28</f>
        <v>553.4871</v>
      </c>
      <c r="U37" s="146">
        <f t="shared" si="25"/>
        <v>689.01252</v>
      </c>
      <c r="V37" s="146">
        <f t="shared" si="25"/>
        <v>609.46592</v>
      </c>
      <c r="W37" s="146">
        <f t="shared" si="25"/>
        <v>652.47812</v>
      </c>
      <c r="X37" s="146">
        <f t="shared" si="25"/>
        <v>559.66036</v>
      </c>
      <c r="Y37" s="146">
        <f t="shared" si="25"/>
        <v>753.45211</v>
      </c>
      <c r="Z37" s="146">
        <f t="shared" si="25"/>
        <v>1049.642482</v>
      </c>
      <c r="AA37" s="146">
        <f t="shared" si="25"/>
        <v>1281.288727</v>
      </c>
      <c r="AB37" s="146">
        <f t="shared" si="25"/>
        <v>1482.657212</v>
      </c>
      <c r="AC37" s="146">
        <f t="shared" si="25"/>
        <v>1675.182011</v>
      </c>
      <c r="AD37" s="146">
        <f t="shared" si="25"/>
        <v>1867.542388</v>
      </c>
      <c r="AE37" s="146">
        <f t="shared" si="25"/>
        <v>2119.911923</v>
      </c>
      <c r="AF37" s="146">
        <f t="shared" si="25"/>
        <v>2328.410643</v>
      </c>
      <c r="AG37" s="146">
        <f t="shared" si="25"/>
        <v>2531.512561</v>
      </c>
      <c r="AH37" s="146">
        <f t="shared" si="25"/>
        <v>2732.275495</v>
      </c>
      <c r="AI37" s="146">
        <f t="shared" si="25"/>
        <v>2938.5164</v>
      </c>
      <c r="AJ37" s="146">
        <f t="shared" si="25"/>
        <v>3131.486125</v>
      </c>
      <c r="AK37" s="146">
        <f t="shared" si="25"/>
        <v>3333.395369</v>
      </c>
      <c r="AL37" s="146">
        <f t="shared" si="25"/>
        <v>3542.946746</v>
      </c>
      <c r="AM37" s="146">
        <f t="shared" si="25"/>
        <v>3790.880896</v>
      </c>
      <c r="AN37" s="146">
        <f t="shared" si="25"/>
        <v>3838.79851</v>
      </c>
      <c r="AO37" s="146">
        <f t="shared" si="25"/>
        <v>3906.665997</v>
      </c>
      <c r="AP37" s="146">
        <f t="shared" si="25"/>
        <v>3982.412427</v>
      </c>
      <c r="AQ37" s="146">
        <f t="shared" si="25"/>
        <v>4057.964279</v>
      </c>
      <c r="AR37" s="146">
        <f t="shared" si="25"/>
        <v>4133.303214</v>
      </c>
      <c r="AS37" s="146">
        <f t="shared" si="25"/>
        <v>4206.815632</v>
      </c>
      <c r="AT37" s="146">
        <f t="shared" si="25"/>
        <v>4413.407463</v>
      </c>
      <c r="AU37" s="146">
        <f t="shared" si="25"/>
        <v>4486.446857</v>
      </c>
      <c r="AV37" s="146">
        <f t="shared" si="25"/>
        <v>4558.233483</v>
      </c>
      <c r="AW37" s="146">
        <f t="shared" si="25"/>
        <v>4628.850086</v>
      </c>
      <c r="AX37" s="146">
        <f t="shared" si="25"/>
        <v>4698.374866</v>
      </c>
      <c r="AY37" s="146">
        <f t="shared" si="25"/>
        <v>4951.388414</v>
      </c>
      <c r="AZ37" s="146">
        <f t="shared" si="25"/>
        <v>5059.843407</v>
      </c>
      <c r="BA37" s="146">
        <f t="shared" si="25"/>
        <v>5165.900955</v>
      </c>
      <c r="BB37" s="146">
        <f t="shared" si="25"/>
        <v>5270.054735</v>
      </c>
      <c r="BC37" s="146">
        <f t="shared" si="25"/>
        <v>5372.459643</v>
      </c>
      <c r="BD37" s="146">
        <f t="shared" si="25"/>
        <v>5473.216728</v>
      </c>
      <c r="BE37" s="146">
        <f t="shared" si="25"/>
        <v>5572.416049</v>
      </c>
      <c r="BF37" s="146">
        <f t="shared" si="25"/>
        <v>5670.143231</v>
      </c>
      <c r="BG37" s="146">
        <f t="shared" si="25"/>
        <v>5766.480555</v>
      </c>
      <c r="BH37" s="146">
        <f t="shared" si="25"/>
        <v>5861.507236</v>
      </c>
      <c r="BI37" s="146">
        <f t="shared" si="25"/>
        <v>5955.299565</v>
      </c>
      <c r="BJ37" s="146">
        <f t="shared" si="25"/>
        <v>6047.931035</v>
      </c>
      <c r="BK37" s="146">
        <f t="shared" si="25"/>
        <v>5963.233754</v>
      </c>
      <c r="BL37" s="146">
        <f t="shared" si="25"/>
        <v>6055.402595</v>
      </c>
      <c r="BM37" s="146">
        <f t="shared" si="25"/>
        <v>6137.256014</v>
      </c>
      <c r="BN37" s="146">
        <f t="shared" si="25"/>
        <v>6219.230536</v>
      </c>
      <c r="BO37" s="146">
        <f t="shared" si="25"/>
        <v>6301.043784</v>
      </c>
      <c r="BP37" s="146">
        <f t="shared" si="25"/>
        <v>6382.695788</v>
      </c>
      <c r="BQ37" s="146">
        <f t="shared" si="25"/>
        <v>6464.2281</v>
      </c>
      <c r="BR37" s="146">
        <f t="shared" si="25"/>
        <v>6545.687716</v>
      </c>
      <c r="BS37" s="146">
        <f t="shared" si="25"/>
        <v>6627.121711</v>
      </c>
      <c r="BT37" s="146">
        <f t="shared" si="25"/>
        <v>6708.576493</v>
      </c>
      <c r="BU37" s="146">
        <f t="shared" si="25"/>
        <v>6790.097733</v>
      </c>
      <c r="BV37" s="146">
        <f t="shared" si="25"/>
        <v>6871.730406</v>
      </c>
      <c r="BW37" s="146">
        <f t="shared" si="25"/>
        <v>7176.869599</v>
      </c>
      <c r="BX37" s="146">
        <f t="shared" si="25"/>
        <v>7242.015303</v>
      </c>
      <c r="BY37" s="146">
        <f t="shared" si="25"/>
        <v>7301.410268</v>
      </c>
      <c r="BZ37" s="146">
        <f t="shared" si="25"/>
        <v>7361.360383</v>
      </c>
      <c r="CA37" s="146">
        <f t="shared" si="25"/>
        <v>7420.848653</v>
      </c>
      <c r="CB37" s="146">
        <f t="shared" si="25"/>
        <v>7479.77694</v>
      </c>
      <c r="CC37" s="146">
        <f t="shared" si="25"/>
        <v>7538.18269</v>
      </c>
      <c r="CD37" s="146">
        <f t="shared" si="25"/>
        <v>7596.121542</v>
      </c>
      <c r="CE37" s="146">
        <f t="shared" si="25"/>
        <v>7653.649809</v>
      </c>
      <c r="CF37" s="146">
        <f t="shared" si="25"/>
        <v>7710.82194</v>
      </c>
      <c r="CG37" s="146">
        <f t="shared" si="25"/>
        <v>7767.690223</v>
      </c>
      <c r="CH37" s="146">
        <f t="shared" si="25"/>
        <v>7824.304824</v>
      </c>
    </row>
    <row r="38" ht="15.75" customHeight="1">
      <c r="A38" s="1" t="s">
        <v>700</v>
      </c>
      <c r="B38" s="446" t="s">
        <v>701</v>
      </c>
      <c r="M38" s="146">
        <f t="shared" ref="M38:S38" si="26">M36-M28</f>
        <v>2301.374</v>
      </c>
      <c r="N38" s="146">
        <f t="shared" si="26"/>
        <v>2400.356</v>
      </c>
      <c r="O38" s="146">
        <f t="shared" si="26"/>
        <v>2444.392</v>
      </c>
      <c r="P38" s="146">
        <f t="shared" si="26"/>
        <v>2448.352</v>
      </c>
      <c r="Q38" s="146">
        <f t="shared" si="26"/>
        <v>2399.518</v>
      </c>
      <c r="R38" s="146">
        <f t="shared" si="26"/>
        <v>2401.78</v>
      </c>
      <c r="S38" s="146">
        <f t="shared" si="26"/>
        <v>2344.966</v>
      </c>
      <c r="T38" s="146">
        <f t="shared" ref="T38:CH38" si="27">T36-T37</f>
        <v>2452.5129</v>
      </c>
      <c r="U38" s="146">
        <f t="shared" si="27"/>
        <v>2316.98748</v>
      </c>
      <c r="V38" s="146">
        <f t="shared" si="27"/>
        <v>2396.53408</v>
      </c>
      <c r="W38" s="146">
        <f t="shared" si="27"/>
        <v>2353.52188</v>
      </c>
      <c r="X38" s="146">
        <f t="shared" si="27"/>
        <v>2446.33964</v>
      </c>
      <c r="Y38" s="146">
        <f t="shared" si="27"/>
        <v>2252.54789</v>
      </c>
      <c r="Z38" s="146">
        <f t="shared" si="27"/>
        <v>2106.657518</v>
      </c>
      <c r="AA38" s="146">
        <f t="shared" si="27"/>
        <v>2018.711273</v>
      </c>
      <c r="AB38" s="146">
        <f t="shared" si="27"/>
        <v>1817.342788</v>
      </c>
      <c r="AC38" s="146">
        <f t="shared" si="27"/>
        <v>1624.817989</v>
      </c>
      <c r="AD38" s="146">
        <f t="shared" si="27"/>
        <v>1432.457612</v>
      </c>
      <c r="AE38" s="146">
        <f t="shared" si="27"/>
        <v>1180.088077</v>
      </c>
      <c r="AF38" s="146">
        <f t="shared" si="27"/>
        <v>971.5893572</v>
      </c>
      <c r="AG38" s="146">
        <f t="shared" si="27"/>
        <v>768.487439</v>
      </c>
      <c r="AH38" s="146">
        <f t="shared" si="27"/>
        <v>567.7245047</v>
      </c>
      <c r="AI38" s="146">
        <f t="shared" si="27"/>
        <v>361.4836004</v>
      </c>
      <c r="AJ38" s="146">
        <f t="shared" si="27"/>
        <v>168.513875</v>
      </c>
      <c r="AK38" s="146">
        <f t="shared" si="27"/>
        <v>-33.39536868</v>
      </c>
      <c r="AL38" s="146">
        <f t="shared" si="27"/>
        <v>-92.94674622</v>
      </c>
      <c r="AM38" s="146">
        <f t="shared" si="27"/>
        <v>-190.8808959</v>
      </c>
      <c r="AN38" s="146">
        <f t="shared" si="27"/>
        <v>61.2014901</v>
      </c>
      <c r="AO38" s="146">
        <f t="shared" si="27"/>
        <v>143.3340032</v>
      </c>
      <c r="AP38" s="146">
        <f t="shared" si="27"/>
        <v>67.587573</v>
      </c>
      <c r="AQ38" s="146">
        <f t="shared" si="27"/>
        <v>142.0357208</v>
      </c>
      <c r="AR38" s="146">
        <f t="shared" si="27"/>
        <v>66.69678596</v>
      </c>
      <c r="AS38" s="146">
        <f t="shared" si="27"/>
        <v>143.1843682</v>
      </c>
      <c r="AT38" s="146">
        <f t="shared" si="27"/>
        <v>-63.40746296</v>
      </c>
      <c r="AU38" s="146">
        <f t="shared" si="27"/>
        <v>13.55314321</v>
      </c>
      <c r="AV38" s="146">
        <f t="shared" si="27"/>
        <v>91.76651734</v>
      </c>
      <c r="AW38" s="146">
        <f t="shared" si="27"/>
        <v>171.149914</v>
      </c>
      <c r="AX38" s="146">
        <f t="shared" si="27"/>
        <v>101.6251339</v>
      </c>
      <c r="AY38" s="146">
        <f t="shared" si="27"/>
        <v>-151.388414</v>
      </c>
      <c r="AZ38" s="146">
        <f t="shared" si="27"/>
        <v>40.1565933</v>
      </c>
      <c r="BA38" s="146">
        <f t="shared" si="27"/>
        <v>84.09904513</v>
      </c>
      <c r="BB38" s="146">
        <f t="shared" si="27"/>
        <v>129.9452651</v>
      </c>
      <c r="BC38" s="146">
        <f t="shared" si="27"/>
        <v>27.54035654</v>
      </c>
      <c r="BD38" s="146">
        <f t="shared" si="27"/>
        <v>76.78327225</v>
      </c>
      <c r="BE38" s="146">
        <f t="shared" si="27"/>
        <v>127.5839508</v>
      </c>
      <c r="BF38" s="146">
        <f t="shared" si="27"/>
        <v>29.85676886</v>
      </c>
      <c r="BG38" s="146">
        <f t="shared" si="27"/>
        <v>83.51944454</v>
      </c>
      <c r="BH38" s="146">
        <f t="shared" si="27"/>
        <v>138.492764</v>
      </c>
      <c r="BI38" s="146">
        <f t="shared" si="27"/>
        <v>44.70043512</v>
      </c>
      <c r="BJ38" s="146">
        <f t="shared" si="27"/>
        <v>102.0689647</v>
      </c>
      <c r="BK38" s="146">
        <f t="shared" si="27"/>
        <v>186.7662461</v>
      </c>
      <c r="BL38" s="146">
        <f t="shared" si="27"/>
        <v>94.59740475</v>
      </c>
      <c r="BM38" s="146">
        <f t="shared" si="27"/>
        <v>162.743986</v>
      </c>
      <c r="BN38" s="146">
        <f t="shared" si="27"/>
        <v>80.76946423</v>
      </c>
      <c r="BO38" s="146">
        <f t="shared" si="27"/>
        <v>148.9562162</v>
      </c>
      <c r="BP38" s="146">
        <f t="shared" si="27"/>
        <v>67.30421197</v>
      </c>
      <c r="BQ38" s="146">
        <f t="shared" si="27"/>
        <v>135.7718996</v>
      </c>
      <c r="BR38" s="146">
        <f t="shared" si="27"/>
        <v>54.31228439</v>
      </c>
      <c r="BS38" s="146">
        <f t="shared" si="27"/>
        <v>122.878289</v>
      </c>
      <c r="BT38" s="146">
        <f t="shared" si="27"/>
        <v>41.4235071</v>
      </c>
      <c r="BU38" s="146">
        <f t="shared" si="27"/>
        <v>109.9022672</v>
      </c>
      <c r="BV38" s="146">
        <f t="shared" si="27"/>
        <v>28.26959412</v>
      </c>
      <c r="BW38" s="146">
        <f t="shared" si="27"/>
        <v>-126.8695993</v>
      </c>
      <c r="BX38" s="146">
        <f t="shared" si="27"/>
        <v>-42.01530283</v>
      </c>
      <c r="BY38" s="146">
        <f t="shared" si="27"/>
        <v>48.58973152</v>
      </c>
      <c r="BZ38" s="146">
        <f t="shared" si="27"/>
        <v>138.6396167</v>
      </c>
      <c r="CA38" s="146">
        <f t="shared" si="27"/>
        <v>79.15134659</v>
      </c>
      <c r="CB38" s="146">
        <f t="shared" si="27"/>
        <v>170.2230599</v>
      </c>
      <c r="CC38" s="146">
        <f t="shared" si="27"/>
        <v>111.8173098</v>
      </c>
      <c r="CD38" s="146">
        <f t="shared" si="27"/>
        <v>53.87845771</v>
      </c>
      <c r="CE38" s="146">
        <f t="shared" si="27"/>
        <v>146.3501908</v>
      </c>
      <c r="CF38" s="146">
        <f t="shared" si="27"/>
        <v>89.17806027</v>
      </c>
      <c r="CG38" s="146">
        <f t="shared" si="27"/>
        <v>182.3097775</v>
      </c>
      <c r="CH38" s="146">
        <f t="shared" si="27"/>
        <v>125.6951763</v>
      </c>
    </row>
    <row r="39" ht="15.75" customHeight="1">
      <c r="A39" s="1" t="s">
        <v>701</v>
      </c>
      <c r="B39" s="468">
        <v>100.0</v>
      </c>
      <c r="M39" s="173">
        <v>2.0</v>
      </c>
      <c r="N39" s="146">
        <f t="shared" ref="N39:S39" si="28">IF(N38&gt;$B39,0,ROUNDUP(ABS(N38/N35),0))</f>
        <v>0</v>
      </c>
      <c r="O39" s="146">
        <f t="shared" si="28"/>
        <v>0</v>
      </c>
      <c r="P39" s="146">
        <f t="shared" si="28"/>
        <v>0</v>
      </c>
      <c r="Q39" s="146">
        <f t="shared" si="28"/>
        <v>0</v>
      </c>
      <c r="R39" s="146">
        <f t="shared" si="28"/>
        <v>0</v>
      </c>
      <c r="S39" s="146">
        <f t="shared" si="28"/>
        <v>0</v>
      </c>
      <c r="T39" s="469"/>
      <c r="U39" s="146"/>
      <c r="V39" s="244">
        <v>0.0</v>
      </c>
      <c r="W39" s="244"/>
      <c r="X39" s="244"/>
      <c r="Y39" s="244">
        <v>1.0</v>
      </c>
      <c r="Z39" s="244">
        <v>1.0</v>
      </c>
      <c r="AA39" s="146">
        <f t="shared" ref="AA39:CH39" si="29">IF(AA38&gt;$B39,0,ROUNDUP(ABS(AA38/AA35),0))</f>
        <v>0</v>
      </c>
      <c r="AB39" s="146">
        <f t="shared" si="29"/>
        <v>0</v>
      </c>
      <c r="AC39" s="146">
        <f t="shared" si="29"/>
        <v>0</v>
      </c>
      <c r="AD39" s="146">
        <f t="shared" si="29"/>
        <v>0</v>
      </c>
      <c r="AE39" s="146">
        <f t="shared" si="29"/>
        <v>0</v>
      </c>
      <c r="AF39" s="146">
        <f t="shared" si="29"/>
        <v>0</v>
      </c>
      <c r="AG39" s="146">
        <f t="shared" si="29"/>
        <v>0</v>
      </c>
      <c r="AH39" s="146">
        <f t="shared" si="29"/>
        <v>0</v>
      </c>
      <c r="AI39" s="146">
        <f t="shared" si="29"/>
        <v>0</v>
      </c>
      <c r="AJ39" s="146">
        <f t="shared" si="29"/>
        <v>0</v>
      </c>
      <c r="AK39" s="146">
        <f t="shared" si="29"/>
        <v>1</v>
      </c>
      <c r="AL39" s="146">
        <f t="shared" si="29"/>
        <v>1</v>
      </c>
      <c r="AM39" s="146">
        <f t="shared" si="29"/>
        <v>2</v>
      </c>
      <c r="AN39" s="146">
        <f t="shared" si="29"/>
        <v>1</v>
      </c>
      <c r="AO39" s="146">
        <f t="shared" si="29"/>
        <v>0</v>
      </c>
      <c r="AP39" s="146">
        <f t="shared" si="29"/>
        <v>1</v>
      </c>
      <c r="AQ39" s="146">
        <f t="shared" si="29"/>
        <v>0</v>
      </c>
      <c r="AR39" s="146">
        <f t="shared" si="29"/>
        <v>1</v>
      </c>
      <c r="AS39" s="146">
        <f t="shared" si="29"/>
        <v>0</v>
      </c>
      <c r="AT39" s="146">
        <f t="shared" si="29"/>
        <v>1</v>
      </c>
      <c r="AU39" s="146">
        <f t="shared" si="29"/>
        <v>1</v>
      </c>
      <c r="AV39" s="146">
        <f t="shared" si="29"/>
        <v>1</v>
      </c>
      <c r="AW39" s="146">
        <f t="shared" si="29"/>
        <v>0</v>
      </c>
      <c r="AX39" s="146">
        <f t="shared" si="29"/>
        <v>0</v>
      </c>
      <c r="AY39" s="146">
        <f t="shared" si="29"/>
        <v>2</v>
      </c>
      <c r="AZ39" s="146">
        <f t="shared" si="29"/>
        <v>1</v>
      </c>
      <c r="BA39" s="146">
        <f t="shared" si="29"/>
        <v>1</v>
      </c>
      <c r="BB39" s="146">
        <f t="shared" si="29"/>
        <v>0</v>
      </c>
      <c r="BC39" s="146">
        <f t="shared" si="29"/>
        <v>1</v>
      </c>
      <c r="BD39" s="146">
        <f t="shared" si="29"/>
        <v>1</v>
      </c>
      <c r="BE39" s="146">
        <f t="shared" si="29"/>
        <v>0</v>
      </c>
      <c r="BF39" s="146">
        <f t="shared" si="29"/>
        <v>1</v>
      </c>
      <c r="BG39" s="146">
        <f t="shared" si="29"/>
        <v>1</v>
      </c>
      <c r="BH39" s="146">
        <f t="shared" si="29"/>
        <v>0</v>
      </c>
      <c r="BI39" s="146">
        <f t="shared" si="29"/>
        <v>1</v>
      </c>
      <c r="BJ39" s="146">
        <f t="shared" si="29"/>
        <v>0</v>
      </c>
      <c r="BK39" s="146">
        <f t="shared" si="29"/>
        <v>0</v>
      </c>
      <c r="BL39" s="146">
        <f t="shared" si="29"/>
        <v>1</v>
      </c>
      <c r="BM39" s="146">
        <f t="shared" si="29"/>
        <v>0</v>
      </c>
      <c r="BN39" s="146">
        <f t="shared" si="29"/>
        <v>1</v>
      </c>
      <c r="BO39" s="146">
        <f t="shared" si="29"/>
        <v>0</v>
      </c>
      <c r="BP39" s="146">
        <f t="shared" si="29"/>
        <v>1</v>
      </c>
      <c r="BQ39" s="146">
        <f t="shared" si="29"/>
        <v>0</v>
      </c>
      <c r="BR39" s="146">
        <f t="shared" si="29"/>
        <v>1</v>
      </c>
      <c r="BS39" s="146">
        <f t="shared" si="29"/>
        <v>0</v>
      </c>
      <c r="BT39" s="146">
        <f t="shared" si="29"/>
        <v>1</v>
      </c>
      <c r="BU39" s="146">
        <f t="shared" si="29"/>
        <v>0</v>
      </c>
      <c r="BV39" s="146">
        <f t="shared" si="29"/>
        <v>1</v>
      </c>
      <c r="BW39" s="146">
        <f t="shared" si="29"/>
        <v>1</v>
      </c>
      <c r="BX39" s="146">
        <f t="shared" si="29"/>
        <v>1</v>
      </c>
      <c r="BY39" s="146">
        <f t="shared" si="29"/>
        <v>1</v>
      </c>
      <c r="BZ39" s="146">
        <f t="shared" si="29"/>
        <v>0</v>
      </c>
      <c r="CA39" s="146">
        <f t="shared" si="29"/>
        <v>1</v>
      </c>
      <c r="CB39" s="146">
        <f t="shared" si="29"/>
        <v>0</v>
      </c>
      <c r="CC39" s="146">
        <f t="shared" si="29"/>
        <v>0</v>
      </c>
      <c r="CD39" s="146">
        <f t="shared" si="29"/>
        <v>1</v>
      </c>
      <c r="CE39" s="146">
        <f t="shared" si="29"/>
        <v>0</v>
      </c>
      <c r="CF39" s="146">
        <f t="shared" si="29"/>
        <v>1</v>
      </c>
      <c r="CG39" s="146">
        <f t="shared" si="29"/>
        <v>0</v>
      </c>
      <c r="CH39" s="146">
        <f t="shared" si="29"/>
        <v>0</v>
      </c>
    </row>
    <row r="40" ht="15.75" customHeight="1">
      <c r="A40" s="1" t="s">
        <v>702</v>
      </c>
      <c r="B40" s="1" t="s">
        <v>703</v>
      </c>
      <c r="M40" s="244">
        <f>M39</f>
        <v>2</v>
      </c>
      <c r="N40" s="146">
        <f t="shared" ref="N40:Q40" si="30">P39</f>
        <v>0</v>
      </c>
      <c r="O40" s="146">
        <f t="shared" si="30"/>
        <v>0</v>
      </c>
      <c r="P40" s="146">
        <f t="shared" si="30"/>
        <v>0</v>
      </c>
      <c r="Q40" s="146">
        <f t="shared" si="30"/>
        <v>0</v>
      </c>
      <c r="R40" s="146">
        <f t="shared" ref="R40:S40" si="31">R39</f>
        <v>0</v>
      </c>
      <c r="S40" s="146">
        <f t="shared" si="31"/>
        <v>0</v>
      </c>
      <c r="T40" s="146"/>
      <c r="U40" s="146"/>
      <c r="V40" s="146">
        <f t="shared" ref="V40:W40" si="32">V39</f>
        <v>0</v>
      </c>
      <c r="W40" s="146" t="str">
        <f t="shared" si="32"/>
        <v/>
      </c>
      <c r="X40" s="244"/>
      <c r="Y40" s="244">
        <v>1.0</v>
      </c>
      <c r="Z40" s="244">
        <v>1.0</v>
      </c>
      <c r="AA40" s="146">
        <f t="shared" ref="AA40:CH40" si="33">AA39</f>
        <v>0</v>
      </c>
      <c r="AB40" s="146">
        <f t="shared" si="33"/>
        <v>0</v>
      </c>
      <c r="AC40" s="146">
        <f t="shared" si="33"/>
        <v>0</v>
      </c>
      <c r="AD40" s="146">
        <f t="shared" si="33"/>
        <v>0</v>
      </c>
      <c r="AE40" s="146">
        <f t="shared" si="33"/>
        <v>0</v>
      </c>
      <c r="AF40" s="146">
        <f t="shared" si="33"/>
        <v>0</v>
      </c>
      <c r="AG40" s="146">
        <f t="shared" si="33"/>
        <v>0</v>
      </c>
      <c r="AH40" s="146">
        <f t="shared" si="33"/>
        <v>0</v>
      </c>
      <c r="AI40" s="146">
        <f t="shared" si="33"/>
        <v>0</v>
      </c>
      <c r="AJ40" s="146">
        <f t="shared" si="33"/>
        <v>0</v>
      </c>
      <c r="AK40" s="146">
        <f t="shared" si="33"/>
        <v>1</v>
      </c>
      <c r="AL40" s="146">
        <f t="shared" si="33"/>
        <v>1</v>
      </c>
      <c r="AM40" s="146">
        <f t="shared" si="33"/>
        <v>2</v>
      </c>
      <c r="AN40" s="146">
        <f t="shared" si="33"/>
        <v>1</v>
      </c>
      <c r="AO40" s="146">
        <f t="shared" si="33"/>
        <v>0</v>
      </c>
      <c r="AP40" s="146">
        <f t="shared" si="33"/>
        <v>1</v>
      </c>
      <c r="AQ40" s="146">
        <f t="shared" si="33"/>
        <v>0</v>
      </c>
      <c r="AR40" s="146">
        <f t="shared" si="33"/>
        <v>1</v>
      </c>
      <c r="AS40" s="146">
        <f t="shared" si="33"/>
        <v>0</v>
      </c>
      <c r="AT40" s="146">
        <f t="shared" si="33"/>
        <v>1</v>
      </c>
      <c r="AU40" s="146">
        <f t="shared" si="33"/>
        <v>1</v>
      </c>
      <c r="AV40" s="146">
        <f t="shared" si="33"/>
        <v>1</v>
      </c>
      <c r="AW40" s="146">
        <f t="shared" si="33"/>
        <v>0</v>
      </c>
      <c r="AX40" s="146">
        <f t="shared" si="33"/>
        <v>0</v>
      </c>
      <c r="AY40" s="146">
        <f t="shared" si="33"/>
        <v>2</v>
      </c>
      <c r="AZ40" s="146">
        <f t="shared" si="33"/>
        <v>1</v>
      </c>
      <c r="BA40" s="146">
        <f t="shared" si="33"/>
        <v>1</v>
      </c>
      <c r="BB40" s="146">
        <f t="shared" si="33"/>
        <v>0</v>
      </c>
      <c r="BC40" s="146">
        <f t="shared" si="33"/>
        <v>1</v>
      </c>
      <c r="BD40" s="146">
        <f t="shared" si="33"/>
        <v>1</v>
      </c>
      <c r="BE40" s="146">
        <f t="shared" si="33"/>
        <v>0</v>
      </c>
      <c r="BF40" s="146">
        <f t="shared" si="33"/>
        <v>1</v>
      </c>
      <c r="BG40" s="146">
        <f t="shared" si="33"/>
        <v>1</v>
      </c>
      <c r="BH40" s="146">
        <f t="shared" si="33"/>
        <v>0</v>
      </c>
      <c r="BI40" s="146">
        <f t="shared" si="33"/>
        <v>1</v>
      </c>
      <c r="BJ40" s="146">
        <f t="shared" si="33"/>
        <v>0</v>
      </c>
      <c r="BK40" s="146">
        <f t="shared" si="33"/>
        <v>0</v>
      </c>
      <c r="BL40" s="146">
        <f t="shared" si="33"/>
        <v>1</v>
      </c>
      <c r="BM40" s="146">
        <f t="shared" si="33"/>
        <v>0</v>
      </c>
      <c r="BN40" s="146">
        <f t="shared" si="33"/>
        <v>1</v>
      </c>
      <c r="BO40" s="146">
        <f t="shared" si="33"/>
        <v>0</v>
      </c>
      <c r="BP40" s="146">
        <f t="shared" si="33"/>
        <v>1</v>
      </c>
      <c r="BQ40" s="146">
        <f t="shared" si="33"/>
        <v>0</v>
      </c>
      <c r="BR40" s="146">
        <f t="shared" si="33"/>
        <v>1</v>
      </c>
      <c r="BS40" s="146">
        <f t="shared" si="33"/>
        <v>0</v>
      </c>
      <c r="BT40" s="146">
        <f t="shared" si="33"/>
        <v>1</v>
      </c>
      <c r="BU40" s="146">
        <f t="shared" si="33"/>
        <v>0</v>
      </c>
      <c r="BV40" s="146">
        <f t="shared" si="33"/>
        <v>1</v>
      </c>
      <c r="BW40" s="146">
        <f t="shared" si="33"/>
        <v>1</v>
      </c>
      <c r="BX40" s="146">
        <f t="shared" si="33"/>
        <v>1</v>
      </c>
      <c r="BY40" s="146">
        <f t="shared" si="33"/>
        <v>1</v>
      </c>
      <c r="BZ40" s="146">
        <f t="shared" si="33"/>
        <v>0</v>
      </c>
      <c r="CA40" s="146">
        <f t="shared" si="33"/>
        <v>1</v>
      </c>
      <c r="CB40" s="146">
        <f t="shared" si="33"/>
        <v>0</v>
      </c>
      <c r="CC40" s="146">
        <f t="shared" si="33"/>
        <v>0</v>
      </c>
      <c r="CD40" s="146">
        <f t="shared" si="33"/>
        <v>1</v>
      </c>
      <c r="CE40" s="146">
        <f t="shared" si="33"/>
        <v>0</v>
      </c>
      <c r="CF40" s="146">
        <f t="shared" si="33"/>
        <v>1</v>
      </c>
      <c r="CG40" s="146">
        <f t="shared" si="33"/>
        <v>0</v>
      </c>
      <c r="CH40" s="146">
        <f t="shared" si="33"/>
        <v>0</v>
      </c>
    </row>
    <row r="41" ht="15.75" customHeight="1">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146"/>
      <c r="CE41" s="146"/>
      <c r="CF41" s="146"/>
      <c r="CG41" s="146"/>
      <c r="CH41" s="146"/>
    </row>
    <row r="42" ht="15.75" customHeight="1">
      <c r="A42" s="1" t="s">
        <v>704</v>
      </c>
      <c r="M42" s="146"/>
      <c r="N42" s="146"/>
      <c r="O42" s="146"/>
      <c r="P42" s="146"/>
      <c r="Q42" s="146"/>
      <c r="R42" s="146"/>
      <c r="S42" s="146"/>
      <c r="T42" s="146"/>
      <c r="U42" s="146"/>
      <c r="V42" s="146"/>
      <c r="W42" s="146"/>
      <c r="X42" s="146"/>
      <c r="Y42" s="242">
        <v>4.0</v>
      </c>
      <c r="Z42" s="146">
        <f t="shared" ref="Z42:CH42" si="34">Y42+Y46</f>
        <v>9</v>
      </c>
      <c r="AA42" s="146">
        <f t="shared" si="34"/>
        <v>11</v>
      </c>
      <c r="AB42" s="146">
        <f t="shared" si="34"/>
        <v>12</v>
      </c>
      <c r="AC42" s="146">
        <f t="shared" si="34"/>
        <v>13</v>
      </c>
      <c r="AD42" s="146">
        <f t="shared" si="34"/>
        <v>13</v>
      </c>
      <c r="AE42" s="146">
        <f t="shared" si="34"/>
        <v>13</v>
      </c>
      <c r="AF42" s="146">
        <f t="shared" si="34"/>
        <v>13</v>
      </c>
      <c r="AG42" s="146">
        <f t="shared" si="34"/>
        <v>13</v>
      </c>
      <c r="AH42" s="146">
        <f t="shared" si="34"/>
        <v>13</v>
      </c>
      <c r="AI42" s="146">
        <f t="shared" si="34"/>
        <v>13</v>
      </c>
      <c r="AJ42" s="146">
        <f t="shared" si="34"/>
        <v>13</v>
      </c>
      <c r="AK42" s="146">
        <f t="shared" si="34"/>
        <v>13</v>
      </c>
      <c r="AL42" s="146">
        <f t="shared" si="34"/>
        <v>13</v>
      </c>
      <c r="AM42" s="146">
        <f t="shared" si="34"/>
        <v>13</v>
      </c>
      <c r="AN42" s="146">
        <f t="shared" si="34"/>
        <v>13</v>
      </c>
      <c r="AO42" s="146">
        <f t="shared" si="34"/>
        <v>13</v>
      </c>
      <c r="AP42" s="146">
        <f t="shared" si="34"/>
        <v>13</v>
      </c>
      <c r="AQ42" s="146">
        <f t="shared" si="34"/>
        <v>13</v>
      </c>
      <c r="AR42" s="146">
        <f t="shared" si="34"/>
        <v>13</v>
      </c>
      <c r="AS42" s="146">
        <f t="shared" si="34"/>
        <v>13</v>
      </c>
      <c r="AT42" s="146">
        <f t="shared" si="34"/>
        <v>14</v>
      </c>
      <c r="AU42" s="146">
        <f t="shared" si="34"/>
        <v>14</v>
      </c>
      <c r="AV42" s="146">
        <f t="shared" si="34"/>
        <v>14</v>
      </c>
      <c r="AW42" s="146">
        <f t="shared" si="34"/>
        <v>15</v>
      </c>
      <c r="AX42" s="146">
        <f t="shared" si="34"/>
        <v>15</v>
      </c>
      <c r="AY42" s="146">
        <f t="shared" si="34"/>
        <v>15</v>
      </c>
      <c r="AZ42" s="146">
        <f t="shared" si="34"/>
        <v>15</v>
      </c>
      <c r="BA42" s="146">
        <f t="shared" si="34"/>
        <v>16</v>
      </c>
      <c r="BB42" s="146">
        <f t="shared" si="34"/>
        <v>17</v>
      </c>
      <c r="BC42" s="146">
        <f t="shared" si="34"/>
        <v>17</v>
      </c>
      <c r="BD42" s="146">
        <f t="shared" si="34"/>
        <v>17</v>
      </c>
      <c r="BE42" s="146">
        <f t="shared" si="34"/>
        <v>18</v>
      </c>
      <c r="BF42" s="146">
        <f t="shared" si="34"/>
        <v>18</v>
      </c>
      <c r="BG42" s="146">
        <f t="shared" si="34"/>
        <v>18</v>
      </c>
      <c r="BH42" s="146">
        <f t="shared" si="34"/>
        <v>19</v>
      </c>
      <c r="BI42" s="146">
        <f t="shared" si="34"/>
        <v>19</v>
      </c>
      <c r="BJ42" s="146">
        <f t="shared" si="34"/>
        <v>19</v>
      </c>
      <c r="BK42" s="146">
        <f t="shared" si="34"/>
        <v>20</v>
      </c>
      <c r="BL42" s="146">
        <f t="shared" si="34"/>
        <v>20</v>
      </c>
      <c r="BM42" s="146">
        <f t="shared" si="34"/>
        <v>20</v>
      </c>
      <c r="BN42" s="146">
        <f t="shared" si="34"/>
        <v>20</v>
      </c>
      <c r="BO42" s="146">
        <f t="shared" si="34"/>
        <v>20</v>
      </c>
      <c r="BP42" s="146">
        <f t="shared" si="34"/>
        <v>21</v>
      </c>
      <c r="BQ42" s="146">
        <f t="shared" si="34"/>
        <v>21</v>
      </c>
      <c r="BR42" s="146">
        <f t="shared" si="34"/>
        <v>21</v>
      </c>
      <c r="BS42" s="146">
        <f t="shared" si="34"/>
        <v>21</v>
      </c>
      <c r="BT42" s="146">
        <f t="shared" si="34"/>
        <v>22</v>
      </c>
      <c r="BU42" s="146">
        <f t="shared" si="34"/>
        <v>22</v>
      </c>
      <c r="BV42" s="146">
        <f t="shared" si="34"/>
        <v>22</v>
      </c>
      <c r="BW42" s="146">
        <f t="shared" si="34"/>
        <v>22</v>
      </c>
      <c r="BX42" s="146">
        <f t="shared" si="34"/>
        <v>23</v>
      </c>
      <c r="BY42" s="146">
        <f t="shared" si="34"/>
        <v>23</v>
      </c>
      <c r="BZ42" s="146">
        <f t="shared" si="34"/>
        <v>24</v>
      </c>
      <c r="CA42" s="146">
        <f t="shared" si="34"/>
        <v>24</v>
      </c>
      <c r="CB42" s="146">
        <f t="shared" si="34"/>
        <v>24</v>
      </c>
      <c r="CC42" s="146">
        <f t="shared" si="34"/>
        <v>25</v>
      </c>
      <c r="CD42" s="146">
        <f t="shared" si="34"/>
        <v>25</v>
      </c>
      <c r="CE42" s="146">
        <f t="shared" si="34"/>
        <v>25</v>
      </c>
      <c r="CF42" s="146">
        <f t="shared" si="34"/>
        <v>25</v>
      </c>
      <c r="CG42" s="146">
        <f t="shared" si="34"/>
        <v>25</v>
      </c>
      <c r="CH42" s="146">
        <f t="shared" si="34"/>
        <v>26</v>
      </c>
    </row>
    <row r="43" ht="15.75" customHeight="1">
      <c r="A43" s="1" t="s">
        <v>697</v>
      </c>
      <c r="M43" s="146"/>
      <c r="N43" s="146"/>
      <c r="O43" s="146"/>
      <c r="P43" s="146"/>
      <c r="Q43" s="146"/>
      <c r="R43" s="146"/>
      <c r="S43" s="146"/>
      <c r="T43" s="146"/>
      <c r="U43" s="146"/>
      <c r="V43" s="146"/>
      <c r="W43" s="146"/>
      <c r="X43" s="146"/>
      <c r="Y43" s="470">
        <v>2.0</v>
      </c>
      <c r="Z43" s="470">
        <v>2.0</v>
      </c>
      <c r="AA43" s="470">
        <v>2.0</v>
      </c>
      <c r="AB43" s="470">
        <v>2.0</v>
      </c>
      <c r="AC43" s="470">
        <v>2.0</v>
      </c>
      <c r="AD43" s="470">
        <v>2.0</v>
      </c>
      <c r="AE43" s="470">
        <v>2.0</v>
      </c>
      <c r="AF43" s="470">
        <v>2.0</v>
      </c>
      <c r="AG43" s="470">
        <v>2.0</v>
      </c>
      <c r="AH43" s="470">
        <v>2.0</v>
      </c>
      <c r="AI43" s="470">
        <v>2.0</v>
      </c>
      <c r="AJ43" s="470">
        <v>2.0</v>
      </c>
      <c r="AK43" s="470">
        <v>2.0</v>
      </c>
      <c r="AL43" s="470">
        <v>2.0</v>
      </c>
      <c r="AM43" s="470">
        <v>2.0</v>
      </c>
      <c r="AN43" s="470">
        <v>2.0</v>
      </c>
      <c r="AO43" s="470">
        <v>2.0</v>
      </c>
      <c r="AP43" s="470">
        <v>2.0</v>
      </c>
      <c r="AQ43" s="470">
        <v>2.0</v>
      </c>
      <c r="AR43" s="470">
        <v>2.0</v>
      </c>
      <c r="AS43" s="470">
        <v>2.0</v>
      </c>
      <c r="AT43" s="470">
        <v>2.0</v>
      </c>
      <c r="AU43" s="470">
        <v>2.0</v>
      </c>
      <c r="AV43" s="470">
        <v>2.0</v>
      </c>
      <c r="AW43" s="470">
        <v>2.0</v>
      </c>
      <c r="AX43" s="470">
        <v>2.0</v>
      </c>
      <c r="AY43" s="470">
        <v>2.0</v>
      </c>
      <c r="AZ43" s="470">
        <v>2.0</v>
      </c>
      <c r="BA43" s="470">
        <v>2.0</v>
      </c>
      <c r="BB43" s="470">
        <v>2.0</v>
      </c>
      <c r="BC43" s="470">
        <v>2.0</v>
      </c>
      <c r="BD43" s="470">
        <v>2.0</v>
      </c>
      <c r="BE43" s="470">
        <v>2.0</v>
      </c>
      <c r="BF43" s="470">
        <v>2.0</v>
      </c>
      <c r="BG43" s="470">
        <v>2.0</v>
      </c>
      <c r="BH43" s="470">
        <v>2.0</v>
      </c>
      <c r="BI43" s="470">
        <v>2.0</v>
      </c>
      <c r="BJ43" s="470">
        <v>2.0</v>
      </c>
      <c r="BK43" s="470">
        <v>2.0</v>
      </c>
      <c r="BL43" s="470">
        <v>2.0</v>
      </c>
      <c r="BM43" s="470">
        <v>2.0</v>
      </c>
      <c r="BN43" s="470">
        <v>2.0</v>
      </c>
      <c r="BO43" s="470">
        <v>2.0</v>
      </c>
      <c r="BP43" s="470">
        <v>2.0</v>
      </c>
      <c r="BQ43" s="470">
        <v>2.0</v>
      </c>
      <c r="BR43" s="470">
        <v>2.0</v>
      </c>
      <c r="BS43" s="470">
        <v>2.0</v>
      </c>
      <c r="BT43" s="470">
        <v>2.0</v>
      </c>
      <c r="BU43" s="470">
        <v>2.0</v>
      </c>
      <c r="BV43" s="470">
        <v>2.0</v>
      </c>
      <c r="BW43" s="470">
        <v>2.0</v>
      </c>
      <c r="BX43" s="470">
        <v>2.0</v>
      </c>
      <c r="BY43" s="470">
        <v>2.0</v>
      </c>
      <c r="BZ43" s="470">
        <v>2.0</v>
      </c>
      <c r="CA43" s="470">
        <v>2.0</v>
      </c>
      <c r="CB43" s="470">
        <v>2.0</v>
      </c>
      <c r="CC43" s="470">
        <v>2.0</v>
      </c>
      <c r="CD43" s="470">
        <v>2.0</v>
      </c>
      <c r="CE43" s="470">
        <v>2.0</v>
      </c>
      <c r="CF43" s="470">
        <v>2.0</v>
      </c>
      <c r="CG43" s="470">
        <v>2.0</v>
      </c>
      <c r="CH43" s="470">
        <v>2.0</v>
      </c>
    </row>
    <row r="44" ht="15.75" customHeight="1">
      <c r="A44" s="1" t="s">
        <v>698</v>
      </c>
      <c r="M44" s="146"/>
      <c r="N44" s="146"/>
      <c r="O44" s="146"/>
      <c r="P44" s="146"/>
      <c r="Q44" s="146"/>
      <c r="R44" s="146"/>
      <c r="S44" s="146"/>
      <c r="T44" s="146"/>
      <c r="U44" s="146"/>
      <c r="V44" s="146"/>
      <c r="W44" s="146"/>
      <c r="X44" s="146"/>
      <c r="Y44" s="146">
        <f t="shared" ref="Y44:CH44" si="35">Y34/Y43</f>
        <v>10</v>
      </c>
      <c r="Z44" s="146">
        <f t="shared" si="35"/>
        <v>10.5</v>
      </c>
      <c r="AA44" s="146">
        <f t="shared" si="35"/>
        <v>11</v>
      </c>
      <c r="AB44" s="146">
        <f t="shared" si="35"/>
        <v>11</v>
      </c>
      <c r="AC44" s="146">
        <f t="shared" si="35"/>
        <v>11</v>
      </c>
      <c r="AD44" s="146">
        <f t="shared" si="35"/>
        <v>11</v>
      </c>
      <c r="AE44" s="146">
        <f t="shared" si="35"/>
        <v>11</v>
      </c>
      <c r="AF44" s="146">
        <f t="shared" si="35"/>
        <v>11</v>
      </c>
      <c r="AG44" s="146">
        <f t="shared" si="35"/>
        <v>11</v>
      </c>
      <c r="AH44" s="146">
        <f t="shared" si="35"/>
        <v>11</v>
      </c>
      <c r="AI44" s="146">
        <f t="shared" si="35"/>
        <v>11</v>
      </c>
      <c r="AJ44" s="146">
        <f t="shared" si="35"/>
        <v>11</v>
      </c>
      <c r="AK44" s="146">
        <f t="shared" si="35"/>
        <v>11</v>
      </c>
      <c r="AL44" s="146">
        <f t="shared" si="35"/>
        <v>11.5</v>
      </c>
      <c r="AM44" s="146">
        <f t="shared" si="35"/>
        <v>12</v>
      </c>
      <c r="AN44" s="146">
        <f t="shared" si="35"/>
        <v>13</v>
      </c>
      <c r="AO44" s="146">
        <f t="shared" si="35"/>
        <v>13.5</v>
      </c>
      <c r="AP44" s="146">
        <f t="shared" si="35"/>
        <v>13.5</v>
      </c>
      <c r="AQ44" s="146">
        <f t="shared" si="35"/>
        <v>14</v>
      </c>
      <c r="AR44" s="146">
        <f t="shared" si="35"/>
        <v>14</v>
      </c>
      <c r="AS44" s="146">
        <f t="shared" si="35"/>
        <v>14.5</v>
      </c>
      <c r="AT44" s="146">
        <f t="shared" si="35"/>
        <v>14.5</v>
      </c>
      <c r="AU44" s="146">
        <f t="shared" si="35"/>
        <v>15</v>
      </c>
      <c r="AV44" s="146">
        <f t="shared" si="35"/>
        <v>15.5</v>
      </c>
      <c r="AW44" s="146">
        <f t="shared" si="35"/>
        <v>16</v>
      </c>
      <c r="AX44" s="146">
        <f t="shared" si="35"/>
        <v>16</v>
      </c>
      <c r="AY44" s="146">
        <f t="shared" si="35"/>
        <v>16</v>
      </c>
      <c r="AZ44" s="146">
        <f t="shared" si="35"/>
        <v>17</v>
      </c>
      <c r="BA44" s="146">
        <f t="shared" si="35"/>
        <v>17.5</v>
      </c>
      <c r="BB44" s="146">
        <f t="shared" si="35"/>
        <v>18</v>
      </c>
      <c r="BC44" s="146">
        <f t="shared" si="35"/>
        <v>18</v>
      </c>
      <c r="BD44" s="146">
        <f t="shared" si="35"/>
        <v>18.5</v>
      </c>
      <c r="BE44" s="146">
        <f t="shared" si="35"/>
        <v>19</v>
      </c>
      <c r="BF44" s="146">
        <f t="shared" si="35"/>
        <v>19</v>
      </c>
      <c r="BG44" s="146">
        <f t="shared" si="35"/>
        <v>19.5</v>
      </c>
      <c r="BH44" s="146">
        <f t="shared" si="35"/>
        <v>20</v>
      </c>
      <c r="BI44" s="146">
        <f t="shared" si="35"/>
        <v>20</v>
      </c>
      <c r="BJ44" s="146">
        <f t="shared" si="35"/>
        <v>20.5</v>
      </c>
      <c r="BK44" s="146">
        <f t="shared" si="35"/>
        <v>20.5</v>
      </c>
      <c r="BL44" s="146">
        <f t="shared" si="35"/>
        <v>20.5</v>
      </c>
      <c r="BM44" s="146">
        <f t="shared" si="35"/>
        <v>21</v>
      </c>
      <c r="BN44" s="146">
        <f t="shared" si="35"/>
        <v>21</v>
      </c>
      <c r="BO44" s="146">
        <f t="shared" si="35"/>
        <v>21.5</v>
      </c>
      <c r="BP44" s="146">
        <f t="shared" si="35"/>
        <v>21.5</v>
      </c>
      <c r="BQ44" s="146">
        <f t="shared" si="35"/>
        <v>22</v>
      </c>
      <c r="BR44" s="146">
        <f t="shared" si="35"/>
        <v>22</v>
      </c>
      <c r="BS44" s="146">
        <f t="shared" si="35"/>
        <v>22.5</v>
      </c>
      <c r="BT44" s="146">
        <f t="shared" si="35"/>
        <v>22.5</v>
      </c>
      <c r="BU44" s="146">
        <f t="shared" si="35"/>
        <v>23</v>
      </c>
      <c r="BV44" s="146">
        <f t="shared" si="35"/>
        <v>23</v>
      </c>
      <c r="BW44" s="146">
        <f t="shared" si="35"/>
        <v>23.5</v>
      </c>
      <c r="BX44" s="146">
        <f t="shared" si="35"/>
        <v>24</v>
      </c>
      <c r="BY44" s="146">
        <f t="shared" si="35"/>
        <v>24.5</v>
      </c>
      <c r="BZ44" s="146">
        <f t="shared" si="35"/>
        <v>25</v>
      </c>
      <c r="CA44" s="146">
        <f t="shared" si="35"/>
        <v>25</v>
      </c>
      <c r="CB44" s="146">
        <f t="shared" si="35"/>
        <v>25.5</v>
      </c>
      <c r="CC44" s="146">
        <f t="shared" si="35"/>
        <v>25.5</v>
      </c>
      <c r="CD44" s="146">
        <f t="shared" si="35"/>
        <v>25.5</v>
      </c>
      <c r="CE44" s="146">
        <f t="shared" si="35"/>
        <v>26</v>
      </c>
      <c r="CF44" s="146">
        <f t="shared" si="35"/>
        <v>26</v>
      </c>
      <c r="CG44" s="146">
        <f t="shared" si="35"/>
        <v>26.5</v>
      </c>
      <c r="CH44" s="146">
        <f t="shared" si="35"/>
        <v>26.5</v>
      </c>
    </row>
    <row r="45" ht="15.75" customHeight="1">
      <c r="A45" s="1" t="s">
        <v>700</v>
      </c>
      <c r="M45" s="146"/>
      <c r="N45" s="146"/>
      <c r="O45" s="146"/>
      <c r="P45" s="146"/>
      <c r="Q45" s="146"/>
      <c r="R45" s="146"/>
      <c r="S45" s="146"/>
      <c r="T45" s="146"/>
      <c r="U45" s="146"/>
      <c r="V45" s="146"/>
      <c r="W45" s="146"/>
      <c r="X45" s="146"/>
      <c r="Y45" s="146">
        <f t="shared" ref="Y45:CH45" si="36">Y42-Y44</f>
        <v>-6</v>
      </c>
      <c r="Z45" s="146">
        <f t="shared" si="36"/>
        <v>-1.5</v>
      </c>
      <c r="AA45" s="146">
        <f t="shared" si="36"/>
        <v>0</v>
      </c>
      <c r="AB45" s="146">
        <f t="shared" si="36"/>
        <v>1</v>
      </c>
      <c r="AC45" s="146">
        <f t="shared" si="36"/>
        <v>2</v>
      </c>
      <c r="AD45" s="146">
        <f t="shared" si="36"/>
        <v>2</v>
      </c>
      <c r="AE45" s="146">
        <f t="shared" si="36"/>
        <v>2</v>
      </c>
      <c r="AF45" s="146">
        <f t="shared" si="36"/>
        <v>2</v>
      </c>
      <c r="AG45" s="146">
        <f t="shared" si="36"/>
        <v>2</v>
      </c>
      <c r="AH45" s="146">
        <f t="shared" si="36"/>
        <v>2</v>
      </c>
      <c r="AI45" s="146">
        <f t="shared" si="36"/>
        <v>2</v>
      </c>
      <c r="AJ45" s="146">
        <f t="shared" si="36"/>
        <v>2</v>
      </c>
      <c r="AK45" s="146">
        <f t="shared" si="36"/>
        <v>2</v>
      </c>
      <c r="AL45" s="146">
        <f t="shared" si="36"/>
        <v>1.5</v>
      </c>
      <c r="AM45" s="146">
        <f t="shared" si="36"/>
        <v>1</v>
      </c>
      <c r="AN45" s="146">
        <f t="shared" si="36"/>
        <v>0</v>
      </c>
      <c r="AO45" s="146">
        <f t="shared" si="36"/>
        <v>-0.5</v>
      </c>
      <c r="AP45" s="146">
        <f t="shared" si="36"/>
        <v>-0.5</v>
      </c>
      <c r="AQ45" s="146">
        <f t="shared" si="36"/>
        <v>-1</v>
      </c>
      <c r="AR45" s="146">
        <f t="shared" si="36"/>
        <v>-1</v>
      </c>
      <c r="AS45" s="146">
        <f t="shared" si="36"/>
        <v>-1.5</v>
      </c>
      <c r="AT45" s="146">
        <f t="shared" si="36"/>
        <v>-0.5</v>
      </c>
      <c r="AU45" s="146">
        <f t="shared" si="36"/>
        <v>-1</v>
      </c>
      <c r="AV45" s="146">
        <f t="shared" si="36"/>
        <v>-1.5</v>
      </c>
      <c r="AW45" s="146">
        <f t="shared" si="36"/>
        <v>-1</v>
      </c>
      <c r="AX45" s="146">
        <f t="shared" si="36"/>
        <v>-1</v>
      </c>
      <c r="AY45" s="146">
        <f t="shared" si="36"/>
        <v>-1</v>
      </c>
      <c r="AZ45" s="146">
        <f t="shared" si="36"/>
        <v>-2</v>
      </c>
      <c r="BA45" s="146">
        <f t="shared" si="36"/>
        <v>-1.5</v>
      </c>
      <c r="BB45" s="146">
        <f t="shared" si="36"/>
        <v>-1</v>
      </c>
      <c r="BC45" s="146">
        <f t="shared" si="36"/>
        <v>-1</v>
      </c>
      <c r="BD45" s="146">
        <f t="shared" si="36"/>
        <v>-1.5</v>
      </c>
      <c r="BE45" s="146">
        <f t="shared" si="36"/>
        <v>-1</v>
      </c>
      <c r="BF45" s="146">
        <f t="shared" si="36"/>
        <v>-1</v>
      </c>
      <c r="BG45" s="146">
        <f t="shared" si="36"/>
        <v>-1.5</v>
      </c>
      <c r="BH45" s="146">
        <f t="shared" si="36"/>
        <v>-1</v>
      </c>
      <c r="BI45" s="146">
        <f t="shared" si="36"/>
        <v>-1</v>
      </c>
      <c r="BJ45" s="146">
        <f t="shared" si="36"/>
        <v>-1.5</v>
      </c>
      <c r="BK45" s="146">
        <f t="shared" si="36"/>
        <v>-0.5</v>
      </c>
      <c r="BL45" s="146">
        <f t="shared" si="36"/>
        <v>-0.5</v>
      </c>
      <c r="BM45" s="146">
        <f t="shared" si="36"/>
        <v>-1</v>
      </c>
      <c r="BN45" s="146">
        <f t="shared" si="36"/>
        <v>-1</v>
      </c>
      <c r="BO45" s="146">
        <f t="shared" si="36"/>
        <v>-1.5</v>
      </c>
      <c r="BP45" s="146">
        <f t="shared" si="36"/>
        <v>-0.5</v>
      </c>
      <c r="BQ45" s="146">
        <f t="shared" si="36"/>
        <v>-1</v>
      </c>
      <c r="BR45" s="146">
        <f t="shared" si="36"/>
        <v>-1</v>
      </c>
      <c r="BS45" s="146">
        <f t="shared" si="36"/>
        <v>-1.5</v>
      </c>
      <c r="BT45" s="146">
        <f t="shared" si="36"/>
        <v>-0.5</v>
      </c>
      <c r="BU45" s="146">
        <f t="shared" si="36"/>
        <v>-1</v>
      </c>
      <c r="BV45" s="146">
        <f t="shared" si="36"/>
        <v>-1</v>
      </c>
      <c r="BW45" s="146">
        <f t="shared" si="36"/>
        <v>-1.5</v>
      </c>
      <c r="BX45" s="146">
        <f t="shared" si="36"/>
        <v>-1</v>
      </c>
      <c r="BY45" s="146">
        <f t="shared" si="36"/>
        <v>-1.5</v>
      </c>
      <c r="BZ45" s="146">
        <f t="shared" si="36"/>
        <v>-1</v>
      </c>
      <c r="CA45" s="146">
        <f t="shared" si="36"/>
        <v>-1</v>
      </c>
      <c r="CB45" s="146">
        <f t="shared" si="36"/>
        <v>-1.5</v>
      </c>
      <c r="CC45" s="146">
        <f t="shared" si="36"/>
        <v>-0.5</v>
      </c>
      <c r="CD45" s="146">
        <f t="shared" si="36"/>
        <v>-0.5</v>
      </c>
      <c r="CE45" s="146">
        <f t="shared" si="36"/>
        <v>-1</v>
      </c>
      <c r="CF45" s="146">
        <f t="shared" si="36"/>
        <v>-1</v>
      </c>
      <c r="CG45" s="146">
        <f t="shared" si="36"/>
        <v>-1.5</v>
      </c>
      <c r="CH45" s="146">
        <f t="shared" si="36"/>
        <v>-0.5</v>
      </c>
    </row>
    <row r="46" ht="15.75" customHeight="1">
      <c r="A46" s="1" t="s">
        <v>701</v>
      </c>
      <c r="M46" s="146"/>
      <c r="N46" s="146"/>
      <c r="O46" s="146"/>
      <c r="P46" s="146"/>
      <c r="Q46" s="146"/>
      <c r="R46" s="146"/>
      <c r="S46" s="146"/>
      <c r="T46" s="146"/>
      <c r="U46" s="146"/>
      <c r="V46" s="146"/>
      <c r="W46" s="146"/>
      <c r="X46" s="244"/>
      <c r="Y46" s="244">
        <v>5.0</v>
      </c>
      <c r="Z46" s="244">
        <v>2.0</v>
      </c>
      <c r="AA46" s="244">
        <v>1.0</v>
      </c>
      <c r="AB46" s="244">
        <v>1.0</v>
      </c>
      <c r="AC46" s="144">
        <f t="shared" ref="AC46:CH46" si="37">IF(AC45&lt;-1,1,0)</f>
        <v>0</v>
      </c>
      <c r="AD46" s="144">
        <f t="shared" si="37"/>
        <v>0</v>
      </c>
      <c r="AE46" s="144">
        <f t="shared" si="37"/>
        <v>0</v>
      </c>
      <c r="AF46" s="144">
        <f t="shared" si="37"/>
        <v>0</v>
      </c>
      <c r="AG46" s="144">
        <f t="shared" si="37"/>
        <v>0</v>
      </c>
      <c r="AH46" s="144">
        <f t="shared" si="37"/>
        <v>0</v>
      </c>
      <c r="AI46" s="144">
        <f t="shared" si="37"/>
        <v>0</v>
      </c>
      <c r="AJ46" s="144">
        <f t="shared" si="37"/>
        <v>0</v>
      </c>
      <c r="AK46" s="144">
        <f t="shared" si="37"/>
        <v>0</v>
      </c>
      <c r="AL46" s="144">
        <f t="shared" si="37"/>
        <v>0</v>
      </c>
      <c r="AM46" s="144">
        <f t="shared" si="37"/>
        <v>0</v>
      </c>
      <c r="AN46" s="144">
        <f t="shared" si="37"/>
        <v>0</v>
      </c>
      <c r="AO46" s="144">
        <f t="shared" si="37"/>
        <v>0</v>
      </c>
      <c r="AP46" s="144">
        <f t="shared" si="37"/>
        <v>0</v>
      </c>
      <c r="AQ46" s="144">
        <f t="shared" si="37"/>
        <v>0</v>
      </c>
      <c r="AR46" s="144">
        <f t="shared" si="37"/>
        <v>0</v>
      </c>
      <c r="AS46" s="144">
        <f t="shared" si="37"/>
        <v>1</v>
      </c>
      <c r="AT46" s="144">
        <f t="shared" si="37"/>
        <v>0</v>
      </c>
      <c r="AU46" s="144">
        <f t="shared" si="37"/>
        <v>0</v>
      </c>
      <c r="AV46" s="144">
        <f t="shared" si="37"/>
        <v>1</v>
      </c>
      <c r="AW46" s="144">
        <f t="shared" si="37"/>
        <v>0</v>
      </c>
      <c r="AX46" s="144">
        <f t="shared" si="37"/>
        <v>0</v>
      </c>
      <c r="AY46" s="144">
        <f t="shared" si="37"/>
        <v>0</v>
      </c>
      <c r="AZ46" s="144">
        <f t="shared" si="37"/>
        <v>1</v>
      </c>
      <c r="BA46" s="144">
        <f t="shared" si="37"/>
        <v>1</v>
      </c>
      <c r="BB46" s="144">
        <f t="shared" si="37"/>
        <v>0</v>
      </c>
      <c r="BC46" s="144">
        <f t="shared" si="37"/>
        <v>0</v>
      </c>
      <c r="BD46" s="144">
        <f t="shared" si="37"/>
        <v>1</v>
      </c>
      <c r="BE46" s="144">
        <f t="shared" si="37"/>
        <v>0</v>
      </c>
      <c r="BF46" s="144">
        <f t="shared" si="37"/>
        <v>0</v>
      </c>
      <c r="BG46" s="144">
        <f t="shared" si="37"/>
        <v>1</v>
      </c>
      <c r="BH46" s="144">
        <f t="shared" si="37"/>
        <v>0</v>
      </c>
      <c r="BI46" s="144">
        <f t="shared" si="37"/>
        <v>0</v>
      </c>
      <c r="BJ46" s="144">
        <f t="shared" si="37"/>
        <v>1</v>
      </c>
      <c r="BK46" s="144">
        <f t="shared" si="37"/>
        <v>0</v>
      </c>
      <c r="BL46" s="144">
        <f t="shared" si="37"/>
        <v>0</v>
      </c>
      <c r="BM46" s="144">
        <f t="shared" si="37"/>
        <v>0</v>
      </c>
      <c r="BN46" s="144">
        <f t="shared" si="37"/>
        <v>0</v>
      </c>
      <c r="BO46" s="144">
        <f t="shared" si="37"/>
        <v>1</v>
      </c>
      <c r="BP46" s="144">
        <f t="shared" si="37"/>
        <v>0</v>
      </c>
      <c r="BQ46" s="144">
        <f t="shared" si="37"/>
        <v>0</v>
      </c>
      <c r="BR46" s="144">
        <f t="shared" si="37"/>
        <v>0</v>
      </c>
      <c r="BS46" s="144">
        <f t="shared" si="37"/>
        <v>1</v>
      </c>
      <c r="BT46" s="144">
        <f t="shared" si="37"/>
        <v>0</v>
      </c>
      <c r="BU46" s="144">
        <f t="shared" si="37"/>
        <v>0</v>
      </c>
      <c r="BV46" s="144">
        <f t="shared" si="37"/>
        <v>0</v>
      </c>
      <c r="BW46" s="144">
        <f t="shared" si="37"/>
        <v>1</v>
      </c>
      <c r="BX46" s="144">
        <f t="shared" si="37"/>
        <v>0</v>
      </c>
      <c r="BY46" s="144">
        <f t="shared" si="37"/>
        <v>1</v>
      </c>
      <c r="BZ46" s="144">
        <f t="shared" si="37"/>
        <v>0</v>
      </c>
      <c r="CA46" s="144">
        <f t="shared" si="37"/>
        <v>0</v>
      </c>
      <c r="CB46" s="144">
        <f t="shared" si="37"/>
        <v>1</v>
      </c>
      <c r="CC46" s="144">
        <f t="shared" si="37"/>
        <v>0</v>
      </c>
      <c r="CD46" s="144">
        <f t="shared" si="37"/>
        <v>0</v>
      </c>
      <c r="CE46" s="144">
        <f t="shared" si="37"/>
        <v>0</v>
      </c>
      <c r="CF46" s="144">
        <f t="shared" si="37"/>
        <v>0</v>
      </c>
      <c r="CG46" s="144">
        <f t="shared" si="37"/>
        <v>1</v>
      </c>
      <c r="CH46" s="144">
        <f t="shared" si="37"/>
        <v>0</v>
      </c>
    </row>
    <row r="47" ht="15.75" customHeight="1">
      <c r="A47" s="1" t="s">
        <v>702</v>
      </c>
      <c r="M47" s="146"/>
      <c r="N47" s="146"/>
      <c r="O47" s="146"/>
      <c r="P47" s="146"/>
      <c r="Q47" s="146"/>
      <c r="R47" s="146"/>
      <c r="S47" s="146"/>
      <c r="T47" s="146"/>
      <c r="U47" s="146"/>
      <c r="V47" s="146"/>
      <c r="W47" s="146"/>
      <c r="X47" s="244"/>
      <c r="Y47" s="244">
        <v>5.0</v>
      </c>
      <c r="Z47" s="244">
        <f>Z46</f>
        <v>2</v>
      </c>
      <c r="AA47" s="244">
        <v>1.0</v>
      </c>
      <c r="AB47" s="244">
        <f t="shared" ref="AB47:CH47" si="38">AB46</f>
        <v>1</v>
      </c>
      <c r="AC47" s="144">
        <f t="shared" si="38"/>
        <v>0</v>
      </c>
      <c r="AD47" s="144">
        <f t="shared" si="38"/>
        <v>0</v>
      </c>
      <c r="AE47" s="144">
        <f t="shared" si="38"/>
        <v>0</v>
      </c>
      <c r="AF47" s="144">
        <f t="shared" si="38"/>
        <v>0</v>
      </c>
      <c r="AG47" s="144">
        <f t="shared" si="38"/>
        <v>0</v>
      </c>
      <c r="AH47" s="144">
        <f t="shared" si="38"/>
        <v>0</v>
      </c>
      <c r="AI47" s="144">
        <f t="shared" si="38"/>
        <v>0</v>
      </c>
      <c r="AJ47" s="144">
        <f t="shared" si="38"/>
        <v>0</v>
      </c>
      <c r="AK47" s="144">
        <f t="shared" si="38"/>
        <v>0</v>
      </c>
      <c r="AL47" s="144">
        <f t="shared" si="38"/>
        <v>0</v>
      </c>
      <c r="AM47" s="144">
        <f t="shared" si="38"/>
        <v>0</v>
      </c>
      <c r="AN47" s="144">
        <f t="shared" si="38"/>
        <v>0</v>
      </c>
      <c r="AO47" s="144">
        <f t="shared" si="38"/>
        <v>0</v>
      </c>
      <c r="AP47" s="144">
        <f t="shared" si="38"/>
        <v>0</v>
      </c>
      <c r="AQ47" s="144">
        <f t="shared" si="38"/>
        <v>0</v>
      </c>
      <c r="AR47" s="144">
        <f t="shared" si="38"/>
        <v>0</v>
      </c>
      <c r="AS47" s="144">
        <f t="shared" si="38"/>
        <v>1</v>
      </c>
      <c r="AT47" s="144">
        <f t="shared" si="38"/>
        <v>0</v>
      </c>
      <c r="AU47" s="144">
        <f t="shared" si="38"/>
        <v>0</v>
      </c>
      <c r="AV47" s="144">
        <f t="shared" si="38"/>
        <v>1</v>
      </c>
      <c r="AW47" s="144">
        <f t="shared" si="38"/>
        <v>0</v>
      </c>
      <c r="AX47" s="144">
        <f t="shared" si="38"/>
        <v>0</v>
      </c>
      <c r="AY47" s="144">
        <f t="shared" si="38"/>
        <v>0</v>
      </c>
      <c r="AZ47" s="144">
        <f t="shared" si="38"/>
        <v>1</v>
      </c>
      <c r="BA47" s="144">
        <f t="shared" si="38"/>
        <v>1</v>
      </c>
      <c r="BB47" s="144">
        <f t="shared" si="38"/>
        <v>0</v>
      </c>
      <c r="BC47" s="144">
        <f t="shared" si="38"/>
        <v>0</v>
      </c>
      <c r="BD47" s="144">
        <f t="shared" si="38"/>
        <v>1</v>
      </c>
      <c r="BE47" s="144">
        <f t="shared" si="38"/>
        <v>0</v>
      </c>
      <c r="BF47" s="144">
        <f t="shared" si="38"/>
        <v>0</v>
      </c>
      <c r="BG47" s="144">
        <f t="shared" si="38"/>
        <v>1</v>
      </c>
      <c r="BH47" s="144">
        <f t="shared" si="38"/>
        <v>0</v>
      </c>
      <c r="BI47" s="144">
        <f t="shared" si="38"/>
        <v>0</v>
      </c>
      <c r="BJ47" s="144">
        <f t="shared" si="38"/>
        <v>1</v>
      </c>
      <c r="BK47" s="144">
        <f t="shared" si="38"/>
        <v>0</v>
      </c>
      <c r="BL47" s="144">
        <f t="shared" si="38"/>
        <v>0</v>
      </c>
      <c r="BM47" s="144">
        <f t="shared" si="38"/>
        <v>0</v>
      </c>
      <c r="BN47" s="144">
        <f t="shared" si="38"/>
        <v>0</v>
      </c>
      <c r="BO47" s="144">
        <f t="shared" si="38"/>
        <v>1</v>
      </c>
      <c r="BP47" s="144">
        <f t="shared" si="38"/>
        <v>0</v>
      </c>
      <c r="BQ47" s="144">
        <f t="shared" si="38"/>
        <v>0</v>
      </c>
      <c r="BR47" s="144">
        <f t="shared" si="38"/>
        <v>0</v>
      </c>
      <c r="BS47" s="144">
        <f t="shared" si="38"/>
        <v>1</v>
      </c>
      <c r="BT47" s="144">
        <f t="shared" si="38"/>
        <v>0</v>
      </c>
      <c r="BU47" s="144">
        <f t="shared" si="38"/>
        <v>0</v>
      </c>
      <c r="BV47" s="144">
        <f t="shared" si="38"/>
        <v>0</v>
      </c>
      <c r="BW47" s="144">
        <f t="shared" si="38"/>
        <v>1</v>
      </c>
      <c r="BX47" s="144">
        <f t="shared" si="38"/>
        <v>0</v>
      </c>
      <c r="BY47" s="144">
        <f t="shared" si="38"/>
        <v>1</v>
      </c>
      <c r="BZ47" s="144">
        <f t="shared" si="38"/>
        <v>0</v>
      </c>
      <c r="CA47" s="144">
        <f t="shared" si="38"/>
        <v>0</v>
      </c>
      <c r="CB47" s="144">
        <f t="shared" si="38"/>
        <v>1</v>
      </c>
      <c r="CC47" s="144">
        <f t="shared" si="38"/>
        <v>0</v>
      </c>
      <c r="CD47" s="144">
        <f t="shared" si="38"/>
        <v>0</v>
      </c>
      <c r="CE47" s="144">
        <f t="shared" si="38"/>
        <v>0</v>
      </c>
      <c r="CF47" s="144">
        <f t="shared" si="38"/>
        <v>0</v>
      </c>
      <c r="CG47" s="144">
        <f t="shared" si="38"/>
        <v>1</v>
      </c>
      <c r="CH47" s="144">
        <f t="shared" si="38"/>
        <v>0</v>
      </c>
    </row>
    <row r="48" ht="15.75" customHeight="1">
      <c r="M48" s="146"/>
      <c r="N48" s="146"/>
      <c r="O48" s="146"/>
      <c r="P48" s="146"/>
      <c r="Q48" s="146"/>
      <c r="R48" s="146"/>
      <c r="S48" s="146"/>
      <c r="T48" s="146" t="s">
        <v>93</v>
      </c>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row>
    <row r="49" ht="15.75" customHeight="1">
      <c r="A49" s="1"/>
      <c r="M49" s="242"/>
      <c r="N49" s="242"/>
      <c r="O49" s="242"/>
      <c r="P49" s="242"/>
      <c r="Q49" s="242"/>
      <c r="R49" s="242"/>
      <c r="S49" s="242"/>
      <c r="T49" s="242"/>
      <c r="U49" s="242"/>
      <c r="V49" s="242"/>
      <c r="W49" s="242"/>
      <c r="X49" s="242"/>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46"/>
      <c r="BU49" s="146"/>
      <c r="BV49" s="146"/>
      <c r="BW49" s="146"/>
      <c r="BX49" s="146"/>
      <c r="BY49" s="146"/>
      <c r="BZ49" s="146"/>
      <c r="CA49" s="146"/>
      <c r="CB49" s="146"/>
      <c r="CC49" s="146"/>
      <c r="CD49" s="146"/>
      <c r="CE49" s="146"/>
      <c r="CF49" s="146"/>
      <c r="CG49" s="146"/>
      <c r="CH49" s="146"/>
    </row>
    <row r="50" ht="15.75" customHeight="1">
      <c r="A50" s="1" t="s">
        <v>705</v>
      </c>
      <c r="M50" s="242">
        <v>5.0</v>
      </c>
      <c r="N50" s="242">
        <v>5.0</v>
      </c>
      <c r="O50" s="242">
        <v>5.0</v>
      </c>
      <c r="P50" s="242">
        <v>5.0</v>
      </c>
      <c r="Q50" s="242">
        <v>5.0</v>
      </c>
      <c r="R50" s="242">
        <v>5.0</v>
      </c>
      <c r="S50" s="242">
        <v>5.0</v>
      </c>
      <c r="T50" s="242">
        <v>5.0</v>
      </c>
      <c r="U50" s="242">
        <v>5.0</v>
      </c>
      <c r="V50" s="242">
        <v>5.0</v>
      </c>
      <c r="W50" s="242">
        <v>5.0</v>
      </c>
      <c r="X50" s="242">
        <v>5.0</v>
      </c>
      <c r="Y50" s="242">
        <v>5.0</v>
      </c>
      <c r="Z50" s="146">
        <f t="shared" ref="Z50:CH50" si="39">Y50+Y54</f>
        <v>5</v>
      </c>
      <c r="AA50" s="146">
        <f t="shared" si="39"/>
        <v>5</v>
      </c>
      <c r="AB50" s="146">
        <f t="shared" si="39"/>
        <v>5</v>
      </c>
      <c r="AC50" s="146">
        <f t="shared" si="39"/>
        <v>5</v>
      </c>
      <c r="AD50" s="146">
        <f t="shared" si="39"/>
        <v>5</v>
      </c>
      <c r="AE50" s="146">
        <f t="shared" si="39"/>
        <v>5</v>
      </c>
      <c r="AF50" s="146">
        <f t="shared" si="39"/>
        <v>5</v>
      </c>
      <c r="AG50" s="146">
        <f t="shared" si="39"/>
        <v>5</v>
      </c>
      <c r="AH50" s="146">
        <f t="shared" si="39"/>
        <v>5</v>
      </c>
      <c r="AI50" s="146">
        <f t="shared" si="39"/>
        <v>5</v>
      </c>
      <c r="AJ50" s="146">
        <f t="shared" si="39"/>
        <v>5</v>
      </c>
      <c r="AK50" s="146">
        <f t="shared" si="39"/>
        <v>5</v>
      </c>
      <c r="AL50" s="146">
        <f t="shared" si="39"/>
        <v>5</v>
      </c>
      <c r="AM50" s="146">
        <f t="shared" si="39"/>
        <v>5</v>
      </c>
      <c r="AN50" s="146">
        <f t="shared" si="39"/>
        <v>5</v>
      </c>
      <c r="AO50" s="146">
        <f t="shared" si="39"/>
        <v>5</v>
      </c>
      <c r="AP50" s="146">
        <f t="shared" si="39"/>
        <v>5</v>
      </c>
      <c r="AQ50" s="146">
        <f t="shared" si="39"/>
        <v>5</v>
      </c>
      <c r="AR50" s="146">
        <f t="shared" si="39"/>
        <v>5</v>
      </c>
      <c r="AS50" s="146">
        <f t="shared" si="39"/>
        <v>5</v>
      </c>
      <c r="AT50" s="146">
        <f t="shared" si="39"/>
        <v>6</v>
      </c>
      <c r="AU50" s="146">
        <f t="shared" si="39"/>
        <v>6</v>
      </c>
      <c r="AV50" s="146">
        <f t="shared" si="39"/>
        <v>6</v>
      </c>
      <c r="AW50" s="146">
        <f t="shared" si="39"/>
        <v>6</v>
      </c>
      <c r="AX50" s="146">
        <f t="shared" si="39"/>
        <v>6</v>
      </c>
      <c r="AY50" s="146">
        <f t="shared" si="39"/>
        <v>6</v>
      </c>
      <c r="AZ50" s="146">
        <f t="shared" si="39"/>
        <v>6</v>
      </c>
      <c r="BA50" s="146">
        <f t="shared" si="39"/>
        <v>6</v>
      </c>
      <c r="BB50" s="146">
        <f t="shared" si="39"/>
        <v>7</v>
      </c>
      <c r="BC50" s="146">
        <f t="shared" si="39"/>
        <v>7</v>
      </c>
      <c r="BD50" s="146">
        <f t="shared" si="39"/>
        <v>7</v>
      </c>
      <c r="BE50" s="146">
        <f t="shared" si="39"/>
        <v>7</v>
      </c>
      <c r="BF50" s="146">
        <f t="shared" si="39"/>
        <v>7</v>
      </c>
      <c r="BG50" s="146">
        <f t="shared" si="39"/>
        <v>7</v>
      </c>
      <c r="BH50" s="146">
        <f t="shared" si="39"/>
        <v>7</v>
      </c>
      <c r="BI50" s="146">
        <f t="shared" si="39"/>
        <v>7</v>
      </c>
      <c r="BJ50" s="146">
        <f t="shared" si="39"/>
        <v>7</v>
      </c>
      <c r="BK50" s="146">
        <f t="shared" si="39"/>
        <v>8</v>
      </c>
      <c r="BL50" s="146">
        <f t="shared" si="39"/>
        <v>8</v>
      </c>
      <c r="BM50" s="146">
        <f t="shared" si="39"/>
        <v>8</v>
      </c>
      <c r="BN50" s="146">
        <f t="shared" si="39"/>
        <v>8</v>
      </c>
      <c r="BO50" s="146">
        <f t="shared" si="39"/>
        <v>8</v>
      </c>
      <c r="BP50" s="146">
        <f t="shared" si="39"/>
        <v>8</v>
      </c>
      <c r="BQ50" s="146">
        <f t="shared" si="39"/>
        <v>8</v>
      </c>
      <c r="BR50" s="146">
        <f t="shared" si="39"/>
        <v>8</v>
      </c>
      <c r="BS50" s="146">
        <f t="shared" si="39"/>
        <v>8</v>
      </c>
      <c r="BT50" s="146">
        <f t="shared" si="39"/>
        <v>8</v>
      </c>
      <c r="BU50" s="146">
        <f t="shared" si="39"/>
        <v>8</v>
      </c>
      <c r="BV50" s="146">
        <f t="shared" si="39"/>
        <v>8</v>
      </c>
      <c r="BW50" s="146">
        <f t="shared" si="39"/>
        <v>8</v>
      </c>
      <c r="BX50" s="146">
        <f t="shared" si="39"/>
        <v>9</v>
      </c>
      <c r="BY50" s="146">
        <f t="shared" si="39"/>
        <v>9</v>
      </c>
      <c r="BZ50" s="146">
        <f t="shared" si="39"/>
        <v>9</v>
      </c>
      <c r="CA50" s="146">
        <f t="shared" si="39"/>
        <v>9</v>
      </c>
      <c r="CB50" s="146">
        <f t="shared" si="39"/>
        <v>9</v>
      </c>
      <c r="CC50" s="146">
        <f t="shared" si="39"/>
        <v>9</v>
      </c>
      <c r="CD50" s="146">
        <f t="shared" si="39"/>
        <v>9</v>
      </c>
      <c r="CE50" s="146">
        <f t="shared" si="39"/>
        <v>9</v>
      </c>
      <c r="CF50" s="146">
        <f t="shared" si="39"/>
        <v>9</v>
      </c>
      <c r="CG50" s="146">
        <f t="shared" si="39"/>
        <v>9</v>
      </c>
      <c r="CH50" s="146">
        <f t="shared" si="39"/>
        <v>10</v>
      </c>
    </row>
    <row r="51" ht="15.75" customHeight="1">
      <c r="A51" s="1" t="s">
        <v>706</v>
      </c>
      <c r="M51" s="471">
        <v>5.5</v>
      </c>
      <c r="N51" s="472">
        <f>M51</f>
        <v>5.5</v>
      </c>
      <c r="O51" s="173">
        <v>6.0</v>
      </c>
      <c r="P51" s="472">
        <f t="shared" ref="P51:CH51" si="40">O51</f>
        <v>6</v>
      </c>
      <c r="Q51" s="472">
        <f t="shared" si="40"/>
        <v>6</v>
      </c>
      <c r="R51" s="472">
        <f t="shared" si="40"/>
        <v>6</v>
      </c>
      <c r="S51" s="472">
        <f t="shared" si="40"/>
        <v>6</v>
      </c>
      <c r="T51" s="472">
        <f t="shared" si="40"/>
        <v>6</v>
      </c>
      <c r="U51" s="472">
        <f t="shared" si="40"/>
        <v>6</v>
      </c>
      <c r="V51" s="472">
        <f t="shared" si="40"/>
        <v>6</v>
      </c>
      <c r="W51" s="472">
        <f t="shared" si="40"/>
        <v>6</v>
      </c>
      <c r="X51" s="472">
        <f t="shared" si="40"/>
        <v>6</v>
      </c>
      <c r="Y51" s="472">
        <f t="shared" si="40"/>
        <v>6</v>
      </c>
      <c r="Z51" s="472">
        <f t="shared" si="40"/>
        <v>6</v>
      </c>
      <c r="AA51" s="472">
        <f t="shared" si="40"/>
        <v>6</v>
      </c>
      <c r="AB51" s="472">
        <f t="shared" si="40"/>
        <v>6</v>
      </c>
      <c r="AC51" s="472">
        <f t="shared" si="40"/>
        <v>6</v>
      </c>
      <c r="AD51" s="472">
        <f t="shared" si="40"/>
        <v>6</v>
      </c>
      <c r="AE51" s="472">
        <f t="shared" si="40"/>
        <v>6</v>
      </c>
      <c r="AF51" s="472">
        <f t="shared" si="40"/>
        <v>6</v>
      </c>
      <c r="AG51" s="472">
        <f t="shared" si="40"/>
        <v>6</v>
      </c>
      <c r="AH51" s="472">
        <f t="shared" si="40"/>
        <v>6</v>
      </c>
      <c r="AI51" s="472">
        <f t="shared" si="40"/>
        <v>6</v>
      </c>
      <c r="AJ51" s="472">
        <f t="shared" si="40"/>
        <v>6</v>
      </c>
      <c r="AK51" s="472">
        <f t="shared" si="40"/>
        <v>6</v>
      </c>
      <c r="AL51" s="472">
        <f t="shared" si="40"/>
        <v>6</v>
      </c>
      <c r="AM51" s="472">
        <f t="shared" si="40"/>
        <v>6</v>
      </c>
      <c r="AN51" s="472">
        <f t="shared" si="40"/>
        <v>6</v>
      </c>
      <c r="AO51" s="472">
        <f t="shared" si="40"/>
        <v>6</v>
      </c>
      <c r="AP51" s="472">
        <f t="shared" si="40"/>
        <v>6</v>
      </c>
      <c r="AQ51" s="472">
        <f t="shared" si="40"/>
        <v>6</v>
      </c>
      <c r="AR51" s="472">
        <f t="shared" si="40"/>
        <v>6</v>
      </c>
      <c r="AS51" s="472">
        <f t="shared" si="40"/>
        <v>6</v>
      </c>
      <c r="AT51" s="472">
        <f t="shared" si="40"/>
        <v>6</v>
      </c>
      <c r="AU51" s="472">
        <f t="shared" si="40"/>
        <v>6</v>
      </c>
      <c r="AV51" s="472">
        <f t="shared" si="40"/>
        <v>6</v>
      </c>
      <c r="AW51" s="472">
        <f t="shared" si="40"/>
        <v>6</v>
      </c>
      <c r="AX51" s="472">
        <f t="shared" si="40"/>
        <v>6</v>
      </c>
      <c r="AY51" s="472">
        <f t="shared" si="40"/>
        <v>6</v>
      </c>
      <c r="AZ51" s="472">
        <f t="shared" si="40"/>
        <v>6</v>
      </c>
      <c r="BA51" s="472">
        <f t="shared" si="40"/>
        <v>6</v>
      </c>
      <c r="BB51" s="472">
        <f t="shared" si="40"/>
        <v>6</v>
      </c>
      <c r="BC51" s="472">
        <f t="shared" si="40"/>
        <v>6</v>
      </c>
      <c r="BD51" s="472">
        <f t="shared" si="40"/>
        <v>6</v>
      </c>
      <c r="BE51" s="472">
        <f t="shared" si="40"/>
        <v>6</v>
      </c>
      <c r="BF51" s="472">
        <f t="shared" si="40"/>
        <v>6</v>
      </c>
      <c r="BG51" s="472">
        <f t="shared" si="40"/>
        <v>6</v>
      </c>
      <c r="BH51" s="472">
        <f t="shared" si="40"/>
        <v>6</v>
      </c>
      <c r="BI51" s="472">
        <f t="shared" si="40"/>
        <v>6</v>
      </c>
      <c r="BJ51" s="472">
        <f t="shared" si="40"/>
        <v>6</v>
      </c>
      <c r="BK51" s="472">
        <f t="shared" si="40"/>
        <v>6</v>
      </c>
      <c r="BL51" s="472">
        <f t="shared" si="40"/>
        <v>6</v>
      </c>
      <c r="BM51" s="472">
        <f t="shared" si="40"/>
        <v>6</v>
      </c>
      <c r="BN51" s="472">
        <f t="shared" si="40"/>
        <v>6</v>
      </c>
      <c r="BO51" s="472">
        <f t="shared" si="40"/>
        <v>6</v>
      </c>
      <c r="BP51" s="472">
        <f t="shared" si="40"/>
        <v>6</v>
      </c>
      <c r="BQ51" s="472">
        <f t="shared" si="40"/>
        <v>6</v>
      </c>
      <c r="BR51" s="472">
        <f t="shared" si="40"/>
        <v>6</v>
      </c>
      <c r="BS51" s="472">
        <f t="shared" si="40"/>
        <v>6</v>
      </c>
      <c r="BT51" s="472">
        <f t="shared" si="40"/>
        <v>6</v>
      </c>
      <c r="BU51" s="472">
        <f t="shared" si="40"/>
        <v>6</v>
      </c>
      <c r="BV51" s="472">
        <f t="shared" si="40"/>
        <v>6</v>
      </c>
      <c r="BW51" s="472">
        <f t="shared" si="40"/>
        <v>6</v>
      </c>
      <c r="BX51" s="472">
        <f t="shared" si="40"/>
        <v>6</v>
      </c>
      <c r="BY51" s="472">
        <f t="shared" si="40"/>
        <v>6</v>
      </c>
      <c r="BZ51" s="472">
        <f t="shared" si="40"/>
        <v>6</v>
      </c>
      <c r="CA51" s="472">
        <f t="shared" si="40"/>
        <v>6</v>
      </c>
      <c r="CB51" s="472">
        <f t="shared" si="40"/>
        <v>6</v>
      </c>
      <c r="CC51" s="472">
        <f t="shared" si="40"/>
        <v>6</v>
      </c>
      <c r="CD51" s="472">
        <f t="shared" si="40"/>
        <v>6</v>
      </c>
      <c r="CE51" s="472">
        <f t="shared" si="40"/>
        <v>6</v>
      </c>
      <c r="CF51" s="472">
        <f t="shared" si="40"/>
        <v>6</v>
      </c>
      <c r="CG51" s="472">
        <f t="shared" si="40"/>
        <v>6</v>
      </c>
      <c r="CH51" s="472">
        <f t="shared" si="40"/>
        <v>6</v>
      </c>
    </row>
    <row r="52" ht="15.75" customHeight="1">
      <c r="A52" s="1" t="s">
        <v>698</v>
      </c>
      <c r="M52" s="146">
        <f t="shared" ref="M52:CH52" si="41">M50*M51</f>
        <v>27.5</v>
      </c>
      <c r="N52" s="146">
        <f t="shared" si="41"/>
        <v>27.5</v>
      </c>
      <c r="O52" s="146">
        <f t="shared" si="41"/>
        <v>30</v>
      </c>
      <c r="P52" s="146">
        <f t="shared" si="41"/>
        <v>30</v>
      </c>
      <c r="Q52" s="146">
        <f t="shared" si="41"/>
        <v>30</v>
      </c>
      <c r="R52" s="146">
        <f t="shared" si="41"/>
        <v>30</v>
      </c>
      <c r="S52" s="146">
        <f t="shared" si="41"/>
        <v>30</v>
      </c>
      <c r="T52" s="146">
        <f t="shared" si="41"/>
        <v>30</v>
      </c>
      <c r="U52" s="146">
        <f t="shared" si="41"/>
        <v>30</v>
      </c>
      <c r="V52" s="146">
        <f t="shared" si="41"/>
        <v>30</v>
      </c>
      <c r="W52" s="146">
        <f t="shared" si="41"/>
        <v>30</v>
      </c>
      <c r="X52" s="146">
        <f t="shared" si="41"/>
        <v>30</v>
      </c>
      <c r="Y52" s="146">
        <f t="shared" si="41"/>
        <v>30</v>
      </c>
      <c r="Z52" s="146">
        <f t="shared" si="41"/>
        <v>30</v>
      </c>
      <c r="AA52" s="146">
        <f t="shared" si="41"/>
        <v>30</v>
      </c>
      <c r="AB52" s="146">
        <f t="shared" si="41"/>
        <v>30</v>
      </c>
      <c r="AC52" s="146">
        <f t="shared" si="41"/>
        <v>30</v>
      </c>
      <c r="AD52" s="146">
        <f t="shared" si="41"/>
        <v>30</v>
      </c>
      <c r="AE52" s="146">
        <f t="shared" si="41"/>
        <v>30</v>
      </c>
      <c r="AF52" s="146">
        <f t="shared" si="41"/>
        <v>30</v>
      </c>
      <c r="AG52" s="146">
        <f t="shared" si="41"/>
        <v>30</v>
      </c>
      <c r="AH52" s="146">
        <f t="shared" si="41"/>
        <v>30</v>
      </c>
      <c r="AI52" s="146">
        <f t="shared" si="41"/>
        <v>30</v>
      </c>
      <c r="AJ52" s="146">
        <f t="shared" si="41"/>
        <v>30</v>
      </c>
      <c r="AK52" s="146">
        <f t="shared" si="41"/>
        <v>30</v>
      </c>
      <c r="AL52" s="146">
        <f t="shared" si="41"/>
        <v>30</v>
      </c>
      <c r="AM52" s="146">
        <f t="shared" si="41"/>
        <v>30</v>
      </c>
      <c r="AN52" s="146">
        <f t="shared" si="41"/>
        <v>30</v>
      </c>
      <c r="AO52" s="146">
        <f t="shared" si="41"/>
        <v>30</v>
      </c>
      <c r="AP52" s="146">
        <f t="shared" si="41"/>
        <v>30</v>
      </c>
      <c r="AQ52" s="146">
        <f t="shared" si="41"/>
        <v>30</v>
      </c>
      <c r="AR52" s="146">
        <f t="shared" si="41"/>
        <v>30</v>
      </c>
      <c r="AS52" s="146">
        <f t="shared" si="41"/>
        <v>30</v>
      </c>
      <c r="AT52" s="146">
        <f t="shared" si="41"/>
        <v>36</v>
      </c>
      <c r="AU52" s="146">
        <f t="shared" si="41"/>
        <v>36</v>
      </c>
      <c r="AV52" s="146">
        <f t="shared" si="41"/>
        <v>36</v>
      </c>
      <c r="AW52" s="146">
        <f t="shared" si="41"/>
        <v>36</v>
      </c>
      <c r="AX52" s="146">
        <f t="shared" si="41"/>
        <v>36</v>
      </c>
      <c r="AY52" s="146">
        <f t="shared" si="41"/>
        <v>36</v>
      </c>
      <c r="AZ52" s="146">
        <f t="shared" si="41"/>
        <v>36</v>
      </c>
      <c r="BA52" s="146">
        <f t="shared" si="41"/>
        <v>36</v>
      </c>
      <c r="BB52" s="146">
        <f t="shared" si="41"/>
        <v>42</v>
      </c>
      <c r="BC52" s="146">
        <f t="shared" si="41"/>
        <v>42</v>
      </c>
      <c r="BD52" s="146">
        <f t="shared" si="41"/>
        <v>42</v>
      </c>
      <c r="BE52" s="146">
        <f t="shared" si="41"/>
        <v>42</v>
      </c>
      <c r="BF52" s="146">
        <f t="shared" si="41"/>
        <v>42</v>
      </c>
      <c r="BG52" s="146">
        <f t="shared" si="41"/>
        <v>42</v>
      </c>
      <c r="BH52" s="146">
        <f t="shared" si="41"/>
        <v>42</v>
      </c>
      <c r="BI52" s="146">
        <f t="shared" si="41"/>
        <v>42</v>
      </c>
      <c r="BJ52" s="146">
        <f t="shared" si="41"/>
        <v>42</v>
      </c>
      <c r="BK52" s="146">
        <f t="shared" si="41"/>
        <v>48</v>
      </c>
      <c r="BL52" s="146">
        <f t="shared" si="41"/>
        <v>48</v>
      </c>
      <c r="BM52" s="146">
        <f t="shared" si="41"/>
        <v>48</v>
      </c>
      <c r="BN52" s="146">
        <f t="shared" si="41"/>
        <v>48</v>
      </c>
      <c r="BO52" s="146">
        <f t="shared" si="41"/>
        <v>48</v>
      </c>
      <c r="BP52" s="146">
        <f t="shared" si="41"/>
        <v>48</v>
      </c>
      <c r="BQ52" s="146">
        <f t="shared" si="41"/>
        <v>48</v>
      </c>
      <c r="BR52" s="146">
        <f t="shared" si="41"/>
        <v>48</v>
      </c>
      <c r="BS52" s="146">
        <f t="shared" si="41"/>
        <v>48</v>
      </c>
      <c r="BT52" s="146">
        <f t="shared" si="41"/>
        <v>48</v>
      </c>
      <c r="BU52" s="146">
        <f t="shared" si="41"/>
        <v>48</v>
      </c>
      <c r="BV52" s="146">
        <f t="shared" si="41"/>
        <v>48</v>
      </c>
      <c r="BW52" s="146">
        <f t="shared" si="41"/>
        <v>48</v>
      </c>
      <c r="BX52" s="146">
        <f t="shared" si="41"/>
        <v>54</v>
      </c>
      <c r="BY52" s="146">
        <f t="shared" si="41"/>
        <v>54</v>
      </c>
      <c r="BZ52" s="146">
        <f t="shared" si="41"/>
        <v>54</v>
      </c>
      <c r="CA52" s="146">
        <f t="shared" si="41"/>
        <v>54</v>
      </c>
      <c r="CB52" s="146">
        <f t="shared" si="41"/>
        <v>54</v>
      </c>
      <c r="CC52" s="146">
        <f t="shared" si="41"/>
        <v>54</v>
      </c>
      <c r="CD52" s="146">
        <f t="shared" si="41"/>
        <v>54</v>
      </c>
      <c r="CE52" s="146">
        <f t="shared" si="41"/>
        <v>54</v>
      </c>
      <c r="CF52" s="146">
        <f t="shared" si="41"/>
        <v>54</v>
      </c>
      <c r="CG52" s="146">
        <f t="shared" si="41"/>
        <v>54</v>
      </c>
      <c r="CH52" s="146">
        <f t="shared" si="41"/>
        <v>60</v>
      </c>
    </row>
    <row r="53" ht="15.75" customHeight="1">
      <c r="A53" s="1" t="s">
        <v>700</v>
      </c>
      <c r="B53" s="446" t="s">
        <v>701</v>
      </c>
      <c r="M53" s="146">
        <f t="shared" ref="M53:CH53" si="42">M52-M34</f>
        <v>7.5</v>
      </c>
      <c r="N53" s="146">
        <f t="shared" si="42"/>
        <v>7.5</v>
      </c>
      <c r="O53" s="146">
        <f t="shared" si="42"/>
        <v>10</v>
      </c>
      <c r="P53" s="146">
        <f t="shared" si="42"/>
        <v>10</v>
      </c>
      <c r="Q53" s="146">
        <f t="shared" si="42"/>
        <v>10</v>
      </c>
      <c r="R53" s="146">
        <f t="shared" si="42"/>
        <v>10</v>
      </c>
      <c r="S53" s="146">
        <f t="shared" si="42"/>
        <v>10</v>
      </c>
      <c r="T53" s="146">
        <f t="shared" si="42"/>
        <v>10</v>
      </c>
      <c r="U53" s="146">
        <f t="shared" si="42"/>
        <v>10</v>
      </c>
      <c r="V53" s="146">
        <f t="shared" si="42"/>
        <v>10</v>
      </c>
      <c r="W53" s="146">
        <f t="shared" si="42"/>
        <v>10</v>
      </c>
      <c r="X53" s="146">
        <f t="shared" si="42"/>
        <v>10</v>
      </c>
      <c r="Y53" s="146">
        <f t="shared" si="42"/>
        <v>10</v>
      </c>
      <c r="Z53" s="146">
        <f t="shared" si="42"/>
        <v>9</v>
      </c>
      <c r="AA53" s="146">
        <f t="shared" si="42"/>
        <v>8</v>
      </c>
      <c r="AB53" s="146">
        <f t="shared" si="42"/>
        <v>8</v>
      </c>
      <c r="AC53" s="146">
        <f t="shared" si="42"/>
        <v>8</v>
      </c>
      <c r="AD53" s="146">
        <f t="shared" si="42"/>
        <v>8</v>
      </c>
      <c r="AE53" s="146">
        <f t="shared" si="42"/>
        <v>8</v>
      </c>
      <c r="AF53" s="146">
        <f t="shared" si="42"/>
        <v>8</v>
      </c>
      <c r="AG53" s="146">
        <f t="shared" si="42"/>
        <v>8</v>
      </c>
      <c r="AH53" s="146">
        <f t="shared" si="42"/>
        <v>8</v>
      </c>
      <c r="AI53" s="146">
        <f t="shared" si="42"/>
        <v>8</v>
      </c>
      <c r="AJ53" s="146">
        <f t="shared" si="42"/>
        <v>8</v>
      </c>
      <c r="AK53" s="146">
        <f t="shared" si="42"/>
        <v>8</v>
      </c>
      <c r="AL53" s="146">
        <f t="shared" si="42"/>
        <v>7</v>
      </c>
      <c r="AM53" s="146">
        <f t="shared" si="42"/>
        <v>6</v>
      </c>
      <c r="AN53" s="146">
        <f t="shared" si="42"/>
        <v>4</v>
      </c>
      <c r="AO53" s="146">
        <f t="shared" si="42"/>
        <v>3</v>
      </c>
      <c r="AP53" s="146">
        <f t="shared" si="42"/>
        <v>3</v>
      </c>
      <c r="AQ53" s="146">
        <f t="shared" si="42"/>
        <v>2</v>
      </c>
      <c r="AR53" s="146">
        <f t="shared" si="42"/>
        <v>2</v>
      </c>
      <c r="AS53" s="146">
        <f t="shared" si="42"/>
        <v>1</v>
      </c>
      <c r="AT53" s="146">
        <f t="shared" si="42"/>
        <v>7</v>
      </c>
      <c r="AU53" s="146">
        <f t="shared" si="42"/>
        <v>6</v>
      </c>
      <c r="AV53" s="146">
        <f t="shared" si="42"/>
        <v>5</v>
      </c>
      <c r="AW53" s="146">
        <f t="shared" si="42"/>
        <v>4</v>
      </c>
      <c r="AX53" s="146">
        <f t="shared" si="42"/>
        <v>4</v>
      </c>
      <c r="AY53" s="146">
        <f t="shared" si="42"/>
        <v>4</v>
      </c>
      <c r="AZ53" s="146">
        <f t="shared" si="42"/>
        <v>2</v>
      </c>
      <c r="BA53" s="146">
        <f t="shared" si="42"/>
        <v>1</v>
      </c>
      <c r="BB53" s="146">
        <f t="shared" si="42"/>
        <v>6</v>
      </c>
      <c r="BC53" s="146">
        <f t="shared" si="42"/>
        <v>6</v>
      </c>
      <c r="BD53" s="146">
        <f t="shared" si="42"/>
        <v>5</v>
      </c>
      <c r="BE53" s="146">
        <f t="shared" si="42"/>
        <v>4</v>
      </c>
      <c r="BF53" s="146">
        <f t="shared" si="42"/>
        <v>4</v>
      </c>
      <c r="BG53" s="146">
        <f t="shared" si="42"/>
        <v>3</v>
      </c>
      <c r="BH53" s="146">
        <f t="shared" si="42"/>
        <v>2</v>
      </c>
      <c r="BI53" s="146">
        <f t="shared" si="42"/>
        <v>2</v>
      </c>
      <c r="BJ53" s="146">
        <f t="shared" si="42"/>
        <v>1</v>
      </c>
      <c r="BK53" s="146">
        <f t="shared" si="42"/>
        <v>7</v>
      </c>
      <c r="BL53" s="146">
        <f t="shared" si="42"/>
        <v>7</v>
      </c>
      <c r="BM53" s="146">
        <f t="shared" si="42"/>
        <v>6</v>
      </c>
      <c r="BN53" s="146">
        <f t="shared" si="42"/>
        <v>6</v>
      </c>
      <c r="BO53" s="146">
        <f t="shared" si="42"/>
        <v>5</v>
      </c>
      <c r="BP53" s="146">
        <f t="shared" si="42"/>
        <v>5</v>
      </c>
      <c r="BQ53" s="146">
        <f t="shared" si="42"/>
        <v>4</v>
      </c>
      <c r="BR53" s="146">
        <f t="shared" si="42"/>
        <v>4</v>
      </c>
      <c r="BS53" s="146">
        <f t="shared" si="42"/>
        <v>3</v>
      </c>
      <c r="BT53" s="146">
        <f t="shared" si="42"/>
        <v>3</v>
      </c>
      <c r="BU53" s="146">
        <f t="shared" si="42"/>
        <v>2</v>
      </c>
      <c r="BV53" s="146">
        <f t="shared" si="42"/>
        <v>2</v>
      </c>
      <c r="BW53" s="146">
        <f t="shared" si="42"/>
        <v>1</v>
      </c>
      <c r="BX53" s="146">
        <f t="shared" si="42"/>
        <v>6</v>
      </c>
      <c r="BY53" s="146">
        <f t="shared" si="42"/>
        <v>5</v>
      </c>
      <c r="BZ53" s="146">
        <f t="shared" si="42"/>
        <v>4</v>
      </c>
      <c r="CA53" s="146">
        <f t="shared" si="42"/>
        <v>4</v>
      </c>
      <c r="CB53" s="146">
        <f t="shared" si="42"/>
        <v>3</v>
      </c>
      <c r="CC53" s="146">
        <f t="shared" si="42"/>
        <v>3</v>
      </c>
      <c r="CD53" s="146">
        <f t="shared" si="42"/>
        <v>3</v>
      </c>
      <c r="CE53" s="146">
        <f t="shared" si="42"/>
        <v>2</v>
      </c>
      <c r="CF53" s="146">
        <f t="shared" si="42"/>
        <v>2</v>
      </c>
      <c r="CG53" s="146">
        <f t="shared" si="42"/>
        <v>1</v>
      </c>
      <c r="CH53" s="146">
        <f t="shared" si="42"/>
        <v>7</v>
      </c>
    </row>
    <row r="54" ht="15.75" customHeight="1">
      <c r="A54" s="1" t="s">
        <v>701</v>
      </c>
      <c r="B54" s="473">
        <v>1.0</v>
      </c>
      <c r="M54" s="173">
        <v>0.0</v>
      </c>
      <c r="N54" s="173">
        <v>0.0</v>
      </c>
      <c r="O54" s="146">
        <f t="shared" ref="O54:R54" si="43">IF(O53&gt;$B54,0,ROUNDUP(ABS(O53/O51),0))</f>
        <v>0</v>
      </c>
      <c r="P54" s="146">
        <f t="shared" si="43"/>
        <v>0</v>
      </c>
      <c r="Q54" s="146">
        <f t="shared" si="43"/>
        <v>0</v>
      </c>
      <c r="R54" s="146">
        <f t="shared" si="43"/>
        <v>0</v>
      </c>
      <c r="S54" s="244"/>
      <c r="T54" s="244"/>
      <c r="U54" s="244">
        <v>0.0</v>
      </c>
      <c r="V54" s="244">
        <v>0.0</v>
      </c>
      <c r="W54" s="244">
        <v>0.0</v>
      </c>
      <c r="X54" s="146">
        <f>IF(X53&gt;$B54,0,ROUNDUP(ABS(X53/X51),0))</f>
        <v>0</v>
      </c>
      <c r="Y54" s="146">
        <v>0.0</v>
      </c>
      <c r="Z54" s="146">
        <v>0.0</v>
      </c>
      <c r="AA54" s="146">
        <f t="shared" ref="AA54:CH54" si="44">IF(AA53&gt;$B54,0,ROUNDUP(ABS(AA53/AA51),0))</f>
        <v>0</v>
      </c>
      <c r="AB54" s="146">
        <f t="shared" si="44"/>
        <v>0</v>
      </c>
      <c r="AC54" s="146">
        <f t="shared" si="44"/>
        <v>0</v>
      </c>
      <c r="AD54" s="146">
        <f t="shared" si="44"/>
        <v>0</v>
      </c>
      <c r="AE54" s="146">
        <f t="shared" si="44"/>
        <v>0</v>
      </c>
      <c r="AF54" s="146">
        <f t="shared" si="44"/>
        <v>0</v>
      </c>
      <c r="AG54" s="146">
        <f t="shared" si="44"/>
        <v>0</v>
      </c>
      <c r="AH54" s="146">
        <f t="shared" si="44"/>
        <v>0</v>
      </c>
      <c r="AI54" s="146">
        <f t="shared" si="44"/>
        <v>0</v>
      </c>
      <c r="AJ54" s="146">
        <f t="shared" si="44"/>
        <v>0</v>
      </c>
      <c r="AK54" s="146">
        <f t="shared" si="44"/>
        <v>0</v>
      </c>
      <c r="AL54" s="146">
        <f t="shared" si="44"/>
        <v>0</v>
      </c>
      <c r="AM54" s="146">
        <f t="shared" si="44"/>
        <v>0</v>
      </c>
      <c r="AN54" s="146">
        <f t="shared" si="44"/>
        <v>0</v>
      </c>
      <c r="AO54" s="146">
        <f t="shared" si="44"/>
        <v>0</v>
      </c>
      <c r="AP54" s="146">
        <f t="shared" si="44"/>
        <v>0</v>
      </c>
      <c r="AQ54" s="146">
        <f t="shared" si="44"/>
        <v>0</v>
      </c>
      <c r="AR54" s="146">
        <f t="shared" si="44"/>
        <v>0</v>
      </c>
      <c r="AS54" s="146">
        <f t="shared" si="44"/>
        <v>1</v>
      </c>
      <c r="AT54" s="146">
        <f t="shared" si="44"/>
        <v>0</v>
      </c>
      <c r="AU54" s="146">
        <f t="shared" si="44"/>
        <v>0</v>
      </c>
      <c r="AV54" s="146">
        <f t="shared" si="44"/>
        <v>0</v>
      </c>
      <c r="AW54" s="146">
        <f t="shared" si="44"/>
        <v>0</v>
      </c>
      <c r="AX54" s="146">
        <f t="shared" si="44"/>
        <v>0</v>
      </c>
      <c r="AY54" s="146">
        <f t="shared" si="44"/>
        <v>0</v>
      </c>
      <c r="AZ54" s="146">
        <f t="shared" si="44"/>
        <v>0</v>
      </c>
      <c r="BA54" s="146">
        <f t="shared" si="44"/>
        <v>1</v>
      </c>
      <c r="BB54" s="146">
        <f t="shared" si="44"/>
        <v>0</v>
      </c>
      <c r="BC54" s="146">
        <f t="shared" si="44"/>
        <v>0</v>
      </c>
      <c r="BD54" s="146">
        <f t="shared" si="44"/>
        <v>0</v>
      </c>
      <c r="BE54" s="146">
        <f t="shared" si="44"/>
        <v>0</v>
      </c>
      <c r="BF54" s="146">
        <f t="shared" si="44"/>
        <v>0</v>
      </c>
      <c r="BG54" s="146">
        <f t="shared" si="44"/>
        <v>0</v>
      </c>
      <c r="BH54" s="146">
        <f t="shared" si="44"/>
        <v>0</v>
      </c>
      <c r="BI54" s="146">
        <f t="shared" si="44"/>
        <v>0</v>
      </c>
      <c r="BJ54" s="146">
        <f t="shared" si="44"/>
        <v>1</v>
      </c>
      <c r="BK54" s="146">
        <f t="shared" si="44"/>
        <v>0</v>
      </c>
      <c r="BL54" s="146">
        <f t="shared" si="44"/>
        <v>0</v>
      </c>
      <c r="BM54" s="146">
        <f t="shared" si="44"/>
        <v>0</v>
      </c>
      <c r="BN54" s="146">
        <f t="shared" si="44"/>
        <v>0</v>
      </c>
      <c r="BO54" s="146">
        <f t="shared" si="44"/>
        <v>0</v>
      </c>
      <c r="BP54" s="146">
        <f t="shared" si="44"/>
        <v>0</v>
      </c>
      <c r="BQ54" s="146">
        <f t="shared" si="44"/>
        <v>0</v>
      </c>
      <c r="BR54" s="146">
        <f t="shared" si="44"/>
        <v>0</v>
      </c>
      <c r="BS54" s="146">
        <f t="shared" si="44"/>
        <v>0</v>
      </c>
      <c r="BT54" s="146">
        <f t="shared" si="44"/>
        <v>0</v>
      </c>
      <c r="BU54" s="146">
        <f t="shared" si="44"/>
        <v>0</v>
      </c>
      <c r="BV54" s="146">
        <f t="shared" si="44"/>
        <v>0</v>
      </c>
      <c r="BW54" s="146">
        <f t="shared" si="44"/>
        <v>1</v>
      </c>
      <c r="BX54" s="146">
        <f t="shared" si="44"/>
        <v>0</v>
      </c>
      <c r="BY54" s="146">
        <f t="shared" si="44"/>
        <v>0</v>
      </c>
      <c r="BZ54" s="146">
        <f t="shared" si="44"/>
        <v>0</v>
      </c>
      <c r="CA54" s="146">
        <f t="shared" si="44"/>
        <v>0</v>
      </c>
      <c r="CB54" s="146">
        <f t="shared" si="44"/>
        <v>0</v>
      </c>
      <c r="CC54" s="146">
        <f t="shared" si="44"/>
        <v>0</v>
      </c>
      <c r="CD54" s="146">
        <f t="shared" si="44"/>
        <v>0</v>
      </c>
      <c r="CE54" s="146">
        <f t="shared" si="44"/>
        <v>0</v>
      </c>
      <c r="CF54" s="146">
        <f t="shared" si="44"/>
        <v>0</v>
      </c>
      <c r="CG54" s="146">
        <f t="shared" si="44"/>
        <v>1</v>
      </c>
      <c r="CH54" s="146">
        <f t="shared" si="44"/>
        <v>0</v>
      </c>
    </row>
    <row r="55" ht="15.75" customHeight="1">
      <c r="A55" s="1" t="s">
        <v>702</v>
      </c>
      <c r="B55" s="1" t="s">
        <v>703</v>
      </c>
      <c r="M55" s="244">
        <f t="shared" ref="M55:N55" si="45">M54</f>
        <v>0</v>
      </c>
      <c r="N55" s="244">
        <f t="shared" si="45"/>
        <v>0</v>
      </c>
      <c r="O55" s="146">
        <f t="shared" ref="O55:Q55" si="46">Q54</f>
        <v>0</v>
      </c>
      <c r="P55" s="146">
        <f t="shared" si="46"/>
        <v>0</v>
      </c>
      <c r="Q55" s="146" t="str">
        <f t="shared" si="46"/>
        <v/>
      </c>
      <c r="R55" s="146">
        <f t="shared" ref="R55:X55" si="47">R54</f>
        <v>0</v>
      </c>
      <c r="S55" s="146" t="str">
        <f t="shared" si="47"/>
        <v/>
      </c>
      <c r="T55" s="146" t="str">
        <f t="shared" si="47"/>
        <v/>
      </c>
      <c r="U55" s="146">
        <f t="shared" si="47"/>
        <v>0</v>
      </c>
      <c r="V55" s="146">
        <f t="shared" si="47"/>
        <v>0</v>
      </c>
      <c r="W55" s="146">
        <f t="shared" si="47"/>
        <v>0</v>
      </c>
      <c r="X55" s="146">
        <f t="shared" si="47"/>
        <v>0</v>
      </c>
      <c r="Y55" s="146">
        <v>0.0</v>
      </c>
      <c r="Z55" s="146">
        <v>0.0</v>
      </c>
      <c r="AA55" s="146">
        <f t="shared" ref="AA55:CH55" si="48">AA54</f>
        <v>0</v>
      </c>
      <c r="AB55" s="146">
        <f t="shared" si="48"/>
        <v>0</v>
      </c>
      <c r="AC55" s="146">
        <f t="shared" si="48"/>
        <v>0</v>
      </c>
      <c r="AD55" s="146">
        <f t="shared" si="48"/>
        <v>0</v>
      </c>
      <c r="AE55" s="146">
        <f t="shared" si="48"/>
        <v>0</v>
      </c>
      <c r="AF55" s="146">
        <f t="shared" si="48"/>
        <v>0</v>
      </c>
      <c r="AG55" s="146">
        <f t="shared" si="48"/>
        <v>0</v>
      </c>
      <c r="AH55" s="146">
        <f t="shared" si="48"/>
        <v>0</v>
      </c>
      <c r="AI55" s="146">
        <f t="shared" si="48"/>
        <v>0</v>
      </c>
      <c r="AJ55" s="146">
        <f t="shared" si="48"/>
        <v>0</v>
      </c>
      <c r="AK55" s="146">
        <f t="shared" si="48"/>
        <v>0</v>
      </c>
      <c r="AL55" s="146">
        <f t="shared" si="48"/>
        <v>0</v>
      </c>
      <c r="AM55" s="146">
        <f t="shared" si="48"/>
        <v>0</v>
      </c>
      <c r="AN55" s="146">
        <f t="shared" si="48"/>
        <v>0</v>
      </c>
      <c r="AO55" s="146">
        <f t="shared" si="48"/>
        <v>0</v>
      </c>
      <c r="AP55" s="146">
        <f t="shared" si="48"/>
        <v>0</v>
      </c>
      <c r="AQ55" s="146">
        <f t="shared" si="48"/>
        <v>0</v>
      </c>
      <c r="AR55" s="146">
        <f t="shared" si="48"/>
        <v>0</v>
      </c>
      <c r="AS55" s="146">
        <f t="shared" si="48"/>
        <v>1</v>
      </c>
      <c r="AT55" s="146">
        <f t="shared" si="48"/>
        <v>0</v>
      </c>
      <c r="AU55" s="146">
        <f t="shared" si="48"/>
        <v>0</v>
      </c>
      <c r="AV55" s="146">
        <f t="shared" si="48"/>
        <v>0</v>
      </c>
      <c r="AW55" s="146">
        <f t="shared" si="48"/>
        <v>0</v>
      </c>
      <c r="AX55" s="146">
        <f t="shared" si="48"/>
        <v>0</v>
      </c>
      <c r="AY55" s="146">
        <f t="shared" si="48"/>
        <v>0</v>
      </c>
      <c r="AZ55" s="146">
        <f t="shared" si="48"/>
        <v>0</v>
      </c>
      <c r="BA55" s="146">
        <f t="shared" si="48"/>
        <v>1</v>
      </c>
      <c r="BB55" s="146">
        <f t="shared" si="48"/>
        <v>0</v>
      </c>
      <c r="BC55" s="146">
        <f t="shared" si="48"/>
        <v>0</v>
      </c>
      <c r="BD55" s="146">
        <f t="shared" si="48"/>
        <v>0</v>
      </c>
      <c r="BE55" s="146">
        <f t="shared" si="48"/>
        <v>0</v>
      </c>
      <c r="BF55" s="146">
        <f t="shared" si="48"/>
        <v>0</v>
      </c>
      <c r="BG55" s="146">
        <f t="shared" si="48"/>
        <v>0</v>
      </c>
      <c r="BH55" s="146">
        <f t="shared" si="48"/>
        <v>0</v>
      </c>
      <c r="BI55" s="146">
        <f t="shared" si="48"/>
        <v>0</v>
      </c>
      <c r="BJ55" s="146">
        <f t="shared" si="48"/>
        <v>1</v>
      </c>
      <c r="BK55" s="146">
        <f t="shared" si="48"/>
        <v>0</v>
      </c>
      <c r="BL55" s="146">
        <f t="shared" si="48"/>
        <v>0</v>
      </c>
      <c r="BM55" s="146">
        <f t="shared" si="48"/>
        <v>0</v>
      </c>
      <c r="BN55" s="146">
        <f t="shared" si="48"/>
        <v>0</v>
      </c>
      <c r="BO55" s="146">
        <f t="shared" si="48"/>
        <v>0</v>
      </c>
      <c r="BP55" s="146">
        <f t="shared" si="48"/>
        <v>0</v>
      </c>
      <c r="BQ55" s="146">
        <f t="shared" si="48"/>
        <v>0</v>
      </c>
      <c r="BR55" s="146">
        <f t="shared" si="48"/>
        <v>0</v>
      </c>
      <c r="BS55" s="146">
        <f t="shared" si="48"/>
        <v>0</v>
      </c>
      <c r="BT55" s="146">
        <f t="shared" si="48"/>
        <v>0</v>
      </c>
      <c r="BU55" s="146">
        <f t="shared" si="48"/>
        <v>0</v>
      </c>
      <c r="BV55" s="146">
        <f t="shared" si="48"/>
        <v>0</v>
      </c>
      <c r="BW55" s="146">
        <f t="shared" si="48"/>
        <v>1</v>
      </c>
      <c r="BX55" s="146">
        <f t="shared" si="48"/>
        <v>0</v>
      </c>
      <c r="BY55" s="146">
        <f t="shared" si="48"/>
        <v>0</v>
      </c>
      <c r="BZ55" s="146">
        <f t="shared" si="48"/>
        <v>0</v>
      </c>
      <c r="CA55" s="146">
        <f t="shared" si="48"/>
        <v>0</v>
      </c>
      <c r="CB55" s="146">
        <f t="shared" si="48"/>
        <v>0</v>
      </c>
      <c r="CC55" s="146">
        <f t="shared" si="48"/>
        <v>0</v>
      </c>
      <c r="CD55" s="146">
        <f t="shared" si="48"/>
        <v>0</v>
      </c>
      <c r="CE55" s="146">
        <f t="shared" si="48"/>
        <v>0</v>
      </c>
      <c r="CF55" s="146">
        <f t="shared" si="48"/>
        <v>0</v>
      </c>
      <c r="CG55" s="146">
        <f t="shared" si="48"/>
        <v>1</v>
      </c>
      <c r="CH55" s="146">
        <f t="shared" si="48"/>
        <v>0</v>
      </c>
    </row>
    <row r="56" ht="15.75" customHeight="1"/>
    <row r="57" ht="15.75" customHeight="1">
      <c r="A57" s="1" t="s">
        <v>707</v>
      </c>
      <c r="B57" s="446" t="s">
        <v>708</v>
      </c>
      <c r="T57" s="378"/>
      <c r="U57" s="378"/>
      <c r="V57" s="378"/>
      <c r="W57" s="378"/>
      <c r="X57" s="378"/>
      <c r="Y57" s="378">
        <f t="shared" ref="Y57:CH57" si="49">Y28*Y32</f>
        <v>11.47389</v>
      </c>
      <c r="Z57" s="378">
        <f t="shared" si="49"/>
        <v>15.98440328</v>
      </c>
      <c r="AA57" s="378">
        <f t="shared" si="49"/>
        <v>12.94231037</v>
      </c>
      <c r="AB57" s="378">
        <f t="shared" si="49"/>
        <v>14.97633548</v>
      </c>
      <c r="AC57" s="378">
        <f t="shared" si="49"/>
        <v>16.92103042</v>
      </c>
      <c r="AD57" s="378">
        <f t="shared" si="49"/>
        <v>18.86406453</v>
      </c>
      <c r="AE57" s="378">
        <f t="shared" si="49"/>
        <v>32.28292268</v>
      </c>
      <c r="AF57" s="378">
        <f t="shared" si="49"/>
        <v>35.45803009</v>
      </c>
      <c r="AG57" s="378">
        <f t="shared" si="49"/>
        <v>38.55095271</v>
      </c>
      <c r="AH57" s="378">
        <f t="shared" si="49"/>
        <v>41.60825627</v>
      </c>
      <c r="AI57" s="378">
        <f t="shared" si="49"/>
        <v>44.7489807</v>
      </c>
      <c r="AJ57" s="378">
        <f t="shared" si="49"/>
        <v>47.68760596</v>
      </c>
      <c r="AK57" s="378">
        <f t="shared" si="49"/>
        <v>50.76236602</v>
      </c>
      <c r="AL57" s="378">
        <f t="shared" si="49"/>
        <v>53.95350375</v>
      </c>
      <c r="AM57" s="378">
        <f t="shared" si="49"/>
        <v>57.7291507</v>
      </c>
      <c r="AN57" s="378">
        <f t="shared" si="49"/>
        <v>58.45886056</v>
      </c>
      <c r="AO57" s="378">
        <f t="shared" si="49"/>
        <v>59.49237559</v>
      </c>
      <c r="AP57" s="378">
        <f t="shared" si="49"/>
        <v>60.64587452</v>
      </c>
      <c r="AQ57" s="378">
        <f t="shared" si="49"/>
        <v>61.79641034</v>
      </c>
      <c r="AR57" s="378">
        <f t="shared" si="49"/>
        <v>62.94370377</v>
      </c>
      <c r="AS57" s="378">
        <f t="shared" si="49"/>
        <v>64.06318221</v>
      </c>
      <c r="AT57" s="378">
        <f t="shared" si="49"/>
        <v>67.2092507</v>
      </c>
      <c r="AU57" s="378">
        <f t="shared" si="49"/>
        <v>68.32152574</v>
      </c>
      <c r="AV57" s="378">
        <f t="shared" si="49"/>
        <v>69.41472309</v>
      </c>
      <c r="AW57" s="378">
        <f t="shared" si="49"/>
        <v>70.49010283</v>
      </c>
      <c r="AX57" s="378">
        <f t="shared" si="49"/>
        <v>71.54885583</v>
      </c>
      <c r="AY57" s="378">
        <f t="shared" si="49"/>
        <v>75.40185402</v>
      </c>
      <c r="AZ57" s="378">
        <f t="shared" si="49"/>
        <v>77.05345289</v>
      </c>
      <c r="BA57" s="378">
        <f t="shared" si="49"/>
        <v>78.66854246</v>
      </c>
      <c r="BB57" s="378">
        <f t="shared" si="49"/>
        <v>80.25464063</v>
      </c>
      <c r="BC57" s="378">
        <f t="shared" si="49"/>
        <v>81.81410625</v>
      </c>
      <c r="BD57" s="378">
        <f t="shared" si="49"/>
        <v>83.34847809</v>
      </c>
      <c r="BE57" s="378">
        <f t="shared" si="49"/>
        <v>84.85912765</v>
      </c>
      <c r="BF57" s="378">
        <f t="shared" si="49"/>
        <v>86.34735885</v>
      </c>
      <c r="BG57" s="378">
        <f t="shared" si="49"/>
        <v>87.8144247</v>
      </c>
      <c r="BH57" s="378">
        <f t="shared" si="49"/>
        <v>89.26153151</v>
      </c>
      <c r="BI57" s="378">
        <f t="shared" si="49"/>
        <v>90.68984109</v>
      </c>
      <c r="BJ57" s="378">
        <f t="shared" si="49"/>
        <v>92.10047262</v>
      </c>
      <c r="BK57" s="378">
        <f t="shared" si="49"/>
        <v>90.8106663</v>
      </c>
      <c r="BL57" s="378">
        <f t="shared" si="49"/>
        <v>92.21425272</v>
      </c>
      <c r="BM57" s="378">
        <f t="shared" si="49"/>
        <v>93.46075148</v>
      </c>
      <c r="BN57" s="378">
        <f t="shared" si="49"/>
        <v>94.70909445</v>
      </c>
      <c r="BO57" s="378">
        <f t="shared" si="49"/>
        <v>95.95498148</v>
      </c>
      <c r="BP57" s="378">
        <f t="shared" si="49"/>
        <v>97.19841302</v>
      </c>
      <c r="BQ57" s="378">
        <f t="shared" si="49"/>
        <v>98.44002183</v>
      </c>
      <c r="BR57" s="378">
        <f t="shared" si="49"/>
        <v>99.68052359</v>
      </c>
      <c r="BS57" s="378">
        <f t="shared" si="49"/>
        <v>100.9206352</v>
      </c>
      <c r="BT57" s="378">
        <f t="shared" si="49"/>
        <v>102.1610633</v>
      </c>
      <c r="BU57" s="378">
        <f t="shared" si="49"/>
        <v>103.4025035</v>
      </c>
      <c r="BV57" s="378">
        <f t="shared" si="49"/>
        <v>104.6456407</v>
      </c>
      <c r="BW57" s="378">
        <f t="shared" si="49"/>
        <v>109.2924304</v>
      </c>
      <c r="BX57" s="378">
        <f t="shared" si="49"/>
        <v>110.284497</v>
      </c>
      <c r="BY57" s="378">
        <f t="shared" si="49"/>
        <v>111.1889889</v>
      </c>
      <c r="BZ57" s="378">
        <f t="shared" si="49"/>
        <v>112.1019348</v>
      </c>
      <c r="CA57" s="378">
        <f t="shared" si="49"/>
        <v>113.0078475</v>
      </c>
      <c r="CB57" s="378">
        <f t="shared" si="49"/>
        <v>113.9052326</v>
      </c>
      <c r="CC57" s="378">
        <f t="shared" si="49"/>
        <v>114.7946603</v>
      </c>
      <c r="CD57" s="378">
        <f t="shared" si="49"/>
        <v>115.6769778</v>
      </c>
      <c r="CE57" s="378">
        <f t="shared" si="49"/>
        <v>116.5530428</v>
      </c>
      <c r="CF57" s="378">
        <f t="shared" si="49"/>
        <v>117.4236844</v>
      </c>
      <c r="CG57" s="378">
        <f t="shared" si="49"/>
        <v>118.2896988</v>
      </c>
      <c r="CH57" s="378">
        <f t="shared" si="49"/>
        <v>119.1518501</v>
      </c>
    </row>
    <row r="58" ht="15.75" customHeight="1">
      <c r="A58" s="1" t="s">
        <v>709</v>
      </c>
      <c r="B58" s="474">
        <v>50.0</v>
      </c>
      <c r="T58" s="137"/>
      <c r="U58" s="137"/>
      <c r="V58" s="137"/>
      <c r="W58" s="137"/>
      <c r="X58" s="137"/>
      <c r="Y58" s="137">
        <f t="shared" ref="Y58:BJ58" si="50">Y57*$B$58</f>
        <v>573.6945</v>
      </c>
      <c r="Z58" s="137">
        <f t="shared" si="50"/>
        <v>799.2201641</v>
      </c>
      <c r="AA58" s="137">
        <f t="shared" si="50"/>
        <v>647.1155187</v>
      </c>
      <c r="AB58" s="137">
        <f t="shared" si="50"/>
        <v>748.8167738</v>
      </c>
      <c r="AC58" s="137">
        <f t="shared" si="50"/>
        <v>846.0515209</v>
      </c>
      <c r="AD58" s="137">
        <f t="shared" si="50"/>
        <v>943.2032263</v>
      </c>
      <c r="AE58" s="137">
        <f t="shared" si="50"/>
        <v>1614.146134</v>
      </c>
      <c r="AF58" s="137">
        <f t="shared" si="50"/>
        <v>1772.901505</v>
      </c>
      <c r="AG58" s="137">
        <f t="shared" si="50"/>
        <v>1927.547635</v>
      </c>
      <c r="AH58" s="137">
        <f t="shared" si="50"/>
        <v>2080.412814</v>
      </c>
      <c r="AI58" s="137">
        <f t="shared" si="50"/>
        <v>2237.449035</v>
      </c>
      <c r="AJ58" s="137">
        <f t="shared" si="50"/>
        <v>2384.380298</v>
      </c>
      <c r="AK58" s="137">
        <f t="shared" si="50"/>
        <v>2538.118301</v>
      </c>
      <c r="AL58" s="137">
        <f t="shared" si="50"/>
        <v>2697.675187</v>
      </c>
      <c r="AM58" s="137">
        <f t="shared" si="50"/>
        <v>2886.457535</v>
      </c>
      <c r="AN58" s="137">
        <f t="shared" si="50"/>
        <v>2922.943028</v>
      </c>
      <c r="AO58" s="137">
        <f t="shared" si="50"/>
        <v>2974.618779</v>
      </c>
      <c r="AP58" s="137">
        <f t="shared" si="50"/>
        <v>3032.293726</v>
      </c>
      <c r="AQ58" s="137">
        <f t="shared" si="50"/>
        <v>3089.820517</v>
      </c>
      <c r="AR58" s="137">
        <f t="shared" si="50"/>
        <v>3147.185188</v>
      </c>
      <c r="AS58" s="137">
        <f t="shared" si="50"/>
        <v>3203.159111</v>
      </c>
      <c r="AT58" s="137">
        <f t="shared" si="50"/>
        <v>3360.462535</v>
      </c>
      <c r="AU58" s="137">
        <f t="shared" si="50"/>
        <v>3416.076287</v>
      </c>
      <c r="AV58" s="137">
        <f t="shared" si="50"/>
        <v>3470.736154</v>
      </c>
      <c r="AW58" s="137">
        <f t="shared" si="50"/>
        <v>3524.505142</v>
      </c>
      <c r="AX58" s="137">
        <f t="shared" si="50"/>
        <v>3577.442791</v>
      </c>
      <c r="AY58" s="137">
        <f t="shared" si="50"/>
        <v>3770.092701</v>
      </c>
      <c r="AZ58" s="137">
        <f t="shared" si="50"/>
        <v>3852.672645</v>
      </c>
      <c r="BA58" s="137">
        <f t="shared" si="50"/>
        <v>3933.427123</v>
      </c>
      <c r="BB58" s="137">
        <f t="shared" si="50"/>
        <v>4012.732032</v>
      </c>
      <c r="BC58" s="137">
        <f t="shared" si="50"/>
        <v>4090.705312</v>
      </c>
      <c r="BD58" s="137">
        <f t="shared" si="50"/>
        <v>4167.423904</v>
      </c>
      <c r="BE58" s="137">
        <f t="shared" si="50"/>
        <v>4242.956383</v>
      </c>
      <c r="BF58" s="137">
        <f t="shared" si="50"/>
        <v>4317.367942</v>
      </c>
      <c r="BG58" s="137">
        <f t="shared" si="50"/>
        <v>4390.721235</v>
      </c>
      <c r="BH58" s="137">
        <f t="shared" si="50"/>
        <v>4463.076576</v>
      </c>
      <c r="BI58" s="137">
        <f t="shared" si="50"/>
        <v>4534.492054</v>
      </c>
      <c r="BJ58" s="137">
        <f t="shared" si="50"/>
        <v>4605.023631</v>
      </c>
      <c r="BK58" s="137">
        <f t="shared" ref="BK58:CH58" si="51">BK57*$B$59</f>
        <v>4994.586647</v>
      </c>
      <c r="BL58" s="137">
        <f t="shared" si="51"/>
        <v>5071.7839</v>
      </c>
      <c r="BM58" s="137">
        <f t="shared" si="51"/>
        <v>5140.341332</v>
      </c>
      <c r="BN58" s="137">
        <f t="shared" si="51"/>
        <v>5209.000195</v>
      </c>
      <c r="BO58" s="137">
        <f t="shared" si="51"/>
        <v>5277.523981</v>
      </c>
      <c r="BP58" s="137">
        <f t="shared" si="51"/>
        <v>5345.912716</v>
      </c>
      <c r="BQ58" s="137">
        <f t="shared" si="51"/>
        <v>5414.201201</v>
      </c>
      <c r="BR58" s="137">
        <f t="shared" si="51"/>
        <v>5482.428797</v>
      </c>
      <c r="BS58" s="137">
        <f t="shared" si="51"/>
        <v>5550.634936</v>
      </c>
      <c r="BT58" s="137">
        <f t="shared" si="51"/>
        <v>5618.858484</v>
      </c>
      <c r="BU58" s="137">
        <f t="shared" si="51"/>
        <v>5687.137695</v>
      </c>
      <c r="BV58" s="137">
        <f t="shared" si="51"/>
        <v>5755.510238</v>
      </c>
      <c r="BW58" s="137">
        <f t="shared" si="51"/>
        <v>6011.083675</v>
      </c>
      <c r="BX58" s="137">
        <f t="shared" si="51"/>
        <v>6065.647335</v>
      </c>
      <c r="BY58" s="137">
        <f t="shared" si="51"/>
        <v>6115.394387</v>
      </c>
      <c r="BZ58" s="137">
        <f t="shared" si="51"/>
        <v>6165.606412</v>
      </c>
      <c r="CA58" s="137">
        <f t="shared" si="51"/>
        <v>6215.431613</v>
      </c>
      <c r="CB58" s="137">
        <f t="shared" si="51"/>
        <v>6264.787792</v>
      </c>
      <c r="CC58" s="137">
        <f t="shared" si="51"/>
        <v>6313.706314</v>
      </c>
      <c r="CD58" s="137">
        <f t="shared" si="51"/>
        <v>6362.233779</v>
      </c>
      <c r="CE58" s="137">
        <f t="shared" si="51"/>
        <v>6410.417353</v>
      </c>
      <c r="CF58" s="137">
        <f t="shared" si="51"/>
        <v>6458.30264</v>
      </c>
      <c r="CG58" s="137">
        <f t="shared" si="51"/>
        <v>6505.933435</v>
      </c>
      <c r="CH58" s="137">
        <f t="shared" si="51"/>
        <v>6553.351756</v>
      </c>
    </row>
    <row r="59" ht="15.75" customHeight="1">
      <c r="A59" s="449" t="s">
        <v>710</v>
      </c>
      <c r="B59" s="475">
        <v>55.0</v>
      </c>
    </row>
    <row r="60" ht="15.75" customHeight="1">
      <c r="A60" s="115" t="s">
        <v>85</v>
      </c>
    </row>
    <row r="61" ht="15.75" customHeight="1"/>
    <row r="62" ht="15.75" customHeight="1">
      <c r="A62" s="1" t="s">
        <v>25</v>
      </c>
      <c r="C62" s="116">
        <f>Revenue!C7</f>
        <v>157989</v>
      </c>
      <c r="D62" s="116">
        <f>Revenue!D7</f>
        <v>262015</v>
      </c>
      <c r="E62" s="116">
        <f>Revenue!E7</f>
        <v>239919</v>
      </c>
      <c r="F62" s="116">
        <f>Revenue!F7</f>
        <v>246852</v>
      </c>
      <c r="G62" s="116">
        <f>Revenue!G7</f>
        <v>168753</v>
      </c>
      <c r="H62" s="116">
        <f>Revenue!H7</f>
        <v>219427</v>
      </c>
      <c r="I62" s="116">
        <f>Revenue!I7</f>
        <v>179883</v>
      </c>
      <c r="J62" s="116">
        <f>Revenue!J7</f>
        <v>165543</v>
      </c>
      <c r="K62" s="116">
        <f>Revenue!K7</f>
        <v>227180</v>
      </c>
      <c r="L62" s="116">
        <f>Revenue!L7</f>
        <v>259006</v>
      </c>
      <c r="M62" s="116">
        <f>Revenue!M7</f>
        <v>234471</v>
      </c>
      <c r="N62" s="116">
        <f>Revenue!N7</f>
        <v>265758</v>
      </c>
      <c r="O62" s="116">
        <f>Revenue!O7</f>
        <v>231341</v>
      </c>
      <c r="P62" s="116">
        <f>Revenue!P7</f>
        <v>219777</v>
      </c>
      <c r="Q62" s="116">
        <f>Revenue!Q7</f>
        <v>140531</v>
      </c>
      <c r="R62" s="116">
        <f>Revenue!R7</f>
        <v>172522</v>
      </c>
      <c r="S62" s="116">
        <f>Revenue!S7</f>
        <v>167953</v>
      </c>
      <c r="T62" s="116">
        <f>Revenue!T7</f>
        <v>183441</v>
      </c>
      <c r="U62" s="116">
        <f>Revenue!U7</f>
        <v>128542</v>
      </c>
      <c r="V62" s="116">
        <f>Revenue!V7</f>
        <v>260968</v>
      </c>
      <c r="W62" s="116">
        <f>Revenue!W7</f>
        <v>274042</v>
      </c>
      <c r="X62" s="116">
        <f>Revenue!X7</f>
        <v>169044</v>
      </c>
      <c r="Y62" s="116">
        <f>Revenue!Y7</f>
        <v>185698</v>
      </c>
      <c r="Z62" s="116">
        <f>Revenue!Z7</f>
        <v>273479.9044</v>
      </c>
      <c r="AA62" s="116">
        <f>Revenue!AA7</f>
        <v>333775.5366</v>
      </c>
      <c r="AB62" s="116">
        <f>Revenue!AB7</f>
        <v>396850.6096</v>
      </c>
      <c r="AC62" s="116">
        <f>Revenue!AC7</f>
        <v>456755.2775</v>
      </c>
      <c r="AD62" s="116">
        <f>Revenue!AD7</f>
        <v>516926.4202</v>
      </c>
      <c r="AE62" s="116">
        <f>Revenue!AE7</f>
        <v>576580.2861</v>
      </c>
      <c r="AF62" s="116">
        <f>Revenue!AF7</f>
        <v>635351.6453</v>
      </c>
      <c r="AG62" s="116">
        <f>Revenue!AG7</f>
        <v>689760.3533</v>
      </c>
      <c r="AH62" s="116">
        <f>Revenue!AH7</f>
        <v>741903.5395</v>
      </c>
      <c r="AI62" s="116">
        <f>Revenue!AI7</f>
        <v>792652.34</v>
      </c>
      <c r="AJ62" s="116">
        <f>Revenue!AJ7</f>
        <v>837160.0566</v>
      </c>
      <c r="AK62" s="116">
        <f>Revenue!AK7</f>
        <v>883691.7047</v>
      </c>
      <c r="AL62" s="116">
        <f>Revenue!AL7</f>
        <v>930090.3147</v>
      </c>
      <c r="AM62" s="116">
        <f>Revenue!AM7</f>
        <v>963108.0723</v>
      </c>
      <c r="AN62" s="116">
        <f>Revenue!AN7</f>
        <v>969388.3742</v>
      </c>
      <c r="AO62" s="116">
        <f>Revenue!AO7</f>
        <v>984545.4786</v>
      </c>
      <c r="AP62" s="116">
        <f>Revenue!AP7</f>
        <v>1002925.257</v>
      </c>
      <c r="AQ62" s="116">
        <f>Revenue!AQ7</f>
        <v>1021443.071</v>
      </c>
      <c r="AR62" s="116">
        <f>Revenue!AR7</f>
        <v>1039992.013</v>
      </c>
      <c r="AS62" s="116">
        <f>Revenue!AS7</f>
        <v>1058038.469</v>
      </c>
      <c r="AT62" s="116">
        <f>Revenue!AT7</f>
        <v>1075720.438</v>
      </c>
      <c r="AU62" s="116">
        <f>Revenue!AU7</f>
        <v>1093077.647</v>
      </c>
      <c r="AV62" s="116">
        <f>Revenue!AV7</f>
        <v>1110134.187</v>
      </c>
      <c r="AW62" s="116">
        <f>Revenue!AW7</f>
        <v>1126910.942</v>
      </c>
      <c r="AX62" s="116">
        <f>Revenue!AX7</f>
        <v>1143427.508</v>
      </c>
      <c r="AY62" s="116">
        <f>Revenue!AY7</f>
        <v>1169957.427</v>
      </c>
      <c r="AZ62" s="116">
        <f>Revenue!AZ7</f>
        <v>1196178.47</v>
      </c>
      <c r="BA62" s="116">
        <f>Revenue!BA7</f>
        <v>1221737.596</v>
      </c>
      <c r="BB62" s="116">
        <f>Revenue!BB7</f>
        <v>1246810.15</v>
      </c>
      <c r="BC62" s="116">
        <f>Revenue!BC7</f>
        <v>1271442.998</v>
      </c>
      <c r="BD62" s="116">
        <f>Revenue!BD7</f>
        <v>1295662.943</v>
      </c>
      <c r="BE62" s="116">
        <f>Revenue!BE7</f>
        <v>1319493.015</v>
      </c>
      <c r="BF62" s="116">
        <f>Revenue!BF7</f>
        <v>1342954.951</v>
      </c>
      <c r="BG62" s="116">
        <f>Revenue!BG7</f>
        <v>1366069.598</v>
      </c>
      <c r="BH62" s="116">
        <f>Revenue!BH7</f>
        <v>1388856.997</v>
      </c>
      <c r="BI62" s="116">
        <f>Revenue!BI7</f>
        <v>1411336.429</v>
      </c>
      <c r="BJ62" s="116">
        <f>Revenue!BJ7</f>
        <v>1433526.447</v>
      </c>
      <c r="BK62" s="116">
        <f>Revenue!BK7</f>
        <v>1459305.982</v>
      </c>
      <c r="BL62" s="116">
        <f>Revenue!BL7</f>
        <v>1481460.363</v>
      </c>
      <c r="BM62" s="116">
        <f>Revenue!BM7</f>
        <v>1501419.466</v>
      </c>
      <c r="BN62" s="116">
        <f>Revenue!BN7</f>
        <v>1521478.331</v>
      </c>
      <c r="BO62" s="116">
        <f>Revenue!BO7</f>
        <v>1541509.029</v>
      </c>
      <c r="BP62" s="116">
        <f>Revenue!BP7</f>
        <v>1561503.092</v>
      </c>
      <c r="BQ62" s="116">
        <f>Revenue!BQ7</f>
        <v>1581469.747</v>
      </c>
      <c r="BR62" s="116">
        <f>Revenue!BR7</f>
        <v>1601420.673</v>
      </c>
      <c r="BS62" s="116">
        <f>Revenue!BS7</f>
        <v>1621367.72</v>
      </c>
      <c r="BT62" s="116">
        <f>Revenue!BT7</f>
        <v>1641322.582</v>
      </c>
      <c r="BU62" s="116">
        <f>Revenue!BU7</f>
        <v>1661296.766</v>
      </c>
      <c r="BV62" s="116">
        <f>Revenue!BV7</f>
        <v>1681301.595</v>
      </c>
      <c r="BW62" s="116">
        <f>Revenue!BW7</f>
        <v>1703656.174</v>
      </c>
      <c r="BX62" s="116">
        <f>Revenue!BX7</f>
        <v>1717395.503</v>
      </c>
      <c r="BY62" s="116">
        <f>Revenue!BY7</f>
        <v>1731196.241</v>
      </c>
      <c r="BZ62" s="116">
        <f>Revenue!BZ7</f>
        <v>1745358.099</v>
      </c>
      <c r="CA62" s="116">
        <f>Revenue!CA7</f>
        <v>1759439.834</v>
      </c>
      <c r="CB62" s="116">
        <f>Revenue!CB7</f>
        <v>1773388.798</v>
      </c>
      <c r="CC62" s="116">
        <f>Revenue!CC7</f>
        <v>1787210.066</v>
      </c>
      <c r="CD62" s="116">
        <f>Revenue!CD7</f>
        <v>1800916.819</v>
      </c>
      <c r="CE62" s="116">
        <f>Revenue!CE7</f>
        <v>1814522.936</v>
      </c>
      <c r="CF62" s="116">
        <f>Revenue!CF7</f>
        <v>1828041.899</v>
      </c>
      <c r="CG62" s="116">
        <f>Revenue!CG7</f>
        <v>1841486.653</v>
      </c>
      <c r="CH62" s="116">
        <f>Revenue!CH7</f>
        <v>1854869.607</v>
      </c>
    </row>
    <row r="63" ht="15.75" customHeight="1">
      <c r="A63" s="1" t="s">
        <v>325</v>
      </c>
      <c r="C63" s="116"/>
      <c r="D63" s="116">
        <f t="shared" ref="D63:CH63" si="52">D62-C62</f>
        <v>104026</v>
      </c>
      <c r="E63" s="116">
        <f t="shared" si="52"/>
        <v>-22096</v>
      </c>
      <c r="F63" s="116">
        <f t="shared" si="52"/>
        <v>6933</v>
      </c>
      <c r="G63" s="116">
        <f t="shared" si="52"/>
        <v>-78099</v>
      </c>
      <c r="H63" s="116">
        <f t="shared" si="52"/>
        <v>50674</v>
      </c>
      <c r="I63" s="116">
        <f t="shared" si="52"/>
        <v>-39544</v>
      </c>
      <c r="J63" s="116">
        <f t="shared" si="52"/>
        <v>-14340</v>
      </c>
      <c r="K63" s="116">
        <f t="shared" si="52"/>
        <v>61637</v>
      </c>
      <c r="L63" s="116">
        <f t="shared" si="52"/>
        <v>31826</v>
      </c>
      <c r="M63" s="116">
        <f t="shared" si="52"/>
        <v>-24535</v>
      </c>
      <c r="N63" s="116">
        <f t="shared" si="52"/>
        <v>31287</v>
      </c>
      <c r="O63" s="116">
        <f t="shared" si="52"/>
        <v>-34417</v>
      </c>
      <c r="P63" s="116">
        <f t="shared" si="52"/>
        <v>-11564</v>
      </c>
      <c r="Q63" s="116">
        <f t="shared" si="52"/>
        <v>-79246</v>
      </c>
      <c r="R63" s="116">
        <f t="shared" si="52"/>
        <v>31991</v>
      </c>
      <c r="S63" s="116">
        <f t="shared" si="52"/>
        <v>-4569</v>
      </c>
      <c r="T63" s="116">
        <f t="shared" si="52"/>
        <v>15488</v>
      </c>
      <c r="U63" s="116">
        <f t="shared" si="52"/>
        <v>-54899</v>
      </c>
      <c r="V63" s="116">
        <f t="shared" si="52"/>
        <v>132426</v>
      </c>
      <c r="W63" s="116">
        <f t="shared" si="52"/>
        <v>13074</v>
      </c>
      <c r="X63" s="116">
        <f t="shared" si="52"/>
        <v>-104998</v>
      </c>
      <c r="Y63" s="116">
        <f t="shared" si="52"/>
        <v>16654</v>
      </c>
      <c r="Z63" s="116">
        <f t="shared" si="52"/>
        <v>87781.90444</v>
      </c>
      <c r="AA63" s="116">
        <f t="shared" si="52"/>
        <v>60295.63213</v>
      </c>
      <c r="AB63" s="116">
        <f t="shared" si="52"/>
        <v>63075.07303</v>
      </c>
      <c r="AC63" s="116">
        <f t="shared" si="52"/>
        <v>59904.66792</v>
      </c>
      <c r="AD63" s="116">
        <f t="shared" si="52"/>
        <v>60171.14267</v>
      </c>
      <c r="AE63" s="116">
        <f t="shared" si="52"/>
        <v>59653.86594</v>
      </c>
      <c r="AF63" s="116">
        <f t="shared" si="52"/>
        <v>58771.3592</v>
      </c>
      <c r="AG63" s="116">
        <f t="shared" si="52"/>
        <v>54408.70796</v>
      </c>
      <c r="AH63" s="116">
        <f t="shared" si="52"/>
        <v>52143.18617</v>
      </c>
      <c r="AI63" s="116">
        <f t="shared" si="52"/>
        <v>50748.80056</v>
      </c>
      <c r="AJ63" s="116">
        <f t="shared" si="52"/>
        <v>44507.7166</v>
      </c>
      <c r="AK63" s="116">
        <f t="shared" si="52"/>
        <v>46531.6481</v>
      </c>
      <c r="AL63" s="116">
        <f t="shared" si="52"/>
        <v>46398.60998</v>
      </c>
      <c r="AM63" s="116">
        <f t="shared" si="52"/>
        <v>33017.75765</v>
      </c>
      <c r="AN63" s="116">
        <f t="shared" si="52"/>
        <v>6280.301876</v>
      </c>
      <c r="AO63" s="116">
        <f t="shared" si="52"/>
        <v>15157.10438</v>
      </c>
      <c r="AP63" s="116">
        <f t="shared" si="52"/>
        <v>18379.77857</v>
      </c>
      <c r="AQ63" s="116">
        <f t="shared" si="52"/>
        <v>18517.8134</v>
      </c>
      <c r="AR63" s="116">
        <f t="shared" si="52"/>
        <v>18548.94284</v>
      </c>
      <c r="AS63" s="116">
        <f t="shared" si="52"/>
        <v>18046.45599</v>
      </c>
      <c r="AT63" s="116">
        <f t="shared" si="52"/>
        <v>17681.9682</v>
      </c>
      <c r="AU63" s="116">
        <f t="shared" si="52"/>
        <v>17357.2098</v>
      </c>
      <c r="AV63" s="116">
        <f t="shared" si="52"/>
        <v>17056.5394</v>
      </c>
      <c r="AW63" s="116">
        <f t="shared" si="52"/>
        <v>16776.75548</v>
      </c>
      <c r="AX63" s="116">
        <f t="shared" si="52"/>
        <v>16516.56588</v>
      </c>
      <c r="AY63" s="116">
        <f t="shared" si="52"/>
        <v>26529.9185</v>
      </c>
      <c r="AZ63" s="116">
        <f t="shared" si="52"/>
        <v>26221.04357</v>
      </c>
      <c r="BA63" s="116">
        <f t="shared" si="52"/>
        <v>25559.12598</v>
      </c>
      <c r="BB63" s="116">
        <f t="shared" si="52"/>
        <v>25072.55375</v>
      </c>
      <c r="BC63" s="116">
        <f t="shared" si="52"/>
        <v>24632.8483</v>
      </c>
      <c r="BD63" s="116">
        <f t="shared" si="52"/>
        <v>24219.9444</v>
      </c>
      <c r="BE63" s="116">
        <f t="shared" si="52"/>
        <v>23830.07193</v>
      </c>
      <c r="BF63" s="116">
        <f t="shared" si="52"/>
        <v>23461.93679</v>
      </c>
      <c r="BG63" s="116">
        <f t="shared" si="52"/>
        <v>23114.64671</v>
      </c>
      <c r="BH63" s="116">
        <f t="shared" si="52"/>
        <v>22787.39892</v>
      </c>
      <c r="BI63" s="116">
        <f t="shared" si="52"/>
        <v>22479.4321</v>
      </c>
      <c r="BJ63" s="116">
        <f t="shared" si="52"/>
        <v>22190.018</v>
      </c>
      <c r="BK63" s="116">
        <f t="shared" si="52"/>
        <v>25779.53507</v>
      </c>
      <c r="BL63" s="116">
        <f t="shared" si="52"/>
        <v>22154.38038</v>
      </c>
      <c r="BM63" s="116">
        <f t="shared" si="52"/>
        <v>19959.10373</v>
      </c>
      <c r="BN63" s="116">
        <f t="shared" si="52"/>
        <v>20058.86507</v>
      </c>
      <c r="BO63" s="116">
        <f t="shared" si="52"/>
        <v>20030.69792</v>
      </c>
      <c r="BP63" s="116">
        <f t="shared" si="52"/>
        <v>19994.06227</v>
      </c>
      <c r="BQ63" s="116">
        <f t="shared" si="52"/>
        <v>19966.65582</v>
      </c>
      <c r="BR63" s="116">
        <f t="shared" si="52"/>
        <v>19950.92597</v>
      </c>
      <c r="BS63" s="116">
        <f t="shared" si="52"/>
        <v>19947.04628</v>
      </c>
      <c r="BT63" s="116">
        <f t="shared" si="52"/>
        <v>19954.86251</v>
      </c>
      <c r="BU63" s="116">
        <f t="shared" si="52"/>
        <v>19974.18426</v>
      </c>
      <c r="BV63" s="116">
        <f t="shared" si="52"/>
        <v>20004.82831</v>
      </c>
      <c r="BW63" s="116">
        <f t="shared" si="52"/>
        <v>22354.57884</v>
      </c>
      <c r="BX63" s="116">
        <f t="shared" si="52"/>
        <v>13739.32994</v>
      </c>
      <c r="BY63" s="116">
        <f t="shared" si="52"/>
        <v>13800.73703</v>
      </c>
      <c r="BZ63" s="116">
        <f t="shared" si="52"/>
        <v>14161.85848</v>
      </c>
      <c r="CA63" s="116">
        <f t="shared" si="52"/>
        <v>14081.73461</v>
      </c>
      <c r="CB63" s="116">
        <f t="shared" si="52"/>
        <v>13948.96472</v>
      </c>
      <c r="CC63" s="116">
        <f t="shared" si="52"/>
        <v>13821.26718</v>
      </c>
      <c r="CD63" s="116">
        <f t="shared" si="52"/>
        <v>13706.75324</v>
      </c>
      <c r="CE63" s="116">
        <f t="shared" si="52"/>
        <v>13606.11699</v>
      </c>
      <c r="CF63" s="116">
        <f t="shared" si="52"/>
        <v>13518.96299</v>
      </c>
      <c r="CG63" s="116">
        <f t="shared" si="52"/>
        <v>13444.75439</v>
      </c>
      <c r="CH63" s="116">
        <f t="shared" si="52"/>
        <v>13382.95428</v>
      </c>
    </row>
    <row r="64" ht="15.75" customHeight="1">
      <c r="A64" s="1" t="s">
        <v>692</v>
      </c>
      <c r="C64" s="146">
        <f>Revenue!C77</f>
        <v>315.978</v>
      </c>
      <c r="D64" s="146">
        <f>Revenue!D77</f>
        <v>524.03</v>
      </c>
      <c r="E64" s="146">
        <f>Revenue!E77</f>
        <v>479.838</v>
      </c>
      <c r="F64" s="146">
        <f>Revenue!F77</f>
        <v>493.704</v>
      </c>
      <c r="G64" s="146">
        <f>Revenue!G77</f>
        <v>337.506</v>
      </c>
      <c r="H64" s="146">
        <f>Revenue!H77</f>
        <v>438.854</v>
      </c>
      <c r="I64" s="146">
        <f>Revenue!I77</f>
        <v>359.766</v>
      </c>
      <c r="J64" s="146">
        <f>Revenue!J77</f>
        <v>331.086</v>
      </c>
      <c r="K64" s="146">
        <f>Revenue!K77</f>
        <v>454.36</v>
      </c>
      <c r="L64" s="146">
        <f>Revenue!L77</f>
        <v>518.012</v>
      </c>
      <c r="M64" s="146">
        <f>Revenue!M77</f>
        <v>468.942</v>
      </c>
      <c r="N64" s="146">
        <f>Revenue!N77</f>
        <v>531.516</v>
      </c>
      <c r="O64" s="146">
        <f>Revenue!O77</f>
        <v>462.682</v>
      </c>
      <c r="P64" s="146">
        <f>Revenue!P77</f>
        <v>439.554</v>
      </c>
      <c r="Q64" s="146">
        <f>Revenue!Q77</f>
        <v>281.062</v>
      </c>
      <c r="R64" s="146">
        <f>Revenue!R77</f>
        <v>345.044</v>
      </c>
      <c r="S64" s="146">
        <f>Revenue!S77</f>
        <v>335.906</v>
      </c>
      <c r="T64" s="146">
        <f>Revenue!T77</f>
        <v>366.882</v>
      </c>
      <c r="U64" s="146">
        <f>Revenue!U77</f>
        <v>257.084</v>
      </c>
      <c r="V64" s="146">
        <f>Revenue!V77</f>
        <v>521.936</v>
      </c>
      <c r="W64" s="146">
        <f>Revenue!W77</f>
        <v>548.084</v>
      </c>
      <c r="X64" s="146">
        <f>Revenue!X77</f>
        <v>338.088</v>
      </c>
      <c r="Y64" s="146">
        <f>Revenue!Y77</f>
        <v>371.396</v>
      </c>
      <c r="Z64" s="146">
        <f>Revenue!Z77</f>
        <v>546.9598089</v>
      </c>
      <c r="AA64" s="146">
        <f>Revenue!AA77</f>
        <v>667.5510731</v>
      </c>
      <c r="AB64" s="146">
        <f>Revenue!AB77</f>
        <v>793.7012192</v>
      </c>
      <c r="AC64" s="146">
        <f>Revenue!AC77</f>
        <v>913.510555</v>
      </c>
      <c r="AD64" s="146">
        <f>Revenue!AD77</f>
        <v>1033.85284</v>
      </c>
      <c r="AE64" s="146">
        <f>Revenue!AE77</f>
        <v>1153.160572</v>
      </c>
      <c r="AF64" s="146">
        <f>Revenue!AF77</f>
        <v>1270.703291</v>
      </c>
      <c r="AG64" s="146">
        <f>Revenue!AG77</f>
        <v>1379.520707</v>
      </c>
      <c r="AH64" s="146">
        <f>Revenue!AH77</f>
        <v>1483.807079</v>
      </c>
      <c r="AI64" s="146">
        <f>Revenue!AI77</f>
        <v>1585.30468</v>
      </c>
      <c r="AJ64" s="146">
        <f>Revenue!AJ77</f>
        <v>1674.320113</v>
      </c>
      <c r="AK64" s="146">
        <f>Revenue!AK77</f>
        <v>1767.383409</v>
      </c>
      <c r="AL64" s="146">
        <f>Revenue!AL77</f>
        <v>1860.180629</v>
      </c>
      <c r="AM64" s="146">
        <f>Revenue!AM77</f>
        <v>1926.216145</v>
      </c>
      <c r="AN64" s="146">
        <f>Revenue!AN77</f>
        <v>1938.776748</v>
      </c>
      <c r="AO64" s="146">
        <f>Revenue!AO77</f>
        <v>1969.090957</v>
      </c>
      <c r="AP64" s="146">
        <f>Revenue!AP77</f>
        <v>2005.850514</v>
      </c>
      <c r="AQ64" s="146">
        <f>Revenue!AQ77</f>
        <v>2042.886141</v>
      </c>
      <c r="AR64" s="146">
        <f>Revenue!AR77</f>
        <v>2079.984027</v>
      </c>
      <c r="AS64" s="146">
        <f>Revenue!AS77</f>
        <v>2116.076939</v>
      </c>
      <c r="AT64" s="146">
        <f>Revenue!AT77</f>
        <v>2151.440875</v>
      </c>
      <c r="AU64" s="146">
        <f>Revenue!AU77</f>
        <v>2186.155295</v>
      </c>
      <c r="AV64" s="146">
        <f>Revenue!AV77</f>
        <v>2220.268374</v>
      </c>
      <c r="AW64" s="146">
        <f>Revenue!AW77</f>
        <v>2253.821885</v>
      </c>
      <c r="AX64" s="146">
        <f>Revenue!AX77</f>
        <v>2286.855016</v>
      </c>
      <c r="AY64" s="146">
        <f>Revenue!AY77</f>
        <v>2339.914853</v>
      </c>
      <c r="AZ64" s="146">
        <f>Revenue!AZ77</f>
        <v>2392.35694</v>
      </c>
      <c r="BA64" s="146">
        <f>Revenue!BA77</f>
        <v>2443.475192</v>
      </c>
      <c r="BB64" s="146">
        <f>Revenue!BB77</f>
        <v>2493.6203</v>
      </c>
      <c r="BC64" s="146">
        <f>Revenue!BC77</f>
        <v>2542.885997</v>
      </c>
      <c r="BD64" s="146">
        <f>Revenue!BD77</f>
        <v>2591.325885</v>
      </c>
      <c r="BE64" s="146">
        <f>Revenue!BE77</f>
        <v>2638.986029</v>
      </c>
      <c r="BF64" s="146">
        <f>Revenue!BF77</f>
        <v>2685.909903</v>
      </c>
      <c r="BG64" s="146">
        <f>Revenue!BG77</f>
        <v>2732.139196</v>
      </c>
      <c r="BH64" s="146">
        <f>Revenue!BH77</f>
        <v>2777.713994</v>
      </c>
      <c r="BI64" s="146">
        <f>Revenue!BI77</f>
        <v>2822.672858</v>
      </c>
      <c r="BJ64" s="146">
        <f>Revenue!BJ77</f>
        <v>2867.052894</v>
      </c>
      <c r="BK64" s="146">
        <f>Revenue!BK77</f>
        <v>3388.646376</v>
      </c>
      <c r="BL64" s="146">
        <f>Revenue!BL77</f>
        <v>3410.94372</v>
      </c>
      <c r="BM64" s="146">
        <f>Revenue!BM77</f>
        <v>3447.401779</v>
      </c>
      <c r="BN64" s="146">
        <f>Revenue!BN77</f>
        <v>3486.772708</v>
      </c>
      <c r="BO64" s="146">
        <f>Revenue!BO77</f>
        <v>3526.518626</v>
      </c>
      <c r="BP64" s="146">
        <f>Revenue!BP77</f>
        <v>3566.278245</v>
      </c>
      <c r="BQ64" s="146">
        <f>Revenue!BQ77</f>
        <v>3606.016371</v>
      </c>
      <c r="BR64" s="146">
        <f>Revenue!BR77</f>
        <v>3645.746348</v>
      </c>
      <c r="BS64" s="146">
        <f>Revenue!BS77</f>
        <v>3685.488454</v>
      </c>
      <c r="BT64" s="146">
        <f>Revenue!BT77</f>
        <v>3725.263682</v>
      </c>
      <c r="BU64" s="146">
        <f>Revenue!BU77</f>
        <v>3765.09283</v>
      </c>
      <c r="BV64" s="146">
        <f>Revenue!BV77</f>
        <v>3804.996393</v>
      </c>
      <c r="BW64" s="146">
        <f>Revenue!BW77</f>
        <v>3849.153034</v>
      </c>
      <c r="BX64" s="146">
        <f>Revenue!BX77</f>
        <v>3808.174436</v>
      </c>
      <c r="BY64" s="146">
        <f>Revenue!BY77</f>
        <v>3826.164721</v>
      </c>
      <c r="BZ64" s="146">
        <f>Revenue!BZ77</f>
        <v>3853.649332</v>
      </c>
      <c r="CA64" s="146">
        <f>Revenue!CA77</f>
        <v>3882.33112</v>
      </c>
      <c r="CB64" s="146">
        <f>Revenue!CB77</f>
        <v>3910.989985</v>
      </c>
      <c r="CC64" s="146">
        <f>Revenue!CC77</f>
        <v>3939.466356</v>
      </c>
      <c r="CD64" s="146">
        <f>Revenue!CD77</f>
        <v>3967.758755</v>
      </c>
      <c r="CE64" s="146">
        <f>Revenue!CE77</f>
        <v>3995.88848</v>
      </c>
      <c r="CF64" s="146">
        <f>Revenue!CF77</f>
        <v>4023.879343</v>
      </c>
      <c r="CG64" s="146">
        <f>Revenue!CG77</f>
        <v>4051.754674</v>
      </c>
      <c r="CH64" s="146">
        <f>Revenue!CH77</f>
        <v>4079.536908</v>
      </c>
    </row>
    <row r="65" ht="15.75" customHeight="1">
      <c r="A65" s="1" t="s">
        <v>693</v>
      </c>
      <c r="C65" s="146"/>
      <c r="D65" s="146">
        <f t="shared" ref="D65:CH65" si="53">D64-C64</f>
        <v>208.052</v>
      </c>
      <c r="E65" s="146">
        <f t="shared" si="53"/>
        <v>-44.192</v>
      </c>
      <c r="F65" s="146">
        <f t="shared" si="53"/>
        <v>13.866</v>
      </c>
      <c r="G65" s="146">
        <f t="shared" si="53"/>
        <v>-156.198</v>
      </c>
      <c r="H65" s="146">
        <f t="shared" si="53"/>
        <v>101.348</v>
      </c>
      <c r="I65" s="146">
        <f t="shared" si="53"/>
        <v>-79.088</v>
      </c>
      <c r="J65" s="146">
        <f t="shared" si="53"/>
        <v>-28.68</v>
      </c>
      <c r="K65" s="146">
        <f t="shared" si="53"/>
        <v>123.274</v>
      </c>
      <c r="L65" s="146">
        <f t="shared" si="53"/>
        <v>63.652</v>
      </c>
      <c r="M65" s="146">
        <f t="shared" si="53"/>
        <v>-49.07</v>
      </c>
      <c r="N65" s="146">
        <f t="shared" si="53"/>
        <v>62.574</v>
      </c>
      <c r="O65" s="146">
        <f t="shared" si="53"/>
        <v>-68.834</v>
      </c>
      <c r="P65" s="146">
        <f t="shared" si="53"/>
        <v>-23.128</v>
      </c>
      <c r="Q65" s="146">
        <f t="shared" si="53"/>
        <v>-158.492</v>
      </c>
      <c r="R65" s="146">
        <f t="shared" si="53"/>
        <v>63.982</v>
      </c>
      <c r="S65" s="146">
        <f t="shared" si="53"/>
        <v>-9.138</v>
      </c>
      <c r="T65" s="146">
        <f t="shared" si="53"/>
        <v>30.976</v>
      </c>
      <c r="U65" s="146">
        <f t="shared" si="53"/>
        <v>-109.798</v>
      </c>
      <c r="V65" s="146">
        <f t="shared" si="53"/>
        <v>264.852</v>
      </c>
      <c r="W65" s="146">
        <f t="shared" si="53"/>
        <v>26.148</v>
      </c>
      <c r="X65" s="146">
        <f t="shared" si="53"/>
        <v>-209.996</v>
      </c>
      <c r="Y65" s="146">
        <f t="shared" si="53"/>
        <v>33.308</v>
      </c>
      <c r="Z65" s="146">
        <f t="shared" si="53"/>
        <v>175.5638089</v>
      </c>
      <c r="AA65" s="146">
        <f t="shared" si="53"/>
        <v>120.5912643</v>
      </c>
      <c r="AB65" s="146">
        <f t="shared" si="53"/>
        <v>126.1501461</v>
      </c>
      <c r="AC65" s="146">
        <f t="shared" si="53"/>
        <v>119.8093358</v>
      </c>
      <c r="AD65" s="146">
        <f t="shared" si="53"/>
        <v>120.3422853</v>
      </c>
      <c r="AE65" s="146">
        <f t="shared" si="53"/>
        <v>119.3077319</v>
      </c>
      <c r="AF65" s="146">
        <f t="shared" si="53"/>
        <v>117.5427184</v>
      </c>
      <c r="AG65" s="146">
        <f t="shared" si="53"/>
        <v>108.8174159</v>
      </c>
      <c r="AH65" s="146">
        <f t="shared" si="53"/>
        <v>104.2863723</v>
      </c>
      <c r="AI65" s="146">
        <f t="shared" si="53"/>
        <v>101.4976011</v>
      </c>
      <c r="AJ65" s="146">
        <f t="shared" si="53"/>
        <v>89.0154332</v>
      </c>
      <c r="AK65" s="146">
        <f t="shared" si="53"/>
        <v>93.0632962</v>
      </c>
      <c r="AL65" s="146">
        <f t="shared" si="53"/>
        <v>92.79721996</v>
      </c>
      <c r="AM65" s="146">
        <f t="shared" si="53"/>
        <v>66.0355153</v>
      </c>
      <c r="AN65" s="146">
        <f t="shared" si="53"/>
        <v>12.56060375</v>
      </c>
      <c r="AO65" s="146">
        <f t="shared" si="53"/>
        <v>30.31420876</v>
      </c>
      <c r="AP65" s="146">
        <f t="shared" si="53"/>
        <v>36.75955714</v>
      </c>
      <c r="AQ65" s="146">
        <f t="shared" si="53"/>
        <v>37.0356268</v>
      </c>
      <c r="AR65" s="146">
        <f t="shared" si="53"/>
        <v>37.09788567</v>
      </c>
      <c r="AS65" s="146">
        <f t="shared" si="53"/>
        <v>36.09291197</v>
      </c>
      <c r="AT65" s="146">
        <f t="shared" si="53"/>
        <v>35.3639364</v>
      </c>
      <c r="AU65" s="146">
        <f t="shared" si="53"/>
        <v>34.71441961</v>
      </c>
      <c r="AV65" s="146">
        <f t="shared" si="53"/>
        <v>34.1130788</v>
      </c>
      <c r="AW65" s="146">
        <f t="shared" si="53"/>
        <v>33.55351095</v>
      </c>
      <c r="AX65" s="146">
        <f t="shared" si="53"/>
        <v>33.03313176</v>
      </c>
      <c r="AY65" s="146">
        <f t="shared" si="53"/>
        <v>53.059837</v>
      </c>
      <c r="AZ65" s="146">
        <f t="shared" si="53"/>
        <v>52.44208714</v>
      </c>
      <c r="BA65" s="146">
        <f t="shared" si="53"/>
        <v>51.11825197</v>
      </c>
      <c r="BB65" s="146">
        <f t="shared" si="53"/>
        <v>50.14510751</v>
      </c>
      <c r="BC65" s="146">
        <f t="shared" si="53"/>
        <v>49.2656966</v>
      </c>
      <c r="BD65" s="146">
        <f t="shared" si="53"/>
        <v>48.43988879</v>
      </c>
      <c r="BE65" s="146">
        <f t="shared" si="53"/>
        <v>47.66014386</v>
      </c>
      <c r="BF65" s="146">
        <f t="shared" si="53"/>
        <v>46.92387357</v>
      </c>
      <c r="BG65" s="146">
        <f t="shared" si="53"/>
        <v>46.22929342</v>
      </c>
      <c r="BH65" s="146">
        <f t="shared" si="53"/>
        <v>45.57479785</v>
      </c>
      <c r="BI65" s="146">
        <f t="shared" si="53"/>
        <v>44.9588642</v>
      </c>
      <c r="BJ65" s="146">
        <f t="shared" si="53"/>
        <v>44.38003599</v>
      </c>
      <c r="BK65" s="146">
        <f t="shared" si="53"/>
        <v>521.5934819</v>
      </c>
      <c r="BL65" s="146">
        <f t="shared" si="53"/>
        <v>22.29734377</v>
      </c>
      <c r="BM65" s="146">
        <f t="shared" si="53"/>
        <v>36.45805943</v>
      </c>
      <c r="BN65" s="146">
        <f t="shared" si="53"/>
        <v>39.37092886</v>
      </c>
      <c r="BO65" s="146">
        <f t="shared" si="53"/>
        <v>39.74591749</v>
      </c>
      <c r="BP65" s="146">
        <f t="shared" si="53"/>
        <v>39.75961957</v>
      </c>
      <c r="BQ65" s="146">
        <f t="shared" si="53"/>
        <v>39.73812589</v>
      </c>
      <c r="BR65" s="146">
        <f t="shared" si="53"/>
        <v>39.72997706</v>
      </c>
      <c r="BS65" s="146">
        <f t="shared" si="53"/>
        <v>39.7421058</v>
      </c>
      <c r="BT65" s="146">
        <f t="shared" si="53"/>
        <v>39.77522762</v>
      </c>
      <c r="BU65" s="146">
        <f t="shared" si="53"/>
        <v>39.82914884</v>
      </c>
      <c r="BV65" s="146">
        <f t="shared" si="53"/>
        <v>39.90356218</v>
      </c>
      <c r="BW65" s="146">
        <f t="shared" si="53"/>
        <v>44.15664116</v>
      </c>
      <c r="BX65" s="146">
        <f t="shared" si="53"/>
        <v>-40.97859726</v>
      </c>
      <c r="BY65" s="146">
        <f t="shared" si="53"/>
        <v>17.99028476</v>
      </c>
      <c r="BZ65" s="146">
        <f t="shared" si="53"/>
        <v>27.48461089</v>
      </c>
      <c r="CA65" s="146">
        <f t="shared" si="53"/>
        <v>28.68178778</v>
      </c>
      <c r="CB65" s="146">
        <f t="shared" si="53"/>
        <v>28.65886503</v>
      </c>
      <c r="CC65" s="146">
        <f t="shared" si="53"/>
        <v>28.47637072</v>
      </c>
      <c r="CD65" s="146">
        <f t="shared" si="53"/>
        <v>28.29239973</v>
      </c>
      <c r="CE65" s="146">
        <f t="shared" si="53"/>
        <v>28.12972507</v>
      </c>
      <c r="CF65" s="146">
        <f t="shared" si="53"/>
        <v>27.99086296</v>
      </c>
      <c r="CG65" s="146">
        <f t="shared" si="53"/>
        <v>27.87533079</v>
      </c>
      <c r="CH65" s="146">
        <f t="shared" si="53"/>
        <v>27.78223426</v>
      </c>
    </row>
    <row r="66" ht="15.75" customHeight="1"/>
    <row r="67" ht="15.75" customHeight="1">
      <c r="A67" s="1" t="s">
        <v>694</v>
      </c>
      <c r="M67" s="242"/>
      <c r="N67" s="242"/>
      <c r="O67" s="208">
        <v>0.98</v>
      </c>
      <c r="P67" s="208">
        <v>0.98</v>
      </c>
      <c r="Q67" s="208">
        <v>0.98</v>
      </c>
      <c r="R67" s="208">
        <v>0.98</v>
      </c>
      <c r="S67" s="208">
        <v>0.98</v>
      </c>
      <c r="T67" s="208">
        <v>0.98</v>
      </c>
      <c r="U67" s="208">
        <f t="shared" ref="U67:X67" si="54">T67</f>
        <v>0.98</v>
      </c>
      <c r="V67" s="208">
        <f t="shared" si="54"/>
        <v>0.98</v>
      </c>
      <c r="W67" s="208">
        <f t="shared" si="54"/>
        <v>0.98</v>
      </c>
      <c r="X67" s="208">
        <f t="shared" si="54"/>
        <v>0.98</v>
      </c>
      <c r="Y67" s="208">
        <v>0.93</v>
      </c>
      <c r="Z67" s="208">
        <v>0.93</v>
      </c>
      <c r="AA67" s="208">
        <v>0.975</v>
      </c>
      <c r="AB67" s="208">
        <v>0.975</v>
      </c>
      <c r="AC67" s="208">
        <v>0.975</v>
      </c>
      <c r="AD67" s="208">
        <v>0.975</v>
      </c>
      <c r="AE67" s="208">
        <v>0.985</v>
      </c>
      <c r="AF67" s="208">
        <v>0.985</v>
      </c>
      <c r="AG67" s="208">
        <v>0.985</v>
      </c>
      <c r="AH67" s="208">
        <v>0.985</v>
      </c>
      <c r="AI67" s="208">
        <v>0.985</v>
      </c>
      <c r="AJ67" s="208">
        <v>0.985</v>
      </c>
      <c r="AK67" s="208">
        <v>0.985</v>
      </c>
      <c r="AL67" s="208">
        <v>0.985</v>
      </c>
      <c r="AM67" s="208">
        <v>0.985</v>
      </c>
      <c r="AN67" s="208">
        <v>0.985</v>
      </c>
      <c r="AO67" s="208">
        <v>0.985</v>
      </c>
      <c r="AP67" s="208">
        <v>0.985</v>
      </c>
      <c r="AQ67" s="208">
        <v>0.985</v>
      </c>
      <c r="AR67" s="208">
        <v>0.985</v>
      </c>
      <c r="AS67" s="208">
        <v>0.985</v>
      </c>
      <c r="AT67" s="208">
        <v>0.985</v>
      </c>
      <c r="AU67" s="208">
        <v>0.985</v>
      </c>
      <c r="AV67" s="208">
        <v>0.985</v>
      </c>
      <c r="AW67" s="208">
        <v>0.985</v>
      </c>
      <c r="AX67" s="208">
        <v>0.985</v>
      </c>
      <c r="AY67" s="208">
        <v>0.985</v>
      </c>
      <c r="AZ67" s="208">
        <v>0.985</v>
      </c>
      <c r="BA67" s="208">
        <v>0.985</v>
      </c>
      <c r="BB67" s="208">
        <v>0.985</v>
      </c>
      <c r="BC67" s="208">
        <v>0.985</v>
      </c>
      <c r="BD67" s="208">
        <v>0.985</v>
      </c>
      <c r="BE67" s="208">
        <v>0.985</v>
      </c>
      <c r="BF67" s="208">
        <v>0.985</v>
      </c>
      <c r="BG67" s="208">
        <v>0.985</v>
      </c>
      <c r="BH67" s="208">
        <v>0.985</v>
      </c>
      <c r="BI67" s="208">
        <v>0.985</v>
      </c>
      <c r="BJ67" s="208">
        <v>0.985</v>
      </c>
      <c r="BK67" s="208">
        <v>0.985</v>
      </c>
      <c r="BL67" s="208">
        <v>0.985</v>
      </c>
      <c r="BM67" s="208">
        <v>0.985</v>
      </c>
      <c r="BN67" s="208">
        <v>0.985</v>
      </c>
      <c r="BO67" s="208">
        <v>0.985</v>
      </c>
      <c r="BP67" s="208">
        <v>0.985</v>
      </c>
      <c r="BQ67" s="208">
        <v>0.985</v>
      </c>
      <c r="BR67" s="208">
        <v>0.985</v>
      </c>
      <c r="BS67" s="208">
        <v>0.985</v>
      </c>
      <c r="BT67" s="208">
        <v>0.985</v>
      </c>
      <c r="BU67" s="208">
        <v>0.985</v>
      </c>
      <c r="BV67" s="208">
        <v>0.985</v>
      </c>
      <c r="BW67" s="208">
        <v>0.985</v>
      </c>
      <c r="BX67" s="208">
        <v>0.985</v>
      </c>
      <c r="BY67" s="208">
        <v>0.985</v>
      </c>
      <c r="BZ67" s="208">
        <v>0.985</v>
      </c>
      <c r="CA67" s="208">
        <v>0.985</v>
      </c>
      <c r="CB67" s="208">
        <v>0.985</v>
      </c>
      <c r="CC67" s="208">
        <v>0.985</v>
      </c>
      <c r="CD67" s="208">
        <v>0.985</v>
      </c>
      <c r="CE67" s="208">
        <v>0.985</v>
      </c>
      <c r="CF67" s="208">
        <v>0.985</v>
      </c>
      <c r="CG67" s="208">
        <v>0.985</v>
      </c>
      <c r="CH67" s="208">
        <v>0.985</v>
      </c>
    </row>
    <row r="68" ht="15.75" customHeight="1">
      <c r="A68" s="1" t="s">
        <v>695</v>
      </c>
      <c r="M68" s="242"/>
      <c r="N68" s="242"/>
      <c r="O68" s="130">
        <f t="shared" ref="O68:CH68" si="55">1-O67</f>
        <v>0.02</v>
      </c>
      <c r="P68" s="130">
        <f t="shared" si="55"/>
        <v>0.02</v>
      </c>
      <c r="Q68" s="130">
        <f t="shared" si="55"/>
        <v>0.02</v>
      </c>
      <c r="R68" s="130">
        <f t="shared" si="55"/>
        <v>0.02</v>
      </c>
      <c r="S68" s="130">
        <f t="shared" si="55"/>
        <v>0.02</v>
      </c>
      <c r="T68" s="130">
        <f t="shared" si="55"/>
        <v>0.02</v>
      </c>
      <c r="U68" s="130">
        <f t="shared" si="55"/>
        <v>0.02</v>
      </c>
      <c r="V68" s="130">
        <f t="shared" si="55"/>
        <v>0.02</v>
      </c>
      <c r="W68" s="130">
        <f t="shared" si="55"/>
        <v>0.02</v>
      </c>
      <c r="X68" s="130">
        <f t="shared" si="55"/>
        <v>0.02</v>
      </c>
      <c r="Y68" s="130">
        <f t="shared" si="55"/>
        <v>0.07</v>
      </c>
      <c r="Z68" s="130">
        <f t="shared" si="55"/>
        <v>0.07</v>
      </c>
      <c r="AA68" s="130">
        <f t="shared" si="55"/>
        <v>0.025</v>
      </c>
      <c r="AB68" s="130">
        <f t="shared" si="55"/>
        <v>0.025</v>
      </c>
      <c r="AC68" s="130">
        <f t="shared" si="55"/>
        <v>0.025</v>
      </c>
      <c r="AD68" s="130">
        <f t="shared" si="55"/>
        <v>0.025</v>
      </c>
      <c r="AE68" s="130">
        <f t="shared" si="55"/>
        <v>0.015</v>
      </c>
      <c r="AF68" s="130">
        <f t="shared" si="55"/>
        <v>0.015</v>
      </c>
      <c r="AG68" s="130">
        <f t="shared" si="55"/>
        <v>0.015</v>
      </c>
      <c r="AH68" s="130">
        <f t="shared" si="55"/>
        <v>0.015</v>
      </c>
      <c r="AI68" s="130">
        <f t="shared" si="55"/>
        <v>0.015</v>
      </c>
      <c r="AJ68" s="130">
        <f t="shared" si="55"/>
        <v>0.015</v>
      </c>
      <c r="AK68" s="130">
        <f t="shared" si="55"/>
        <v>0.015</v>
      </c>
      <c r="AL68" s="130">
        <f t="shared" si="55"/>
        <v>0.015</v>
      </c>
      <c r="AM68" s="130">
        <f t="shared" si="55"/>
        <v>0.015</v>
      </c>
      <c r="AN68" s="130">
        <f t="shared" si="55"/>
        <v>0.015</v>
      </c>
      <c r="AO68" s="130">
        <f t="shared" si="55"/>
        <v>0.015</v>
      </c>
      <c r="AP68" s="130">
        <f t="shared" si="55"/>
        <v>0.015</v>
      </c>
      <c r="AQ68" s="130">
        <f t="shared" si="55"/>
        <v>0.015</v>
      </c>
      <c r="AR68" s="130">
        <f t="shared" si="55"/>
        <v>0.015</v>
      </c>
      <c r="AS68" s="130">
        <f t="shared" si="55"/>
        <v>0.015</v>
      </c>
      <c r="AT68" s="130">
        <f t="shared" si="55"/>
        <v>0.015</v>
      </c>
      <c r="AU68" s="130">
        <f t="shared" si="55"/>
        <v>0.015</v>
      </c>
      <c r="AV68" s="130">
        <f t="shared" si="55"/>
        <v>0.015</v>
      </c>
      <c r="AW68" s="130">
        <f t="shared" si="55"/>
        <v>0.015</v>
      </c>
      <c r="AX68" s="130">
        <f t="shared" si="55"/>
        <v>0.015</v>
      </c>
      <c r="AY68" s="130">
        <f t="shared" si="55"/>
        <v>0.015</v>
      </c>
      <c r="AZ68" s="130">
        <f t="shared" si="55"/>
        <v>0.015</v>
      </c>
      <c r="BA68" s="130">
        <f t="shared" si="55"/>
        <v>0.015</v>
      </c>
      <c r="BB68" s="130">
        <f t="shared" si="55"/>
        <v>0.015</v>
      </c>
      <c r="BC68" s="130">
        <f t="shared" si="55"/>
        <v>0.015</v>
      </c>
      <c r="BD68" s="130">
        <f t="shared" si="55"/>
        <v>0.015</v>
      </c>
      <c r="BE68" s="130">
        <f t="shared" si="55"/>
        <v>0.015</v>
      </c>
      <c r="BF68" s="130">
        <f t="shared" si="55"/>
        <v>0.015</v>
      </c>
      <c r="BG68" s="130">
        <f t="shared" si="55"/>
        <v>0.015</v>
      </c>
      <c r="BH68" s="130">
        <f t="shared" si="55"/>
        <v>0.015</v>
      </c>
      <c r="BI68" s="130">
        <f t="shared" si="55"/>
        <v>0.015</v>
      </c>
      <c r="BJ68" s="130">
        <f t="shared" si="55"/>
        <v>0.015</v>
      </c>
      <c r="BK68" s="130">
        <f t="shared" si="55"/>
        <v>0.015</v>
      </c>
      <c r="BL68" s="130">
        <f t="shared" si="55"/>
        <v>0.015</v>
      </c>
      <c r="BM68" s="130">
        <f t="shared" si="55"/>
        <v>0.015</v>
      </c>
      <c r="BN68" s="130">
        <f t="shared" si="55"/>
        <v>0.015</v>
      </c>
      <c r="BO68" s="130">
        <f t="shared" si="55"/>
        <v>0.015</v>
      </c>
      <c r="BP68" s="130">
        <f t="shared" si="55"/>
        <v>0.015</v>
      </c>
      <c r="BQ68" s="130">
        <f t="shared" si="55"/>
        <v>0.015</v>
      </c>
      <c r="BR68" s="130">
        <f t="shared" si="55"/>
        <v>0.015</v>
      </c>
      <c r="BS68" s="130">
        <f t="shared" si="55"/>
        <v>0.015</v>
      </c>
      <c r="BT68" s="130">
        <f t="shared" si="55"/>
        <v>0.015</v>
      </c>
      <c r="BU68" s="130">
        <f t="shared" si="55"/>
        <v>0.015</v>
      </c>
      <c r="BV68" s="130">
        <f t="shared" si="55"/>
        <v>0.015</v>
      </c>
      <c r="BW68" s="130">
        <f t="shared" si="55"/>
        <v>0.015</v>
      </c>
      <c r="BX68" s="130">
        <f t="shared" si="55"/>
        <v>0.015</v>
      </c>
      <c r="BY68" s="130">
        <f t="shared" si="55"/>
        <v>0.015</v>
      </c>
      <c r="BZ68" s="130">
        <f t="shared" si="55"/>
        <v>0.015</v>
      </c>
      <c r="CA68" s="130">
        <f t="shared" si="55"/>
        <v>0.015</v>
      </c>
      <c r="CB68" s="130">
        <f t="shared" si="55"/>
        <v>0.015</v>
      </c>
      <c r="CC68" s="130">
        <f t="shared" si="55"/>
        <v>0.015</v>
      </c>
      <c r="CD68" s="130">
        <f t="shared" si="55"/>
        <v>0.015</v>
      </c>
      <c r="CE68" s="130">
        <f t="shared" si="55"/>
        <v>0.015</v>
      </c>
      <c r="CF68" s="130">
        <f t="shared" si="55"/>
        <v>0.015</v>
      </c>
      <c r="CG68" s="130">
        <f t="shared" si="55"/>
        <v>0.015</v>
      </c>
      <c r="CH68" s="130">
        <f t="shared" si="55"/>
        <v>0.015</v>
      </c>
    </row>
    <row r="69" ht="15.75" customHeight="1"/>
    <row r="70" ht="15.75" customHeight="1"/>
    <row r="71" ht="15.75" customHeight="1">
      <c r="A71" s="1" t="s">
        <v>696</v>
      </c>
      <c r="M71" s="173">
        <v>18.0</v>
      </c>
      <c r="N71" s="242">
        <f t="shared" ref="N71:CH71" si="56">M71+M76</f>
        <v>18</v>
      </c>
      <c r="O71" s="242">
        <f t="shared" si="56"/>
        <v>18</v>
      </c>
      <c r="P71" s="242">
        <f t="shared" si="56"/>
        <v>18</v>
      </c>
      <c r="Q71" s="242">
        <f t="shared" si="56"/>
        <v>18</v>
      </c>
      <c r="R71" s="242">
        <f t="shared" si="56"/>
        <v>18</v>
      </c>
      <c r="S71" s="242">
        <f t="shared" si="56"/>
        <v>18</v>
      </c>
      <c r="T71" s="242">
        <f t="shared" si="56"/>
        <v>18</v>
      </c>
      <c r="U71" s="242">
        <f t="shared" si="56"/>
        <v>18</v>
      </c>
      <c r="V71" s="242">
        <f t="shared" si="56"/>
        <v>18</v>
      </c>
      <c r="W71" s="242">
        <f t="shared" si="56"/>
        <v>18</v>
      </c>
      <c r="X71" s="242">
        <f t="shared" si="56"/>
        <v>18</v>
      </c>
      <c r="Y71" s="242">
        <f t="shared" si="56"/>
        <v>18</v>
      </c>
      <c r="Z71" s="146">
        <f t="shared" si="56"/>
        <v>19</v>
      </c>
      <c r="AA71" s="146">
        <f t="shared" si="56"/>
        <v>19</v>
      </c>
      <c r="AB71" s="146">
        <f t="shared" si="56"/>
        <v>19</v>
      </c>
      <c r="AC71" s="146">
        <f t="shared" si="56"/>
        <v>19</v>
      </c>
      <c r="AD71" s="146">
        <f t="shared" si="56"/>
        <v>19</v>
      </c>
      <c r="AE71" s="146">
        <f t="shared" si="56"/>
        <v>19</v>
      </c>
      <c r="AF71" s="146">
        <f t="shared" si="56"/>
        <v>19</v>
      </c>
      <c r="AG71" s="146">
        <f t="shared" si="56"/>
        <v>19</v>
      </c>
      <c r="AH71" s="146">
        <f t="shared" si="56"/>
        <v>19</v>
      </c>
      <c r="AI71" s="146">
        <f t="shared" si="56"/>
        <v>19</v>
      </c>
      <c r="AJ71" s="146">
        <f t="shared" si="56"/>
        <v>19</v>
      </c>
      <c r="AK71" s="146">
        <f t="shared" si="56"/>
        <v>19</v>
      </c>
      <c r="AL71" s="146">
        <f t="shared" si="56"/>
        <v>19</v>
      </c>
      <c r="AM71" s="146">
        <f t="shared" si="56"/>
        <v>19</v>
      </c>
      <c r="AN71" s="146">
        <f t="shared" si="56"/>
        <v>19</v>
      </c>
      <c r="AO71" s="146">
        <f t="shared" si="56"/>
        <v>19</v>
      </c>
      <c r="AP71" s="146">
        <f t="shared" si="56"/>
        <v>19</v>
      </c>
      <c r="AQ71" s="146">
        <f t="shared" si="56"/>
        <v>19</v>
      </c>
      <c r="AR71" s="146">
        <f t="shared" si="56"/>
        <v>19</v>
      </c>
      <c r="AS71" s="146">
        <f t="shared" si="56"/>
        <v>19</v>
      </c>
      <c r="AT71" s="146">
        <f t="shared" si="56"/>
        <v>19</v>
      </c>
      <c r="AU71" s="146">
        <f t="shared" si="56"/>
        <v>19</v>
      </c>
      <c r="AV71" s="146">
        <f t="shared" si="56"/>
        <v>19</v>
      </c>
      <c r="AW71" s="146">
        <f t="shared" si="56"/>
        <v>19</v>
      </c>
      <c r="AX71" s="146">
        <f t="shared" si="56"/>
        <v>19</v>
      </c>
      <c r="AY71" s="146">
        <f t="shared" si="56"/>
        <v>19</v>
      </c>
      <c r="AZ71" s="146">
        <f t="shared" si="56"/>
        <v>19</v>
      </c>
      <c r="BA71" s="146">
        <f t="shared" si="56"/>
        <v>19</v>
      </c>
      <c r="BB71" s="146">
        <f t="shared" si="56"/>
        <v>19</v>
      </c>
      <c r="BC71" s="146">
        <f t="shared" si="56"/>
        <v>19</v>
      </c>
      <c r="BD71" s="146">
        <f t="shared" si="56"/>
        <v>19</v>
      </c>
      <c r="BE71" s="146">
        <f t="shared" si="56"/>
        <v>19</v>
      </c>
      <c r="BF71" s="146">
        <f t="shared" si="56"/>
        <v>19</v>
      </c>
      <c r="BG71" s="146">
        <f t="shared" si="56"/>
        <v>19</v>
      </c>
      <c r="BH71" s="146">
        <f t="shared" si="56"/>
        <v>19</v>
      </c>
      <c r="BI71" s="146">
        <f t="shared" si="56"/>
        <v>19</v>
      </c>
      <c r="BJ71" s="146">
        <f t="shared" si="56"/>
        <v>20</v>
      </c>
      <c r="BK71" s="146">
        <f t="shared" si="56"/>
        <v>20</v>
      </c>
      <c r="BL71" s="146">
        <f t="shared" si="56"/>
        <v>23</v>
      </c>
      <c r="BM71" s="146">
        <f t="shared" si="56"/>
        <v>24</v>
      </c>
      <c r="BN71" s="146">
        <f t="shared" si="56"/>
        <v>24</v>
      </c>
      <c r="BO71" s="146">
        <f t="shared" si="56"/>
        <v>24</v>
      </c>
      <c r="BP71" s="146">
        <f t="shared" si="56"/>
        <v>24</v>
      </c>
      <c r="BQ71" s="146">
        <f t="shared" si="56"/>
        <v>25</v>
      </c>
      <c r="BR71" s="146">
        <f t="shared" si="56"/>
        <v>25</v>
      </c>
      <c r="BS71" s="146">
        <f t="shared" si="56"/>
        <v>25</v>
      </c>
      <c r="BT71" s="146">
        <f t="shared" si="56"/>
        <v>25</v>
      </c>
      <c r="BU71" s="146">
        <f t="shared" si="56"/>
        <v>26</v>
      </c>
      <c r="BV71" s="146">
        <f t="shared" si="56"/>
        <v>26</v>
      </c>
      <c r="BW71" s="146">
        <f t="shared" si="56"/>
        <v>26</v>
      </c>
      <c r="BX71" s="146">
        <f t="shared" si="56"/>
        <v>26</v>
      </c>
      <c r="BY71" s="146">
        <f t="shared" si="56"/>
        <v>26</v>
      </c>
      <c r="BZ71" s="146">
        <f t="shared" si="56"/>
        <v>26</v>
      </c>
      <c r="CA71" s="146">
        <f t="shared" si="56"/>
        <v>26</v>
      </c>
      <c r="CB71" s="146">
        <f t="shared" si="56"/>
        <v>27</v>
      </c>
      <c r="CC71" s="146">
        <f t="shared" si="56"/>
        <v>27</v>
      </c>
      <c r="CD71" s="146">
        <f t="shared" si="56"/>
        <v>27</v>
      </c>
      <c r="CE71" s="146">
        <f t="shared" si="56"/>
        <v>27</v>
      </c>
      <c r="CF71" s="146">
        <f t="shared" si="56"/>
        <v>27</v>
      </c>
      <c r="CG71" s="146">
        <f t="shared" si="56"/>
        <v>28</v>
      </c>
      <c r="CH71" s="146">
        <f t="shared" si="56"/>
        <v>28</v>
      </c>
    </row>
    <row r="72" ht="15.75" customHeight="1">
      <c r="A72" s="1" t="s">
        <v>697</v>
      </c>
      <c r="M72" s="173">
        <v>144.0</v>
      </c>
      <c r="N72" s="146">
        <f>M72</f>
        <v>144</v>
      </c>
      <c r="O72" s="173">
        <f>167*0.9</f>
        <v>150.3</v>
      </c>
      <c r="P72" s="146">
        <f t="shared" ref="P72:CH72" si="57">O72</f>
        <v>150.3</v>
      </c>
      <c r="Q72" s="146">
        <f t="shared" si="57"/>
        <v>150.3</v>
      </c>
      <c r="R72" s="146">
        <f t="shared" si="57"/>
        <v>150.3</v>
      </c>
      <c r="S72" s="146">
        <f t="shared" si="57"/>
        <v>150.3</v>
      </c>
      <c r="T72" s="146">
        <f t="shared" si="57"/>
        <v>150.3</v>
      </c>
      <c r="U72" s="146">
        <f t="shared" si="57"/>
        <v>150.3</v>
      </c>
      <c r="V72" s="146">
        <f t="shared" si="57"/>
        <v>150.3</v>
      </c>
      <c r="W72" s="146">
        <f t="shared" si="57"/>
        <v>150.3</v>
      </c>
      <c r="X72" s="146">
        <f t="shared" si="57"/>
        <v>150.3</v>
      </c>
      <c r="Y72" s="146">
        <f t="shared" si="57"/>
        <v>150.3</v>
      </c>
      <c r="Z72" s="146">
        <f t="shared" si="57"/>
        <v>150.3</v>
      </c>
      <c r="AA72" s="146">
        <f t="shared" si="57"/>
        <v>150.3</v>
      </c>
      <c r="AB72" s="146">
        <f t="shared" si="57"/>
        <v>150.3</v>
      </c>
      <c r="AC72" s="146">
        <f t="shared" si="57"/>
        <v>150.3</v>
      </c>
      <c r="AD72" s="146">
        <f t="shared" si="57"/>
        <v>150.3</v>
      </c>
      <c r="AE72" s="146">
        <f t="shared" si="57"/>
        <v>150.3</v>
      </c>
      <c r="AF72" s="146">
        <f t="shared" si="57"/>
        <v>150.3</v>
      </c>
      <c r="AG72" s="146">
        <f t="shared" si="57"/>
        <v>150.3</v>
      </c>
      <c r="AH72" s="146">
        <f t="shared" si="57"/>
        <v>150.3</v>
      </c>
      <c r="AI72" s="146">
        <f t="shared" si="57"/>
        <v>150.3</v>
      </c>
      <c r="AJ72" s="146">
        <f t="shared" si="57"/>
        <v>150.3</v>
      </c>
      <c r="AK72" s="146">
        <f t="shared" si="57"/>
        <v>150.3</v>
      </c>
      <c r="AL72" s="146">
        <f t="shared" si="57"/>
        <v>150.3</v>
      </c>
      <c r="AM72" s="146">
        <f t="shared" si="57"/>
        <v>150.3</v>
      </c>
      <c r="AN72" s="146">
        <f t="shared" si="57"/>
        <v>150.3</v>
      </c>
      <c r="AO72" s="146">
        <f t="shared" si="57"/>
        <v>150.3</v>
      </c>
      <c r="AP72" s="146">
        <f t="shared" si="57"/>
        <v>150.3</v>
      </c>
      <c r="AQ72" s="146">
        <f t="shared" si="57"/>
        <v>150.3</v>
      </c>
      <c r="AR72" s="146">
        <f t="shared" si="57"/>
        <v>150.3</v>
      </c>
      <c r="AS72" s="146">
        <f t="shared" si="57"/>
        <v>150.3</v>
      </c>
      <c r="AT72" s="146">
        <f t="shared" si="57"/>
        <v>150.3</v>
      </c>
      <c r="AU72" s="146">
        <f t="shared" si="57"/>
        <v>150.3</v>
      </c>
      <c r="AV72" s="146">
        <f t="shared" si="57"/>
        <v>150.3</v>
      </c>
      <c r="AW72" s="146">
        <f t="shared" si="57"/>
        <v>150.3</v>
      </c>
      <c r="AX72" s="146">
        <f t="shared" si="57"/>
        <v>150.3</v>
      </c>
      <c r="AY72" s="146">
        <f t="shared" si="57"/>
        <v>150.3</v>
      </c>
      <c r="AZ72" s="146">
        <f t="shared" si="57"/>
        <v>150.3</v>
      </c>
      <c r="BA72" s="146">
        <f t="shared" si="57"/>
        <v>150.3</v>
      </c>
      <c r="BB72" s="146">
        <f t="shared" si="57"/>
        <v>150.3</v>
      </c>
      <c r="BC72" s="146">
        <f t="shared" si="57"/>
        <v>150.3</v>
      </c>
      <c r="BD72" s="146">
        <f t="shared" si="57"/>
        <v>150.3</v>
      </c>
      <c r="BE72" s="146">
        <f t="shared" si="57"/>
        <v>150.3</v>
      </c>
      <c r="BF72" s="146">
        <f t="shared" si="57"/>
        <v>150.3</v>
      </c>
      <c r="BG72" s="146">
        <f t="shared" si="57"/>
        <v>150.3</v>
      </c>
      <c r="BH72" s="146">
        <f t="shared" si="57"/>
        <v>150.3</v>
      </c>
      <c r="BI72" s="146">
        <f t="shared" si="57"/>
        <v>150.3</v>
      </c>
      <c r="BJ72" s="146">
        <f t="shared" si="57"/>
        <v>150.3</v>
      </c>
      <c r="BK72" s="146">
        <f t="shared" si="57"/>
        <v>150.3</v>
      </c>
      <c r="BL72" s="146">
        <f t="shared" si="57"/>
        <v>150.3</v>
      </c>
      <c r="BM72" s="146">
        <f t="shared" si="57"/>
        <v>150.3</v>
      </c>
      <c r="BN72" s="146">
        <f t="shared" si="57"/>
        <v>150.3</v>
      </c>
      <c r="BO72" s="146">
        <f t="shared" si="57"/>
        <v>150.3</v>
      </c>
      <c r="BP72" s="146">
        <f t="shared" si="57"/>
        <v>150.3</v>
      </c>
      <c r="BQ72" s="146">
        <f t="shared" si="57"/>
        <v>150.3</v>
      </c>
      <c r="BR72" s="146">
        <f t="shared" si="57"/>
        <v>150.3</v>
      </c>
      <c r="BS72" s="146">
        <f t="shared" si="57"/>
        <v>150.3</v>
      </c>
      <c r="BT72" s="146">
        <f t="shared" si="57"/>
        <v>150.3</v>
      </c>
      <c r="BU72" s="146">
        <f t="shared" si="57"/>
        <v>150.3</v>
      </c>
      <c r="BV72" s="146">
        <f t="shared" si="57"/>
        <v>150.3</v>
      </c>
      <c r="BW72" s="146">
        <f t="shared" si="57"/>
        <v>150.3</v>
      </c>
      <c r="BX72" s="146">
        <f t="shared" si="57"/>
        <v>150.3</v>
      </c>
      <c r="BY72" s="146">
        <f t="shared" si="57"/>
        <v>150.3</v>
      </c>
      <c r="BZ72" s="146">
        <f t="shared" si="57"/>
        <v>150.3</v>
      </c>
      <c r="CA72" s="146">
        <f t="shared" si="57"/>
        <v>150.3</v>
      </c>
      <c r="CB72" s="146">
        <f t="shared" si="57"/>
        <v>150.3</v>
      </c>
      <c r="CC72" s="146">
        <f t="shared" si="57"/>
        <v>150.3</v>
      </c>
      <c r="CD72" s="146">
        <f t="shared" si="57"/>
        <v>150.3</v>
      </c>
      <c r="CE72" s="146">
        <f t="shared" si="57"/>
        <v>150.3</v>
      </c>
      <c r="CF72" s="146">
        <f t="shared" si="57"/>
        <v>150.3</v>
      </c>
      <c r="CG72" s="146">
        <f t="shared" si="57"/>
        <v>150.3</v>
      </c>
      <c r="CH72" s="146">
        <f t="shared" si="57"/>
        <v>150.3</v>
      </c>
    </row>
    <row r="73" ht="15.75" customHeight="1">
      <c r="A73" s="1" t="s">
        <v>698</v>
      </c>
      <c r="M73" s="146">
        <f t="shared" ref="M73:CH73" si="58">M71*M72</f>
        <v>2592</v>
      </c>
      <c r="N73" s="146">
        <f t="shared" si="58"/>
        <v>2592</v>
      </c>
      <c r="O73" s="146">
        <f t="shared" si="58"/>
        <v>2705.4</v>
      </c>
      <c r="P73" s="146">
        <f t="shared" si="58"/>
        <v>2705.4</v>
      </c>
      <c r="Q73" s="146">
        <f t="shared" si="58"/>
        <v>2705.4</v>
      </c>
      <c r="R73" s="146">
        <f t="shared" si="58"/>
        <v>2705.4</v>
      </c>
      <c r="S73" s="146">
        <f t="shared" si="58"/>
        <v>2705.4</v>
      </c>
      <c r="T73" s="146">
        <f t="shared" si="58"/>
        <v>2705.4</v>
      </c>
      <c r="U73" s="146">
        <f t="shared" si="58"/>
        <v>2705.4</v>
      </c>
      <c r="V73" s="146">
        <f t="shared" si="58"/>
        <v>2705.4</v>
      </c>
      <c r="W73" s="146">
        <f t="shared" si="58"/>
        <v>2705.4</v>
      </c>
      <c r="X73" s="146">
        <f t="shared" si="58"/>
        <v>2705.4</v>
      </c>
      <c r="Y73" s="146">
        <f t="shared" si="58"/>
        <v>2705.4</v>
      </c>
      <c r="Z73" s="146">
        <f t="shared" si="58"/>
        <v>2855.7</v>
      </c>
      <c r="AA73" s="146">
        <f t="shared" si="58"/>
        <v>2855.7</v>
      </c>
      <c r="AB73" s="146">
        <f t="shared" si="58"/>
        <v>2855.7</v>
      </c>
      <c r="AC73" s="146">
        <f t="shared" si="58"/>
        <v>2855.7</v>
      </c>
      <c r="AD73" s="146">
        <f t="shared" si="58"/>
        <v>2855.7</v>
      </c>
      <c r="AE73" s="146">
        <f t="shared" si="58"/>
        <v>2855.7</v>
      </c>
      <c r="AF73" s="146">
        <f t="shared" si="58"/>
        <v>2855.7</v>
      </c>
      <c r="AG73" s="146">
        <f t="shared" si="58"/>
        <v>2855.7</v>
      </c>
      <c r="AH73" s="146">
        <f t="shared" si="58"/>
        <v>2855.7</v>
      </c>
      <c r="AI73" s="146">
        <f t="shared" si="58"/>
        <v>2855.7</v>
      </c>
      <c r="AJ73" s="146">
        <f t="shared" si="58"/>
        <v>2855.7</v>
      </c>
      <c r="AK73" s="146">
        <f t="shared" si="58"/>
        <v>2855.7</v>
      </c>
      <c r="AL73" s="146">
        <f t="shared" si="58"/>
        <v>2855.7</v>
      </c>
      <c r="AM73" s="146">
        <f t="shared" si="58"/>
        <v>2855.7</v>
      </c>
      <c r="AN73" s="146">
        <f t="shared" si="58"/>
        <v>2855.7</v>
      </c>
      <c r="AO73" s="146">
        <f t="shared" si="58"/>
        <v>2855.7</v>
      </c>
      <c r="AP73" s="146">
        <f t="shared" si="58"/>
        <v>2855.7</v>
      </c>
      <c r="AQ73" s="146">
        <f t="shared" si="58"/>
        <v>2855.7</v>
      </c>
      <c r="AR73" s="146">
        <f t="shared" si="58"/>
        <v>2855.7</v>
      </c>
      <c r="AS73" s="146">
        <f t="shared" si="58"/>
        <v>2855.7</v>
      </c>
      <c r="AT73" s="146">
        <f t="shared" si="58"/>
        <v>2855.7</v>
      </c>
      <c r="AU73" s="146">
        <f t="shared" si="58"/>
        <v>2855.7</v>
      </c>
      <c r="AV73" s="146">
        <f t="shared" si="58"/>
        <v>2855.7</v>
      </c>
      <c r="AW73" s="146">
        <f t="shared" si="58"/>
        <v>2855.7</v>
      </c>
      <c r="AX73" s="146">
        <f t="shared" si="58"/>
        <v>2855.7</v>
      </c>
      <c r="AY73" s="146">
        <f t="shared" si="58"/>
        <v>2855.7</v>
      </c>
      <c r="AZ73" s="146">
        <f t="shared" si="58"/>
        <v>2855.7</v>
      </c>
      <c r="BA73" s="146">
        <f t="shared" si="58"/>
        <v>2855.7</v>
      </c>
      <c r="BB73" s="146">
        <f t="shared" si="58"/>
        <v>2855.7</v>
      </c>
      <c r="BC73" s="146">
        <f t="shared" si="58"/>
        <v>2855.7</v>
      </c>
      <c r="BD73" s="146">
        <f t="shared" si="58"/>
        <v>2855.7</v>
      </c>
      <c r="BE73" s="146">
        <f t="shared" si="58"/>
        <v>2855.7</v>
      </c>
      <c r="BF73" s="146">
        <f t="shared" si="58"/>
        <v>2855.7</v>
      </c>
      <c r="BG73" s="146">
        <f t="shared" si="58"/>
        <v>2855.7</v>
      </c>
      <c r="BH73" s="146">
        <f t="shared" si="58"/>
        <v>2855.7</v>
      </c>
      <c r="BI73" s="146">
        <f t="shared" si="58"/>
        <v>2855.7</v>
      </c>
      <c r="BJ73" s="146">
        <f t="shared" si="58"/>
        <v>3006</v>
      </c>
      <c r="BK73" s="146">
        <f t="shared" si="58"/>
        <v>3006</v>
      </c>
      <c r="BL73" s="146">
        <f t="shared" si="58"/>
        <v>3456.9</v>
      </c>
      <c r="BM73" s="146">
        <f t="shared" si="58"/>
        <v>3607.2</v>
      </c>
      <c r="BN73" s="146">
        <f t="shared" si="58"/>
        <v>3607.2</v>
      </c>
      <c r="BO73" s="146">
        <f t="shared" si="58"/>
        <v>3607.2</v>
      </c>
      <c r="BP73" s="146">
        <f t="shared" si="58"/>
        <v>3607.2</v>
      </c>
      <c r="BQ73" s="146">
        <f t="shared" si="58"/>
        <v>3757.5</v>
      </c>
      <c r="BR73" s="146">
        <f t="shared" si="58"/>
        <v>3757.5</v>
      </c>
      <c r="BS73" s="146">
        <f t="shared" si="58"/>
        <v>3757.5</v>
      </c>
      <c r="BT73" s="146">
        <f t="shared" si="58"/>
        <v>3757.5</v>
      </c>
      <c r="BU73" s="146">
        <f t="shared" si="58"/>
        <v>3907.8</v>
      </c>
      <c r="BV73" s="146">
        <f t="shared" si="58"/>
        <v>3907.8</v>
      </c>
      <c r="BW73" s="146">
        <f t="shared" si="58"/>
        <v>3907.8</v>
      </c>
      <c r="BX73" s="146">
        <f t="shared" si="58"/>
        <v>3907.8</v>
      </c>
      <c r="BY73" s="146">
        <f t="shared" si="58"/>
        <v>3907.8</v>
      </c>
      <c r="BZ73" s="146">
        <f t="shared" si="58"/>
        <v>3907.8</v>
      </c>
      <c r="CA73" s="146">
        <f t="shared" si="58"/>
        <v>3907.8</v>
      </c>
      <c r="CB73" s="146">
        <f t="shared" si="58"/>
        <v>4058.1</v>
      </c>
      <c r="CC73" s="146">
        <f t="shared" si="58"/>
        <v>4058.1</v>
      </c>
      <c r="CD73" s="146">
        <f t="shared" si="58"/>
        <v>4058.1</v>
      </c>
      <c r="CE73" s="146">
        <f t="shared" si="58"/>
        <v>4058.1</v>
      </c>
      <c r="CF73" s="146">
        <f t="shared" si="58"/>
        <v>4058.1</v>
      </c>
      <c r="CG73" s="146">
        <f t="shared" si="58"/>
        <v>4208.4</v>
      </c>
      <c r="CH73" s="146">
        <f t="shared" si="58"/>
        <v>4208.4</v>
      </c>
    </row>
    <row r="74" ht="15.75" customHeight="1">
      <c r="A74" s="1" t="s">
        <v>699</v>
      </c>
      <c r="B74" s="467"/>
      <c r="M74" s="146"/>
      <c r="N74" s="146"/>
      <c r="O74" s="146"/>
      <c r="P74" s="146"/>
      <c r="Q74" s="146"/>
      <c r="R74" s="146"/>
      <c r="S74" s="146"/>
      <c r="T74" s="146">
        <f t="shared" ref="T74:CH74" si="59">T67*T64</f>
        <v>359.54436</v>
      </c>
      <c r="U74" s="146">
        <f t="shared" si="59"/>
        <v>251.94232</v>
      </c>
      <c r="V74" s="146">
        <f t="shared" si="59"/>
        <v>511.49728</v>
      </c>
      <c r="W74" s="146">
        <f t="shared" si="59"/>
        <v>537.12232</v>
      </c>
      <c r="X74" s="146">
        <f t="shared" si="59"/>
        <v>331.32624</v>
      </c>
      <c r="Y74" s="146">
        <f t="shared" si="59"/>
        <v>345.39828</v>
      </c>
      <c r="Z74" s="146">
        <f t="shared" si="59"/>
        <v>508.6726223</v>
      </c>
      <c r="AA74" s="146">
        <f t="shared" si="59"/>
        <v>650.8622963</v>
      </c>
      <c r="AB74" s="146">
        <f t="shared" si="59"/>
        <v>773.8586887</v>
      </c>
      <c r="AC74" s="146">
        <f t="shared" si="59"/>
        <v>890.6727911</v>
      </c>
      <c r="AD74" s="146">
        <f t="shared" si="59"/>
        <v>1008.006519</v>
      </c>
      <c r="AE74" s="146">
        <f t="shared" si="59"/>
        <v>1135.863164</v>
      </c>
      <c r="AF74" s="146">
        <f t="shared" si="59"/>
        <v>1251.642741</v>
      </c>
      <c r="AG74" s="146">
        <f t="shared" si="59"/>
        <v>1358.827896</v>
      </c>
      <c r="AH74" s="146">
        <f t="shared" si="59"/>
        <v>1461.549973</v>
      </c>
      <c r="AI74" s="146">
        <f t="shared" si="59"/>
        <v>1561.52511</v>
      </c>
      <c r="AJ74" s="146">
        <f t="shared" si="59"/>
        <v>1649.205312</v>
      </c>
      <c r="AK74" s="146">
        <f t="shared" si="59"/>
        <v>1740.872658</v>
      </c>
      <c r="AL74" s="146">
        <f t="shared" si="59"/>
        <v>1832.27792</v>
      </c>
      <c r="AM74" s="146">
        <f t="shared" si="59"/>
        <v>1897.322903</v>
      </c>
      <c r="AN74" s="146">
        <f t="shared" si="59"/>
        <v>1909.695097</v>
      </c>
      <c r="AO74" s="146">
        <f t="shared" si="59"/>
        <v>1939.554593</v>
      </c>
      <c r="AP74" s="146">
        <f t="shared" si="59"/>
        <v>1975.762757</v>
      </c>
      <c r="AQ74" s="146">
        <f t="shared" si="59"/>
        <v>2012.242849</v>
      </c>
      <c r="AR74" s="146">
        <f t="shared" si="59"/>
        <v>2048.784266</v>
      </c>
      <c r="AS74" s="146">
        <f t="shared" si="59"/>
        <v>2084.335785</v>
      </c>
      <c r="AT74" s="146">
        <f t="shared" si="59"/>
        <v>2119.169262</v>
      </c>
      <c r="AU74" s="146">
        <f t="shared" si="59"/>
        <v>2153.362965</v>
      </c>
      <c r="AV74" s="146">
        <f t="shared" si="59"/>
        <v>2186.964348</v>
      </c>
      <c r="AW74" s="146">
        <f t="shared" si="59"/>
        <v>2220.014556</v>
      </c>
      <c r="AX74" s="146">
        <f t="shared" si="59"/>
        <v>2252.552191</v>
      </c>
      <c r="AY74" s="146">
        <f t="shared" si="59"/>
        <v>2304.81613</v>
      </c>
      <c r="AZ74" s="146">
        <f t="shared" si="59"/>
        <v>2356.471586</v>
      </c>
      <c r="BA74" s="146">
        <f t="shared" si="59"/>
        <v>2406.823065</v>
      </c>
      <c r="BB74" s="146">
        <f t="shared" si="59"/>
        <v>2456.215995</v>
      </c>
      <c r="BC74" s="146">
        <f t="shared" si="59"/>
        <v>2504.742707</v>
      </c>
      <c r="BD74" s="146">
        <f t="shared" si="59"/>
        <v>2552.455997</v>
      </c>
      <c r="BE74" s="146">
        <f t="shared" si="59"/>
        <v>2599.401239</v>
      </c>
      <c r="BF74" s="146">
        <f t="shared" si="59"/>
        <v>2645.621254</v>
      </c>
      <c r="BG74" s="146">
        <f t="shared" si="59"/>
        <v>2691.157108</v>
      </c>
      <c r="BH74" s="146">
        <f t="shared" si="59"/>
        <v>2736.048284</v>
      </c>
      <c r="BI74" s="146">
        <f t="shared" si="59"/>
        <v>2780.332765</v>
      </c>
      <c r="BJ74" s="146">
        <f t="shared" si="59"/>
        <v>2824.047101</v>
      </c>
      <c r="BK74" s="146">
        <f t="shared" si="59"/>
        <v>3337.81668</v>
      </c>
      <c r="BL74" s="146">
        <f t="shared" si="59"/>
        <v>3359.779564</v>
      </c>
      <c r="BM74" s="146">
        <f t="shared" si="59"/>
        <v>3395.690753</v>
      </c>
      <c r="BN74" s="146">
        <f t="shared" si="59"/>
        <v>3434.471117</v>
      </c>
      <c r="BO74" s="146">
        <f t="shared" si="59"/>
        <v>3473.620846</v>
      </c>
      <c r="BP74" s="146">
        <f t="shared" si="59"/>
        <v>3512.784072</v>
      </c>
      <c r="BQ74" s="146">
        <f t="shared" si="59"/>
        <v>3551.926126</v>
      </c>
      <c r="BR74" s="146">
        <f t="shared" si="59"/>
        <v>3591.060153</v>
      </c>
      <c r="BS74" s="146">
        <f t="shared" si="59"/>
        <v>3630.206127</v>
      </c>
      <c r="BT74" s="146">
        <f t="shared" si="59"/>
        <v>3669.384726</v>
      </c>
      <c r="BU74" s="146">
        <f t="shared" si="59"/>
        <v>3708.616438</v>
      </c>
      <c r="BV74" s="146">
        <f t="shared" si="59"/>
        <v>3747.921447</v>
      </c>
      <c r="BW74" s="146">
        <f t="shared" si="59"/>
        <v>3791.415738</v>
      </c>
      <c r="BX74" s="146">
        <f t="shared" si="59"/>
        <v>3751.05182</v>
      </c>
      <c r="BY74" s="146">
        <f t="shared" si="59"/>
        <v>3768.77225</v>
      </c>
      <c r="BZ74" s="146">
        <f t="shared" si="59"/>
        <v>3795.844592</v>
      </c>
      <c r="CA74" s="146">
        <f t="shared" si="59"/>
        <v>3824.096153</v>
      </c>
      <c r="CB74" s="146">
        <f t="shared" si="59"/>
        <v>3852.325135</v>
      </c>
      <c r="CC74" s="146">
        <f t="shared" si="59"/>
        <v>3880.37436</v>
      </c>
      <c r="CD74" s="146">
        <f t="shared" si="59"/>
        <v>3908.242374</v>
      </c>
      <c r="CE74" s="146">
        <f t="shared" si="59"/>
        <v>3935.950153</v>
      </c>
      <c r="CF74" s="146">
        <f t="shared" si="59"/>
        <v>3963.521153</v>
      </c>
      <c r="CG74" s="146">
        <f t="shared" si="59"/>
        <v>3990.978354</v>
      </c>
      <c r="CH74" s="146">
        <f t="shared" si="59"/>
        <v>4018.343855</v>
      </c>
    </row>
    <row r="75" ht="15.75" customHeight="1">
      <c r="A75" s="1" t="s">
        <v>700</v>
      </c>
      <c r="B75" s="446" t="s">
        <v>701</v>
      </c>
      <c r="M75" s="146">
        <f t="shared" ref="M75:S75" si="60">M73-M64</f>
        <v>2123.058</v>
      </c>
      <c r="N75" s="146">
        <f t="shared" si="60"/>
        <v>2060.484</v>
      </c>
      <c r="O75" s="146">
        <f t="shared" si="60"/>
        <v>2242.718</v>
      </c>
      <c r="P75" s="146">
        <f t="shared" si="60"/>
        <v>2265.846</v>
      </c>
      <c r="Q75" s="146">
        <f t="shared" si="60"/>
        <v>2424.338</v>
      </c>
      <c r="R75" s="146">
        <f t="shared" si="60"/>
        <v>2360.356</v>
      </c>
      <c r="S75" s="146">
        <f t="shared" si="60"/>
        <v>2369.494</v>
      </c>
      <c r="T75" s="146">
        <f t="shared" ref="T75:CH75" si="61">T73-T74</f>
        <v>2345.85564</v>
      </c>
      <c r="U75" s="146">
        <f t="shared" si="61"/>
        <v>2453.45768</v>
      </c>
      <c r="V75" s="146">
        <f t="shared" si="61"/>
        <v>2193.90272</v>
      </c>
      <c r="W75" s="146">
        <f t="shared" si="61"/>
        <v>2168.27768</v>
      </c>
      <c r="X75" s="146">
        <f t="shared" si="61"/>
        <v>2374.07376</v>
      </c>
      <c r="Y75" s="146">
        <f t="shared" si="61"/>
        <v>2360.00172</v>
      </c>
      <c r="Z75" s="146">
        <f t="shared" si="61"/>
        <v>2347.027378</v>
      </c>
      <c r="AA75" s="146">
        <f t="shared" si="61"/>
        <v>2204.837704</v>
      </c>
      <c r="AB75" s="146">
        <f t="shared" si="61"/>
        <v>2081.841311</v>
      </c>
      <c r="AC75" s="146">
        <f t="shared" si="61"/>
        <v>1965.027209</v>
      </c>
      <c r="AD75" s="146">
        <f t="shared" si="61"/>
        <v>1847.693481</v>
      </c>
      <c r="AE75" s="146">
        <f t="shared" si="61"/>
        <v>1719.836836</v>
      </c>
      <c r="AF75" s="146">
        <f t="shared" si="61"/>
        <v>1604.057259</v>
      </c>
      <c r="AG75" s="146">
        <f t="shared" si="61"/>
        <v>1496.872104</v>
      </c>
      <c r="AH75" s="146">
        <f t="shared" si="61"/>
        <v>1394.150027</v>
      </c>
      <c r="AI75" s="146">
        <f t="shared" si="61"/>
        <v>1294.17489</v>
      </c>
      <c r="AJ75" s="146">
        <f t="shared" si="61"/>
        <v>1206.494688</v>
      </c>
      <c r="AK75" s="146">
        <f t="shared" si="61"/>
        <v>1114.827342</v>
      </c>
      <c r="AL75" s="146">
        <f t="shared" si="61"/>
        <v>1023.42208</v>
      </c>
      <c r="AM75" s="146">
        <f t="shared" si="61"/>
        <v>958.3770975</v>
      </c>
      <c r="AN75" s="146">
        <f t="shared" si="61"/>
        <v>946.0049028</v>
      </c>
      <c r="AO75" s="146">
        <f t="shared" si="61"/>
        <v>916.1454072</v>
      </c>
      <c r="AP75" s="146">
        <f t="shared" si="61"/>
        <v>879.9372434</v>
      </c>
      <c r="AQ75" s="146">
        <f t="shared" si="61"/>
        <v>843.457151</v>
      </c>
      <c r="AR75" s="146">
        <f t="shared" si="61"/>
        <v>806.9157336</v>
      </c>
      <c r="AS75" s="146">
        <f t="shared" si="61"/>
        <v>771.3642153</v>
      </c>
      <c r="AT75" s="146">
        <f t="shared" si="61"/>
        <v>736.530738</v>
      </c>
      <c r="AU75" s="146">
        <f t="shared" si="61"/>
        <v>702.3370346</v>
      </c>
      <c r="AV75" s="146">
        <f t="shared" si="61"/>
        <v>668.735652</v>
      </c>
      <c r="AW75" s="146">
        <f t="shared" si="61"/>
        <v>635.6854437</v>
      </c>
      <c r="AX75" s="146">
        <f t="shared" si="61"/>
        <v>603.147809</v>
      </c>
      <c r="AY75" s="146">
        <f t="shared" si="61"/>
        <v>550.8838695</v>
      </c>
      <c r="AZ75" s="146">
        <f t="shared" si="61"/>
        <v>499.2284137</v>
      </c>
      <c r="BA75" s="146">
        <f t="shared" si="61"/>
        <v>448.8769355</v>
      </c>
      <c r="BB75" s="146">
        <f t="shared" si="61"/>
        <v>399.4840046</v>
      </c>
      <c r="BC75" s="146">
        <f t="shared" si="61"/>
        <v>350.9572934</v>
      </c>
      <c r="BD75" s="146">
        <f t="shared" si="61"/>
        <v>303.244003</v>
      </c>
      <c r="BE75" s="146">
        <f t="shared" si="61"/>
        <v>256.2987613</v>
      </c>
      <c r="BF75" s="146">
        <f t="shared" si="61"/>
        <v>210.0787458</v>
      </c>
      <c r="BG75" s="146">
        <f t="shared" si="61"/>
        <v>164.5428918</v>
      </c>
      <c r="BH75" s="146">
        <f t="shared" si="61"/>
        <v>119.6517159</v>
      </c>
      <c r="BI75" s="146">
        <f t="shared" si="61"/>
        <v>75.36723468</v>
      </c>
      <c r="BJ75" s="146">
        <f t="shared" si="61"/>
        <v>181.9528992</v>
      </c>
      <c r="BK75" s="146">
        <f t="shared" si="61"/>
        <v>-331.8166804</v>
      </c>
      <c r="BL75" s="146">
        <f t="shared" si="61"/>
        <v>97.12043597</v>
      </c>
      <c r="BM75" s="146">
        <f t="shared" si="61"/>
        <v>211.5092474</v>
      </c>
      <c r="BN75" s="146">
        <f t="shared" si="61"/>
        <v>172.7288825</v>
      </c>
      <c r="BO75" s="146">
        <f t="shared" si="61"/>
        <v>133.5791538</v>
      </c>
      <c r="BP75" s="146">
        <f t="shared" si="61"/>
        <v>94.41592849</v>
      </c>
      <c r="BQ75" s="146">
        <f t="shared" si="61"/>
        <v>205.5738745</v>
      </c>
      <c r="BR75" s="146">
        <f t="shared" si="61"/>
        <v>166.4398471</v>
      </c>
      <c r="BS75" s="146">
        <f t="shared" si="61"/>
        <v>127.2938729</v>
      </c>
      <c r="BT75" s="146">
        <f t="shared" si="61"/>
        <v>88.11527366</v>
      </c>
      <c r="BU75" s="146">
        <f t="shared" si="61"/>
        <v>199.1835621</v>
      </c>
      <c r="BV75" s="146">
        <f t="shared" si="61"/>
        <v>159.8785533</v>
      </c>
      <c r="BW75" s="146">
        <f t="shared" si="61"/>
        <v>116.3842618</v>
      </c>
      <c r="BX75" s="146">
        <f t="shared" si="61"/>
        <v>156.7481801</v>
      </c>
      <c r="BY75" s="146">
        <f t="shared" si="61"/>
        <v>139.0277496</v>
      </c>
      <c r="BZ75" s="146">
        <f t="shared" si="61"/>
        <v>111.9554078</v>
      </c>
      <c r="CA75" s="146">
        <f t="shared" si="61"/>
        <v>83.70384687</v>
      </c>
      <c r="CB75" s="146">
        <f t="shared" si="61"/>
        <v>205.7748648</v>
      </c>
      <c r="CC75" s="146">
        <f t="shared" si="61"/>
        <v>177.7256397</v>
      </c>
      <c r="CD75" s="146">
        <f t="shared" si="61"/>
        <v>149.8576259</v>
      </c>
      <c r="CE75" s="146">
        <f t="shared" si="61"/>
        <v>122.1498467</v>
      </c>
      <c r="CF75" s="146">
        <f t="shared" si="61"/>
        <v>94.57884672</v>
      </c>
      <c r="CG75" s="146">
        <f t="shared" si="61"/>
        <v>217.4216459</v>
      </c>
      <c r="CH75" s="146">
        <f t="shared" si="61"/>
        <v>190.0561451</v>
      </c>
    </row>
    <row r="76" ht="15.75" customHeight="1">
      <c r="A76" s="1" t="s">
        <v>701</v>
      </c>
      <c r="B76" s="468">
        <v>100.0</v>
      </c>
      <c r="M76" s="146">
        <f t="shared" ref="M76:R76" si="62">IF(M75&gt;$B76,0,ROUNDUP(ABS(M75/M72),0))</f>
        <v>0</v>
      </c>
      <c r="N76" s="146">
        <f t="shared" si="62"/>
        <v>0</v>
      </c>
      <c r="O76" s="146">
        <f t="shared" si="62"/>
        <v>0</v>
      </c>
      <c r="P76" s="146">
        <f t="shared" si="62"/>
        <v>0</v>
      </c>
      <c r="Q76" s="146">
        <f t="shared" si="62"/>
        <v>0</v>
      </c>
      <c r="R76" s="146">
        <f t="shared" si="62"/>
        <v>0</v>
      </c>
      <c r="S76" s="146">
        <v>0.0</v>
      </c>
      <c r="T76" s="146"/>
      <c r="U76" s="476"/>
      <c r="V76" s="244"/>
      <c r="W76" s="146"/>
      <c r="X76" s="146">
        <f>IF(X75&gt;$B76,0,ROUNDUP(ABS(X75/X72),0))</f>
        <v>0</v>
      </c>
      <c r="Y76" s="146">
        <v>1.0</v>
      </c>
      <c r="Z76" s="146">
        <f t="shared" ref="Z76:CH76" si="63">IF(Z75&gt;$B76,0,ROUNDUP(ABS(Z75/Z72),0))</f>
        <v>0</v>
      </c>
      <c r="AA76" s="146">
        <f t="shared" si="63"/>
        <v>0</v>
      </c>
      <c r="AB76" s="146">
        <f t="shared" si="63"/>
        <v>0</v>
      </c>
      <c r="AC76" s="146">
        <f t="shared" si="63"/>
        <v>0</v>
      </c>
      <c r="AD76" s="146">
        <f t="shared" si="63"/>
        <v>0</v>
      </c>
      <c r="AE76" s="146">
        <f t="shared" si="63"/>
        <v>0</v>
      </c>
      <c r="AF76" s="146">
        <f t="shared" si="63"/>
        <v>0</v>
      </c>
      <c r="AG76" s="146">
        <f t="shared" si="63"/>
        <v>0</v>
      </c>
      <c r="AH76" s="146">
        <f t="shared" si="63"/>
        <v>0</v>
      </c>
      <c r="AI76" s="146">
        <f t="shared" si="63"/>
        <v>0</v>
      </c>
      <c r="AJ76" s="146">
        <f t="shared" si="63"/>
        <v>0</v>
      </c>
      <c r="AK76" s="146">
        <f t="shared" si="63"/>
        <v>0</v>
      </c>
      <c r="AL76" s="146">
        <f t="shared" si="63"/>
        <v>0</v>
      </c>
      <c r="AM76" s="146">
        <f t="shared" si="63"/>
        <v>0</v>
      </c>
      <c r="AN76" s="146">
        <f t="shared" si="63"/>
        <v>0</v>
      </c>
      <c r="AO76" s="146">
        <f t="shared" si="63"/>
        <v>0</v>
      </c>
      <c r="AP76" s="146">
        <f t="shared" si="63"/>
        <v>0</v>
      </c>
      <c r="AQ76" s="146">
        <f t="shared" si="63"/>
        <v>0</v>
      </c>
      <c r="AR76" s="146">
        <f t="shared" si="63"/>
        <v>0</v>
      </c>
      <c r="AS76" s="146">
        <f t="shared" si="63"/>
        <v>0</v>
      </c>
      <c r="AT76" s="146">
        <f t="shared" si="63"/>
        <v>0</v>
      </c>
      <c r="AU76" s="146">
        <f t="shared" si="63"/>
        <v>0</v>
      </c>
      <c r="AV76" s="146">
        <f t="shared" si="63"/>
        <v>0</v>
      </c>
      <c r="AW76" s="146">
        <f t="shared" si="63"/>
        <v>0</v>
      </c>
      <c r="AX76" s="146">
        <f t="shared" si="63"/>
        <v>0</v>
      </c>
      <c r="AY76" s="146">
        <f t="shared" si="63"/>
        <v>0</v>
      </c>
      <c r="AZ76" s="146">
        <f t="shared" si="63"/>
        <v>0</v>
      </c>
      <c r="BA76" s="146">
        <f t="shared" si="63"/>
        <v>0</v>
      </c>
      <c r="BB76" s="146">
        <f t="shared" si="63"/>
        <v>0</v>
      </c>
      <c r="BC76" s="146">
        <f t="shared" si="63"/>
        <v>0</v>
      </c>
      <c r="BD76" s="146">
        <f t="shared" si="63"/>
        <v>0</v>
      </c>
      <c r="BE76" s="146">
        <f t="shared" si="63"/>
        <v>0</v>
      </c>
      <c r="BF76" s="146">
        <f t="shared" si="63"/>
        <v>0</v>
      </c>
      <c r="BG76" s="146">
        <f t="shared" si="63"/>
        <v>0</v>
      </c>
      <c r="BH76" s="146">
        <f t="shared" si="63"/>
        <v>0</v>
      </c>
      <c r="BI76" s="146">
        <f t="shared" si="63"/>
        <v>1</v>
      </c>
      <c r="BJ76" s="146">
        <f t="shared" si="63"/>
        <v>0</v>
      </c>
      <c r="BK76" s="146">
        <f t="shared" si="63"/>
        <v>3</v>
      </c>
      <c r="BL76" s="146">
        <f t="shared" si="63"/>
        <v>1</v>
      </c>
      <c r="BM76" s="146">
        <f t="shared" si="63"/>
        <v>0</v>
      </c>
      <c r="BN76" s="146">
        <f t="shared" si="63"/>
        <v>0</v>
      </c>
      <c r="BO76" s="146">
        <f t="shared" si="63"/>
        <v>0</v>
      </c>
      <c r="BP76" s="146">
        <f t="shared" si="63"/>
        <v>1</v>
      </c>
      <c r="BQ76" s="146">
        <f t="shared" si="63"/>
        <v>0</v>
      </c>
      <c r="BR76" s="146">
        <f t="shared" si="63"/>
        <v>0</v>
      </c>
      <c r="BS76" s="146">
        <f t="shared" si="63"/>
        <v>0</v>
      </c>
      <c r="BT76" s="146">
        <f t="shared" si="63"/>
        <v>1</v>
      </c>
      <c r="BU76" s="146">
        <f t="shared" si="63"/>
        <v>0</v>
      </c>
      <c r="BV76" s="146">
        <f t="shared" si="63"/>
        <v>0</v>
      </c>
      <c r="BW76" s="146">
        <f t="shared" si="63"/>
        <v>0</v>
      </c>
      <c r="BX76" s="146">
        <f t="shared" si="63"/>
        <v>0</v>
      </c>
      <c r="BY76" s="146">
        <f t="shared" si="63"/>
        <v>0</v>
      </c>
      <c r="BZ76" s="146">
        <f t="shared" si="63"/>
        <v>0</v>
      </c>
      <c r="CA76" s="146">
        <f t="shared" si="63"/>
        <v>1</v>
      </c>
      <c r="CB76" s="146">
        <f t="shared" si="63"/>
        <v>0</v>
      </c>
      <c r="CC76" s="146">
        <f t="shared" si="63"/>
        <v>0</v>
      </c>
      <c r="CD76" s="146">
        <f t="shared" si="63"/>
        <v>0</v>
      </c>
      <c r="CE76" s="146">
        <f t="shared" si="63"/>
        <v>0</v>
      </c>
      <c r="CF76" s="146">
        <f t="shared" si="63"/>
        <v>1</v>
      </c>
      <c r="CG76" s="146">
        <f t="shared" si="63"/>
        <v>0</v>
      </c>
      <c r="CH76" s="146">
        <f t="shared" si="63"/>
        <v>0</v>
      </c>
    </row>
    <row r="77" ht="15.75" customHeight="1">
      <c r="A77" s="1" t="s">
        <v>702</v>
      </c>
      <c r="B77" s="1" t="s">
        <v>703</v>
      </c>
      <c r="M77" s="146">
        <f t="shared" ref="M77:O77" si="64">O76</f>
        <v>0</v>
      </c>
      <c r="N77" s="146">
        <f t="shared" si="64"/>
        <v>0</v>
      </c>
      <c r="O77" s="146">
        <f t="shared" si="64"/>
        <v>0</v>
      </c>
      <c r="P77" s="146">
        <f t="shared" ref="P77:S77" si="65">P76</f>
        <v>0</v>
      </c>
      <c r="Q77" s="146">
        <f t="shared" si="65"/>
        <v>0</v>
      </c>
      <c r="R77" s="146">
        <f t="shared" si="65"/>
        <v>0</v>
      </c>
      <c r="S77" s="146">
        <f t="shared" si="65"/>
        <v>0</v>
      </c>
      <c r="T77" s="146"/>
      <c r="U77" s="146"/>
      <c r="V77" s="146"/>
      <c r="W77" s="146"/>
      <c r="X77" s="146">
        <f>X76</f>
        <v>0</v>
      </c>
      <c r="Y77" s="146">
        <v>1.0</v>
      </c>
      <c r="Z77" s="146">
        <f t="shared" ref="Z77:CH77" si="66">Z76</f>
        <v>0</v>
      </c>
      <c r="AA77" s="146">
        <f t="shared" si="66"/>
        <v>0</v>
      </c>
      <c r="AB77" s="146">
        <f t="shared" si="66"/>
        <v>0</v>
      </c>
      <c r="AC77" s="146">
        <f t="shared" si="66"/>
        <v>0</v>
      </c>
      <c r="AD77" s="146">
        <f t="shared" si="66"/>
        <v>0</v>
      </c>
      <c r="AE77" s="146">
        <f t="shared" si="66"/>
        <v>0</v>
      </c>
      <c r="AF77" s="146">
        <f t="shared" si="66"/>
        <v>0</v>
      </c>
      <c r="AG77" s="146">
        <f t="shared" si="66"/>
        <v>0</v>
      </c>
      <c r="AH77" s="146">
        <f t="shared" si="66"/>
        <v>0</v>
      </c>
      <c r="AI77" s="146">
        <f t="shared" si="66"/>
        <v>0</v>
      </c>
      <c r="AJ77" s="146">
        <f t="shared" si="66"/>
        <v>0</v>
      </c>
      <c r="AK77" s="146">
        <f t="shared" si="66"/>
        <v>0</v>
      </c>
      <c r="AL77" s="146">
        <f t="shared" si="66"/>
        <v>0</v>
      </c>
      <c r="AM77" s="146">
        <f t="shared" si="66"/>
        <v>0</v>
      </c>
      <c r="AN77" s="146">
        <f t="shared" si="66"/>
        <v>0</v>
      </c>
      <c r="AO77" s="146">
        <f t="shared" si="66"/>
        <v>0</v>
      </c>
      <c r="AP77" s="146">
        <f t="shared" si="66"/>
        <v>0</v>
      </c>
      <c r="AQ77" s="146">
        <f t="shared" si="66"/>
        <v>0</v>
      </c>
      <c r="AR77" s="146">
        <f t="shared" si="66"/>
        <v>0</v>
      </c>
      <c r="AS77" s="146">
        <f t="shared" si="66"/>
        <v>0</v>
      </c>
      <c r="AT77" s="146">
        <f t="shared" si="66"/>
        <v>0</v>
      </c>
      <c r="AU77" s="146">
        <f t="shared" si="66"/>
        <v>0</v>
      </c>
      <c r="AV77" s="146">
        <f t="shared" si="66"/>
        <v>0</v>
      </c>
      <c r="AW77" s="146">
        <f t="shared" si="66"/>
        <v>0</v>
      </c>
      <c r="AX77" s="146">
        <f t="shared" si="66"/>
        <v>0</v>
      </c>
      <c r="AY77" s="146">
        <f t="shared" si="66"/>
        <v>0</v>
      </c>
      <c r="AZ77" s="146">
        <f t="shared" si="66"/>
        <v>0</v>
      </c>
      <c r="BA77" s="146">
        <f t="shared" si="66"/>
        <v>0</v>
      </c>
      <c r="BB77" s="146">
        <f t="shared" si="66"/>
        <v>0</v>
      </c>
      <c r="BC77" s="146">
        <f t="shared" si="66"/>
        <v>0</v>
      </c>
      <c r="BD77" s="146">
        <f t="shared" si="66"/>
        <v>0</v>
      </c>
      <c r="BE77" s="146">
        <f t="shared" si="66"/>
        <v>0</v>
      </c>
      <c r="BF77" s="146">
        <f t="shared" si="66"/>
        <v>0</v>
      </c>
      <c r="BG77" s="146">
        <f t="shared" si="66"/>
        <v>0</v>
      </c>
      <c r="BH77" s="146">
        <f t="shared" si="66"/>
        <v>0</v>
      </c>
      <c r="BI77" s="146">
        <f t="shared" si="66"/>
        <v>1</v>
      </c>
      <c r="BJ77" s="146">
        <f t="shared" si="66"/>
        <v>0</v>
      </c>
      <c r="BK77" s="146">
        <f t="shared" si="66"/>
        <v>3</v>
      </c>
      <c r="BL77" s="146">
        <f t="shared" si="66"/>
        <v>1</v>
      </c>
      <c r="BM77" s="146">
        <f t="shared" si="66"/>
        <v>0</v>
      </c>
      <c r="BN77" s="146">
        <f t="shared" si="66"/>
        <v>0</v>
      </c>
      <c r="BO77" s="146">
        <f t="shared" si="66"/>
        <v>0</v>
      </c>
      <c r="BP77" s="146">
        <f t="shared" si="66"/>
        <v>1</v>
      </c>
      <c r="BQ77" s="146">
        <f t="shared" si="66"/>
        <v>0</v>
      </c>
      <c r="BR77" s="146">
        <f t="shared" si="66"/>
        <v>0</v>
      </c>
      <c r="BS77" s="146">
        <f t="shared" si="66"/>
        <v>0</v>
      </c>
      <c r="BT77" s="146">
        <f t="shared" si="66"/>
        <v>1</v>
      </c>
      <c r="BU77" s="146">
        <f t="shared" si="66"/>
        <v>0</v>
      </c>
      <c r="BV77" s="146">
        <f t="shared" si="66"/>
        <v>0</v>
      </c>
      <c r="BW77" s="146">
        <f t="shared" si="66"/>
        <v>0</v>
      </c>
      <c r="BX77" s="146">
        <f t="shared" si="66"/>
        <v>0</v>
      </c>
      <c r="BY77" s="146">
        <f t="shared" si="66"/>
        <v>0</v>
      </c>
      <c r="BZ77" s="146">
        <f t="shared" si="66"/>
        <v>0</v>
      </c>
      <c r="CA77" s="146">
        <f t="shared" si="66"/>
        <v>1</v>
      </c>
      <c r="CB77" s="146">
        <f t="shared" si="66"/>
        <v>0</v>
      </c>
      <c r="CC77" s="146">
        <f t="shared" si="66"/>
        <v>0</v>
      </c>
      <c r="CD77" s="146">
        <f t="shared" si="66"/>
        <v>0</v>
      </c>
      <c r="CE77" s="146">
        <f t="shared" si="66"/>
        <v>0</v>
      </c>
      <c r="CF77" s="146">
        <f t="shared" si="66"/>
        <v>1</v>
      </c>
      <c r="CG77" s="146">
        <f t="shared" si="66"/>
        <v>0</v>
      </c>
      <c r="CH77" s="146">
        <f t="shared" si="66"/>
        <v>0</v>
      </c>
    </row>
    <row r="78" ht="15.75" customHeight="1">
      <c r="M78" s="146"/>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146"/>
      <c r="CD78" s="146"/>
      <c r="CE78" s="146"/>
      <c r="CF78" s="146"/>
      <c r="CG78" s="146"/>
      <c r="CH78" s="146"/>
    </row>
    <row r="79" ht="15.75" customHeight="1">
      <c r="A79" s="1" t="s">
        <v>704</v>
      </c>
      <c r="M79" s="146"/>
      <c r="N79" s="146"/>
      <c r="O79" s="146"/>
      <c r="P79" s="146"/>
      <c r="Q79" s="146"/>
      <c r="R79" s="146"/>
      <c r="S79" s="146"/>
      <c r="T79" s="146"/>
      <c r="U79" s="146"/>
      <c r="V79" s="146"/>
      <c r="W79" s="146"/>
      <c r="X79" s="146"/>
      <c r="Y79" s="146">
        <f t="shared" ref="Y79:CH79" si="67">X79+X83</f>
        <v>1</v>
      </c>
      <c r="Z79" s="146">
        <f t="shared" si="67"/>
        <v>2</v>
      </c>
      <c r="AA79" s="146">
        <f t="shared" si="67"/>
        <v>6</v>
      </c>
      <c r="AB79" s="146">
        <f t="shared" si="67"/>
        <v>7</v>
      </c>
      <c r="AC79" s="146">
        <f t="shared" si="67"/>
        <v>8</v>
      </c>
      <c r="AD79" s="146">
        <f t="shared" si="67"/>
        <v>9</v>
      </c>
      <c r="AE79" s="146">
        <f t="shared" si="67"/>
        <v>9</v>
      </c>
      <c r="AF79" s="146">
        <f t="shared" si="67"/>
        <v>9</v>
      </c>
      <c r="AG79" s="146">
        <f t="shared" si="67"/>
        <v>9</v>
      </c>
      <c r="AH79" s="146">
        <f t="shared" si="67"/>
        <v>9</v>
      </c>
      <c r="AI79" s="146">
        <f t="shared" si="67"/>
        <v>9</v>
      </c>
      <c r="AJ79" s="146">
        <f t="shared" si="67"/>
        <v>9</v>
      </c>
      <c r="AK79" s="146">
        <f t="shared" si="67"/>
        <v>9</v>
      </c>
      <c r="AL79" s="146">
        <f t="shared" si="67"/>
        <v>9</v>
      </c>
      <c r="AM79" s="146">
        <f t="shared" si="67"/>
        <v>9</v>
      </c>
      <c r="AN79" s="146">
        <f t="shared" si="67"/>
        <v>9</v>
      </c>
      <c r="AO79" s="146">
        <f t="shared" si="67"/>
        <v>9</v>
      </c>
      <c r="AP79" s="146">
        <f t="shared" si="67"/>
        <v>9</v>
      </c>
      <c r="AQ79" s="146">
        <f t="shared" si="67"/>
        <v>9</v>
      </c>
      <c r="AR79" s="146">
        <f t="shared" si="67"/>
        <v>9</v>
      </c>
      <c r="AS79" s="146">
        <f t="shared" si="67"/>
        <v>9</v>
      </c>
      <c r="AT79" s="146">
        <f t="shared" si="67"/>
        <v>9</v>
      </c>
      <c r="AU79" s="146">
        <f t="shared" si="67"/>
        <v>9</v>
      </c>
      <c r="AV79" s="146">
        <f t="shared" si="67"/>
        <v>9</v>
      </c>
      <c r="AW79" s="146">
        <f t="shared" si="67"/>
        <v>9</v>
      </c>
      <c r="AX79" s="146">
        <f t="shared" si="67"/>
        <v>9</v>
      </c>
      <c r="AY79" s="146">
        <f t="shared" si="67"/>
        <v>9</v>
      </c>
      <c r="AZ79" s="146">
        <f t="shared" si="67"/>
        <v>9</v>
      </c>
      <c r="BA79" s="146">
        <f t="shared" si="67"/>
        <v>9</v>
      </c>
      <c r="BB79" s="146">
        <f t="shared" si="67"/>
        <v>9</v>
      </c>
      <c r="BC79" s="146">
        <f t="shared" si="67"/>
        <v>9</v>
      </c>
      <c r="BD79" s="146">
        <f t="shared" si="67"/>
        <v>9</v>
      </c>
      <c r="BE79" s="146">
        <f t="shared" si="67"/>
        <v>9</v>
      </c>
      <c r="BF79" s="146">
        <f t="shared" si="67"/>
        <v>9</v>
      </c>
      <c r="BG79" s="146">
        <f t="shared" si="67"/>
        <v>9</v>
      </c>
      <c r="BH79" s="146">
        <f t="shared" si="67"/>
        <v>9</v>
      </c>
      <c r="BI79" s="146">
        <f t="shared" si="67"/>
        <v>9</v>
      </c>
      <c r="BJ79" s="146">
        <f t="shared" si="67"/>
        <v>9</v>
      </c>
      <c r="BK79" s="146">
        <f t="shared" si="67"/>
        <v>9</v>
      </c>
      <c r="BL79" s="146">
        <f t="shared" si="67"/>
        <v>9</v>
      </c>
      <c r="BM79" s="146">
        <f t="shared" si="67"/>
        <v>10</v>
      </c>
      <c r="BN79" s="146">
        <f t="shared" si="67"/>
        <v>11</v>
      </c>
      <c r="BO79" s="146">
        <f t="shared" si="67"/>
        <v>11</v>
      </c>
      <c r="BP79" s="146">
        <f t="shared" si="67"/>
        <v>11</v>
      </c>
      <c r="BQ79" s="146">
        <f t="shared" si="67"/>
        <v>11</v>
      </c>
      <c r="BR79" s="146">
        <f t="shared" si="67"/>
        <v>12</v>
      </c>
      <c r="BS79" s="146">
        <f t="shared" si="67"/>
        <v>12</v>
      </c>
      <c r="BT79" s="146">
        <f t="shared" si="67"/>
        <v>12</v>
      </c>
      <c r="BU79" s="146">
        <f t="shared" si="67"/>
        <v>12</v>
      </c>
      <c r="BV79" s="146">
        <f t="shared" si="67"/>
        <v>12</v>
      </c>
      <c r="BW79" s="146">
        <f t="shared" si="67"/>
        <v>12</v>
      </c>
      <c r="BX79" s="146">
        <f t="shared" si="67"/>
        <v>12</v>
      </c>
      <c r="BY79" s="146">
        <f t="shared" si="67"/>
        <v>12</v>
      </c>
      <c r="BZ79" s="146">
        <f t="shared" si="67"/>
        <v>12</v>
      </c>
      <c r="CA79" s="146">
        <f t="shared" si="67"/>
        <v>12</v>
      </c>
      <c r="CB79" s="146">
        <f t="shared" si="67"/>
        <v>12</v>
      </c>
      <c r="CC79" s="146">
        <f t="shared" si="67"/>
        <v>13</v>
      </c>
      <c r="CD79" s="146">
        <f t="shared" si="67"/>
        <v>13</v>
      </c>
      <c r="CE79" s="146">
        <f t="shared" si="67"/>
        <v>13</v>
      </c>
      <c r="CF79" s="146">
        <f t="shared" si="67"/>
        <v>13</v>
      </c>
      <c r="CG79" s="146">
        <f t="shared" si="67"/>
        <v>13</v>
      </c>
      <c r="CH79" s="146">
        <f t="shared" si="67"/>
        <v>13</v>
      </c>
    </row>
    <row r="80" ht="15.75" customHeight="1">
      <c r="A80" s="1" t="s">
        <v>697</v>
      </c>
      <c r="M80" s="146"/>
      <c r="N80" s="146"/>
      <c r="O80" s="146"/>
      <c r="P80" s="146"/>
      <c r="Q80" s="146"/>
      <c r="R80" s="146"/>
      <c r="S80" s="146"/>
      <c r="T80" s="146"/>
      <c r="U80" s="146"/>
      <c r="V80" s="146"/>
      <c r="W80" s="146"/>
      <c r="X80" s="146"/>
      <c r="Y80" s="470">
        <v>2.0</v>
      </c>
      <c r="Z80" s="470">
        <v>2.0</v>
      </c>
      <c r="AA80" s="470">
        <v>2.0</v>
      </c>
      <c r="AB80" s="470">
        <v>2.0</v>
      </c>
      <c r="AC80" s="470">
        <v>2.0</v>
      </c>
      <c r="AD80" s="470">
        <v>2.0</v>
      </c>
      <c r="AE80" s="470">
        <v>2.0</v>
      </c>
      <c r="AF80" s="470">
        <v>2.0</v>
      </c>
      <c r="AG80" s="470">
        <v>2.0</v>
      </c>
      <c r="AH80" s="470">
        <v>2.0</v>
      </c>
      <c r="AI80" s="470">
        <v>2.0</v>
      </c>
      <c r="AJ80" s="470">
        <v>2.0</v>
      </c>
      <c r="AK80" s="470">
        <v>2.0</v>
      </c>
      <c r="AL80" s="470">
        <v>2.0</v>
      </c>
      <c r="AM80" s="470">
        <v>2.0</v>
      </c>
      <c r="AN80" s="470">
        <v>2.0</v>
      </c>
      <c r="AO80" s="470">
        <v>2.0</v>
      </c>
      <c r="AP80" s="470">
        <v>2.0</v>
      </c>
      <c r="AQ80" s="470">
        <v>2.0</v>
      </c>
      <c r="AR80" s="470">
        <v>2.0</v>
      </c>
      <c r="AS80" s="470">
        <v>2.0</v>
      </c>
      <c r="AT80" s="470">
        <v>2.0</v>
      </c>
      <c r="AU80" s="470">
        <v>2.0</v>
      </c>
      <c r="AV80" s="470">
        <v>2.0</v>
      </c>
      <c r="AW80" s="470">
        <v>2.0</v>
      </c>
      <c r="AX80" s="470">
        <v>2.0</v>
      </c>
      <c r="AY80" s="470">
        <v>2.0</v>
      </c>
      <c r="AZ80" s="470">
        <v>2.0</v>
      </c>
      <c r="BA80" s="470">
        <v>2.0</v>
      </c>
      <c r="BB80" s="470">
        <v>2.0</v>
      </c>
      <c r="BC80" s="470">
        <v>2.0</v>
      </c>
      <c r="BD80" s="470">
        <v>2.0</v>
      </c>
      <c r="BE80" s="470">
        <v>2.0</v>
      </c>
      <c r="BF80" s="470">
        <v>2.0</v>
      </c>
      <c r="BG80" s="470">
        <v>2.0</v>
      </c>
      <c r="BH80" s="470">
        <v>2.0</v>
      </c>
      <c r="BI80" s="470">
        <v>2.0</v>
      </c>
      <c r="BJ80" s="470">
        <v>2.0</v>
      </c>
      <c r="BK80" s="470">
        <v>2.0</v>
      </c>
      <c r="BL80" s="470">
        <v>2.0</v>
      </c>
      <c r="BM80" s="470">
        <v>2.0</v>
      </c>
      <c r="BN80" s="470">
        <v>2.0</v>
      </c>
      <c r="BO80" s="470">
        <v>2.0</v>
      </c>
      <c r="BP80" s="470">
        <v>2.0</v>
      </c>
      <c r="BQ80" s="470">
        <v>2.0</v>
      </c>
      <c r="BR80" s="470">
        <v>2.0</v>
      </c>
      <c r="BS80" s="470">
        <v>2.0</v>
      </c>
      <c r="BT80" s="470">
        <v>2.0</v>
      </c>
      <c r="BU80" s="470">
        <v>2.0</v>
      </c>
      <c r="BV80" s="470">
        <v>2.0</v>
      </c>
      <c r="BW80" s="470">
        <v>2.0</v>
      </c>
      <c r="BX80" s="470">
        <v>2.0</v>
      </c>
      <c r="BY80" s="470">
        <v>2.0</v>
      </c>
      <c r="BZ80" s="470">
        <v>2.0</v>
      </c>
      <c r="CA80" s="470">
        <v>2.0</v>
      </c>
      <c r="CB80" s="470">
        <v>2.0</v>
      </c>
      <c r="CC80" s="470">
        <v>2.0</v>
      </c>
      <c r="CD80" s="470">
        <v>2.0</v>
      </c>
      <c r="CE80" s="470">
        <v>2.0</v>
      </c>
      <c r="CF80" s="470">
        <v>2.0</v>
      </c>
      <c r="CG80" s="470">
        <v>2.0</v>
      </c>
      <c r="CH80" s="470">
        <v>2.0</v>
      </c>
    </row>
    <row r="81" ht="15.75" customHeight="1">
      <c r="A81" s="1" t="s">
        <v>698</v>
      </c>
      <c r="M81" s="146"/>
      <c r="N81" s="146"/>
      <c r="O81" s="146"/>
      <c r="P81" s="146"/>
      <c r="Q81" s="146"/>
      <c r="R81" s="146"/>
      <c r="S81" s="146"/>
      <c r="T81" s="146"/>
      <c r="U81" s="146"/>
      <c r="V81" s="146"/>
      <c r="W81" s="146"/>
      <c r="X81" s="146"/>
      <c r="Y81" s="146">
        <f t="shared" ref="Y81:CH81" si="68">Y71/Y80</f>
        <v>9</v>
      </c>
      <c r="Z81" s="146">
        <f t="shared" si="68"/>
        <v>9.5</v>
      </c>
      <c r="AA81" s="146">
        <f t="shared" si="68"/>
        <v>9.5</v>
      </c>
      <c r="AB81" s="146">
        <f t="shared" si="68"/>
        <v>9.5</v>
      </c>
      <c r="AC81" s="146">
        <f t="shared" si="68"/>
        <v>9.5</v>
      </c>
      <c r="AD81" s="146">
        <f t="shared" si="68"/>
        <v>9.5</v>
      </c>
      <c r="AE81" s="146">
        <f t="shared" si="68"/>
        <v>9.5</v>
      </c>
      <c r="AF81" s="146">
        <f t="shared" si="68"/>
        <v>9.5</v>
      </c>
      <c r="AG81" s="146">
        <f t="shared" si="68"/>
        <v>9.5</v>
      </c>
      <c r="AH81" s="146">
        <f t="shared" si="68"/>
        <v>9.5</v>
      </c>
      <c r="AI81" s="146">
        <f t="shared" si="68"/>
        <v>9.5</v>
      </c>
      <c r="AJ81" s="146">
        <f t="shared" si="68"/>
        <v>9.5</v>
      </c>
      <c r="AK81" s="146">
        <f t="shared" si="68"/>
        <v>9.5</v>
      </c>
      <c r="AL81" s="146">
        <f t="shared" si="68"/>
        <v>9.5</v>
      </c>
      <c r="AM81" s="146">
        <f t="shared" si="68"/>
        <v>9.5</v>
      </c>
      <c r="AN81" s="146">
        <f t="shared" si="68"/>
        <v>9.5</v>
      </c>
      <c r="AO81" s="146">
        <f t="shared" si="68"/>
        <v>9.5</v>
      </c>
      <c r="AP81" s="146">
        <f t="shared" si="68"/>
        <v>9.5</v>
      </c>
      <c r="AQ81" s="146">
        <f t="shared" si="68"/>
        <v>9.5</v>
      </c>
      <c r="AR81" s="146">
        <f t="shared" si="68"/>
        <v>9.5</v>
      </c>
      <c r="AS81" s="146">
        <f t="shared" si="68"/>
        <v>9.5</v>
      </c>
      <c r="AT81" s="146">
        <f t="shared" si="68"/>
        <v>9.5</v>
      </c>
      <c r="AU81" s="146">
        <f t="shared" si="68"/>
        <v>9.5</v>
      </c>
      <c r="AV81" s="146">
        <f t="shared" si="68"/>
        <v>9.5</v>
      </c>
      <c r="AW81" s="146">
        <f t="shared" si="68"/>
        <v>9.5</v>
      </c>
      <c r="AX81" s="146">
        <f t="shared" si="68"/>
        <v>9.5</v>
      </c>
      <c r="AY81" s="146">
        <f t="shared" si="68"/>
        <v>9.5</v>
      </c>
      <c r="AZ81" s="146">
        <f t="shared" si="68"/>
        <v>9.5</v>
      </c>
      <c r="BA81" s="146">
        <f t="shared" si="68"/>
        <v>9.5</v>
      </c>
      <c r="BB81" s="146">
        <f t="shared" si="68"/>
        <v>9.5</v>
      </c>
      <c r="BC81" s="146">
        <f t="shared" si="68"/>
        <v>9.5</v>
      </c>
      <c r="BD81" s="146">
        <f t="shared" si="68"/>
        <v>9.5</v>
      </c>
      <c r="BE81" s="146">
        <f t="shared" si="68"/>
        <v>9.5</v>
      </c>
      <c r="BF81" s="146">
        <f t="shared" si="68"/>
        <v>9.5</v>
      </c>
      <c r="BG81" s="146">
        <f t="shared" si="68"/>
        <v>9.5</v>
      </c>
      <c r="BH81" s="146">
        <f t="shared" si="68"/>
        <v>9.5</v>
      </c>
      <c r="BI81" s="146">
        <f t="shared" si="68"/>
        <v>9.5</v>
      </c>
      <c r="BJ81" s="146">
        <f t="shared" si="68"/>
        <v>10</v>
      </c>
      <c r="BK81" s="146">
        <f t="shared" si="68"/>
        <v>10</v>
      </c>
      <c r="BL81" s="146">
        <f t="shared" si="68"/>
        <v>11.5</v>
      </c>
      <c r="BM81" s="146">
        <f t="shared" si="68"/>
        <v>12</v>
      </c>
      <c r="BN81" s="146">
        <f t="shared" si="68"/>
        <v>12</v>
      </c>
      <c r="BO81" s="146">
        <f t="shared" si="68"/>
        <v>12</v>
      </c>
      <c r="BP81" s="146">
        <f t="shared" si="68"/>
        <v>12</v>
      </c>
      <c r="BQ81" s="146">
        <f t="shared" si="68"/>
        <v>12.5</v>
      </c>
      <c r="BR81" s="146">
        <f t="shared" si="68"/>
        <v>12.5</v>
      </c>
      <c r="BS81" s="146">
        <f t="shared" si="68"/>
        <v>12.5</v>
      </c>
      <c r="BT81" s="146">
        <f t="shared" si="68"/>
        <v>12.5</v>
      </c>
      <c r="BU81" s="146">
        <f t="shared" si="68"/>
        <v>13</v>
      </c>
      <c r="BV81" s="146">
        <f t="shared" si="68"/>
        <v>13</v>
      </c>
      <c r="BW81" s="146">
        <f t="shared" si="68"/>
        <v>13</v>
      </c>
      <c r="BX81" s="146">
        <f t="shared" si="68"/>
        <v>13</v>
      </c>
      <c r="BY81" s="146">
        <f t="shared" si="68"/>
        <v>13</v>
      </c>
      <c r="BZ81" s="146">
        <f t="shared" si="68"/>
        <v>13</v>
      </c>
      <c r="CA81" s="146">
        <f t="shared" si="68"/>
        <v>13</v>
      </c>
      <c r="CB81" s="146">
        <f t="shared" si="68"/>
        <v>13.5</v>
      </c>
      <c r="CC81" s="146">
        <f t="shared" si="68"/>
        <v>13.5</v>
      </c>
      <c r="CD81" s="146">
        <f t="shared" si="68"/>
        <v>13.5</v>
      </c>
      <c r="CE81" s="146">
        <f t="shared" si="68"/>
        <v>13.5</v>
      </c>
      <c r="CF81" s="146">
        <f t="shared" si="68"/>
        <v>13.5</v>
      </c>
      <c r="CG81" s="146">
        <f t="shared" si="68"/>
        <v>14</v>
      </c>
      <c r="CH81" s="146">
        <f t="shared" si="68"/>
        <v>14</v>
      </c>
    </row>
    <row r="82" ht="15.75" customHeight="1">
      <c r="A82" s="1" t="s">
        <v>700</v>
      </c>
      <c r="M82" s="146"/>
      <c r="N82" s="146"/>
      <c r="O82" s="146"/>
      <c r="P82" s="146"/>
      <c r="Q82" s="146"/>
      <c r="R82" s="146"/>
      <c r="S82" s="146"/>
      <c r="T82" s="146"/>
      <c r="U82" s="146"/>
      <c r="V82" s="146"/>
      <c r="W82" s="146"/>
      <c r="X82" s="146"/>
      <c r="Y82" s="146">
        <f t="shared" ref="Y82:CH82" si="69">Y79-Y81</f>
        <v>-8</v>
      </c>
      <c r="Z82" s="146">
        <f t="shared" si="69"/>
        <v>-7.5</v>
      </c>
      <c r="AA82" s="146">
        <f t="shared" si="69"/>
        <v>-3.5</v>
      </c>
      <c r="AB82" s="146">
        <f t="shared" si="69"/>
        <v>-2.5</v>
      </c>
      <c r="AC82" s="146">
        <f t="shared" si="69"/>
        <v>-1.5</v>
      </c>
      <c r="AD82" s="146">
        <f t="shared" si="69"/>
        <v>-0.5</v>
      </c>
      <c r="AE82" s="146">
        <f t="shared" si="69"/>
        <v>-0.5</v>
      </c>
      <c r="AF82" s="146">
        <f t="shared" si="69"/>
        <v>-0.5</v>
      </c>
      <c r="AG82" s="146">
        <f t="shared" si="69"/>
        <v>-0.5</v>
      </c>
      <c r="AH82" s="146">
        <f t="shared" si="69"/>
        <v>-0.5</v>
      </c>
      <c r="AI82" s="146">
        <f t="shared" si="69"/>
        <v>-0.5</v>
      </c>
      <c r="AJ82" s="146">
        <f t="shared" si="69"/>
        <v>-0.5</v>
      </c>
      <c r="AK82" s="146">
        <f t="shared" si="69"/>
        <v>-0.5</v>
      </c>
      <c r="AL82" s="146">
        <f t="shared" si="69"/>
        <v>-0.5</v>
      </c>
      <c r="AM82" s="146">
        <f t="shared" si="69"/>
        <v>-0.5</v>
      </c>
      <c r="AN82" s="146">
        <f t="shared" si="69"/>
        <v>-0.5</v>
      </c>
      <c r="AO82" s="146">
        <f t="shared" si="69"/>
        <v>-0.5</v>
      </c>
      <c r="AP82" s="146">
        <f t="shared" si="69"/>
        <v>-0.5</v>
      </c>
      <c r="AQ82" s="146">
        <f t="shared" si="69"/>
        <v>-0.5</v>
      </c>
      <c r="AR82" s="146">
        <f t="shared" si="69"/>
        <v>-0.5</v>
      </c>
      <c r="AS82" s="146">
        <f t="shared" si="69"/>
        <v>-0.5</v>
      </c>
      <c r="AT82" s="146">
        <f t="shared" si="69"/>
        <v>-0.5</v>
      </c>
      <c r="AU82" s="146">
        <f t="shared" si="69"/>
        <v>-0.5</v>
      </c>
      <c r="AV82" s="146">
        <f t="shared" si="69"/>
        <v>-0.5</v>
      </c>
      <c r="AW82" s="146">
        <f t="shared" si="69"/>
        <v>-0.5</v>
      </c>
      <c r="AX82" s="146">
        <f t="shared" si="69"/>
        <v>-0.5</v>
      </c>
      <c r="AY82" s="146">
        <f t="shared" si="69"/>
        <v>-0.5</v>
      </c>
      <c r="AZ82" s="146">
        <f t="shared" si="69"/>
        <v>-0.5</v>
      </c>
      <c r="BA82" s="146">
        <f t="shared" si="69"/>
        <v>-0.5</v>
      </c>
      <c r="BB82" s="146">
        <f t="shared" si="69"/>
        <v>-0.5</v>
      </c>
      <c r="BC82" s="146">
        <f t="shared" si="69"/>
        <v>-0.5</v>
      </c>
      <c r="BD82" s="146">
        <f t="shared" si="69"/>
        <v>-0.5</v>
      </c>
      <c r="BE82" s="146">
        <f t="shared" si="69"/>
        <v>-0.5</v>
      </c>
      <c r="BF82" s="146">
        <f t="shared" si="69"/>
        <v>-0.5</v>
      </c>
      <c r="BG82" s="146">
        <f t="shared" si="69"/>
        <v>-0.5</v>
      </c>
      <c r="BH82" s="146">
        <f t="shared" si="69"/>
        <v>-0.5</v>
      </c>
      <c r="BI82" s="146">
        <f t="shared" si="69"/>
        <v>-0.5</v>
      </c>
      <c r="BJ82" s="146">
        <f t="shared" si="69"/>
        <v>-1</v>
      </c>
      <c r="BK82" s="146">
        <f t="shared" si="69"/>
        <v>-1</v>
      </c>
      <c r="BL82" s="146">
        <f t="shared" si="69"/>
        <v>-2.5</v>
      </c>
      <c r="BM82" s="146">
        <f t="shared" si="69"/>
        <v>-2</v>
      </c>
      <c r="BN82" s="146">
        <f t="shared" si="69"/>
        <v>-1</v>
      </c>
      <c r="BO82" s="146">
        <f t="shared" si="69"/>
        <v>-1</v>
      </c>
      <c r="BP82" s="146">
        <f t="shared" si="69"/>
        <v>-1</v>
      </c>
      <c r="BQ82" s="146">
        <f t="shared" si="69"/>
        <v>-1.5</v>
      </c>
      <c r="BR82" s="146">
        <f t="shared" si="69"/>
        <v>-0.5</v>
      </c>
      <c r="BS82" s="146">
        <f t="shared" si="69"/>
        <v>-0.5</v>
      </c>
      <c r="BT82" s="146">
        <f t="shared" si="69"/>
        <v>-0.5</v>
      </c>
      <c r="BU82" s="146">
        <f t="shared" si="69"/>
        <v>-1</v>
      </c>
      <c r="BV82" s="146">
        <f t="shared" si="69"/>
        <v>-1</v>
      </c>
      <c r="BW82" s="146">
        <f t="shared" si="69"/>
        <v>-1</v>
      </c>
      <c r="BX82" s="146">
        <f t="shared" si="69"/>
        <v>-1</v>
      </c>
      <c r="BY82" s="146">
        <f t="shared" si="69"/>
        <v>-1</v>
      </c>
      <c r="BZ82" s="146">
        <f t="shared" si="69"/>
        <v>-1</v>
      </c>
      <c r="CA82" s="146">
        <f t="shared" si="69"/>
        <v>-1</v>
      </c>
      <c r="CB82" s="146">
        <f t="shared" si="69"/>
        <v>-1.5</v>
      </c>
      <c r="CC82" s="146">
        <f t="shared" si="69"/>
        <v>-0.5</v>
      </c>
      <c r="CD82" s="146">
        <f t="shared" si="69"/>
        <v>-0.5</v>
      </c>
      <c r="CE82" s="146">
        <f t="shared" si="69"/>
        <v>-0.5</v>
      </c>
      <c r="CF82" s="146">
        <f t="shared" si="69"/>
        <v>-0.5</v>
      </c>
      <c r="CG82" s="146">
        <f t="shared" si="69"/>
        <v>-1</v>
      </c>
      <c r="CH82" s="146">
        <f t="shared" si="69"/>
        <v>-1</v>
      </c>
    </row>
    <row r="83" ht="15.75" customHeight="1">
      <c r="A83" s="1" t="s">
        <v>701</v>
      </c>
      <c r="M83" s="146"/>
      <c r="N83" s="146"/>
      <c r="O83" s="146"/>
      <c r="P83" s="146"/>
      <c r="Q83" s="146"/>
      <c r="R83" s="146"/>
      <c r="S83" s="146"/>
      <c r="T83" s="146"/>
      <c r="U83" s="146"/>
      <c r="V83" s="146"/>
      <c r="W83" s="146"/>
      <c r="X83" s="244">
        <v>1.0</v>
      </c>
      <c r="Y83" s="244">
        <v>1.0</v>
      </c>
      <c r="Z83" s="244">
        <v>4.0</v>
      </c>
      <c r="AA83" s="144">
        <f t="shared" ref="AA83:CH83" si="70">IF(AA82&lt;-1,1,0)</f>
        <v>1</v>
      </c>
      <c r="AB83" s="144">
        <f t="shared" si="70"/>
        <v>1</v>
      </c>
      <c r="AC83" s="144">
        <f t="shared" si="70"/>
        <v>1</v>
      </c>
      <c r="AD83" s="144">
        <f t="shared" si="70"/>
        <v>0</v>
      </c>
      <c r="AE83" s="144">
        <f t="shared" si="70"/>
        <v>0</v>
      </c>
      <c r="AF83" s="144">
        <f t="shared" si="70"/>
        <v>0</v>
      </c>
      <c r="AG83" s="144">
        <f t="shared" si="70"/>
        <v>0</v>
      </c>
      <c r="AH83" s="144">
        <f t="shared" si="70"/>
        <v>0</v>
      </c>
      <c r="AI83" s="144">
        <f t="shared" si="70"/>
        <v>0</v>
      </c>
      <c r="AJ83" s="144">
        <f t="shared" si="70"/>
        <v>0</v>
      </c>
      <c r="AK83" s="144">
        <f t="shared" si="70"/>
        <v>0</v>
      </c>
      <c r="AL83" s="144">
        <f t="shared" si="70"/>
        <v>0</v>
      </c>
      <c r="AM83" s="144">
        <f t="shared" si="70"/>
        <v>0</v>
      </c>
      <c r="AN83" s="144">
        <f t="shared" si="70"/>
        <v>0</v>
      </c>
      <c r="AO83" s="144">
        <f t="shared" si="70"/>
        <v>0</v>
      </c>
      <c r="AP83" s="144">
        <f t="shared" si="70"/>
        <v>0</v>
      </c>
      <c r="AQ83" s="144">
        <f t="shared" si="70"/>
        <v>0</v>
      </c>
      <c r="AR83" s="144">
        <f t="shared" si="70"/>
        <v>0</v>
      </c>
      <c r="AS83" s="144">
        <f t="shared" si="70"/>
        <v>0</v>
      </c>
      <c r="AT83" s="144">
        <f t="shared" si="70"/>
        <v>0</v>
      </c>
      <c r="AU83" s="144">
        <f t="shared" si="70"/>
        <v>0</v>
      </c>
      <c r="AV83" s="144">
        <f t="shared" si="70"/>
        <v>0</v>
      </c>
      <c r="AW83" s="144">
        <f t="shared" si="70"/>
        <v>0</v>
      </c>
      <c r="AX83" s="144">
        <f t="shared" si="70"/>
        <v>0</v>
      </c>
      <c r="AY83" s="144">
        <f t="shared" si="70"/>
        <v>0</v>
      </c>
      <c r="AZ83" s="144">
        <f t="shared" si="70"/>
        <v>0</v>
      </c>
      <c r="BA83" s="144">
        <f t="shared" si="70"/>
        <v>0</v>
      </c>
      <c r="BB83" s="144">
        <f t="shared" si="70"/>
        <v>0</v>
      </c>
      <c r="BC83" s="144">
        <f t="shared" si="70"/>
        <v>0</v>
      </c>
      <c r="BD83" s="144">
        <f t="shared" si="70"/>
        <v>0</v>
      </c>
      <c r="BE83" s="144">
        <f t="shared" si="70"/>
        <v>0</v>
      </c>
      <c r="BF83" s="144">
        <f t="shared" si="70"/>
        <v>0</v>
      </c>
      <c r="BG83" s="144">
        <f t="shared" si="70"/>
        <v>0</v>
      </c>
      <c r="BH83" s="144">
        <f t="shared" si="70"/>
        <v>0</v>
      </c>
      <c r="BI83" s="144">
        <f t="shared" si="70"/>
        <v>0</v>
      </c>
      <c r="BJ83" s="144">
        <f t="shared" si="70"/>
        <v>0</v>
      </c>
      <c r="BK83" s="144">
        <f t="shared" si="70"/>
        <v>0</v>
      </c>
      <c r="BL83" s="144">
        <f t="shared" si="70"/>
        <v>1</v>
      </c>
      <c r="BM83" s="144">
        <f t="shared" si="70"/>
        <v>1</v>
      </c>
      <c r="BN83" s="144">
        <f t="shared" si="70"/>
        <v>0</v>
      </c>
      <c r="BO83" s="144">
        <f t="shared" si="70"/>
        <v>0</v>
      </c>
      <c r="BP83" s="144">
        <f t="shared" si="70"/>
        <v>0</v>
      </c>
      <c r="BQ83" s="144">
        <f t="shared" si="70"/>
        <v>1</v>
      </c>
      <c r="BR83" s="144">
        <f t="shared" si="70"/>
        <v>0</v>
      </c>
      <c r="BS83" s="144">
        <f t="shared" si="70"/>
        <v>0</v>
      </c>
      <c r="BT83" s="144">
        <f t="shared" si="70"/>
        <v>0</v>
      </c>
      <c r="BU83" s="144">
        <f t="shared" si="70"/>
        <v>0</v>
      </c>
      <c r="BV83" s="144">
        <f t="shared" si="70"/>
        <v>0</v>
      </c>
      <c r="BW83" s="144">
        <f t="shared" si="70"/>
        <v>0</v>
      </c>
      <c r="BX83" s="144">
        <f t="shared" si="70"/>
        <v>0</v>
      </c>
      <c r="BY83" s="144">
        <f t="shared" si="70"/>
        <v>0</v>
      </c>
      <c r="BZ83" s="144">
        <f t="shared" si="70"/>
        <v>0</v>
      </c>
      <c r="CA83" s="144">
        <f t="shared" si="70"/>
        <v>0</v>
      </c>
      <c r="CB83" s="144">
        <f t="shared" si="70"/>
        <v>1</v>
      </c>
      <c r="CC83" s="144">
        <f t="shared" si="70"/>
        <v>0</v>
      </c>
      <c r="CD83" s="144">
        <f t="shared" si="70"/>
        <v>0</v>
      </c>
      <c r="CE83" s="144">
        <f t="shared" si="70"/>
        <v>0</v>
      </c>
      <c r="CF83" s="144">
        <f t="shared" si="70"/>
        <v>0</v>
      </c>
      <c r="CG83" s="144">
        <f t="shared" si="70"/>
        <v>0</v>
      </c>
      <c r="CH83" s="144">
        <f t="shared" si="70"/>
        <v>0</v>
      </c>
    </row>
    <row r="84" ht="15.75" customHeight="1">
      <c r="A84" s="1" t="s">
        <v>702</v>
      </c>
      <c r="M84" s="146"/>
      <c r="N84" s="146"/>
      <c r="O84" s="146"/>
      <c r="P84" s="146"/>
      <c r="Q84" s="146"/>
      <c r="R84" s="146"/>
      <c r="S84" s="146"/>
      <c r="T84" s="146"/>
      <c r="U84" s="146"/>
      <c r="V84" s="146"/>
      <c r="W84" s="146"/>
      <c r="X84" s="244">
        <f>X83</f>
        <v>1</v>
      </c>
      <c r="Y84" s="244">
        <v>1.0</v>
      </c>
      <c r="Z84" s="244">
        <v>4.0</v>
      </c>
      <c r="AA84" s="144">
        <f t="shared" ref="AA84:CH84" si="71">AA83</f>
        <v>1</v>
      </c>
      <c r="AB84" s="144">
        <f t="shared" si="71"/>
        <v>1</v>
      </c>
      <c r="AC84" s="144">
        <f t="shared" si="71"/>
        <v>1</v>
      </c>
      <c r="AD84" s="144">
        <f t="shared" si="71"/>
        <v>0</v>
      </c>
      <c r="AE84" s="144">
        <f t="shared" si="71"/>
        <v>0</v>
      </c>
      <c r="AF84" s="144">
        <f t="shared" si="71"/>
        <v>0</v>
      </c>
      <c r="AG84" s="144">
        <f t="shared" si="71"/>
        <v>0</v>
      </c>
      <c r="AH84" s="144">
        <f t="shared" si="71"/>
        <v>0</v>
      </c>
      <c r="AI84" s="144">
        <f t="shared" si="71"/>
        <v>0</v>
      </c>
      <c r="AJ84" s="144">
        <f t="shared" si="71"/>
        <v>0</v>
      </c>
      <c r="AK84" s="144">
        <f t="shared" si="71"/>
        <v>0</v>
      </c>
      <c r="AL84" s="144">
        <f t="shared" si="71"/>
        <v>0</v>
      </c>
      <c r="AM84" s="144">
        <f t="shared" si="71"/>
        <v>0</v>
      </c>
      <c r="AN84" s="144">
        <f t="shared" si="71"/>
        <v>0</v>
      </c>
      <c r="AO84" s="144">
        <f t="shared" si="71"/>
        <v>0</v>
      </c>
      <c r="AP84" s="144">
        <f t="shared" si="71"/>
        <v>0</v>
      </c>
      <c r="AQ84" s="144">
        <f t="shared" si="71"/>
        <v>0</v>
      </c>
      <c r="AR84" s="144">
        <f t="shared" si="71"/>
        <v>0</v>
      </c>
      <c r="AS84" s="144">
        <f t="shared" si="71"/>
        <v>0</v>
      </c>
      <c r="AT84" s="144">
        <f t="shared" si="71"/>
        <v>0</v>
      </c>
      <c r="AU84" s="144">
        <f t="shared" si="71"/>
        <v>0</v>
      </c>
      <c r="AV84" s="144">
        <f t="shared" si="71"/>
        <v>0</v>
      </c>
      <c r="AW84" s="144">
        <f t="shared" si="71"/>
        <v>0</v>
      </c>
      <c r="AX84" s="144">
        <f t="shared" si="71"/>
        <v>0</v>
      </c>
      <c r="AY84" s="144">
        <f t="shared" si="71"/>
        <v>0</v>
      </c>
      <c r="AZ84" s="144">
        <f t="shared" si="71"/>
        <v>0</v>
      </c>
      <c r="BA84" s="144">
        <f t="shared" si="71"/>
        <v>0</v>
      </c>
      <c r="BB84" s="144">
        <f t="shared" si="71"/>
        <v>0</v>
      </c>
      <c r="BC84" s="144">
        <f t="shared" si="71"/>
        <v>0</v>
      </c>
      <c r="BD84" s="144">
        <f t="shared" si="71"/>
        <v>0</v>
      </c>
      <c r="BE84" s="144">
        <f t="shared" si="71"/>
        <v>0</v>
      </c>
      <c r="BF84" s="144">
        <f t="shared" si="71"/>
        <v>0</v>
      </c>
      <c r="BG84" s="144">
        <f t="shared" si="71"/>
        <v>0</v>
      </c>
      <c r="BH84" s="144">
        <f t="shared" si="71"/>
        <v>0</v>
      </c>
      <c r="BI84" s="144">
        <f t="shared" si="71"/>
        <v>0</v>
      </c>
      <c r="BJ84" s="144">
        <f t="shared" si="71"/>
        <v>0</v>
      </c>
      <c r="BK84" s="144">
        <f t="shared" si="71"/>
        <v>0</v>
      </c>
      <c r="BL84" s="144">
        <f t="shared" si="71"/>
        <v>1</v>
      </c>
      <c r="BM84" s="144">
        <f t="shared" si="71"/>
        <v>1</v>
      </c>
      <c r="BN84" s="144">
        <f t="shared" si="71"/>
        <v>0</v>
      </c>
      <c r="BO84" s="144">
        <f t="shared" si="71"/>
        <v>0</v>
      </c>
      <c r="BP84" s="144">
        <f t="shared" si="71"/>
        <v>0</v>
      </c>
      <c r="BQ84" s="144">
        <f t="shared" si="71"/>
        <v>1</v>
      </c>
      <c r="BR84" s="144">
        <f t="shared" si="71"/>
        <v>0</v>
      </c>
      <c r="BS84" s="144">
        <f t="shared" si="71"/>
        <v>0</v>
      </c>
      <c r="BT84" s="144">
        <f t="shared" si="71"/>
        <v>0</v>
      </c>
      <c r="BU84" s="144">
        <f t="shared" si="71"/>
        <v>0</v>
      </c>
      <c r="BV84" s="144">
        <f t="shared" si="71"/>
        <v>0</v>
      </c>
      <c r="BW84" s="144">
        <f t="shared" si="71"/>
        <v>0</v>
      </c>
      <c r="BX84" s="144">
        <f t="shared" si="71"/>
        <v>0</v>
      </c>
      <c r="BY84" s="144">
        <f t="shared" si="71"/>
        <v>0</v>
      </c>
      <c r="BZ84" s="144">
        <f t="shared" si="71"/>
        <v>0</v>
      </c>
      <c r="CA84" s="144">
        <f t="shared" si="71"/>
        <v>0</v>
      </c>
      <c r="CB84" s="144">
        <f t="shared" si="71"/>
        <v>1</v>
      </c>
      <c r="CC84" s="144">
        <f t="shared" si="71"/>
        <v>0</v>
      </c>
      <c r="CD84" s="144">
        <f t="shared" si="71"/>
        <v>0</v>
      </c>
      <c r="CE84" s="144">
        <f t="shared" si="71"/>
        <v>0</v>
      </c>
      <c r="CF84" s="144">
        <f t="shared" si="71"/>
        <v>0</v>
      </c>
      <c r="CG84" s="144">
        <f t="shared" si="71"/>
        <v>0</v>
      </c>
      <c r="CH84" s="144">
        <f t="shared" si="71"/>
        <v>0</v>
      </c>
    </row>
    <row r="85" ht="15.75" customHeight="1">
      <c r="A85" s="1"/>
      <c r="M85" s="173"/>
      <c r="N85" s="146"/>
      <c r="O85" s="242"/>
      <c r="P85" s="242"/>
      <c r="Q85" s="242"/>
      <c r="R85" s="242"/>
      <c r="S85" s="242"/>
      <c r="T85" s="242"/>
      <c r="U85" s="242"/>
      <c r="V85" s="242"/>
      <c r="W85" s="242"/>
      <c r="X85" s="242"/>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6"/>
      <c r="CC85" s="146"/>
      <c r="CD85" s="146"/>
      <c r="CE85" s="146"/>
      <c r="CF85" s="146"/>
      <c r="CG85" s="146"/>
      <c r="CH85" s="146"/>
    </row>
    <row r="86" ht="15.75" customHeight="1">
      <c r="A86" s="1" t="s">
        <v>705</v>
      </c>
      <c r="M86" s="173">
        <v>5.0</v>
      </c>
      <c r="N86" s="242">
        <v>4.0</v>
      </c>
      <c r="O86" s="242">
        <v>4.0</v>
      </c>
      <c r="P86" s="242">
        <v>4.0</v>
      </c>
      <c r="Q86" s="242">
        <v>4.0</v>
      </c>
      <c r="R86" s="242">
        <v>4.0</v>
      </c>
      <c r="S86" s="242">
        <v>4.0</v>
      </c>
      <c r="T86" s="242">
        <v>4.0</v>
      </c>
      <c r="U86" s="242">
        <v>4.0</v>
      </c>
      <c r="V86" s="242">
        <v>4.0</v>
      </c>
      <c r="W86" s="242">
        <v>4.0</v>
      </c>
      <c r="X86" s="242">
        <v>4.0</v>
      </c>
      <c r="Y86" s="242">
        <v>4.0</v>
      </c>
      <c r="Z86" s="146">
        <f t="shared" ref="Z86:CH86" si="72">Y86+Y90</f>
        <v>4</v>
      </c>
      <c r="AA86" s="146">
        <f t="shared" si="72"/>
        <v>4</v>
      </c>
      <c r="AB86" s="146">
        <f t="shared" si="72"/>
        <v>4</v>
      </c>
      <c r="AC86" s="146">
        <f t="shared" si="72"/>
        <v>4</v>
      </c>
      <c r="AD86" s="146">
        <f t="shared" si="72"/>
        <v>4</v>
      </c>
      <c r="AE86" s="146">
        <f t="shared" si="72"/>
        <v>4</v>
      </c>
      <c r="AF86" s="146">
        <f t="shared" si="72"/>
        <v>4</v>
      </c>
      <c r="AG86" s="146">
        <f t="shared" si="72"/>
        <v>4</v>
      </c>
      <c r="AH86" s="146">
        <f t="shared" si="72"/>
        <v>4</v>
      </c>
      <c r="AI86" s="146">
        <f t="shared" si="72"/>
        <v>4</v>
      </c>
      <c r="AJ86" s="146">
        <f t="shared" si="72"/>
        <v>4</v>
      </c>
      <c r="AK86" s="146">
        <f t="shared" si="72"/>
        <v>4</v>
      </c>
      <c r="AL86" s="146">
        <f t="shared" si="72"/>
        <v>4</v>
      </c>
      <c r="AM86" s="146">
        <f t="shared" si="72"/>
        <v>4</v>
      </c>
      <c r="AN86" s="146">
        <f t="shared" si="72"/>
        <v>4</v>
      </c>
      <c r="AO86" s="146">
        <f t="shared" si="72"/>
        <v>4</v>
      </c>
      <c r="AP86" s="146">
        <f t="shared" si="72"/>
        <v>4</v>
      </c>
      <c r="AQ86" s="146">
        <f t="shared" si="72"/>
        <v>4</v>
      </c>
      <c r="AR86" s="146">
        <f t="shared" si="72"/>
        <v>4</v>
      </c>
      <c r="AS86" s="146">
        <f t="shared" si="72"/>
        <v>4</v>
      </c>
      <c r="AT86" s="146">
        <f t="shared" si="72"/>
        <v>4</v>
      </c>
      <c r="AU86" s="146">
        <f t="shared" si="72"/>
        <v>4</v>
      </c>
      <c r="AV86" s="146">
        <f t="shared" si="72"/>
        <v>4</v>
      </c>
      <c r="AW86" s="146">
        <f t="shared" si="72"/>
        <v>4</v>
      </c>
      <c r="AX86" s="146">
        <f t="shared" si="72"/>
        <v>4</v>
      </c>
      <c r="AY86" s="146">
        <f t="shared" si="72"/>
        <v>4</v>
      </c>
      <c r="AZ86" s="146">
        <f t="shared" si="72"/>
        <v>4</v>
      </c>
      <c r="BA86" s="146">
        <f t="shared" si="72"/>
        <v>4</v>
      </c>
      <c r="BB86" s="146">
        <f t="shared" si="72"/>
        <v>4</v>
      </c>
      <c r="BC86" s="146">
        <f t="shared" si="72"/>
        <v>4</v>
      </c>
      <c r="BD86" s="146">
        <f t="shared" si="72"/>
        <v>4</v>
      </c>
      <c r="BE86" s="146">
        <f t="shared" si="72"/>
        <v>4</v>
      </c>
      <c r="BF86" s="146">
        <f t="shared" si="72"/>
        <v>4</v>
      </c>
      <c r="BG86" s="146">
        <f t="shared" si="72"/>
        <v>4</v>
      </c>
      <c r="BH86" s="146">
        <f t="shared" si="72"/>
        <v>4</v>
      </c>
      <c r="BI86" s="146">
        <f t="shared" si="72"/>
        <v>4</v>
      </c>
      <c r="BJ86" s="146">
        <f t="shared" si="72"/>
        <v>4</v>
      </c>
      <c r="BK86" s="146">
        <f t="shared" si="72"/>
        <v>4</v>
      </c>
      <c r="BL86" s="146">
        <f t="shared" si="72"/>
        <v>4</v>
      </c>
      <c r="BM86" s="146">
        <f t="shared" si="72"/>
        <v>4</v>
      </c>
      <c r="BN86" s="146">
        <f t="shared" si="72"/>
        <v>4</v>
      </c>
      <c r="BO86" s="146">
        <f t="shared" si="72"/>
        <v>4</v>
      </c>
      <c r="BP86" s="146">
        <f t="shared" si="72"/>
        <v>4</v>
      </c>
      <c r="BQ86" s="146">
        <f t="shared" si="72"/>
        <v>4</v>
      </c>
      <c r="BR86" s="146">
        <f t="shared" si="72"/>
        <v>5</v>
      </c>
      <c r="BS86" s="146">
        <f t="shared" si="72"/>
        <v>5</v>
      </c>
      <c r="BT86" s="146">
        <f t="shared" si="72"/>
        <v>5</v>
      </c>
      <c r="BU86" s="146">
        <f t="shared" si="72"/>
        <v>5</v>
      </c>
      <c r="BV86" s="146">
        <f t="shared" si="72"/>
        <v>5</v>
      </c>
      <c r="BW86" s="146">
        <f t="shared" si="72"/>
        <v>5</v>
      </c>
      <c r="BX86" s="146">
        <f t="shared" si="72"/>
        <v>5</v>
      </c>
      <c r="BY86" s="146">
        <f t="shared" si="72"/>
        <v>5</v>
      </c>
      <c r="BZ86" s="146">
        <f t="shared" si="72"/>
        <v>5</v>
      </c>
      <c r="CA86" s="146">
        <f t="shared" si="72"/>
        <v>5</v>
      </c>
      <c r="CB86" s="146">
        <f t="shared" si="72"/>
        <v>5</v>
      </c>
      <c r="CC86" s="146">
        <f t="shared" si="72"/>
        <v>5</v>
      </c>
      <c r="CD86" s="146">
        <f t="shared" si="72"/>
        <v>5</v>
      </c>
      <c r="CE86" s="146">
        <f t="shared" si="72"/>
        <v>5</v>
      </c>
      <c r="CF86" s="146">
        <f t="shared" si="72"/>
        <v>5</v>
      </c>
      <c r="CG86" s="146">
        <f t="shared" si="72"/>
        <v>5</v>
      </c>
      <c r="CH86" s="146">
        <f t="shared" si="72"/>
        <v>5</v>
      </c>
    </row>
    <row r="87" ht="15.75" customHeight="1">
      <c r="A87" s="1" t="s">
        <v>706</v>
      </c>
      <c r="M87" s="471">
        <v>5.5</v>
      </c>
      <c r="N87" s="472">
        <f>M87</f>
        <v>5.5</v>
      </c>
      <c r="O87" s="173">
        <v>6.0</v>
      </c>
      <c r="P87" s="472">
        <f t="shared" ref="P87:CH87" si="73">O87</f>
        <v>6</v>
      </c>
      <c r="Q87" s="472">
        <f t="shared" si="73"/>
        <v>6</v>
      </c>
      <c r="R87" s="472">
        <f t="shared" si="73"/>
        <v>6</v>
      </c>
      <c r="S87" s="472">
        <f t="shared" si="73"/>
        <v>6</v>
      </c>
      <c r="T87" s="472">
        <f t="shared" si="73"/>
        <v>6</v>
      </c>
      <c r="U87" s="472">
        <f t="shared" si="73"/>
        <v>6</v>
      </c>
      <c r="V87" s="472">
        <f t="shared" si="73"/>
        <v>6</v>
      </c>
      <c r="W87" s="472">
        <f t="shared" si="73"/>
        <v>6</v>
      </c>
      <c r="X87" s="472">
        <f t="shared" si="73"/>
        <v>6</v>
      </c>
      <c r="Y87" s="472">
        <f t="shared" si="73"/>
        <v>6</v>
      </c>
      <c r="Z87" s="472">
        <f t="shared" si="73"/>
        <v>6</v>
      </c>
      <c r="AA87" s="472">
        <f t="shared" si="73"/>
        <v>6</v>
      </c>
      <c r="AB87" s="472">
        <f t="shared" si="73"/>
        <v>6</v>
      </c>
      <c r="AC87" s="472">
        <f t="shared" si="73"/>
        <v>6</v>
      </c>
      <c r="AD87" s="472">
        <f t="shared" si="73"/>
        <v>6</v>
      </c>
      <c r="AE87" s="472">
        <f t="shared" si="73"/>
        <v>6</v>
      </c>
      <c r="AF87" s="472">
        <f t="shared" si="73"/>
        <v>6</v>
      </c>
      <c r="AG87" s="472">
        <f t="shared" si="73"/>
        <v>6</v>
      </c>
      <c r="AH87" s="472">
        <f t="shared" si="73"/>
        <v>6</v>
      </c>
      <c r="AI87" s="472">
        <f t="shared" si="73"/>
        <v>6</v>
      </c>
      <c r="AJ87" s="472">
        <f t="shared" si="73"/>
        <v>6</v>
      </c>
      <c r="AK87" s="472">
        <f t="shared" si="73"/>
        <v>6</v>
      </c>
      <c r="AL87" s="472">
        <f t="shared" si="73"/>
        <v>6</v>
      </c>
      <c r="AM87" s="472">
        <f t="shared" si="73"/>
        <v>6</v>
      </c>
      <c r="AN87" s="472">
        <f t="shared" si="73"/>
        <v>6</v>
      </c>
      <c r="AO87" s="472">
        <f t="shared" si="73"/>
        <v>6</v>
      </c>
      <c r="AP87" s="472">
        <f t="shared" si="73"/>
        <v>6</v>
      </c>
      <c r="AQ87" s="472">
        <f t="shared" si="73"/>
        <v>6</v>
      </c>
      <c r="AR87" s="472">
        <f t="shared" si="73"/>
        <v>6</v>
      </c>
      <c r="AS87" s="472">
        <f t="shared" si="73"/>
        <v>6</v>
      </c>
      <c r="AT87" s="472">
        <f t="shared" si="73"/>
        <v>6</v>
      </c>
      <c r="AU87" s="472">
        <f t="shared" si="73"/>
        <v>6</v>
      </c>
      <c r="AV87" s="472">
        <f t="shared" si="73"/>
        <v>6</v>
      </c>
      <c r="AW87" s="472">
        <f t="shared" si="73"/>
        <v>6</v>
      </c>
      <c r="AX87" s="472">
        <f t="shared" si="73"/>
        <v>6</v>
      </c>
      <c r="AY87" s="472">
        <f t="shared" si="73"/>
        <v>6</v>
      </c>
      <c r="AZ87" s="472">
        <f t="shared" si="73"/>
        <v>6</v>
      </c>
      <c r="BA87" s="472">
        <f t="shared" si="73"/>
        <v>6</v>
      </c>
      <c r="BB87" s="472">
        <f t="shared" si="73"/>
        <v>6</v>
      </c>
      <c r="BC87" s="472">
        <f t="shared" si="73"/>
        <v>6</v>
      </c>
      <c r="BD87" s="472">
        <f t="shared" si="73"/>
        <v>6</v>
      </c>
      <c r="BE87" s="472">
        <f t="shared" si="73"/>
        <v>6</v>
      </c>
      <c r="BF87" s="472">
        <f t="shared" si="73"/>
        <v>6</v>
      </c>
      <c r="BG87" s="472">
        <f t="shared" si="73"/>
        <v>6</v>
      </c>
      <c r="BH87" s="472">
        <f t="shared" si="73"/>
        <v>6</v>
      </c>
      <c r="BI87" s="472">
        <f t="shared" si="73"/>
        <v>6</v>
      </c>
      <c r="BJ87" s="472">
        <f t="shared" si="73"/>
        <v>6</v>
      </c>
      <c r="BK87" s="472">
        <f t="shared" si="73"/>
        <v>6</v>
      </c>
      <c r="BL87" s="472">
        <f t="shared" si="73"/>
        <v>6</v>
      </c>
      <c r="BM87" s="472">
        <f t="shared" si="73"/>
        <v>6</v>
      </c>
      <c r="BN87" s="472">
        <f t="shared" si="73"/>
        <v>6</v>
      </c>
      <c r="BO87" s="472">
        <f t="shared" si="73"/>
        <v>6</v>
      </c>
      <c r="BP87" s="472">
        <f t="shared" si="73"/>
        <v>6</v>
      </c>
      <c r="BQ87" s="472">
        <f t="shared" si="73"/>
        <v>6</v>
      </c>
      <c r="BR87" s="472">
        <f t="shared" si="73"/>
        <v>6</v>
      </c>
      <c r="BS87" s="472">
        <f t="shared" si="73"/>
        <v>6</v>
      </c>
      <c r="BT87" s="472">
        <f t="shared" si="73"/>
        <v>6</v>
      </c>
      <c r="BU87" s="472">
        <f t="shared" si="73"/>
        <v>6</v>
      </c>
      <c r="BV87" s="472">
        <f t="shared" si="73"/>
        <v>6</v>
      </c>
      <c r="BW87" s="472">
        <f t="shared" si="73"/>
        <v>6</v>
      </c>
      <c r="BX87" s="472">
        <f t="shared" si="73"/>
        <v>6</v>
      </c>
      <c r="BY87" s="472">
        <f t="shared" si="73"/>
        <v>6</v>
      </c>
      <c r="BZ87" s="472">
        <f t="shared" si="73"/>
        <v>6</v>
      </c>
      <c r="CA87" s="472">
        <f t="shared" si="73"/>
        <v>6</v>
      </c>
      <c r="CB87" s="472">
        <f t="shared" si="73"/>
        <v>6</v>
      </c>
      <c r="CC87" s="472">
        <f t="shared" si="73"/>
        <v>6</v>
      </c>
      <c r="CD87" s="472">
        <f t="shared" si="73"/>
        <v>6</v>
      </c>
      <c r="CE87" s="472">
        <f t="shared" si="73"/>
        <v>6</v>
      </c>
      <c r="CF87" s="472">
        <f t="shared" si="73"/>
        <v>6</v>
      </c>
      <c r="CG87" s="472">
        <f t="shared" si="73"/>
        <v>6</v>
      </c>
      <c r="CH87" s="472">
        <f t="shared" si="73"/>
        <v>6</v>
      </c>
    </row>
    <row r="88" ht="15.75" customHeight="1">
      <c r="A88" s="1" t="s">
        <v>698</v>
      </c>
      <c r="M88" s="146">
        <f t="shared" ref="M88:CH88" si="74">M86*M87</f>
        <v>27.5</v>
      </c>
      <c r="N88" s="146">
        <f t="shared" si="74"/>
        <v>22</v>
      </c>
      <c r="O88" s="146">
        <f t="shared" si="74"/>
        <v>24</v>
      </c>
      <c r="P88" s="146">
        <f t="shared" si="74"/>
        <v>24</v>
      </c>
      <c r="Q88" s="146">
        <f t="shared" si="74"/>
        <v>24</v>
      </c>
      <c r="R88" s="146">
        <f t="shared" si="74"/>
        <v>24</v>
      </c>
      <c r="S88" s="146">
        <f t="shared" si="74"/>
        <v>24</v>
      </c>
      <c r="T88" s="146">
        <f t="shared" si="74"/>
        <v>24</v>
      </c>
      <c r="U88" s="146">
        <f t="shared" si="74"/>
        <v>24</v>
      </c>
      <c r="V88" s="146">
        <f t="shared" si="74"/>
        <v>24</v>
      </c>
      <c r="W88" s="146">
        <f t="shared" si="74"/>
        <v>24</v>
      </c>
      <c r="X88" s="146">
        <f t="shared" si="74"/>
        <v>24</v>
      </c>
      <c r="Y88" s="146">
        <f t="shared" si="74"/>
        <v>24</v>
      </c>
      <c r="Z88" s="146">
        <f t="shared" si="74"/>
        <v>24</v>
      </c>
      <c r="AA88" s="146">
        <f t="shared" si="74"/>
        <v>24</v>
      </c>
      <c r="AB88" s="146">
        <f t="shared" si="74"/>
        <v>24</v>
      </c>
      <c r="AC88" s="146">
        <f t="shared" si="74"/>
        <v>24</v>
      </c>
      <c r="AD88" s="146">
        <f t="shared" si="74"/>
        <v>24</v>
      </c>
      <c r="AE88" s="146">
        <f t="shared" si="74"/>
        <v>24</v>
      </c>
      <c r="AF88" s="146">
        <f t="shared" si="74"/>
        <v>24</v>
      </c>
      <c r="AG88" s="146">
        <f t="shared" si="74"/>
        <v>24</v>
      </c>
      <c r="AH88" s="146">
        <f t="shared" si="74"/>
        <v>24</v>
      </c>
      <c r="AI88" s="146">
        <f t="shared" si="74"/>
        <v>24</v>
      </c>
      <c r="AJ88" s="146">
        <f t="shared" si="74"/>
        <v>24</v>
      </c>
      <c r="AK88" s="146">
        <f t="shared" si="74"/>
        <v>24</v>
      </c>
      <c r="AL88" s="146">
        <f t="shared" si="74"/>
        <v>24</v>
      </c>
      <c r="AM88" s="146">
        <f t="shared" si="74"/>
        <v>24</v>
      </c>
      <c r="AN88" s="146">
        <f t="shared" si="74"/>
        <v>24</v>
      </c>
      <c r="AO88" s="146">
        <f t="shared" si="74"/>
        <v>24</v>
      </c>
      <c r="AP88" s="146">
        <f t="shared" si="74"/>
        <v>24</v>
      </c>
      <c r="AQ88" s="146">
        <f t="shared" si="74"/>
        <v>24</v>
      </c>
      <c r="AR88" s="146">
        <f t="shared" si="74"/>
        <v>24</v>
      </c>
      <c r="AS88" s="146">
        <f t="shared" si="74"/>
        <v>24</v>
      </c>
      <c r="AT88" s="146">
        <f t="shared" si="74"/>
        <v>24</v>
      </c>
      <c r="AU88" s="146">
        <f t="shared" si="74"/>
        <v>24</v>
      </c>
      <c r="AV88" s="146">
        <f t="shared" si="74"/>
        <v>24</v>
      </c>
      <c r="AW88" s="146">
        <f t="shared" si="74"/>
        <v>24</v>
      </c>
      <c r="AX88" s="146">
        <f t="shared" si="74"/>
        <v>24</v>
      </c>
      <c r="AY88" s="146">
        <f t="shared" si="74"/>
        <v>24</v>
      </c>
      <c r="AZ88" s="146">
        <f t="shared" si="74"/>
        <v>24</v>
      </c>
      <c r="BA88" s="146">
        <f t="shared" si="74"/>
        <v>24</v>
      </c>
      <c r="BB88" s="146">
        <f t="shared" si="74"/>
        <v>24</v>
      </c>
      <c r="BC88" s="146">
        <f t="shared" si="74"/>
        <v>24</v>
      </c>
      <c r="BD88" s="146">
        <f t="shared" si="74"/>
        <v>24</v>
      </c>
      <c r="BE88" s="146">
        <f t="shared" si="74"/>
        <v>24</v>
      </c>
      <c r="BF88" s="146">
        <f t="shared" si="74"/>
        <v>24</v>
      </c>
      <c r="BG88" s="146">
        <f t="shared" si="74"/>
        <v>24</v>
      </c>
      <c r="BH88" s="146">
        <f t="shared" si="74"/>
        <v>24</v>
      </c>
      <c r="BI88" s="146">
        <f t="shared" si="74"/>
        <v>24</v>
      </c>
      <c r="BJ88" s="146">
        <f t="shared" si="74"/>
        <v>24</v>
      </c>
      <c r="BK88" s="146">
        <f t="shared" si="74"/>
        <v>24</v>
      </c>
      <c r="BL88" s="146">
        <f t="shared" si="74"/>
        <v>24</v>
      </c>
      <c r="BM88" s="146">
        <f t="shared" si="74"/>
        <v>24</v>
      </c>
      <c r="BN88" s="146">
        <f t="shared" si="74"/>
        <v>24</v>
      </c>
      <c r="BO88" s="146">
        <f t="shared" si="74"/>
        <v>24</v>
      </c>
      <c r="BP88" s="146">
        <f t="shared" si="74"/>
        <v>24</v>
      </c>
      <c r="BQ88" s="146">
        <f t="shared" si="74"/>
        <v>24</v>
      </c>
      <c r="BR88" s="146">
        <f t="shared" si="74"/>
        <v>30</v>
      </c>
      <c r="BS88" s="146">
        <f t="shared" si="74"/>
        <v>30</v>
      </c>
      <c r="BT88" s="146">
        <f t="shared" si="74"/>
        <v>30</v>
      </c>
      <c r="BU88" s="146">
        <f t="shared" si="74"/>
        <v>30</v>
      </c>
      <c r="BV88" s="146">
        <f t="shared" si="74"/>
        <v>30</v>
      </c>
      <c r="BW88" s="146">
        <f t="shared" si="74"/>
        <v>30</v>
      </c>
      <c r="BX88" s="146">
        <f t="shared" si="74"/>
        <v>30</v>
      </c>
      <c r="BY88" s="146">
        <f t="shared" si="74"/>
        <v>30</v>
      </c>
      <c r="BZ88" s="146">
        <f t="shared" si="74"/>
        <v>30</v>
      </c>
      <c r="CA88" s="146">
        <f t="shared" si="74"/>
        <v>30</v>
      </c>
      <c r="CB88" s="146">
        <f t="shared" si="74"/>
        <v>30</v>
      </c>
      <c r="CC88" s="146">
        <f t="shared" si="74"/>
        <v>30</v>
      </c>
      <c r="CD88" s="146">
        <f t="shared" si="74"/>
        <v>30</v>
      </c>
      <c r="CE88" s="146">
        <f t="shared" si="74"/>
        <v>30</v>
      </c>
      <c r="CF88" s="146">
        <f t="shared" si="74"/>
        <v>30</v>
      </c>
      <c r="CG88" s="146">
        <f t="shared" si="74"/>
        <v>30</v>
      </c>
      <c r="CH88" s="146">
        <f t="shared" si="74"/>
        <v>30</v>
      </c>
    </row>
    <row r="89" ht="15.75" customHeight="1">
      <c r="A89" s="1" t="s">
        <v>700</v>
      </c>
      <c r="B89" s="446" t="s">
        <v>701</v>
      </c>
      <c r="M89" s="146">
        <f t="shared" ref="M89:CH89" si="75">M88-M71</f>
        <v>9.5</v>
      </c>
      <c r="N89" s="146">
        <f t="shared" si="75"/>
        <v>4</v>
      </c>
      <c r="O89" s="146">
        <f t="shared" si="75"/>
        <v>6</v>
      </c>
      <c r="P89" s="146">
        <f t="shared" si="75"/>
        <v>6</v>
      </c>
      <c r="Q89" s="146">
        <f t="shared" si="75"/>
        <v>6</v>
      </c>
      <c r="R89" s="146">
        <f t="shared" si="75"/>
        <v>6</v>
      </c>
      <c r="S89" s="146">
        <f t="shared" si="75"/>
        <v>6</v>
      </c>
      <c r="T89" s="146">
        <f t="shared" si="75"/>
        <v>6</v>
      </c>
      <c r="U89" s="146">
        <f t="shared" si="75"/>
        <v>6</v>
      </c>
      <c r="V89" s="146">
        <f t="shared" si="75"/>
        <v>6</v>
      </c>
      <c r="W89" s="146">
        <f t="shared" si="75"/>
        <v>6</v>
      </c>
      <c r="X89" s="146">
        <f t="shared" si="75"/>
        <v>6</v>
      </c>
      <c r="Y89" s="146">
        <f t="shared" si="75"/>
        <v>6</v>
      </c>
      <c r="Z89" s="146">
        <f t="shared" si="75"/>
        <v>5</v>
      </c>
      <c r="AA89" s="146">
        <f t="shared" si="75"/>
        <v>5</v>
      </c>
      <c r="AB89" s="146">
        <f t="shared" si="75"/>
        <v>5</v>
      </c>
      <c r="AC89" s="146">
        <f t="shared" si="75"/>
        <v>5</v>
      </c>
      <c r="AD89" s="146">
        <f t="shared" si="75"/>
        <v>5</v>
      </c>
      <c r="AE89" s="146">
        <f t="shared" si="75"/>
        <v>5</v>
      </c>
      <c r="AF89" s="146">
        <f t="shared" si="75"/>
        <v>5</v>
      </c>
      <c r="AG89" s="146">
        <f t="shared" si="75"/>
        <v>5</v>
      </c>
      <c r="AH89" s="146">
        <f t="shared" si="75"/>
        <v>5</v>
      </c>
      <c r="AI89" s="146">
        <f t="shared" si="75"/>
        <v>5</v>
      </c>
      <c r="AJ89" s="146">
        <f t="shared" si="75"/>
        <v>5</v>
      </c>
      <c r="AK89" s="146">
        <f t="shared" si="75"/>
        <v>5</v>
      </c>
      <c r="AL89" s="146">
        <f t="shared" si="75"/>
        <v>5</v>
      </c>
      <c r="AM89" s="146">
        <f t="shared" si="75"/>
        <v>5</v>
      </c>
      <c r="AN89" s="146">
        <f t="shared" si="75"/>
        <v>5</v>
      </c>
      <c r="AO89" s="146">
        <f t="shared" si="75"/>
        <v>5</v>
      </c>
      <c r="AP89" s="146">
        <f t="shared" si="75"/>
        <v>5</v>
      </c>
      <c r="AQ89" s="146">
        <f t="shared" si="75"/>
        <v>5</v>
      </c>
      <c r="AR89" s="146">
        <f t="shared" si="75"/>
        <v>5</v>
      </c>
      <c r="AS89" s="146">
        <f t="shared" si="75"/>
        <v>5</v>
      </c>
      <c r="AT89" s="146">
        <f t="shared" si="75"/>
        <v>5</v>
      </c>
      <c r="AU89" s="146">
        <f t="shared" si="75"/>
        <v>5</v>
      </c>
      <c r="AV89" s="146">
        <f t="shared" si="75"/>
        <v>5</v>
      </c>
      <c r="AW89" s="146">
        <f t="shared" si="75"/>
        <v>5</v>
      </c>
      <c r="AX89" s="146">
        <f t="shared" si="75"/>
        <v>5</v>
      </c>
      <c r="AY89" s="146">
        <f t="shared" si="75"/>
        <v>5</v>
      </c>
      <c r="AZ89" s="146">
        <f t="shared" si="75"/>
        <v>5</v>
      </c>
      <c r="BA89" s="146">
        <f t="shared" si="75"/>
        <v>5</v>
      </c>
      <c r="BB89" s="146">
        <f t="shared" si="75"/>
        <v>5</v>
      </c>
      <c r="BC89" s="146">
        <f t="shared" si="75"/>
        <v>5</v>
      </c>
      <c r="BD89" s="146">
        <f t="shared" si="75"/>
        <v>5</v>
      </c>
      <c r="BE89" s="146">
        <f t="shared" si="75"/>
        <v>5</v>
      </c>
      <c r="BF89" s="146">
        <f t="shared" si="75"/>
        <v>5</v>
      </c>
      <c r="BG89" s="146">
        <f t="shared" si="75"/>
        <v>5</v>
      </c>
      <c r="BH89" s="146">
        <f t="shared" si="75"/>
        <v>5</v>
      </c>
      <c r="BI89" s="146">
        <f t="shared" si="75"/>
        <v>5</v>
      </c>
      <c r="BJ89" s="146">
        <f t="shared" si="75"/>
        <v>4</v>
      </c>
      <c r="BK89" s="146">
        <f t="shared" si="75"/>
        <v>4</v>
      </c>
      <c r="BL89" s="146">
        <f t="shared" si="75"/>
        <v>1</v>
      </c>
      <c r="BM89" s="146">
        <f t="shared" si="75"/>
        <v>0</v>
      </c>
      <c r="BN89" s="146">
        <f t="shared" si="75"/>
        <v>0</v>
      </c>
      <c r="BO89" s="146">
        <f t="shared" si="75"/>
        <v>0</v>
      </c>
      <c r="BP89" s="146">
        <f t="shared" si="75"/>
        <v>0</v>
      </c>
      <c r="BQ89" s="146">
        <f t="shared" si="75"/>
        <v>-1</v>
      </c>
      <c r="BR89" s="146">
        <f t="shared" si="75"/>
        <v>5</v>
      </c>
      <c r="BS89" s="146">
        <f t="shared" si="75"/>
        <v>5</v>
      </c>
      <c r="BT89" s="146">
        <f t="shared" si="75"/>
        <v>5</v>
      </c>
      <c r="BU89" s="146">
        <f t="shared" si="75"/>
        <v>4</v>
      </c>
      <c r="BV89" s="146">
        <f t="shared" si="75"/>
        <v>4</v>
      </c>
      <c r="BW89" s="146">
        <f t="shared" si="75"/>
        <v>4</v>
      </c>
      <c r="BX89" s="146">
        <f t="shared" si="75"/>
        <v>4</v>
      </c>
      <c r="BY89" s="146">
        <f t="shared" si="75"/>
        <v>4</v>
      </c>
      <c r="BZ89" s="146">
        <f t="shared" si="75"/>
        <v>4</v>
      </c>
      <c r="CA89" s="146">
        <f t="shared" si="75"/>
        <v>4</v>
      </c>
      <c r="CB89" s="146">
        <f t="shared" si="75"/>
        <v>3</v>
      </c>
      <c r="CC89" s="146">
        <f t="shared" si="75"/>
        <v>3</v>
      </c>
      <c r="CD89" s="146">
        <f t="shared" si="75"/>
        <v>3</v>
      </c>
      <c r="CE89" s="146">
        <f t="shared" si="75"/>
        <v>3</v>
      </c>
      <c r="CF89" s="146">
        <f t="shared" si="75"/>
        <v>3</v>
      </c>
      <c r="CG89" s="146">
        <f t="shared" si="75"/>
        <v>2</v>
      </c>
      <c r="CH89" s="146">
        <f t="shared" si="75"/>
        <v>2</v>
      </c>
    </row>
    <row r="90" ht="15.75" customHeight="1">
      <c r="A90" s="1" t="s">
        <v>701</v>
      </c>
      <c r="B90" s="473">
        <v>0.5</v>
      </c>
      <c r="M90" s="173">
        <v>0.0</v>
      </c>
      <c r="N90" s="173">
        <v>0.0</v>
      </c>
      <c r="O90" s="146">
        <f t="shared" ref="O90:CH90" si="76">IF(O89&gt;$B90,0,ROUNDUP(ABS(O89/O87),0))</f>
        <v>0</v>
      </c>
      <c r="P90" s="146">
        <f t="shared" si="76"/>
        <v>0</v>
      </c>
      <c r="Q90" s="146">
        <f t="shared" si="76"/>
        <v>0</v>
      </c>
      <c r="R90" s="146">
        <f t="shared" si="76"/>
        <v>0</v>
      </c>
      <c r="S90" s="146">
        <f t="shared" si="76"/>
        <v>0</v>
      </c>
      <c r="T90" s="146">
        <f t="shared" si="76"/>
        <v>0</v>
      </c>
      <c r="U90" s="146">
        <f t="shared" si="76"/>
        <v>0</v>
      </c>
      <c r="V90" s="146">
        <f t="shared" si="76"/>
        <v>0</v>
      </c>
      <c r="W90" s="146">
        <f t="shared" si="76"/>
        <v>0</v>
      </c>
      <c r="X90" s="146">
        <f t="shared" si="76"/>
        <v>0</v>
      </c>
      <c r="Y90" s="146">
        <f t="shared" si="76"/>
        <v>0</v>
      </c>
      <c r="Z90" s="146">
        <f t="shared" si="76"/>
        <v>0</v>
      </c>
      <c r="AA90" s="146">
        <f t="shared" si="76"/>
        <v>0</v>
      </c>
      <c r="AB90" s="146">
        <f t="shared" si="76"/>
        <v>0</v>
      </c>
      <c r="AC90" s="146">
        <f t="shared" si="76"/>
        <v>0</v>
      </c>
      <c r="AD90" s="146">
        <f t="shared" si="76"/>
        <v>0</v>
      </c>
      <c r="AE90" s="146">
        <f t="shared" si="76"/>
        <v>0</v>
      </c>
      <c r="AF90" s="146">
        <f t="shared" si="76"/>
        <v>0</v>
      </c>
      <c r="AG90" s="146">
        <f t="shared" si="76"/>
        <v>0</v>
      </c>
      <c r="AH90" s="146">
        <f t="shared" si="76"/>
        <v>0</v>
      </c>
      <c r="AI90" s="146">
        <f t="shared" si="76"/>
        <v>0</v>
      </c>
      <c r="AJ90" s="146">
        <f t="shared" si="76"/>
        <v>0</v>
      </c>
      <c r="AK90" s="146">
        <f t="shared" si="76"/>
        <v>0</v>
      </c>
      <c r="AL90" s="146">
        <f t="shared" si="76"/>
        <v>0</v>
      </c>
      <c r="AM90" s="146">
        <f t="shared" si="76"/>
        <v>0</v>
      </c>
      <c r="AN90" s="146">
        <f t="shared" si="76"/>
        <v>0</v>
      </c>
      <c r="AO90" s="146">
        <f t="shared" si="76"/>
        <v>0</v>
      </c>
      <c r="AP90" s="146">
        <f t="shared" si="76"/>
        <v>0</v>
      </c>
      <c r="AQ90" s="146">
        <f t="shared" si="76"/>
        <v>0</v>
      </c>
      <c r="AR90" s="146">
        <f t="shared" si="76"/>
        <v>0</v>
      </c>
      <c r="AS90" s="146">
        <f t="shared" si="76"/>
        <v>0</v>
      </c>
      <c r="AT90" s="146">
        <f t="shared" si="76"/>
        <v>0</v>
      </c>
      <c r="AU90" s="146">
        <f t="shared" si="76"/>
        <v>0</v>
      </c>
      <c r="AV90" s="146">
        <f t="shared" si="76"/>
        <v>0</v>
      </c>
      <c r="AW90" s="146">
        <f t="shared" si="76"/>
        <v>0</v>
      </c>
      <c r="AX90" s="146">
        <f t="shared" si="76"/>
        <v>0</v>
      </c>
      <c r="AY90" s="146">
        <f t="shared" si="76"/>
        <v>0</v>
      </c>
      <c r="AZ90" s="146">
        <f t="shared" si="76"/>
        <v>0</v>
      </c>
      <c r="BA90" s="146">
        <f t="shared" si="76"/>
        <v>0</v>
      </c>
      <c r="BB90" s="146">
        <f t="shared" si="76"/>
        <v>0</v>
      </c>
      <c r="BC90" s="146">
        <f t="shared" si="76"/>
        <v>0</v>
      </c>
      <c r="BD90" s="146">
        <f t="shared" si="76"/>
        <v>0</v>
      </c>
      <c r="BE90" s="146">
        <f t="shared" si="76"/>
        <v>0</v>
      </c>
      <c r="BF90" s="146">
        <f t="shared" si="76"/>
        <v>0</v>
      </c>
      <c r="BG90" s="146">
        <f t="shared" si="76"/>
        <v>0</v>
      </c>
      <c r="BH90" s="146">
        <f t="shared" si="76"/>
        <v>0</v>
      </c>
      <c r="BI90" s="146">
        <f t="shared" si="76"/>
        <v>0</v>
      </c>
      <c r="BJ90" s="146">
        <f t="shared" si="76"/>
        <v>0</v>
      </c>
      <c r="BK90" s="146">
        <f t="shared" si="76"/>
        <v>0</v>
      </c>
      <c r="BL90" s="146">
        <f t="shared" si="76"/>
        <v>0</v>
      </c>
      <c r="BM90" s="146">
        <f t="shared" si="76"/>
        <v>0</v>
      </c>
      <c r="BN90" s="146">
        <f t="shared" si="76"/>
        <v>0</v>
      </c>
      <c r="BO90" s="146">
        <f t="shared" si="76"/>
        <v>0</v>
      </c>
      <c r="BP90" s="146">
        <f t="shared" si="76"/>
        <v>0</v>
      </c>
      <c r="BQ90" s="146">
        <f t="shared" si="76"/>
        <v>1</v>
      </c>
      <c r="BR90" s="146">
        <f t="shared" si="76"/>
        <v>0</v>
      </c>
      <c r="BS90" s="146">
        <f t="shared" si="76"/>
        <v>0</v>
      </c>
      <c r="BT90" s="146">
        <f t="shared" si="76"/>
        <v>0</v>
      </c>
      <c r="BU90" s="146">
        <f t="shared" si="76"/>
        <v>0</v>
      </c>
      <c r="BV90" s="146">
        <f t="shared" si="76"/>
        <v>0</v>
      </c>
      <c r="BW90" s="146">
        <f t="shared" si="76"/>
        <v>0</v>
      </c>
      <c r="BX90" s="146">
        <f t="shared" si="76"/>
        <v>0</v>
      </c>
      <c r="BY90" s="146">
        <f t="shared" si="76"/>
        <v>0</v>
      </c>
      <c r="BZ90" s="146">
        <f t="shared" si="76"/>
        <v>0</v>
      </c>
      <c r="CA90" s="146">
        <f t="shared" si="76"/>
        <v>0</v>
      </c>
      <c r="CB90" s="146">
        <f t="shared" si="76"/>
        <v>0</v>
      </c>
      <c r="CC90" s="146">
        <f t="shared" si="76"/>
        <v>0</v>
      </c>
      <c r="CD90" s="146">
        <f t="shared" si="76"/>
        <v>0</v>
      </c>
      <c r="CE90" s="146">
        <f t="shared" si="76"/>
        <v>0</v>
      </c>
      <c r="CF90" s="146">
        <f t="shared" si="76"/>
        <v>0</v>
      </c>
      <c r="CG90" s="146">
        <f t="shared" si="76"/>
        <v>0</v>
      </c>
      <c r="CH90" s="146">
        <f t="shared" si="76"/>
        <v>0</v>
      </c>
    </row>
    <row r="91" ht="15.75" customHeight="1">
      <c r="A91" s="1" t="s">
        <v>702</v>
      </c>
      <c r="B91" s="1" t="s">
        <v>703</v>
      </c>
      <c r="M91" s="146">
        <f t="shared" ref="M91:Q91" si="77">O90</f>
        <v>0</v>
      </c>
      <c r="N91" s="146">
        <f t="shared" si="77"/>
        <v>0</v>
      </c>
      <c r="O91" s="146">
        <f t="shared" si="77"/>
        <v>0</v>
      </c>
      <c r="P91" s="146">
        <f t="shared" si="77"/>
        <v>0</v>
      </c>
      <c r="Q91" s="146">
        <f t="shared" si="77"/>
        <v>0</v>
      </c>
      <c r="R91" s="146">
        <f t="shared" ref="R91:CH91" si="78">R90</f>
        <v>0</v>
      </c>
      <c r="S91" s="146">
        <f t="shared" si="78"/>
        <v>0</v>
      </c>
      <c r="T91" s="146">
        <f t="shared" si="78"/>
        <v>0</v>
      </c>
      <c r="U91" s="146">
        <f t="shared" si="78"/>
        <v>0</v>
      </c>
      <c r="V91" s="146">
        <f t="shared" si="78"/>
        <v>0</v>
      </c>
      <c r="W91" s="146">
        <f t="shared" si="78"/>
        <v>0</v>
      </c>
      <c r="X91" s="146">
        <f t="shared" si="78"/>
        <v>0</v>
      </c>
      <c r="Y91" s="146">
        <f t="shared" si="78"/>
        <v>0</v>
      </c>
      <c r="Z91" s="146">
        <f t="shared" si="78"/>
        <v>0</v>
      </c>
      <c r="AA91" s="146">
        <f t="shared" si="78"/>
        <v>0</v>
      </c>
      <c r="AB91" s="146">
        <f t="shared" si="78"/>
        <v>0</v>
      </c>
      <c r="AC91" s="146">
        <f t="shared" si="78"/>
        <v>0</v>
      </c>
      <c r="AD91" s="146">
        <f t="shared" si="78"/>
        <v>0</v>
      </c>
      <c r="AE91" s="146">
        <f t="shared" si="78"/>
        <v>0</v>
      </c>
      <c r="AF91" s="146">
        <f t="shared" si="78"/>
        <v>0</v>
      </c>
      <c r="AG91" s="146">
        <f t="shared" si="78"/>
        <v>0</v>
      </c>
      <c r="AH91" s="146">
        <f t="shared" si="78"/>
        <v>0</v>
      </c>
      <c r="AI91" s="146">
        <f t="shared" si="78"/>
        <v>0</v>
      </c>
      <c r="AJ91" s="146">
        <f t="shared" si="78"/>
        <v>0</v>
      </c>
      <c r="AK91" s="146">
        <f t="shared" si="78"/>
        <v>0</v>
      </c>
      <c r="AL91" s="146">
        <f t="shared" si="78"/>
        <v>0</v>
      </c>
      <c r="AM91" s="146">
        <f t="shared" si="78"/>
        <v>0</v>
      </c>
      <c r="AN91" s="146">
        <f t="shared" si="78"/>
        <v>0</v>
      </c>
      <c r="AO91" s="146">
        <f t="shared" si="78"/>
        <v>0</v>
      </c>
      <c r="AP91" s="146">
        <f t="shared" si="78"/>
        <v>0</v>
      </c>
      <c r="AQ91" s="146">
        <f t="shared" si="78"/>
        <v>0</v>
      </c>
      <c r="AR91" s="146">
        <f t="shared" si="78"/>
        <v>0</v>
      </c>
      <c r="AS91" s="146">
        <f t="shared" si="78"/>
        <v>0</v>
      </c>
      <c r="AT91" s="146">
        <f t="shared" si="78"/>
        <v>0</v>
      </c>
      <c r="AU91" s="146">
        <f t="shared" si="78"/>
        <v>0</v>
      </c>
      <c r="AV91" s="146">
        <f t="shared" si="78"/>
        <v>0</v>
      </c>
      <c r="AW91" s="146">
        <f t="shared" si="78"/>
        <v>0</v>
      </c>
      <c r="AX91" s="146">
        <f t="shared" si="78"/>
        <v>0</v>
      </c>
      <c r="AY91" s="146">
        <f t="shared" si="78"/>
        <v>0</v>
      </c>
      <c r="AZ91" s="146">
        <f t="shared" si="78"/>
        <v>0</v>
      </c>
      <c r="BA91" s="146">
        <f t="shared" si="78"/>
        <v>0</v>
      </c>
      <c r="BB91" s="146">
        <f t="shared" si="78"/>
        <v>0</v>
      </c>
      <c r="BC91" s="146">
        <f t="shared" si="78"/>
        <v>0</v>
      </c>
      <c r="BD91" s="146">
        <f t="shared" si="78"/>
        <v>0</v>
      </c>
      <c r="BE91" s="146">
        <f t="shared" si="78"/>
        <v>0</v>
      </c>
      <c r="BF91" s="146">
        <f t="shared" si="78"/>
        <v>0</v>
      </c>
      <c r="BG91" s="146">
        <f t="shared" si="78"/>
        <v>0</v>
      </c>
      <c r="BH91" s="146">
        <f t="shared" si="78"/>
        <v>0</v>
      </c>
      <c r="BI91" s="146">
        <f t="shared" si="78"/>
        <v>0</v>
      </c>
      <c r="BJ91" s="146">
        <f t="shared" si="78"/>
        <v>0</v>
      </c>
      <c r="BK91" s="146">
        <f t="shared" si="78"/>
        <v>0</v>
      </c>
      <c r="BL91" s="146">
        <f t="shared" si="78"/>
        <v>0</v>
      </c>
      <c r="BM91" s="146">
        <f t="shared" si="78"/>
        <v>0</v>
      </c>
      <c r="BN91" s="146">
        <f t="shared" si="78"/>
        <v>0</v>
      </c>
      <c r="BO91" s="146">
        <f t="shared" si="78"/>
        <v>0</v>
      </c>
      <c r="BP91" s="146">
        <f t="shared" si="78"/>
        <v>0</v>
      </c>
      <c r="BQ91" s="146">
        <f t="shared" si="78"/>
        <v>1</v>
      </c>
      <c r="BR91" s="146">
        <f t="shared" si="78"/>
        <v>0</v>
      </c>
      <c r="BS91" s="146">
        <f t="shared" si="78"/>
        <v>0</v>
      </c>
      <c r="BT91" s="146">
        <f t="shared" si="78"/>
        <v>0</v>
      </c>
      <c r="BU91" s="146">
        <f t="shared" si="78"/>
        <v>0</v>
      </c>
      <c r="BV91" s="146">
        <f t="shared" si="78"/>
        <v>0</v>
      </c>
      <c r="BW91" s="146">
        <f t="shared" si="78"/>
        <v>0</v>
      </c>
      <c r="BX91" s="146">
        <f t="shared" si="78"/>
        <v>0</v>
      </c>
      <c r="BY91" s="146">
        <f t="shared" si="78"/>
        <v>0</v>
      </c>
      <c r="BZ91" s="146">
        <f t="shared" si="78"/>
        <v>0</v>
      </c>
      <c r="CA91" s="146">
        <f t="shared" si="78"/>
        <v>0</v>
      </c>
      <c r="CB91" s="146">
        <f t="shared" si="78"/>
        <v>0</v>
      </c>
      <c r="CC91" s="146">
        <f t="shared" si="78"/>
        <v>0</v>
      </c>
      <c r="CD91" s="146">
        <f t="shared" si="78"/>
        <v>0</v>
      </c>
      <c r="CE91" s="146">
        <f t="shared" si="78"/>
        <v>0</v>
      </c>
      <c r="CF91" s="146">
        <f t="shared" si="78"/>
        <v>0</v>
      </c>
      <c r="CG91" s="146">
        <f t="shared" si="78"/>
        <v>0</v>
      </c>
      <c r="CH91" s="146">
        <f t="shared" si="78"/>
        <v>0</v>
      </c>
    </row>
    <row r="92" ht="15.75" customHeight="1"/>
    <row r="93" ht="15.75" customHeight="1">
      <c r="A93" s="1" t="s">
        <v>707</v>
      </c>
      <c r="B93" s="446" t="s">
        <v>708</v>
      </c>
      <c r="T93" s="456"/>
      <c r="U93" s="456"/>
      <c r="V93" s="456"/>
      <c r="W93" s="456"/>
      <c r="X93" s="456"/>
      <c r="Y93" s="456">
        <f t="shared" ref="Y93:CH93" si="79">Y64*Y68</f>
        <v>25.99772</v>
      </c>
      <c r="Z93" s="456">
        <f t="shared" si="79"/>
        <v>38.28718662</v>
      </c>
      <c r="AA93" s="456">
        <f t="shared" si="79"/>
        <v>16.68877683</v>
      </c>
      <c r="AB93" s="456">
        <f t="shared" si="79"/>
        <v>19.84253048</v>
      </c>
      <c r="AC93" s="456">
        <f t="shared" si="79"/>
        <v>22.83776388</v>
      </c>
      <c r="AD93" s="456">
        <f t="shared" si="79"/>
        <v>25.84632101</v>
      </c>
      <c r="AE93" s="456">
        <f t="shared" si="79"/>
        <v>17.29740858</v>
      </c>
      <c r="AF93" s="456">
        <f t="shared" si="79"/>
        <v>19.06054936</v>
      </c>
      <c r="AG93" s="456">
        <f t="shared" si="79"/>
        <v>20.6928106</v>
      </c>
      <c r="AH93" s="456">
        <f t="shared" si="79"/>
        <v>22.25710618</v>
      </c>
      <c r="AI93" s="456">
        <f t="shared" si="79"/>
        <v>23.7795702</v>
      </c>
      <c r="AJ93" s="456">
        <f t="shared" si="79"/>
        <v>25.1148017</v>
      </c>
      <c r="AK93" s="456">
        <f t="shared" si="79"/>
        <v>26.51075114</v>
      </c>
      <c r="AL93" s="456">
        <f t="shared" si="79"/>
        <v>27.90270944</v>
      </c>
      <c r="AM93" s="456">
        <f t="shared" si="79"/>
        <v>28.89324217</v>
      </c>
      <c r="AN93" s="456">
        <f t="shared" si="79"/>
        <v>29.08165123</v>
      </c>
      <c r="AO93" s="456">
        <f t="shared" si="79"/>
        <v>29.53636436</v>
      </c>
      <c r="AP93" s="456">
        <f t="shared" si="79"/>
        <v>30.08775772</v>
      </c>
      <c r="AQ93" s="456">
        <f t="shared" si="79"/>
        <v>30.64329212</v>
      </c>
      <c r="AR93" s="456">
        <f t="shared" si="79"/>
        <v>31.1997604</v>
      </c>
      <c r="AS93" s="456">
        <f t="shared" si="79"/>
        <v>31.74115408</v>
      </c>
      <c r="AT93" s="456">
        <f t="shared" si="79"/>
        <v>32.27161313</v>
      </c>
      <c r="AU93" s="456">
        <f t="shared" si="79"/>
        <v>32.79232942</v>
      </c>
      <c r="AV93" s="456">
        <f t="shared" si="79"/>
        <v>33.3040256</v>
      </c>
      <c r="AW93" s="456">
        <f t="shared" si="79"/>
        <v>33.80732827</v>
      </c>
      <c r="AX93" s="456">
        <f t="shared" si="79"/>
        <v>34.30282524</v>
      </c>
      <c r="AY93" s="456">
        <f t="shared" si="79"/>
        <v>35.0987228</v>
      </c>
      <c r="AZ93" s="456">
        <f t="shared" si="79"/>
        <v>35.88535411</v>
      </c>
      <c r="BA93" s="456">
        <f t="shared" si="79"/>
        <v>36.65212789</v>
      </c>
      <c r="BB93" s="456">
        <f t="shared" si="79"/>
        <v>37.4043045</v>
      </c>
      <c r="BC93" s="456">
        <f t="shared" si="79"/>
        <v>38.14328995</v>
      </c>
      <c r="BD93" s="456">
        <f t="shared" si="79"/>
        <v>38.86988828</v>
      </c>
      <c r="BE93" s="456">
        <f t="shared" si="79"/>
        <v>39.58479044</v>
      </c>
      <c r="BF93" s="456">
        <f t="shared" si="79"/>
        <v>40.28864854</v>
      </c>
      <c r="BG93" s="456">
        <f t="shared" si="79"/>
        <v>40.98208794</v>
      </c>
      <c r="BH93" s="456">
        <f t="shared" si="79"/>
        <v>41.66570991</v>
      </c>
      <c r="BI93" s="456">
        <f t="shared" si="79"/>
        <v>42.34009287</v>
      </c>
      <c r="BJ93" s="456">
        <f t="shared" si="79"/>
        <v>43.00579341</v>
      </c>
      <c r="BK93" s="456">
        <f t="shared" si="79"/>
        <v>50.82969564</v>
      </c>
      <c r="BL93" s="456">
        <f t="shared" si="79"/>
        <v>51.1641558</v>
      </c>
      <c r="BM93" s="456">
        <f t="shared" si="79"/>
        <v>51.71102669</v>
      </c>
      <c r="BN93" s="456">
        <f t="shared" si="79"/>
        <v>52.30159062</v>
      </c>
      <c r="BO93" s="456">
        <f t="shared" si="79"/>
        <v>52.89777938</v>
      </c>
      <c r="BP93" s="456">
        <f t="shared" si="79"/>
        <v>53.49417368</v>
      </c>
      <c r="BQ93" s="456">
        <f t="shared" si="79"/>
        <v>54.09024557</v>
      </c>
      <c r="BR93" s="456">
        <f t="shared" si="79"/>
        <v>54.68619522</v>
      </c>
      <c r="BS93" s="456">
        <f t="shared" si="79"/>
        <v>55.28232681</v>
      </c>
      <c r="BT93" s="456">
        <f t="shared" si="79"/>
        <v>55.87895522</v>
      </c>
      <c r="BU93" s="456">
        <f t="shared" si="79"/>
        <v>56.47639246</v>
      </c>
      <c r="BV93" s="456">
        <f t="shared" si="79"/>
        <v>57.07494589</v>
      </c>
      <c r="BW93" s="456">
        <f t="shared" si="79"/>
        <v>57.73729551</v>
      </c>
      <c r="BX93" s="456">
        <f t="shared" si="79"/>
        <v>57.12261655</v>
      </c>
      <c r="BY93" s="456">
        <f t="shared" si="79"/>
        <v>57.39247082</v>
      </c>
      <c r="BZ93" s="456">
        <f t="shared" si="79"/>
        <v>57.80473998</v>
      </c>
      <c r="CA93" s="456">
        <f t="shared" si="79"/>
        <v>58.2349668</v>
      </c>
      <c r="CB93" s="456">
        <f t="shared" si="79"/>
        <v>58.66484977</v>
      </c>
      <c r="CC93" s="456">
        <f t="shared" si="79"/>
        <v>59.09199534</v>
      </c>
      <c r="CD93" s="456">
        <f t="shared" si="79"/>
        <v>59.51638133</v>
      </c>
      <c r="CE93" s="456">
        <f t="shared" si="79"/>
        <v>59.93832721</v>
      </c>
      <c r="CF93" s="456">
        <f t="shared" si="79"/>
        <v>60.35819015</v>
      </c>
      <c r="CG93" s="456">
        <f t="shared" si="79"/>
        <v>60.77632011</v>
      </c>
      <c r="CH93" s="456">
        <f t="shared" si="79"/>
        <v>61.19305363</v>
      </c>
    </row>
    <row r="94" ht="15.75" customHeight="1">
      <c r="A94" s="137" t="s">
        <v>709</v>
      </c>
      <c r="B94" s="474">
        <v>50.0</v>
      </c>
      <c r="C94" s="137"/>
      <c r="D94" s="137"/>
      <c r="E94" s="137"/>
      <c r="F94" s="137"/>
      <c r="G94" s="137"/>
      <c r="H94" s="137"/>
      <c r="I94" s="137"/>
      <c r="J94" s="137"/>
      <c r="K94" s="137"/>
      <c r="L94" s="137"/>
      <c r="M94" s="137"/>
      <c r="N94" s="137"/>
      <c r="O94" s="137"/>
      <c r="P94" s="137"/>
      <c r="Q94" s="137"/>
      <c r="R94" s="137"/>
      <c r="S94" s="137"/>
      <c r="T94" s="137"/>
      <c r="U94" s="137"/>
      <c r="V94" s="137"/>
      <c r="W94" s="137"/>
      <c r="X94" s="137"/>
      <c r="Y94" s="137">
        <f t="shared" ref="Y94:BV94" si="80">Y93*$B$94</f>
        <v>1299.886</v>
      </c>
      <c r="Z94" s="137">
        <f t="shared" si="80"/>
        <v>1914.359331</v>
      </c>
      <c r="AA94" s="137">
        <f t="shared" si="80"/>
        <v>834.4388414</v>
      </c>
      <c r="AB94" s="137">
        <f t="shared" si="80"/>
        <v>992.126524</v>
      </c>
      <c r="AC94" s="137">
        <f t="shared" si="80"/>
        <v>1141.888194</v>
      </c>
      <c r="AD94" s="137">
        <f t="shared" si="80"/>
        <v>1292.31605</v>
      </c>
      <c r="AE94" s="137">
        <f t="shared" si="80"/>
        <v>864.8704292</v>
      </c>
      <c r="AF94" s="137">
        <f t="shared" si="80"/>
        <v>953.027468</v>
      </c>
      <c r="AG94" s="137">
        <f t="shared" si="80"/>
        <v>1034.64053</v>
      </c>
      <c r="AH94" s="137">
        <f t="shared" si="80"/>
        <v>1112.855309</v>
      </c>
      <c r="AI94" s="137">
        <f t="shared" si="80"/>
        <v>1188.97851</v>
      </c>
      <c r="AJ94" s="137">
        <f t="shared" si="80"/>
        <v>1255.740085</v>
      </c>
      <c r="AK94" s="137">
        <f t="shared" si="80"/>
        <v>1325.537557</v>
      </c>
      <c r="AL94" s="137">
        <f t="shared" si="80"/>
        <v>1395.135472</v>
      </c>
      <c r="AM94" s="137">
        <f t="shared" si="80"/>
        <v>1444.662109</v>
      </c>
      <c r="AN94" s="137">
        <f t="shared" si="80"/>
        <v>1454.082561</v>
      </c>
      <c r="AO94" s="137">
        <f t="shared" si="80"/>
        <v>1476.818218</v>
      </c>
      <c r="AP94" s="137">
        <f t="shared" si="80"/>
        <v>1504.387886</v>
      </c>
      <c r="AQ94" s="137">
        <f t="shared" si="80"/>
        <v>1532.164606</v>
      </c>
      <c r="AR94" s="137">
        <f t="shared" si="80"/>
        <v>1559.98802</v>
      </c>
      <c r="AS94" s="137">
        <f t="shared" si="80"/>
        <v>1587.057704</v>
      </c>
      <c r="AT94" s="137">
        <f t="shared" si="80"/>
        <v>1613.580656</v>
      </c>
      <c r="AU94" s="137">
        <f t="shared" si="80"/>
        <v>1639.616471</v>
      </c>
      <c r="AV94" s="137">
        <f t="shared" si="80"/>
        <v>1665.20128</v>
      </c>
      <c r="AW94" s="137">
        <f t="shared" si="80"/>
        <v>1690.366413</v>
      </c>
      <c r="AX94" s="137">
        <f t="shared" si="80"/>
        <v>1715.141262</v>
      </c>
      <c r="AY94" s="137">
        <f t="shared" si="80"/>
        <v>1754.93614</v>
      </c>
      <c r="AZ94" s="137">
        <f t="shared" si="80"/>
        <v>1794.267705</v>
      </c>
      <c r="BA94" s="137">
        <f t="shared" si="80"/>
        <v>1832.606394</v>
      </c>
      <c r="BB94" s="137">
        <f t="shared" si="80"/>
        <v>1870.215225</v>
      </c>
      <c r="BC94" s="137">
        <f t="shared" si="80"/>
        <v>1907.164497</v>
      </c>
      <c r="BD94" s="137">
        <f t="shared" si="80"/>
        <v>1943.494414</v>
      </c>
      <c r="BE94" s="137">
        <f t="shared" si="80"/>
        <v>1979.239522</v>
      </c>
      <c r="BF94" s="137">
        <f t="shared" si="80"/>
        <v>2014.432427</v>
      </c>
      <c r="BG94" s="137">
        <f t="shared" si="80"/>
        <v>2049.104397</v>
      </c>
      <c r="BH94" s="137">
        <f t="shared" si="80"/>
        <v>2083.285495</v>
      </c>
      <c r="BI94" s="137">
        <f t="shared" si="80"/>
        <v>2117.004644</v>
      </c>
      <c r="BJ94" s="137">
        <f t="shared" si="80"/>
        <v>2150.289671</v>
      </c>
      <c r="BK94" s="137">
        <f t="shared" si="80"/>
        <v>2541.484782</v>
      </c>
      <c r="BL94" s="137">
        <f t="shared" si="80"/>
        <v>2558.20779</v>
      </c>
      <c r="BM94" s="137">
        <f t="shared" si="80"/>
        <v>2585.551334</v>
      </c>
      <c r="BN94" s="137">
        <f t="shared" si="80"/>
        <v>2615.079531</v>
      </c>
      <c r="BO94" s="137">
        <f t="shared" si="80"/>
        <v>2644.888969</v>
      </c>
      <c r="BP94" s="137">
        <f t="shared" si="80"/>
        <v>2674.708684</v>
      </c>
      <c r="BQ94" s="137">
        <f t="shared" si="80"/>
        <v>2704.512278</v>
      </c>
      <c r="BR94" s="137">
        <f t="shared" si="80"/>
        <v>2734.309761</v>
      </c>
      <c r="BS94" s="137">
        <f t="shared" si="80"/>
        <v>2764.11634</v>
      </c>
      <c r="BT94" s="137">
        <f t="shared" si="80"/>
        <v>2793.947761</v>
      </c>
      <c r="BU94" s="137">
        <f t="shared" si="80"/>
        <v>2823.819623</v>
      </c>
      <c r="BV94" s="137">
        <f t="shared" si="80"/>
        <v>2853.747294</v>
      </c>
      <c r="BW94" s="137">
        <f t="shared" ref="BW94:CH94" si="81">BW93*$B$95</f>
        <v>3175.551253</v>
      </c>
      <c r="BX94" s="137">
        <f t="shared" si="81"/>
        <v>3141.74391</v>
      </c>
      <c r="BY94" s="137">
        <f t="shared" si="81"/>
        <v>3156.585895</v>
      </c>
      <c r="BZ94" s="137">
        <f t="shared" si="81"/>
        <v>3179.260699</v>
      </c>
      <c r="CA94" s="137">
        <f t="shared" si="81"/>
        <v>3202.923174</v>
      </c>
      <c r="CB94" s="137">
        <f t="shared" si="81"/>
        <v>3226.566738</v>
      </c>
      <c r="CC94" s="137">
        <f t="shared" si="81"/>
        <v>3250.059743</v>
      </c>
      <c r="CD94" s="137">
        <f t="shared" si="81"/>
        <v>3273.400973</v>
      </c>
      <c r="CE94" s="137">
        <f t="shared" si="81"/>
        <v>3296.607996</v>
      </c>
      <c r="CF94" s="137">
        <f t="shared" si="81"/>
        <v>3319.700458</v>
      </c>
      <c r="CG94" s="137">
        <f t="shared" si="81"/>
        <v>3342.697606</v>
      </c>
      <c r="CH94" s="137">
        <f t="shared" si="81"/>
        <v>3365.617949</v>
      </c>
    </row>
    <row r="95" ht="15.75" customHeight="1">
      <c r="A95" s="449" t="s">
        <v>711</v>
      </c>
      <c r="B95" s="475">
        <v>55.0</v>
      </c>
    </row>
    <row r="96" ht="15.75" customHeight="1">
      <c r="A96" s="115" t="s">
        <v>168</v>
      </c>
    </row>
    <row r="97" ht="15.75" customHeight="1"/>
    <row r="98" ht="15.75" customHeight="1">
      <c r="A98" s="1" t="s">
        <v>25</v>
      </c>
      <c r="C98" s="116">
        <f>Revenue!C8</f>
        <v>203271</v>
      </c>
      <c r="D98" s="116">
        <f>Revenue!D8</f>
        <v>139789</v>
      </c>
      <c r="E98" s="116">
        <f>Revenue!E8</f>
        <v>173116</v>
      </c>
      <c r="F98" s="116">
        <f>Revenue!F8</f>
        <v>234675</v>
      </c>
      <c r="G98" s="116">
        <f>Revenue!G8</f>
        <v>268150</v>
      </c>
      <c r="H98" s="116">
        <f>Revenue!H8</f>
        <v>263187</v>
      </c>
      <c r="I98" s="116">
        <f>Revenue!I8</f>
        <v>261112</v>
      </c>
      <c r="J98" s="116">
        <f>Revenue!J8</f>
        <v>188247</v>
      </c>
      <c r="K98" s="116">
        <f>Revenue!K8</f>
        <v>181572</v>
      </c>
      <c r="L98" s="116">
        <f>Revenue!L8</f>
        <v>150133</v>
      </c>
      <c r="M98" s="116">
        <f>Revenue!M8</f>
        <v>184682</v>
      </c>
      <c r="N98" s="116">
        <f>Revenue!N8</f>
        <v>148278</v>
      </c>
      <c r="O98" s="116">
        <f>Revenue!O8</f>
        <v>193838</v>
      </c>
      <c r="P98" s="116">
        <f>Revenue!P8</f>
        <v>193578</v>
      </c>
      <c r="Q98" s="116">
        <f>Revenue!Q8</f>
        <v>203241</v>
      </c>
      <c r="R98" s="116">
        <f>Revenue!R8</f>
        <v>250416</v>
      </c>
      <c r="S98" s="116">
        <f>Revenue!S8</f>
        <v>237819</v>
      </c>
      <c r="T98" s="116">
        <f>Revenue!T8</f>
        <v>158273</v>
      </c>
      <c r="U98" s="116">
        <f>Revenue!U8</f>
        <v>191633</v>
      </c>
      <c r="V98" s="116">
        <f>Revenue!V8</f>
        <v>230583</v>
      </c>
      <c r="W98" s="116">
        <f>Revenue!W8</f>
        <v>247749</v>
      </c>
      <c r="X98" s="116">
        <f>Revenue!X8</f>
        <v>258341</v>
      </c>
      <c r="Y98" s="116">
        <f>Revenue!Y8</f>
        <v>207412</v>
      </c>
      <c r="Z98" s="116">
        <f>Revenue!Z8</f>
        <v>276010.975</v>
      </c>
      <c r="AA98" s="116">
        <f>Revenue!AA8</f>
        <v>350687.0274</v>
      </c>
      <c r="AB98" s="116">
        <f>Revenue!AB8</f>
        <v>425236.3339</v>
      </c>
      <c r="AC98" s="116">
        <f>Revenue!AC8</f>
        <v>493846.1583</v>
      </c>
      <c r="AD98" s="116">
        <f>Revenue!AD8</f>
        <v>557565.2007</v>
      </c>
      <c r="AE98" s="116">
        <f>Revenue!AE8</f>
        <v>618794.0664</v>
      </c>
      <c r="AF98" s="116">
        <f>Revenue!AF8</f>
        <v>679166.8654</v>
      </c>
      <c r="AG98" s="116">
        <f>Revenue!AG8</f>
        <v>737945.7206</v>
      </c>
      <c r="AH98" s="116">
        <f>Revenue!AH8</f>
        <v>798955.3159</v>
      </c>
      <c r="AI98" s="116">
        <f>Revenue!AI8</f>
        <v>857035.5227</v>
      </c>
      <c r="AJ98" s="116">
        <f>Revenue!AJ8</f>
        <v>909223.7479</v>
      </c>
      <c r="AK98" s="116">
        <f>Revenue!AK8</f>
        <v>954796.8069</v>
      </c>
      <c r="AL98" s="116">
        <f>Revenue!AL8</f>
        <v>1000310.763</v>
      </c>
      <c r="AM98" s="116">
        <f>Revenue!AM8</f>
        <v>1045803.08</v>
      </c>
      <c r="AN98" s="116">
        <f>Revenue!AN8</f>
        <v>1060837.482</v>
      </c>
      <c r="AO98" s="116">
        <f>Revenue!AO8</f>
        <v>1066689.864</v>
      </c>
      <c r="AP98" s="116">
        <f>Revenue!AP8</f>
        <v>1076646.148</v>
      </c>
      <c r="AQ98" s="116">
        <f>Revenue!AQ8</f>
        <v>1088887.103</v>
      </c>
      <c r="AR98" s="116">
        <f>Revenue!AR8</f>
        <v>1102294.281</v>
      </c>
      <c r="AS98" s="116">
        <f>Revenue!AS8</f>
        <v>1115918.837</v>
      </c>
      <c r="AT98" s="116">
        <f>Revenue!AT8</f>
        <v>1129283.422</v>
      </c>
      <c r="AU98" s="116">
        <f>Revenue!AU8</f>
        <v>1142410.106</v>
      </c>
      <c r="AV98" s="116">
        <f>Revenue!AV8</f>
        <v>1155316.089</v>
      </c>
      <c r="AW98" s="116">
        <f>Revenue!AW8</f>
        <v>1168016.417</v>
      </c>
      <c r="AX98" s="116">
        <f>Revenue!AX8</f>
        <v>1180524.946</v>
      </c>
      <c r="AY98" s="116">
        <f>Revenue!AY8</f>
        <v>1193131.617</v>
      </c>
      <c r="AZ98" s="116">
        <f>Revenue!AZ8</f>
        <v>1215896.824</v>
      </c>
      <c r="BA98" s="116">
        <f>Revenue!BA8</f>
        <v>1238203.963</v>
      </c>
      <c r="BB98" s="116">
        <f>Revenue!BB8</f>
        <v>1259966.901</v>
      </c>
      <c r="BC98" s="116">
        <f>Revenue!BC8</f>
        <v>1281262.865</v>
      </c>
      <c r="BD98" s="116">
        <f>Revenue!BD8</f>
        <v>1302132.414</v>
      </c>
      <c r="BE98" s="116">
        <f>Revenue!BE8</f>
        <v>1322602.735</v>
      </c>
      <c r="BF98" s="116">
        <f>Revenue!BF8</f>
        <v>1342695.826</v>
      </c>
      <c r="BG98" s="116">
        <f>Revenue!BG8</f>
        <v>1362431.372</v>
      </c>
      <c r="BH98" s="116">
        <f>Revenue!BH8</f>
        <v>1381827.782</v>
      </c>
      <c r="BI98" s="116">
        <f>Revenue!BI8</f>
        <v>1400902.562</v>
      </c>
      <c r="BJ98" s="116">
        <f>Revenue!BJ8</f>
        <v>1419672.474</v>
      </c>
      <c r="BK98" s="116">
        <f>Revenue!BK8</f>
        <v>1441122.851</v>
      </c>
      <c r="BL98" s="116">
        <f>Revenue!BL8</f>
        <v>1465179.478</v>
      </c>
      <c r="BM98" s="116">
        <f>Revenue!BM8</f>
        <v>1488062.037</v>
      </c>
      <c r="BN98" s="116">
        <f>Revenue!BN8</f>
        <v>1509147.715</v>
      </c>
      <c r="BO98" s="116">
        <f>Revenue!BO8</f>
        <v>1529904.053</v>
      </c>
      <c r="BP98" s="116">
        <f>Revenue!BP8</f>
        <v>1550377.039</v>
      </c>
      <c r="BQ98" s="116">
        <f>Revenue!BQ8</f>
        <v>1570593.034</v>
      </c>
      <c r="BR98" s="116">
        <f>Revenue!BR8</f>
        <v>1590571.194</v>
      </c>
      <c r="BS98" s="116">
        <f>Revenue!BS8</f>
        <v>1610327.838</v>
      </c>
      <c r="BT98" s="116">
        <f>Revenue!BT8</f>
        <v>1629877.987</v>
      </c>
      <c r="BU98" s="116">
        <f>Revenue!BU8</f>
        <v>1649235.922</v>
      </c>
      <c r="BV98" s="116">
        <f>Revenue!BV8</f>
        <v>1668415.386</v>
      </c>
      <c r="BW98" s="116">
        <f>Revenue!BW8</f>
        <v>1687429.669</v>
      </c>
      <c r="BX98" s="116">
        <f>Revenue!BX8</f>
        <v>1701265.07</v>
      </c>
      <c r="BY98" s="116">
        <f>Revenue!BY8</f>
        <v>1712809.028</v>
      </c>
      <c r="BZ98" s="116">
        <f>Revenue!BZ8</f>
        <v>1724389.739</v>
      </c>
      <c r="CA98" s="116">
        <f>Revenue!CA8</f>
        <v>1736419.269</v>
      </c>
      <c r="CB98" s="116">
        <f>Revenue!CB8</f>
        <v>1748552.268</v>
      </c>
      <c r="CC98" s="116">
        <f>Revenue!CC8</f>
        <v>1760673.347</v>
      </c>
      <c r="CD98" s="116">
        <f>Revenue!CD8</f>
        <v>1772747.379</v>
      </c>
      <c r="CE98" s="116">
        <f>Revenue!CE8</f>
        <v>1784767.117</v>
      </c>
      <c r="CF98" s="116">
        <f>Revenue!CF8</f>
        <v>1796734.866</v>
      </c>
      <c r="CG98" s="116">
        <f>Revenue!CG8</f>
        <v>1808656.08</v>
      </c>
      <c r="CH98" s="116">
        <f>Revenue!CH8</f>
        <v>1820537.127</v>
      </c>
    </row>
    <row r="99" ht="15.75" customHeight="1">
      <c r="A99" s="1" t="s">
        <v>325</v>
      </c>
      <c r="C99" s="116"/>
      <c r="D99" s="116">
        <f t="shared" ref="D99:CH99" si="82">D98-C98</f>
        <v>-63482</v>
      </c>
      <c r="E99" s="116">
        <f t="shared" si="82"/>
        <v>33327</v>
      </c>
      <c r="F99" s="116">
        <f t="shared" si="82"/>
        <v>61559</v>
      </c>
      <c r="G99" s="116">
        <f t="shared" si="82"/>
        <v>33475</v>
      </c>
      <c r="H99" s="116">
        <f t="shared" si="82"/>
        <v>-4963</v>
      </c>
      <c r="I99" s="116">
        <f t="shared" si="82"/>
        <v>-2075</v>
      </c>
      <c r="J99" s="116">
        <f t="shared" si="82"/>
        <v>-72865</v>
      </c>
      <c r="K99" s="116">
        <f t="shared" si="82"/>
        <v>-6675</v>
      </c>
      <c r="L99" s="116">
        <f t="shared" si="82"/>
        <v>-31439</v>
      </c>
      <c r="M99" s="116">
        <f t="shared" si="82"/>
        <v>34549</v>
      </c>
      <c r="N99" s="116">
        <f t="shared" si="82"/>
        <v>-36404</v>
      </c>
      <c r="O99" s="116">
        <f t="shared" si="82"/>
        <v>45560</v>
      </c>
      <c r="P99" s="116">
        <f t="shared" si="82"/>
        <v>-260</v>
      </c>
      <c r="Q99" s="116">
        <f t="shared" si="82"/>
        <v>9663</v>
      </c>
      <c r="R99" s="116">
        <f t="shared" si="82"/>
        <v>47175</v>
      </c>
      <c r="S99" s="116">
        <f t="shared" si="82"/>
        <v>-12597</v>
      </c>
      <c r="T99" s="116">
        <f t="shared" si="82"/>
        <v>-79546</v>
      </c>
      <c r="U99" s="116">
        <f t="shared" si="82"/>
        <v>33360</v>
      </c>
      <c r="V99" s="116">
        <f t="shared" si="82"/>
        <v>38950</v>
      </c>
      <c r="W99" s="116">
        <f t="shared" si="82"/>
        <v>17166</v>
      </c>
      <c r="X99" s="116">
        <f t="shared" si="82"/>
        <v>10592</v>
      </c>
      <c r="Y99" s="116">
        <f t="shared" si="82"/>
        <v>-50929</v>
      </c>
      <c r="Z99" s="116">
        <f t="shared" si="82"/>
        <v>68598.975</v>
      </c>
      <c r="AA99" s="116">
        <f t="shared" si="82"/>
        <v>74676.05244</v>
      </c>
      <c r="AB99" s="116">
        <f t="shared" si="82"/>
        <v>74549.30645</v>
      </c>
      <c r="AC99" s="116">
        <f t="shared" si="82"/>
        <v>68609.82444</v>
      </c>
      <c r="AD99" s="116">
        <f t="shared" si="82"/>
        <v>63719.04238</v>
      </c>
      <c r="AE99" s="116">
        <f t="shared" si="82"/>
        <v>61228.8657</v>
      </c>
      <c r="AF99" s="116">
        <f t="shared" si="82"/>
        <v>60372.79902</v>
      </c>
      <c r="AG99" s="116">
        <f t="shared" si="82"/>
        <v>58778.85518</v>
      </c>
      <c r="AH99" s="116">
        <f t="shared" si="82"/>
        <v>61009.59532</v>
      </c>
      <c r="AI99" s="116">
        <f t="shared" si="82"/>
        <v>58080.2068</v>
      </c>
      <c r="AJ99" s="116">
        <f t="shared" si="82"/>
        <v>52188.22518</v>
      </c>
      <c r="AK99" s="116">
        <f t="shared" si="82"/>
        <v>45573.05903</v>
      </c>
      <c r="AL99" s="116">
        <f t="shared" si="82"/>
        <v>45513.95597</v>
      </c>
      <c r="AM99" s="116">
        <f t="shared" si="82"/>
        <v>45492.31741</v>
      </c>
      <c r="AN99" s="116">
        <f t="shared" si="82"/>
        <v>15034.40182</v>
      </c>
      <c r="AO99" s="116">
        <f t="shared" si="82"/>
        <v>5852.381905</v>
      </c>
      <c r="AP99" s="116">
        <f t="shared" si="82"/>
        <v>9956.283528</v>
      </c>
      <c r="AQ99" s="116">
        <f t="shared" si="82"/>
        <v>12240.95556</v>
      </c>
      <c r="AR99" s="116">
        <f t="shared" si="82"/>
        <v>13407.17802</v>
      </c>
      <c r="AS99" s="116">
        <f t="shared" si="82"/>
        <v>13624.55539</v>
      </c>
      <c r="AT99" s="116">
        <f t="shared" si="82"/>
        <v>13364.58586</v>
      </c>
      <c r="AU99" s="116">
        <f t="shared" si="82"/>
        <v>13126.68372</v>
      </c>
      <c r="AV99" s="116">
        <f t="shared" si="82"/>
        <v>12905.98325</v>
      </c>
      <c r="AW99" s="116">
        <f t="shared" si="82"/>
        <v>12700.32722</v>
      </c>
      <c r="AX99" s="116">
        <f t="shared" si="82"/>
        <v>12508.52928</v>
      </c>
      <c r="AY99" s="116">
        <f t="shared" si="82"/>
        <v>12606.67097</v>
      </c>
      <c r="AZ99" s="116">
        <f t="shared" si="82"/>
        <v>22765.20758</v>
      </c>
      <c r="BA99" s="116">
        <f t="shared" si="82"/>
        <v>22307.13866</v>
      </c>
      <c r="BB99" s="116">
        <f t="shared" si="82"/>
        <v>21762.93794</v>
      </c>
      <c r="BC99" s="116">
        <f t="shared" si="82"/>
        <v>21295.96439</v>
      </c>
      <c r="BD99" s="116">
        <f t="shared" si="82"/>
        <v>20869.54868</v>
      </c>
      <c r="BE99" s="116">
        <f t="shared" si="82"/>
        <v>20470.32139</v>
      </c>
      <c r="BF99" s="116">
        <f t="shared" si="82"/>
        <v>20093.09024</v>
      </c>
      <c r="BG99" s="116">
        <f t="shared" si="82"/>
        <v>19735.54617</v>
      </c>
      <c r="BH99" s="116">
        <f t="shared" si="82"/>
        <v>19396.40961</v>
      </c>
      <c r="BI99" s="116">
        <f t="shared" si="82"/>
        <v>19074.78088</v>
      </c>
      <c r="BJ99" s="116">
        <f t="shared" si="82"/>
        <v>18769.91195</v>
      </c>
      <c r="BK99" s="116">
        <f t="shared" si="82"/>
        <v>21450.37667</v>
      </c>
      <c r="BL99" s="116">
        <f t="shared" si="82"/>
        <v>24056.62703</v>
      </c>
      <c r="BM99" s="116">
        <f t="shared" si="82"/>
        <v>22882.55906</v>
      </c>
      <c r="BN99" s="116">
        <f t="shared" si="82"/>
        <v>21085.67796</v>
      </c>
      <c r="BO99" s="116">
        <f t="shared" si="82"/>
        <v>20756.33766</v>
      </c>
      <c r="BP99" s="116">
        <f t="shared" si="82"/>
        <v>20472.98656</v>
      </c>
      <c r="BQ99" s="116">
        <f t="shared" si="82"/>
        <v>20215.9948</v>
      </c>
      <c r="BR99" s="116">
        <f t="shared" si="82"/>
        <v>19978.15988</v>
      </c>
      <c r="BS99" s="116">
        <f t="shared" si="82"/>
        <v>19756.64366</v>
      </c>
      <c r="BT99" s="116">
        <f t="shared" si="82"/>
        <v>19550.14972</v>
      </c>
      <c r="BU99" s="116">
        <f t="shared" si="82"/>
        <v>19357.93499</v>
      </c>
      <c r="BV99" s="116">
        <f t="shared" si="82"/>
        <v>19179.46332</v>
      </c>
      <c r="BW99" s="116">
        <f t="shared" si="82"/>
        <v>19014.28376</v>
      </c>
      <c r="BX99" s="116">
        <f t="shared" si="82"/>
        <v>13835.40056</v>
      </c>
      <c r="BY99" s="116">
        <f t="shared" si="82"/>
        <v>11543.95818</v>
      </c>
      <c r="BZ99" s="116">
        <f t="shared" si="82"/>
        <v>11580.71127</v>
      </c>
      <c r="CA99" s="116">
        <f t="shared" si="82"/>
        <v>12029.52946</v>
      </c>
      <c r="CB99" s="116">
        <f t="shared" si="82"/>
        <v>12132.99897</v>
      </c>
      <c r="CC99" s="116">
        <f t="shared" si="82"/>
        <v>12121.079</v>
      </c>
      <c r="CD99" s="116">
        <f t="shared" si="82"/>
        <v>12074.03241</v>
      </c>
      <c r="CE99" s="116">
        <f t="shared" si="82"/>
        <v>12019.73792</v>
      </c>
      <c r="CF99" s="116">
        <f t="shared" si="82"/>
        <v>11967.74889</v>
      </c>
      <c r="CG99" s="116">
        <f t="shared" si="82"/>
        <v>11921.21363</v>
      </c>
      <c r="CH99" s="116">
        <f t="shared" si="82"/>
        <v>11881.04711</v>
      </c>
    </row>
    <row r="100" ht="15.75" customHeight="1">
      <c r="A100" s="1" t="s">
        <v>692</v>
      </c>
      <c r="C100" s="146">
        <f>Revenue!C105</f>
        <v>406.542</v>
      </c>
      <c r="D100" s="146">
        <f>Revenue!D105</f>
        <v>279.578</v>
      </c>
      <c r="E100" s="146">
        <f>Revenue!E105</f>
        <v>346.232</v>
      </c>
      <c r="F100" s="146">
        <f>Revenue!F105</f>
        <v>469.35</v>
      </c>
      <c r="G100" s="146">
        <f>Revenue!G105</f>
        <v>536.3</v>
      </c>
      <c r="H100" s="146">
        <f>Revenue!H105</f>
        <v>526.374</v>
      </c>
      <c r="I100" s="146">
        <f>Revenue!I105</f>
        <v>522.224</v>
      </c>
      <c r="J100" s="146">
        <f>Revenue!J105</f>
        <v>376.494</v>
      </c>
      <c r="K100" s="146">
        <f>Revenue!K105</f>
        <v>363.144</v>
      </c>
      <c r="L100" s="146">
        <f>Revenue!L105</f>
        <v>300.266</v>
      </c>
      <c r="M100" s="146">
        <f>Revenue!M105</f>
        <v>369.364</v>
      </c>
      <c r="N100" s="146">
        <f>Revenue!N105</f>
        <v>296.556</v>
      </c>
      <c r="O100" s="146">
        <f>Revenue!O105</f>
        <v>387.676</v>
      </c>
      <c r="P100" s="146">
        <f>Revenue!P105</f>
        <v>387.156</v>
      </c>
      <c r="Q100" s="146">
        <f>Revenue!Q105</f>
        <v>406.482</v>
      </c>
      <c r="R100" s="146">
        <f>Revenue!R105</f>
        <v>500.832</v>
      </c>
      <c r="S100" s="146">
        <f>Revenue!S105</f>
        <v>475.638</v>
      </c>
      <c r="T100" s="146">
        <f>Revenue!T105</f>
        <v>316.546</v>
      </c>
      <c r="U100" s="146">
        <f>Revenue!U105</f>
        <v>383.266</v>
      </c>
      <c r="V100" s="146">
        <f>Revenue!V105</f>
        <v>461.166</v>
      </c>
      <c r="W100" s="146">
        <f>Revenue!W105</f>
        <v>495.498</v>
      </c>
      <c r="X100" s="146">
        <f>Revenue!X105</f>
        <v>516.682</v>
      </c>
      <c r="Y100" s="146">
        <f>Revenue!Y105</f>
        <v>414.824</v>
      </c>
      <c r="Z100" s="146">
        <f>Revenue!Z105</f>
        <v>552.02195</v>
      </c>
      <c r="AA100" s="146">
        <f>Revenue!AA105</f>
        <v>701.3740549</v>
      </c>
      <c r="AB100" s="146">
        <f>Revenue!AB105</f>
        <v>850.4726678</v>
      </c>
      <c r="AC100" s="146">
        <f>Revenue!AC105</f>
        <v>987.6923167</v>
      </c>
      <c r="AD100" s="146">
        <f>Revenue!AD105</f>
        <v>1115.130401</v>
      </c>
      <c r="AE100" s="146">
        <f>Revenue!AE105</f>
        <v>1237.588133</v>
      </c>
      <c r="AF100" s="146">
        <f>Revenue!AF105</f>
        <v>1358.333731</v>
      </c>
      <c r="AG100" s="146">
        <f>Revenue!AG105</f>
        <v>1475.891441</v>
      </c>
      <c r="AH100" s="146">
        <f>Revenue!AH105</f>
        <v>1597.910632</v>
      </c>
      <c r="AI100" s="146">
        <f>Revenue!AI105</f>
        <v>1714.071045</v>
      </c>
      <c r="AJ100" s="146">
        <f>Revenue!AJ105</f>
        <v>1818.447496</v>
      </c>
      <c r="AK100" s="146">
        <f>Revenue!AK105</f>
        <v>1909.593614</v>
      </c>
      <c r="AL100" s="146">
        <f>Revenue!AL105</f>
        <v>2000.621526</v>
      </c>
      <c r="AM100" s="146">
        <f>Revenue!AM105</f>
        <v>2067.792667</v>
      </c>
      <c r="AN100" s="146">
        <f>Revenue!AN105</f>
        <v>2102.457035</v>
      </c>
      <c r="AO100" s="146">
        <f>Revenue!AO105</f>
        <v>2116.314407</v>
      </c>
      <c r="AP100" s="146">
        <f>Revenue!AP105</f>
        <v>2136.928691</v>
      </c>
      <c r="AQ100" s="146">
        <f>Revenue!AQ105</f>
        <v>2161.60425</v>
      </c>
      <c r="AR100" s="146">
        <f>Revenue!AR105</f>
        <v>2188.32922</v>
      </c>
      <c r="AS100" s="146">
        <f>Revenue!AS105</f>
        <v>2215.494046</v>
      </c>
      <c r="AT100" s="146">
        <f>Revenue!AT105</f>
        <v>2242.140454</v>
      </c>
      <c r="AU100" s="146">
        <f>Revenue!AU105</f>
        <v>2268.311324</v>
      </c>
      <c r="AV100" s="146">
        <f>Revenue!AV105</f>
        <v>2294.040618</v>
      </c>
      <c r="AW100" s="146">
        <f>Revenue!AW105</f>
        <v>2319.358269</v>
      </c>
      <c r="AX100" s="146">
        <f>Revenue!AX105</f>
        <v>2344.29194</v>
      </c>
      <c r="AY100" s="146">
        <f>Revenue!AY105</f>
        <v>2369.366604</v>
      </c>
      <c r="AZ100" s="146">
        <f>Revenue!AZ105</f>
        <v>2414.738168</v>
      </c>
      <c r="BA100" s="146">
        <f>Revenue!BA105</f>
        <v>2459.24114</v>
      </c>
      <c r="BB100" s="146">
        <f>Revenue!BB105</f>
        <v>2502.672072</v>
      </c>
      <c r="BC100" s="146">
        <f>Revenue!BC105</f>
        <v>2545.174503</v>
      </c>
      <c r="BD100" s="146">
        <f>Revenue!BD105</f>
        <v>2586.825729</v>
      </c>
      <c r="BE100" s="146">
        <f>Revenue!BE105</f>
        <v>2627.678785</v>
      </c>
      <c r="BF100" s="146">
        <f>Revenue!BF105</f>
        <v>2667.777196</v>
      </c>
      <c r="BG100" s="146">
        <f>Revenue!BG105</f>
        <v>2707.160168</v>
      </c>
      <c r="BH100" s="146">
        <f>Revenue!BH105</f>
        <v>2745.864457</v>
      </c>
      <c r="BI100" s="146">
        <f>Revenue!BI105</f>
        <v>2783.925058</v>
      </c>
      <c r="BJ100" s="146">
        <f>Revenue!BJ105</f>
        <v>2821.375479</v>
      </c>
      <c r="BK100" s="146">
        <f>Revenue!BK105</f>
        <v>2596.61775</v>
      </c>
      <c r="BL100" s="146">
        <f>Revenue!BL105</f>
        <v>2639.963023</v>
      </c>
      <c r="BM100" s="146">
        <f>Revenue!BM105</f>
        <v>2681.19286</v>
      </c>
      <c r="BN100" s="146">
        <f>Revenue!BN105</f>
        <v>2719.185072</v>
      </c>
      <c r="BO100" s="146">
        <f>Revenue!BO105</f>
        <v>2756.583879</v>
      </c>
      <c r="BP100" s="146">
        <f>Revenue!BP105</f>
        <v>2793.472143</v>
      </c>
      <c r="BQ100" s="146">
        <f>Revenue!BQ105</f>
        <v>2829.897359</v>
      </c>
      <c r="BR100" s="146">
        <f>Revenue!BR105</f>
        <v>2865.894043</v>
      </c>
      <c r="BS100" s="146">
        <f>Revenue!BS105</f>
        <v>2901.491599</v>
      </c>
      <c r="BT100" s="146">
        <f>Revenue!BT105</f>
        <v>2936.717094</v>
      </c>
      <c r="BU100" s="146">
        <f>Revenue!BU105</f>
        <v>2971.596256</v>
      </c>
      <c r="BV100" s="146">
        <f>Revenue!BV105</f>
        <v>3006.153848</v>
      </c>
      <c r="BW100" s="146">
        <f>Revenue!BW105</f>
        <v>3040.413819</v>
      </c>
      <c r="BX100" s="146">
        <f>Revenue!BX105</f>
        <v>3065.342468</v>
      </c>
      <c r="BY100" s="146">
        <f>Revenue!BY105</f>
        <v>3086.142393</v>
      </c>
      <c r="BZ100" s="146">
        <f>Revenue!BZ105</f>
        <v>3107.008539</v>
      </c>
      <c r="CA100" s="146">
        <f>Revenue!CA105</f>
        <v>3128.683367</v>
      </c>
      <c r="CB100" s="146">
        <f>Revenue!CB105</f>
        <v>3150.544627</v>
      </c>
      <c r="CC100" s="146">
        <f>Revenue!CC105</f>
        <v>3172.384409</v>
      </c>
      <c r="CD100" s="146">
        <f>Revenue!CD105</f>
        <v>3194.139422</v>
      </c>
      <c r="CE100" s="146">
        <f>Revenue!CE105</f>
        <v>3215.796608</v>
      </c>
      <c r="CF100" s="146">
        <f>Revenue!CF105</f>
        <v>3237.360119</v>
      </c>
      <c r="CG100" s="146">
        <f>Revenue!CG105</f>
        <v>3258.839783</v>
      </c>
      <c r="CH100" s="146">
        <f>Revenue!CH105</f>
        <v>3280.247075</v>
      </c>
    </row>
    <row r="101" ht="15.75" customHeight="1">
      <c r="A101" s="1" t="s">
        <v>693</v>
      </c>
      <c r="C101" s="146"/>
      <c r="D101" s="146">
        <f t="shared" ref="D101:CH101" si="83">D100-C100</f>
        <v>-126.964</v>
      </c>
      <c r="E101" s="146">
        <f t="shared" si="83"/>
        <v>66.654</v>
      </c>
      <c r="F101" s="146">
        <f t="shared" si="83"/>
        <v>123.118</v>
      </c>
      <c r="G101" s="146">
        <f t="shared" si="83"/>
        <v>66.95</v>
      </c>
      <c r="H101" s="146">
        <f t="shared" si="83"/>
        <v>-9.926</v>
      </c>
      <c r="I101" s="146">
        <f t="shared" si="83"/>
        <v>-4.15</v>
      </c>
      <c r="J101" s="146">
        <f t="shared" si="83"/>
        <v>-145.73</v>
      </c>
      <c r="K101" s="146">
        <f t="shared" si="83"/>
        <v>-13.35</v>
      </c>
      <c r="L101" s="146">
        <f t="shared" si="83"/>
        <v>-62.878</v>
      </c>
      <c r="M101" s="146">
        <f t="shared" si="83"/>
        <v>69.098</v>
      </c>
      <c r="N101" s="146">
        <f t="shared" si="83"/>
        <v>-72.808</v>
      </c>
      <c r="O101" s="146">
        <f t="shared" si="83"/>
        <v>91.12</v>
      </c>
      <c r="P101" s="146">
        <f t="shared" si="83"/>
        <v>-0.52</v>
      </c>
      <c r="Q101" s="146">
        <f t="shared" si="83"/>
        <v>19.326</v>
      </c>
      <c r="R101" s="146">
        <f t="shared" si="83"/>
        <v>94.35</v>
      </c>
      <c r="S101" s="146">
        <f t="shared" si="83"/>
        <v>-25.194</v>
      </c>
      <c r="T101" s="146">
        <f t="shared" si="83"/>
        <v>-159.092</v>
      </c>
      <c r="U101" s="146">
        <f t="shared" si="83"/>
        <v>66.72</v>
      </c>
      <c r="V101" s="146">
        <f t="shared" si="83"/>
        <v>77.9</v>
      </c>
      <c r="W101" s="146">
        <f t="shared" si="83"/>
        <v>34.332</v>
      </c>
      <c r="X101" s="146">
        <f t="shared" si="83"/>
        <v>21.184</v>
      </c>
      <c r="Y101" s="146">
        <f t="shared" si="83"/>
        <v>-101.858</v>
      </c>
      <c r="Z101" s="146">
        <f t="shared" si="83"/>
        <v>137.19795</v>
      </c>
      <c r="AA101" s="146">
        <f t="shared" si="83"/>
        <v>149.3521049</v>
      </c>
      <c r="AB101" s="146">
        <f t="shared" si="83"/>
        <v>149.0986129</v>
      </c>
      <c r="AC101" s="146">
        <f t="shared" si="83"/>
        <v>137.2196489</v>
      </c>
      <c r="AD101" s="146">
        <f t="shared" si="83"/>
        <v>127.4380848</v>
      </c>
      <c r="AE101" s="146">
        <f t="shared" si="83"/>
        <v>122.4577314</v>
      </c>
      <c r="AF101" s="146">
        <f t="shared" si="83"/>
        <v>120.745598</v>
      </c>
      <c r="AG101" s="146">
        <f t="shared" si="83"/>
        <v>117.5577104</v>
      </c>
      <c r="AH101" s="146">
        <f t="shared" si="83"/>
        <v>122.0191906</v>
      </c>
      <c r="AI101" s="146">
        <f t="shared" si="83"/>
        <v>116.1604136</v>
      </c>
      <c r="AJ101" s="146">
        <f t="shared" si="83"/>
        <v>104.3764504</v>
      </c>
      <c r="AK101" s="146">
        <f t="shared" si="83"/>
        <v>91.14611806</v>
      </c>
      <c r="AL101" s="146">
        <f t="shared" si="83"/>
        <v>91.02791195</v>
      </c>
      <c r="AM101" s="146">
        <f t="shared" si="83"/>
        <v>67.17114145</v>
      </c>
      <c r="AN101" s="146">
        <f t="shared" si="83"/>
        <v>34.66436786</v>
      </c>
      <c r="AO101" s="146">
        <f t="shared" si="83"/>
        <v>13.85737161</v>
      </c>
      <c r="AP101" s="146">
        <f t="shared" si="83"/>
        <v>20.61428456</v>
      </c>
      <c r="AQ101" s="146">
        <f t="shared" si="83"/>
        <v>24.67555853</v>
      </c>
      <c r="AR101" s="146">
        <f t="shared" si="83"/>
        <v>26.72497008</v>
      </c>
      <c r="AS101" s="146">
        <f t="shared" si="83"/>
        <v>27.1648264</v>
      </c>
      <c r="AT101" s="146">
        <f t="shared" si="83"/>
        <v>26.64640791</v>
      </c>
      <c r="AU101" s="146">
        <f t="shared" si="83"/>
        <v>26.17086951</v>
      </c>
      <c r="AV101" s="146">
        <f t="shared" si="83"/>
        <v>25.72929396</v>
      </c>
      <c r="AW101" s="146">
        <f t="shared" si="83"/>
        <v>25.31765179</v>
      </c>
      <c r="AX101" s="146">
        <f t="shared" si="83"/>
        <v>24.93367006</v>
      </c>
      <c r="AY101" s="146">
        <f t="shared" si="83"/>
        <v>25.07466436</v>
      </c>
      <c r="AZ101" s="146">
        <f t="shared" si="83"/>
        <v>45.37156455</v>
      </c>
      <c r="BA101" s="146">
        <f t="shared" si="83"/>
        <v>44.50297131</v>
      </c>
      <c r="BB101" s="146">
        <f t="shared" si="83"/>
        <v>43.43093193</v>
      </c>
      <c r="BC101" s="146">
        <f t="shared" si="83"/>
        <v>42.50243163</v>
      </c>
      <c r="BD101" s="146">
        <f t="shared" si="83"/>
        <v>41.65122525</v>
      </c>
      <c r="BE101" s="146">
        <f t="shared" si="83"/>
        <v>40.85305669</v>
      </c>
      <c r="BF101" s="146">
        <f t="shared" si="83"/>
        <v>40.09841034</v>
      </c>
      <c r="BG101" s="146">
        <f t="shared" si="83"/>
        <v>39.3829722</v>
      </c>
      <c r="BH101" s="146">
        <f t="shared" si="83"/>
        <v>38.7042896</v>
      </c>
      <c r="BI101" s="146">
        <f t="shared" si="83"/>
        <v>38.06060037</v>
      </c>
      <c r="BJ101" s="146">
        <f t="shared" si="83"/>
        <v>37.45042151</v>
      </c>
      <c r="BK101" s="146">
        <f t="shared" si="83"/>
        <v>-224.7577297</v>
      </c>
      <c r="BL101" s="146">
        <f t="shared" si="83"/>
        <v>43.34527394</v>
      </c>
      <c r="BM101" s="146">
        <f t="shared" si="83"/>
        <v>41.22983614</v>
      </c>
      <c r="BN101" s="146">
        <f t="shared" si="83"/>
        <v>37.99221254</v>
      </c>
      <c r="BO101" s="146">
        <f t="shared" si="83"/>
        <v>37.39880659</v>
      </c>
      <c r="BP101" s="146">
        <f t="shared" si="83"/>
        <v>36.88826407</v>
      </c>
      <c r="BQ101" s="146">
        <f t="shared" si="83"/>
        <v>36.42521585</v>
      </c>
      <c r="BR101" s="146">
        <f t="shared" si="83"/>
        <v>35.99668447</v>
      </c>
      <c r="BS101" s="146">
        <f t="shared" si="83"/>
        <v>35.59755615</v>
      </c>
      <c r="BT101" s="146">
        <f t="shared" si="83"/>
        <v>35.225495</v>
      </c>
      <c r="BU101" s="146">
        <f t="shared" si="83"/>
        <v>34.87916215</v>
      </c>
      <c r="BV101" s="146">
        <f t="shared" si="83"/>
        <v>34.55759157</v>
      </c>
      <c r="BW101" s="146">
        <f t="shared" si="83"/>
        <v>34.25997074</v>
      </c>
      <c r="BX101" s="146">
        <f t="shared" si="83"/>
        <v>24.92864966</v>
      </c>
      <c r="BY101" s="146">
        <f t="shared" si="83"/>
        <v>20.79992465</v>
      </c>
      <c r="BZ101" s="146">
        <f t="shared" si="83"/>
        <v>20.86614643</v>
      </c>
      <c r="CA101" s="146">
        <f t="shared" si="83"/>
        <v>21.67482786</v>
      </c>
      <c r="CB101" s="146">
        <f t="shared" si="83"/>
        <v>21.8612594</v>
      </c>
      <c r="CC101" s="146">
        <f t="shared" si="83"/>
        <v>21.83978197</v>
      </c>
      <c r="CD101" s="146">
        <f t="shared" si="83"/>
        <v>21.75501336</v>
      </c>
      <c r="CE101" s="146">
        <f t="shared" si="83"/>
        <v>21.65718544</v>
      </c>
      <c r="CF101" s="146">
        <f t="shared" si="83"/>
        <v>21.56351151</v>
      </c>
      <c r="CG101" s="146">
        <f t="shared" si="83"/>
        <v>21.4796642</v>
      </c>
      <c r="CH101" s="146">
        <f t="shared" si="83"/>
        <v>21.40729209</v>
      </c>
    </row>
    <row r="102" ht="15.75" customHeight="1"/>
    <row r="103" ht="15.75" customHeight="1">
      <c r="A103" s="1" t="s">
        <v>694</v>
      </c>
      <c r="M103" s="242"/>
      <c r="N103" s="242"/>
      <c r="O103" s="208">
        <v>0.99</v>
      </c>
      <c r="P103" s="208">
        <f t="shared" ref="P103:S103" si="84">O103</f>
        <v>0.99</v>
      </c>
      <c r="Q103" s="208">
        <f t="shared" si="84"/>
        <v>0.99</v>
      </c>
      <c r="R103" s="208">
        <f t="shared" si="84"/>
        <v>0.99</v>
      </c>
      <c r="S103" s="208">
        <f t="shared" si="84"/>
        <v>0.99</v>
      </c>
      <c r="T103" s="208">
        <v>0.95</v>
      </c>
      <c r="U103" s="208">
        <v>1.0</v>
      </c>
      <c r="V103" s="208">
        <v>0.98</v>
      </c>
      <c r="W103" s="208">
        <v>0.98</v>
      </c>
      <c r="X103" s="208">
        <v>0.98</v>
      </c>
      <c r="Y103" s="208">
        <f t="shared" ref="Y103:Z103" si="85">X103</f>
        <v>0.98</v>
      </c>
      <c r="Z103" s="208">
        <f t="shared" si="85"/>
        <v>0.98</v>
      </c>
      <c r="AA103" s="208">
        <v>0.96</v>
      </c>
      <c r="AB103" s="208">
        <f t="shared" ref="AB103:AL103" si="86">AA103</f>
        <v>0.96</v>
      </c>
      <c r="AC103" s="208">
        <f t="shared" si="86"/>
        <v>0.96</v>
      </c>
      <c r="AD103" s="208">
        <f t="shared" si="86"/>
        <v>0.96</v>
      </c>
      <c r="AE103" s="208">
        <f t="shared" si="86"/>
        <v>0.96</v>
      </c>
      <c r="AF103" s="208">
        <f t="shared" si="86"/>
        <v>0.96</v>
      </c>
      <c r="AG103" s="208">
        <f t="shared" si="86"/>
        <v>0.96</v>
      </c>
      <c r="AH103" s="208">
        <f t="shared" si="86"/>
        <v>0.96</v>
      </c>
      <c r="AI103" s="208">
        <f t="shared" si="86"/>
        <v>0.96</v>
      </c>
      <c r="AJ103" s="208">
        <f t="shared" si="86"/>
        <v>0.96</v>
      </c>
      <c r="AK103" s="208">
        <f t="shared" si="86"/>
        <v>0.96</v>
      </c>
      <c r="AL103" s="208">
        <f t="shared" si="86"/>
        <v>0.96</v>
      </c>
      <c r="AM103" s="208">
        <v>0.91</v>
      </c>
      <c r="AN103" s="208">
        <f t="shared" ref="AN103:AX103" si="87">AM103</f>
        <v>0.91</v>
      </c>
      <c r="AO103" s="208">
        <f t="shared" si="87"/>
        <v>0.91</v>
      </c>
      <c r="AP103" s="208">
        <f t="shared" si="87"/>
        <v>0.91</v>
      </c>
      <c r="AQ103" s="208">
        <f t="shared" si="87"/>
        <v>0.91</v>
      </c>
      <c r="AR103" s="208">
        <f t="shared" si="87"/>
        <v>0.91</v>
      </c>
      <c r="AS103" s="208">
        <f t="shared" si="87"/>
        <v>0.91</v>
      </c>
      <c r="AT103" s="208">
        <f t="shared" si="87"/>
        <v>0.91</v>
      </c>
      <c r="AU103" s="208">
        <f t="shared" si="87"/>
        <v>0.91</v>
      </c>
      <c r="AV103" s="208">
        <f t="shared" si="87"/>
        <v>0.91</v>
      </c>
      <c r="AW103" s="208">
        <f t="shared" si="87"/>
        <v>0.91</v>
      </c>
      <c r="AX103" s="208">
        <f t="shared" si="87"/>
        <v>0.91</v>
      </c>
      <c r="AY103" s="208">
        <v>0.87</v>
      </c>
      <c r="AZ103" s="208">
        <f t="shared" ref="AZ103:BJ103" si="88">AY103</f>
        <v>0.87</v>
      </c>
      <c r="BA103" s="208">
        <f t="shared" si="88"/>
        <v>0.87</v>
      </c>
      <c r="BB103" s="208">
        <f t="shared" si="88"/>
        <v>0.87</v>
      </c>
      <c r="BC103" s="208">
        <f t="shared" si="88"/>
        <v>0.87</v>
      </c>
      <c r="BD103" s="208">
        <f t="shared" si="88"/>
        <v>0.87</v>
      </c>
      <c r="BE103" s="208">
        <f t="shared" si="88"/>
        <v>0.87</v>
      </c>
      <c r="BF103" s="208">
        <f t="shared" si="88"/>
        <v>0.87</v>
      </c>
      <c r="BG103" s="208">
        <f t="shared" si="88"/>
        <v>0.87</v>
      </c>
      <c r="BH103" s="208">
        <f t="shared" si="88"/>
        <v>0.87</v>
      </c>
      <c r="BI103" s="208">
        <f t="shared" si="88"/>
        <v>0.87</v>
      </c>
      <c r="BJ103" s="208">
        <f t="shared" si="88"/>
        <v>0.87</v>
      </c>
      <c r="BK103" s="208">
        <v>0.8</v>
      </c>
      <c r="BL103" s="208">
        <v>0.8</v>
      </c>
      <c r="BM103" s="208">
        <v>0.8</v>
      </c>
      <c r="BN103" s="208">
        <v>0.8</v>
      </c>
      <c r="BO103" s="208">
        <v>0.8</v>
      </c>
      <c r="BP103" s="208">
        <v>0.8</v>
      </c>
      <c r="BQ103" s="208">
        <v>0.8</v>
      </c>
      <c r="BR103" s="208">
        <v>0.8</v>
      </c>
      <c r="BS103" s="208">
        <v>0.8</v>
      </c>
      <c r="BT103" s="208">
        <v>0.8</v>
      </c>
      <c r="BU103" s="208">
        <v>0.8</v>
      </c>
      <c r="BV103" s="208">
        <v>0.8</v>
      </c>
      <c r="BW103" s="208">
        <v>0.75</v>
      </c>
      <c r="BX103" s="208">
        <f t="shared" ref="BX103:CH103" si="89">BW103</f>
        <v>0.75</v>
      </c>
      <c r="BY103" s="208">
        <f t="shared" si="89"/>
        <v>0.75</v>
      </c>
      <c r="BZ103" s="208">
        <f t="shared" si="89"/>
        <v>0.75</v>
      </c>
      <c r="CA103" s="208">
        <f t="shared" si="89"/>
        <v>0.75</v>
      </c>
      <c r="CB103" s="208">
        <f t="shared" si="89"/>
        <v>0.75</v>
      </c>
      <c r="CC103" s="208">
        <f t="shared" si="89"/>
        <v>0.75</v>
      </c>
      <c r="CD103" s="208">
        <f t="shared" si="89"/>
        <v>0.75</v>
      </c>
      <c r="CE103" s="208">
        <f t="shared" si="89"/>
        <v>0.75</v>
      </c>
      <c r="CF103" s="208">
        <f t="shared" si="89"/>
        <v>0.75</v>
      </c>
      <c r="CG103" s="208">
        <f t="shared" si="89"/>
        <v>0.75</v>
      </c>
      <c r="CH103" s="208">
        <f t="shared" si="89"/>
        <v>0.75</v>
      </c>
    </row>
    <row r="104" ht="15.75" customHeight="1">
      <c r="A104" s="1" t="s">
        <v>695</v>
      </c>
      <c r="M104" s="242"/>
      <c r="N104" s="242"/>
      <c r="O104" s="130">
        <f t="shared" ref="O104:CH104" si="90">1-O103</f>
        <v>0.01</v>
      </c>
      <c r="P104" s="130">
        <f t="shared" si="90"/>
        <v>0.01</v>
      </c>
      <c r="Q104" s="130">
        <f t="shared" si="90"/>
        <v>0.01</v>
      </c>
      <c r="R104" s="130">
        <f t="shared" si="90"/>
        <v>0.01</v>
      </c>
      <c r="S104" s="130">
        <f t="shared" si="90"/>
        <v>0.01</v>
      </c>
      <c r="T104" s="130">
        <f t="shared" si="90"/>
        <v>0.05</v>
      </c>
      <c r="U104" s="130">
        <f t="shared" si="90"/>
        <v>0</v>
      </c>
      <c r="V104" s="130">
        <f t="shared" si="90"/>
        <v>0.02</v>
      </c>
      <c r="W104" s="130">
        <f t="shared" si="90"/>
        <v>0.02</v>
      </c>
      <c r="X104" s="130">
        <f t="shared" si="90"/>
        <v>0.02</v>
      </c>
      <c r="Y104" s="130">
        <f t="shared" si="90"/>
        <v>0.02</v>
      </c>
      <c r="Z104" s="130">
        <f t="shared" si="90"/>
        <v>0.02</v>
      </c>
      <c r="AA104" s="130">
        <f t="shared" si="90"/>
        <v>0.04</v>
      </c>
      <c r="AB104" s="130">
        <f t="shared" si="90"/>
        <v>0.04</v>
      </c>
      <c r="AC104" s="130">
        <f t="shared" si="90"/>
        <v>0.04</v>
      </c>
      <c r="AD104" s="130">
        <f t="shared" si="90"/>
        <v>0.04</v>
      </c>
      <c r="AE104" s="130">
        <f t="shared" si="90"/>
        <v>0.04</v>
      </c>
      <c r="AF104" s="130">
        <f t="shared" si="90"/>
        <v>0.04</v>
      </c>
      <c r="AG104" s="130">
        <f t="shared" si="90"/>
        <v>0.04</v>
      </c>
      <c r="AH104" s="130">
        <f t="shared" si="90"/>
        <v>0.04</v>
      </c>
      <c r="AI104" s="130">
        <f t="shared" si="90"/>
        <v>0.04</v>
      </c>
      <c r="AJ104" s="130">
        <f t="shared" si="90"/>
        <v>0.04</v>
      </c>
      <c r="AK104" s="130">
        <f t="shared" si="90"/>
        <v>0.04</v>
      </c>
      <c r="AL104" s="130">
        <f t="shared" si="90"/>
        <v>0.04</v>
      </c>
      <c r="AM104" s="130">
        <f t="shared" si="90"/>
        <v>0.09</v>
      </c>
      <c r="AN104" s="130">
        <f t="shared" si="90"/>
        <v>0.09</v>
      </c>
      <c r="AO104" s="130">
        <f t="shared" si="90"/>
        <v>0.09</v>
      </c>
      <c r="AP104" s="130">
        <f t="shared" si="90"/>
        <v>0.09</v>
      </c>
      <c r="AQ104" s="130">
        <f t="shared" si="90"/>
        <v>0.09</v>
      </c>
      <c r="AR104" s="130">
        <f t="shared" si="90"/>
        <v>0.09</v>
      </c>
      <c r="AS104" s="130">
        <f t="shared" si="90"/>
        <v>0.09</v>
      </c>
      <c r="AT104" s="130">
        <f t="shared" si="90"/>
        <v>0.09</v>
      </c>
      <c r="AU104" s="130">
        <f t="shared" si="90"/>
        <v>0.09</v>
      </c>
      <c r="AV104" s="130">
        <f t="shared" si="90"/>
        <v>0.09</v>
      </c>
      <c r="AW104" s="130">
        <f t="shared" si="90"/>
        <v>0.09</v>
      </c>
      <c r="AX104" s="130">
        <f t="shared" si="90"/>
        <v>0.09</v>
      </c>
      <c r="AY104" s="130">
        <f t="shared" si="90"/>
        <v>0.13</v>
      </c>
      <c r="AZ104" s="130">
        <f t="shared" si="90"/>
        <v>0.13</v>
      </c>
      <c r="BA104" s="130">
        <f t="shared" si="90"/>
        <v>0.13</v>
      </c>
      <c r="BB104" s="130">
        <f t="shared" si="90"/>
        <v>0.13</v>
      </c>
      <c r="BC104" s="130">
        <f t="shared" si="90"/>
        <v>0.13</v>
      </c>
      <c r="BD104" s="130">
        <f t="shared" si="90"/>
        <v>0.13</v>
      </c>
      <c r="BE104" s="130">
        <f t="shared" si="90"/>
        <v>0.13</v>
      </c>
      <c r="BF104" s="130">
        <f t="shared" si="90"/>
        <v>0.13</v>
      </c>
      <c r="BG104" s="130">
        <f t="shared" si="90"/>
        <v>0.13</v>
      </c>
      <c r="BH104" s="130">
        <f t="shared" si="90"/>
        <v>0.13</v>
      </c>
      <c r="BI104" s="130">
        <f t="shared" si="90"/>
        <v>0.13</v>
      </c>
      <c r="BJ104" s="130">
        <f t="shared" si="90"/>
        <v>0.13</v>
      </c>
      <c r="BK104" s="130">
        <f t="shared" si="90"/>
        <v>0.2</v>
      </c>
      <c r="BL104" s="130">
        <f t="shared" si="90"/>
        <v>0.2</v>
      </c>
      <c r="BM104" s="130">
        <f t="shared" si="90"/>
        <v>0.2</v>
      </c>
      <c r="BN104" s="130">
        <f t="shared" si="90"/>
        <v>0.2</v>
      </c>
      <c r="BO104" s="130">
        <f t="shared" si="90"/>
        <v>0.2</v>
      </c>
      <c r="BP104" s="130">
        <f t="shared" si="90"/>
        <v>0.2</v>
      </c>
      <c r="BQ104" s="130">
        <f t="shared" si="90"/>
        <v>0.2</v>
      </c>
      <c r="BR104" s="130">
        <f t="shared" si="90"/>
        <v>0.2</v>
      </c>
      <c r="BS104" s="130">
        <f t="shared" si="90"/>
        <v>0.2</v>
      </c>
      <c r="BT104" s="130">
        <f t="shared" si="90"/>
        <v>0.2</v>
      </c>
      <c r="BU104" s="130">
        <f t="shared" si="90"/>
        <v>0.2</v>
      </c>
      <c r="BV104" s="130">
        <f t="shared" si="90"/>
        <v>0.2</v>
      </c>
      <c r="BW104" s="130">
        <f t="shared" si="90"/>
        <v>0.25</v>
      </c>
      <c r="BX104" s="130">
        <f t="shared" si="90"/>
        <v>0.25</v>
      </c>
      <c r="BY104" s="130">
        <f t="shared" si="90"/>
        <v>0.25</v>
      </c>
      <c r="BZ104" s="130">
        <f t="shared" si="90"/>
        <v>0.25</v>
      </c>
      <c r="CA104" s="130">
        <f t="shared" si="90"/>
        <v>0.25</v>
      </c>
      <c r="CB104" s="130">
        <f t="shared" si="90"/>
        <v>0.25</v>
      </c>
      <c r="CC104" s="130">
        <f t="shared" si="90"/>
        <v>0.25</v>
      </c>
      <c r="CD104" s="130">
        <f t="shared" si="90"/>
        <v>0.25</v>
      </c>
      <c r="CE104" s="130">
        <f t="shared" si="90"/>
        <v>0.25</v>
      </c>
      <c r="CF104" s="130">
        <f t="shared" si="90"/>
        <v>0.25</v>
      </c>
      <c r="CG104" s="130">
        <f t="shared" si="90"/>
        <v>0.25</v>
      </c>
      <c r="CH104" s="130">
        <f t="shared" si="90"/>
        <v>0.25</v>
      </c>
    </row>
    <row r="105" ht="15.75" customHeight="1">
      <c r="A105" s="1"/>
      <c r="M105" s="242"/>
      <c r="N105" s="242"/>
      <c r="O105" s="242"/>
      <c r="P105" s="242"/>
      <c r="Q105" s="242"/>
      <c r="R105" s="242"/>
      <c r="S105" s="242"/>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6"/>
      <c r="BQ105" s="146"/>
      <c r="BR105" s="146"/>
      <c r="BS105" s="146"/>
      <c r="BT105" s="146"/>
      <c r="BU105" s="146"/>
      <c r="BV105" s="146"/>
      <c r="BW105" s="146"/>
      <c r="BX105" s="146"/>
      <c r="BY105" s="146"/>
      <c r="BZ105" s="146"/>
      <c r="CA105" s="146"/>
      <c r="CB105" s="146"/>
      <c r="CC105" s="146"/>
      <c r="CD105" s="146"/>
      <c r="CE105" s="146"/>
      <c r="CF105" s="146"/>
      <c r="CG105" s="146"/>
      <c r="CH105" s="146"/>
    </row>
    <row r="106" ht="15.75" customHeight="1">
      <c r="A106" s="1"/>
      <c r="M106" s="242"/>
      <c r="N106" s="242"/>
      <c r="O106" s="242"/>
      <c r="P106" s="242"/>
      <c r="Q106" s="242"/>
      <c r="R106" s="242"/>
      <c r="S106" s="242"/>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6"/>
      <c r="BQ106" s="146"/>
      <c r="BR106" s="146"/>
      <c r="BS106" s="146"/>
      <c r="BT106" s="146"/>
      <c r="BU106" s="146"/>
      <c r="BV106" s="146"/>
      <c r="BW106" s="146"/>
      <c r="BX106" s="146"/>
      <c r="BY106" s="146"/>
      <c r="BZ106" s="146"/>
      <c r="CA106" s="146"/>
      <c r="CB106" s="146"/>
      <c r="CC106" s="146"/>
      <c r="CD106" s="146"/>
      <c r="CE106" s="146"/>
      <c r="CF106" s="146"/>
      <c r="CG106" s="146"/>
      <c r="CH106" s="146"/>
    </row>
    <row r="107" ht="15.75" customHeight="1">
      <c r="A107" s="146" t="s">
        <v>712</v>
      </c>
      <c r="B107" s="146"/>
      <c r="C107" s="146"/>
      <c r="D107" s="146"/>
      <c r="E107" s="146"/>
      <c r="F107" s="146"/>
      <c r="G107" s="146"/>
      <c r="H107" s="146"/>
      <c r="I107" s="146"/>
      <c r="J107" s="146"/>
      <c r="K107" s="146"/>
      <c r="L107" s="146"/>
      <c r="M107" s="242">
        <v>7.0</v>
      </c>
      <c r="N107" s="242">
        <f t="shared" ref="N107:CH107" si="91">M107+M112</f>
        <v>7</v>
      </c>
      <c r="O107" s="242">
        <f t="shared" si="91"/>
        <v>7</v>
      </c>
      <c r="P107" s="242">
        <f t="shared" si="91"/>
        <v>7</v>
      </c>
      <c r="Q107" s="242">
        <f t="shared" si="91"/>
        <v>7</v>
      </c>
      <c r="R107" s="242">
        <f t="shared" si="91"/>
        <v>7</v>
      </c>
      <c r="S107" s="242">
        <f t="shared" si="91"/>
        <v>7</v>
      </c>
      <c r="T107" s="242">
        <f t="shared" si="91"/>
        <v>7</v>
      </c>
      <c r="U107" s="242">
        <f t="shared" si="91"/>
        <v>8</v>
      </c>
      <c r="V107" s="242">
        <f t="shared" si="91"/>
        <v>8.5</v>
      </c>
      <c r="W107" s="242">
        <f t="shared" si="91"/>
        <v>8.5</v>
      </c>
      <c r="X107" s="242">
        <f t="shared" si="91"/>
        <v>8.5</v>
      </c>
      <c r="Y107" s="242">
        <f t="shared" si="91"/>
        <v>8.5</v>
      </c>
      <c r="Z107" s="146">
        <f t="shared" si="91"/>
        <v>8.5</v>
      </c>
      <c r="AA107" s="146">
        <f t="shared" si="91"/>
        <v>8.5</v>
      </c>
      <c r="AB107" s="146">
        <f t="shared" si="91"/>
        <v>8.5</v>
      </c>
      <c r="AC107" s="146">
        <f t="shared" si="91"/>
        <v>8.5</v>
      </c>
      <c r="AD107" s="146">
        <f t="shared" si="91"/>
        <v>8.5</v>
      </c>
      <c r="AE107" s="146">
        <f t="shared" si="91"/>
        <v>8.5</v>
      </c>
      <c r="AF107" s="146">
        <f t="shared" si="91"/>
        <v>8.5</v>
      </c>
      <c r="AG107" s="146">
        <f t="shared" si="91"/>
        <v>9.5</v>
      </c>
      <c r="AH107" s="146">
        <f t="shared" si="91"/>
        <v>10.5</v>
      </c>
      <c r="AI107" s="146">
        <f t="shared" si="91"/>
        <v>11.5</v>
      </c>
      <c r="AJ107" s="146">
        <f t="shared" si="91"/>
        <v>11.5</v>
      </c>
      <c r="AK107" s="146">
        <f t="shared" si="91"/>
        <v>12.5</v>
      </c>
      <c r="AL107" s="146">
        <f t="shared" si="91"/>
        <v>13.5</v>
      </c>
      <c r="AM107" s="146">
        <f t="shared" si="91"/>
        <v>13.5</v>
      </c>
      <c r="AN107" s="146">
        <f t="shared" si="91"/>
        <v>13.5</v>
      </c>
      <c r="AO107" s="146">
        <f t="shared" si="91"/>
        <v>13.5</v>
      </c>
      <c r="AP107" s="146">
        <f t="shared" si="91"/>
        <v>13.5</v>
      </c>
      <c r="AQ107" s="146">
        <f t="shared" si="91"/>
        <v>13.5</v>
      </c>
      <c r="AR107" s="146">
        <f t="shared" si="91"/>
        <v>14.5</v>
      </c>
      <c r="AS107" s="146">
        <f t="shared" si="91"/>
        <v>14.5</v>
      </c>
      <c r="AT107" s="146">
        <f t="shared" si="91"/>
        <v>14.5</v>
      </c>
      <c r="AU107" s="146">
        <f t="shared" si="91"/>
        <v>14.5</v>
      </c>
      <c r="AV107" s="146">
        <f t="shared" si="91"/>
        <v>14.5</v>
      </c>
      <c r="AW107" s="146">
        <f t="shared" si="91"/>
        <v>14.5</v>
      </c>
      <c r="AX107" s="146">
        <f t="shared" si="91"/>
        <v>14.5</v>
      </c>
      <c r="AY107" s="146">
        <f t="shared" si="91"/>
        <v>15.5</v>
      </c>
      <c r="AZ107" s="146">
        <f t="shared" si="91"/>
        <v>15.5</v>
      </c>
      <c r="BA107" s="146">
        <f t="shared" si="91"/>
        <v>15.5</v>
      </c>
      <c r="BB107" s="146">
        <f t="shared" si="91"/>
        <v>15.5</v>
      </c>
      <c r="BC107" s="146">
        <f t="shared" si="91"/>
        <v>15.5</v>
      </c>
      <c r="BD107" s="146">
        <f t="shared" si="91"/>
        <v>15.5</v>
      </c>
      <c r="BE107" s="146">
        <f t="shared" si="91"/>
        <v>15.5</v>
      </c>
      <c r="BF107" s="146">
        <f t="shared" si="91"/>
        <v>16.5</v>
      </c>
      <c r="BG107" s="146">
        <f t="shared" si="91"/>
        <v>16.5</v>
      </c>
      <c r="BH107" s="146">
        <f t="shared" si="91"/>
        <v>16.5</v>
      </c>
      <c r="BI107" s="146">
        <f t="shared" si="91"/>
        <v>16.5</v>
      </c>
      <c r="BJ107" s="146">
        <f t="shared" si="91"/>
        <v>17.5</v>
      </c>
      <c r="BK107" s="146">
        <f t="shared" si="91"/>
        <v>17.5</v>
      </c>
      <c r="BL107" s="146">
        <f t="shared" si="91"/>
        <v>17.5</v>
      </c>
      <c r="BM107" s="146">
        <f t="shared" si="91"/>
        <v>17.5</v>
      </c>
      <c r="BN107" s="146">
        <f t="shared" si="91"/>
        <v>17.5</v>
      </c>
      <c r="BO107" s="146">
        <f t="shared" si="91"/>
        <v>17.5</v>
      </c>
      <c r="BP107" s="146">
        <f t="shared" si="91"/>
        <v>17.5</v>
      </c>
      <c r="BQ107" s="146">
        <f t="shared" si="91"/>
        <v>17.5</v>
      </c>
      <c r="BR107" s="146">
        <f t="shared" si="91"/>
        <v>17.5</v>
      </c>
      <c r="BS107" s="146">
        <f t="shared" si="91"/>
        <v>17.5</v>
      </c>
      <c r="BT107" s="146">
        <f t="shared" si="91"/>
        <v>17.5</v>
      </c>
      <c r="BU107" s="146">
        <f t="shared" si="91"/>
        <v>17.5</v>
      </c>
      <c r="BV107" s="146">
        <f t="shared" si="91"/>
        <v>17.5</v>
      </c>
      <c r="BW107" s="146">
        <f t="shared" si="91"/>
        <v>17.5</v>
      </c>
      <c r="BX107" s="146">
        <f t="shared" si="91"/>
        <v>17.5</v>
      </c>
      <c r="BY107" s="146">
        <f t="shared" si="91"/>
        <v>17.5</v>
      </c>
      <c r="BZ107" s="146">
        <f t="shared" si="91"/>
        <v>17.5</v>
      </c>
      <c r="CA107" s="146">
        <f t="shared" si="91"/>
        <v>17.5</v>
      </c>
      <c r="CB107" s="146">
        <f t="shared" si="91"/>
        <v>17.5</v>
      </c>
      <c r="CC107" s="146">
        <f t="shared" si="91"/>
        <v>17.5</v>
      </c>
      <c r="CD107" s="146">
        <f t="shared" si="91"/>
        <v>17.5</v>
      </c>
      <c r="CE107" s="146">
        <f t="shared" si="91"/>
        <v>17.5</v>
      </c>
      <c r="CF107" s="146">
        <f t="shared" si="91"/>
        <v>17.5</v>
      </c>
      <c r="CG107" s="146">
        <f t="shared" si="91"/>
        <v>17.5</v>
      </c>
      <c r="CH107" s="146">
        <f t="shared" si="91"/>
        <v>17.5</v>
      </c>
    </row>
    <row r="108" ht="15.75" customHeight="1">
      <c r="A108" s="1" t="s">
        <v>713</v>
      </c>
      <c r="M108" s="173">
        <v>147.0</v>
      </c>
      <c r="N108" s="146">
        <f>M108</f>
        <v>147</v>
      </c>
      <c r="O108" s="173">
        <f>167*0.9</f>
        <v>150.3</v>
      </c>
      <c r="P108" s="146">
        <f t="shared" ref="P108:V108" si="92">O108</f>
        <v>150.3</v>
      </c>
      <c r="Q108" s="146">
        <f t="shared" si="92"/>
        <v>150.3</v>
      </c>
      <c r="R108" s="146">
        <f t="shared" si="92"/>
        <v>150.3</v>
      </c>
      <c r="S108" s="146">
        <f t="shared" si="92"/>
        <v>150.3</v>
      </c>
      <c r="T108" s="146">
        <f t="shared" si="92"/>
        <v>150.3</v>
      </c>
      <c r="U108" s="146">
        <f t="shared" si="92"/>
        <v>150.3</v>
      </c>
      <c r="V108" s="146">
        <f t="shared" si="92"/>
        <v>150.3</v>
      </c>
      <c r="W108" s="146">
        <v>160.0</v>
      </c>
      <c r="X108" s="146">
        <f t="shared" ref="X108:Z108" si="93">W108</f>
        <v>160</v>
      </c>
      <c r="Y108" s="146">
        <f t="shared" si="93"/>
        <v>160</v>
      </c>
      <c r="Z108" s="146">
        <f t="shared" si="93"/>
        <v>160</v>
      </c>
      <c r="AA108" s="146">
        <v>150.0</v>
      </c>
      <c r="AB108" s="146">
        <v>150.0</v>
      </c>
      <c r="AC108" s="146">
        <v>150.0</v>
      </c>
      <c r="AD108" s="146">
        <v>150.0</v>
      </c>
      <c r="AE108" s="146">
        <v>150.0</v>
      </c>
      <c r="AF108" s="146">
        <v>150.0</v>
      </c>
      <c r="AG108" s="146">
        <v>150.0</v>
      </c>
      <c r="AH108" s="146">
        <v>150.0</v>
      </c>
      <c r="AI108" s="146">
        <v>150.0</v>
      </c>
      <c r="AJ108" s="146">
        <v>150.0</v>
      </c>
      <c r="AK108" s="146">
        <v>150.0</v>
      </c>
      <c r="AL108" s="146">
        <v>150.0</v>
      </c>
      <c r="AM108" s="146">
        <v>150.0</v>
      </c>
      <c r="AN108" s="146">
        <v>150.0</v>
      </c>
      <c r="AO108" s="146">
        <v>150.0</v>
      </c>
      <c r="AP108" s="146">
        <v>150.0</v>
      </c>
      <c r="AQ108" s="146">
        <v>150.0</v>
      </c>
      <c r="AR108" s="146">
        <v>150.0</v>
      </c>
      <c r="AS108" s="146">
        <v>150.0</v>
      </c>
      <c r="AT108" s="146">
        <v>150.0</v>
      </c>
      <c r="AU108" s="146">
        <v>150.0</v>
      </c>
      <c r="AV108" s="146">
        <v>150.0</v>
      </c>
      <c r="AW108" s="146">
        <v>150.0</v>
      </c>
      <c r="AX108" s="146">
        <v>150.0</v>
      </c>
      <c r="AY108" s="146">
        <v>150.0</v>
      </c>
      <c r="AZ108" s="146">
        <v>150.0</v>
      </c>
      <c r="BA108" s="146">
        <v>150.0</v>
      </c>
      <c r="BB108" s="146">
        <v>150.0</v>
      </c>
      <c r="BC108" s="146">
        <v>150.0</v>
      </c>
      <c r="BD108" s="146">
        <v>150.0</v>
      </c>
      <c r="BE108" s="146">
        <v>150.0</v>
      </c>
      <c r="BF108" s="146">
        <v>150.0</v>
      </c>
      <c r="BG108" s="146">
        <v>150.0</v>
      </c>
      <c r="BH108" s="146">
        <v>150.0</v>
      </c>
      <c r="BI108" s="146">
        <v>150.0</v>
      </c>
      <c r="BJ108" s="146">
        <v>150.0</v>
      </c>
      <c r="BK108" s="146">
        <v>150.0</v>
      </c>
      <c r="BL108" s="146">
        <v>150.0</v>
      </c>
      <c r="BM108" s="146">
        <v>150.0</v>
      </c>
      <c r="BN108" s="146">
        <v>150.0</v>
      </c>
      <c r="BO108" s="146">
        <v>150.0</v>
      </c>
      <c r="BP108" s="146">
        <v>150.0</v>
      </c>
      <c r="BQ108" s="146">
        <v>150.0</v>
      </c>
      <c r="BR108" s="146">
        <v>150.0</v>
      </c>
      <c r="BS108" s="146">
        <v>150.0</v>
      </c>
      <c r="BT108" s="146">
        <v>150.0</v>
      </c>
      <c r="BU108" s="146">
        <v>150.0</v>
      </c>
      <c r="BV108" s="146">
        <v>150.0</v>
      </c>
      <c r="BW108" s="146">
        <v>150.0</v>
      </c>
      <c r="BX108" s="146">
        <v>150.0</v>
      </c>
      <c r="BY108" s="146">
        <v>150.0</v>
      </c>
      <c r="BZ108" s="146">
        <v>150.0</v>
      </c>
      <c r="CA108" s="146">
        <v>150.0</v>
      </c>
      <c r="CB108" s="146">
        <v>150.0</v>
      </c>
      <c r="CC108" s="146">
        <v>150.0</v>
      </c>
      <c r="CD108" s="146">
        <v>150.0</v>
      </c>
      <c r="CE108" s="146">
        <v>150.0</v>
      </c>
      <c r="CF108" s="146">
        <v>150.0</v>
      </c>
      <c r="CG108" s="146">
        <v>150.0</v>
      </c>
      <c r="CH108" s="146">
        <v>150.0</v>
      </c>
    </row>
    <row r="109" ht="15.75" customHeight="1">
      <c r="A109" s="1" t="s">
        <v>698</v>
      </c>
      <c r="M109" s="146">
        <f t="shared" ref="M109:CH109" si="94">M107*M108</f>
        <v>1029</v>
      </c>
      <c r="N109" s="146">
        <f t="shared" si="94"/>
        <v>1029</v>
      </c>
      <c r="O109" s="146">
        <f t="shared" si="94"/>
        <v>1052.1</v>
      </c>
      <c r="P109" s="146">
        <f t="shared" si="94"/>
        <v>1052.1</v>
      </c>
      <c r="Q109" s="146">
        <f t="shared" si="94"/>
        <v>1052.1</v>
      </c>
      <c r="R109" s="146">
        <f t="shared" si="94"/>
        <v>1052.1</v>
      </c>
      <c r="S109" s="146">
        <f t="shared" si="94"/>
        <v>1052.1</v>
      </c>
      <c r="T109" s="146">
        <f t="shared" si="94"/>
        <v>1052.1</v>
      </c>
      <c r="U109" s="146">
        <f t="shared" si="94"/>
        <v>1202.4</v>
      </c>
      <c r="V109" s="146">
        <f t="shared" si="94"/>
        <v>1277.55</v>
      </c>
      <c r="W109" s="146">
        <f t="shared" si="94"/>
        <v>1360</v>
      </c>
      <c r="X109" s="146">
        <f t="shared" si="94"/>
        <v>1360</v>
      </c>
      <c r="Y109" s="146">
        <f t="shared" si="94"/>
        <v>1360</v>
      </c>
      <c r="Z109" s="146">
        <f t="shared" si="94"/>
        <v>1360</v>
      </c>
      <c r="AA109" s="146">
        <f t="shared" si="94"/>
        <v>1275</v>
      </c>
      <c r="AB109" s="146">
        <f t="shared" si="94"/>
        <v>1275</v>
      </c>
      <c r="AC109" s="146">
        <f t="shared" si="94"/>
        <v>1275</v>
      </c>
      <c r="AD109" s="146">
        <f t="shared" si="94"/>
        <v>1275</v>
      </c>
      <c r="AE109" s="146">
        <f t="shared" si="94"/>
        <v>1275</v>
      </c>
      <c r="AF109" s="146">
        <f t="shared" si="94"/>
        <v>1275</v>
      </c>
      <c r="AG109" s="146">
        <f t="shared" si="94"/>
        <v>1425</v>
      </c>
      <c r="AH109" s="146">
        <f t="shared" si="94"/>
        <v>1575</v>
      </c>
      <c r="AI109" s="146">
        <f t="shared" si="94"/>
        <v>1725</v>
      </c>
      <c r="AJ109" s="146">
        <f t="shared" si="94"/>
        <v>1725</v>
      </c>
      <c r="AK109" s="146">
        <f t="shared" si="94"/>
        <v>1875</v>
      </c>
      <c r="AL109" s="146">
        <f t="shared" si="94"/>
        <v>2025</v>
      </c>
      <c r="AM109" s="146">
        <f t="shared" si="94"/>
        <v>2025</v>
      </c>
      <c r="AN109" s="146">
        <f t="shared" si="94"/>
        <v>2025</v>
      </c>
      <c r="AO109" s="146">
        <f t="shared" si="94"/>
        <v>2025</v>
      </c>
      <c r="AP109" s="146">
        <f t="shared" si="94"/>
        <v>2025</v>
      </c>
      <c r="AQ109" s="146">
        <f t="shared" si="94"/>
        <v>2025</v>
      </c>
      <c r="AR109" s="146">
        <f t="shared" si="94"/>
        <v>2175</v>
      </c>
      <c r="AS109" s="146">
        <f t="shared" si="94"/>
        <v>2175</v>
      </c>
      <c r="AT109" s="146">
        <f t="shared" si="94"/>
        <v>2175</v>
      </c>
      <c r="AU109" s="146">
        <f t="shared" si="94"/>
        <v>2175</v>
      </c>
      <c r="AV109" s="146">
        <f t="shared" si="94"/>
        <v>2175</v>
      </c>
      <c r="AW109" s="146">
        <f t="shared" si="94"/>
        <v>2175</v>
      </c>
      <c r="AX109" s="146">
        <f t="shared" si="94"/>
        <v>2175</v>
      </c>
      <c r="AY109" s="146">
        <f t="shared" si="94"/>
        <v>2325</v>
      </c>
      <c r="AZ109" s="146">
        <f t="shared" si="94"/>
        <v>2325</v>
      </c>
      <c r="BA109" s="146">
        <f t="shared" si="94"/>
        <v>2325</v>
      </c>
      <c r="BB109" s="146">
        <f t="shared" si="94"/>
        <v>2325</v>
      </c>
      <c r="BC109" s="146">
        <f t="shared" si="94"/>
        <v>2325</v>
      </c>
      <c r="BD109" s="146">
        <f t="shared" si="94"/>
        <v>2325</v>
      </c>
      <c r="BE109" s="146">
        <f t="shared" si="94"/>
        <v>2325</v>
      </c>
      <c r="BF109" s="146">
        <f t="shared" si="94"/>
        <v>2475</v>
      </c>
      <c r="BG109" s="146">
        <f t="shared" si="94"/>
        <v>2475</v>
      </c>
      <c r="BH109" s="146">
        <f t="shared" si="94"/>
        <v>2475</v>
      </c>
      <c r="BI109" s="146">
        <f t="shared" si="94"/>
        <v>2475</v>
      </c>
      <c r="BJ109" s="146">
        <f t="shared" si="94"/>
        <v>2625</v>
      </c>
      <c r="BK109" s="146">
        <f t="shared" si="94"/>
        <v>2625</v>
      </c>
      <c r="BL109" s="146">
        <f t="shared" si="94"/>
        <v>2625</v>
      </c>
      <c r="BM109" s="146">
        <f t="shared" si="94"/>
        <v>2625</v>
      </c>
      <c r="BN109" s="146">
        <f t="shared" si="94"/>
        <v>2625</v>
      </c>
      <c r="BO109" s="146">
        <f t="shared" si="94"/>
        <v>2625</v>
      </c>
      <c r="BP109" s="146">
        <f t="shared" si="94"/>
        <v>2625</v>
      </c>
      <c r="BQ109" s="146">
        <f t="shared" si="94"/>
        <v>2625</v>
      </c>
      <c r="BR109" s="146">
        <f t="shared" si="94"/>
        <v>2625</v>
      </c>
      <c r="BS109" s="146">
        <f t="shared" si="94"/>
        <v>2625</v>
      </c>
      <c r="BT109" s="146">
        <f t="shared" si="94"/>
        <v>2625</v>
      </c>
      <c r="BU109" s="146">
        <f t="shared" si="94"/>
        <v>2625</v>
      </c>
      <c r="BV109" s="146">
        <f t="shared" si="94"/>
        <v>2625</v>
      </c>
      <c r="BW109" s="146">
        <f t="shared" si="94"/>
        <v>2625</v>
      </c>
      <c r="BX109" s="146">
        <f t="shared" si="94"/>
        <v>2625</v>
      </c>
      <c r="BY109" s="146">
        <f t="shared" si="94"/>
        <v>2625</v>
      </c>
      <c r="BZ109" s="146">
        <f t="shared" si="94"/>
        <v>2625</v>
      </c>
      <c r="CA109" s="146">
        <f t="shared" si="94"/>
        <v>2625</v>
      </c>
      <c r="CB109" s="146">
        <f t="shared" si="94"/>
        <v>2625</v>
      </c>
      <c r="CC109" s="146">
        <f t="shared" si="94"/>
        <v>2625</v>
      </c>
      <c r="CD109" s="146">
        <f t="shared" si="94"/>
        <v>2625</v>
      </c>
      <c r="CE109" s="146">
        <f t="shared" si="94"/>
        <v>2625</v>
      </c>
      <c r="CF109" s="146">
        <f t="shared" si="94"/>
        <v>2625</v>
      </c>
      <c r="CG109" s="146">
        <f t="shared" si="94"/>
        <v>2625</v>
      </c>
      <c r="CH109" s="146">
        <f t="shared" si="94"/>
        <v>2625</v>
      </c>
    </row>
    <row r="110" ht="15.75" customHeight="1">
      <c r="A110" s="1" t="s">
        <v>699</v>
      </c>
      <c r="B110" s="467"/>
      <c r="M110" s="146"/>
      <c r="N110" s="146"/>
      <c r="O110" s="146"/>
      <c r="P110" s="146"/>
      <c r="Q110" s="146"/>
      <c r="R110" s="146"/>
      <c r="S110" s="146">
        <f t="shared" ref="S110:CH110" si="95">S100*S103</f>
        <v>470.88162</v>
      </c>
      <c r="T110" s="146">
        <f t="shared" si="95"/>
        <v>300.7187</v>
      </c>
      <c r="U110" s="146">
        <f t="shared" si="95"/>
        <v>383.266</v>
      </c>
      <c r="V110" s="146">
        <f t="shared" si="95"/>
        <v>451.94268</v>
      </c>
      <c r="W110" s="146">
        <f t="shared" si="95"/>
        <v>485.58804</v>
      </c>
      <c r="X110" s="146">
        <f t="shared" si="95"/>
        <v>506.34836</v>
      </c>
      <c r="Y110" s="146">
        <f t="shared" si="95"/>
        <v>406.52752</v>
      </c>
      <c r="Z110" s="146">
        <f t="shared" si="95"/>
        <v>540.981511</v>
      </c>
      <c r="AA110" s="146">
        <f t="shared" si="95"/>
        <v>673.3190927</v>
      </c>
      <c r="AB110" s="146">
        <f t="shared" si="95"/>
        <v>816.4537611</v>
      </c>
      <c r="AC110" s="146">
        <f t="shared" si="95"/>
        <v>948.184624</v>
      </c>
      <c r="AD110" s="146">
        <f t="shared" si="95"/>
        <v>1070.525185</v>
      </c>
      <c r="AE110" s="146">
        <f t="shared" si="95"/>
        <v>1188.084608</v>
      </c>
      <c r="AF110" s="146">
        <f t="shared" si="95"/>
        <v>1304.000382</v>
      </c>
      <c r="AG110" s="146">
        <f t="shared" si="95"/>
        <v>1416.855784</v>
      </c>
      <c r="AH110" s="146">
        <f t="shared" si="95"/>
        <v>1533.994207</v>
      </c>
      <c r="AI110" s="146">
        <f t="shared" si="95"/>
        <v>1645.508204</v>
      </c>
      <c r="AJ110" s="146">
        <f t="shared" si="95"/>
        <v>1745.709596</v>
      </c>
      <c r="AK110" s="146">
        <f t="shared" si="95"/>
        <v>1833.209869</v>
      </c>
      <c r="AL110" s="146">
        <f t="shared" si="95"/>
        <v>1920.596665</v>
      </c>
      <c r="AM110" s="146">
        <f t="shared" si="95"/>
        <v>1881.691327</v>
      </c>
      <c r="AN110" s="146">
        <f t="shared" si="95"/>
        <v>1913.235902</v>
      </c>
      <c r="AO110" s="146">
        <f t="shared" si="95"/>
        <v>1925.84611</v>
      </c>
      <c r="AP110" s="146">
        <f t="shared" si="95"/>
        <v>1944.605109</v>
      </c>
      <c r="AQ110" s="146">
        <f t="shared" si="95"/>
        <v>1967.059867</v>
      </c>
      <c r="AR110" s="146">
        <f t="shared" si="95"/>
        <v>1991.37959</v>
      </c>
      <c r="AS110" s="146">
        <f t="shared" si="95"/>
        <v>2016.099582</v>
      </c>
      <c r="AT110" s="146">
        <f t="shared" si="95"/>
        <v>2040.347813</v>
      </c>
      <c r="AU110" s="146">
        <f t="shared" si="95"/>
        <v>2064.163305</v>
      </c>
      <c r="AV110" s="146">
        <f t="shared" si="95"/>
        <v>2087.576962</v>
      </c>
      <c r="AW110" s="146">
        <f t="shared" si="95"/>
        <v>2110.616025</v>
      </c>
      <c r="AX110" s="146">
        <f t="shared" si="95"/>
        <v>2133.305665</v>
      </c>
      <c r="AY110" s="146">
        <f t="shared" si="95"/>
        <v>2061.348945</v>
      </c>
      <c r="AZ110" s="146">
        <f t="shared" si="95"/>
        <v>2100.822207</v>
      </c>
      <c r="BA110" s="146">
        <f t="shared" si="95"/>
        <v>2139.539792</v>
      </c>
      <c r="BB110" s="146">
        <f t="shared" si="95"/>
        <v>2177.324702</v>
      </c>
      <c r="BC110" s="146">
        <f t="shared" si="95"/>
        <v>2214.301818</v>
      </c>
      <c r="BD110" s="146">
        <f t="shared" si="95"/>
        <v>2250.538384</v>
      </c>
      <c r="BE110" s="146">
        <f t="shared" si="95"/>
        <v>2286.080543</v>
      </c>
      <c r="BF110" s="146">
        <f t="shared" si="95"/>
        <v>2320.96616</v>
      </c>
      <c r="BG110" s="146">
        <f t="shared" si="95"/>
        <v>2355.229346</v>
      </c>
      <c r="BH110" s="146">
        <f t="shared" si="95"/>
        <v>2388.902078</v>
      </c>
      <c r="BI110" s="146">
        <f t="shared" si="95"/>
        <v>2422.0148</v>
      </c>
      <c r="BJ110" s="146">
        <f t="shared" si="95"/>
        <v>2454.596667</v>
      </c>
      <c r="BK110" s="146">
        <f t="shared" si="95"/>
        <v>2077.2942</v>
      </c>
      <c r="BL110" s="146">
        <f t="shared" si="95"/>
        <v>2111.970419</v>
      </c>
      <c r="BM110" s="146">
        <f t="shared" si="95"/>
        <v>2144.954288</v>
      </c>
      <c r="BN110" s="146">
        <f t="shared" si="95"/>
        <v>2175.348058</v>
      </c>
      <c r="BO110" s="146">
        <f t="shared" si="95"/>
        <v>2205.267103</v>
      </c>
      <c r="BP110" s="146">
        <f t="shared" si="95"/>
        <v>2234.777714</v>
      </c>
      <c r="BQ110" s="146">
        <f t="shared" si="95"/>
        <v>2263.917887</v>
      </c>
      <c r="BR110" s="146">
        <f t="shared" si="95"/>
        <v>2292.715235</v>
      </c>
      <c r="BS110" s="146">
        <f t="shared" si="95"/>
        <v>2321.193279</v>
      </c>
      <c r="BT110" s="146">
        <f t="shared" si="95"/>
        <v>2349.373675</v>
      </c>
      <c r="BU110" s="146">
        <f t="shared" si="95"/>
        <v>2377.277005</v>
      </c>
      <c r="BV110" s="146">
        <f t="shared" si="95"/>
        <v>2404.923078</v>
      </c>
      <c r="BW110" s="146">
        <f t="shared" si="95"/>
        <v>2280.310364</v>
      </c>
      <c r="BX110" s="146">
        <f t="shared" si="95"/>
        <v>2299.006851</v>
      </c>
      <c r="BY110" s="146">
        <f t="shared" si="95"/>
        <v>2314.606795</v>
      </c>
      <c r="BZ110" s="146">
        <f t="shared" si="95"/>
        <v>2330.256405</v>
      </c>
      <c r="CA110" s="146">
        <f t="shared" si="95"/>
        <v>2346.512526</v>
      </c>
      <c r="CB110" s="146">
        <f t="shared" si="95"/>
        <v>2362.90847</v>
      </c>
      <c r="CC110" s="146">
        <f t="shared" si="95"/>
        <v>2379.288307</v>
      </c>
      <c r="CD110" s="146">
        <f t="shared" si="95"/>
        <v>2395.604567</v>
      </c>
      <c r="CE110" s="146">
        <f t="shared" si="95"/>
        <v>2411.847456</v>
      </c>
      <c r="CF110" s="146">
        <f t="shared" si="95"/>
        <v>2428.020089</v>
      </c>
      <c r="CG110" s="146">
        <f t="shared" si="95"/>
        <v>2444.129837</v>
      </c>
      <c r="CH110" s="146">
        <f t="shared" si="95"/>
        <v>2460.185306</v>
      </c>
    </row>
    <row r="111" ht="15.75" customHeight="1">
      <c r="A111" s="1" t="s">
        <v>700</v>
      </c>
      <c r="B111" s="446" t="s">
        <v>701</v>
      </c>
      <c r="M111" s="146">
        <f t="shared" ref="M111:R111" si="96">M109-M100</f>
        <v>659.636</v>
      </c>
      <c r="N111" s="146">
        <f t="shared" si="96"/>
        <v>732.444</v>
      </c>
      <c r="O111" s="146">
        <f t="shared" si="96"/>
        <v>664.424</v>
      </c>
      <c r="P111" s="146">
        <f t="shared" si="96"/>
        <v>664.944</v>
      </c>
      <c r="Q111" s="146">
        <f t="shared" si="96"/>
        <v>645.618</v>
      </c>
      <c r="R111" s="146">
        <f t="shared" si="96"/>
        <v>551.268</v>
      </c>
      <c r="S111" s="146">
        <f t="shared" ref="S111:CH111" si="97">S109-S110</f>
        <v>581.21838</v>
      </c>
      <c r="T111" s="146">
        <f t="shared" si="97"/>
        <v>751.3813</v>
      </c>
      <c r="U111" s="146">
        <f t="shared" si="97"/>
        <v>819.134</v>
      </c>
      <c r="V111" s="146">
        <f t="shared" si="97"/>
        <v>825.60732</v>
      </c>
      <c r="W111" s="146">
        <f t="shared" si="97"/>
        <v>874.41196</v>
      </c>
      <c r="X111" s="146">
        <f t="shared" si="97"/>
        <v>853.65164</v>
      </c>
      <c r="Y111" s="146">
        <f t="shared" si="97"/>
        <v>953.47248</v>
      </c>
      <c r="Z111" s="146">
        <f t="shared" si="97"/>
        <v>819.018489</v>
      </c>
      <c r="AA111" s="146">
        <f t="shared" si="97"/>
        <v>601.6809073</v>
      </c>
      <c r="AB111" s="146">
        <f t="shared" si="97"/>
        <v>458.5462389</v>
      </c>
      <c r="AC111" s="146">
        <f t="shared" si="97"/>
        <v>326.815376</v>
      </c>
      <c r="AD111" s="146">
        <f t="shared" si="97"/>
        <v>204.4748146</v>
      </c>
      <c r="AE111" s="146">
        <f t="shared" si="97"/>
        <v>86.91539249</v>
      </c>
      <c r="AF111" s="146">
        <f t="shared" si="97"/>
        <v>-29.00038163</v>
      </c>
      <c r="AG111" s="146">
        <f t="shared" si="97"/>
        <v>8.144216429</v>
      </c>
      <c r="AH111" s="146">
        <f t="shared" si="97"/>
        <v>41.00579341</v>
      </c>
      <c r="AI111" s="146">
        <f t="shared" si="97"/>
        <v>79.49179635</v>
      </c>
      <c r="AJ111" s="146">
        <f t="shared" si="97"/>
        <v>-20.70959599</v>
      </c>
      <c r="AK111" s="146">
        <f t="shared" si="97"/>
        <v>41.79013068</v>
      </c>
      <c r="AL111" s="146">
        <f t="shared" si="97"/>
        <v>104.4033352</v>
      </c>
      <c r="AM111" s="146">
        <f t="shared" si="97"/>
        <v>143.3086728</v>
      </c>
      <c r="AN111" s="146">
        <f t="shared" si="97"/>
        <v>111.764098</v>
      </c>
      <c r="AO111" s="146">
        <f t="shared" si="97"/>
        <v>99.15388986</v>
      </c>
      <c r="AP111" s="146">
        <f t="shared" si="97"/>
        <v>80.39489091</v>
      </c>
      <c r="AQ111" s="146">
        <f t="shared" si="97"/>
        <v>57.94013264</v>
      </c>
      <c r="AR111" s="146">
        <f t="shared" si="97"/>
        <v>183.6204099</v>
      </c>
      <c r="AS111" s="146">
        <f t="shared" si="97"/>
        <v>158.9004179</v>
      </c>
      <c r="AT111" s="146">
        <f t="shared" si="97"/>
        <v>134.6521867</v>
      </c>
      <c r="AU111" s="146">
        <f t="shared" si="97"/>
        <v>110.8366954</v>
      </c>
      <c r="AV111" s="146">
        <f t="shared" si="97"/>
        <v>87.42303789</v>
      </c>
      <c r="AW111" s="146">
        <f t="shared" si="97"/>
        <v>64.38397476</v>
      </c>
      <c r="AX111" s="146">
        <f t="shared" si="97"/>
        <v>41.69433501</v>
      </c>
      <c r="AY111" s="146">
        <f t="shared" si="97"/>
        <v>263.6510546</v>
      </c>
      <c r="AZ111" s="146">
        <f t="shared" si="97"/>
        <v>224.1777934</v>
      </c>
      <c r="BA111" s="146">
        <f t="shared" si="97"/>
        <v>185.4602084</v>
      </c>
      <c r="BB111" s="146">
        <f t="shared" si="97"/>
        <v>147.6752976</v>
      </c>
      <c r="BC111" s="146">
        <f t="shared" si="97"/>
        <v>110.6981821</v>
      </c>
      <c r="BD111" s="146">
        <f t="shared" si="97"/>
        <v>74.46161614</v>
      </c>
      <c r="BE111" s="146">
        <f t="shared" si="97"/>
        <v>38.91945682</v>
      </c>
      <c r="BF111" s="146">
        <f t="shared" si="97"/>
        <v>154.0338398</v>
      </c>
      <c r="BG111" s="146">
        <f t="shared" si="97"/>
        <v>119.770654</v>
      </c>
      <c r="BH111" s="146">
        <f t="shared" si="97"/>
        <v>86.09792205</v>
      </c>
      <c r="BI111" s="146">
        <f t="shared" si="97"/>
        <v>52.98519973</v>
      </c>
      <c r="BJ111" s="146">
        <f t="shared" si="97"/>
        <v>170.403333</v>
      </c>
      <c r="BK111" s="146">
        <f t="shared" si="97"/>
        <v>547.7058004</v>
      </c>
      <c r="BL111" s="146">
        <f t="shared" si="97"/>
        <v>513.0295812</v>
      </c>
      <c r="BM111" s="146">
        <f t="shared" si="97"/>
        <v>480.0457123</v>
      </c>
      <c r="BN111" s="146">
        <f t="shared" si="97"/>
        <v>449.6519423</v>
      </c>
      <c r="BO111" s="146">
        <f t="shared" si="97"/>
        <v>419.732897</v>
      </c>
      <c r="BP111" s="146">
        <f t="shared" si="97"/>
        <v>390.2222857</v>
      </c>
      <c r="BQ111" s="146">
        <f t="shared" si="97"/>
        <v>361.0821131</v>
      </c>
      <c r="BR111" s="146">
        <f t="shared" si="97"/>
        <v>332.2847655</v>
      </c>
      <c r="BS111" s="146">
        <f t="shared" si="97"/>
        <v>303.8067206</v>
      </c>
      <c r="BT111" s="146">
        <f t="shared" si="97"/>
        <v>275.6263246</v>
      </c>
      <c r="BU111" s="146">
        <f t="shared" si="97"/>
        <v>247.7229948</v>
      </c>
      <c r="BV111" s="146">
        <f t="shared" si="97"/>
        <v>220.0769216</v>
      </c>
      <c r="BW111" s="146">
        <f t="shared" si="97"/>
        <v>344.6896359</v>
      </c>
      <c r="BX111" s="146">
        <f t="shared" si="97"/>
        <v>325.9931487</v>
      </c>
      <c r="BY111" s="146">
        <f t="shared" si="97"/>
        <v>310.3932052</v>
      </c>
      <c r="BZ111" s="146">
        <f t="shared" si="97"/>
        <v>294.7435954</v>
      </c>
      <c r="CA111" s="146">
        <f t="shared" si="97"/>
        <v>278.4874745</v>
      </c>
      <c r="CB111" s="146">
        <f t="shared" si="97"/>
        <v>262.0915299</v>
      </c>
      <c r="CC111" s="146">
        <f t="shared" si="97"/>
        <v>245.7116935</v>
      </c>
      <c r="CD111" s="146">
        <f t="shared" si="97"/>
        <v>229.3954334</v>
      </c>
      <c r="CE111" s="146">
        <f t="shared" si="97"/>
        <v>213.1525444</v>
      </c>
      <c r="CF111" s="146">
        <f t="shared" si="97"/>
        <v>196.9799107</v>
      </c>
      <c r="CG111" s="146">
        <f t="shared" si="97"/>
        <v>180.8701626</v>
      </c>
      <c r="CH111" s="146">
        <f t="shared" si="97"/>
        <v>164.8146935</v>
      </c>
    </row>
    <row r="112" ht="15.75" customHeight="1">
      <c r="A112" s="477" t="s">
        <v>701</v>
      </c>
      <c r="B112" s="478">
        <v>60.0</v>
      </c>
      <c r="C112" s="477"/>
      <c r="D112" s="477"/>
      <c r="E112" s="477"/>
      <c r="F112" s="477"/>
      <c r="G112" s="477"/>
      <c r="H112" s="477"/>
      <c r="I112" s="477"/>
      <c r="J112" s="477"/>
      <c r="K112" s="477"/>
      <c r="L112" s="477"/>
      <c r="M112" s="479">
        <v>0.0</v>
      </c>
      <c r="N112" s="479">
        <v>0.0</v>
      </c>
      <c r="O112" s="479">
        <v>0.0</v>
      </c>
      <c r="P112" s="479">
        <v>0.0</v>
      </c>
      <c r="Q112" s="479">
        <v>0.0</v>
      </c>
      <c r="R112" s="479">
        <v>0.0</v>
      </c>
      <c r="S112" s="477">
        <f>IF(S111&gt;$B112,0,ROUNDUP(ABS(S111/S108),0))</f>
        <v>0</v>
      </c>
      <c r="T112" s="477">
        <v>1.0</v>
      </c>
      <c r="U112" s="477">
        <v>0.5</v>
      </c>
      <c r="V112" s="477">
        <f t="shared" ref="V112:CH112" si="98">IF(V111&gt;$B112,0,ROUNDUP(ABS(V111/V108),0))</f>
        <v>0</v>
      </c>
      <c r="W112" s="477">
        <f t="shared" si="98"/>
        <v>0</v>
      </c>
      <c r="X112" s="477">
        <f t="shared" si="98"/>
        <v>0</v>
      </c>
      <c r="Y112" s="477">
        <f t="shared" si="98"/>
        <v>0</v>
      </c>
      <c r="Z112" s="477">
        <f t="shared" si="98"/>
        <v>0</v>
      </c>
      <c r="AA112" s="477">
        <f t="shared" si="98"/>
        <v>0</v>
      </c>
      <c r="AB112" s="477">
        <f t="shared" si="98"/>
        <v>0</v>
      </c>
      <c r="AC112" s="477">
        <f t="shared" si="98"/>
        <v>0</v>
      </c>
      <c r="AD112" s="477">
        <f t="shared" si="98"/>
        <v>0</v>
      </c>
      <c r="AE112" s="477">
        <f t="shared" si="98"/>
        <v>0</v>
      </c>
      <c r="AF112" s="477">
        <f t="shared" si="98"/>
        <v>1</v>
      </c>
      <c r="AG112" s="477">
        <f t="shared" si="98"/>
        <v>1</v>
      </c>
      <c r="AH112" s="477">
        <f t="shared" si="98"/>
        <v>1</v>
      </c>
      <c r="AI112" s="477">
        <f t="shared" si="98"/>
        <v>0</v>
      </c>
      <c r="AJ112" s="477">
        <f t="shared" si="98"/>
        <v>1</v>
      </c>
      <c r="AK112" s="477">
        <f t="shared" si="98"/>
        <v>1</v>
      </c>
      <c r="AL112" s="477">
        <f t="shared" si="98"/>
        <v>0</v>
      </c>
      <c r="AM112" s="477">
        <f t="shared" si="98"/>
        <v>0</v>
      </c>
      <c r="AN112" s="477">
        <f t="shared" si="98"/>
        <v>0</v>
      </c>
      <c r="AO112" s="477">
        <f t="shared" si="98"/>
        <v>0</v>
      </c>
      <c r="AP112" s="477">
        <f t="shared" si="98"/>
        <v>0</v>
      </c>
      <c r="AQ112" s="477">
        <f t="shared" si="98"/>
        <v>1</v>
      </c>
      <c r="AR112" s="477">
        <f t="shared" si="98"/>
        <v>0</v>
      </c>
      <c r="AS112" s="477">
        <f t="shared" si="98"/>
        <v>0</v>
      </c>
      <c r="AT112" s="477">
        <f t="shared" si="98"/>
        <v>0</v>
      </c>
      <c r="AU112" s="477">
        <f t="shared" si="98"/>
        <v>0</v>
      </c>
      <c r="AV112" s="477">
        <f t="shared" si="98"/>
        <v>0</v>
      </c>
      <c r="AW112" s="477">
        <f t="shared" si="98"/>
        <v>0</v>
      </c>
      <c r="AX112" s="477">
        <f t="shared" si="98"/>
        <v>1</v>
      </c>
      <c r="AY112" s="477">
        <f t="shared" si="98"/>
        <v>0</v>
      </c>
      <c r="AZ112" s="477">
        <f t="shared" si="98"/>
        <v>0</v>
      </c>
      <c r="BA112" s="477">
        <f t="shared" si="98"/>
        <v>0</v>
      </c>
      <c r="BB112" s="477">
        <f t="shared" si="98"/>
        <v>0</v>
      </c>
      <c r="BC112" s="477">
        <f t="shared" si="98"/>
        <v>0</v>
      </c>
      <c r="BD112" s="477">
        <f t="shared" si="98"/>
        <v>0</v>
      </c>
      <c r="BE112" s="477">
        <f t="shared" si="98"/>
        <v>1</v>
      </c>
      <c r="BF112" s="477">
        <f t="shared" si="98"/>
        <v>0</v>
      </c>
      <c r="BG112" s="477">
        <f t="shared" si="98"/>
        <v>0</v>
      </c>
      <c r="BH112" s="477">
        <f t="shared" si="98"/>
        <v>0</v>
      </c>
      <c r="BI112" s="477">
        <f t="shared" si="98"/>
        <v>1</v>
      </c>
      <c r="BJ112" s="477">
        <f t="shared" si="98"/>
        <v>0</v>
      </c>
      <c r="BK112" s="477">
        <f t="shared" si="98"/>
        <v>0</v>
      </c>
      <c r="BL112" s="477">
        <f t="shared" si="98"/>
        <v>0</v>
      </c>
      <c r="BM112" s="477">
        <f t="shared" si="98"/>
        <v>0</v>
      </c>
      <c r="BN112" s="477">
        <f t="shared" si="98"/>
        <v>0</v>
      </c>
      <c r="BO112" s="477">
        <f t="shared" si="98"/>
        <v>0</v>
      </c>
      <c r="BP112" s="477">
        <f t="shared" si="98"/>
        <v>0</v>
      </c>
      <c r="BQ112" s="477">
        <f t="shared" si="98"/>
        <v>0</v>
      </c>
      <c r="BR112" s="477">
        <f t="shared" si="98"/>
        <v>0</v>
      </c>
      <c r="BS112" s="477">
        <f t="shared" si="98"/>
        <v>0</v>
      </c>
      <c r="BT112" s="477">
        <f t="shared" si="98"/>
        <v>0</v>
      </c>
      <c r="BU112" s="477">
        <f t="shared" si="98"/>
        <v>0</v>
      </c>
      <c r="BV112" s="477">
        <f t="shared" si="98"/>
        <v>0</v>
      </c>
      <c r="BW112" s="477">
        <f t="shared" si="98"/>
        <v>0</v>
      </c>
      <c r="BX112" s="477">
        <f t="shared" si="98"/>
        <v>0</v>
      </c>
      <c r="BY112" s="477">
        <f t="shared" si="98"/>
        <v>0</v>
      </c>
      <c r="BZ112" s="477">
        <f t="shared" si="98"/>
        <v>0</v>
      </c>
      <c r="CA112" s="477">
        <f t="shared" si="98"/>
        <v>0</v>
      </c>
      <c r="CB112" s="477">
        <f t="shared" si="98"/>
        <v>0</v>
      </c>
      <c r="CC112" s="477">
        <f t="shared" si="98"/>
        <v>0</v>
      </c>
      <c r="CD112" s="477">
        <f t="shared" si="98"/>
        <v>0</v>
      </c>
      <c r="CE112" s="477">
        <f t="shared" si="98"/>
        <v>0</v>
      </c>
      <c r="CF112" s="477">
        <f t="shared" si="98"/>
        <v>0</v>
      </c>
      <c r="CG112" s="477">
        <f t="shared" si="98"/>
        <v>0</v>
      </c>
      <c r="CH112" s="477">
        <f t="shared" si="98"/>
        <v>0</v>
      </c>
    </row>
    <row r="113" ht="15.75" customHeight="1">
      <c r="A113" s="1" t="s">
        <v>702</v>
      </c>
      <c r="B113" s="1" t="s">
        <v>703</v>
      </c>
      <c r="M113" s="144">
        <v>0.0</v>
      </c>
      <c r="N113" s="144">
        <v>0.0</v>
      </c>
      <c r="O113" s="144">
        <v>0.0</v>
      </c>
      <c r="P113" s="144">
        <v>0.0</v>
      </c>
      <c r="Q113" s="144">
        <v>0.0</v>
      </c>
      <c r="R113" s="144">
        <v>0.0</v>
      </c>
      <c r="S113" s="146"/>
      <c r="T113" s="146"/>
      <c r="U113" s="146"/>
      <c r="V113" s="244">
        <v>0.0</v>
      </c>
      <c r="W113" s="146">
        <f t="shared" ref="W113:CH113" si="99">W112</f>
        <v>0</v>
      </c>
      <c r="X113" s="146">
        <f t="shared" si="99"/>
        <v>0</v>
      </c>
      <c r="Y113" s="146">
        <f t="shared" si="99"/>
        <v>0</v>
      </c>
      <c r="Z113" s="146">
        <f t="shared" si="99"/>
        <v>0</v>
      </c>
      <c r="AA113" s="146">
        <f t="shared" si="99"/>
        <v>0</v>
      </c>
      <c r="AB113" s="146">
        <f t="shared" si="99"/>
        <v>0</v>
      </c>
      <c r="AC113" s="146">
        <f t="shared" si="99"/>
        <v>0</v>
      </c>
      <c r="AD113" s="146">
        <f t="shared" si="99"/>
        <v>0</v>
      </c>
      <c r="AE113" s="146">
        <f t="shared" si="99"/>
        <v>0</v>
      </c>
      <c r="AF113" s="146">
        <f t="shared" si="99"/>
        <v>1</v>
      </c>
      <c r="AG113" s="146">
        <f t="shared" si="99"/>
        <v>1</v>
      </c>
      <c r="AH113" s="146">
        <f t="shared" si="99"/>
        <v>1</v>
      </c>
      <c r="AI113" s="146">
        <f t="shared" si="99"/>
        <v>0</v>
      </c>
      <c r="AJ113" s="146">
        <f t="shared" si="99"/>
        <v>1</v>
      </c>
      <c r="AK113" s="146">
        <f t="shared" si="99"/>
        <v>1</v>
      </c>
      <c r="AL113" s="146">
        <f t="shared" si="99"/>
        <v>0</v>
      </c>
      <c r="AM113" s="146">
        <f t="shared" si="99"/>
        <v>0</v>
      </c>
      <c r="AN113" s="146">
        <f t="shared" si="99"/>
        <v>0</v>
      </c>
      <c r="AO113" s="146">
        <f t="shared" si="99"/>
        <v>0</v>
      </c>
      <c r="AP113" s="146">
        <f t="shared" si="99"/>
        <v>0</v>
      </c>
      <c r="AQ113" s="146">
        <f t="shared" si="99"/>
        <v>1</v>
      </c>
      <c r="AR113" s="146">
        <f t="shared" si="99"/>
        <v>0</v>
      </c>
      <c r="AS113" s="146">
        <f t="shared" si="99"/>
        <v>0</v>
      </c>
      <c r="AT113" s="146">
        <f t="shared" si="99"/>
        <v>0</v>
      </c>
      <c r="AU113" s="146">
        <f t="shared" si="99"/>
        <v>0</v>
      </c>
      <c r="AV113" s="146">
        <f t="shared" si="99"/>
        <v>0</v>
      </c>
      <c r="AW113" s="146">
        <f t="shared" si="99"/>
        <v>0</v>
      </c>
      <c r="AX113" s="146">
        <f t="shared" si="99"/>
        <v>1</v>
      </c>
      <c r="AY113" s="146">
        <f t="shared" si="99"/>
        <v>0</v>
      </c>
      <c r="AZ113" s="146">
        <f t="shared" si="99"/>
        <v>0</v>
      </c>
      <c r="BA113" s="146">
        <f t="shared" si="99"/>
        <v>0</v>
      </c>
      <c r="BB113" s="146">
        <f t="shared" si="99"/>
        <v>0</v>
      </c>
      <c r="BC113" s="146">
        <f t="shared" si="99"/>
        <v>0</v>
      </c>
      <c r="BD113" s="146">
        <f t="shared" si="99"/>
        <v>0</v>
      </c>
      <c r="BE113" s="146">
        <f t="shared" si="99"/>
        <v>1</v>
      </c>
      <c r="BF113" s="146">
        <f t="shared" si="99"/>
        <v>0</v>
      </c>
      <c r="BG113" s="146">
        <f t="shared" si="99"/>
        <v>0</v>
      </c>
      <c r="BH113" s="146">
        <f t="shared" si="99"/>
        <v>0</v>
      </c>
      <c r="BI113" s="146">
        <f t="shared" si="99"/>
        <v>1</v>
      </c>
      <c r="BJ113" s="146">
        <f t="shared" si="99"/>
        <v>0</v>
      </c>
      <c r="BK113" s="146">
        <f t="shared" si="99"/>
        <v>0</v>
      </c>
      <c r="BL113" s="146">
        <f t="shared" si="99"/>
        <v>0</v>
      </c>
      <c r="BM113" s="146">
        <f t="shared" si="99"/>
        <v>0</v>
      </c>
      <c r="BN113" s="146">
        <f t="shared" si="99"/>
        <v>0</v>
      </c>
      <c r="BO113" s="146">
        <f t="shared" si="99"/>
        <v>0</v>
      </c>
      <c r="BP113" s="146">
        <f t="shared" si="99"/>
        <v>0</v>
      </c>
      <c r="BQ113" s="146">
        <f t="shared" si="99"/>
        <v>0</v>
      </c>
      <c r="BR113" s="146">
        <f t="shared" si="99"/>
        <v>0</v>
      </c>
      <c r="BS113" s="146">
        <f t="shared" si="99"/>
        <v>0</v>
      </c>
      <c r="BT113" s="146">
        <f t="shared" si="99"/>
        <v>0</v>
      </c>
      <c r="BU113" s="146">
        <f t="shared" si="99"/>
        <v>0</v>
      </c>
      <c r="BV113" s="146">
        <f t="shared" si="99"/>
        <v>0</v>
      </c>
      <c r="BW113" s="146">
        <f t="shared" si="99"/>
        <v>0</v>
      </c>
      <c r="BX113" s="146">
        <f t="shared" si="99"/>
        <v>0</v>
      </c>
      <c r="BY113" s="146">
        <f t="shared" si="99"/>
        <v>0</v>
      </c>
      <c r="BZ113" s="146">
        <f t="shared" si="99"/>
        <v>0</v>
      </c>
      <c r="CA113" s="146">
        <f t="shared" si="99"/>
        <v>0</v>
      </c>
      <c r="CB113" s="146">
        <f t="shared" si="99"/>
        <v>0</v>
      </c>
      <c r="CC113" s="146">
        <f t="shared" si="99"/>
        <v>0</v>
      </c>
      <c r="CD113" s="146">
        <f t="shared" si="99"/>
        <v>0</v>
      </c>
      <c r="CE113" s="146">
        <f t="shared" si="99"/>
        <v>0</v>
      </c>
      <c r="CF113" s="146">
        <f t="shared" si="99"/>
        <v>0</v>
      </c>
      <c r="CG113" s="146">
        <f t="shared" si="99"/>
        <v>0</v>
      </c>
      <c r="CH113" s="146">
        <f t="shared" si="99"/>
        <v>0</v>
      </c>
    </row>
    <row r="114" ht="15.75" customHeight="1">
      <c r="M114" s="146"/>
      <c r="N114" s="146"/>
      <c r="O114" s="146"/>
      <c r="P114" s="146"/>
      <c r="Q114" s="146"/>
      <c r="R114" s="146"/>
      <c r="S114" s="146"/>
      <c r="T114" s="146"/>
      <c r="U114" s="146"/>
      <c r="V114" s="146"/>
      <c r="W114" s="146"/>
      <c r="X114" s="146"/>
      <c r="Y114" s="146"/>
      <c r="Z114" s="146"/>
      <c r="AA114" s="146"/>
      <c r="AB114" s="146"/>
      <c r="AC114" s="146"/>
      <c r="AD114" s="146"/>
      <c r="AE114" s="146"/>
      <c r="AF114" s="146"/>
      <c r="AG114" s="146"/>
      <c r="AH114" s="146"/>
      <c r="AI114" s="146"/>
      <c r="AJ114" s="146"/>
      <c r="AK114" s="146"/>
      <c r="AL114" s="146"/>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146"/>
      <c r="BJ114" s="146"/>
      <c r="BK114" s="146"/>
      <c r="BL114" s="146"/>
      <c r="BM114" s="146"/>
      <c r="BN114" s="146"/>
      <c r="BO114" s="146"/>
      <c r="BP114" s="146"/>
      <c r="BQ114" s="146"/>
      <c r="BR114" s="146"/>
      <c r="BS114" s="146"/>
      <c r="BT114" s="146"/>
      <c r="BU114" s="146"/>
      <c r="BV114" s="146"/>
      <c r="BW114" s="146"/>
      <c r="BX114" s="146"/>
      <c r="BY114" s="146"/>
      <c r="BZ114" s="146"/>
      <c r="CA114" s="146"/>
      <c r="CB114" s="146"/>
      <c r="CC114" s="146"/>
      <c r="CD114" s="146"/>
      <c r="CE114" s="146"/>
      <c r="CF114" s="146"/>
      <c r="CG114" s="146"/>
      <c r="CH114" s="146"/>
    </row>
    <row r="115" ht="15.75" customHeight="1">
      <c r="A115" s="1" t="s">
        <v>705</v>
      </c>
      <c r="M115" s="173">
        <v>2.0</v>
      </c>
      <c r="N115" s="146">
        <f>M115+M119</f>
        <v>2</v>
      </c>
      <c r="O115" s="242">
        <v>1.0</v>
      </c>
      <c r="P115" s="242">
        <v>1.0</v>
      </c>
      <c r="Q115" s="242">
        <v>1.0</v>
      </c>
      <c r="R115" s="242">
        <v>1.0</v>
      </c>
      <c r="S115" s="242">
        <v>2.0</v>
      </c>
      <c r="T115" s="242">
        <v>2.0</v>
      </c>
      <c r="U115" s="242">
        <f>T115+T119</f>
        <v>2</v>
      </c>
      <c r="V115" s="242">
        <v>2.0</v>
      </c>
      <c r="W115" s="242">
        <f t="shared" ref="W115:CH115" si="100">V115+V119</f>
        <v>2</v>
      </c>
      <c r="X115" s="242">
        <f t="shared" si="100"/>
        <v>2</v>
      </c>
      <c r="Y115" s="242">
        <f t="shared" si="100"/>
        <v>2</v>
      </c>
      <c r="Z115" s="146">
        <f t="shared" si="100"/>
        <v>2</v>
      </c>
      <c r="AA115" s="146">
        <f t="shared" si="100"/>
        <v>2</v>
      </c>
      <c r="AB115" s="146">
        <f t="shared" si="100"/>
        <v>2</v>
      </c>
      <c r="AC115" s="146">
        <f t="shared" si="100"/>
        <v>2</v>
      </c>
      <c r="AD115" s="146">
        <f t="shared" si="100"/>
        <v>2</v>
      </c>
      <c r="AE115" s="146">
        <f t="shared" si="100"/>
        <v>2</v>
      </c>
      <c r="AF115" s="146">
        <f t="shared" si="100"/>
        <v>2</v>
      </c>
      <c r="AG115" s="146">
        <f t="shared" si="100"/>
        <v>2</v>
      </c>
      <c r="AH115" s="146">
        <f t="shared" si="100"/>
        <v>2</v>
      </c>
      <c r="AI115" s="146">
        <f t="shared" si="100"/>
        <v>2</v>
      </c>
      <c r="AJ115" s="146">
        <f t="shared" si="100"/>
        <v>3</v>
      </c>
      <c r="AK115" s="146">
        <f t="shared" si="100"/>
        <v>3</v>
      </c>
      <c r="AL115" s="146">
        <f t="shared" si="100"/>
        <v>3</v>
      </c>
      <c r="AM115" s="146">
        <f t="shared" si="100"/>
        <v>3</v>
      </c>
      <c r="AN115" s="146">
        <f t="shared" si="100"/>
        <v>3</v>
      </c>
      <c r="AO115" s="146">
        <f t="shared" si="100"/>
        <v>3</v>
      </c>
      <c r="AP115" s="146">
        <f t="shared" si="100"/>
        <v>3</v>
      </c>
      <c r="AQ115" s="146">
        <f t="shared" si="100"/>
        <v>3</v>
      </c>
      <c r="AR115" s="146">
        <f t="shared" si="100"/>
        <v>3</v>
      </c>
      <c r="AS115" s="146">
        <f t="shared" si="100"/>
        <v>3</v>
      </c>
      <c r="AT115" s="146">
        <f t="shared" si="100"/>
        <v>3</v>
      </c>
      <c r="AU115" s="146">
        <f t="shared" si="100"/>
        <v>3</v>
      </c>
      <c r="AV115" s="146">
        <f t="shared" si="100"/>
        <v>3</v>
      </c>
      <c r="AW115" s="146">
        <f t="shared" si="100"/>
        <v>3</v>
      </c>
      <c r="AX115" s="146">
        <f t="shared" si="100"/>
        <v>3</v>
      </c>
      <c r="AY115" s="146">
        <f t="shared" si="100"/>
        <v>3</v>
      </c>
      <c r="AZ115" s="146">
        <f t="shared" si="100"/>
        <v>3</v>
      </c>
      <c r="BA115" s="146">
        <f t="shared" si="100"/>
        <v>3</v>
      </c>
      <c r="BB115" s="146">
        <f t="shared" si="100"/>
        <v>3</v>
      </c>
      <c r="BC115" s="146">
        <f t="shared" si="100"/>
        <v>3</v>
      </c>
      <c r="BD115" s="146">
        <f t="shared" si="100"/>
        <v>3</v>
      </c>
      <c r="BE115" s="146">
        <f t="shared" si="100"/>
        <v>3</v>
      </c>
      <c r="BF115" s="146">
        <f t="shared" si="100"/>
        <v>3</v>
      </c>
      <c r="BG115" s="146">
        <f t="shared" si="100"/>
        <v>3</v>
      </c>
      <c r="BH115" s="146">
        <f t="shared" si="100"/>
        <v>3</v>
      </c>
      <c r="BI115" s="146">
        <f t="shared" si="100"/>
        <v>3</v>
      </c>
      <c r="BJ115" s="146">
        <f t="shared" si="100"/>
        <v>3</v>
      </c>
      <c r="BK115" s="146">
        <f t="shared" si="100"/>
        <v>4</v>
      </c>
      <c r="BL115" s="146">
        <f t="shared" si="100"/>
        <v>4</v>
      </c>
      <c r="BM115" s="146">
        <f t="shared" si="100"/>
        <v>4</v>
      </c>
      <c r="BN115" s="146">
        <f t="shared" si="100"/>
        <v>4</v>
      </c>
      <c r="BO115" s="146">
        <f t="shared" si="100"/>
        <v>4</v>
      </c>
      <c r="BP115" s="146">
        <f t="shared" si="100"/>
        <v>4</v>
      </c>
      <c r="BQ115" s="146">
        <f t="shared" si="100"/>
        <v>4</v>
      </c>
      <c r="BR115" s="146">
        <f t="shared" si="100"/>
        <v>4</v>
      </c>
      <c r="BS115" s="146">
        <f t="shared" si="100"/>
        <v>4</v>
      </c>
      <c r="BT115" s="146">
        <f t="shared" si="100"/>
        <v>4</v>
      </c>
      <c r="BU115" s="146">
        <f t="shared" si="100"/>
        <v>4</v>
      </c>
      <c r="BV115" s="146">
        <f t="shared" si="100"/>
        <v>4</v>
      </c>
      <c r="BW115" s="146">
        <f t="shared" si="100"/>
        <v>4</v>
      </c>
      <c r="BX115" s="146">
        <f t="shared" si="100"/>
        <v>4</v>
      </c>
      <c r="BY115" s="146">
        <f t="shared" si="100"/>
        <v>4</v>
      </c>
      <c r="BZ115" s="146">
        <f t="shared" si="100"/>
        <v>4</v>
      </c>
      <c r="CA115" s="146">
        <f t="shared" si="100"/>
        <v>4</v>
      </c>
      <c r="CB115" s="146">
        <f t="shared" si="100"/>
        <v>4</v>
      </c>
      <c r="CC115" s="146">
        <f t="shared" si="100"/>
        <v>4</v>
      </c>
      <c r="CD115" s="146">
        <f t="shared" si="100"/>
        <v>4</v>
      </c>
      <c r="CE115" s="146">
        <f t="shared" si="100"/>
        <v>4</v>
      </c>
      <c r="CF115" s="146">
        <f t="shared" si="100"/>
        <v>4</v>
      </c>
      <c r="CG115" s="146">
        <f t="shared" si="100"/>
        <v>4</v>
      </c>
      <c r="CH115" s="146">
        <f t="shared" si="100"/>
        <v>4</v>
      </c>
    </row>
    <row r="116" ht="15.75" customHeight="1">
      <c r="A116" s="1" t="s">
        <v>706</v>
      </c>
      <c r="M116" s="471">
        <v>5.5</v>
      </c>
      <c r="N116" s="472">
        <f t="shared" ref="N116:P116" si="101">M116</f>
        <v>5.5</v>
      </c>
      <c r="O116" s="472">
        <f t="shared" si="101"/>
        <v>5.5</v>
      </c>
      <c r="P116" s="472">
        <f t="shared" si="101"/>
        <v>5.5</v>
      </c>
      <c r="Q116" s="472">
        <v>6.0</v>
      </c>
      <c r="R116" s="472">
        <f t="shared" ref="R116:CH116" si="102">Q116</f>
        <v>6</v>
      </c>
      <c r="S116" s="472">
        <f t="shared" si="102"/>
        <v>6</v>
      </c>
      <c r="T116" s="472">
        <f t="shared" si="102"/>
        <v>6</v>
      </c>
      <c r="U116" s="472">
        <f t="shared" si="102"/>
        <v>6</v>
      </c>
      <c r="V116" s="472">
        <f t="shared" si="102"/>
        <v>6</v>
      </c>
      <c r="W116" s="472">
        <f t="shared" si="102"/>
        <v>6</v>
      </c>
      <c r="X116" s="472">
        <f t="shared" si="102"/>
        <v>6</v>
      </c>
      <c r="Y116" s="472">
        <f t="shared" si="102"/>
        <v>6</v>
      </c>
      <c r="Z116" s="472">
        <f t="shared" si="102"/>
        <v>6</v>
      </c>
      <c r="AA116" s="472">
        <f t="shared" si="102"/>
        <v>6</v>
      </c>
      <c r="AB116" s="472">
        <f t="shared" si="102"/>
        <v>6</v>
      </c>
      <c r="AC116" s="472">
        <f t="shared" si="102"/>
        <v>6</v>
      </c>
      <c r="AD116" s="472">
        <f t="shared" si="102"/>
        <v>6</v>
      </c>
      <c r="AE116" s="472">
        <f t="shared" si="102"/>
        <v>6</v>
      </c>
      <c r="AF116" s="472">
        <f t="shared" si="102"/>
        <v>6</v>
      </c>
      <c r="AG116" s="472">
        <f t="shared" si="102"/>
        <v>6</v>
      </c>
      <c r="AH116" s="472">
        <f t="shared" si="102"/>
        <v>6</v>
      </c>
      <c r="AI116" s="472">
        <f t="shared" si="102"/>
        <v>6</v>
      </c>
      <c r="AJ116" s="472">
        <f t="shared" si="102"/>
        <v>6</v>
      </c>
      <c r="AK116" s="472">
        <f t="shared" si="102"/>
        <v>6</v>
      </c>
      <c r="AL116" s="472">
        <f t="shared" si="102"/>
        <v>6</v>
      </c>
      <c r="AM116" s="472">
        <f t="shared" si="102"/>
        <v>6</v>
      </c>
      <c r="AN116" s="472">
        <f t="shared" si="102"/>
        <v>6</v>
      </c>
      <c r="AO116" s="472">
        <f t="shared" si="102"/>
        <v>6</v>
      </c>
      <c r="AP116" s="472">
        <f t="shared" si="102"/>
        <v>6</v>
      </c>
      <c r="AQ116" s="472">
        <f t="shared" si="102"/>
        <v>6</v>
      </c>
      <c r="AR116" s="472">
        <f t="shared" si="102"/>
        <v>6</v>
      </c>
      <c r="AS116" s="472">
        <f t="shared" si="102"/>
        <v>6</v>
      </c>
      <c r="AT116" s="472">
        <f t="shared" si="102"/>
        <v>6</v>
      </c>
      <c r="AU116" s="472">
        <f t="shared" si="102"/>
        <v>6</v>
      </c>
      <c r="AV116" s="472">
        <f t="shared" si="102"/>
        <v>6</v>
      </c>
      <c r="AW116" s="472">
        <f t="shared" si="102"/>
        <v>6</v>
      </c>
      <c r="AX116" s="472">
        <f t="shared" si="102"/>
        <v>6</v>
      </c>
      <c r="AY116" s="472">
        <f t="shared" si="102"/>
        <v>6</v>
      </c>
      <c r="AZ116" s="472">
        <f t="shared" si="102"/>
        <v>6</v>
      </c>
      <c r="BA116" s="472">
        <f t="shared" si="102"/>
        <v>6</v>
      </c>
      <c r="BB116" s="472">
        <f t="shared" si="102"/>
        <v>6</v>
      </c>
      <c r="BC116" s="472">
        <f t="shared" si="102"/>
        <v>6</v>
      </c>
      <c r="BD116" s="472">
        <f t="shared" si="102"/>
        <v>6</v>
      </c>
      <c r="BE116" s="472">
        <f t="shared" si="102"/>
        <v>6</v>
      </c>
      <c r="BF116" s="472">
        <f t="shared" si="102"/>
        <v>6</v>
      </c>
      <c r="BG116" s="472">
        <f t="shared" si="102"/>
        <v>6</v>
      </c>
      <c r="BH116" s="472">
        <f t="shared" si="102"/>
        <v>6</v>
      </c>
      <c r="BI116" s="472">
        <f t="shared" si="102"/>
        <v>6</v>
      </c>
      <c r="BJ116" s="472">
        <f t="shared" si="102"/>
        <v>6</v>
      </c>
      <c r="BK116" s="472">
        <f t="shared" si="102"/>
        <v>6</v>
      </c>
      <c r="BL116" s="472">
        <f t="shared" si="102"/>
        <v>6</v>
      </c>
      <c r="BM116" s="472">
        <f t="shared" si="102"/>
        <v>6</v>
      </c>
      <c r="BN116" s="472">
        <f t="shared" si="102"/>
        <v>6</v>
      </c>
      <c r="BO116" s="472">
        <f t="shared" si="102"/>
        <v>6</v>
      </c>
      <c r="BP116" s="472">
        <f t="shared" si="102"/>
        <v>6</v>
      </c>
      <c r="BQ116" s="472">
        <f t="shared" si="102"/>
        <v>6</v>
      </c>
      <c r="BR116" s="472">
        <f t="shared" si="102"/>
        <v>6</v>
      </c>
      <c r="BS116" s="472">
        <f t="shared" si="102"/>
        <v>6</v>
      </c>
      <c r="BT116" s="472">
        <f t="shared" si="102"/>
        <v>6</v>
      </c>
      <c r="BU116" s="472">
        <f t="shared" si="102"/>
        <v>6</v>
      </c>
      <c r="BV116" s="472">
        <f t="shared" si="102"/>
        <v>6</v>
      </c>
      <c r="BW116" s="472">
        <f t="shared" si="102"/>
        <v>6</v>
      </c>
      <c r="BX116" s="472">
        <f t="shared" si="102"/>
        <v>6</v>
      </c>
      <c r="BY116" s="472">
        <f t="shared" si="102"/>
        <v>6</v>
      </c>
      <c r="BZ116" s="472">
        <f t="shared" si="102"/>
        <v>6</v>
      </c>
      <c r="CA116" s="472">
        <f t="shared" si="102"/>
        <v>6</v>
      </c>
      <c r="CB116" s="472">
        <f t="shared" si="102"/>
        <v>6</v>
      </c>
      <c r="CC116" s="472">
        <f t="shared" si="102"/>
        <v>6</v>
      </c>
      <c r="CD116" s="472">
        <f t="shared" si="102"/>
        <v>6</v>
      </c>
      <c r="CE116" s="472">
        <f t="shared" si="102"/>
        <v>6</v>
      </c>
      <c r="CF116" s="472">
        <f t="shared" si="102"/>
        <v>6</v>
      </c>
      <c r="CG116" s="472">
        <f t="shared" si="102"/>
        <v>6</v>
      </c>
      <c r="CH116" s="472">
        <f t="shared" si="102"/>
        <v>6</v>
      </c>
    </row>
    <row r="117" ht="15.75" customHeight="1">
      <c r="A117" s="1" t="s">
        <v>698</v>
      </c>
      <c r="M117" s="146">
        <f t="shared" ref="M117:CH117" si="103">M115*M116</f>
        <v>11</v>
      </c>
      <c r="N117" s="146">
        <f t="shared" si="103"/>
        <v>11</v>
      </c>
      <c r="O117" s="146">
        <f t="shared" si="103"/>
        <v>5.5</v>
      </c>
      <c r="P117" s="146">
        <f t="shared" si="103"/>
        <v>5.5</v>
      </c>
      <c r="Q117" s="146">
        <f t="shared" si="103"/>
        <v>6</v>
      </c>
      <c r="R117" s="146">
        <f t="shared" si="103"/>
        <v>6</v>
      </c>
      <c r="S117" s="146">
        <f t="shared" si="103"/>
        <v>12</v>
      </c>
      <c r="T117" s="146">
        <f t="shared" si="103"/>
        <v>12</v>
      </c>
      <c r="U117" s="146">
        <f t="shared" si="103"/>
        <v>12</v>
      </c>
      <c r="V117" s="146">
        <f t="shared" si="103"/>
        <v>12</v>
      </c>
      <c r="W117" s="146">
        <f t="shared" si="103"/>
        <v>12</v>
      </c>
      <c r="X117" s="146">
        <f t="shared" si="103"/>
        <v>12</v>
      </c>
      <c r="Y117" s="146">
        <f t="shared" si="103"/>
        <v>12</v>
      </c>
      <c r="Z117" s="146">
        <f t="shared" si="103"/>
        <v>12</v>
      </c>
      <c r="AA117" s="146">
        <f t="shared" si="103"/>
        <v>12</v>
      </c>
      <c r="AB117" s="146">
        <f t="shared" si="103"/>
        <v>12</v>
      </c>
      <c r="AC117" s="146">
        <f t="shared" si="103"/>
        <v>12</v>
      </c>
      <c r="AD117" s="146">
        <f t="shared" si="103"/>
        <v>12</v>
      </c>
      <c r="AE117" s="146">
        <f t="shared" si="103"/>
        <v>12</v>
      </c>
      <c r="AF117" s="146">
        <f t="shared" si="103"/>
        <v>12</v>
      </c>
      <c r="AG117" s="146">
        <f t="shared" si="103"/>
        <v>12</v>
      </c>
      <c r="AH117" s="146">
        <f t="shared" si="103"/>
        <v>12</v>
      </c>
      <c r="AI117" s="146">
        <f t="shared" si="103"/>
        <v>12</v>
      </c>
      <c r="AJ117" s="146">
        <f t="shared" si="103"/>
        <v>18</v>
      </c>
      <c r="AK117" s="146">
        <f t="shared" si="103"/>
        <v>18</v>
      </c>
      <c r="AL117" s="146">
        <f t="shared" si="103"/>
        <v>18</v>
      </c>
      <c r="AM117" s="146">
        <f t="shared" si="103"/>
        <v>18</v>
      </c>
      <c r="AN117" s="146">
        <f t="shared" si="103"/>
        <v>18</v>
      </c>
      <c r="AO117" s="146">
        <f t="shared" si="103"/>
        <v>18</v>
      </c>
      <c r="AP117" s="146">
        <f t="shared" si="103"/>
        <v>18</v>
      </c>
      <c r="AQ117" s="146">
        <f t="shared" si="103"/>
        <v>18</v>
      </c>
      <c r="AR117" s="146">
        <f t="shared" si="103"/>
        <v>18</v>
      </c>
      <c r="AS117" s="146">
        <f t="shared" si="103"/>
        <v>18</v>
      </c>
      <c r="AT117" s="146">
        <f t="shared" si="103"/>
        <v>18</v>
      </c>
      <c r="AU117" s="146">
        <f t="shared" si="103"/>
        <v>18</v>
      </c>
      <c r="AV117" s="146">
        <f t="shared" si="103"/>
        <v>18</v>
      </c>
      <c r="AW117" s="146">
        <f t="shared" si="103"/>
        <v>18</v>
      </c>
      <c r="AX117" s="146">
        <f t="shared" si="103"/>
        <v>18</v>
      </c>
      <c r="AY117" s="146">
        <f t="shared" si="103"/>
        <v>18</v>
      </c>
      <c r="AZ117" s="146">
        <f t="shared" si="103"/>
        <v>18</v>
      </c>
      <c r="BA117" s="146">
        <f t="shared" si="103"/>
        <v>18</v>
      </c>
      <c r="BB117" s="146">
        <f t="shared" si="103"/>
        <v>18</v>
      </c>
      <c r="BC117" s="146">
        <f t="shared" si="103"/>
        <v>18</v>
      </c>
      <c r="BD117" s="146">
        <f t="shared" si="103"/>
        <v>18</v>
      </c>
      <c r="BE117" s="146">
        <f t="shared" si="103"/>
        <v>18</v>
      </c>
      <c r="BF117" s="146">
        <f t="shared" si="103"/>
        <v>18</v>
      </c>
      <c r="BG117" s="146">
        <f t="shared" si="103"/>
        <v>18</v>
      </c>
      <c r="BH117" s="146">
        <f t="shared" si="103"/>
        <v>18</v>
      </c>
      <c r="BI117" s="146">
        <f t="shared" si="103"/>
        <v>18</v>
      </c>
      <c r="BJ117" s="146">
        <f t="shared" si="103"/>
        <v>18</v>
      </c>
      <c r="BK117" s="146">
        <f t="shared" si="103"/>
        <v>24</v>
      </c>
      <c r="BL117" s="146">
        <f t="shared" si="103"/>
        <v>24</v>
      </c>
      <c r="BM117" s="146">
        <f t="shared" si="103"/>
        <v>24</v>
      </c>
      <c r="BN117" s="146">
        <f t="shared" si="103"/>
        <v>24</v>
      </c>
      <c r="BO117" s="146">
        <f t="shared" si="103"/>
        <v>24</v>
      </c>
      <c r="BP117" s="146">
        <f t="shared" si="103"/>
        <v>24</v>
      </c>
      <c r="BQ117" s="146">
        <f t="shared" si="103"/>
        <v>24</v>
      </c>
      <c r="BR117" s="146">
        <f t="shared" si="103"/>
        <v>24</v>
      </c>
      <c r="BS117" s="146">
        <f t="shared" si="103"/>
        <v>24</v>
      </c>
      <c r="BT117" s="146">
        <f t="shared" si="103"/>
        <v>24</v>
      </c>
      <c r="BU117" s="146">
        <f t="shared" si="103"/>
        <v>24</v>
      </c>
      <c r="BV117" s="146">
        <f t="shared" si="103"/>
        <v>24</v>
      </c>
      <c r="BW117" s="146">
        <f t="shared" si="103"/>
        <v>24</v>
      </c>
      <c r="BX117" s="146">
        <f t="shared" si="103"/>
        <v>24</v>
      </c>
      <c r="BY117" s="146">
        <f t="shared" si="103"/>
        <v>24</v>
      </c>
      <c r="BZ117" s="146">
        <f t="shared" si="103"/>
        <v>24</v>
      </c>
      <c r="CA117" s="146">
        <f t="shared" si="103"/>
        <v>24</v>
      </c>
      <c r="CB117" s="146">
        <f t="shared" si="103"/>
        <v>24</v>
      </c>
      <c r="CC117" s="146">
        <f t="shared" si="103"/>
        <v>24</v>
      </c>
      <c r="CD117" s="146">
        <f t="shared" si="103"/>
        <v>24</v>
      </c>
      <c r="CE117" s="146">
        <f t="shared" si="103"/>
        <v>24</v>
      </c>
      <c r="CF117" s="146">
        <f t="shared" si="103"/>
        <v>24</v>
      </c>
      <c r="CG117" s="146">
        <f t="shared" si="103"/>
        <v>24</v>
      </c>
      <c r="CH117" s="146">
        <f t="shared" si="103"/>
        <v>24</v>
      </c>
    </row>
    <row r="118" ht="15.75" customHeight="1">
      <c r="A118" s="1" t="s">
        <v>700</v>
      </c>
      <c r="B118" s="446" t="s">
        <v>701</v>
      </c>
      <c r="M118" s="146">
        <f t="shared" ref="M118:CH118" si="104">M117-M107</f>
        <v>4</v>
      </c>
      <c r="N118" s="146">
        <f t="shared" si="104"/>
        <v>4</v>
      </c>
      <c r="O118" s="146">
        <f t="shared" si="104"/>
        <v>-1.5</v>
      </c>
      <c r="P118" s="146">
        <f t="shared" si="104"/>
        <v>-1.5</v>
      </c>
      <c r="Q118" s="146">
        <f t="shared" si="104"/>
        <v>-1</v>
      </c>
      <c r="R118" s="146">
        <f t="shared" si="104"/>
        <v>-1</v>
      </c>
      <c r="S118" s="146">
        <f t="shared" si="104"/>
        <v>5</v>
      </c>
      <c r="T118" s="146">
        <f t="shared" si="104"/>
        <v>5</v>
      </c>
      <c r="U118" s="146">
        <f t="shared" si="104"/>
        <v>4</v>
      </c>
      <c r="V118" s="146">
        <f t="shared" si="104"/>
        <v>3.5</v>
      </c>
      <c r="W118" s="146">
        <f t="shared" si="104"/>
        <v>3.5</v>
      </c>
      <c r="X118" s="146">
        <f t="shared" si="104"/>
        <v>3.5</v>
      </c>
      <c r="Y118" s="146">
        <f t="shared" si="104"/>
        <v>3.5</v>
      </c>
      <c r="Z118" s="146">
        <f t="shared" si="104"/>
        <v>3.5</v>
      </c>
      <c r="AA118" s="146">
        <f t="shared" si="104"/>
        <v>3.5</v>
      </c>
      <c r="AB118" s="146">
        <f t="shared" si="104"/>
        <v>3.5</v>
      </c>
      <c r="AC118" s="146">
        <f t="shared" si="104"/>
        <v>3.5</v>
      </c>
      <c r="AD118" s="146">
        <f t="shared" si="104"/>
        <v>3.5</v>
      </c>
      <c r="AE118" s="146">
        <f t="shared" si="104"/>
        <v>3.5</v>
      </c>
      <c r="AF118" s="146">
        <f t="shared" si="104"/>
        <v>3.5</v>
      </c>
      <c r="AG118" s="146">
        <f t="shared" si="104"/>
        <v>2.5</v>
      </c>
      <c r="AH118" s="146">
        <f t="shared" si="104"/>
        <v>1.5</v>
      </c>
      <c r="AI118" s="146">
        <f t="shared" si="104"/>
        <v>0.5</v>
      </c>
      <c r="AJ118" s="146">
        <f t="shared" si="104"/>
        <v>6.5</v>
      </c>
      <c r="AK118" s="146">
        <f t="shared" si="104"/>
        <v>5.5</v>
      </c>
      <c r="AL118" s="146">
        <f t="shared" si="104"/>
        <v>4.5</v>
      </c>
      <c r="AM118" s="146">
        <f t="shared" si="104"/>
        <v>4.5</v>
      </c>
      <c r="AN118" s="146">
        <f t="shared" si="104"/>
        <v>4.5</v>
      </c>
      <c r="AO118" s="146">
        <f t="shared" si="104"/>
        <v>4.5</v>
      </c>
      <c r="AP118" s="146">
        <f t="shared" si="104"/>
        <v>4.5</v>
      </c>
      <c r="AQ118" s="146">
        <f t="shared" si="104"/>
        <v>4.5</v>
      </c>
      <c r="AR118" s="146">
        <f t="shared" si="104"/>
        <v>3.5</v>
      </c>
      <c r="AS118" s="146">
        <f t="shared" si="104"/>
        <v>3.5</v>
      </c>
      <c r="AT118" s="146">
        <f t="shared" si="104"/>
        <v>3.5</v>
      </c>
      <c r="AU118" s="146">
        <f t="shared" si="104"/>
        <v>3.5</v>
      </c>
      <c r="AV118" s="146">
        <f t="shared" si="104"/>
        <v>3.5</v>
      </c>
      <c r="AW118" s="146">
        <f t="shared" si="104"/>
        <v>3.5</v>
      </c>
      <c r="AX118" s="146">
        <f t="shared" si="104"/>
        <v>3.5</v>
      </c>
      <c r="AY118" s="146">
        <f t="shared" si="104"/>
        <v>2.5</v>
      </c>
      <c r="AZ118" s="146">
        <f t="shared" si="104"/>
        <v>2.5</v>
      </c>
      <c r="BA118" s="146">
        <f t="shared" si="104"/>
        <v>2.5</v>
      </c>
      <c r="BB118" s="146">
        <f t="shared" si="104"/>
        <v>2.5</v>
      </c>
      <c r="BC118" s="146">
        <f t="shared" si="104"/>
        <v>2.5</v>
      </c>
      <c r="BD118" s="146">
        <f t="shared" si="104"/>
        <v>2.5</v>
      </c>
      <c r="BE118" s="146">
        <f t="shared" si="104"/>
        <v>2.5</v>
      </c>
      <c r="BF118" s="146">
        <f t="shared" si="104"/>
        <v>1.5</v>
      </c>
      <c r="BG118" s="146">
        <f t="shared" si="104"/>
        <v>1.5</v>
      </c>
      <c r="BH118" s="146">
        <f t="shared" si="104"/>
        <v>1.5</v>
      </c>
      <c r="BI118" s="146">
        <f t="shared" si="104"/>
        <v>1.5</v>
      </c>
      <c r="BJ118" s="146">
        <f t="shared" si="104"/>
        <v>0.5</v>
      </c>
      <c r="BK118" s="146">
        <f t="shared" si="104"/>
        <v>6.5</v>
      </c>
      <c r="BL118" s="146">
        <f t="shared" si="104"/>
        <v>6.5</v>
      </c>
      <c r="BM118" s="146">
        <f t="shared" si="104"/>
        <v>6.5</v>
      </c>
      <c r="BN118" s="146">
        <f t="shared" si="104"/>
        <v>6.5</v>
      </c>
      <c r="BO118" s="146">
        <f t="shared" si="104"/>
        <v>6.5</v>
      </c>
      <c r="BP118" s="146">
        <f t="shared" si="104"/>
        <v>6.5</v>
      </c>
      <c r="BQ118" s="146">
        <f t="shared" si="104"/>
        <v>6.5</v>
      </c>
      <c r="BR118" s="146">
        <f t="shared" si="104"/>
        <v>6.5</v>
      </c>
      <c r="BS118" s="146">
        <f t="shared" si="104"/>
        <v>6.5</v>
      </c>
      <c r="BT118" s="146">
        <f t="shared" si="104"/>
        <v>6.5</v>
      </c>
      <c r="BU118" s="146">
        <f t="shared" si="104"/>
        <v>6.5</v>
      </c>
      <c r="BV118" s="146">
        <f t="shared" si="104"/>
        <v>6.5</v>
      </c>
      <c r="BW118" s="146">
        <f t="shared" si="104"/>
        <v>6.5</v>
      </c>
      <c r="BX118" s="146">
        <f t="shared" si="104"/>
        <v>6.5</v>
      </c>
      <c r="BY118" s="146">
        <f t="shared" si="104"/>
        <v>6.5</v>
      </c>
      <c r="BZ118" s="146">
        <f t="shared" si="104"/>
        <v>6.5</v>
      </c>
      <c r="CA118" s="146">
        <f t="shared" si="104"/>
        <v>6.5</v>
      </c>
      <c r="CB118" s="146">
        <f t="shared" si="104"/>
        <v>6.5</v>
      </c>
      <c r="CC118" s="146">
        <f t="shared" si="104"/>
        <v>6.5</v>
      </c>
      <c r="CD118" s="146">
        <f t="shared" si="104"/>
        <v>6.5</v>
      </c>
      <c r="CE118" s="146">
        <f t="shared" si="104"/>
        <v>6.5</v>
      </c>
      <c r="CF118" s="146">
        <f t="shared" si="104"/>
        <v>6.5</v>
      </c>
      <c r="CG118" s="146">
        <f t="shared" si="104"/>
        <v>6.5</v>
      </c>
      <c r="CH118" s="146">
        <f t="shared" si="104"/>
        <v>6.5</v>
      </c>
    </row>
    <row r="119" ht="15.75" customHeight="1">
      <c r="A119" s="1" t="s">
        <v>701</v>
      </c>
      <c r="B119" s="473">
        <v>0.5</v>
      </c>
      <c r="M119" s="173">
        <v>0.0</v>
      </c>
      <c r="N119" s="173">
        <v>0.0</v>
      </c>
      <c r="O119" s="173">
        <v>0.0</v>
      </c>
      <c r="P119" s="173">
        <v>0.0</v>
      </c>
      <c r="Q119" s="173">
        <v>0.0</v>
      </c>
      <c r="R119" s="173">
        <v>0.0</v>
      </c>
      <c r="S119" s="173">
        <v>0.0</v>
      </c>
      <c r="T119" s="146">
        <v>0.0</v>
      </c>
      <c r="U119" s="146">
        <v>0.0</v>
      </c>
      <c r="V119" s="146">
        <f t="shared" ref="V119:CH119" si="105">IF(V118&gt;$B119,0,ROUNDUP(ABS(V118/V116),0))</f>
        <v>0</v>
      </c>
      <c r="W119" s="146">
        <f t="shared" si="105"/>
        <v>0</v>
      </c>
      <c r="X119" s="146">
        <f t="shared" si="105"/>
        <v>0</v>
      </c>
      <c r="Y119" s="146">
        <f t="shared" si="105"/>
        <v>0</v>
      </c>
      <c r="Z119" s="146">
        <f t="shared" si="105"/>
        <v>0</v>
      </c>
      <c r="AA119" s="146">
        <f t="shared" si="105"/>
        <v>0</v>
      </c>
      <c r="AB119" s="146">
        <f t="shared" si="105"/>
        <v>0</v>
      </c>
      <c r="AC119" s="146">
        <f t="shared" si="105"/>
        <v>0</v>
      </c>
      <c r="AD119" s="146">
        <f t="shared" si="105"/>
        <v>0</v>
      </c>
      <c r="AE119" s="146">
        <f t="shared" si="105"/>
        <v>0</v>
      </c>
      <c r="AF119" s="146">
        <f t="shared" si="105"/>
        <v>0</v>
      </c>
      <c r="AG119" s="146">
        <f t="shared" si="105"/>
        <v>0</v>
      </c>
      <c r="AH119" s="146">
        <f t="shared" si="105"/>
        <v>0</v>
      </c>
      <c r="AI119" s="146">
        <f t="shared" si="105"/>
        <v>1</v>
      </c>
      <c r="AJ119" s="146">
        <f t="shared" si="105"/>
        <v>0</v>
      </c>
      <c r="AK119" s="146">
        <f t="shared" si="105"/>
        <v>0</v>
      </c>
      <c r="AL119" s="146">
        <f t="shared" si="105"/>
        <v>0</v>
      </c>
      <c r="AM119" s="146">
        <f t="shared" si="105"/>
        <v>0</v>
      </c>
      <c r="AN119" s="146">
        <f t="shared" si="105"/>
        <v>0</v>
      </c>
      <c r="AO119" s="146">
        <f t="shared" si="105"/>
        <v>0</v>
      </c>
      <c r="AP119" s="146">
        <f t="shared" si="105"/>
        <v>0</v>
      </c>
      <c r="AQ119" s="146">
        <f t="shared" si="105"/>
        <v>0</v>
      </c>
      <c r="AR119" s="146">
        <f t="shared" si="105"/>
        <v>0</v>
      </c>
      <c r="AS119" s="146">
        <f t="shared" si="105"/>
        <v>0</v>
      </c>
      <c r="AT119" s="146">
        <f t="shared" si="105"/>
        <v>0</v>
      </c>
      <c r="AU119" s="146">
        <f t="shared" si="105"/>
        <v>0</v>
      </c>
      <c r="AV119" s="146">
        <f t="shared" si="105"/>
        <v>0</v>
      </c>
      <c r="AW119" s="146">
        <f t="shared" si="105"/>
        <v>0</v>
      </c>
      <c r="AX119" s="146">
        <f t="shared" si="105"/>
        <v>0</v>
      </c>
      <c r="AY119" s="146">
        <f t="shared" si="105"/>
        <v>0</v>
      </c>
      <c r="AZ119" s="146">
        <f t="shared" si="105"/>
        <v>0</v>
      </c>
      <c r="BA119" s="146">
        <f t="shared" si="105"/>
        <v>0</v>
      </c>
      <c r="BB119" s="146">
        <f t="shared" si="105"/>
        <v>0</v>
      </c>
      <c r="BC119" s="146">
        <f t="shared" si="105"/>
        <v>0</v>
      </c>
      <c r="BD119" s="146">
        <f t="shared" si="105"/>
        <v>0</v>
      </c>
      <c r="BE119" s="146">
        <f t="shared" si="105"/>
        <v>0</v>
      </c>
      <c r="BF119" s="146">
        <f t="shared" si="105"/>
        <v>0</v>
      </c>
      <c r="BG119" s="146">
        <f t="shared" si="105"/>
        <v>0</v>
      </c>
      <c r="BH119" s="146">
        <f t="shared" si="105"/>
        <v>0</v>
      </c>
      <c r="BI119" s="146">
        <f t="shared" si="105"/>
        <v>0</v>
      </c>
      <c r="BJ119" s="146">
        <f t="shared" si="105"/>
        <v>1</v>
      </c>
      <c r="BK119" s="146">
        <f t="shared" si="105"/>
        <v>0</v>
      </c>
      <c r="BL119" s="146">
        <f t="shared" si="105"/>
        <v>0</v>
      </c>
      <c r="BM119" s="146">
        <f t="shared" si="105"/>
        <v>0</v>
      </c>
      <c r="BN119" s="146">
        <f t="shared" si="105"/>
        <v>0</v>
      </c>
      <c r="BO119" s="146">
        <f t="shared" si="105"/>
        <v>0</v>
      </c>
      <c r="BP119" s="146">
        <f t="shared" si="105"/>
        <v>0</v>
      </c>
      <c r="BQ119" s="146">
        <f t="shared" si="105"/>
        <v>0</v>
      </c>
      <c r="BR119" s="146">
        <f t="shared" si="105"/>
        <v>0</v>
      </c>
      <c r="BS119" s="146">
        <f t="shared" si="105"/>
        <v>0</v>
      </c>
      <c r="BT119" s="146">
        <f t="shared" si="105"/>
        <v>0</v>
      </c>
      <c r="BU119" s="146">
        <f t="shared" si="105"/>
        <v>0</v>
      </c>
      <c r="BV119" s="146">
        <f t="shared" si="105"/>
        <v>0</v>
      </c>
      <c r="BW119" s="146">
        <f t="shared" si="105"/>
        <v>0</v>
      </c>
      <c r="BX119" s="146">
        <f t="shared" si="105"/>
        <v>0</v>
      </c>
      <c r="BY119" s="146">
        <f t="shared" si="105"/>
        <v>0</v>
      </c>
      <c r="BZ119" s="146">
        <f t="shared" si="105"/>
        <v>0</v>
      </c>
      <c r="CA119" s="146">
        <f t="shared" si="105"/>
        <v>0</v>
      </c>
      <c r="CB119" s="146">
        <f t="shared" si="105"/>
        <v>0</v>
      </c>
      <c r="CC119" s="146">
        <f t="shared" si="105"/>
        <v>0</v>
      </c>
      <c r="CD119" s="146">
        <f t="shared" si="105"/>
        <v>0</v>
      </c>
      <c r="CE119" s="146">
        <f t="shared" si="105"/>
        <v>0</v>
      </c>
      <c r="CF119" s="146">
        <f t="shared" si="105"/>
        <v>0</v>
      </c>
      <c r="CG119" s="146">
        <f t="shared" si="105"/>
        <v>0</v>
      </c>
      <c r="CH119" s="146">
        <f t="shared" si="105"/>
        <v>0</v>
      </c>
    </row>
    <row r="120" ht="15.75" customHeight="1">
      <c r="A120" s="1" t="s">
        <v>702</v>
      </c>
      <c r="B120" s="1" t="s">
        <v>703</v>
      </c>
      <c r="M120" s="146">
        <f t="shared" ref="M120:P120" si="106">M119</f>
        <v>0</v>
      </c>
      <c r="N120" s="146">
        <f t="shared" si="106"/>
        <v>0</v>
      </c>
      <c r="O120" s="146">
        <f t="shared" si="106"/>
        <v>0</v>
      </c>
      <c r="P120" s="146">
        <f t="shared" si="106"/>
        <v>0</v>
      </c>
      <c r="Q120" s="173">
        <v>0.0</v>
      </c>
      <c r="R120" s="173">
        <v>0.0</v>
      </c>
      <c r="S120" s="146">
        <v>0.0</v>
      </c>
      <c r="T120" s="146">
        <v>0.0</v>
      </c>
      <c r="U120" s="146">
        <v>0.0</v>
      </c>
      <c r="V120" s="146">
        <f t="shared" ref="V120:CH120" si="107">V119</f>
        <v>0</v>
      </c>
      <c r="W120" s="146">
        <f t="shared" si="107"/>
        <v>0</v>
      </c>
      <c r="X120" s="146">
        <f t="shared" si="107"/>
        <v>0</v>
      </c>
      <c r="Y120" s="146">
        <f t="shared" si="107"/>
        <v>0</v>
      </c>
      <c r="Z120" s="146">
        <f t="shared" si="107"/>
        <v>0</v>
      </c>
      <c r="AA120" s="146">
        <f t="shared" si="107"/>
        <v>0</v>
      </c>
      <c r="AB120" s="146">
        <f t="shared" si="107"/>
        <v>0</v>
      </c>
      <c r="AC120" s="146">
        <f t="shared" si="107"/>
        <v>0</v>
      </c>
      <c r="AD120" s="146">
        <f t="shared" si="107"/>
        <v>0</v>
      </c>
      <c r="AE120" s="146">
        <f t="shared" si="107"/>
        <v>0</v>
      </c>
      <c r="AF120" s="146">
        <f t="shared" si="107"/>
        <v>0</v>
      </c>
      <c r="AG120" s="146">
        <f t="shared" si="107"/>
        <v>0</v>
      </c>
      <c r="AH120" s="146">
        <f t="shared" si="107"/>
        <v>0</v>
      </c>
      <c r="AI120" s="146">
        <f t="shared" si="107"/>
        <v>1</v>
      </c>
      <c r="AJ120" s="146">
        <f t="shared" si="107"/>
        <v>0</v>
      </c>
      <c r="AK120" s="146">
        <f t="shared" si="107"/>
        <v>0</v>
      </c>
      <c r="AL120" s="146">
        <f t="shared" si="107"/>
        <v>0</v>
      </c>
      <c r="AM120" s="146">
        <f t="shared" si="107"/>
        <v>0</v>
      </c>
      <c r="AN120" s="146">
        <f t="shared" si="107"/>
        <v>0</v>
      </c>
      <c r="AO120" s="146">
        <f t="shared" si="107"/>
        <v>0</v>
      </c>
      <c r="AP120" s="146">
        <f t="shared" si="107"/>
        <v>0</v>
      </c>
      <c r="AQ120" s="146">
        <f t="shared" si="107"/>
        <v>0</v>
      </c>
      <c r="AR120" s="146">
        <f t="shared" si="107"/>
        <v>0</v>
      </c>
      <c r="AS120" s="146">
        <f t="shared" si="107"/>
        <v>0</v>
      </c>
      <c r="AT120" s="146">
        <f t="shared" si="107"/>
        <v>0</v>
      </c>
      <c r="AU120" s="146">
        <f t="shared" si="107"/>
        <v>0</v>
      </c>
      <c r="AV120" s="146">
        <f t="shared" si="107"/>
        <v>0</v>
      </c>
      <c r="AW120" s="146">
        <f t="shared" si="107"/>
        <v>0</v>
      </c>
      <c r="AX120" s="146">
        <f t="shared" si="107"/>
        <v>0</v>
      </c>
      <c r="AY120" s="146">
        <f t="shared" si="107"/>
        <v>0</v>
      </c>
      <c r="AZ120" s="146">
        <f t="shared" si="107"/>
        <v>0</v>
      </c>
      <c r="BA120" s="146">
        <f t="shared" si="107"/>
        <v>0</v>
      </c>
      <c r="BB120" s="146">
        <f t="shared" si="107"/>
        <v>0</v>
      </c>
      <c r="BC120" s="146">
        <f t="shared" si="107"/>
        <v>0</v>
      </c>
      <c r="BD120" s="146">
        <f t="shared" si="107"/>
        <v>0</v>
      </c>
      <c r="BE120" s="146">
        <f t="shared" si="107"/>
        <v>0</v>
      </c>
      <c r="BF120" s="146">
        <f t="shared" si="107"/>
        <v>0</v>
      </c>
      <c r="BG120" s="146">
        <f t="shared" si="107"/>
        <v>0</v>
      </c>
      <c r="BH120" s="146">
        <f t="shared" si="107"/>
        <v>0</v>
      </c>
      <c r="BI120" s="146">
        <f t="shared" si="107"/>
        <v>0</v>
      </c>
      <c r="BJ120" s="146">
        <f t="shared" si="107"/>
        <v>1</v>
      </c>
      <c r="BK120" s="146">
        <f t="shared" si="107"/>
        <v>0</v>
      </c>
      <c r="BL120" s="146">
        <f t="shared" si="107"/>
        <v>0</v>
      </c>
      <c r="BM120" s="146">
        <f t="shared" si="107"/>
        <v>0</v>
      </c>
      <c r="BN120" s="146">
        <f t="shared" si="107"/>
        <v>0</v>
      </c>
      <c r="BO120" s="146">
        <f t="shared" si="107"/>
        <v>0</v>
      </c>
      <c r="BP120" s="146">
        <f t="shared" si="107"/>
        <v>0</v>
      </c>
      <c r="BQ120" s="146">
        <f t="shared" si="107"/>
        <v>0</v>
      </c>
      <c r="BR120" s="146">
        <f t="shared" si="107"/>
        <v>0</v>
      </c>
      <c r="BS120" s="146">
        <f t="shared" si="107"/>
        <v>0</v>
      </c>
      <c r="BT120" s="146">
        <f t="shared" si="107"/>
        <v>0</v>
      </c>
      <c r="BU120" s="146">
        <f t="shared" si="107"/>
        <v>0</v>
      </c>
      <c r="BV120" s="146">
        <f t="shared" si="107"/>
        <v>0</v>
      </c>
      <c r="BW120" s="146">
        <f t="shared" si="107"/>
        <v>0</v>
      </c>
      <c r="BX120" s="146">
        <f t="shared" si="107"/>
        <v>0</v>
      </c>
      <c r="BY120" s="146">
        <f t="shared" si="107"/>
        <v>0</v>
      </c>
      <c r="BZ120" s="146">
        <f t="shared" si="107"/>
        <v>0</v>
      </c>
      <c r="CA120" s="146">
        <f t="shared" si="107"/>
        <v>0</v>
      </c>
      <c r="CB120" s="146">
        <f t="shared" si="107"/>
        <v>0</v>
      </c>
      <c r="CC120" s="146">
        <f t="shared" si="107"/>
        <v>0</v>
      </c>
      <c r="CD120" s="146">
        <f t="shared" si="107"/>
        <v>0</v>
      </c>
      <c r="CE120" s="146">
        <f t="shared" si="107"/>
        <v>0</v>
      </c>
      <c r="CF120" s="146">
        <f t="shared" si="107"/>
        <v>0</v>
      </c>
      <c r="CG120" s="146">
        <f t="shared" si="107"/>
        <v>0</v>
      </c>
      <c r="CH120" s="146">
        <f t="shared" si="107"/>
        <v>0</v>
      </c>
    </row>
    <row r="121" ht="15.75" customHeight="1"/>
    <row r="122" ht="15.75" customHeight="1">
      <c r="A122" s="1" t="s">
        <v>707</v>
      </c>
      <c r="B122" s="446" t="s">
        <v>708</v>
      </c>
      <c r="T122" s="456">
        <f t="shared" ref="T122:CH122" si="108">T100*T104</f>
        <v>15.8273</v>
      </c>
      <c r="U122" s="456">
        <f t="shared" si="108"/>
        <v>0</v>
      </c>
      <c r="V122" s="456">
        <f t="shared" si="108"/>
        <v>9.22332</v>
      </c>
      <c r="W122" s="456">
        <f t="shared" si="108"/>
        <v>9.90996</v>
      </c>
      <c r="X122" s="456">
        <f t="shared" si="108"/>
        <v>10.33364</v>
      </c>
      <c r="Y122" s="456">
        <f t="shared" si="108"/>
        <v>8.29648</v>
      </c>
      <c r="Z122" s="456">
        <f t="shared" si="108"/>
        <v>11.040439</v>
      </c>
      <c r="AA122" s="456">
        <f t="shared" si="108"/>
        <v>28.0549622</v>
      </c>
      <c r="AB122" s="456">
        <f t="shared" si="108"/>
        <v>34.01890671</v>
      </c>
      <c r="AC122" s="456">
        <f t="shared" si="108"/>
        <v>39.50769267</v>
      </c>
      <c r="AD122" s="456">
        <f t="shared" si="108"/>
        <v>44.60521606</v>
      </c>
      <c r="AE122" s="456">
        <f t="shared" si="108"/>
        <v>49.50352531</v>
      </c>
      <c r="AF122" s="456">
        <f t="shared" si="108"/>
        <v>54.33334923</v>
      </c>
      <c r="AG122" s="456">
        <f t="shared" si="108"/>
        <v>59.03565765</v>
      </c>
      <c r="AH122" s="456">
        <f t="shared" si="108"/>
        <v>63.91642527</v>
      </c>
      <c r="AI122" s="456">
        <f t="shared" si="108"/>
        <v>68.56284182</v>
      </c>
      <c r="AJ122" s="456">
        <f t="shared" si="108"/>
        <v>72.73789983</v>
      </c>
      <c r="AK122" s="456">
        <f t="shared" si="108"/>
        <v>76.38374456</v>
      </c>
      <c r="AL122" s="456">
        <f t="shared" si="108"/>
        <v>80.02486103</v>
      </c>
      <c r="AM122" s="456">
        <f t="shared" si="108"/>
        <v>186.1013401</v>
      </c>
      <c r="AN122" s="456">
        <f t="shared" si="108"/>
        <v>189.2211332</v>
      </c>
      <c r="AO122" s="456">
        <f t="shared" si="108"/>
        <v>190.4682966</v>
      </c>
      <c r="AP122" s="456">
        <f t="shared" si="108"/>
        <v>192.3235822</v>
      </c>
      <c r="AQ122" s="456">
        <f t="shared" si="108"/>
        <v>194.5443825</v>
      </c>
      <c r="AR122" s="456">
        <f t="shared" si="108"/>
        <v>196.9496298</v>
      </c>
      <c r="AS122" s="456">
        <f t="shared" si="108"/>
        <v>199.3944642</v>
      </c>
      <c r="AT122" s="456">
        <f t="shared" si="108"/>
        <v>201.7926409</v>
      </c>
      <c r="AU122" s="456">
        <f t="shared" si="108"/>
        <v>204.1480191</v>
      </c>
      <c r="AV122" s="456">
        <f t="shared" si="108"/>
        <v>206.4636556</v>
      </c>
      <c r="AW122" s="456">
        <f t="shared" si="108"/>
        <v>208.7422443</v>
      </c>
      <c r="AX122" s="456">
        <f t="shared" si="108"/>
        <v>210.9862746</v>
      </c>
      <c r="AY122" s="456">
        <f t="shared" si="108"/>
        <v>308.0176585</v>
      </c>
      <c r="AZ122" s="456">
        <f t="shared" si="108"/>
        <v>313.9159619</v>
      </c>
      <c r="BA122" s="456">
        <f t="shared" si="108"/>
        <v>319.7013482</v>
      </c>
      <c r="BB122" s="456">
        <f t="shared" si="108"/>
        <v>325.3473693</v>
      </c>
      <c r="BC122" s="456">
        <f t="shared" si="108"/>
        <v>330.8726854</v>
      </c>
      <c r="BD122" s="456">
        <f t="shared" si="108"/>
        <v>336.2873447</v>
      </c>
      <c r="BE122" s="456">
        <f t="shared" si="108"/>
        <v>341.5982421</v>
      </c>
      <c r="BF122" s="456">
        <f t="shared" si="108"/>
        <v>346.8110354</v>
      </c>
      <c r="BG122" s="456">
        <f t="shared" si="108"/>
        <v>351.9308218</v>
      </c>
      <c r="BH122" s="456">
        <f t="shared" si="108"/>
        <v>356.9623795</v>
      </c>
      <c r="BI122" s="456">
        <f t="shared" si="108"/>
        <v>361.9102575</v>
      </c>
      <c r="BJ122" s="456">
        <f t="shared" si="108"/>
        <v>366.7788123</v>
      </c>
      <c r="BK122" s="456">
        <f t="shared" si="108"/>
        <v>519.3235499</v>
      </c>
      <c r="BL122" s="456">
        <f t="shared" si="108"/>
        <v>527.9926047</v>
      </c>
      <c r="BM122" s="456">
        <f t="shared" si="108"/>
        <v>536.2385719</v>
      </c>
      <c r="BN122" s="456">
        <f t="shared" si="108"/>
        <v>543.8370144</v>
      </c>
      <c r="BO122" s="456">
        <f t="shared" si="108"/>
        <v>551.3167758</v>
      </c>
      <c r="BP122" s="456">
        <f t="shared" si="108"/>
        <v>558.6944286</v>
      </c>
      <c r="BQ122" s="456">
        <f t="shared" si="108"/>
        <v>565.9794717</v>
      </c>
      <c r="BR122" s="456">
        <f t="shared" si="108"/>
        <v>573.1788086</v>
      </c>
      <c r="BS122" s="456">
        <f t="shared" si="108"/>
        <v>580.2983199</v>
      </c>
      <c r="BT122" s="456">
        <f t="shared" si="108"/>
        <v>587.3434189</v>
      </c>
      <c r="BU122" s="456">
        <f t="shared" si="108"/>
        <v>594.3192513</v>
      </c>
      <c r="BV122" s="456">
        <f t="shared" si="108"/>
        <v>601.2307696</v>
      </c>
      <c r="BW122" s="456">
        <f t="shared" si="108"/>
        <v>760.1034547</v>
      </c>
      <c r="BX122" s="456">
        <f t="shared" si="108"/>
        <v>766.3356171</v>
      </c>
      <c r="BY122" s="456">
        <f t="shared" si="108"/>
        <v>771.5355983</v>
      </c>
      <c r="BZ122" s="456">
        <f t="shared" si="108"/>
        <v>776.7521349</v>
      </c>
      <c r="CA122" s="456">
        <f t="shared" si="108"/>
        <v>782.1708418</v>
      </c>
      <c r="CB122" s="456">
        <f t="shared" si="108"/>
        <v>787.6361567</v>
      </c>
      <c r="CC122" s="456">
        <f t="shared" si="108"/>
        <v>793.0961022</v>
      </c>
      <c r="CD122" s="456">
        <f t="shared" si="108"/>
        <v>798.5348555</v>
      </c>
      <c r="CE122" s="456">
        <f t="shared" si="108"/>
        <v>803.9491519</v>
      </c>
      <c r="CF122" s="456">
        <f t="shared" si="108"/>
        <v>809.3400298</v>
      </c>
      <c r="CG122" s="456">
        <f t="shared" si="108"/>
        <v>814.7099458</v>
      </c>
      <c r="CH122" s="456">
        <f t="shared" si="108"/>
        <v>820.0617688</v>
      </c>
    </row>
    <row r="123" ht="15.75" customHeight="1">
      <c r="A123" s="137" t="s">
        <v>709</v>
      </c>
      <c r="B123" s="474">
        <v>50.0</v>
      </c>
      <c r="C123" s="137"/>
      <c r="D123" s="137"/>
      <c r="E123" s="137"/>
      <c r="F123" s="137"/>
      <c r="G123" s="137"/>
      <c r="H123" s="137"/>
      <c r="I123" s="137"/>
      <c r="J123" s="137"/>
      <c r="K123" s="137"/>
      <c r="L123" s="137"/>
      <c r="M123" s="137"/>
      <c r="N123" s="137"/>
      <c r="O123" s="137"/>
      <c r="P123" s="137"/>
      <c r="Q123" s="137"/>
      <c r="R123" s="137"/>
      <c r="S123" s="137"/>
      <c r="T123" s="137">
        <f t="shared" ref="T123:BV123" si="109">T122*$B$123</f>
        <v>791.365</v>
      </c>
      <c r="U123" s="137">
        <f t="shared" si="109"/>
        <v>0</v>
      </c>
      <c r="V123" s="137">
        <f t="shared" si="109"/>
        <v>461.166</v>
      </c>
      <c r="W123" s="137">
        <f t="shared" si="109"/>
        <v>495.498</v>
      </c>
      <c r="X123" s="137">
        <f t="shared" si="109"/>
        <v>516.682</v>
      </c>
      <c r="Y123" s="137">
        <f t="shared" si="109"/>
        <v>414.824</v>
      </c>
      <c r="Z123" s="137">
        <f t="shared" si="109"/>
        <v>552.02195</v>
      </c>
      <c r="AA123" s="137">
        <f t="shared" si="109"/>
        <v>1402.74811</v>
      </c>
      <c r="AB123" s="137">
        <f t="shared" si="109"/>
        <v>1700.945336</v>
      </c>
      <c r="AC123" s="137">
        <f t="shared" si="109"/>
        <v>1975.384633</v>
      </c>
      <c r="AD123" s="137">
        <f t="shared" si="109"/>
        <v>2230.260803</v>
      </c>
      <c r="AE123" s="137">
        <f t="shared" si="109"/>
        <v>2475.176266</v>
      </c>
      <c r="AF123" s="137">
        <f t="shared" si="109"/>
        <v>2716.667462</v>
      </c>
      <c r="AG123" s="137">
        <f t="shared" si="109"/>
        <v>2951.782882</v>
      </c>
      <c r="AH123" s="137">
        <f t="shared" si="109"/>
        <v>3195.821264</v>
      </c>
      <c r="AI123" s="137">
        <f t="shared" si="109"/>
        <v>3428.142091</v>
      </c>
      <c r="AJ123" s="137">
        <f t="shared" si="109"/>
        <v>3636.894992</v>
      </c>
      <c r="AK123" s="137">
        <f t="shared" si="109"/>
        <v>3819.187228</v>
      </c>
      <c r="AL123" s="137">
        <f t="shared" si="109"/>
        <v>4001.243052</v>
      </c>
      <c r="AM123" s="137">
        <f t="shared" si="109"/>
        <v>9305.067003</v>
      </c>
      <c r="AN123" s="137">
        <f t="shared" si="109"/>
        <v>9461.056658</v>
      </c>
      <c r="AO123" s="137">
        <f t="shared" si="109"/>
        <v>9523.41483</v>
      </c>
      <c r="AP123" s="137">
        <f t="shared" si="109"/>
        <v>9616.179111</v>
      </c>
      <c r="AQ123" s="137">
        <f t="shared" si="109"/>
        <v>9727.219124</v>
      </c>
      <c r="AR123" s="137">
        <f t="shared" si="109"/>
        <v>9847.48149</v>
      </c>
      <c r="AS123" s="137">
        <f t="shared" si="109"/>
        <v>9969.723208</v>
      </c>
      <c r="AT123" s="137">
        <f t="shared" si="109"/>
        <v>10089.63204</v>
      </c>
      <c r="AU123" s="137">
        <f t="shared" si="109"/>
        <v>10207.40096</v>
      </c>
      <c r="AV123" s="137">
        <f t="shared" si="109"/>
        <v>10323.18278</v>
      </c>
      <c r="AW123" s="137">
        <f t="shared" si="109"/>
        <v>10437.11221</v>
      </c>
      <c r="AX123" s="137">
        <f t="shared" si="109"/>
        <v>10549.31373</v>
      </c>
      <c r="AY123" s="137">
        <f t="shared" si="109"/>
        <v>15400.88293</v>
      </c>
      <c r="AZ123" s="137">
        <f t="shared" si="109"/>
        <v>15695.79809</v>
      </c>
      <c r="BA123" s="137">
        <f t="shared" si="109"/>
        <v>15985.06741</v>
      </c>
      <c r="BB123" s="137">
        <f t="shared" si="109"/>
        <v>16267.36847</v>
      </c>
      <c r="BC123" s="137">
        <f t="shared" si="109"/>
        <v>16543.63427</v>
      </c>
      <c r="BD123" s="137">
        <f t="shared" si="109"/>
        <v>16814.36724</v>
      </c>
      <c r="BE123" s="137">
        <f t="shared" si="109"/>
        <v>17079.9121</v>
      </c>
      <c r="BF123" s="137">
        <f t="shared" si="109"/>
        <v>17340.55177</v>
      </c>
      <c r="BG123" s="137">
        <f t="shared" si="109"/>
        <v>17596.54109</v>
      </c>
      <c r="BH123" s="137">
        <f t="shared" si="109"/>
        <v>17848.11897</v>
      </c>
      <c r="BI123" s="137">
        <f t="shared" si="109"/>
        <v>18095.51288</v>
      </c>
      <c r="BJ123" s="137">
        <f t="shared" si="109"/>
        <v>18338.94062</v>
      </c>
      <c r="BK123" s="137">
        <f t="shared" si="109"/>
        <v>25966.1775</v>
      </c>
      <c r="BL123" s="137">
        <f t="shared" si="109"/>
        <v>26399.63023</v>
      </c>
      <c r="BM123" s="137">
        <f t="shared" si="109"/>
        <v>26811.9286</v>
      </c>
      <c r="BN123" s="137">
        <f t="shared" si="109"/>
        <v>27191.85072</v>
      </c>
      <c r="BO123" s="137">
        <f t="shared" si="109"/>
        <v>27565.83879</v>
      </c>
      <c r="BP123" s="137">
        <f t="shared" si="109"/>
        <v>27934.72143</v>
      </c>
      <c r="BQ123" s="137">
        <f t="shared" si="109"/>
        <v>28298.97359</v>
      </c>
      <c r="BR123" s="137">
        <f t="shared" si="109"/>
        <v>28658.94043</v>
      </c>
      <c r="BS123" s="137">
        <f t="shared" si="109"/>
        <v>29014.91599</v>
      </c>
      <c r="BT123" s="137">
        <f t="shared" si="109"/>
        <v>29367.17094</v>
      </c>
      <c r="BU123" s="137">
        <f t="shared" si="109"/>
        <v>29715.96256</v>
      </c>
      <c r="BV123" s="137">
        <f t="shared" si="109"/>
        <v>30061.53848</v>
      </c>
      <c r="BW123" s="137">
        <f t="shared" ref="BW123:CH123" si="110">BW122*$B$124</f>
        <v>41805.69001</v>
      </c>
      <c r="BX123" s="137">
        <f t="shared" si="110"/>
        <v>42148.45894</v>
      </c>
      <c r="BY123" s="137">
        <f t="shared" si="110"/>
        <v>42434.4579</v>
      </c>
      <c r="BZ123" s="137">
        <f t="shared" si="110"/>
        <v>42721.36742</v>
      </c>
      <c r="CA123" s="137">
        <f t="shared" si="110"/>
        <v>43019.3963</v>
      </c>
      <c r="CB123" s="137">
        <f t="shared" si="110"/>
        <v>43319.98862</v>
      </c>
      <c r="CC123" s="137">
        <f t="shared" si="110"/>
        <v>43620.28562</v>
      </c>
      <c r="CD123" s="137">
        <f t="shared" si="110"/>
        <v>43919.41705</v>
      </c>
      <c r="CE123" s="137">
        <f t="shared" si="110"/>
        <v>44217.20335</v>
      </c>
      <c r="CF123" s="137">
        <f t="shared" si="110"/>
        <v>44513.70164</v>
      </c>
      <c r="CG123" s="137">
        <f t="shared" si="110"/>
        <v>44809.04702</v>
      </c>
      <c r="CH123" s="137">
        <f t="shared" si="110"/>
        <v>45103.39729</v>
      </c>
    </row>
    <row r="124" ht="15.75" customHeight="1">
      <c r="A124" s="449" t="s">
        <v>711</v>
      </c>
      <c r="B124" s="475">
        <v>55.0</v>
      </c>
    </row>
    <row r="125" ht="15.75" customHeight="1">
      <c r="A125" s="115" t="s">
        <v>89</v>
      </c>
    </row>
    <row r="126" ht="15.75" customHeight="1"/>
    <row r="127" ht="15.75" customHeight="1">
      <c r="A127" s="1" t="s">
        <v>25</v>
      </c>
      <c r="C127" s="116">
        <f>Revenue!C9</f>
        <v>195725</v>
      </c>
      <c r="D127" s="116">
        <f>Revenue!D9</f>
        <v>214613</v>
      </c>
      <c r="E127" s="116">
        <f>Revenue!E9</f>
        <v>197392</v>
      </c>
      <c r="F127" s="116">
        <f>Revenue!F9</f>
        <v>258277</v>
      </c>
      <c r="G127" s="116">
        <f>Revenue!G9</f>
        <v>139422</v>
      </c>
      <c r="H127" s="116">
        <f>Revenue!H9</f>
        <v>247130</v>
      </c>
      <c r="I127" s="116">
        <f>Revenue!I9</f>
        <v>139486</v>
      </c>
      <c r="J127" s="116">
        <f>Revenue!J9</f>
        <v>196567</v>
      </c>
      <c r="K127" s="116">
        <f>Revenue!K9</f>
        <v>153247</v>
      </c>
      <c r="L127" s="116">
        <f>Revenue!L9</f>
        <v>181294</v>
      </c>
      <c r="M127" s="116">
        <f>Revenue!M9</f>
        <v>169975</v>
      </c>
      <c r="N127" s="116">
        <f>Revenue!N9</f>
        <v>190504</v>
      </c>
      <c r="O127" s="116">
        <f>Revenue!O9</f>
        <v>266809</v>
      </c>
      <c r="P127" s="116">
        <f>Revenue!P9</f>
        <v>171318</v>
      </c>
      <c r="Q127" s="116">
        <f>Revenue!Q9</f>
        <v>241762</v>
      </c>
      <c r="R127" s="116">
        <f>Revenue!R9</f>
        <v>255611</v>
      </c>
      <c r="S127" s="116">
        <f>Revenue!S9</f>
        <v>205241</v>
      </c>
      <c r="T127" s="116">
        <f>Revenue!T9</f>
        <v>271510</v>
      </c>
      <c r="U127" s="116">
        <f>Revenue!U9</f>
        <v>256363</v>
      </c>
      <c r="V127" s="116">
        <f>Revenue!V9</f>
        <v>232452</v>
      </c>
      <c r="W127" s="116">
        <f>Revenue!W9</f>
        <v>156362</v>
      </c>
      <c r="X127" s="116">
        <f>Revenue!X9</f>
        <v>208832</v>
      </c>
      <c r="Y127" s="116">
        <f>Revenue!Y9</f>
        <v>145395</v>
      </c>
      <c r="Z127" s="116">
        <f>Revenue!Z9</f>
        <v>163491.3524</v>
      </c>
      <c r="AA127" s="116">
        <f>Revenue!AA9</f>
        <v>183044.7388</v>
      </c>
      <c r="AB127" s="116">
        <f>Revenue!AB9</f>
        <v>200459.0335</v>
      </c>
      <c r="AC127" s="116">
        <f>Revenue!AC9</f>
        <v>213223.6562</v>
      </c>
      <c r="AD127" s="116">
        <f>Revenue!AD9</f>
        <v>222673.5289</v>
      </c>
      <c r="AE127" s="116">
        <f>Revenue!AE9</f>
        <v>230681.7352</v>
      </c>
      <c r="AF127" s="116">
        <f>Revenue!AF9</f>
        <v>236383.8968</v>
      </c>
      <c r="AG127" s="116">
        <f>Revenue!AG9</f>
        <v>240530.91</v>
      </c>
      <c r="AH127" s="116">
        <f>Revenue!AH9</f>
        <v>242301.9064</v>
      </c>
      <c r="AI127" s="116">
        <f>Revenue!AI9</f>
        <v>241385.1234</v>
      </c>
      <c r="AJ127" s="116">
        <f>Revenue!AJ9</f>
        <v>244331.6618</v>
      </c>
      <c r="AK127" s="116">
        <f>Revenue!AK9</f>
        <v>246786.6721</v>
      </c>
      <c r="AL127" s="116">
        <f>Revenue!AL9</f>
        <v>249026.6499</v>
      </c>
      <c r="AM127" s="116">
        <f>Revenue!AM9</f>
        <v>256165.6355</v>
      </c>
      <c r="AN127" s="116">
        <f>Revenue!AN9</f>
        <v>250965.6349</v>
      </c>
      <c r="AO127" s="116">
        <f>Revenue!AO9</f>
        <v>246100.6974</v>
      </c>
      <c r="AP127" s="116">
        <f>Revenue!AP9</f>
        <v>242961.5661</v>
      </c>
      <c r="AQ127" s="116">
        <f>Revenue!AQ9</f>
        <v>241063.1936</v>
      </c>
      <c r="AR127" s="116">
        <f>Revenue!AR9</f>
        <v>240318.7559</v>
      </c>
      <c r="AS127" s="116">
        <f>Revenue!AS9</f>
        <v>240144.3862</v>
      </c>
      <c r="AT127" s="116">
        <f>Revenue!AT9</f>
        <v>240381.0082</v>
      </c>
      <c r="AU127" s="116">
        <f>Revenue!AU9</f>
        <v>240914.4205</v>
      </c>
      <c r="AV127" s="116">
        <f>Revenue!AV9</f>
        <v>241662.6428</v>
      </c>
      <c r="AW127" s="116">
        <f>Revenue!AW9</f>
        <v>242566.8292</v>
      </c>
      <c r="AX127" s="116">
        <f>Revenue!AX9</f>
        <v>243584.7447</v>
      </c>
      <c r="AY127" s="116">
        <f>Revenue!AY9</f>
        <v>248268.4075</v>
      </c>
      <c r="AZ127" s="116">
        <f>Revenue!AZ9</f>
        <v>252237.2445</v>
      </c>
      <c r="BA127" s="116">
        <f>Revenue!BA9</f>
        <v>255538.7403</v>
      </c>
      <c r="BB127" s="116">
        <f>Revenue!BB9</f>
        <v>258348.16</v>
      </c>
      <c r="BC127" s="116">
        <f>Revenue!BC9</f>
        <v>260795.2157</v>
      </c>
      <c r="BD127" s="116">
        <f>Revenue!BD9</f>
        <v>262975.9103</v>
      </c>
      <c r="BE127" s="116">
        <f>Revenue!BE9</f>
        <v>264961.3019</v>
      </c>
      <c r="BF127" s="116">
        <f>Revenue!BF9</f>
        <v>266803.9899</v>
      </c>
      <c r="BG127" s="116">
        <f>Revenue!BG9</f>
        <v>268542.9142</v>
      </c>
      <c r="BH127" s="116">
        <f>Revenue!BH9</f>
        <v>270206.9072</v>
      </c>
      <c r="BI127" s="116">
        <f>Revenue!BI9</f>
        <v>271817.3215</v>
      </c>
      <c r="BJ127" s="116">
        <f>Revenue!BJ9</f>
        <v>273389.9749</v>
      </c>
      <c r="BK127" s="116">
        <f>Revenue!BK9</f>
        <v>277845.5494</v>
      </c>
      <c r="BL127" s="116">
        <f>Revenue!BL9</f>
        <v>281710.394</v>
      </c>
      <c r="BM127" s="116">
        <f>Revenue!BM9</f>
        <v>284656.6556</v>
      </c>
      <c r="BN127" s="116">
        <f>Revenue!BN9</f>
        <v>287637.3694</v>
      </c>
      <c r="BO127" s="116">
        <f>Revenue!BO9</f>
        <v>290646.5361</v>
      </c>
      <c r="BP127" s="116">
        <f>Revenue!BP9</f>
        <v>293679.7702</v>
      </c>
      <c r="BQ127" s="116">
        <f>Revenue!BQ9</f>
        <v>296733.8826</v>
      </c>
      <c r="BR127" s="116">
        <f>Revenue!BR9</f>
        <v>299806.5706</v>
      </c>
      <c r="BS127" s="116">
        <f>Revenue!BS9</f>
        <v>302896.1889</v>
      </c>
      <c r="BT127" s="116">
        <f>Revenue!BT9</f>
        <v>306001.5806</v>
      </c>
      <c r="BU127" s="116">
        <f>Revenue!BU9</f>
        <v>309121.9515</v>
      </c>
      <c r="BV127" s="116">
        <f>Revenue!BV9</f>
        <v>312256.7776</v>
      </c>
      <c r="BW127" s="116">
        <f>Revenue!BW9</f>
        <v>315560.6213</v>
      </c>
      <c r="BX127" s="116">
        <f>Revenue!BX9</f>
        <v>315249.591</v>
      </c>
      <c r="BY127" s="116">
        <f>Revenue!BY9</f>
        <v>314993.7907</v>
      </c>
      <c r="BZ127" s="116">
        <f>Revenue!BZ9</f>
        <v>315519.1105</v>
      </c>
      <c r="CA127" s="116">
        <f>Revenue!CA9</f>
        <v>316625.3067</v>
      </c>
      <c r="CB127" s="116">
        <f>Revenue!CB9</f>
        <v>318164.1851</v>
      </c>
      <c r="CC127" s="116">
        <f>Revenue!CC9</f>
        <v>320026.0694</v>
      </c>
      <c r="CD127" s="116">
        <f>Revenue!CD9</f>
        <v>322129.7871</v>
      </c>
      <c r="CE127" s="116">
        <f>Revenue!CE9</f>
        <v>324415.2595</v>
      </c>
      <c r="CF127" s="116">
        <f>Revenue!CF9</f>
        <v>326838.0183</v>
      </c>
      <c r="CG127" s="116">
        <f>Revenue!CG9</f>
        <v>329365.1476</v>
      </c>
      <c r="CH127" s="116">
        <f>Revenue!CH9</f>
        <v>331972.281</v>
      </c>
    </row>
    <row r="128" ht="15.75" customHeight="1">
      <c r="A128" s="1" t="s">
        <v>714</v>
      </c>
      <c r="C128" s="116">
        <f>Revenue!C116</f>
        <v>161423</v>
      </c>
      <c r="D128" s="116">
        <f>Revenue!D116</f>
        <v>184184</v>
      </c>
      <c r="E128" s="116">
        <f>Revenue!E116</f>
        <v>157694</v>
      </c>
      <c r="F128" s="116">
        <f>Revenue!F116</f>
        <v>229490</v>
      </c>
      <c r="G128" s="116">
        <f>Revenue!G116</f>
        <v>106688</v>
      </c>
      <c r="H128" s="116">
        <f>Revenue!H116</f>
        <v>207245</v>
      </c>
      <c r="I128" s="116">
        <f>Revenue!I116</f>
        <v>103555</v>
      </c>
      <c r="J128" s="116">
        <f>Revenue!J116</f>
        <v>162516</v>
      </c>
      <c r="K128" s="116">
        <f>Revenue!K116</f>
        <v>118746</v>
      </c>
      <c r="L128" s="116">
        <f>Revenue!L116</f>
        <v>151485</v>
      </c>
      <c r="M128" s="116">
        <f>Revenue!M116</f>
        <v>134512</v>
      </c>
      <c r="N128" s="116">
        <f>Revenue!N116</f>
        <v>153506</v>
      </c>
      <c r="O128" s="116">
        <f>Revenue!O116</f>
        <v>226884</v>
      </c>
      <c r="P128" s="116">
        <f>Revenue!P116</f>
        <v>146787</v>
      </c>
      <c r="Q128" s="116">
        <f>Revenue!Q116</f>
        <v>203460</v>
      </c>
      <c r="R128" s="116">
        <f>Revenue!R116</f>
        <v>215821</v>
      </c>
      <c r="S128" s="116">
        <f>Revenue!S116</f>
        <v>177446</v>
      </c>
      <c r="T128" s="116">
        <f>Revenue!T116</f>
        <v>238987</v>
      </c>
      <c r="U128" s="116">
        <f>Revenue!U116</f>
        <v>235624</v>
      </c>
      <c r="V128" s="116">
        <f>Revenue!V116</f>
        <v>206309</v>
      </c>
      <c r="W128" s="116">
        <f>Revenue!W116</f>
        <v>135630</v>
      </c>
      <c r="X128" s="116">
        <f>Revenue!X116</f>
        <v>187158</v>
      </c>
      <c r="Y128" s="116">
        <f>Revenue!Y116</f>
        <v>106005</v>
      </c>
      <c r="Z128" s="116">
        <f>Revenue!Z116</f>
        <v>106005</v>
      </c>
      <c r="AA128" s="116">
        <f>Revenue!AA116</f>
        <v>106505</v>
      </c>
      <c r="AB128" s="116">
        <f>Revenue!AB116</f>
        <v>107005</v>
      </c>
      <c r="AC128" s="116">
        <f>Revenue!AC116</f>
        <v>107505</v>
      </c>
      <c r="AD128" s="116">
        <f>Revenue!AD116</f>
        <v>108005</v>
      </c>
      <c r="AE128" s="116">
        <f>Revenue!AE116</f>
        <v>108505</v>
      </c>
      <c r="AF128" s="116">
        <f>Revenue!AF116</f>
        <v>109005</v>
      </c>
      <c r="AG128" s="116">
        <f>Revenue!AG116</f>
        <v>109505</v>
      </c>
      <c r="AH128" s="116">
        <f>Revenue!AH116</f>
        <v>110005</v>
      </c>
      <c r="AI128" s="116">
        <f>Revenue!AI116</f>
        <v>110505</v>
      </c>
      <c r="AJ128" s="116">
        <f>Revenue!AJ116</f>
        <v>111005</v>
      </c>
      <c r="AK128" s="116">
        <f>Revenue!AK116</f>
        <v>111505</v>
      </c>
      <c r="AL128" s="116">
        <f>Revenue!AL116</f>
        <v>112005</v>
      </c>
      <c r="AM128" s="116">
        <f>Revenue!AM116</f>
        <v>112505</v>
      </c>
      <c r="AN128" s="116">
        <f>Revenue!AN116</f>
        <v>113005</v>
      </c>
      <c r="AO128" s="116">
        <f>Revenue!AO116</f>
        <v>113505</v>
      </c>
      <c r="AP128" s="116">
        <f>Revenue!AP116</f>
        <v>114005</v>
      </c>
      <c r="AQ128" s="116">
        <f>Revenue!AQ116</f>
        <v>114505</v>
      </c>
      <c r="AR128" s="116">
        <f>Revenue!AR116</f>
        <v>115005</v>
      </c>
      <c r="AS128" s="116">
        <f>Revenue!AS116</f>
        <v>115505</v>
      </c>
      <c r="AT128" s="116">
        <f>Revenue!AT116</f>
        <v>116005</v>
      </c>
      <c r="AU128" s="116">
        <f>Revenue!AU116</f>
        <v>116505</v>
      </c>
      <c r="AV128" s="116">
        <f>Revenue!AV116</f>
        <v>117005</v>
      </c>
      <c r="AW128" s="116">
        <f>Revenue!AW116</f>
        <v>117505</v>
      </c>
      <c r="AX128" s="116">
        <f>Revenue!AX116</f>
        <v>118005</v>
      </c>
      <c r="AY128" s="116">
        <f>Revenue!AY116</f>
        <v>118505</v>
      </c>
      <c r="AZ128" s="116">
        <f>Revenue!AZ116</f>
        <v>119005</v>
      </c>
      <c r="BA128" s="116">
        <f>Revenue!BA116</f>
        <v>119505</v>
      </c>
      <c r="BB128" s="116">
        <f>Revenue!BB116</f>
        <v>120005</v>
      </c>
      <c r="BC128" s="116">
        <f>Revenue!BC116</f>
        <v>120505</v>
      </c>
      <c r="BD128" s="116">
        <f>Revenue!BD116</f>
        <v>121005</v>
      </c>
      <c r="BE128" s="116">
        <f>Revenue!BE116</f>
        <v>121505</v>
      </c>
      <c r="BF128" s="116">
        <f>Revenue!BF116</f>
        <v>122005</v>
      </c>
      <c r="BG128" s="116">
        <f>Revenue!BG116</f>
        <v>122505</v>
      </c>
      <c r="BH128" s="116">
        <f>Revenue!BH116</f>
        <v>123005</v>
      </c>
      <c r="BI128" s="116">
        <f>Revenue!BI116</f>
        <v>123505</v>
      </c>
      <c r="BJ128" s="116">
        <f>Revenue!BJ116</f>
        <v>124005</v>
      </c>
      <c r="BK128" s="116">
        <f>Revenue!BK116</f>
        <v>126005</v>
      </c>
      <c r="BL128" s="116">
        <f>Revenue!BL116</f>
        <v>128005</v>
      </c>
      <c r="BM128" s="116">
        <f>Revenue!BM116</f>
        <v>130005</v>
      </c>
      <c r="BN128" s="116">
        <f>Revenue!BN116</f>
        <v>132005</v>
      </c>
      <c r="BO128" s="116">
        <f>Revenue!BO116</f>
        <v>134005</v>
      </c>
      <c r="BP128" s="116">
        <f>Revenue!BP116</f>
        <v>136005</v>
      </c>
      <c r="BQ128" s="116">
        <f>Revenue!BQ116</f>
        <v>138005</v>
      </c>
      <c r="BR128" s="116">
        <f>Revenue!BR116</f>
        <v>140005</v>
      </c>
      <c r="BS128" s="116">
        <f>Revenue!BS116</f>
        <v>142005</v>
      </c>
      <c r="BT128" s="116">
        <f>Revenue!BT116</f>
        <v>144005</v>
      </c>
      <c r="BU128" s="116">
        <f>Revenue!BU116</f>
        <v>146005</v>
      </c>
      <c r="BV128" s="116">
        <f>Revenue!BV116</f>
        <v>148005</v>
      </c>
      <c r="BW128" s="116">
        <f>Revenue!BW116</f>
        <v>150005</v>
      </c>
      <c r="BX128" s="116">
        <f>Revenue!BX116</f>
        <v>152005</v>
      </c>
      <c r="BY128" s="116">
        <f>Revenue!BY116</f>
        <v>154005</v>
      </c>
      <c r="BZ128" s="116">
        <f>Revenue!BZ116</f>
        <v>156005</v>
      </c>
      <c r="CA128" s="116">
        <f>Revenue!CA116</f>
        <v>158005</v>
      </c>
      <c r="CB128" s="116">
        <f>Revenue!CB116</f>
        <v>160005</v>
      </c>
      <c r="CC128" s="116">
        <f>Revenue!CC116</f>
        <v>162005</v>
      </c>
      <c r="CD128" s="116">
        <f>Revenue!CD116</f>
        <v>164005</v>
      </c>
      <c r="CE128" s="116">
        <f>Revenue!CE116</f>
        <v>166005</v>
      </c>
      <c r="CF128" s="116">
        <f>Revenue!CF116</f>
        <v>168005</v>
      </c>
      <c r="CG128" s="116">
        <f>Revenue!CG116</f>
        <v>170005</v>
      </c>
      <c r="CH128" s="116">
        <f>Revenue!CH116</f>
        <v>172005</v>
      </c>
    </row>
    <row r="129" ht="15.75" customHeight="1">
      <c r="A129" s="1" t="s">
        <v>715</v>
      </c>
      <c r="C129" s="116">
        <f>Revenue!C122</f>
        <v>34302</v>
      </c>
      <c r="D129" s="116">
        <f>Revenue!D122</f>
        <v>30429</v>
      </c>
      <c r="E129" s="116">
        <f>Revenue!E122</f>
        <v>39698</v>
      </c>
      <c r="F129" s="116">
        <f>Revenue!F122</f>
        <v>28787</v>
      </c>
      <c r="G129" s="116">
        <f>Revenue!G122</f>
        <v>32734</v>
      </c>
      <c r="H129" s="116">
        <f>Revenue!H122</f>
        <v>39885</v>
      </c>
      <c r="I129" s="116">
        <f>Revenue!I122</f>
        <v>35931</v>
      </c>
      <c r="J129" s="116">
        <f>Revenue!J122</f>
        <v>34051</v>
      </c>
      <c r="K129" s="116">
        <f>Revenue!K122</f>
        <v>34501</v>
      </c>
      <c r="L129" s="116">
        <f>Revenue!L122</f>
        <v>29809</v>
      </c>
      <c r="M129" s="116">
        <f>Revenue!M122</f>
        <v>35463</v>
      </c>
      <c r="N129" s="116">
        <f>Revenue!N122</f>
        <v>36998</v>
      </c>
      <c r="O129" s="116">
        <f>Revenue!O122</f>
        <v>39925</v>
      </c>
      <c r="P129" s="116">
        <f>Revenue!P122</f>
        <v>24531</v>
      </c>
      <c r="Q129" s="116">
        <f>Revenue!Q122</f>
        <v>38302</v>
      </c>
      <c r="R129" s="116">
        <f>Revenue!R122</f>
        <v>39790</v>
      </c>
      <c r="S129" s="116">
        <f>Revenue!S122</f>
        <v>27795</v>
      </c>
      <c r="T129" s="116">
        <f>Revenue!T122</f>
        <v>32523</v>
      </c>
      <c r="U129" s="116">
        <f>Revenue!U122</f>
        <v>20739</v>
      </c>
      <c r="V129" s="116">
        <f>Revenue!V122</f>
        <v>26143</v>
      </c>
      <c r="W129" s="116">
        <f>Revenue!W122</f>
        <v>20732</v>
      </c>
      <c r="X129" s="116">
        <f>Revenue!X122</f>
        <v>21674</v>
      </c>
      <c r="Y129" s="116">
        <f>Revenue!Y122</f>
        <v>39390</v>
      </c>
      <c r="Z129" s="116">
        <f>Revenue!Z122</f>
        <v>57486.35237</v>
      </c>
      <c r="AA129" s="116">
        <f>Revenue!AA122</f>
        <v>76539.73884</v>
      </c>
      <c r="AB129" s="116">
        <f>Revenue!AB122</f>
        <v>93454.03351</v>
      </c>
      <c r="AC129" s="116">
        <f>Revenue!AC122</f>
        <v>105718.6562</v>
      </c>
      <c r="AD129" s="116">
        <f>Revenue!AD122</f>
        <v>114668.5289</v>
      </c>
      <c r="AE129" s="116">
        <f>Revenue!AE122</f>
        <v>122176.7352</v>
      </c>
      <c r="AF129" s="116">
        <f>Revenue!AF122</f>
        <v>127378.8968</v>
      </c>
      <c r="AG129" s="116">
        <f>Revenue!AG122</f>
        <v>131025.91</v>
      </c>
      <c r="AH129" s="116">
        <f>Revenue!AH122</f>
        <v>132296.9064</v>
      </c>
      <c r="AI129" s="116">
        <f>Revenue!AI122</f>
        <v>130880.1234</v>
      </c>
      <c r="AJ129" s="116">
        <f>Revenue!AJ122</f>
        <v>133326.6618</v>
      </c>
      <c r="AK129" s="116">
        <f>Revenue!AK122</f>
        <v>135281.6721</v>
      </c>
      <c r="AL129" s="116">
        <f>Revenue!AL122</f>
        <v>137021.6499</v>
      </c>
      <c r="AM129" s="116">
        <f>Revenue!AM122</f>
        <v>143660.6355</v>
      </c>
      <c r="AN129" s="116">
        <f>Revenue!AN122</f>
        <v>137960.6349</v>
      </c>
      <c r="AO129" s="116">
        <f>Revenue!AO122</f>
        <v>132595.6974</v>
      </c>
      <c r="AP129" s="116">
        <f>Revenue!AP122</f>
        <v>128956.5661</v>
      </c>
      <c r="AQ129" s="116">
        <f>Revenue!AQ122</f>
        <v>126558.1936</v>
      </c>
      <c r="AR129" s="116">
        <f>Revenue!AR122</f>
        <v>125313.7559</v>
      </c>
      <c r="AS129" s="116">
        <f>Revenue!AS122</f>
        <v>124639.3862</v>
      </c>
      <c r="AT129" s="116">
        <f>Revenue!AT122</f>
        <v>124376.0082</v>
      </c>
      <c r="AU129" s="116">
        <f>Revenue!AU122</f>
        <v>124409.4205</v>
      </c>
      <c r="AV129" s="116">
        <f>Revenue!AV122</f>
        <v>124657.6428</v>
      </c>
      <c r="AW129" s="116">
        <f>Revenue!AW122</f>
        <v>125061.8292</v>
      </c>
      <c r="AX129" s="116">
        <f>Revenue!AX122</f>
        <v>125579.7447</v>
      </c>
      <c r="AY129" s="116">
        <f>Revenue!AY122</f>
        <v>129763.4075</v>
      </c>
      <c r="AZ129" s="116">
        <f>Revenue!AZ122</f>
        <v>133232.2445</v>
      </c>
      <c r="BA129" s="116">
        <f>Revenue!BA122</f>
        <v>136033.7403</v>
      </c>
      <c r="BB129" s="116">
        <f>Revenue!BB122</f>
        <v>138343.16</v>
      </c>
      <c r="BC129" s="116">
        <f>Revenue!BC122</f>
        <v>140290.2157</v>
      </c>
      <c r="BD129" s="116">
        <f>Revenue!BD122</f>
        <v>141970.9103</v>
      </c>
      <c r="BE129" s="116">
        <f>Revenue!BE122</f>
        <v>143456.3019</v>
      </c>
      <c r="BF129" s="116">
        <f>Revenue!BF122</f>
        <v>144798.9899</v>
      </c>
      <c r="BG129" s="116">
        <f>Revenue!BG122</f>
        <v>146037.9142</v>
      </c>
      <c r="BH129" s="116">
        <f>Revenue!BH122</f>
        <v>147201.9072</v>
      </c>
      <c r="BI129" s="116">
        <f>Revenue!BI122</f>
        <v>148312.3215</v>
      </c>
      <c r="BJ129" s="116">
        <f>Revenue!BJ122</f>
        <v>149384.9749</v>
      </c>
      <c r="BK129" s="116">
        <f>Revenue!BK122</f>
        <v>151840.5494</v>
      </c>
      <c r="BL129" s="116">
        <f>Revenue!BL122</f>
        <v>153705.394</v>
      </c>
      <c r="BM129" s="116">
        <f>Revenue!BM122</f>
        <v>154651.6556</v>
      </c>
      <c r="BN129" s="116">
        <f>Revenue!BN122</f>
        <v>155632.3694</v>
      </c>
      <c r="BO129" s="116">
        <f>Revenue!BO122</f>
        <v>156641.5361</v>
      </c>
      <c r="BP129" s="116">
        <f>Revenue!BP122</f>
        <v>157674.7702</v>
      </c>
      <c r="BQ129" s="116">
        <f>Revenue!BQ122</f>
        <v>158728.8826</v>
      </c>
      <c r="BR129" s="116">
        <f>Revenue!BR122</f>
        <v>159801.5706</v>
      </c>
      <c r="BS129" s="116">
        <f>Revenue!BS122</f>
        <v>160891.1889</v>
      </c>
      <c r="BT129" s="116">
        <f>Revenue!BT122</f>
        <v>161996.5806</v>
      </c>
      <c r="BU129" s="116">
        <f>Revenue!BU122</f>
        <v>163116.9515</v>
      </c>
      <c r="BV129" s="116">
        <f>Revenue!BV122</f>
        <v>164251.7776</v>
      </c>
      <c r="BW129" s="116">
        <f>Revenue!BW122</f>
        <v>165555.6213</v>
      </c>
      <c r="BX129" s="116">
        <f>Revenue!BX122</f>
        <v>163244.591</v>
      </c>
      <c r="BY129" s="116">
        <f>Revenue!BY122</f>
        <v>160988.7907</v>
      </c>
      <c r="BZ129" s="116">
        <f>Revenue!BZ122</f>
        <v>159514.1105</v>
      </c>
      <c r="CA129" s="116">
        <f>Revenue!CA122</f>
        <v>158620.3067</v>
      </c>
      <c r="CB129" s="116">
        <f>Revenue!CB122</f>
        <v>158159.1851</v>
      </c>
      <c r="CC129" s="116">
        <f>Revenue!CC122</f>
        <v>158021.0694</v>
      </c>
      <c r="CD129" s="116">
        <f>Revenue!CD122</f>
        <v>158124.7871</v>
      </c>
      <c r="CE129" s="116">
        <f>Revenue!CE122</f>
        <v>158410.2595</v>
      </c>
      <c r="CF129" s="116">
        <f>Revenue!CF122</f>
        <v>158833.0183</v>
      </c>
      <c r="CG129" s="116">
        <f>Revenue!CG122</f>
        <v>159360.1476</v>
      </c>
      <c r="CH129" s="116">
        <f>Revenue!CH122</f>
        <v>159967.281</v>
      </c>
    </row>
    <row r="130" ht="15.75" customHeight="1">
      <c r="A130" s="1" t="s">
        <v>325</v>
      </c>
      <c r="C130" s="116"/>
      <c r="D130" s="116">
        <f t="shared" ref="D130:CH130" si="111">D127-C127</f>
        <v>18888</v>
      </c>
      <c r="E130" s="116">
        <f t="shared" si="111"/>
        <v>-17221</v>
      </c>
      <c r="F130" s="116">
        <f t="shared" si="111"/>
        <v>60885</v>
      </c>
      <c r="G130" s="116">
        <f t="shared" si="111"/>
        <v>-118855</v>
      </c>
      <c r="H130" s="116">
        <f t="shared" si="111"/>
        <v>107708</v>
      </c>
      <c r="I130" s="116">
        <f t="shared" si="111"/>
        <v>-107644</v>
      </c>
      <c r="J130" s="116">
        <f t="shared" si="111"/>
        <v>57081</v>
      </c>
      <c r="K130" s="116">
        <f t="shared" si="111"/>
        <v>-43320</v>
      </c>
      <c r="L130" s="116">
        <f t="shared" si="111"/>
        <v>28047</v>
      </c>
      <c r="M130" s="116">
        <f t="shared" si="111"/>
        <v>-11319</v>
      </c>
      <c r="N130" s="116">
        <f t="shared" si="111"/>
        <v>20529</v>
      </c>
      <c r="O130" s="116">
        <f t="shared" si="111"/>
        <v>76305</v>
      </c>
      <c r="P130" s="116">
        <f t="shared" si="111"/>
        <v>-95491</v>
      </c>
      <c r="Q130" s="116">
        <f t="shared" si="111"/>
        <v>70444</v>
      </c>
      <c r="R130" s="116">
        <f t="shared" si="111"/>
        <v>13849</v>
      </c>
      <c r="S130" s="116">
        <f t="shared" si="111"/>
        <v>-50370</v>
      </c>
      <c r="T130" s="116">
        <f t="shared" si="111"/>
        <v>66269</v>
      </c>
      <c r="U130" s="116">
        <f t="shared" si="111"/>
        <v>-15147</v>
      </c>
      <c r="V130" s="116">
        <f t="shared" si="111"/>
        <v>-23911</v>
      </c>
      <c r="W130" s="116">
        <f t="shared" si="111"/>
        <v>-76090</v>
      </c>
      <c r="X130" s="116">
        <f t="shared" si="111"/>
        <v>52470</v>
      </c>
      <c r="Y130" s="116">
        <f t="shared" si="111"/>
        <v>-63437</v>
      </c>
      <c r="Z130" s="116">
        <f t="shared" si="111"/>
        <v>18096.35237</v>
      </c>
      <c r="AA130" s="116">
        <f t="shared" si="111"/>
        <v>19553.38647</v>
      </c>
      <c r="AB130" s="116">
        <f t="shared" si="111"/>
        <v>17414.29468</v>
      </c>
      <c r="AC130" s="116">
        <f t="shared" si="111"/>
        <v>12764.62274</v>
      </c>
      <c r="AD130" s="116">
        <f t="shared" si="111"/>
        <v>9449.872696</v>
      </c>
      <c r="AE130" s="116">
        <f t="shared" si="111"/>
        <v>8008.206239</v>
      </c>
      <c r="AF130" s="116">
        <f t="shared" si="111"/>
        <v>5702.161659</v>
      </c>
      <c r="AG130" s="116">
        <f t="shared" si="111"/>
        <v>4147.013192</v>
      </c>
      <c r="AH130" s="116">
        <f t="shared" si="111"/>
        <v>1770.996344</v>
      </c>
      <c r="AI130" s="116">
        <f t="shared" si="111"/>
        <v>-916.7829596</v>
      </c>
      <c r="AJ130" s="116">
        <f t="shared" si="111"/>
        <v>2946.538424</v>
      </c>
      <c r="AK130" s="116">
        <f t="shared" si="111"/>
        <v>2455.010296</v>
      </c>
      <c r="AL130" s="116">
        <f t="shared" si="111"/>
        <v>2239.977734</v>
      </c>
      <c r="AM130" s="116">
        <f t="shared" si="111"/>
        <v>7138.985627</v>
      </c>
      <c r="AN130" s="116">
        <f t="shared" si="111"/>
        <v>-5200.000606</v>
      </c>
      <c r="AO130" s="116">
        <f t="shared" si="111"/>
        <v>-4864.937511</v>
      </c>
      <c r="AP130" s="116">
        <f t="shared" si="111"/>
        <v>-3139.131279</v>
      </c>
      <c r="AQ130" s="116">
        <f t="shared" si="111"/>
        <v>-1898.372478</v>
      </c>
      <c r="AR130" s="116">
        <f t="shared" si="111"/>
        <v>-744.4377444</v>
      </c>
      <c r="AS130" s="116">
        <f t="shared" si="111"/>
        <v>-174.3696504</v>
      </c>
      <c r="AT130" s="116">
        <f t="shared" si="111"/>
        <v>236.621932</v>
      </c>
      <c r="AU130" s="116">
        <f t="shared" si="111"/>
        <v>533.4123593</v>
      </c>
      <c r="AV130" s="116">
        <f t="shared" si="111"/>
        <v>748.2223099</v>
      </c>
      <c r="AW130" s="116">
        <f t="shared" si="111"/>
        <v>904.1864051</v>
      </c>
      <c r="AX130" s="116">
        <f t="shared" si="111"/>
        <v>1017.915479</v>
      </c>
      <c r="AY130" s="116">
        <f t="shared" si="111"/>
        <v>4683.662822</v>
      </c>
      <c r="AZ130" s="116">
        <f t="shared" si="111"/>
        <v>3968.836939</v>
      </c>
      <c r="BA130" s="116">
        <f t="shared" si="111"/>
        <v>3301.495776</v>
      </c>
      <c r="BB130" s="116">
        <f t="shared" si="111"/>
        <v>2809.419755</v>
      </c>
      <c r="BC130" s="116">
        <f t="shared" si="111"/>
        <v>2447.055733</v>
      </c>
      <c r="BD130" s="116">
        <f t="shared" si="111"/>
        <v>2180.694546</v>
      </c>
      <c r="BE130" s="116">
        <f t="shared" si="111"/>
        <v>1985.391579</v>
      </c>
      <c r="BF130" s="116">
        <f t="shared" si="111"/>
        <v>1842.687983</v>
      </c>
      <c r="BG130" s="116">
        <f t="shared" si="111"/>
        <v>1738.924378</v>
      </c>
      <c r="BH130" s="116">
        <f t="shared" si="111"/>
        <v>1663.992994</v>
      </c>
      <c r="BI130" s="116">
        <f t="shared" si="111"/>
        <v>1610.414255</v>
      </c>
      <c r="BJ130" s="116">
        <f t="shared" si="111"/>
        <v>1572.653446</v>
      </c>
      <c r="BK130" s="116">
        <f t="shared" si="111"/>
        <v>4455.574522</v>
      </c>
      <c r="BL130" s="116">
        <f t="shared" si="111"/>
        <v>3864.844505</v>
      </c>
      <c r="BM130" s="116">
        <f t="shared" si="111"/>
        <v>2946.261601</v>
      </c>
      <c r="BN130" s="116">
        <f t="shared" si="111"/>
        <v>2980.713896</v>
      </c>
      <c r="BO130" s="116">
        <f t="shared" si="111"/>
        <v>3009.166643</v>
      </c>
      <c r="BP130" s="116">
        <f t="shared" si="111"/>
        <v>3033.234142</v>
      </c>
      <c r="BQ130" s="116">
        <f t="shared" si="111"/>
        <v>3054.112405</v>
      </c>
      <c r="BR130" s="116">
        <f t="shared" si="111"/>
        <v>3072.687956</v>
      </c>
      <c r="BS130" s="116">
        <f t="shared" si="111"/>
        <v>3089.61834</v>
      </c>
      <c r="BT130" s="116">
        <f t="shared" si="111"/>
        <v>3105.391706</v>
      </c>
      <c r="BU130" s="116">
        <f t="shared" si="111"/>
        <v>3120.370893</v>
      </c>
      <c r="BV130" s="116">
        <f t="shared" si="111"/>
        <v>3134.826066</v>
      </c>
      <c r="BW130" s="116">
        <f t="shared" si="111"/>
        <v>3303.843666</v>
      </c>
      <c r="BX130" s="116">
        <f t="shared" si="111"/>
        <v>-311.0302585</v>
      </c>
      <c r="BY130" s="116">
        <f t="shared" si="111"/>
        <v>-255.8002715</v>
      </c>
      <c r="BZ130" s="116">
        <f t="shared" si="111"/>
        <v>525.3198003</v>
      </c>
      <c r="CA130" s="116">
        <f t="shared" si="111"/>
        <v>1106.196155</v>
      </c>
      <c r="CB130" s="116">
        <f t="shared" si="111"/>
        <v>1538.878434</v>
      </c>
      <c r="CC130" s="116">
        <f t="shared" si="111"/>
        <v>1861.88429</v>
      </c>
      <c r="CD130" s="116">
        <f t="shared" si="111"/>
        <v>2103.717683</v>
      </c>
      <c r="CE130" s="116">
        <f t="shared" si="111"/>
        <v>2285.472422</v>
      </c>
      <c r="CF130" s="116">
        <f t="shared" si="111"/>
        <v>2422.758791</v>
      </c>
      <c r="CG130" s="116">
        <f t="shared" si="111"/>
        <v>2527.129245</v>
      </c>
      <c r="CH130" s="116">
        <f t="shared" si="111"/>
        <v>2607.133432</v>
      </c>
    </row>
    <row r="131" ht="15.75" customHeight="1">
      <c r="A131" s="1" t="s">
        <v>716</v>
      </c>
      <c r="C131" s="146">
        <f>Revenue!C119</f>
        <v>322.846</v>
      </c>
      <c r="D131" s="146">
        <f>Revenue!D119</f>
        <v>368.368</v>
      </c>
      <c r="E131" s="146">
        <f>Revenue!E119</f>
        <v>315.388</v>
      </c>
      <c r="F131" s="146">
        <f>Revenue!F119</f>
        <v>458.98</v>
      </c>
      <c r="G131" s="146">
        <f>Revenue!G119</f>
        <v>213.376</v>
      </c>
      <c r="H131" s="146">
        <f>Revenue!H119</f>
        <v>414.49</v>
      </c>
      <c r="I131" s="146">
        <f>Revenue!I119</f>
        <v>207.11</v>
      </c>
      <c r="J131" s="146">
        <f>Revenue!J119</f>
        <v>325.032</v>
      </c>
      <c r="K131" s="146">
        <f>Revenue!K119</f>
        <v>237.492</v>
      </c>
      <c r="L131" s="146">
        <f>Revenue!L119</f>
        <v>302.97</v>
      </c>
      <c r="M131" s="146">
        <f>Revenue!M119</f>
        <v>269.024</v>
      </c>
      <c r="N131" s="146">
        <f>Revenue!N119</f>
        <v>307.012</v>
      </c>
      <c r="O131" s="146">
        <f>Revenue!O119</f>
        <v>453.768</v>
      </c>
      <c r="P131" s="146">
        <f>Revenue!P119</f>
        <v>293.574</v>
      </c>
      <c r="Q131" s="146">
        <f>Revenue!Q119</f>
        <v>406.92</v>
      </c>
      <c r="R131" s="146">
        <f>Revenue!R119</f>
        <v>431.642</v>
      </c>
      <c r="S131" s="146">
        <f>Revenue!S119</f>
        <v>354.892</v>
      </c>
      <c r="T131" s="146">
        <f>Revenue!T119</f>
        <v>477.974</v>
      </c>
      <c r="U131" s="146">
        <f>Revenue!U119</f>
        <v>471.248</v>
      </c>
      <c r="V131" s="146">
        <f>Revenue!V119</f>
        <v>412.618</v>
      </c>
      <c r="W131" s="146">
        <f>Revenue!W119</f>
        <v>271.26</v>
      </c>
      <c r="X131" s="146">
        <f>Revenue!X119</f>
        <v>374.316</v>
      </c>
      <c r="Y131" s="146">
        <f>Revenue!Y119</f>
        <v>212.01</v>
      </c>
      <c r="Z131" s="146">
        <f>Revenue!Z119</f>
        <v>212.01</v>
      </c>
      <c r="AA131" s="146">
        <f>Revenue!AA119</f>
        <v>213.01</v>
      </c>
      <c r="AB131" s="146">
        <f>Revenue!AB119</f>
        <v>214.01</v>
      </c>
      <c r="AC131" s="146">
        <f>Revenue!AC119</f>
        <v>215.01</v>
      </c>
      <c r="AD131" s="146">
        <f>Revenue!AD119</f>
        <v>216.01</v>
      </c>
      <c r="AE131" s="146">
        <f>Revenue!AE119</f>
        <v>217.01</v>
      </c>
      <c r="AF131" s="146">
        <f>Revenue!AF119</f>
        <v>218.01</v>
      </c>
      <c r="AG131" s="146">
        <f>Revenue!AG119</f>
        <v>219.01</v>
      </c>
      <c r="AH131" s="146">
        <f>Revenue!AH119</f>
        <v>220.01</v>
      </c>
      <c r="AI131" s="146">
        <f>Revenue!AI119</f>
        <v>221.01</v>
      </c>
      <c r="AJ131" s="146">
        <f>Revenue!AJ119</f>
        <v>222.01</v>
      </c>
      <c r="AK131" s="146">
        <f>Revenue!AK119</f>
        <v>223.01</v>
      </c>
      <c r="AL131" s="146">
        <f>Revenue!AL119</f>
        <v>224.01</v>
      </c>
      <c r="AM131" s="146">
        <f>Revenue!AM119</f>
        <v>225.01</v>
      </c>
      <c r="AN131" s="146">
        <f>Revenue!AN119</f>
        <v>226.01</v>
      </c>
      <c r="AO131" s="146">
        <f>Revenue!AO119</f>
        <v>227.01</v>
      </c>
      <c r="AP131" s="146">
        <f>Revenue!AP119</f>
        <v>228.01</v>
      </c>
      <c r="AQ131" s="146">
        <f>Revenue!AQ119</f>
        <v>229.01</v>
      </c>
      <c r="AR131" s="146">
        <f>Revenue!AR119</f>
        <v>230.01</v>
      </c>
      <c r="AS131" s="146">
        <f>Revenue!AS119</f>
        <v>231.01</v>
      </c>
      <c r="AT131" s="146">
        <f>Revenue!AT119</f>
        <v>232.01</v>
      </c>
      <c r="AU131" s="146">
        <f>Revenue!AU119</f>
        <v>233.01</v>
      </c>
      <c r="AV131" s="146">
        <f>Revenue!AV119</f>
        <v>234.01</v>
      </c>
      <c r="AW131" s="146">
        <f>Revenue!AW119</f>
        <v>235.01</v>
      </c>
      <c r="AX131" s="146">
        <f>Revenue!AX119</f>
        <v>236.01</v>
      </c>
      <c r="AY131" s="146">
        <f>Revenue!AY119</f>
        <v>237.01</v>
      </c>
      <c r="AZ131" s="146">
        <f>Revenue!AZ119</f>
        <v>238.01</v>
      </c>
      <c r="BA131" s="146">
        <f>Revenue!BA119</f>
        <v>239.01</v>
      </c>
      <c r="BB131" s="146">
        <f>Revenue!BB119</f>
        <v>240.01</v>
      </c>
      <c r="BC131" s="146">
        <f>Revenue!BC119</f>
        <v>241.01</v>
      </c>
      <c r="BD131" s="146">
        <f>Revenue!BD119</f>
        <v>242.01</v>
      </c>
      <c r="BE131" s="146">
        <f>Revenue!BE119</f>
        <v>243.01</v>
      </c>
      <c r="BF131" s="146">
        <f>Revenue!BF119</f>
        <v>244.01</v>
      </c>
      <c r="BG131" s="146">
        <f>Revenue!BG119</f>
        <v>245.01</v>
      </c>
      <c r="BH131" s="146">
        <f>Revenue!BH119</f>
        <v>246.01</v>
      </c>
      <c r="BI131" s="146">
        <f>Revenue!BI119</f>
        <v>247.01</v>
      </c>
      <c r="BJ131" s="146">
        <f>Revenue!BJ119</f>
        <v>248.01</v>
      </c>
      <c r="BK131" s="146">
        <f>Revenue!BK119</f>
        <v>227.036036</v>
      </c>
      <c r="BL131" s="146">
        <f>Revenue!BL119</f>
        <v>230.6396396</v>
      </c>
      <c r="BM131" s="146">
        <f>Revenue!BM119</f>
        <v>234.2432432</v>
      </c>
      <c r="BN131" s="146">
        <f>Revenue!BN119</f>
        <v>237.8468468</v>
      </c>
      <c r="BO131" s="146">
        <f>Revenue!BO119</f>
        <v>241.4504505</v>
      </c>
      <c r="BP131" s="146">
        <f>Revenue!BP119</f>
        <v>245.0540541</v>
      </c>
      <c r="BQ131" s="146">
        <f>Revenue!BQ119</f>
        <v>248.6576577</v>
      </c>
      <c r="BR131" s="146">
        <f>Revenue!BR119</f>
        <v>252.2612613</v>
      </c>
      <c r="BS131" s="146">
        <f>Revenue!BS119</f>
        <v>255.8648649</v>
      </c>
      <c r="BT131" s="146">
        <f>Revenue!BT119</f>
        <v>259.4684685</v>
      </c>
      <c r="BU131" s="146">
        <f>Revenue!BU119</f>
        <v>263.0720721</v>
      </c>
      <c r="BV131" s="146">
        <f>Revenue!BV119</f>
        <v>266.6756757</v>
      </c>
      <c r="BW131" s="146">
        <f>Revenue!BW119</f>
        <v>270.2792793</v>
      </c>
      <c r="BX131" s="146">
        <f>Revenue!BX119</f>
        <v>273.8828829</v>
      </c>
      <c r="BY131" s="146">
        <f>Revenue!BY119</f>
        <v>277.4864865</v>
      </c>
      <c r="BZ131" s="146">
        <f>Revenue!BZ119</f>
        <v>281.0900901</v>
      </c>
      <c r="CA131" s="146">
        <f>Revenue!CA119</f>
        <v>284.6936937</v>
      </c>
      <c r="CB131" s="146">
        <f>Revenue!CB119</f>
        <v>288.2972973</v>
      </c>
      <c r="CC131" s="146">
        <f>Revenue!CC119</f>
        <v>291.9009009</v>
      </c>
      <c r="CD131" s="146">
        <f>Revenue!CD119</f>
        <v>295.5045045</v>
      </c>
      <c r="CE131" s="146">
        <f>Revenue!CE119</f>
        <v>299.1081081</v>
      </c>
      <c r="CF131" s="146">
        <f>Revenue!CF119</f>
        <v>302.7117117</v>
      </c>
      <c r="CG131" s="146">
        <f>Revenue!CG119</f>
        <v>306.3153153</v>
      </c>
      <c r="CH131" s="146">
        <f>Revenue!CH119</f>
        <v>309.9189189</v>
      </c>
    </row>
    <row r="132" ht="15.75" customHeight="1">
      <c r="A132" s="1" t="s">
        <v>717</v>
      </c>
      <c r="C132" s="146">
        <f>Revenue!C125</f>
        <v>68.604</v>
      </c>
      <c r="D132" s="146">
        <f>Revenue!D125</f>
        <v>60.858</v>
      </c>
      <c r="E132" s="146">
        <f>Revenue!E125</f>
        <v>79.396</v>
      </c>
      <c r="F132" s="146">
        <f>Revenue!F125</f>
        <v>57.574</v>
      </c>
      <c r="G132" s="146">
        <f>Revenue!G125</f>
        <v>65.468</v>
      </c>
      <c r="H132" s="146">
        <f>Revenue!H125</f>
        <v>79.77</v>
      </c>
      <c r="I132" s="146">
        <f>Revenue!I125</f>
        <v>71.862</v>
      </c>
      <c r="J132" s="146">
        <f>Revenue!J125</f>
        <v>68.102</v>
      </c>
      <c r="K132" s="146">
        <f>Revenue!K125</f>
        <v>69.002</v>
      </c>
      <c r="L132" s="146">
        <f>Revenue!L125</f>
        <v>59.618</v>
      </c>
      <c r="M132" s="146">
        <f>Revenue!M125</f>
        <v>70.926</v>
      </c>
      <c r="N132" s="146">
        <f>Revenue!N125</f>
        <v>73.996</v>
      </c>
      <c r="O132" s="146">
        <f>Revenue!O125</f>
        <v>79.85</v>
      </c>
      <c r="P132" s="146">
        <f>Revenue!P125</f>
        <v>49.062</v>
      </c>
      <c r="Q132" s="146">
        <f>Revenue!Q125</f>
        <v>76.604</v>
      </c>
      <c r="R132" s="146">
        <f>Revenue!R125</f>
        <v>79.58</v>
      </c>
      <c r="S132" s="146">
        <f>Revenue!S125</f>
        <v>55.59</v>
      </c>
      <c r="T132" s="146">
        <f>Revenue!T125</f>
        <v>65.046</v>
      </c>
      <c r="U132" s="146">
        <f>Revenue!U125</f>
        <v>41.478</v>
      </c>
      <c r="V132" s="146">
        <f>Revenue!V125</f>
        <v>52.286</v>
      </c>
      <c r="W132" s="146">
        <f>Revenue!W125</f>
        <v>41.464</v>
      </c>
      <c r="X132" s="146">
        <f>Revenue!X125</f>
        <v>43.348</v>
      </c>
      <c r="Y132" s="146">
        <f>Revenue!Y125</f>
        <v>78.78</v>
      </c>
      <c r="Z132" s="146">
        <f>Revenue!Z125</f>
        <v>114.9727047</v>
      </c>
      <c r="AA132" s="146">
        <f>Revenue!AA125</f>
        <v>153.0794777</v>
      </c>
      <c r="AB132" s="146">
        <f>Revenue!AB125</f>
        <v>186.908067</v>
      </c>
      <c r="AC132" s="146">
        <f>Revenue!AC125</f>
        <v>211.4373125</v>
      </c>
      <c r="AD132" s="146">
        <f>Revenue!AD125</f>
        <v>229.3370579</v>
      </c>
      <c r="AE132" s="146">
        <f>Revenue!AE125</f>
        <v>244.3534704</v>
      </c>
      <c r="AF132" s="146">
        <f>Revenue!AF125</f>
        <v>254.7577937</v>
      </c>
      <c r="AG132" s="146">
        <f>Revenue!AG125</f>
        <v>262.0518201</v>
      </c>
      <c r="AH132" s="146">
        <f>Revenue!AH125</f>
        <v>264.5938128</v>
      </c>
      <c r="AI132" s="146">
        <f>Revenue!AI125</f>
        <v>261.7602468</v>
      </c>
      <c r="AJ132" s="146">
        <f>Revenue!AJ125</f>
        <v>266.6533237</v>
      </c>
      <c r="AK132" s="146">
        <f>Revenue!AK125</f>
        <v>270.5633443</v>
      </c>
      <c r="AL132" s="146">
        <f>Revenue!AL125</f>
        <v>274.0432997</v>
      </c>
      <c r="AM132" s="146">
        <f>Revenue!AM125</f>
        <v>258.8479919</v>
      </c>
      <c r="AN132" s="146">
        <f>Revenue!AN125</f>
        <v>248.5777205</v>
      </c>
      <c r="AO132" s="146">
        <f>Revenue!AO125</f>
        <v>238.9111665</v>
      </c>
      <c r="AP132" s="146">
        <f>Revenue!AP125</f>
        <v>232.3541732</v>
      </c>
      <c r="AQ132" s="146">
        <f>Revenue!AQ125</f>
        <v>228.0327813</v>
      </c>
      <c r="AR132" s="146">
        <f>Revenue!AR125</f>
        <v>225.7905511</v>
      </c>
      <c r="AS132" s="146">
        <f>Revenue!AS125</f>
        <v>224.5754707</v>
      </c>
      <c r="AT132" s="146">
        <f>Revenue!AT125</f>
        <v>224.1009156</v>
      </c>
      <c r="AU132" s="146">
        <f>Revenue!AU125</f>
        <v>224.1611181</v>
      </c>
      <c r="AV132" s="146">
        <f>Revenue!AV125</f>
        <v>224.6083655</v>
      </c>
      <c r="AW132" s="146">
        <f>Revenue!AW125</f>
        <v>225.3366293</v>
      </c>
      <c r="AX132" s="146">
        <f>Revenue!AX125</f>
        <v>226.2698103</v>
      </c>
      <c r="AY132" s="146">
        <f>Revenue!AY125</f>
        <v>233.8079415</v>
      </c>
      <c r="AZ132" s="146">
        <f>Revenue!AZ125</f>
        <v>240.0580982</v>
      </c>
      <c r="BA132" s="146">
        <f>Revenue!BA125</f>
        <v>245.1058383</v>
      </c>
      <c r="BB132" s="146">
        <f>Revenue!BB125</f>
        <v>249.266955</v>
      </c>
      <c r="BC132" s="146">
        <f>Revenue!BC125</f>
        <v>252.7751635</v>
      </c>
      <c r="BD132" s="146">
        <f>Revenue!BD125</f>
        <v>255.803442</v>
      </c>
      <c r="BE132" s="146">
        <f>Revenue!BE125</f>
        <v>258.4798232</v>
      </c>
      <c r="BF132" s="146">
        <f>Revenue!BF125</f>
        <v>260.8990808</v>
      </c>
      <c r="BG132" s="146">
        <f>Revenue!BG125</f>
        <v>263.131377</v>
      </c>
      <c r="BH132" s="146">
        <f>Revenue!BH125</f>
        <v>265.2286617</v>
      </c>
      <c r="BI132" s="146">
        <f>Revenue!BI125</f>
        <v>267.2294081</v>
      </c>
      <c r="BJ132" s="146">
        <f>Revenue!BJ125</f>
        <v>269.162117</v>
      </c>
      <c r="BK132" s="146">
        <f>Revenue!BK125</f>
        <v>273.5865756</v>
      </c>
      <c r="BL132" s="146">
        <f>Revenue!BL125</f>
        <v>276.9466558</v>
      </c>
      <c r="BM132" s="146">
        <f>Revenue!BM125</f>
        <v>278.6516316</v>
      </c>
      <c r="BN132" s="146">
        <f>Revenue!BN125</f>
        <v>280.4186837</v>
      </c>
      <c r="BO132" s="146">
        <f>Revenue!BO125</f>
        <v>282.237002</v>
      </c>
      <c r="BP132" s="146">
        <f>Revenue!BP125</f>
        <v>284.0986851</v>
      </c>
      <c r="BQ132" s="146">
        <f>Revenue!BQ125</f>
        <v>285.9979867</v>
      </c>
      <c r="BR132" s="146">
        <f>Revenue!BR125</f>
        <v>287.9307578</v>
      </c>
      <c r="BS132" s="146">
        <f>Revenue!BS125</f>
        <v>289.8940341</v>
      </c>
      <c r="BT132" s="146">
        <f>Revenue!BT125</f>
        <v>291.8857309</v>
      </c>
      <c r="BU132" s="146">
        <f>Revenue!BU125</f>
        <v>293.9044172</v>
      </c>
      <c r="BV132" s="146">
        <f>Revenue!BV125</f>
        <v>295.9491488</v>
      </c>
      <c r="BW132" s="146">
        <f>Revenue!BW125</f>
        <v>298.2984167</v>
      </c>
      <c r="BX132" s="146">
        <f>Revenue!BX125</f>
        <v>294.1343982</v>
      </c>
      <c r="BY132" s="146">
        <f>Revenue!BY125</f>
        <v>290.0698932</v>
      </c>
      <c r="BZ132" s="146">
        <f>Revenue!BZ125</f>
        <v>287.4128118</v>
      </c>
      <c r="CA132" s="146">
        <f>Revenue!CA125</f>
        <v>285.8023544</v>
      </c>
      <c r="CB132" s="146">
        <f>Revenue!CB125</f>
        <v>284.9715047</v>
      </c>
      <c r="CC132" s="146">
        <f>Revenue!CC125</f>
        <v>284.7226476</v>
      </c>
      <c r="CD132" s="146">
        <f>Revenue!CD125</f>
        <v>284.9095263</v>
      </c>
      <c r="CE132" s="146">
        <f>Revenue!CE125</f>
        <v>285.423891</v>
      </c>
      <c r="CF132" s="146">
        <f>Revenue!CF125</f>
        <v>286.1856186</v>
      </c>
      <c r="CG132" s="146">
        <f>Revenue!CG125</f>
        <v>287.135401</v>
      </c>
      <c r="CH132" s="146">
        <f>Revenue!CH125</f>
        <v>288.2293351</v>
      </c>
    </row>
    <row r="133" ht="15.75" customHeight="1">
      <c r="A133" s="1" t="s">
        <v>693</v>
      </c>
      <c r="C133" s="146"/>
      <c r="D133" s="146">
        <f t="shared" ref="D133:CH133" si="112">D131-C131</f>
        <v>45.522</v>
      </c>
      <c r="E133" s="146">
        <f t="shared" si="112"/>
        <v>-52.98</v>
      </c>
      <c r="F133" s="146">
        <f t="shared" si="112"/>
        <v>143.592</v>
      </c>
      <c r="G133" s="146">
        <f t="shared" si="112"/>
        <v>-245.604</v>
      </c>
      <c r="H133" s="146">
        <f t="shared" si="112"/>
        <v>201.114</v>
      </c>
      <c r="I133" s="146">
        <f t="shared" si="112"/>
        <v>-207.38</v>
      </c>
      <c r="J133" s="146">
        <f t="shared" si="112"/>
        <v>117.922</v>
      </c>
      <c r="K133" s="146">
        <f t="shared" si="112"/>
        <v>-87.54</v>
      </c>
      <c r="L133" s="146">
        <f t="shared" si="112"/>
        <v>65.478</v>
      </c>
      <c r="M133" s="146">
        <f t="shared" si="112"/>
        <v>-33.946</v>
      </c>
      <c r="N133" s="146">
        <f t="shared" si="112"/>
        <v>37.988</v>
      </c>
      <c r="O133" s="146">
        <f t="shared" si="112"/>
        <v>146.756</v>
      </c>
      <c r="P133" s="146">
        <f t="shared" si="112"/>
        <v>-160.194</v>
      </c>
      <c r="Q133" s="146">
        <f t="shared" si="112"/>
        <v>113.346</v>
      </c>
      <c r="R133" s="146">
        <f t="shared" si="112"/>
        <v>24.722</v>
      </c>
      <c r="S133" s="146">
        <f t="shared" si="112"/>
        <v>-76.75</v>
      </c>
      <c r="T133" s="146">
        <f t="shared" si="112"/>
        <v>123.082</v>
      </c>
      <c r="U133" s="146">
        <f t="shared" si="112"/>
        <v>-6.726</v>
      </c>
      <c r="V133" s="146">
        <f t="shared" si="112"/>
        <v>-58.63</v>
      </c>
      <c r="W133" s="146">
        <f t="shared" si="112"/>
        <v>-141.358</v>
      </c>
      <c r="X133" s="146">
        <f t="shared" si="112"/>
        <v>103.056</v>
      </c>
      <c r="Y133" s="146">
        <f t="shared" si="112"/>
        <v>-162.306</v>
      </c>
      <c r="Z133" s="146">
        <f t="shared" si="112"/>
        <v>0</v>
      </c>
      <c r="AA133" s="146">
        <f t="shared" si="112"/>
        <v>1</v>
      </c>
      <c r="AB133" s="146">
        <f t="shared" si="112"/>
        <v>1</v>
      </c>
      <c r="AC133" s="146">
        <f t="shared" si="112"/>
        <v>1</v>
      </c>
      <c r="AD133" s="146">
        <f t="shared" si="112"/>
        <v>1</v>
      </c>
      <c r="AE133" s="146">
        <f t="shared" si="112"/>
        <v>1</v>
      </c>
      <c r="AF133" s="146">
        <f t="shared" si="112"/>
        <v>1</v>
      </c>
      <c r="AG133" s="146">
        <f t="shared" si="112"/>
        <v>1</v>
      </c>
      <c r="AH133" s="146">
        <f t="shared" si="112"/>
        <v>1</v>
      </c>
      <c r="AI133" s="146">
        <f t="shared" si="112"/>
        <v>1</v>
      </c>
      <c r="AJ133" s="146">
        <f t="shared" si="112"/>
        <v>1</v>
      </c>
      <c r="AK133" s="146">
        <f t="shared" si="112"/>
        <v>1</v>
      </c>
      <c r="AL133" s="146">
        <f t="shared" si="112"/>
        <v>1</v>
      </c>
      <c r="AM133" s="146">
        <f t="shared" si="112"/>
        <v>1</v>
      </c>
      <c r="AN133" s="146">
        <f t="shared" si="112"/>
        <v>1</v>
      </c>
      <c r="AO133" s="146">
        <f t="shared" si="112"/>
        <v>1</v>
      </c>
      <c r="AP133" s="146">
        <f t="shared" si="112"/>
        <v>1</v>
      </c>
      <c r="AQ133" s="146">
        <f t="shared" si="112"/>
        <v>1</v>
      </c>
      <c r="AR133" s="146">
        <f t="shared" si="112"/>
        <v>1</v>
      </c>
      <c r="AS133" s="146">
        <f t="shared" si="112"/>
        <v>1</v>
      </c>
      <c r="AT133" s="146">
        <f t="shared" si="112"/>
        <v>1</v>
      </c>
      <c r="AU133" s="146">
        <f t="shared" si="112"/>
        <v>1</v>
      </c>
      <c r="AV133" s="146">
        <f t="shared" si="112"/>
        <v>1</v>
      </c>
      <c r="AW133" s="146">
        <f t="shared" si="112"/>
        <v>1</v>
      </c>
      <c r="AX133" s="146">
        <f t="shared" si="112"/>
        <v>1</v>
      </c>
      <c r="AY133" s="146">
        <f t="shared" si="112"/>
        <v>1</v>
      </c>
      <c r="AZ133" s="146">
        <f t="shared" si="112"/>
        <v>1</v>
      </c>
      <c r="BA133" s="146">
        <f t="shared" si="112"/>
        <v>1</v>
      </c>
      <c r="BB133" s="146">
        <f t="shared" si="112"/>
        <v>1</v>
      </c>
      <c r="BC133" s="146">
        <f t="shared" si="112"/>
        <v>1</v>
      </c>
      <c r="BD133" s="146">
        <f t="shared" si="112"/>
        <v>1</v>
      </c>
      <c r="BE133" s="146">
        <f t="shared" si="112"/>
        <v>1</v>
      </c>
      <c r="BF133" s="146">
        <f t="shared" si="112"/>
        <v>1</v>
      </c>
      <c r="BG133" s="146">
        <f t="shared" si="112"/>
        <v>1</v>
      </c>
      <c r="BH133" s="146">
        <f t="shared" si="112"/>
        <v>1</v>
      </c>
      <c r="BI133" s="146">
        <f t="shared" si="112"/>
        <v>1</v>
      </c>
      <c r="BJ133" s="146">
        <f t="shared" si="112"/>
        <v>1</v>
      </c>
      <c r="BK133" s="146">
        <f t="shared" si="112"/>
        <v>-20.97396396</v>
      </c>
      <c r="BL133" s="146">
        <f t="shared" si="112"/>
        <v>3.603603604</v>
      </c>
      <c r="BM133" s="146">
        <f t="shared" si="112"/>
        <v>3.603603604</v>
      </c>
      <c r="BN133" s="146">
        <f t="shared" si="112"/>
        <v>3.603603604</v>
      </c>
      <c r="BO133" s="146">
        <f t="shared" si="112"/>
        <v>3.603603604</v>
      </c>
      <c r="BP133" s="146">
        <f t="shared" si="112"/>
        <v>3.603603604</v>
      </c>
      <c r="BQ133" s="146">
        <f t="shared" si="112"/>
        <v>3.603603604</v>
      </c>
      <c r="BR133" s="146">
        <f t="shared" si="112"/>
        <v>3.603603604</v>
      </c>
      <c r="BS133" s="146">
        <f t="shared" si="112"/>
        <v>3.603603604</v>
      </c>
      <c r="BT133" s="146">
        <f t="shared" si="112"/>
        <v>3.603603604</v>
      </c>
      <c r="BU133" s="146">
        <f t="shared" si="112"/>
        <v>3.603603604</v>
      </c>
      <c r="BV133" s="146">
        <f t="shared" si="112"/>
        <v>3.603603604</v>
      </c>
      <c r="BW133" s="146">
        <f t="shared" si="112"/>
        <v>3.603603604</v>
      </c>
      <c r="BX133" s="146">
        <f t="shared" si="112"/>
        <v>3.603603604</v>
      </c>
      <c r="BY133" s="146">
        <f t="shared" si="112"/>
        <v>3.603603604</v>
      </c>
      <c r="BZ133" s="146">
        <f t="shared" si="112"/>
        <v>3.603603604</v>
      </c>
      <c r="CA133" s="146">
        <f t="shared" si="112"/>
        <v>3.603603604</v>
      </c>
      <c r="CB133" s="146">
        <f t="shared" si="112"/>
        <v>3.603603604</v>
      </c>
      <c r="CC133" s="146">
        <f t="shared" si="112"/>
        <v>3.603603604</v>
      </c>
      <c r="CD133" s="146">
        <f t="shared" si="112"/>
        <v>3.603603604</v>
      </c>
      <c r="CE133" s="146">
        <f t="shared" si="112"/>
        <v>3.603603604</v>
      </c>
      <c r="CF133" s="146">
        <f t="shared" si="112"/>
        <v>3.603603604</v>
      </c>
      <c r="CG133" s="146">
        <f t="shared" si="112"/>
        <v>3.603603604</v>
      </c>
      <c r="CH133" s="146">
        <f t="shared" si="112"/>
        <v>3.603603604</v>
      </c>
    </row>
    <row r="134" ht="15.75" customHeight="1"/>
    <row r="135" ht="15.75" customHeight="1">
      <c r="A135" s="146" t="s">
        <v>718</v>
      </c>
      <c r="B135" s="146"/>
      <c r="C135" s="146"/>
      <c r="D135" s="146"/>
      <c r="E135" s="146"/>
      <c r="F135" s="146"/>
      <c r="G135" s="146"/>
      <c r="H135" s="146"/>
      <c r="I135" s="146"/>
      <c r="J135" s="146"/>
      <c r="K135" s="146"/>
      <c r="L135" s="146"/>
      <c r="M135" s="173"/>
      <c r="N135" s="146"/>
      <c r="O135" s="146"/>
      <c r="P135" s="242"/>
      <c r="Q135" s="242"/>
      <c r="R135" s="242"/>
      <c r="S135" s="242"/>
      <c r="T135" s="242"/>
      <c r="U135" s="242"/>
      <c r="V135" s="242"/>
      <c r="W135" s="242"/>
      <c r="X135" s="242"/>
      <c r="Y135" s="146"/>
      <c r="Z135" s="146"/>
      <c r="AA135" s="146"/>
      <c r="AB135" s="146"/>
      <c r="AC135" s="146"/>
      <c r="AD135" s="146"/>
      <c r="AE135" s="146"/>
      <c r="AF135" s="146"/>
      <c r="AG135" s="146"/>
      <c r="AH135" s="146"/>
      <c r="AI135" s="146"/>
      <c r="AJ135" s="146"/>
      <c r="AK135" s="146"/>
      <c r="AL135" s="146"/>
      <c r="AM135" s="146"/>
      <c r="AN135" s="146"/>
      <c r="AO135" s="146"/>
      <c r="AP135" s="146"/>
      <c r="AQ135" s="146"/>
      <c r="AR135" s="146"/>
      <c r="AS135" s="146"/>
      <c r="AT135" s="146"/>
      <c r="AU135" s="146"/>
      <c r="AV135" s="146"/>
      <c r="AW135" s="146"/>
      <c r="AX135" s="146"/>
      <c r="AY135" s="146"/>
      <c r="AZ135" s="146"/>
      <c r="BA135" s="146"/>
      <c r="BB135" s="146"/>
      <c r="BC135" s="146"/>
      <c r="BD135" s="146"/>
      <c r="BE135" s="146"/>
      <c r="BF135" s="146"/>
      <c r="BG135" s="146"/>
      <c r="BH135" s="146"/>
      <c r="BI135" s="146"/>
      <c r="BJ135" s="146"/>
      <c r="BK135" s="146"/>
      <c r="BL135" s="146"/>
      <c r="BM135" s="146"/>
      <c r="BN135" s="146"/>
      <c r="BO135" s="146"/>
      <c r="BP135" s="146"/>
      <c r="BQ135" s="146"/>
      <c r="BR135" s="146"/>
      <c r="BS135" s="146"/>
      <c r="BT135" s="146"/>
      <c r="BU135" s="146"/>
      <c r="BV135" s="146"/>
      <c r="BW135" s="146"/>
      <c r="BX135" s="146"/>
      <c r="BY135" s="146"/>
      <c r="BZ135" s="146"/>
      <c r="CA135" s="146"/>
      <c r="CB135" s="146"/>
      <c r="CC135" s="146"/>
      <c r="CD135" s="146"/>
      <c r="CE135" s="146"/>
      <c r="CF135" s="146"/>
      <c r="CG135" s="146"/>
      <c r="CH135" s="146"/>
    </row>
    <row r="136" ht="15.75" customHeight="1">
      <c r="A136" s="146" t="s">
        <v>719</v>
      </c>
      <c r="B136" s="146"/>
      <c r="C136" s="146"/>
      <c r="D136" s="146"/>
      <c r="E136" s="146"/>
      <c r="F136" s="146"/>
      <c r="G136" s="146"/>
      <c r="H136" s="146"/>
      <c r="I136" s="146"/>
      <c r="J136" s="146"/>
      <c r="K136" s="146"/>
      <c r="L136" s="146"/>
      <c r="M136" s="173"/>
      <c r="N136" s="146"/>
      <c r="O136" s="146"/>
      <c r="P136" s="242"/>
      <c r="Q136" s="242"/>
      <c r="R136" s="242"/>
      <c r="S136" s="242"/>
      <c r="T136" s="242"/>
      <c r="U136" s="242"/>
      <c r="V136" s="242"/>
      <c r="W136" s="242"/>
      <c r="X136" s="242"/>
      <c r="Y136" s="146"/>
      <c r="Z136" s="146"/>
      <c r="AA136" s="146"/>
      <c r="AB136" s="146"/>
      <c r="AC136" s="146"/>
      <c r="AD136" s="146"/>
      <c r="AE136" s="146"/>
      <c r="AF136" s="146"/>
      <c r="AG136" s="146"/>
      <c r="AH136" s="146"/>
      <c r="AI136" s="146"/>
      <c r="AJ136" s="146"/>
      <c r="AK136" s="146"/>
      <c r="AL136" s="146"/>
      <c r="AM136" s="146"/>
      <c r="AN136" s="146"/>
      <c r="AO136" s="146"/>
      <c r="AP136" s="146"/>
      <c r="AQ136" s="146"/>
      <c r="AR136" s="146"/>
      <c r="AS136" s="146"/>
      <c r="AT136" s="146"/>
      <c r="AU136" s="146"/>
      <c r="AV136" s="146"/>
      <c r="AW136" s="146"/>
      <c r="AX136" s="146"/>
      <c r="AY136" s="146"/>
      <c r="AZ136" s="146"/>
      <c r="BA136" s="146"/>
      <c r="BB136" s="146"/>
      <c r="BC136" s="146"/>
      <c r="BD136" s="146"/>
      <c r="BE136" s="146"/>
      <c r="BF136" s="146"/>
      <c r="BG136" s="146"/>
      <c r="BH136" s="146"/>
      <c r="BI136" s="146"/>
      <c r="BJ136" s="146"/>
      <c r="BK136" s="146"/>
      <c r="BL136" s="146"/>
      <c r="BM136" s="146"/>
      <c r="BN136" s="146"/>
      <c r="BO136" s="146"/>
      <c r="BP136" s="146"/>
      <c r="BQ136" s="146"/>
      <c r="BR136" s="146"/>
      <c r="BS136" s="146"/>
      <c r="BT136" s="146"/>
      <c r="BU136" s="146"/>
      <c r="BV136" s="146"/>
      <c r="BW136" s="146"/>
      <c r="BX136" s="146"/>
      <c r="BY136" s="146"/>
      <c r="BZ136" s="146"/>
      <c r="CA136" s="146"/>
      <c r="CB136" s="146"/>
      <c r="CC136" s="146"/>
      <c r="CD136" s="146"/>
      <c r="CE136" s="146"/>
      <c r="CF136" s="146"/>
      <c r="CG136" s="146"/>
      <c r="CH136" s="146"/>
    </row>
    <row r="137" ht="15.75" customHeight="1">
      <c r="A137" s="146" t="s">
        <v>698</v>
      </c>
      <c r="B137" s="146"/>
      <c r="C137" s="146"/>
      <c r="D137" s="146"/>
      <c r="E137" s="146"/>
      <c r="F137" s="146"/>
      <c r="G137" s="146"/>
      <c r="H137" s="146"/>
      <c r="I137" s="146"/>
      <c r="J137" s="146"/>
      <c r="K137" s="146"/>
      <c r="L137" s="146"/>
      <c r="M137" s="173"/>
      <c r="N137" s="146"/>
      <c r="O137" s="146"/>
      <c r="P137" s="242"/>
      <c r="Q137" s="242"/>
      <c r="R137" s="242"/>
      <c r="S137" s="242"/>
      <c r="T137" s="242"/>
      <c r="U137" s="242"/>
      <c r="V137" s="242"/>
      <c r="W137" s="242"/>
      <c r="X137" s="242"/>
      <c r="Y137" s="146"/>
      <c r="Z137" s="146"/>
      <c r="AA137" s="146"/>
      <c r="AB137" s="146"/>
      <c r="AC137" s="146"/>
      <c r="AD137" s="146"/>
      <c r="AE137" s="146"/>
      <c r="AF137" s="146"/>
      <c r="AG137" s="146"/>
      <c r="AH137" s="146"/>
      <c r="AI137" s="146"/>
      <c r="AJ137" s="146"/>
      <c r="AK137" s="146"/>
      <c r="AL137" s="146"/>
      <c r="AM137" s="146"/>
      <c r="AN137" s="146"/>
      <c r="AO137" s="146"/>
      <c r="AP137" s="146"/>
      <c r="AQ137" s="146"/>
      <c r="AR137" s="146"/>
      <c r="AS137" s="146"/>
      <c r="AT137" s="146"/>
      <c r="AU137" s="146"/>
      <c r="AV137" s="146"/>
      <c r="AW137" s="146"/>
      <c r="AX137" s="146"/>
      <c r="AY137" s="146"/>
      <c r="AZ137" s="146"/>
      <c r="BA137" s="146"/>
      <c r="BB137" s="146"/>
      <c r="BC137" s="146"/>
      <c r="BD137" s="146"/>
      <c r="BE137" s="146"/>
      <c r="BF137" s="146"/>
      <c r="BG137" s="146"/>
      <c r="BH137" s="146"/>
      <c r="BI137" s="146"/>
      <c r="BJ137" s="146"/>
      <c r="BK137" s="146"/>
      <c r="BL137" s="146"/>
      <c r="BM137" s="146"/>
      <c r="BN137" s="146"/>
      <c r="BO137" s="146"/>
      <c r="BP137" s="146"/>
      <c r="BQ137" s="146"/>
      <c r="BR137" s="146"/>
      <c r="BS137" s="146"/>
      <c r="BT137" s="146"/>
      <c r="BU137" s="146"/>
      <c r="BV137" s="146"/>
      <c r="BW137" s="146"/>
      <c r="BX137" s="146"/>
      <c r="BY137" s="146"/>
      <c r="BZ137" s="146"/>
      <c r="CA137" s="146"/>
      <c r="CB137" s="146"/>
      <c r="CC137" s="146"/>
      <c r="CD137" s="146"/>
      <c r="CE137" s="146"/>
      <c r="CF137" s="146"/>
      <c r="CG137" s="146"/>
      <c r="CH137" s="146"/>
    </row>
    <row r="138" ht="15.75" customHeight="1">
      <c r="A138" s="1" t="s">
        <v>701</v>
      </c>
      <c r="B138" s="146"/>
      <c r="C138" s="146"/>
      <c r="D138" s="146"/>
      <c r="E138" s="146"/>
      <c r="F138" s="146"/>
      <c r="G138" s="146"/>
      <c r="H138" s="146"/>
      <c r="I138" s="146"/>
      <c r="J138" s="146"/>
      <c r="K138" s="146"/>
      <c r="L138" s="146"/>
      <c r="M138" s="173"/>
      <c r="N138" s="146"/>
      <c r="O138" s="146"/>
      <c r="P138" s="242"/>
      <c r="Q138" s="242"/>
      <c r="R138" s="242"/>
      <c r="S138" s="242"/>
      <c r="T138" s="242"/>
      <c r="U138" s="242"/>
      <c r="V138" s="242"/>
      <c r="W138" s="242"/>
      <c r="X138" s="242"/>
      <c r="Y138" s="146"/>
      <c r="Z138" s="146"/>
      <c r="AA138" s="146"/>
      <c r="AB138" s="146"/>
      <c r="AC138" s="146"/>
      <c r="AD138" s="146"/>
      <c r="AE138" s="146"/>
      <c r="AF138" s="146"/>
      <c r="AG138" s="146"/>
      <c r="AH138" s="146"/>
      <c r="AI138" s="146"/>
      <c r="AJ138" s="146"/>
      <c r="AK138" s="146"/>
      <c r="AL138" s="146"/>
      <c r="AM138" s="146"/>
      <c r="AN138" s="146"/>
      <c r="AO138" s="146"/>
      <c r="AP138" s="146"/>
      <c r="AQ138" s="146"/>
      <c r="AR138" s="146"/>
      <c r="AS138" s="146"/>
      <c r="AT138" s="146"/>
      <c r="AU138" s="146"/>
      <c r="AV138" s="146"/>
      <c r="AW138" s="146"/>
      <c r="AX138" s="146"/>
      <c r="AY138" s="146"/>
      <c r="AZ138" s="146"/>
      <c r="BA138" s="146"/>
      <c r="BB138" s="146"/>
      <c r="BC138" s="146"/>
      <c r="BD138" s="146"/>
      <c r="BE138" s="146"/>
      <c r="BF138" s="146"/>
      <c r="BG138" s="146"/>
      <c r="BH138" s="146"/>
      <c r="BI138" s="146"/>
      <c r="BJ138" s="146"/>
      <c r="BK138" s="146"/>
      <c r="BL138" s="146"/>
      <c r="BM138" s="146"/>
      <c r="BN138" s="146"/>
      <c r="BO138" s="146"/>
      <c r="BP138" s="146"/>
      <c r="BQ138" s="146"/>
      <c r="BR138" s="146"/>
      <c r="BS138" s="146"/>
      <c r="BT138" s="146"/>
      <c r="BU138" s="146"/>
      <c r="BV138" s="146"/>
      <c r="BW138" s="146"/>
      <c r="BX138" s="146"/>
      <c r="BY138" s="146"/>
      <c r="BZ138" s="146"/>
      <c r="CA138" s="146"/>
      <c r="CB138" s="146"/>
      <c r="CC138" s="146"/>
      <c r="CD138" s="146"/>
      <c r="CE138" s="146"/>
      <c r="CF138" s="146"/>
      <c r="CG138" s="146"/>
      <c r="CH138" s="146"/>
    </row>
    <row r="139" ht="15.75" customHeight="1">
      <c r="A139" s="1" t="s">
        <v>702</v>
      </c>
      <c r="B139" s="146"/>
      <c r="C139" s="146"/>
      <c r="D139" s="146"/>
      <c r="E139" s="146"/>
      <c r="F139" s="146"/>
      <c r="G139" s="146"/>
      <c r="H139" s="146"/>
      <c r="I139" s="146"/>
      <c r="J139" s="146"/>
      <c r="K139" s="146"/>
      <c r="L139" s="146"/>
      <c r="M139" s="173"/>
      <c r="N139" s="146"/>
      <c r="O139" s="146"/>
      <c r="P139" s="242"/>
      <c r="Q139" s="242"/>
      <c r="R139" s="242"/>
      <c r="S139" s="242"/>
      <c r="T139" s="242"/>
      <c r="U139" s="242"/>
      <c r="V139" s="242"/>
      <c r="W139" s="242"/>
      <c r="X139" s="242"/>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6"/>
      <c r="AV139" s="146"/>
      <c r="AW139" s="146"/>
      <c r="AX139" s="146"/>
      <c r="AY139" s="146"/>
      <c r="AZ139" s="146"/>
      <c r="BA139" s="146"/>
      <c r="BB139" s="146"/>
      <c r="BC139" s="146"/>
      <c r="BD139" s="146"/>
      <c r="BE139" s="146"/>
      <c r="BF139" s="146"/>
      <c r="BG139" s="146"/>
      <c r="BH139" s="146"/>
      <c r="BI139" s="146"/>
      <c r="BJ139" s="146"/>
      <c r="BK139" s="146"/>
      <c r="BL139" s="146"/>
      <c r="BM139" s="146"/>
      <c r="BN139" s="146"/>
      <c r="BO139" s="146"/>
      <c r="BP139" s="146"/>
      <c r="BQ139" s="146"/>
      <c r="BR139" s="146"/>
      <c r="BS139" s="146"/>
      <c r="BT139" s="146"/>
      <c r="BU139" s="146"/>
      <c r="BV139" s="146"/>
      <c r="BW139" s="146"/>
      <c r="BX139" s="146"/>
      <c r="BY139" s="146"/>
      <c r="BZ139" s="146"/>
      <c r="CA139" s="146"/>
      <c r="CB139" s="146"/>
      <c r="CC139" s="146"/>
      <c r="CD139" s="146"/>
      <c r="CE139" s="146"/>
      <c r="CF139" s="146"/>
      <c r="CG139" s="146"/>
      <c r="CH139" s="146"/>
    </row>
    <row r="140" ht="15.75" customHeight="1">
      <c r="A140" s="146"/>
      <c r="B140" s="146"/>
      <c r="C140" s="146"/>
      <c r="D140" s="146"/>
      <c r="E140" s="146"/>
      <c r="F140" s="146"/>
      <c r="G140" s="146"/>
      <c r="H140" s="146"/>
      <c r="I140" s="146"/>
      <c r="J140" s="146"/>
      <c r="K140" s="146"/>
      <c r="L140" s="146"/>
      <c r="M140" s="173"/>
      <c r="N140" s="146"/>
      <c r="O140" s="146"/>
      <c r="P140" s="242"/>
      <c r="Q140" s="242"/>
      <c r="R140" s="242"/>
      <c r="S140" s="242"/>
      <c r="T140" s="242"/>
      <c r="U140" s="242"/>
      <c r="V140" s="242"/>
      <c r="W140" s="242"/>
      <c r="X140" s="242"/>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146"/>
      <c r="BJ140" s="146"/>
      <c r="BK140" s="146"/>
      <c r="BL140" s="146"/>
      <c r="BM140" s="146"/>
      <c r="BN140" s="146"/>
      <c r="BO140" s="146"/>
      <c r="BP140" s="146"/>
      <c r="BQ140" s="146"/>
      <c r="BR140" s="146"/>
      <c r="BS140" s="146"/>
      <c r="BT140" s="146"/>
      <c r="BU140" s="146"/>
      <c r="BV140" s="146"/>
      <c r="BW140" s="146"/>
      <c r="BX140" s="146"/>
      <c r="BY140" s="146"/>
      <c r="BZ140" s="146"/>
      <c r="CA140" s="146"/>
      <c r="CB140" s="146"/>
      <c r="CC140" s="146"/>
      <c r="CD140" s="146"/>
      <c r="CE140" s="146"/>
      <c r="CF140" s="146"/>
      <c r="CG140" s="146"/>
      <c r="CH140" s="146"/>
    </row>
    <row r="141" ht="15.75" customHeight="1">
      <c r="A141" s="146" t="s">
        <v>720</v>
      </c>
      <c r="B141" s="146"/>
      <c r="C141" s="146"/>
      <c r="D141" s="146"/>
      <c r="E141" s="146"/>
      <c r="F141" s="146"/>
      <c r="G141" s="146"/>
      <c r="H141" s="146"/>
      <c r="I141" s="146"/>
      <c r="J141" s="146"/>
      <c r="K141" s="146"/>
      <c r="L141" s="146"/>
      <c r="M141" s="173">
        <v>3.5</v>
      </c>
      <c r="N141" s="146">
        <f t="shared" ref="N141:CH141" si="113">M141+M145</f>
        <v>3.5</v>
      </c>
      <c r="O141" s="146">
        <f t="shared" si="113"/>
        <v>3.5</v>
      </c>
      <c r="P141" s="242">
        <f t="shared" si="113"/>
        <v>3.5</v>
      </c>
      <c r="Q141" s="242">
        <f t="shared" si="113"/>
        <v>3.5</v>
      </c>
      <c r="R141" s="242">
        <f t="shared" si="113"/>
        <v>3.5</v>
      </c>
      <c r="S141" s="242">
        <f t="shared" si="113"/>
        <v>3.5</v>
      </c>
      <c r="T141" s="242">
        <f t="shared" si="113"/>
        <v>3.5</v>
      </c>
      <c r="U141" s="242">
        <f t="shared" si="113"/>
        <v>4.5</v>
      </c>
      <c r="V141" s="242">
        <f t="shared" si="113"/>
        <v>4.5</v>
      </c>
      <c r="W141" s="242">
        <f t="shared" si="113"/>
        <v>4.5</v>
      </c>
      <c r="X141" s="242">
        <f t="shared" si="113"/>
        <v>4.5</v>
      </c>
      <c r="Y141" s="242">
        <f t="shared" si="113"/>
        <v>4.5</v>
      </c>
      <c r="Z141" s="146">
        <f t="shared" si="113"/>
        <v>4.5</v>
      </c>
      <c r="AA141" s="146">
        <f t="shared" si="113"/>
        <v>4.5</v>
      </c>
      <c r="AB141" s="146">
        <f t="shared" si="113"/>
        <v>4.5</v>
      </c>
      <c r="AC141" s="146">
        <f t="shared" si="113"/>
        <v>4.5</v>
      </c>
      <c r="AD141" s="146">
        <f t="shared" si="113"/>
        <v>4.5</v>
      </c>
      <c r="AE141" s="146">
        <f t="shared" si="113"/>
        <v>4.5</v>
      </c>
      <c r="AF141" s="146">
        <f t="shared" si="113"/>
        <v>4.5</v>
      </c>
      <c r="AG141" s="146">
        <f t="shared" si="113"/>
        <v>4.5</v>
      </c>
      <c r="AH141" s="146">
        <f t="shared" si="113"/>
        <v>4.5</v>
      </c>
      <c r="AI141" s="146">
        <f t="shared" si="113"/>
        <v>4.5</v>
      </c>
      <c r="AJ141" s="146">
        <f t="shared" si="113"/>
        <v>4.5</v>
      </c>
      <c r="AK141" s="146">
        <f t="shared" si="113"/>
        <v>4.5</v>
      </c>
      <c r="AL141" s="146">
        <f t="shared" si="113"/>
        <v>4.5</v>
      </c>
      <c r="AM141" s="146">
        <f t="shared" si="113"/>
        <v>4.5</v>
      </c>
      <c r="AN141" s="146">
        <f t="shared" si="113"/>
        <v>4.5</v>
      </c>
      <c r="AO141" s="146">
        <f t="shared" si="113"/>
        <v>4.5</v>
      </c>
      <c r="AP141" s="146">
        <f t="shared" si="113"/>
        <v>4.5</v>
      </c>
      <c r="AQ141" s="146">
        <f t="shared" si="113"/>
        <v>4.5</v>
      </c>
      <c r="AR141" s="146">
        <f t="shared" si="113"/>
        <v>4.5</v>
      </c>
      <c r="AS141" s="146">
        <f t="shared" si="113"/>
        <v>4.5</v>
      </c>
      <c r="AT141" s="146">
        <f t="shared" si="113"/>
        <v>4.5</v>
      </c>
      <c r="AU141" s="146">
        <f t="shared" si="113"/>
        <v>4.5</v>
      </c>
      <c r="AV141" s="146">
        <f t="shared" si="113"/>
        <v>4.5</v>
      </c>
      <c r="AW141" s="146">
        <f t="shared" si="113"/>
        <v>4.5</v>
      </c>
      <c r="AX141" s="146">
        <f t="shared" si="113"/>
        <v>4.5</v>
      </c>
      <c r="AY141" s="146">
        <f t="shared" si="113"/>
        <v>4.5</v>
      </c>
      <c r="AZ141" s="146">
        <f t="shared" si="113"/>
        <v>4.5</v>
      </c>
      <c r="BA141" s="146">
        <f t="shared" si="113"/>
        <v>4.5</v>
      </c>
      <c r="BB141" s="146">
        <f t="shared" si="113"/>
        <v>4.5</v>
      </c>
      <c r="BC141" s="146">
        <f t="shared" si="113"/>
        <v>4.5</v>
      </c>
      <c r="BD141" s="146">
        <f t="shared" si="113"/>
        <v>4.5</v>
      </c>
      <c r="BE141" s="146">
        <f t="shared" si="113"/>
        <v>4.5</v>
      </c>
      <c r="BF141" s="146">
        <f t="shared" si="113"/>
        <v>4.5</v>
      </c>
      <c r="BG141" s="146">
        <f t="shared" si="113"/>
        <v>4.5</v>
      </c>
      <c r="BH141" s="146">
        <f t="shared" si="113"/>
        <v>4.5</v>
      </c>
      <c r="BI141" s="146">
        <f t="shared" si="113"/>
        <v>4.5</v>
      </c>
      <c r="BJ141" s="146">
        <f t="shared" si="113"/>
        <v>4.5</v>
      </c>
      <c r="BK141" s="146">
        <f t="shared" si="113"/>
        <v>4.5</v>
      </c>
      <c r="BL141" s="146">
        <f t="shared" si="113"/>
        <v>4.5</v>
      </c>
      <c r="BM141" s="146">
        <f t="shared" si="113"/>
        <v>4.5</v>
      </c>
      <c r="BN141" s="146">
        <f t="shared" si="113"/>
        <v>4.5</v>
      </c>
      <c r="BO141" s="146">
        <f t="shared" si="113"/>
        <v>4.5</v>
      </c>
      <c r="BP141" s="146">
        <f t="shared" si="113"/>
        <v>4.5</v>
      </c>
      <c r="BQ141" s="146">
        <f t="shared" si="113"/>
        <v>4.5</v>
      </c>
      <c r="BR141" s="146">
        <f t="shared" si="113"/>
        <v>4.5</v>
      </c>
      <c r="BS141" s="146">
        <f t="shared" si="113"/>
        <v>4.5</v>
      </c>
      <c r="BT141" s="146">
        <f t="shared" si="113"/>
        <v>4.5</v>
      </c>
      <c r="BU141" s="146">
        <f t="shared" si="113"/>
        <v>4.5</v>
      </c>
      <c r="BV141" s="146">
        <f t="shared" si="113"/>
        <v>4.5</v>
      </c>
      <c r="BW141" s="146">
        <f t="shared" si="113"/>
        <v>4.5</v>
      </c>
      <c r="BX141" s="146">
        <f t="shared" si="113"/>
        <v>4.5</v>
      </c>
      <c r="BY141" s="146">
        <f t="shared" si="113"/>
        <v>4.5</v>
      </c>
      <c r="BZ141" s="146">
        <f t="shared" si="113"/>
        <v>4.5</v>
      </c>
      <c r="CA141" s="146">
        <f t="shared" si="113"/>
        <v>4.5</v>
      </c>
      <c r="CB141" s="146">
        <f t="shared" si="113"/>
        <v>4.5</v>
      </c>
      <c r="CC141" s="146">
        <f t="shared" si="113"/>
        <v>4.5</v>
      </c>
      <c r="CD141" s="146">
        <f t="shared" si="113"/>
        <v>4.5</v>
      </c>
      <c r="CE141" s="146">
        <f t="shared" si="113"/>
        <v>4.5</v>
      </c>
      <c r="CF141" s="146">
        <f t="shared" si="113"/>
        <v>4.5</v>
      </c>
      <c r="CG141" s="146">
        <f t="shared" si="113"/>
        <v>4.5</v>
      </c>
      <c r="CH141" s="146">
        <f t="shared" si="113"/>
        <v>4.5</v>
      </c>
    </row>
    <row r="142" ht="15.75" customHeight="1">
      <c r="A142" s="1" t="s">
        <v>713</v>
      </c>
      <c r="M142" s="173">
        <v>145.0</v>
      </c>
      <c r="N142" s="146">
        <f>M142</f>
        <v>145</v>
      </c>
      <c r="O142" s="173">
        <f>167*0.9</f>
        <v>150.3</v>
      </c>
      <c r="P142" s="146">
        <f t="shared" ref="P142:CH142" si="114">O142</f>
        <v>150.3</v>
      </c>
      <c r="Q142" s="146">
        <f t="shared" si="114"/>
        <v>150.3</v>
      </c>
      <c r="R142" s="146">
        <f t="shared" si="114"/>
        <v>150.3</v>
      </c>
      <c r="S142" s="146">
        <f t="shared" si="114"/>
        <v>150.3</v>
      </c>
      <c r="T142" s="146">
        <f t="shared" si="114"/>
        <v>150.3</v>
      </c>
      <c r="U142" s="146">
        <f t="shared" si="114"/>
        <v>150.3</v>
      </c>
      <c r="V142" s="146">
        <f t="shared" si="114"/>
        <v>150.3</v>
      </c>
      <c r="W142" s="146">
        <f t="shared" si="114"/>
        <v>150.3</v>
      </c>
      <c r="X142" s="146">
        <f t="shared" si="114"/>
        <v>150.3</v>
      </c>
      <c r="Y142" s="146">
        <f t="shared" si="114"/>
        <v>150.3</v>
      </c>
      <c r="Z142" s="146">
        <f t="shared" si="114"/>
        <v>150.3</v>
      </c>
      <c r="AA142" s="146">
        <f t="shared" si="114"/>
        <v>150.3</v>
      </c>
      <c r="AB142" s="146">
        <f t="shared" si="114"/>
        <v>150.3</v>
      </c>
      <c r="AC142" s="146">
        <f t="shared" si="114"/>
        <v>150.3</v>
      </c>
      <c r="AD142" s="146">
        <f t="shared" si="114"/>
        <v>150.3</v>
      </c>
      <c r="AE142" s="146">
        <f t="shared" si="114"/>
        <v>150.3</v>
      </c>
      <c r="AF142" s="146">
        <f t="shared" si="114"/>
        <v>150.3</v>
      </c>
      <c r="AG142" s="146">
        <f t="shared" si="114"/>
        <v>150.3</v>
      </c>
      <c r="AH142" s="146">
        <f t="shared" si="114"/>
        <v>150.3</v>
      </c>
      <c r="AI142" s="146">
        <f t="shared" si="114"/>
        <v>150.3</v>
      </c>
      <c r="AJ142" s="146">
        <f t="shared" si="114"/>
        <v>150.3</v>
      </c>
      <c r="AK142" s="146">
        <f t="shared" si="114"/>
        <v>150.3</v>
      </c>
      <c r="AL142" s="146">
        <f t="shared" si="114"/>
        <v>150.3</v>
      </c>
      <c r="AM142" s="146">
        <f t="shared" si="114"/>
        <v>150.3</v>
      </c>
      <c r="AN142" s="146">
        <f t="shared" si="114"/>
        <v>150.3</v>
      </c>
      <c r="AO142" s="146">
        <f t="shared" si="114"/>
        <v>150.3</v>
      </c>
      <c r="AP142" s="146">
        <f t="shared" si="114"/>
        <v>150.3</v>
      </c>
      <c r="AQ142" s="146">
        <f t="shared" si="114"/>
        <v>150.3</v>
      </c>
      <c r="AR142" s="146">
        <f t="shared" si="114"/>
        <v>150.3</v>
      </c>
      <c r="AS142" s="146">
        <f t="shared" si="114"/>
        <v>150.3</v>
      </c>
      <c r="AT142" s="146">
        <f t="shared" si="114"/>
        <v>150.3</v>
      </c>
      <c r="AU142" s="146">
        <f t="shared" si="114"/>
        <v>150.3</v>
      </c>
      <c r="AV142" s="146">
        <f t="shared" si="114"/>
        <v>150.3</v>
      </c>
      <c r="AW142" s="146">
        <f t="shared" si="114"/>
        <v>150.3</v>
      </c>
      <c r="AX142" s="146">
        <f t="shared" si="114"/>
        <v>150.3</v>
      </c>
      <c r="AY142" s="146">
        <f t="shared" si="114"/>
        <v>150.3</v>
      </c>
      <c r="AZ142" s="146">
        <f t="shared" si="114"/>
        <v>150.3</v>
      </c>
      <c r="BA142" s="146">
        <f t="shared" si="114"/>
        <v>150.3</v>
      </c>
      <c r="BB142" s="146">
        <f t="shared" si="114"/>
        <v>150.3</v>
      </c>
      <c r="BC142" s="146">
        <f t="shared" si="114"/>
        <v>150.3</v>
      </c>
      <c r="BD142" s="146">
        <f t="shared" si="114"/>
        <v>150.3</v>
      </c>
      <c r="BE142" s="146">
        <f t="shared" si="114"/>
        <v>150.3</v>
      </c>
      <c r="BF142" s="146">
        <f t="shared" si="114"/>
        <v>150.3</v>
      </c>
      <c r="BG142" s="146">
        <f t="shared" si="114"/>
        <v>150.3</v>
      </c>
      <c r="BH142" s="146">
        <f t="shared" si="114"/>
        <v>150.3</v>
      </c>
      <c r="BI142" s="146">
        <f t="shared" si="114"/>
        <v>150.3</v>
      </c>
      <c r="BJ142" s="146">
        <f t="shared" si="114"/>
        <v>150.3</v>
      </c>
      <c r="BK142" s="146">
        <f t="shared" si="114"/>
        <v>150.3</v>
      </c>
      <c r="BL142" s="146">
        <f t="shared" si="114"/>
        <v>150.3</v>
      </c>
      <c r="BM142" s="146">
        <f t="shared" si="114"/>
        <v>150.3</v>
      </c>
      <c r="BN142" s="146">
        <f t="shared" si="114"/>
        <v>150.3</v>
      </c>
      <c r="BO142" s="146">
        <f t="shared" si="114"/>
        <v>150.3</v>
      </c>
      <c r="BP142" s="146">
        <f t="shared" si="114"/>
        <v>150.3</v>
      </c>
      <c r="BQ142" s="146">
        <f t="shared" si="114"/>
        <v>150.3</v>
      </c>
      <c r="BR142" s="146">
        <f t="shared" si="114"/>
        <v>150.3</v>
      </c>
      <c r="BS142" s="146">
        <f t="shared" si="114"/>
        <v>150.3</v>
      </c>
      <c r="BT142" s="146">
        <f t="shared" si="114"/>
        <v>150.3</v>
      </c>
      <c r="BU142" s="146">
        <f t="shared" si="114"/>
        <v>150.3</v>
      </c>
      <c r="BV142" s="146">
        <f t="shared" si="114"/>
        <v>150.3</v>
      </c>
      <c r="BW142" s="146">
        <f t="shared" si="114"/>
        <v>150.3</v>
      </c>
      <c r="BX142" s="146">
        <f t="shared" si="114"/>
        <v>150.3</v>
      </c>
      <c r="BY142" s="146">
        <f t="shared" si="114"/>
        <v>150.3</v>
      </c>
      <c r="BZ142" s="146">
        <f t="shared" si="114"/>
        <v>150.3</v>
      </c>
      <c r="CA142" s="146">
        <f t="shared" si="114"/>
        <v>150.3</v>
      </c>
      <c r="CB142" s="146">
        <f t="shared" si="114"/>
        <v>150.3</v>
      </c>
      <c r="CC142" s="146">
        <f t="shared" si="114"/>
        <v>150.3</v>
      </c>
      <c r="CD142" s="146">
        <f t="shared" si="114"/>
        <v>150.3</v>
      </c>
      <c r="CE142" s="146">
        <f t="shared" si="114"/>
        <v>150.3</v>
      </c>
      <c r="CF142" s="146">
        <f t="shared" si="114"/>
        <v>150.3</v>
      </c>
      <c r="CG142" s="146">
        <f t="shared" si="114"/>
        <v>150.3</v>
      </c>
      <c r="CH142" s="146">
        <f t="shared" si="114"/>
        <v>150.3</v>
      </c>
    </row>
    <row r="143" ht="15.75" customHeight="1">
      <c r="A143" s="1" t="s">
        <v>698</v>
      </c>
      <c r="M143" s="146">
        <f t="shared" ref="M143:CH143" si="115">M141*M142</f>
        <v>507.5</v>
      </c>
      <c r="N143" s="146">
        <f t="shared" si="115"/>
        <v>507.5</v>
      </c>
      <c r="O143" s="146">
        <f t="shared" si="115"/>
        <v>526.05</v>
      </c>
      <c r="P143" s="146">
        <f t="shared" si="115"/>
        <v>526.05</v>
      </c>
      <c r="Q143" s="146">
        <f t="shared" si="115"/>
        <v>526.05</v>
      </c>
      <c r="R143" s="146">
        <f t="shared" si="115"/>
        <v>526.05</v>
      </c>
      <c r="S143" s="146">
        <f t="shared" si="115"/>
        <v>526.05</v>
      </c>
      <c r="T143" s="146">
        <f t="shared" si="115"/>
        <v>526.05</v>
      </c>
      <c r="U143" s="146">
        <f t="shared" si="115"/>
        <v>676.35</v>
      </c>
      <c r="V143" s="146">
        <f t="shared" si="115"/>
        <v>676.35</v>
      </c>
      <c r="W143" s="146">
        <f t="shared" si="115"/>
        <v>676.35</v>
      </c>
      <c r="X143" s="146">
        <f t="shared" si="115"/>
        <v>676.35</v>
      </c>
      <c r="Y143" s="146">
        <f t="shared" si="115"/>
        <v>676.35</v>
      </c>
      <c r="Z143" s="146">
        <f t="shared" si="115"/>
        <v>676.35</v>
      </c>
      <c r="AA143" s="146">
        <f t="shared" si="115"/>
        <v>676.35</v>
      </c>
      <c r="AB143" s="146">
        <f t="shared" si="115"/>
        <v>676.35</v>
      </c>
      <c r="AC143" s="146">
        <f t="shared" si="115"/>
        <v>676.35</v>
      </c>
      <c r="AD143" s="146">
        <f t="shared" si="115"/>
        <v>676.35</v>
      </c>
      <c r="AE143" s="146">
        <f t="shared" si="115"/>
        <v>676.35</v>
      </c>
      <c r="AF143" s="146">
        <f t="shared" si="115"/>
        <v>676.35</v>
      </c>
      <c r="AG143" s="146">
        <f t="shared" si="115"/>
        <v>676.35</v>
      </c>
      <c r="AH143" s="146">
        <f t="shared" si="115"/>
        <v>676.35</v>
      </c>
      <c r="AI143" s="146">
        <f t="shared" si="115"/>
        <v>676.35</v>
      </c>
      <c r="AJ143" s="146">
        <f t="shared" si="115"/>
        <v>676.35</v>
      </c>
      <c r="AK143" s="146">
        <f t="shared" si="115"/>
        <v>676.35</v>
      </c>
      <c r="AL143" s="146">
        <f t="shared" si="115"/>
        <v>676.35</v>
      </c>
      <c r="AM143" s="146">
        <f t="shared" si="115"/>
        <v>676.35</v>
      </c>
      <c r="AN143" s="146">
        <f t="shared" si="115"/>
        <v>676.35</v>
      </c>
      <c r="AO143" s="146">
        <f t="shared" si="115"/>
        <v>676.35</v>
      </c>
      <c r="AP143" s="146">
        <f t="shared" si="115"/>
        <v>676.35</v>
      </c>
      <c r="AQ143" s="146">
        <f t="shared" si="115"/>
        <v>676.35</v>
      </c>
      <c r="AR143" s="146">
        <f t="shared" si="115"/>
        <v>676.35</v>
      </c>
      <c r="AS143" s="146">
        <f t="shared" si="115"/>
        <v>676.35</v>
      </c>
      <c r="AT143" s="146">
        <f t="shared" si="115"/>
        <v>676.35</v>
      </c>
      <c r="AU143" s="146">
        <f t="shared" si="115"/>
        <v>676.35</v>
      </c>
      <c r="AV143" s="146">
        <f t="shared" si="115"/>
        <v>676.35</v>
      </c>
      <c r="AW143" s="146">
        <f t="shared" si="115"/>
        <v>676.35</v>
      </c>
      <c r="AX143" s="146">
        <f t="shared" si="115"/>
        <v>676.35</v>
      </c>
      <c r="AY143" s="146">
        <f t="shared" si="115"/>
        <v>676.35</v>
      </c>
      <c r="AZ143" s="146">
        <f t="shared" si="115"/>
        <v>676.35</v>
      </c>
      <c r="BA143" s="146">
        <f t="shared" si="115"/>
        <v>676.35</v>
      </c>
      <c r="BB143" s="146">
        <f t="shared" si="115"/>
        <v>676.35</v>
      </c>
      <c r="BC143" s="146">
        <f t="shared" si="115"/>
        <v>676.35</v>
      </c>
      <c r="BD143" s="146">
        <f t="shared" si="115"/>
        <v>676.35</v>
      </c>
      <c r="BE143" s="146">
        <f t="shared" si="115"/>
        <v>676.35</v>
      </c>
      <c r="BF143" s="146">
        <f t="shared" si="115"/>
        <v>676.35</v>
      </c>
      <c r="BG143" s="146">
        <f t="shared" si="115"/>
        <v>676.35</v>
      </c>
      <c r="BH143" s="146">
        <f t="shared" si="115"/>
        <v>676.35</v>
      </c>
      <c r="BI143" s="146">
        <f t="shared" si="115"/>
        <v>676.35</v>
      </c>
      <c r="BJ143" s="146">
        <f t="shared" si="115"/>
        <v>676.35</v>
      </c>
      <c r="BK143" s="146">
        <f t="shared" si="115"/>
        <v>676.35</v>
      </c>
      <c r="BL143" s="146">
        <f t="shared" si="115"/>
        <v>676.35</v>
      </c>
      <c r="BM143" s="146">
        <f t="shared" si="115"/>
        <v>676.35</v>
      </c>
      <c r="BN143" s="146">
        <f t="shared" si="115"/>
        <v>676.35</v>
      </c>
      <c r="BO143" s="146">
        <f t="shared" si="115"/>
        <v>676.35</v>
      </c>
      <c r="BP143" s="146">
        <f t="shared" si="115"/>
        <v>676.35</v>
      </c>
      <c r="BQ143" s="146">
        <f t="shared" si="115"/>
        <v>676.35</v>
      </c>
      <c r="BR143" s="146">
        <f t="shared" si="115"/>
        <v>676.35</v>
      </c>
      <c r="BS143" s="146">
        <f t="shared" si="115"/>
        <v>676.35</v>
      </c>
      <c r="BT143" s="146">
        <f t="shared" si="115"/>
        <v>676.35</v>
      </c>
      <c r="BU143" s="146">
        <f t="shared" si="115"/>
        <v>676.35</v>
      </c>
      <c r="BV143" s="146">
        <f t="shared" si="115"/>
        <v>676.35</v>
      </c>
      <c r="BW143" s="146">
        <f t="shared" si="115"/>
        <v>676.35</v>
      </c>
      <c r="BX143" s="146">
        <f t="shared" si="115"/>
        <v>676.35</v>
      </c>
      <c r="BY143" s="146">
        <f t="shared" si="115"/>
        <v>676.35</v>
      </c>
      <c r="BZ143" s="146">
        <f t="shared" si="115"/>
        <v>676.35</v>
      </c>
      <c r="CA143" s="146">
        <f t="shared" si="115"/>
        <v>676.35</v>
      </c>
      <c r="CB143" s="146">
        <f t="shared" si="115"/>
        <v>676.35</v>
      </c>
      <c r="CC143" s="146">
        <f t="shared" si="115"/>
        <v>676.35</v>
      </c>
      <c r="CD143" s="146">
        <f t="shared" si="115"/>
        <v>676.35</v>
      </c>
      <c r="CE143" s="146">
        <f t="shared" si="115"/>
        <v>676.35</v>
      </c>
      <c r="CF143" s="146">
        <f t="shared" si="115"/>
        <v>676.35</v>
      </c>
      <c r="CG143" s="146">
        <f t="shared" si="115"/>
        <v>676.35</v>
      </c>
      <c r="CH143" s="146">
        <f t="shared" si="115"/>
        <v>676.35</v>
      </c>
    </row>
    <row r="144" ht="15.75" customHeight="1">
      <c r="A144" s="1" t="s">
        <v>721</v>
      </c>
      <c r="B144" s="446" t="s">
        <v>701</v>
      </c>
      <c r="M144" s="146">
        <f t="shared" ref="M144:CH144" si="116">M143-M131</f>
        <v>238.476</v>
      </c>
      <c r="N144" s="146">
        <f t="shared" si="116"/>
        <v>200.488</v>
      </c>
      <c r="O144" s="146">
        <f t="shared" si="116"/>
        <v>72.282</v>
      </c>
      <c r="P144" s="146">
        <f t="shared" si="116"/>
        <v>232.476</v>
      </c>
      <c r="Q144" s="146">
        <f t="shared" si="116"/>
        <v>119.13</v>
      </c>
      <c r="R144" s="146">
        <f t="shared" si="116"/>
        <v>94.408</v>
      </c>
      <c r="S144" s="146">
        <f t="shared" si="116"/>
        <v>171.158</v>
      </c>
      <c r="T144" s="146">
        <f t="shared" si="116"/>
        <v>48.076</v>
      </c>
      <c r="U144" s="146">
        <f t="shared" si="116"/>
        <v>205.102</v>
      </c>
      <c r="V144" s="146">
        <f t="shared" si="116"/>
        <v>263.732</v>
      </c>
      <c r="W144" s="146">
        <f t="shared" si="116"/>
        <v>405.09</v>
      </c>
      <c r="X144" s="146">
        <f t="shared" si="116"/>
        <v>302.034</v>
      </c>
      <c r="Y144" s="146">
        <f t="shared" si="116"/>
        <v>464.34</v>
      </c>
      <c r="Z144" s="146">
        <f t="shared" si="116"/>
        <v>464.34</v>
      </c>
      <c r="AA144" s="146">
        <f t="shared" si="116"/>
        <v>463.34</v>
      </c>
      <c r="AB144" s="146">
        <f t="shared" si="116"/>
        <v>462.34</v>
      </c>
      <c r="AC144" s="146">
        <f t="shared" si="116"/>
        <v>461.34</v>
      </c>
      <c r="AD144" s="146">
        <f t="shared" si="116"/>
        <v>460.34</v>
      </c>
      <c r="AE144" s="146">
        <f t="shared" si="116"/>
        <v>459.34</v>
      </c>
      <c r="AF144" s="146">
        <f t="shared" si="116"/>
        <v>458.34</v>
      </c>
      <c r="AG144" s="146">
        <f t="shared" si="116"/>
        <v>457.34</v>
      </c>
      <c r="AH144" s="146">
        <f t="shared" si="116"/>
        <v>456.34</v>
      </c>
      <c r="AI144" s="146">
        <f t="shared" si="116"/>
        <v>455.34</v>
      </c>
      <c r="AJ144" s="146">
        <f t="shared" si="116"/>
        <v>454.34</v>
      </c>
      <c r="AK144" s="146">
        <f t="shared" si="116"/>
        <v>453.34</v>
      </c>
      <c r="AL144" s="146">
        <f t="shared" si="116"/>
        <v>452.34</v>
      </c>
      <c r="AM144" s="146">
        <f t="shared" si="116"/>
        <v>451.34</v>
      </c>
      <c r="AN144" s="146">
        <f t="shared" si="116"/>
        <v>450.34</v>
      </c>
      <c r="AO144" s="146">
        <f t="shared" si="116"/>
        <v>449.34</v>
      </c>
      <c r="AP144" s="146">
        <f t="shared" si="116"/>
        <v>448.34</v>
      </c>
      <c r="AQ144" s="146">
        <f t="shared" si="116"/>
        <v>447.34</v>
      </c>
      <c r="AR144" s="146">
        <f t="shared" si="116"/>
        <v>446.34</v>
      </c>
      <c r="AS144" s="146">
        <f t="shared" si="116"/>
        <v>445.34</v>
      </c>
      <c r="AT144" s="146">
        <f t="shared" si="116"/>
        <v>444.34</v>
      </c>
      <c r="AU144" s="146">
        <f t="shared" si="116"/>
        <v>443.34</v>
      </c>
      <c r="AV144" s="146">
        <f t="shared" si="116"/>
        <v>442.34</v>
      </c>
      <c r="AW144" s="146">
        <f t="shared" si="116"/>
        <v>441.34</v>
      </c>
      <c r="AX144" s="146">
        <f t="shared" si="116"/>
        <v>440.34</v>
      </c>
      <c r="AY144" s="146">
        <f t="shared" si="116"/>
        <v>439.34</v>
      </c>
      <c r="AZ144" s="146">
        <f t="shared" si="116"/>
        <v>438.34</v>
      </c>
      <c r="BA144" s="146">
        <f t="shared" si="116"/>
        <v>437.34</v>
      </c>
      <c r="BB144" s="146">
        <f t="shared" si="116"/>
        <v>436.34</v>
      </c>
      <c r="BC144" s="146">
        <f t="shared" si="116"/>
        <v>435.34</v>
      </c>
      <c r="BD144" s="146">
        <f t="shared" si="116"/>
        <v>434.34</v>
      </c>
      <c r="BE144" s="146">
        <f t="shared" si="116"/>
        <v>433.34</v>
      </c>
      <c r="BF144" s="146">
        <f t="shared" si="116"/>
        <v>432.34</v>
      </c>
      <c r="BG144" s="146">
        <f t="shared" si="116"/>
        <v>431.34</v>
      </c>
      <c r="BH144" s="146">
        <f t="shared" si="116"/>
        <v>430.34</v>
      </c>
      <c r="BI144" s="146">
        <f t="shared" si="116"/>
        <v>429.34</v>
      </c>
      <c r="BJ144" s="146">
        <f t="shared" si="116"/>
        <v>428.34</v>
      </c>
      <c r="BK144" s="146">
        <f t="shared" si="116"/>
        <v>449.313964</v>
      </c>
      <c r="BL144" s="146">
        <f t="shared" si="116"/>
        <v>445.7103604</v>
      </c>
      <c r="BM144" s="146">
        <f t="shared" si="116"/>
        <v>442.1067568</v>
      </c>
      <c r="BN144" s="146">
        <f t="shared" si="116"/>
        <v>438.5031532</v>
      </c>
      <c r="BO144" s="146">
        <f t="shared" si="116"/>
        <v>434.8995495</v>
      </c>
      <c r="BP144" s="146">
        <f t="shared" si="116"/>
        <v>431.2959459</v>
      </c>
      <c r="BQ144" s="146">
        <f t="shared" si="116"/>
        <v>427.6923423</v>
      </c>
      <c r="BR144" s="146">
        <f t="shared" si="116"/>
        <v>424.0887387</v>
      </c>
      <c r="BS144" s="146">
        <f t="shared" si="116"/>
        <v>420.4851351</v>
      </c>
      <c r="BT144" s="146">
        <f t="shared" si="116"/>
        <v>416.8815315</v>
      </c>
      <c r="BU144" s="146">
        <f t="shared" si="116"/>
        <v>413.2779279</v>
      </c>
      <c r="BV144" s="146">
        <f t="shared" si="116"/>
        <v>409.6743243</v>
      </c>
      <c r="BW144" s="146">
        <f t="shared" si="116"/>
        <v>406.0707207</v>
      </c>
      <c r="BX144" s="146">
        <f t="shared" si="116"/>
        <v>402.4671171</v>
      </c>
      <c r="BY144" s="146">
        <f t="shared" si="116"/>
        <v>398.8635135</v>
      </c>
      <c r="BZ144" s="146">
        <f t="shared" si="116"/>
        <v>395.2599099</v>
      </c>
      <c r="CA144" s="146">
        <f t="shared" si="116"/>
        <v>391.6563063</v>
      </c>
      <c r="CB144" s="146">
        <f t="shared" si="116"/>
        <v>388.0527027</v>
      </c>
      <c r="CC144" s="146">
        <f t="shared" si="116"/>
        <v>384.4490991</v>
      </c>
      <c r="CD144" s="146">
        <f t="shared" si="116"/>
        <v>380.8454955</v>
      </c>
      <c r="CE144" s="146">
        <f t="shared" si="116"/>
        <v>377.2418919</v>
      </c>
      <c r="CF144" s="146">
        <f t="shared" si="116"/>
        <v>373.6382883</v>
      </c>
      <c r="CG144" s="146">
        <f t="shared" si="116"/>
        <v>370.0346847</v>
      </c>
      <c r="CH144" s="146">
        <f t="shared" si="116"/>
        <v>366.4310811</v>
      </c>
    </row>
    <row r="145" ht="15.75" customHeight="1">
      <c r="A145" s="1" t="s">
        <v>701</v>
      </c>
      <c r="B145" s="468">
        <v>60.0</v>
      </c>
      <c r="M145" s="146">
        <f t="shared" ref="M145:T145" si="117">IF(M144&gt;$B145,0,ROUNDUP(ABS(M144/M142),0))</f>
        <v>0</v>
      </c>
      <c r="N145" s="146">
        <f t="shared" si="117"/>
        <v>0</v>
      </c>
      <c r="O145" s="146">
        <f t="shared" si="117"/>
        <v>0</v>
      </c>
      <c r="P145" s="146">
        <f t="shared" si="117"/>
        <v>0</v>
      </c>
      <c r="Q145" s="146">
        <f t="shared" si="117"/>
        <v>0</v>
      </c>
      <c r="R145" s="146">
        <f t="shared" si="117"/>
        <v>0</v>
      </c>
      <c r="S145" s="146">
        <f t="shared" si="117"/>
        <v>0</v>
      </c>
      <c r="T145" s="146">
        <f t="shared" si="117"/>
        <v>1</v>
      </c>
      <c r="U145" s="477"/>
      <c r="V145" s="146"/>
      <c r="W145" s="146"/>
      <c r="X145" s="146">
        <f>IF(X144&gt;$B145,0,ROUNDUP(ABS(X144/X142),0))</f>
        <v>0</v>
      </c>
      <c r="Y145" s="146">
        <v>0.0</v>
      </c>
      <c r="Z145" s="146">
        <v>0.0</v>
      </c>
      <c r="AA145" s="146">
        <f t="shared" ref="AA145:CH145" si="118">IF(AA144&gt;$B145,0,ROUNDUP(ABS(AA144/AA142),0))</f>
        <v>0</v>
      </c>
      <c r="AB145" s="146">
        <f t="shared" si="118"/>
        <v>0</v>
      </c>
      <c r="AC145" s="146">
        <f t="shared" si="118"/>
        <v>0</v>
      </c>
      <c r="AD145" s="146">
        <f t="shared" si="118"/>
        <v>0</v>
      </c>
      <c r="AE145" s="146">
        <f t="shared" si="118"/>
        <v>0</v>
      </c>
      <c r="AF145" s="146">
        <f t="shared" si="118"/>
        <v>0</v>
      </c>
      <c r="AG145" s="146">
        <f t="shared" si="118"/>
        <v>0</v>
      </c>
      <c r="AH145" s="146">
        <f t="shared" si="118"/>
        <v>0</v>
      </c>
      <c r="AI145" s="146">
        <f t="shared" si="118"/>
        <v>0</v>
      </c>
      <c r="AJ145" s="146">
        <f t="shared" si="118"/>
        <v>0</v>
      </c>
      <c r="AK145" s="146">
        <f t="shared" si="118"/>
        <v>0</v>
      </c>
      <c r="AL145" s="146">
        <f t="shared" si="118"/>
        <v>0</v>
      </c>
      <c r="AM145" s="146">
        <f t="shared" si="118"/>
        <v>0</v>
      </c>
      <c r="AN145" s="146">
        <f t="shared" si="118"/>
        <v>0</v>
      </c>
      <c r="AO145" s="146">
        <f t="shared" si="118"/>
        <v>0</v>
      </c>
      <c r="AP145" s="146">
        <f t="shared" si="118"/>
        <v>0</v>
      </c>
      <c r="AQ145" s="146">
        <f t="shared" si="118"/>
        <v>0</v>
      </c>
      <c r="AR145" s="146">
        <f t="shared" si="118"/>
        <v>0</v>
      </c>
      <c r="AS145" s="146">
        <f t="shared" si="118"/>
        <v>0</v>
      </c>
      <c r="AT145" s="146">
        <f t="shared" si="118"/>
        <v>0</v>
      </c>
      <c r="AU145" s="146">
        <f t="shared" si="118"/>
        <v>0</v>
      </c>
      <c r="AV145" s="146">
        <f t="shared" si="118"/>
        <v>0</v>
      </c>
      <c r="AW145" s="146">
        <f t="shared" si="118"/>
        <v>0</v>
      </c>
      <c r="AX145" s="146">
        <f t="shared" si="118"/>
        <v>0</v>
      </c>
      <c r="AY145" s="146">
        <f t="shared" si="118"/>
        <v>0</v>
      </c>
      <c r="AZ145" s="146">
        <f t="shared" si="118"/>
        <v>0</v>
      </c>
      <c r="BA145" s="146">
        <f t="shared" si="118"/>
        <v>0</v>
      </c>
      <c r="BB145" s="146">
        <f t="shared" si="118"/>
        <v>0</v>
      </c>
      <c r="BC145" s="146">
        <f t="shared" si="118"/>
        <v>0</v>
      </c>
      <c r="BD145" s="146">
        <f t="shared" si="118"/>
        <v>0</v>
      </c>
      <c r="BE145" s="146">
        <f t="shared" si="118"/>
        <v>0</v>
      </c>
      <c r="BF145" s="146">
        <f t="shared" si="118"/>
        <v>0</v>
      </c>
      <c r="BG145" s="146">
        <f t="shared" si="118"/>
        <v>0</v>
      </c>
      <c r="BH145" s="146">
        <f t="shared" si="118"/>
        <v>0</v>
      </c>
      <c r="BI145" s="146">
        <f t="shared" si="118"/>
        <v>0</v>
      </c>
      <c r="BJ145" s="146">
        <f t="shared" si="118"/>
        <v>0</v>
      </c>
      <c r="BK145" s="146">
        <f t="shared" si="118"/>
        <v>0</v>
      </c>
      <c r="BL145" s="146">
        <f t="shared" si="118"/>
        <v>0</v>
      </c>
      <c r="BM145" s="146">
        <f t="shared" si="118"/>
        <v>0</v>
      </c>
      <c r="BN145" s="146">
        <f t="shared" si="118"/>
        <v>0</v>
      </c>
      <c r="BO145" s="146">
        <f t="shared" si="118"/>
        <v>0</v>
      </c>
      <c r="BP145" s="146">
        <f t="shared" si="118"/>
        <v>0</v>
      </c>
      <c r="BQ145" s="146">
        <f t="shared" si="118"/>
        <v>0</v>
      </c>
      <c r="BR145" s="146">
        <f t="shared" si="118"/>
        <v>0</v>
      </c>
      <c r="BS145" s="146">
        <f t="shared" si="118"/>
        <v>0</v>
      </c>
      <c r="BT145" s="146">
        <f t="shared" si="118"/>
        <v>0</v>
      </c>
      <c r="BU145" s="146">
        <f t="shared" si="118"/>
        <v>0</v>
      </c>
      <c r="BV145" s="146">
        <f t="shared" si="118"/>
        <v>0</v>
      </c>
      <c r="BW145" s="146">
        <f t="shared" si="118"/>
        <v>0</v>
      </c>
      <c r="BX145" s="146">
        <f t="shared" si="118"/>
        <v>0</v>
      </c>
      <c r="BY145" s="146">
        <f t="shared" si="118"/>
        <v>0</v>
      </c>
      <c r="BZ145" s="146">
        <f t="shared" si="118"/>
        <v>0</v>
      </c>
      <c r="CA145" s="146">
        <f t="shared" si="118"/>
        <v>0</v>
      </c>
      <c r="CB145" s="146">
        <f t="shared" si="118"/>
        <v>0</v>
      </c>
      <c r="CC145" s="146">
        <f t="shared" si="118"/>
        <v>0</v>
      </c>
      <c r="CD145" s="146">
        <f t="shared" si="118"/>
        <v>0</v>
      </c>
      <c r="CE145" s="146">
        <f t="shared" si="118"/>
        <v>0</v>
      </c>
      <c r="CF145" s="146">
        <f t="shared" si="118"/>
        <v>0</v>
      </c>
      <c r="CG145" s="146">
        <f t="shared" si="118"/>
        <v>0</v>
      </c>
      <c r="CH145" s="146">
        <f t="shared" si="118"/>
        <v>0</v>
      </c>
    </row>
    <row r="146" ht="15.75" customHeight="1">
      <c r="A146" s="1" t="s">
        <v>702</v>
      </c>
      <c r="B146" s="1"/>
      <c r="M146" s="244">
        <f t="shared" ref="M146:T146" si="119">M145</f>
        <v>0</v>
      </c>
      <c r="N146" s="244">
        <f t="shared" si="119"/>
        <v>0</v>
      </c>
      <c r="O146" s="244">
        <f t="shared" si="119"/>
        <v>0</v>
      </c>
      <c r="P146" s="146">
        <f t="shared" si="119"/>
        <v>0</v>
      </c>
      <c r="Q146" s="146">
        <f t="shared" si="119"/>
        <v>0</v>
      </c>
      <c r="R146" s="146">
        <f t="shared" si="119"/>
        <v>0</v>
      </c>
      <c r="S146" s="146">
        <f t="shared" si="119"/>
        <v>0</v>
      </c>
      <c r="T146" s="146">
        <f t="shared" si="119"/>
        <v>1</v>
      </c>
      <c r="U146" s="477"/>
      <c r="V146" s="146"/>
      <c r="W146" s="146"/>
      <c r="X146" s="146">
        <f>X145</f>
        <v>0</v>
      </c>
      <c r="Y146" s="146">
        <v>0.0</v>
      </c>
      <c r="Z146" s="146">
        <v>0.0</v>
      </c>
      <c r="AA146" s="146">
        <f t="shared" ref="AA146:CH146" si="120">AA145</f>
        <v>0</v>
      </c>
      <c r="AB146" s="146">
        <f t="shared" si="120"/>
        <v>0</v>
      </c>
      <c r="AC146" s="146">
        <f t="shared" si="120"/>
        <v>0</v>
      </c>
      <c r="AD146" s="146">
        <f t="shared" si="120"/>
        <v>0</v>
      </c>
      <c r="AE146" s="146">
        <f t="shared" si="120"/>
        <v>0</v>
      </c>
      <c r="AF146" s="146">
        <f t="shared" si="120"/>
        <v>0</v>
      </c>
      <c r="AG146" s="146">
        <f t="shared" si="120"/>
        <v>0</v>
      </c>
      <c r="AH146" s="146">
        <f t="shared" si="120"/>
        <v>0</v>
      </c>
      <c r="AI146" s="146">
        <f t="shared" si="120"/>
        <v>0</v>
      </c>
      <c r="AJ146" s="146">
        <f t="shared" si="120"/>
        <v>0</v>
      </c>
      <c r="AK146" s="146">
        <f t="shared" si="120"/>
        <v>0</v>
      </c>
      <c r="AL146" s="146">
        <f t="shared" si="120"/>
        <v>0</v>
      </c>
      <c r="AM146" s="146">
        <f t="shared" si="120"/>
        <v>0</v>
      </c>
      <c r="AN146" s="146">
        <f t="shared" si="120"/>
        <v>0</v>
      </c>
      <c r="AO146" s="146">
        <f t="shared" si="120"/>
        <v>0</v>
      </c>
      <c r="AP146" s="146">
        <f t="shared" si="120"/>
        <v>0</v>
      </c>
      <c r="AQ146" s="146">
        <f t="shared" si="120"/>
        <v>0</v>
      </c>
      <c r="AR146" s="146">
        <f t="shared" si="120"/>
        <v>0</v>
      </c>
      <c r="AS146" s="146">
        <f t="shared" si="120"/>
        <v>0</v>
      </c>
      <c r="AT146" s="146">
        <f t="shared" si="120"/>
        <v>0</v>
      </c>
      <c r="AU146" s="146">
        <f t="shared" si="120"/>
        <v>0</v>
      </c>
      <c r="AV146" s="146">
        <f t="shared" si="120"/>
        <v>0</v>
      </c>
      <c r="AW146" s="146">
        <f t="shared" si="120"/>
        <v>0</v>
      </c>
      <c r="AX146" s="146">
        <f t="shared" si="120"/>
        <v>0</v>
      </c>
      <c r="AY146" s="146">
        <f t="shared" si="120"/>
        <v>0</v>
      </c>
      <c r="AZ146" s="146">
        <f t="shared" si="120"/>
        <v>0</v>
      </c>
      <c r="BA146" s="146">
        <f t="shared" si="120"/>
        <v>0</v>
      </c>
      <c r="BB146" s="146">
        <f t="shared" si="120"/>
        <v>0</v>
      </c>
      <c r="BC146" s="146">
        <f t="shared" si="120"/>
        <v>0</v>
      </c>
      <c r="BD146" s="146">
        <f t="shared" si="120"/>
        <v>0</v>
      </c>
      <c r="BE146" s="146">
        <f t="shared" si="120"/>
        <v>0</v>
      </c>
      <c r="BF146" s="146">
        <f t="shared" si="120"/>
        <v>0</v>
      </c>
      <c r="BG146" s="146">
        <f t="shared" si="120"/>
        <v>0</v>
      </c>
      <c r="BH146" s="146">
        <f t="shared" si="120"/>
        <v>0</v>
      </c>
      <c r="BI146" s="146">
        <f t="shared" si="120"/>
        <v>0</v>
      </c>
      <c r="BJ146" s="146">
        <f t="shared" si="120"/>
        <v>0</v>
      </c>
      <c r="BK146" s="146">
        <f t="shared" si="120"/>
        <v>0</v>
      </c>
      <c r="BL146" s="146">
        <f t="shared" si="120"/>
        <v>0</v>
      </c>
      <c r="BM146" s="146">
        <f t="shared" si="120"/>
        <v>0</v>
      </c>
      <c r="BN146" s="146">
        <f t="shared" si="120"/>
        <v>0</v>
      </c>
      <c r="BO146" s="146">
        <f t="shared" si="120"/>
        <v>0</v>
      </c>
      <c r="BP146" s="146">
        <f t="shared" si="120"/>
        <v>0</v>
      </c>
      <c r="BQ146" s="146">
        <f t="shared" si="120"/>
        <v>0</v>
      </c>
      <c r="BR146" s="146">
        <f t="shared" si="120"/>
        <v>0</v>
      </c>
      <c r="BS146" s="146">
        <f t="shared" si="120"/>
        <v>0</v>
      </c>
      <c r="BT146" s="146">
        <f t="shared" si="120"/>
        <v>0</v>
      </c>
      <c r="BU146" s="146">
        <f t="shared" si="120"/>
        <v>0</v>
      </c>
      <c r="BV146" s="146">
        <f t="shared" si="120"/>
        <v>0</v>
      </c>
      <c r="BW146" s="146">
        <f t="shared" si="120"/>
        <v>0</v>
      </c>
      <c r="BX146" s="146">
        <f t="shared" si="120"/>
        <v>0</v>
      </c>
      <c r="BY146" s="146">
        <f t="shared" si="120"/>
        <v>0</v>
      </c>
      <c r="BZ146" s="146">
        <f t="shared" si="120"/>
        <v>0</v>
      </c>
      <c r="CA146" s="146">
        <f t="shared" si="120"/>
        <v>0</v>
      </c>
      <c r="CB146" s="146">
        <f t="shared" si="120"/>
        <v>0</v>
      </c>
      <c r="CC146" s="146">
        <f t="shared" si="120"/>
        <v>0</v>
      </c>
      <c r="CD146" s="146">
        <f t="shared" si="120"/>
        <v>0</v>
      </c>
      <c r="CE146" s="146">
        <f t="shared" si="120"/>
        <v>0</v>
      </c>
      <c r="CF146" s="146">
        <f t="shared" si="120"/>
        <v>0</v>
      </c>
      <c r="CG146" s="146">
        <f t="shared" si="120"/>
        <v>0</v>
      </c>
      <c r="CH146" s="146">
        <f t="shared" si="120"/>
        <v>0</v>
      </c>
    </row>
    <row r="147" ht="15.75" customHeight="1">
      <c r="M147" s="146"/>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6"/>
      <c r="AW147" s="146"/>
      <c r="AX147" s="146"/>
      <c r="AY147" s="146"/>
      <c r="AZ147" s="146"/>
      <c r="BA147" s="146"/>
      <c r="BB147" s="146"/>
      <c r="BC147" s="146"/>
      <c r="BD147" s="146"/>
      <c r="BE147" s="146"/>
      <c r="BF147" s="146"/>
      <c r="BG147" s="146"/>
      <c r="BH147" s="146"/>
      <c r="BI147" s="146"/>
      <c r="BJ147" s="146"/>
      <c r="BK147" s="146"/>
      <c r="BL147" s="146"/>
      <c r="BM147" s="146"/>
      <c r="BN147" s="146"/>
      <c r="BO147" s="146"/>
      <c r="BP147" s="146"/>
      <c r="BQ147" s="146"/>
      <c r="BR147" s="146"/>
      <c r="BS147" s="146"/>
      <c r="BT147" s="146"/>
      <c r="BU147" s="146"/>
      <c r="BV147" s="146"/>
      <c r="BW147" s="146"/>
      <c r="BX147" s="146"/>
      <c r="BY147" s="146"/>
      <c r="BZ147" s="146"/>
      <c r="CA147" s="146"/>
      <c r="CB147" s="146"/>
      <c r="CC147" s="146"/>
      <c r="CD147" s="146"/>
      <c r="CE147" s="146"/>
      <c r="CF147" s="146"/>
      <c r="CG147" s="146"/>
      <c r="CH147" s="146"/>
    </row>
    <row r="148" ht="15.75" customHeight="1">
      <c r="A148" s="1" t="s">
        <v>717</v>
      </c>
      <c r="C148" s="146">
        <f t="shared" ref="C148:CH148" si="121">C132</f>
        <v>68.604</v>
      </c>
      <c r="D148" s="146">
        <f t="shared" si="121"/>
        <v>60.858</v>
      </c>
      <c r="E148" s="146">
        <f t="shared" si="121"/>
        <v>79.396</v>
      </c>
      <c r="F148" s="146">
        <f t="shared" si="121"/>
        <v>57.574</v>
      </c>
      <c r="G148" s="146">
        <f t="shared" si="121"/>
        <v>65.468</v>
      </c>
      <c r="H148" s="146">
        <f t="shared" si="121"/>
        <v>79.77</v>
      </c>
      <c r="I148" s="146">
        <f t="shared" si="121"/>
        <v>71.862</v>
      </c>
      <c r="J148" s="146">
        <f t="shared" si="121"/>
        <v>68.102</v>
      </c>
      <c r="K148" s="146">
        <f t="shared" si="121"/>
        <v>69.002</v>
      </c>
      <c r="L148" s="146">
        <f t="shared" si="121"/>
        <v>59.618</v>
      </c>
      <c r="M148" s="146">
        <f t="shared" si="121"/>
        <v>70.926</v>
      </c>
      <c r="N148" s="146">
        <f t="shared" si="121"/>
        <v>73.996</v>
      </c>
      <c r="O148" s="146">
        <f t="shared" si="121"/>
        <v>79.85</v>
      </c>
      <c r="P148" s="146">
        <f t="shared" si="121"/>
        <v>49.062</v>
      </c>
      <c r="Q148" s="146">
        <f t="shared" si="121"/>
        <v>76.604</v>
      </c>
      <c r="R148" s="146">
        <f t="shared" si="121"/>
        <v>79.58</v>
      </c>
      <c r="S148" s="146">
        <f t="shared" si="121"/>
        <v>55.59</v>
      </c>
      <c r="T148" s="146">
        <f t="shared" si="121"/>
        <v>65.046</v>
      </c>
      <c r="U148" s="146">
        <f t="shared" si="121"/>
        <v>41.478</v>
      </c>
      <c r="V148" s="146">
        <f t="shared" si="121"/>
        <v>52.286</v>
      </c>
      <c r="W148" s="146">
        <f t="shared" si="121"/>
        <v>41.464</v>
      </c>
      <c r="X148" s="146">
        <f t="shared" si="121"/>
        <v>43.348</v>
      </c>
      <c r="Y148" s="146">
        <f t="shared" si="121"/>
        <v>78.78</v>
      </c>
      <c r="Z148" s="146">
        <f t="shared" si="121"/>
        <v>114.9727047</v>
      </c>
      <c r="AA148" s="146">
        <f t="shared" si="121"/>
        <v>153.0794777</v>
      </c>
      <c r="AB148" s="146">
        <f t="shared" si="121"/>
        <v>186.908067</v>
      </c>
      <c r="AC148" s="146">
        <f t="shared" si="121"/>
        <v>211.4373125</v>
      </c>
      <c r="AD148" s="146">
        <f t="shared" si="121"/>
        <v>229.3370579</v>
      </c>
      <c r="AE148" s="146">
        <f t="shared" si="121"/>
        <v>244.3534704</v>
      </c>
      <c r="AF148" s="146">
        <f t="shared" si="121"/>
        <v>254.7577937</v>
      </c>
      <c r="AG148" s="146">
        <f t="shared" si="121"/>
        <v>262.0518201</v>
      </c>
      <c r="AH148" s="146">
        <f t="shared" si="121"/>
        <v>264.5938128</v>
      </c>
      <c r="AI148" s="146">
        <f t="shared" si="121"/>
        <v>261.7602468</v>
      </c>
      <c r="AJ148" s="146">
        <f t="shared" si="121"/>
        <v>266.6533237</v>
      </c>
      <c r="AK148" s="146">
        <f t="shared" si="121"/>
        <v>270.5633443</v>
      </c>
      <c r="AL148" s="146">
        <f t="shared" si="121"/>
        <v>274.0432997</v>
      </c>
      <c r="AM148" s="146">
        <f t="shared" si="121"/>
        <v>258.8479919</v>
      </c>
      <c r="AN148" s="146">
        <f t="shared" si="121"/>
        <v>248.5777205</v>
      </c>
      <c r="AO148" s="146">
        <f t="shared" si="121"/>
        <v>238.9111665</v>
      </c>
      <c r="AP148" s="146">
        <f t="shared" si="121"/>
        <v>232.3541732</v>
      </c>
      <c r="AQ148" s="146">
        <f t="shared" si="121"/>
        <v>228.0327813</v>
      </c>
      <c r="AR148" s="146">
        <f t="shared" si="121"/>
        <v>225.7905511</v>
      </c>
      <c r="AS148" s="146">
        <f t="shared" si="121"/>
        <v>224.5754707</v>
      </c>
      <c r="AT148" s="146">
        <f t="shared" si="121"/>
        <v>224.1009156</v>
      </c>
      <c r="AU148" s="146">
        <f t="shared" si="121"/>
        <v>224.1611181</v>
      </c>
      <c r="AV148" s="146">
        <f t="shared" si="121"/>
        <v>224.6083655</v>
      </c>
      <c r="AW148" s="146">
        <f t="shared" si="121"/>
        <v>225.3366293</v>
      </c>
      <c r="AX148" s="146">
        <f t="shared" si="121"/>
        <v>226.2698103</v>
      </c>
      <c r="AY148" s="146">
        <f t="shared" si="121"/>
        <v>233.8079415</v>
      </c>
      <c r="AZ148" s="146">
        <f t="shared" si="121"/>
        <v>240.0580982</v>
      </c>
      <c r="BA148" s="146">
        <f t="shared" si="121"/>
        <v>245.1058383</v>
      </c>
      <c r="BB148" s="146">
        <f t="shared" si="121"/>
        <v>249.266955</v>
      </c>
      <c r="BC148" s="146">
        <f t="shared" si="121"/>
        <v>252.7751635</v>
      </c>
      <c r="BD148" s="146">
        <f t="shared" si="121"/>
        <v>255.803442</v>
      </c>
      <c r="BE148" s="146">
        <f t="shared" si="121"/>
        <v>258.4798232</v>
      </c>
      <c r="BF148" s="146">
        <f t="shared" si="121"/>
        <v>260.8990808</v>
      </c>
      <c r="BG148" s="146">
        <f t="shared" si="121"/>
        <v>263.131377</v>
      </c>
      <c r="BH148" s="146">
        <f t="shared" si="121"/>
        <v>265.2286617</v>
      </c>
      <c r="BI148" s="146">
        <f t="shared" si="121"/>
        <v>267.2294081</v>
      </c>
      <c r="BJ148" s="146">
        <f t="shared" si="121"/>
        <v>269.162117</v>
      </c>
      <c r="BK148" s="146">
        <f t="shared" si="121"/>
        <v>273.5865756</v>
      </c>
      <c r="BL148" s="146">
        <f t="shared" si="121"/>
        <v>276.9466558</v>
      </c>
      <c r="BM148" s="146">
        <f t="shared" si="121"/>
        <v>278.6516316</v>
      </c>
      <c r="BN148" s="146">
        <f t="shared" si="121"/>
        <v>280.4186837</v>
      </c>
      <c r="BO148" s="146">
        <f t="shared" si="121"/>
        <v>282.237002</v>
      </c>
      <c r="BP148" s="146">
        <f t="shared" si="121"/>
        <v>284.0986851</v>
      </c>
      <c r="BQ148" s="146">
        <f t="shared" si="121"/>
        <v>285.9979867</v>
      </c>
      <c r="BR148" s="146">
        <f t="shared" si="121"/>
        <v>287.9307578</v>
      </c>
      <c r="BS148" s="146">
        <f t="shared" si="121"/>
        <v>289.8940341</v>
      </c>
      <c r="BT148" s="146">
        <f t="shared" si="121"/>
        <v>291.8857309</v>
      </c>
      <c r="BU148" s="146">
        <f t="shared" si="121"/>
        <v>293.9044172</v>
      </c>
      <c r="BV148" s="146">
        <f t="shared" si="121"/>
        <v>295.9491488</v>
      </c>
      <c r="BW148" s="146">
        <f t="shared" si="121"/>
        <v>298.2984167</v>
      </c>
      <c r="BX148" s="146">
        <f t="shared" si="121"/>
        <v>294.1343982</v>
      </c>
      <c r="BY148" s="146">
        <f t="shared" si="121"/>
        <v>290.0698932</v>
      </c>
      <c r="BZ148" s="146">
        <f t="shared" si="121"/>
        <v>287.4128118</v>
      </c>
      <c r="CA148" s="146">
        <f t="shared" si="121"/>
        <v>285.8023544</v>
      </c>
      <c r="CB148" s="146">
        <f t="shared" si="121"/>
        <v>284.9715047</v>
      </c>
      <c r="CC148" s="146">
        <f t="shared" si="121"/>
        <v>284.7226476</v>
      </c>
      <c r="CD148" s="146">
        <f t="shared" si="121"/>
        <v>284.9095263</v>
      </c>
      <c r="CE148" s="146">
        <f t="shared" si="121"/>
        <v>285.423891</v>
      </c>
      <c r="CF148" s="146">
        <f t="shared" si="121"/>
        <v>286.1856186</v>
      </c>
      <c r="CG148" s="146">
        <f t="shared" si="121"/>
        <v>287.135401</v>
      </c>
      <c r="CH148" s="146">
        <f t="shared" si="121"/>
        <v>288.2293351</v>
      </c>
    </row>
    <row r="149" ht="15.75" customHeight="1">
      <c r="A149" s="1" t="s">
        <v>707</v>
      </c>
      <c r="B149" s="480" t="s">
        <v>722</v>
      </c>
      <c r="M149" s="146">
        <f t="shared" ref="M149:S149" si="122">IF(M148-M144&gt;0,M148-M144,0)</f>
        <v>0</v>
      </c>
      <c r="N149" s="146">
        <f t="shared" si="122"/>
        <v>0</v>
      </c>
      <c r="O149" s="146">
        <f t="shared" si="122"/>
        <v>7.568</v>
      </c>
      <c r="P149" s="146">
        <f t="shared" si="122"/>
        <v>0</v>
      </c>
      <c r="Q149" s="146">
        <f t="shared" si="122"/>
        <v>0</v>
      </c>
      <c r="R149" s="146">
        <f t="shared" si="122"/>
        <v>0</v>
      </c>
      <c r="S149" s="146">
        <f t="shared" si="122"/>
        <v>0</v>
      </c>
      <c r="T149" s="146"/>
      <c r="U149" s="146">
        <f t="shared" ref="U149:CH149" si="123">IF(U148-U144&gt;0,U148-U144,0)</f>
        <v>0</v>
      </c>
      <c r="V149" s="146">
        <f t="shared" si="123"/>
        <v>0</v>
      </c>
      <c r="W149" s="146">
        <f t="shared" si="123"/>
        <v>0</v>
      </c>
      <c r="X149" s="146">
        <f t="shared" si="123"/>
        <v>0</v>
      </c>
      <c r="Y149" s="146">
        <f t="shared" si="123"/>
        <v>0</v>
      </c>
      <c r="Z149" s="146">
        <f t="shared" si="123"/>
        <v>0</v>
      </c>
      <c r="AA149" s="146">
        <f t="shared" si="123"/>
        <v>0</v>
      </c>
      <c r="AB149" s="146">
        <f t="shared" si="123"/>
        <v>0</v>
      </c>
      <c r="AC149" s="146">
        <f t="shared" si="123"/>
        <v>0</v>
      </c>
      <c r="AD149" s="146">
        <f t="shared" si="123"/>
        <v>0</v>
      </c>
      <c r="AE149" s="146">
        <f t="shared" si="123"/>
        <v>0</v>
      </c>
      <c r="AF149" s="146">
        <f t="shared" si="123"/>
        <v>0</v>
      </c>
      <c r="AG149" s="146">
        <f t="shared" si="123"/>
        <v>0</v>
      </c>
      <c r="AH149" s="146">
        <f t="shared" si="123"/>
        <v>0</v>
      </c>
      <c r="AI149" s="146">
        <f t="shared" si="123"/>
        <v>0</v>
      </c>
      <c r="AJ149" s="146">
        <f t="shared" si="123"/>
        <v>0</v>
      </c>
      <c r="AK149" s="146">
        <f t="shared" si="123"/>
        <v>0</v>
      </c>
      <c r="AL149" s="146">
        <f t="shared" si="123"/>
        <v>0</v>
      </c>
      <c r="AM149" s="146">
        <f t="shared" si="123"/>
        <v>0</v>
      </c>
      <c r="AN149" s="146">
        <f t="shared" si="123"/>
        <v>0</v>
      </c>
      <c r="AO149" s="146">
        <f t="shared" si="123"/>
        <v>0</v>
      </c>
      <c r="AP149" s="146">
        <f t="shared" si="123"/>
        <v>0</v>
      </c>
      <c r="AQ149" s="146">
        <f t="shared" si="123"/>
        <v>0</v>
      </c>
      <c r="AR149" s="146">
        <f t="shared" si="123"/>
        <v>0</v>
      </c>
      <c r="AS149" s="146">
        <f t="shared" si="123"/>
        <v>0</v>
      </c>
      <c r="AT149" s="146">
        <f t="shared" si="123"/>
        <v>0</v>
      </c>
      <c r="AU149" s="146">
        <f t="shared" si="123"/>
        <v>0</v>
      </c>
      <c r="AV149" s="146">
        <f t="shared" si="123"/>
        <v>0</v>
      </c>
      <c r="AW149" s="146">
        <f t="shared" si="123"/>
        <v>0</v>
      </c>
      <c r="AX149" s="146">
        <f t="shared" si="123"/>
        <v>0</v>
      </c>
      <c r="AY149" s="146">
        <f t="shared" si="123"/>
        <v>0</v>
      </c>
      <c r="AZ149" s="146">
        <f t="shared" si="123"/>
        <v>0</v>
      </c>
      <c r="BA149" s="146">
        <f t="shared" si="123"/>
        <v>0</v>
      </c>
      <c r="BB149" s="146">
        <f t="shared" si="123"/>
        <v>0</v>
      </c>
      <c r="BC149" s="146">
        <f t="shared" si="123"/>
        <v>0</v>
      </c>
      <c r="BD149" s="146">
        <f t="shared" si="123"/>
        <v>0</v>
      </c>
      <c r="BE149" s="146">
        <f t="shared" si="123"/>
        <v>0</v>
      </c>
      <c r="BF149" s="146">
        <f t="shared" si="123"/>
        <v>0</v>
      </c>
      <c r="BG149" s="146">
        <f t="shared" si="123"/>
        <v>0</v>
      </c>
      <c r="BH149" s="146">
        <f t="shared" si="123"/>
        <v>0</v>
      </c>
      <c r="BI149" s="146">
        <f t="shared" si="123"/>
        <v>0</v>
      </c>
      <c r="BJ149" s="146">
        <f t="shared" si="123"/>
        <v>0</v>
      </c>
      <c r="BK149" s="146">
        <f t="shared" si="123"/>
        <v>0</v>
      </c>
      <c r="BL149" s="146">
        <f t="shared" si="123"/>
        <v>0</v>
      </c>
      <c r="BM149" s="146">
        <f t="shared" si="123"/>
        <v>0</v>
      </c>
      <c r="BN149" s="146">
        <f t="shared" si="123"/>
        <v>0</v>
      </c>
      <c r="BO149" s="146">
        <f t="shared" si="123"/>
        <v>0</v>
      </c>
      <c r="BP149" s="146">
        <f t="shared" si="123"/>
        <v>0</v>
      </c>
      <c r="BQ149" s="146">
        <f t="shared" si="123"/>
        <v>0</v>
      </c>
      <c r="BR149" s="146">
        <f t="shared" si="123"/>
        <v>0</v>
      </c>
      <c r="BS149" s="146">
        <f t="shared" si="123"/>
        <v>0</v>
      </c>
      <c r="BT149" s="146">
        <f t="shared" si="123"/>
        <v>0</v>
      </c>
      <c r="BU149" s="146">
        <f t="shared" si="123"/>
        <v>0</v>
      </c>
      <c r="BV149" s="146">
        <f t="shared" si="123"/>
        <v>0</v>
      </c>
      <c r="BW149" s="146">
        <f t="shared" si="123"/>
        <v>0</v>
      </c>
      <c r="BX149" s="146">
        <f t="shared" si="123"/>
        <v>0</v>
      </c>
      <c r="BY149" s="146">
        <f t="shared" si="123"/>
        <v>0</v>
      </c>
      <c r="BZ149" s="146">
        <f t="shared" si="123"/>
        <v>0</v>
      </c>
      <c r="CA149" s="146">
        <f t="shared" si="123"/>
        <v>0</v>
      </c>
      <c r="CB149" s="146">
        <f t="shared" si="123"/>
        <v>0</v>
      </c>
      <c r="CC149" s="146">
        <f t="shared" si="123"/>
        <v>0</v>
      </c>
      <c r="CD149" s="146">
        <f t="shared" si="123"/>
        <v>0</v>
      </c>
      <c r="CE149" s="146">
        <f t="shared" si="123"/>
        <v>0</v>
      </c>
      <c r="CF149" s="146">
        <f t="shared" si="123"/>
        <v>0</v>
      </c>
      <c r="CG149" s="146">
        <f t="shared" si="123"/>
        <v>0</v>
      </c>
      <c r="CH149" s="146">
        <f t="shared" si="123"/>
        <v>0</v>
      </c>
    </row>
    <row r="150" ht="15.75" customHeight="1">
      <c r="A150" s="1" t="s">
        <v>723</v>
      </c>
      <c r="B150" s="474">
        <v>50.0</v>
      </c>
      <c r="M150" s="173"/>
      <c r="N150" s="146"/>
      <c r="O150" s="242"/>
      <c r="P150" s="242"/>
      <c r="Q150" s="242"/>
      <c r="R150" s="242"/>
      <c r="S150" s="242"/>
      <c r="T150" s="242">
        <f>'Ops Departments'!U116</f>
        <v>2714</v>
      </c>
      <c r="U150" s="242">
        <f>'Ops Departments'!V116</f>
        <v>4220</v>
      </c>
      <c r="V150" s="242">
        <f>'Ops Departments'!W116</f>
        <v>1646</v>
      </c>
      <c r="W150" s="242">
        <f>'Ops Departments'!X116</f>
        <v>1350</v>
      </c>
      <c r="X150" s="242">
        <f>'Ops Departments'!Y116</f>
        <v>482</v>
      </c>
      <c r="Y150" s="146">
        <f t="shared" ref="Y150:BV150" si="124">Y149*$B$150</f>
        <v>0</v>
      </c>
      <c r="Z150" s="146">
        <f t="shared" si="124"/>
        <v>0</v>
      </c>
      <c r="AA150" s="146">
        <f t="shared" si="124"/>
        <v>0</v>
      </c>
      <c r="AB150" s="146">
        <f t="shared" si="124"/>
        <v>0</v>
      </c>
      <c r="AC150" s="146">
        <f t="shared" si="124"/>
        <v>0</v>
      </c>
      <c r="AD150" s="146">
        <f t="shared" si="124"/>
        <v>0</v>
      </c>
      <c r="AE150" s="146">
        <f t="shared" si="124"/>
        <v>0</v>
      </c>
      <c r="AF150" s="146">
        <f t="shared" si="124"/>
        <v>0</v>
      </c>
      <c r="AG150" s="146">
        <f t="shared" si="124"/>
        <v>0</v>
      </c>
      <c r="AH150" s="146">
        <f t="shared" si="124"/>
        <v>0</v>
      </c>
      <c r="AI150" s="146">
        <f t="shared" si="124"/>
        <v>0</v>
      </c>
      <c r="AJ150" s="146">
        <f t="shared" si="124"/>
        <v>0</v>
      </c>
      <c r="AK150" s="146">
        <f t="shared" si="124"/>
        <v>0</v>
      </c>
      <c r="AL150" s="146">
        <f t="shared" si="124"/>
        <v>0</v>
      </c>
      <c r="AM150" s="146">
        <f t="shared" si="124"/>
        <v>0</v>
      </c>
      <c r="AN150" s="146">
        <f t="shared" si="124"/>
        <v>0</v>
      </c>
      <c r="AO150" s="146">
        <f t="shared" si="124"/>
        <v>0</v>
      </c>
      <c r="AP150" s="146">
        <f t="shared" si="124"/>
        <v>0</v>
      </c>
      <c r="AQ150" s="146">
        <f t="shared" si="124"/>
        <v>0</v>
      </c>
      <c r="AR150" s="146">
        <f t="shared" si="124"/>
        <v>0</v>
      </c>
      <c r="AS150" s="146">
        <f t="shared" si="124"/>
        <v>0</v>
      </c>
      <c r="AT150" s="146">
        <f t="shared" si="124"/>
        <v>0</v>
      </c>
      <c r="AU150" s="146">
        <f t="shared" si="124"/>
        <v>0</v>
      </c>
      <c r="AV150" s="146">
        <f t="shared" si="124"/>
        <v>0</v>
      </c>
      <c r="AW150" s="146">
        <f t="shared" si="124"/>
        <v>0</v>
      </c>
      <c r="AX150" s="146">
        <f t="shared" si="124"/>
        <v>0</v>
      </c>
      <c r="AY150" s="146">
        <f t="shared" si="124"/>
        <v>0</v>
      </c>
      <c r="AZ150" s="146">
        <f t="shared" si="124"/>
        <v>0</v>
      </c>
      <c r="BA150" s="146">
        <f t="shared" si="124"/>
        <v>0</v>
      </c>
      <c r="BB150" s="146">
        <f t="shared" si="124"/>
        <v>0</v>
      </c>
      <c r="BC150" s="146">
        <f t="shared" si="124"/>
        <v>0</v>
      </c>
      <c r="BD150" s="146">
        <f t="shared" si="124"/>
        <v>0</v>
      </c>
      <c r="BE150" s="146">
        <f t="shared" si="124"/>
        <v>0</v>
      </c>
      <c r="BF150" s="146">
        <f t="shared" si="124"/>
        <v>0</v>
      </c>
      <c r="BG150" s="146">
        <f t="shared" si="124"/>
        <v>0</v>
      </c>
      <c r="BH150" s="146">
        <f t="shared" si="124"/>
        <v>0</v>
      </c>
      <c r="BI150" s="146">
        <f t="shared" si="124"/>
        <v>0</v>
      </c>
      <c r="BJ150" s="146">
        <f t="shared" si="124"/>
        <v>0</v>
      </c>
      <c r="BK150" s="146">
        <f t="shared" si="124"/>
        <v>0</v>
      </c>
      <c r="BL150" s="146">
        <f t="shared" si="124"/>
        <v>0</v>
      </c>
      <c r="BM150" s="146">
        <f t="shared" si="124"/>
        <v>0</v>
      </c>
      <c r="BN150" s="146">
        <f t="shared" si="124"/>
        <v>0</v>
      </c>
      <c r="BO150" s="146">
        <f t="shared" si="124"/>
        <v>0</v>
      </c>
      <c r="BP150" s="146">
        <f t="shared" si="124"/>
        <v>0</v>
      </c>
      <c r="BQ150" s="146">
        <f t="shared" si="124"/>
        <v>0</v>
      </c>
      <c r="BR150" s="146">
        <f t="shared" si="124"/>
        <v>0</v>
      </c>
      <c r="BS150" s="146">
        <f t="shared" si="124"/>
        <v>0</v>
      </c>
      <c r="BT150" s="146">
        <f t="shared" si="124"/>
        <v>0</v>
      </c>
      <c r="BU150" s="146">
        <f t="shared" si="124"/>
        <v>0</v>
      </c>
      <c r="BV150" s="146">
        <f t="shared" si="124"/>
        <v>0</v>
      </c>
      <c r="BW150" s="146">
        <f t="shared" ref="BW150:CH150" si="125">BW149*$B$151</f>
        <v>0</v>
      </c>
      <c r="BX150" s="146">
        <f t="shared" si="125"/>
        <v>0</v>
      </c>
      <c r="BY150" s="146">
        <f t="shared" si="125"/>
        <v>0</v>
      </c>
      <c r="BZ150" s="146">
        <f t="shared" si="125"/>
        <v>0</v>
      </c>
      <c r="CA150" s="146">
        <f t="shared" si="125"/>
        <v>0</v>
      </c>
      <c r="CB150" s="146">
        <f t="shared" si="125"/>
        <v>0</v>
      </c>
      <c r="CC150" s="146">
        <f t="shared" si="125"/>
        <v>0</v>
      </c>
      <c r="CD150" s="146">
        <f t="shared" si="125"/>
        <v>0</v>
      </c>
      <c r="CE150" s="146">
        <f t="shared" si="125"/>
        <v>0</v>
      </c>
      <c r="CF150" s="146">
        <f t="shared" si="125"/>
        <v>0</v>
      </c>
      <c r="CG150" s="146">
        <f t="shared" si="125"/>
        <v>0</v>
      </c>
      <c r="CH150" s="146">
        <f t="shared" si="125"/>
        <v>0</v>
      </c>
    </row>
    <row r="151" ht="15.75" customHeight="1">
      <c r="A151" s="449" t="s">
        <v>711</v>
      </c>
      <c r="B151" s="475">
        <v>55.0</v>
      </c>
      <c r="M151" s="173"/>
      <c r="N151" s="146"/>
      <c r="O151" s="242"/>
      <c r="P151" s="242"/>
      <c r="Q151" s="242"/>
      <c r="R151" s="242"/>
      <c r="S151" s="242"/>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6"/>
      <c r="AV151" s="146"/>
      <c r="AW151" s="146"/>
      <c r="AX151" s="146"/>
      <c r="AY151" s="146"/>
      <c r="AZ151" s="146"/>
      <c r="BA151" s="146"/>
      <c r="BB151" s="146"/>
      <c r="BC151" s="146"/>
      <c r="BD151" s="146"/>
      <c r="BE151" s="146"/>
      <c r="BF151" s="146"/>
      <c r="BG151" s="146"/>
      <c r="BH151" s="146"/>
      <c r="BI151" s="146"/>
      <c r="BJ151" s="146"/>
      <c r="BK151" s="146"/>
      <c r="BL151" s="146"/>
      <c r="BM151" s="146"/>
      <c r="BN151" s="146"/>
      <c r="BO151" s="146"/>
      <c r="BP151" s="146"/>
      <c r="BQ151" s="146"/>
      <c r="BR151" s="146"/>
      <c r="BS151" s="146"/>
      <c r="BT151" s="146"/>
      <c r="BU151" s="146"/>
      <c r="BV151" s="146"/>
      <c r="BW151" s="146"/>
      <c r="BX151" s="146"/>
      <c r="BY151" s="146"/>
      <c r="BZ151" s="146"/>
      <c r="CA151" s="146"/>
      <c r="CB151" s="146"/>
      <c r="CC151" s="146"/>
      <c r="CD151" s="146"/>
      <c r="CE151" s="146"/>
      <c r="CF151" s="146"/>
      <c r="CG151" s="146"/>
      <c r="CH151" s="146"/>
    </row>
    <row r="152" ht="15.75" customHeight="1">
      <c r="A152" s="1"/>
      <c r="M152" s="173"/>
      <c r="N152" s="146"/>
      <c r="O152" s="242"/>
      <c r="P152" s="242"/>
      <c r="Q152" s="242"/>
      <c r="R152" s="242"/>
      <c r="S152" s="242"/>
      <c r="T152" s="146"/>
      <c r="U152" s="146"/>
      <c r="V152" s="146"/>
      <c r="W152" s="146"/>
      <c r="X152" s="146"/>
      <c r="Y152" s="146"/>
      <c r="Z152" s="146"/>
      <c r="AA152" s="146"/>
      <c r="AB152" s="146"/>
      <c r="AC152" s="146"/>
      <c r="AD152" s="146"/>
      <c r="AE152" s="146"/>
      <c r="AF152" s="146"/>
      <c r="AG152" s="146"/>
      <c r="AH152" s="146"/>
      <c r="AI152" s="146"/>
      <c r="AJ152" s="146"/>
      <c r="AK152" s="146"/>
      <c r="AL152" s="125">
        <f>303070/497500</f>
        <v>0.6091859296</v>
      </c>
      <c r="AM152" s="146"/>
      <c r="AN152" s="146"/>
      <c r="AO152" s="146"/>
      <c r="AP152" s="146"/>
      <c r="AQ152" s="146"/>
      <c r="AR152" s="146"/>
      <c r="AS152" s="146"/>
      <c r="AT152" s="146"/>
      <c r="AU152" s="146"/>
      <c r="AV152" s="146"/>
      <c r="AW152" s="146"/>
      <c r="AX152" s="146"/>
      <c r="AY152" s="146"/>
      <c r="AZ152" s="146"/>
      <c r="BA152" s="146"/>
      <c r="BB152" s="146"/>
      <c r="BC152" s="146"/>
      <c r="BD152" s="146"/>
      <c r="BE152" s="146"/>
      <c r="BF152" s="146"/>
      <c r="BG152" s="146"/>
      <c r="BH152" s="146"/>
      <c r="BI152" s="146"/>
      <c r="BJ152" s="146"/>
      <c r="BK152" s="146"/>
      <c r="BL152" s="146"/>
      <c r="BM152" s="146"/>
      <c r="BN152" s="146"/>
      <c r="BO152" s="146"/>
      <c r="BP152" s="146"/>
      <c r="BQ152" s="146"/>
      <c r="BR152" s="146"/>
      <c r="BS152" s="146"/>
      <c r="BT152" s="146"/>
      <c r="BU152" s="146"/>
      <c r="BV152" s="146"/>
      <c r="BW152" s="146"/>
      <c r="BX152" s="146"/>
      <c r="BY152" s="146"/>
      <c r="BZ152" s="146"/>
      <c r="CA152" s="146"/>
      <c r="CB152" s="146"/>
      <c r="CC152" s="146"/>
      <c r="CD152" s="146"/>
      <c r="CE152" s="146"/>
      <c r="CF152" s="146"/>
      <c r="CG152" s="146"/>
      <c r="CH152" s="146"/>
    </row>
    <row r="153" ht="15.75" customHeight="1">
      <c r="A153" s="1" t="s">
        <v>705</v>
      </c>
      <c r="M153" s="173">
        <v>1.0</v>
      </c>
      <c r="N153" s="146">
        <f t="shared" ref="N153:R153" si="126">M153+M157</f>
        <v>1</v>
      </c>
      <c r="O153" s="242">
        <f t="shared" si="126"/>
        <v>1</v>
      </c>
      <c r="P153" s="242">
        <f t="shared" si="126"/>
        <v>1</v>
      </c>
      <c r="Q153" s="242">
        <f t="shared" si="126"/>
        <v>1</v>
      </c>
      <c r="R153" s="242">
        <f t="shared" si="126"/>
        <v>1</v>
      </c>
      <c r="S153" s="242">
        <v>1.0</v>
      </c>
      <c r="T153" s="242">
        <v>1.0</v>
      </c>
      <c r="U153" s="242">
        <f t="shared" ref="U153:V153" si="127">T153+T157</f>
        <v>1</v>
      </c>
      <c r="V153" s="242">
        <f t="shared" si="127"/>
        <v>1</v>
      </c>
      <c r="W153" s="242">
        <v>1.0</v>
      </c>
      <c r="X153" s="242">
        <f t="shared" ref="X153:CH153" si="128">W153+W157</f>
        <v>1</v>
      </c>
      <c r="Y153" s="146">
        <f t="shared" si="128"/>
        <v>1</v>
      </c>
      <c r="Z153" s="146">
        <f t="shared" si="128"/>
        <v>1</v>
      </c>
      <c r="AA153" s="146">
        <f t="shared" si="128"/>
        <v>1</v>
      </c>
      <c r="AB153" s="146">
        <f t="shared" si="128"/>
        <v>1</v>
      </c>
      <c r="AC153" s="146">
        <f t="shared" si="128"/>
        <v>1</v>
      </c>
      <c r="AD153" s="146">
        <f t="shared" si="128"/>
        <v>1</v>
      </c>
      <c r="AE153" s="146">
        <f t="shared" si="128"/>
        <v>1</v>
      </c>
      <c r="AF153" s="146">
        <f t="shared" si="128"/>
        <v>1</v>
      </c>
      <c r="AG153" s="146">
        <f t="shared" si="128"/>
        <v>1</v>
      </c>
      <c r="AH153" s="146">
        <f t="shared" si="128"/>
        <v>1</v>
      </c>
      <c r="AI153" s="146">
        <f t="shared" si="128"/>
        <v>1</v>
      </c>
      <c r="AJ153" s="146">
        <f t="shared" si="128"/>
        <v>1</v>
      </c>
      <c r="AK153" s="146">
        <f t="shared" si="128"/>
        <v>1</v>
      </c>
      <c r="AL153" s="146">
        <f t="shared" si="128"/>
        <v>1</v>
      </c>
      <c r="AM153" s="146">
        <f t="shared" si="128"/>
        <v>1</v>
      </c>
      <c r="AN153" s="146">
        <f t="shared" si="128"/>
        <v>1</v>
      </c>
      <c r="AO153" s="146">
        <f t="shared" si="128"/>
        <v>1</v>
      </c>
      <c r="AP153" s="146">
        <f t="shared" si="128"/>
        <v>1</v>
      </c>
      <c r="AQ153" s="146">
        <f t="shared" si="128"/>
        <v>1</v>
      </c>
      <c r="AR153" s="146">
        <f t="shared" si="128"/>
        <v>1</v>
      </c>
      <c r="AS153" s="146">
        <f t="shared" si="128"/>
        <v>1</v>
      </c>
      <c r="AT153" s="146">
        <f t="shared" si="128"/>
        <v>1</v>
      </c>
      <c r="AU153" s="146">
        <f t="shared" si="128"/>
        <v>1</v>
      </c>
      <c r="AV153" s="146">
        <f t="shared" si="128"/>
        <v>1</v>
      </c>
      <c r="AW153" s="146">
        <f t="shared" si="128"/>
        <v>1</v>
      </c>
      <c r="AX153" s="146">
        <f t="shared" si="128"/>
        <v>1</v>
      </c>
      <c r="AY153" s="146">
        <f t="shared" si="128"/>
        <v>1</v>
      </c>
      <c r="AZ153" s="146">
        <f t="shared" si="128"/>
        <v>1</v>
      </c>
      <c r="BA153" s="146">
        <f t="shared" si="128"/>
        <v>1</v>
      </c>
      <c r="BB153" s="146">
        <f t="shared" si="128"/>
        <v>1</v>
      </c>
      <c r="BC153" s="146">
        <f t="shared" si="128"/>
        <v>1</v>
      </c>
      <c r="BD153" s="146">
        <f t="shared" si="128"/>
        <v>1</v>
      </c>
      <c r="BE153" s="146">
        <f t="shared" si="128"/>
        <v>1</v>
      </c>
      <c r="BF153" s="146">
        <f t="shared" si="128"/>
        <v>1</v>
      </c>
      <c r="BG153" s="146">
        <f t="shared" si="128"/>
        <v>1</v>
      </c>
      <c r="BH153" s="146">
        <f t="shared" si="128"/>
        <v>1</v>
      </c>
      <c r="BI153" s="146">
        <f t="shared" si="128"/>
        <v>1</v>
      </c>
      <c r="BJ153" s="146">
        <f t="shared" si="128"/>
        <v>1</v>
      </c>
      <c r="BK153" s="146">
        <f t="shared" si="128"/>
        <v>1</v>
      </c>
      <c r="BL153" s="146">
        <f t="shared" si="128"/>
        <v>1</v>
      </c>
      <c r="BM153" s="146">
        <f t="shared" si="128"/>
        <v>1</v>
      </c>
      <c r="BN153" s="146">
        <f t="shared" si="128"/>
        <v>1</v>
      </c>
      <c r="BO153" s="146">
        <f t="shared" si="128"/>
        <v>1</v>
      </c>
      <c r="BP153" s="146">
        <f t="shared" si="128"/>
        <v>1</v>
      </c>
      <c r="BQ153" s="146">
        <f t="shared" si="128"/>
        <v>1</v>
      </c>
      <c r="BR153" s="146">
        <f t="shared" si="128"/>
        <v>1</v>
      </c>
      <c r="BS153" s="146">
        <f t="shared" si="128"/>
        <v>1</v>
      </c>
      <c r="BT153" s="146">
        <f t="shared" si="128"/>
        <v>1</v>
      </c>
      <c r="BU153" s="146">
        <f t="shared" si="128"/>
        <v>1</v>
      </c>
      <c r="BV153" s="146">
        <f t="shared" si="128"/>
        <v>1</v>
      </c>
      <c r="BW153" s="146">
        <f t="shared" si="128"/>
        <v>1</v>
      </c>
      <c r="BX153" s="146">
        <f t="shared" si="128"/>
        <v>1</v>
      </c>
      <c r="BY153" s="146">
        <f t="shared" si="128"/>
        <v>1</v>
      </c>
      <c r="BZ153" s="146">
        <f t="shared" si="128"/>
        <v>1</v>
      </c>
      <c r="CA153" s="146">
        <f t="shared" si="128"/>
        <v>1</v>
      </c>
      <c r="CB153" s="146">
        <f t="shared" si="128"/>
        <v>1</v>
      </c>
      <c r="CC153" s="146">
        <f t="shared" si="128"/>
        <v>1</v>
      </c>
      <c r="CD153" s="146">
        <f t="shared" si="128"/>
        <v>1</v>
      </c>
      <c r="CE153" s="146">
        <f t="shared" si="128"/>
        <v>1</v>
      </c>
      <c r="CF153" s="146">
        <f t="shared" si="128"/>
        <v>1</v>
      </c>
      <c r="CG153" s="146">
        <f t="shared" si="128"/>
        <v>1</v>
      </c>
      <c r="CH153" s="146">
        <f t="shared" si="128"/>
        <v>1</v>
      </c>
    </row>
    <row r="154" ht="15.75" customHeight="1">
      <c r="A154" s="1" t="s">
        <v>706</v>
      </c>
      <c r="M154" s="471">
        <v>5.5</v>
      </c>
      <c r="N154" s="472">
        <f t="shared" ref="N154:CH154" si="129">M154</f>
        <v>5.5</v>
      </c>
      <c r="O154" s="472">
        <f t="shared" si="129"/>
        <v>5.5</v>
      </c>
      <c r="P154" s="472">
        <f t="shared" si="129"/>
        <v>5.5</v>
      </c>
      <c r="Q154" s="472">
        <f t="shared" si="129"/>
        <v>5.5</v>
      </c>
      <c r="R154" s="472">
        <f t="shared" si="129"/>
        <v>5.5</v>
      </c>
      <c r="S154" s="472">
        <f t="shared" si="129"/>
        <v>5.5</v>
      </c>
      <c r="T154" s="472">
        <f t="shared" si="129"/>
        <v>5.5</v>
      </c>
      <c r="U154" s="472">
        <f t="shared" si="129"/>
        <v>5.5</v>
      </c>
      <c r="V154" s="472">
        <f t="shared" si="129"/>
        <v>5.5</v>
      </c>
      <c r="W154" s="472">
        <f t="shared" si="129"/>
        <v>5.5</v>
      </c>
      <c r="X154" s="472">
        <f t="shared" si="129"/>
        <v>5.5</v>
      </c>
      <c r="Y154" s="472">
        <f t="shared" si="129"/>
        <v>5.5</v>
      </c>
      <c r="Z154" s="472">
        <f t="shared" si="129"/>
        <v>5.5</v>
      </c>
      <c r="AA154" s="472">
        <f t="shared" si="129"/>
        <v>5.5</v>
      </c>
      <c r="AB154" s="472">
        <f t="shared" si="129"/>
        <v>5.5</v>
      </c>
      <c r="AC154" s="472">
        <f t="shared" si="129"/>
        <v>5.5</v>
      </c>
      <c r="AD154" s="472">
        <f t="shared" si="129"/>
        <v>5.5</v>
      </c>
      <c r="AE154" s="472">
        <f t="shared" si="129"/>
        <v>5.5</v>
      </c>
      <c r="AF154" s="472">
        <f t="shared" si="129"/>
        <v>5.5</v>
      </c>
      <c r="AG154" s="472">
        <f t="shared" si="129"/>
        <v>5.5</v>
      </c>
      <c r="AH154" s="472">
        <f t="shared" si="129"/>
        <v>5.5</v>
      </c>
      <c r="AI154" s="472">
        <f t="shared" si="129"/>
        <v>5.5</v>
      </c>
      <c r="AJ154" s="472">
        <f t="shared" si="129"/>
        <v>5.5</v>
      </c>
      <c r="AK154" s="472">
        <f t="shared" si="129"/>
        <v>5.5</v>
      </c>
      <c r="AL154" s="472">
        <f t="shared" si="129"/>
        <v>5.5</v>
      </c>
      <c r="AM154" s="472">
        <f t="shared" si="129"/>
        <v>5.5</v>
      </c>
      <c r="AN154" s="472">
        <f t="shared" si="129"/>
        <v>5.5</v>
      </c>
      <c r="AO154" s="472">
        <f t="shared" si="129"/>
        <v>5.5</v>
      </c>
      <c r="AP154" s="472">
        <f t="shared" si="129"/>
        <v>5.5</v>
      </c>
      <c r="AQ154" s="472">
        <f t="shared" si="129"/>
        <v>5.5</v>
      </c>
      <c r="AR154" s="472">
        <f t="shared" si="129"/>
        <v>5.5</v>
      </c>
      <c r="AS154" s="472">
        <f t="shared" si="129"/>
        <v>5.5</v>
      </c>
      <c r="AT154" s="472">
        <f t="shared" si="129"/>
        <v>5.5</v>
      </c>
      <c r="AU154" s="472">
        <f t="shared" si="129"/>
        <v>5.5</v>
      </c>
      <c r="AV154" s="472">
        <f t="shared" si="129"/>
        <v>5.5</v>
      </c>
      <c r="AW154" s="472">
        <f t="shared" si="129"/>
        <v>5.5</v>
      </c>
      <c r="AX154" s="472">
        <f t="shared" si="129"/>
        <v>5.5</v>
      </c>
      <c r="AY154" s="472">
        <f t="shared" si="129"/>
        <v>5.5</v>
      </c>
      <c r="AZ154" s="472">
        <f t="shared" si="129"/>
        <v>5.5</v>
      </c>
      <c r="BA154" s="472">
        <f t="shared" si="129"/>
        <v>5.5</v>
      </c>
      <c r="BB154" s="472">
        <f t="shared" si="129"/>
        <v>5.5</v>
      </c>
      <c r="BC154" s="472">
        <f t="shared" si="129"/>
        <v>5.5</v>
      </c>
      <c r="BD154" s="472">
        <f t="shared" si="129"/>
        <v>5.5</v>
      </c>
      <c r="BE154" s="472">
        <f t="shared" si="129"/>
        <v>5.5</v>
      </c>
      <c r="BF154" s="472">
        <f t="shared" si="129"/>
        <v>5.5</v>
      </c>
      <c r="BG154" s="472">
        <f t="shared" si="129"/>
        <v>5.5</v>
      </c>
      <c r="BH154" s="472">
        <f t="shared" si="129"/>
        <v>5.5</v>
      </c>
      <c r="BI154" s="472">
        <f t="shared" si="129"/>
        <v>5.5</v>
      </c>
      <c r="BJ154" s="472">
        <f t="shared" si="129"/>
        <v>5.5</v>
      </c>
      <c r="BK154" s="472">
        <f t="shared" si="129"/>
        <v>5.5</v>
      </c>
      <c r="BL154" s="472">
        <f t="shared" si="129"/>
        <v>5.5</v>
      </c>
      <c r="BM154" s="472">
        <f t="shared" si="129"/>
        <v>5.5</v>
      </c>
      <c r="BN154" s="472">
        <f t="shared" si="129"/>
        <v>5.5</v>
      </c>
      <c r="BO154" s="472">
        <f t="shared" si="129"/>
        <v>5.5</v>
      </c>
      <c r="BP154" s="472">
        <f t="shared" si="129"/>
        <v>5.5</v>
      </c>
      <c r="BQ154" s="472">
        <f t="shared" si="129"/>
        <v>5.5</v>
      </c>
      <c r="BR154" s="472">
        <f t="shared" si="129"/>
        <v>5.5</v>
      </c>
      <c r="BS154" s="472">
        <f t="shared" si="129"/>
        <v>5.5</v>
      </c>
      <c r="BT154" s="472">
        <f t="shared" si="129"/>
        <v>5.5</v>
      </c>
      <c r="BU154" s="472">
        <f t="shared" si="129"/>
        <v>5.5</v>
      </c>
      <c r="BV154" s="472">
        <f t="shared" si="129"/>
        <v>5.5</v>
      </c>
      <c r="BW154" s="472">
        <f t="shared" si="129"/>
        <v>5.5</v>
      </c>
      <c r="BX154" s="472">
        <f t="shared" si="129"/>
        <v>5.5</v>
      </c>
      <c r="BY154" s="472">
        <f t="shared" si="129"/>
        <v>5.5</v>
      </c>
      <c r="BZ154" s="472">
        <f t="shared" si="129"/>
        <v>5.5</v>
      </c>
      <c r="CA154" s="472">
        <f t="shared" si="129"/>
        <v>5.5</v>
      </c>
      <c r="CB154" s="472">
        <f t="shared" si="129"/>
        <v>5.5</v>
      </c>
      <c r="CC154" s="472">
        <f t="shared" si="129"/>
        <v>5.5</v>
      </c>
      <c r="CD154" s="472">
        <f t="shared" si="129"/>
        <v>5.5</v>
      </c>
      <c r="CE154" s="472">
        <f t="shared" si="129"/>
        <v>5.5</v>
      </c>
      <c r="CF154" s="472">
        <f t="shared" si="129"/>
        <v>5.5</v>
      </c>
      <c r="CG154" s="472">
        <f t="shared" si="129"/>
        <v>5.5</v>
      </c>
      <c r="CH154" s="472">
        <f t="shared" si="129"/>
        <v>5.5</v>
      </c>
    </row>
    <row r="155" ht="15.75" customHeight="1">
      <c r="A155" s="1" t="s">
        <v>698</v>
      </c>
      <c r="M155" s="146">
        <f t="shared" ref="M155:CH155" si="130">M153*M154</f>
        <v>5.5</v>
      </c>
      <c r="N155" s="146">
        <f t="shared" si="130"/>
        <v>5.5</v>
      </c>
      <c r="O155" s="146">
        <f t="shared" si="130"/>
        <v>5.5</v>
      </c>
      <c r="P155" s="146">
        <f t="shared" si="130"/>
        <v>5.5</v>
      </c>
      <c r="Q155" s="146">
        <f t="shared" si="130"/>
        <v>5.5</v>
      </c>
      <c r="R155" s="146">
        <f t="shared" si="130"/>
        <v>5.5</v>
      </c>
      <c r="S155" s="146">
        <f t="shared" si="130"/>
        <v>5.5</v>
      </c>
      <c r="T155" s="146">
        <f t="shared" si="130"/>
        <v>5.5</v>
      </c>
      <c r="U155" s="146">
        <f t="shared" si="130"/>
        <v>5.5</v>
      </c>
      <c r="V155" s="146">
        <f t="shared" si="130"/>
        <v>5.5</v>
      </c>
      <c r="W155" s="146">
        <f t="shared" si="130"/>
        <v>5.5</v>
      </c>
      <c r="X155" s="146">
        <f t="shared" si="130"/>
        <v>5.5</v>
      </c>
      <c r="Y155" s="146">
        <f t="shared" si="130"/>
        <v>5.5</v>
      </c>
      <c r="Z155" s="146">
        <f t="shared" si="130"/>
        <v>5.5</v>
      </c>
      <c r="AA155" s="146">
        <f t="shared" si="130"/>
        <v>5.5</v>
      </c>
      <c r="AB155" s="146">
        <f t="shared" si="130"/>
        <v>5.5</v>
      </c>
      <c r="AC155" s="146">
        <f t="shared" si="130"/>
        <v>5.5</v>
      </c>
      <c r="AD155" s="146">
        <f t="shared" si="130"/>
        <v>5.5</v>
      </c>
      <c r="AE155" s="146">
        <f t="shared" si="130"/>
        <v>5.5</v>
      </c>
      <c r="AF155" s="146">
        <f t="shared" si="130"/>
        <v>5.5</v>
      </c>
      <c r="AG155" s="146">
        <f t="shared" si="130"/>
        <v>5.5</v>
      </c>
      <c r="AH155" s="146">
        <f t="shared" si="130"/>
        <v>5.5</v>
      </c>
      <c r="AI155" s="146">
        <f t="shared" si="130"/>
        <v>5.5</v>
      </c>
      <c r="AJ155" s="146">
        <f t="shared" si="130"/>
        <v>5.5</v>
      </c>
      <c r="AK155" s="146">
        <f t="shared" si="130"/>
        <v>5.5</v>
      </c>
      <c r="AL155" s="146">
        <f t="shared" si="130"/>
        <v>5.5</v>
      </c>
      <c r="AM155" s="146">
        <f t="shared" si="130"/>
        <v>5.5</v>
      </c>
      <c r="AN155" s="146">
        <f t="shared" si="130"/>
        <v>5.5</v>
      </c>
      <c r="AO155" s="146">
        <f t="shared" si="130"/>
        <v>5.5</v>
      </c>
      <c r="AP155" s="146">
        <f t="shared" si="130"/>
        <v>5.5</v>
      </c>
      <c r="AQ155" s="146">
        <f t="shared" si="130"/>
        <v>5.5</v>
      </c>
      <c r="AR155" s="146">
        <f t="shared" si="130"/>
        <v>5.5</v>
      </c>
      <c r="AS155" s="146">
        <f t="shared" si="130"/>
        <v>5.5</v>
      </c>
      <c r="AT155" s="146">
        <f t="shared" si="130"/>
        <v>5.5</v>
      </c>
      <c r="AU155" s="146">
        <f t="shared" si="130"/>
        <v>5.5</v>
      </c>
      <c r="AV155" s="146">
        <f t="shared" si="130"/>
        <v>5.5</v>
      </c>
      <c r="AW155" s="146">
        <f t="shared" si="130"/>
        <v>5.5</v>
      </c>
      <c r="AX155" s="146">
        <f t="shared" si="130"/>
        <v>5.5</v>
      </c>
      <c r="AY155" s="146">
        <f t="shared" si="130"/>
        <v>5.5</v>
      </c>
      <c r="AZ155" s="146">
        <f t="shared" si="130"/>
        <v>5.5</v>
      </c>
      <c r="BA155" s="146">
        <f t="shared" si="130"/>
        <v>5.5</v>
      </c>
      <c r="BB155" s="146">
        <f t="shared" si="130"/>
        <v>5.5</v>
      </c>
      <c r="BC155" s="146">
        <f t="shared" si="130"/>
        <v>5.5</v>
      </c>
      <c r="BD155" s="146">
        <f t="shared" si="130"/>
        <v>5.5</v>
      </c>
      <c r="BE155" s="146">
        <f t="shared" si="130"/>
        <v>5.5</v>
      </c>
      <c r="BF155" s="146">
        <f t="shared" si="130"/>
        <v>5.5</v>
      </c>
      <c r="BG155" s="146">
        <f t="shared" si="130"/>
        <v>5.5</v>
      </c>
      <c r="BH155" s="146">
        <f t="shared" si="130"/>
        <v>5.5</v>
      </c>
      <c r="BI155" s="146">
        <f t="shared" si="130"/>
        <v>5.5</v>
      </c>
      <c r="BJ155" s="146">
        <f t="shared" si="130"/>
        <v>5.5</v>
      </c>
      <c r="BK155" s="146">
        <f t="shared" si="130"/>
        <v>5.5</v>
      </c>
      <c r="BL155" s="146">
        <f t="shared" si="130"/>
        <v>5.5</v>
      </c>
      <c r="BM155" s="146">
        <f t="shared" si="130"/>
        <v>5.5</v>
      </c>
      <c r="BN155" s="146">
        <f t="shared" si="130"/>
        <v>5.5</v>
      </c>
      <c r="BO155" s="146">
        <f t="shared" si="130"/>
        <v>5.5</v>
      </c>
      <c r="BP155" s="146">
        <f t="shared" si="130"/>
        <v>5.5</v>
      </c>
      <c r="BQ155" s="146">
        <f t="shared" si="130"/>
        <v>5.5</v>
      </c>
      <c r="BR155" s="146">
        <f t="shared" si="130"/>
        <v>5.5</v>
      </c>
      <c r="BS155" s="146">
        <f t="shared" si="130"/>
        <v>5.5</v>
      </c>
      <c r="BT155" s="146">
        <f t="shared" si="130"/>
        <v>5.5</v>
      </c>
      <c r="BU155" s="146">
        <f t="shared" si="130"/>
        <v>5.5</v>
      </c>
      <c r="BV155" s="146">
        <f t="shared" si="130"/>
        <v>5.5</v>
      </c>
      <c r="BW155" s="146">
        <f t="shared" si="130"/>
        <v>5.5</v>
      </c>
      <c r="BX155" s="146">
        <f t="shared" si="130"/>
        <v>5.5</v>
      </c>
      <c r="BY155" s="146">
        <f t="shared" si="130"/>
        <v>5.5</v>
      </c>
      <c r="BZ155" s="146">
        <f t="shared" si="130"/>
        <v>5.5</v>
      </c>
      <c r="CA155" s="146">
        <f t="shared" si="130"/>
        <v>5.5</v>
      </c>
      <c r="CB155" s="146">
        <f t="shared" si="130"/>
        <v>5.5</v>
      </c>
      <c r="CC155" s="146">
        <f t="shared" si="130"/>
        <v>5.5</v>
      </c>
      <c r="CD155" s="146">
        <f t="shared" si="130"/>
        <v>5.5</v>
      </c>
      <c r="CE155" s="146">
        <f t="shared" si="130"/>
        <v>5.5</v>
      </c>
      <c r="CF155" s="146">
        <f t="shared" si="130"/>
        <v>5.5</v>
      </c>
      <c r="CG155" s="146">
        <f t="shared" si="130"/>
        <v>5.5</v>
      </c>
      <c r="CH155" s="146">
        <f t="shared" si="130"/>
        <v>5.5</v>
      </c>
    </row>
    <row r="156" ht="15.75" customHeight="1">
      <c r="A156" s="1" t="s">
        <v>700</v>
      </c>
      <c r="B156" s="446" t="s">
        <v>701</v>
      </c>
      <c r="M156" s="146">
        <f t="shared" ref="M156:CH156" si="131">M155-M141</f>
        <v>2</v>
      </c>
      <c r="N156" s="146">
        <f t="shared" si="131"/>
        <v>2</v>
      </c>
      <c r="O156" s="146">
        <f t="shared" si="131"/>
        <v>2</v>
      </c>
      <c r="P156" s="146">
        <f t="shared" si="131"/>
        <v>2</v>
      </c>
      <c r="Q156" s="146">
        <f t="shared" si="131"/>
        <v>2</v>
      </c>
      <c r="R156" s="146">
        <f t="shared" si="131"/>
        <v>2</v>
      </c>
      <c r="S156" s="146">
        <f t="shared" si="131"/>
        <v>2</v>
      </c>
      <c r="T156" s="146">
        <f t="shared" si="131"/>
        <v>2</v>
      </c>
      <c r="U156" s="146">
        <f t="shared" si="131"/>
        <v>1</v>
      </c>
      <c r="V156" s="146">
        <f t="shared" si="131"/>
        <v>1</v>
      </c>
      <c r="W156" s="146">
        <f t="shared" si="131"/>
        <v>1</v>
      </c>
      <c r="X156" s="146">
        <f t="shared" si="131"/>
        <v>1</v>
      </c>
      <c r="Y156" s="146">
        <f t="shared" si="131"/>
        <v>1</v>
      </c>
      <c r="Z156" s="146">
        <f t="shared" si="131"/>
        <v>1</v>
      </c>
      <c r="AA156" s="146">
        <f t="shared" si="131"/>
        <v>1</v>
      </c>
      <c r="AB156" s="146">
        <f t="shared" si="131"/>
        <v>1</v>
      </c>
      <c r="AC156" s="146">
        <f t="shared" si="131"/>
        <v>1</v>
      </c>
      <c r="AD156" s="146">
        <f t="shared" si="131"/>
        <v>1</v>
      </c>
      <c r="AE156" s="146">
        <f t="shared" si="131"/>
        <v>1</v>
      </c>
      <c r="AF156" s="146">
        <f t="shared" si="131"/>
        <v>1</v>
      </c>
      <c r="AG156" s="146">
        <f t="shared" si="131"/>
        <v>1</v>
      </c>
      <c r="AH156" s="146">
        <f t="shared" si="131"/>
        <v>1</v>
      </c>
      <c r="AI156" s="146">
        <f t="shared" si="131"/>
        <v>1</v>
      </c>
      <c r="AJ156" s="146">
        <f t="shared" si="131"/>
        <v>1</v>
      </c>
      <c r="AK156" s="146">
        <f t="shared" si="131"/>
        <v>1</v>
      </c>
      <c r="AL156" s="146">
        <f t="shared" si="131"/>
        <v>1</v>
      </c>
      <c r="AM156" s="146">
        <f t="shared" si="131"/>
        <v>1</v>
      </c>
      <c r="AN156" s="146">
        <f t="shared" si="131"/>
        <v>1</v>
      </c>
      <c r="AO156" s="146">
        <f t="shared" si="131"/>
        <v>1</v>
      </c>
      <c r="AP156" s="146">
        <f t="shared" si="131"/>
        <v>1</v>
      </c>
      <c r="AQ156" s="146">
        <f t="shared" si="131"/>
        <v>1</v>
      </c>
      <c r="AR156" s="146">
        <f t="shared" si="131"/>
        <v>1</v>
      </c>
      <c r="AS156" s="146">
        <f t="shared" si="131"/>
        <v>1</v>
      </c>
      <c r="AT156" s="146">
        <f t="shared" si="131"/>
        <v>1</v>
      </c>
      <c r="AU156" s="146">
        <f t="shared" si="131"/>
        <v>1</v>
      </c>
      <c r="AV156" s="146">
        <f t="shared" si="131"/>
        <v>1</v>
      </c>
      <c r="AW156" s="146">
        <f t="shared" si="131"/>
        <v>1</v>
      </c>
      <c r="AX156" s="146">
        <f t="shared" si="131"/>
        <v>1</v>
      </c>
      <c r="AY156" s="146">
        <f t="shared" si="131"/>
        <v>1</v>
      </c>
      <c r="AZ156" s="146">
        <f t="shared" si="131"/>
        <v>1</v>
      </c>
      <c r="BA156" s="146">
        <f t="shared" si="131"/>
        <v>1</v>
      </c>
      <c r="BB156" s="146">
        <f t="shared" si="131"/>
        <v>1</v>
      </c>
      <c r="BC156" s="146">
        <f t="shared" si="131"/>
        <v>1</v>
      </c>
      <c r="BD156" s="146">
        <f t="shared" si="131"/>
        <v>1</v>
      </c>
      <c r="BE156" s="146">
        <f t="shared" si="131"/>
        <v>1</v>
      </c>
      <c r="BF156" s="146">
        <f t="shared" si="131"/>
        <v>1</v>
      </c>
      <c r="BG156" s="146">
        <f t="shared" si="131"/>
        <v>1</v>
      </c>
      <c r="BH156" s="146">
        <f t="shared" si="131"/>
        <v>1</v>
      </c>
      <c r="BI156" s="146">
        <f t="shared" si="131"/>
        <v>1</v>
      </c>
      <c r="BJ156" s="146">
        <f t="shared" si="131"/>
        <v>1</v>
      </c>
      <c r="BK156" s="146">
        <f t="shared" si="131"/>
        <v>1</v>
      </c>
      <c r="BL156" s="146">
        <f t="shared" si="131"/>
        <v>1</v>
      </c>
      <c r="BM156" s="146">
        <f t="shared" si="131"/>
        <v>1</v>
      </c>
      <c r="BN156" s="146">
        <f t="shared" si="131"/>
        <v>1</v>
      </c>
      <c r="BO156" s="146">
        <f t="shared" si="131"/>
        <v>1</v>
      </c>
      <c r="BP156" s="146">
        <f t="shared" si="131"/>
        <v>1</v>
      </c>
      <c r="BQ156" s="146">
        <f t="shared" si="131"/>
        <v>1</v>
      </c>
      <c r="BR156" s="146">
        <f t="shared" si="131"/>
        <v>1</v>
      </c>
      <c r="BS156" s="146">
        <f t="shared" si="131"/>
        <v>1</v>
      </c>
      <c r="BT156" s="146">
        <f t="shared" si="131"/>
        <v>1</v>
      </c>
      <c r="BU156" s="146">
        <f t="shared" si="131"/>
        <v>1</v>
      </c>
      <c r="BV156" s="146">
        <f t="shared" si="131"/>
        <v>1</v>
      </c>
      <c r="BW156" s="146">
        <f t="shared" si="131"/>
        <v>1</v>
      </c>
      <c r="BX156" s="146">
        <f t="shared" si="131"/>
        <v>1</v>
      </c>
      <c r="BY156" s="146">
        <f t="shared" si="131"/>
        <v>1</v>
      </c>
      <c r="BZ156" s="146">
        <f t="shared" si="131"/>
        <v>1</v>
      </c>
      <c r="CA156" s="146">
        <f t="shared" si="131"/>
        <v>1</v>
      </c>
      <c r="CB156" s="146">
        <f t="shared" si="131"/>
        <v>1</v>
      </c>
      <c r="CC156" s="146">
        <f t="shared" si="131"/>
        <v>1</v>
      </c>
      <c r="CD156" s="146">
        <f t="shared" si="131"/>
        <v>1</v>
      </c>
      <c r="CE156" s="146">
        <f t="shared" si="131"/>
        <v>1</v>
      </c>
      <c r="CF156" s="146">
        <f t="shared" si="131"/>
        <v>1</v>
      </c>
      <c r="CG156" s="146">
        <f t="shared" si="131"/>
        <v>1</v>
      </c>
      <c r="CH156" s="146">
        <f t="shared" si="131"/>
        <v>1</v>
      </c>
    </row>
    <row r="157" ht="15.75" customHeight="1">
      <c r="A157" s="1" t="s">
        <v>701</v>
      </c>
      <c r="B157" s="473">
        <v>0.0</v>
      </c>
      <c r="M157" s="173">
        <v>0.0</v>
      </c>
      <c r="N157" s="173">
        <v>0.0</v>
      </c>
      <c r="O157" s="146">
        <f t="shared" ref="O157:CH157" si="132">IF(O156&gt;$B157,0,ROUNDUP(ABS(O156/O154),0))</f>
        <v>0</v>
      </c>
      <c r="P157" s="146">
        <f t="shared" si="132"/>
        <v>0</v>
      </c>
      <c r="Q157" s="146">
        <f t="shared" si="132"/>
        <v>0</v>
      </c>
      <c r="R157" s="146">
        <f t="shared" si="132"/>
        <v>0</v>
      </c>
      <c r="S157" s="146">
        <f t="shared" si="132"/>
        <v>0</v>
      </c>
      <c r="T157" s="146">
        <f t="shared" si="132"/>
        <v>0</v>
      </c>
      <c r="U157" s="146">
        <f t="shared" si="132"/>
        <v>0</v>
      </c>
      <c r="V157" s="146">
        <f t="shared" si="132"/>
        <v>0</v>
      </c>
      <c r="W157" s="146">
        <f t="shared" si="132"/>
        <v>0</v>
      </c>
      <c r="X157" s="146">
        <f t="shared" si="132"/>
        <v>0</v>
      </c>
      <c r="Y157" s="146">
        <f t="shared" si="132"/>
        <v>0</v>
      </c>
      <c r="Z157" s="146">
        <f t="shared" si="132"/>
        <v>0</v>
      </c>
      <c r="AA157" s="146">
        <f t="shared" si="132"/>
        <v>0</v>
      </c>
      <c r="AB157" s="146">
        <f t="shared" si="132"/>
        <v>0</v>
      </c>
      <c r="AC157" s="146">
        <f t="shared" si="132"/>
        <v>0</v>
      </c>
      <c r="AD157" s="146">
        <f t="shared" si="132"/>
        <v>0</v>
      </c>
      <c r="AE157" s="146">
        <f t="shared" si="132"/>
        <v>0</v>
      </c>
      <c r="AF157" s="146">
        <f t="shared" si="132"/>
        <v>0</v>
      </c>
      <c r="AG157" s="146">
        <f t="shared" si="132"/>
        <v>0</v>
      </c>
      <c r="AH157" s="146">
        <f t="shared" si="132"/>
        <v>0</v>
      </c>
      <c r="AI157" s="146">
        <f t="shared" si="132"/>
        <v>0</v>
      </c>
      <c r="AJ157" s="146">
        <f t="shared" si="132"/>
        <v>0</v>
      </c>
      <c r="AK157" s="146">
        <f t="shared" si="132"/>
        <v>0</v>
      </c>
      <c r="AL157" s="146">
        <f t="shared" si="132"/>
        <v>0</v>
      </c>
      <c r="AM157" s="146">
        <f t="shared" si="132"/>
        <v>0</v>
      </c>
      <c r="AN157" s="146">
        <f t="shared" si="132"/>
        <v>0</v>
      </c>
      <c r="AO157" s="146">
        <f t="shared" si="132"/>
        <v>0</v>
      </c>
      <c r="AP157" s="146">
        <f t="shared" si="132"/>
        <v>0</v>
      </c>
      <c r="AQ157" s="146">
        <f t="shared" si="132"/>
        <v>0</v>
      </c>
      <c r="AR157" s="146">
        <f t="shared" si="132"/>
        <v>0</v>
      </c>
      <c r="AS157" s="146">
        <f t="shared" si="132"/>
        <v>0</v>
      </c>
      <c r="AT157" s="146">
        <f t="shared" si="132"/>
        <v>0</v>
      </c>
      <c r="AU157" s="146">
        <f t="shared" si="132"/>
        <v>0</v>
      </c>
      <c r="AV157" s="146">
        <f t="shared" si="132"/>
        <v>0</v>
      </c>
      <c r="AW157" s="146">
        <f t="shared" si="132"/>
        <v>0</v>
      </c>
      <c r="AX157" s="146">
        <f t="shared" si="132"/>
        <v>0</v>
      </c>
      <c r="AY157" s="146">
        <f t="shared" si="132"/>
        <v>0</v>
      </c>
      <c r="AZ157" s="146">
        <f t="shared" si="132"/>
        <v>0</v>
      </c>
      <c r="BA157" s="146">
        <f t="shared" si="132"/>
        <v>0</v>
      </c>
      <c r="BB157" s="146">
        <f t="shared" si="132"/>
        <v>0</v>
      </c>
      <c r="BC157" s="146">
        <f t="shared" si="132"/>
        <v>0</v>
      </c>
      <c r="BD157" s="146">
        <f t="shared" si="132"/>
        <v>0</v>
      </c>
      <c r="BE157" s="146">
        <f t="shared" si="132"/>
        <v>0</v>
      </c>
      <c r="BF157" s="146">
        <f t="shared" si="132"/>
        <v>0</v>
      </c>
      <c r="BG157" s="146">
        <f t="shared" si="132"/>
        <v>0</v>
      </c>
      <c r="BH157" s="146">
        <f t="shared" si="132"/>
        <v>0</v>
      </c>
      <c r="BI157" s="146">
        <f t="shared" si="132"/>
        <v>0</v>
      </c>
      <c r="BJ157" s="146">
        <f t="shared" si="132"/>
        <v>0</v>
      </c>
      <c r="BK157" s="146">
        <f t="shared" si="132"/>
        <v>0</v>
      </c>
      <c r="BL157" s="146">
        <f t="shared" si="132"/>
        <v>0</v>
      </c>
      <c r="BM157" s="146">
        <f t="shared" si="132"/>
        <v>0</v>
      </c>
      <c r="BN157" s="146">
        <f t="shared" si="132"/>
        <v>0</v>
      </c>
      <c r="BO157" s="146">
        <f t="shared" si="132"/>
        <v>0</v>
      </c>
      <c r="BP157" s="146">
        <f t="shared" si="132"/>
        <v>0</v>
      </c>
      <c r="BQ157" s="146">
        <f t="shared" si="132"/>
        <v>0</v>
      </c>
      <c r="BR157" s="146">
        <f t="shared" si="132"/>
        <v>0</v>
      </c>
      <c r="BS157" s="146">
        <f t="shared" si="132"/>
        <v>0</v>
      </c>
      <c r="BT157" s="146">
        <f t="shared" si="132"/>
        <v>0</v>
      </c>
      <c r="BU157" s="146">
        <f t="shared" si="132"/>
        <v>0</v>
      </c>
      <c r="BV157" s="146">
        <f t="shared" si="132"/>
        <v>0</v>
      </c>
      <c r="BW157" s="146">
        <f t="shared" si="132"/>
        <v>0</v>
      </c>
      <c r="BX157" s="146">
        <f t="shared" si="132"/>
        <v>0</v>
      </c>
      <c r="BY157" s="146">
        <f t="shared" si="132"/>
        <v>0</v>
      </c>
      <c r="BZ157" s="146">
        <f t="shared" si="132"/>
        <v>0</v>
      </c>
      <c r="CA157" s="146">
        <f t="shared" si="132"/>
        <v>0</v>
      </c>
      <c r="CB157" s="146">
        <f t="shared" si="132"/>
        <v>0</v>
      </c>
      <c r="CC157" s="146">
        <f t="shared" si="132"/>
        <v>0</v>
      </c>
      <c r="CD157" s="146">
        <f t="shared" si="132"/>
        <v>0</v>
      </c>
      <c r="CE157" s="146">
        <f t="shared" si="132"/>
        <v>0</v>
      </c>
      <c r="CF157" s="146">
        <f t="shared" si="132"/>
        <v>0</v>
      </c>
      <c r="CG157" s="146">
        <f t="shared" si="132"/>
        <v>0</v>
      </c>
      <c r="CH157" s="146">
        <f t="shared" si="132"/>
        <v>0</v>
      </c>
    </row>
    <row r="158" ht="15.75" customHeight="1">
      <c r="A158" s="1" t="s">
        <v>702</v>
      </c>
      <c r="B158" s="1" t="s">
        <v>703</v>
      </c>
      <c r="M158" s="146">
        <f t="shared" ref="M158:Q158" si="133">O157</f>
        <v>0</v>
      </c>
      <c r="N158" s="146">
        <f t="shared" si="133"/>
        <v>0</v>
      </c>
      <c r="O158" s="146">
        <f t="shared" si="133"/>
        <v>0</v>
      </c>
      <c r="P158" s="146">
        <f t="shared" si="133"/>
        <v>0</v>
      </c>
      <c r="Q158" s="146">
        <f t="shared" si="133"/>
        <v>0</v>
      </c>
      <c r="R158" s="146">
        <f t="shared" ref="R158:CH158" si="134">R157</f>
        <v>0</v>
      </c>
      <c r="S158" s="146">
        <f t="shared" si="134"/>
        <v>0</v>
      </c>
      <c r="T158" s="146">
        <f t="shared" si="134"/>
        <v>0</v>
      </c>
      <c r="U158" s="146">
        <f t="shared" si="134"/>
        <v>0</v>
      </c>
      <c r="V158" s="146">
        <f t="shared" si="134"/>
        <v>0</v>
      </c>
      <c r="W158" s="146">
        <f t="shared" si="134"/>
        <v>0</v>
      </c>
      <c r="X158" s="146">
        <f t="shared" si="134"/>
        <v>0</v>
      </c>
      <c r="Y158" s="146">
        <f t="shared" si="134"/>
        <v>0</v>
      </c>
      <c r="Z158" s="146">
        <f t="shared" si="134"/>
        <v>0</v>
      </c>
      <c r="AA158" s="146">
        <f t="shared" si="134"/>
        <v>0</v>
      </c>
      <c r="AB158" s="146">
        <f t="shared" si="134"/>
        <v>0</v>
      </c>
      <c r="AC158" s="146">
        <f t="shared" si="134"/>
        <v>0</v>
      </c>
      <c r="AD158" s="146">
        <f t="shared" si="134"/>
        <v>0</v>
      </c>
      <c r="AE158" s="146">
        <f t="shared" si="134"/>
        <v>0</v>
      </c>
      <c r="AF158" s="146">
        <f t="shared" si="134"/>
        <v>0</v>
      </c>
      <c r="AG158" s="146">
        <f t="shared" si="134"/>
        <v>0</v>
      </c>
      <c r="AH158" s="146">
        <f t="shared" si="134"/>
        <v>0</v>
      </c>
      <c r="AI158" s="146">
        <f t="shared" si="134"/>
        <v>0</v>
      </c>
      <c r="AJ158" s="146">
        <f t="shared" si="134"/>
        <v>0</v>
      </c>
      <c r="AK158" s="146">
        <f t="shared" si="134"/>
        <v>0</v>
      </c>
      <c r="AL158" s="146">
        <f t="shared" si="134"/>
        <v>0</v>
      </c>
      <c r="AM158" s="146">
        <f t="shared" si="134"/>
        <v>0</v>
      </c>
      <c r="AN158" s="146">
        <f t="shared" si="134"/>
        <v>0</v>
      </c>
      <c r="AO158" s="146">
        <f t="shared" si="134"/>
        <v>0</v>
      </c>
      <c r="AP158" s="146">
        <f t="shared" si="134"/>
        <v>0</v>
      </c>
      <c r="AQ158" s="146">
        <f t="shared" si="134"/>
        <v>0</v>
      </c>
      <c r="AR158" s="146">
        <f t="shared" si="134"/>
        <v>0</v>
      </c>
      <c r="AS158" s="146">
        <f t="shared" si="134"/>
        <v>0</v>
      </c>
      <c r="AT158" s="146">
        <f t="shared" si="134"/>
        <v>0</v>
      </c>
      <c r="AU158" s="146">
        <f t="shared" si="134"/>
        <v>0</v>
      </c>
      <c r="AV158" s="146">
        <f t="shared" si="134"/>
        <v>0</v>
      </c>
      <c r="AW158" s="146">
        <f t="shared" si="134"/>
        <v>0</v>
      </c>
      <c r="AX158" s="146">
        <f t="shared" si="134"/>
        <v>0</v>
      </c>
      <c r="AY158" s="146">
        <f t="shared" si="134"/>
        <v>0</v>
      </c>
      <c r="AZ158" s="146">
        <f t="shared" si="134"/>
        <v>0</v>
      </c>
      <c r="BA158" s="146">
        <f t="shared" si="134"/>
        <v>0</v>
      </c>
      <c r="BB158" s="146">
        <f t="shared" si="134"/>
        <v>0</v>
      </c>
      <c r="BC158" s="146">
        <f t="shared" si="134"/>
        <v>0</v>
      </c>
      <c r="BD158" s="146">
        <f t="shared" si="134"/>
        <v>0</v>
      </c>
      <c r="BE158" s="146">
        <f t="shared" si="134"/>
        <v>0</v>
      </c>
      <c r="BF158" s="146">
        <f t="shared" si="134"/>
        <v>0</v>
      </c>
      <c r="BG158" s="146">
        <f t="shared" si="134"/>
        <v>0</v>
      </c>
      <c r="BH158" s="146">
        <f t="shared" si="134"/>
        <v>0</v>
      </c>
      <c r="BI158" s="146">
        <f t="shared" si="134"/>
        <v>0</v>
      </c>
      <c r="BJ158" s="146">
        <f t="shared" si="134"/>
        <v>0</v>
      </c>
      <c r="BK158" s="146">
        <f t="shared" si="134"/>
        <v>0</v>
      </c>
      <c r="BL158" s="146">
        <f t="shared" si="134"/>
        <v>0</v>
      </c>
      <c r="BM158" s="146">
        <f t="shared" si="134"/>
        <v>0</v>
      </c>
      <c r="BN158" s="146">
        <f t="shared" si="134"/>
        <v>0</v>
      </c>
      <c r="BO158" s="146">
        <f t="shared" si="134"/>
        <v>0</v>
      </c>
      <c r="BP158" s="146">
        <f t="shared" si="134"/>
        <v>0</v>
      </c>
      <c r="BQ158" s="146">
        <f t="shared" si="134"/>
        <v>0</v>
      </c>
      <c r="BR158" s="146">
        <f t="shared" si="134"/>
        <v>0</v>
      </c>
      <c r="BS158" s="146">
        <f t="shared" si="134"/>
        <v>0</v>
      </c>
      <c r="BT158" s="146">
        <f t="shared" si="134"/>
        <v>0</v>
      </c>
      <c r="BU158" s="146">
        <f t="shared" si="134"/>
        <v>0</v>
      </c>
      <c r="BV158" s="146">
        <f t="shared" si="134"/>
        <v>0</v>
      </c>
      <c r="BW158" s="146">
        <f t="shared" si="134"/>
        <v>0</v>
      </c>
      <c r="BX158" s="146">
        <f t="shared" si="134"/>
        <v>0</v>
      </c>
      <c r="BY158" s="146">
        <f t="shared" si="134"/>
        <v>0</v>
      </c>
      <c r="BZ158" s="146">
        <f t="shared" si="134"/>
        <v>0</v>
      </c>
      <c r="CA158" s="146">
        <f t="shared" si="134"/>
        <v>0</v>
      </c>
      <c r="CB158" s="146">
        <f t="shared" si="134"/>
        <v>0</v>
      </c>
      <c r="CC158" s="146">
        <f t="shared" si="134"/>
        <v>0</v>
      </c>
      <c r="CD158" s="146">
        <f t="shared" si="134"/>
        <v>0</v>
      </c>
      <c r="CE158" s="146">
        <f t="shared" si="134"/>
        <v>0</v>
      </c>
      <c r="CF158" s="146">
        <f t="shared" si="134"/>
        <v>0</v>
      </c>
      <c r="CG158" s="146">
        <f t="shared" si="134"/>
        <v>0</v>
      </c>
      <c r="CH158" s="146">
        <f t="shared" si="134"/>
        <v>0</v>
      </c>
    </row>
    <row r="159" ht="15.75" customHeight="1"/>
    <row r="160" ht="15.75" customHeight="1"/>
    <row r="161" ht="15.75" customHeight="1">
      <c r="A161" s="115" t="s">
        <v>94</v>
      </c>
    </row>
    <row r="162" ht="15.75" customHeight="1"/>
    <row r="163" ht="15.75" customHeight="1">
      <c r="A163" s="1" t="s">
        <v>25</v>
      </c>
      <c r="C163" s="116">
        <f>Revenue!C10</f>
        <v>32145</v>
      </c>
      <c r="D163" s="116">
        <f>Revenue!D10</f>
        <v>20023</v>
      </c>
      <c r="E163" s="116">
        <f>Revenue!E10</f>
        <v>38675</v>
      </c>
      <c r="F163" s="116">
        <f>Revenue!F10</f>
        <v>38382</v>
      </c>
      <c r="G163" s="116">
        <f>Revenue!G10</f>
        <v>25077</v>
      </c>
      <c r="H163" s="116">
        <f>Revenue!H10</f>
        <v>31269</v>
      </c>
      <c r="I163" s="116">
        <f>Revenue!I10</f>
        <v>26693</v>
      </c>
      <c r="J163" s="116">
        <f>Revenue!J10</f>
        <v>35918</v>
      </c>
      <c r="K163" s="116">
        <f>Revenue!K10</f>
        <v>38988</v>
      </c>
      <c r="L163" s="116">
        <f>Revenue!L10</f>
        <v>26246</v>
      </c>
      <c r="M163" s="116">
        <f>Revenue!M10</f>
        <v>25203</v>
      </c>
      <c r="N163" s="116">
        <f>Revenue!N10</f>
        <v>174623</v>
      </c>
      <c r="O163" s="116">
        <f>Revenue!O10</f>
        <v>183152</v>
      </c>
      <c r="P163" s="116">
        <f>Revenue!P10</f>
        <v>164354</v>
      </c>
      <c r="Q163" s="116">
        <f>Revenue!Q10</f>
        <v>220307</v>
      </c>
      <c r="R163" s="116">
        <f>Revenue!R10</f>
        <v>239857</v>
      </c>
      <c r="S163" s="116">
        <f>Revenue!S10</f>
        <v>228761</v>
      </c>
      <c r="T163" s="116">
        <f>Revenue!T10</f>
        <v>182009</v>
      </c>
      <c r="U163" s="116">
        <f>Revenue!U10</f>
        <v>186834</v>
      </c>
      <c r="V163" s="116">
        <f>Revenue!V10</f>
        <v>265471</v>
      </c>
      <c r="W163" s="116">
        <f>Revenue!W10</f>
        <v>256373</v>
      </c>
      <c r="X163" s="116">
        <f>Revenue!X10</f>
        <v>229020</v>
      </c>
      <c r="Y163" s="116">
        <f>Revenue!Y10</f>
        <v>222586</v>
      </c>
      <c r="Z163" s="116">
        <f>Revenue!Z10</f>
        <v>237288.2603</v>
      </c>
      <c r="AA163" s="116">
        <f>Revenue!AA10</f>
        <v>254182.8216</v>
      </c>
      <c r="AB163" s="116">
        <f>Revenue!AB10</f>
        <v>269240.6669</v>
      </c>
      <c r="AC163" s="116">
        <f>Revenue!AC10</f>
        <v>282267.6617</v>
      </c>
      <c r="AD163" s="116">
        <f>Revenue!AD10</f>
        <v>293903.0389</v>
      </c>
      <c r="AE163" s="116">
        <f>Revenue!AE10</f>
        <v>300046.4589</v>
      </c>
      <c r="AF163" s="116">
        <f>Revenue!AF10</f>
        <v>305551.8348</v>
      </c>
      <c r="AG163" s="116">
        <f>Revenue!AG10</f>
        <v>309000.5918</v>
      </c>
      <c r="AH163" s="116">
        <f>Revenue!AH10</f>
        <v>311983.1866</v>
      </c>
      <c r="AI163" s="116">
        <f>Revenue!AI10</f>
        <v>315908.0636</v>
      </c>
      <c r="AJ163" s="116">
        <f>Revenue!AJ10</f>
        <v>320515.9767</v>
      </c>
      <c r="AK163" s="116">
        <f>Revenue!AK10</f>
        <v>324541.4248</v>
      </c>
      <c r="AL163" s="116">
        <f>Revenue!AL10</f>
        <v>328217.4857</v>
      </c>
      <c r="AM163" s="116">
        <f>Revenue!AM10</f>
        <v>330505.8443</v>
      </c>
      <c r="AN163" s="116">
        <f>Revenue!AN10</f>
        <v>333665.665</v>
      </c>
      <c r="AO163" s="116">
        <f>Revenue!AO10</f>
        <v>337718.8864</v>
      </c>
      <c r="AP163" s="116">
        <f>Revenue!AP10</f>
        <v>341317.8945</v>
      </c>
      <c r="AQ163" s="116">
        <f>Revenue!AQ10</f>
        <v>344578.968</v>
      </c>
      <c r="AR163" s="116">
        <f>Revenue!AR10</f>
        <v>347856.2766</v>
      </c>
      <c r="AS163" s="116">
        <f>Revenue!AS10</f>
        <v>350881.1381</v>
      </c>
      <c r="AT163" s="116">
        <f>Revenue!AT10</f>
        <v>353718.8269</v>
      </c>
      <c r="AU163" s="116">
        <f>Revenue!AU10</f>
        <v>356418.1154</v>
      </c>
      <c r="AV163" s="116">
        <f>Revenue!AV10</f>
        <v>359015.4489</v>
      </c>
      <c r="AW163" s="116">
        <f>Revenue!AW10</f>
        <v>361538.0646</v>
      </c>
      <c r="AX163" s="116">
        <f>Revenue!AX10</f>
        <v>364006.3214</v>
      </c>
      <c r="AY163" s="116">
        <f>Revenue!AY10</f>
        <v>367273.6368</v>
      </c>
      <c r="AZ163" s="116">
        <f>Revenue!AZ10</f>
        <v>370446.9878</v>
      </c>
      <c r="BA163" s="116">
        <f>Revenue!BA10</f>
        <v>373408.3506</v>
      </c>
      <c r="BB163" s="116">
        <f>Revenue!BB10</f>
        <v>376212.8319</v>
      </c>
      <c r="BC163" s="116">
        <f>Revenue!BC10</f>
        <v>378901.6088</v>
      </c>
      <c r="BD163" s="116">
        <f>Revenue!BD10</f>
        <v>381505.4531</v>
      </c>
      <c r="BE163" s="116">
        <f>Revenue!BE10</f>
        <v>384047.3641</v>
      </c>
      <c r="BF163" s="116">
        <f>Revenue!BF10</f>
        <v>386544.5348</v>
      </c>
      <c r="BG163" s="116">
        <f>Revenue!BG10</f>
        <v>389009.8214</v>
      </c>
      <c r="BH163" s="116">
        <f>Revenue!BH10</f>
        <v>391452.8405</v>
      </c>
      <c r="BI163" s="116">
        <f>Revenue!BI10</f>
        <v>393880.7887</v>
      </c>
      <c r="BJ163" s="116">
        <f>Revenue!BJ10</f>
        <v>396299.0552</v>
      </c>
      <c r="BK163" s="116">
        <f>Revenue!BK10</f>
        <v>400181.0886</v>
      </c>
      <c r="BL163" s="116">
        <f>Revenue!BL10</f>
        <v>403970.2448</v>
      </c>
      <c r="BM163" s="116">
        <f>Revenue!BM10</f>
        <v>407045.4366</v>
      </c>
      <c r="BN163" s="116">
        <f>Revenue!BN10</f>
        <v>410097.6849</v>
      </c>
      <c r="BO163" s="116">
        <f>Revenue!BO10</f>
        <v>413135.151</v>
      </c>
      <c r="BP163" s="116">
        <f>Revenue!BP10</f>
        <v>416163.9715</v>
      </c>
      <c r="BQ163" s="116">
        <f>Revenue!BQ10</f>
        <v>419188.7715</v>
      </c>
      <c r="BR163" s="116">
        <f>Revenue!BR10</f>
        <v>422213.048</v>
      </c>
      <c r="BS163" s="116">
        <f>Revenue!BS10</f>
        <v>425239.4569</v>
      </c>
      <c r="BT163" s="116">
        <f>Revenue!BT10</f>
        <v>428270.0262</v>
      </c>
      <c r="BU163" s="116">
        <f>Revenue!BU10</f>
        <v>431306.3164</v>
      </c>
      <c r="BV163" s="116">
        <f>Revenue!BV10</f>
        <v>434349.5402</v>
      </c>
      <c r="BW163" s="116">
        <f>Revenue!BW10</f>
        <v>437511.2831</v>
      </c>
      <c r="BX163" s="116">
        <f>Revenue!BX10</f>
        <v>437014.607</v>
      </c>
      <c r="BY163" s="116">
        <f>Revenue!BY10</f>
        <v>436805.9551</v>
      </c>
      <c r="BZ163" s="116">
        <f>Revenue!BZ10</f>
        <v>437341.4376</v>
      </c>
      <c r="CA163" s="116">
        <f>Revenue!CA10</f>
        <v>438435.0543</v>
      </c>
      <c r="CB163" s="116">
        <f>Revenue!CB10</f>
        <v>439947.854</v>
      </c>
      <c r="CC163" s="116">
        <f>Revenue!CC10</f>
        <v>441776.0326</v>
      </c>
      <c r="CD163" s="116">
        <f>Revenue!CD10</f>
        <v>443842.0407</v>
      </c>
      <c r="CE163" s="116">
        <f>Revenue!CE10</f>
        <v>446087.9425</v>
      </c>
      <c r="CF163" s="116">
        <f>Revenue!CF10</f>
        <v>448470.4537</v>
      </c>
      <c r="CG163" s="116">
        <f>Revenue!CG10</f>
        <v>450957.2355</v>
      </c>
      <c r="CH163" s="116">
        <f>Revenue!CH10</f>
        <v>453524.1261</v>
      </c>
    </row>
    <row r="164" ht="15.75" customHeight="1">
      <c r="A164" s="1" t="s">
        <v>325</v>
      </c>
      <c r="C164" s="116"/>
      <c r="D164" s="116">
        <f t="shared" ref="D164:CH164" si="135">D163-C163</f>
        <v>-12122</v>
      </c>
      <c r="E164" s="116">
        <f t="shared" si="135"/>
        <v>18652</v>
      </c>
      <c r="F164" s="116">
        <f t="shared" si="135"/>
        <v>-293</v>
      </c>
      <c r="G164" s="116">
        <f t="shared" si="135"/>
        <v>-13305</v>
      </c>
      <c r="H164" s="116">
        <f t="shared" si="135"/>
        <v>6192</v>
      </c>
      <c r="I164" s="116">
        <f t="shared" si="135"/>
        <v>-4576</v>
      </c>
      <c r="J164" s="116">
        <f t="shared" si="135"/>
        <v>9225</v>
      </c>
      <c r="K164" s="116">
        <f t="shared" si="135"/>
        <v>3070</v>
      </c>
      <c r="L164" s="116">
        <f t="shared" si="135"/>
        <v>-12742</v>
      </c>
      <c r="M164" s="116">
        <f t="shared" si="135"/>
        <v>-1043</v>
      </c>
      <c r="N164" s="116">
        <f t="shared" si="135"/>
        <v>149420</v>
      </c>
      <c r="O164" s="116">
        <f t="shared" si="135"/>
        <v>8529</v>
      </c>
      <c r="P164" s="116">
        <f t="shared" si="135"/>
        <v>-18798</v>
      </c>
      <c r="Q164" s="116">
        <f t="shared" si="135"/>
        <v>55953</v>
      </c>
      <c r="R164" s="116">
        <f t="shared" si="135"/>
        <v>19550</v>
      </c>
      <c r="S164" s="116">
        <f t="shared" si="135"/>
        <v>-11096</v>
      </c>
      <c r="T164" s="116">
        <f t="shared" si="135"/>
        <v>-46752</v>
      </c>
      <c r="U164" s="116">
        <f t="shared" si="135"/>
        <v>4825</v>
      </c>
      <c r="V164" s="116">
        <f t="shared" si="135"/>
        <v>78637</v>
      </c>
      <c r="W164" s="116">
        <f t="shared" si="135"/>
        <v>-9098</v>
      </c>
      <c r="X164" s="116">
        <f t="shared" si="135"/>
        <v>-27353</v>
      </c>
      <c r="Y164" s="116">
        <f t="shared" si="135"/>
        <v>-6434</v>
      </c>
      <c r="Z164" s="116">
        <f t="shared" si="135"/>
        <v>14702.26026</v>
      </c>
      <c r="AA164" s="116">
        <f t="shared" si="135"/>
        <v>16894.56129</v>
      </c>
      <c r="AB164" s="116">
        <f t="shared" si="135"/>
        <v>15057.84539</v>
      </c>
      <c r="AC164" s="116">
        <f t="shared" si="135"/>
        <v>13026.99476</v>
      </c>
      <c r="AD164" s="116">
        <f t="shared" si="135"/>
        <v>11635.37722</v>
      </c>
      <c r="AE164" s="116">
        <f t="shared" si="135"/>
        <v>6143.420009</v>
      </c>
      <c r="AF164" s="116">
        <f t="shared" si="135"/>
        <v>5505.37583</v>
      </c>
      <c r="AG164" s="116">
        <f t="shared" si="135"/>
        <v>3448.757036</v>
      </c>
      <c r="AH164" s="116">
        <f t="shared" si="135"/>
        <v>2982.594796</v>
      </c>
      <c r="AI164" s="116">
        <f t="shared" si="135"/>
        <v>3924.877051</v>
      </c>
      <c r="AJ164" s="116">
        <f t="shared" si="135"/>
        <v>4607.913027</v>
      </c>
      <c r="AK164" s="116">
        <f t="shared" si="135"/>
        <v>4025.448177</v>
      </c>
      <c r="AL164" s="116">
        <f t="shared" si="135"/>
        <v>3676.060819</v>
      </c>
      <c r="AM164" s="116">
        <f t="shared" si="135"/>
        <v>2288.358593</v>
      </c>
      <c r="AN164" s="116">
        <f t="shared" si="135"/>
        <v>3159.820759</v>
      </c>
      <c r="AO164" s="116">
        <f t="shared" si="135"/>
        <v>4053.221404</v>
      </c>
      <c r="AP164" s="116">
        <f t="shared" si="135"/>
        <v>3599.008114</v>
      </c>
      <c r="AQ164" s="116">
        <f t="shared" si="135"/>
        <v>3261.073443</v>
      </c>
      <c r="AR164" s="116">
        <f t="shared" si="135"/>
        <v>3277.308616</v>
      </c>
      <c r="AS164" s="116">
        <f t="shared" si="135"/>
        <v>3024.861482</v>
      </c>
      <c r="AT164" s="116">
        <f t="shared" si="135"/>
        <v>2837.688824</v>
      </c>
      <c r="AU164" s="116">
        <f t="shared" si="135"/>
        <v>2699.288488</v>
      </c>
      <c r="AV164" s="116">
        <f t="shared" si="135"/>
        <v>2597.333494</v>
      </c>
      <c r="AW164" s="116">
        <f t="shared" si="135"/>
        <v>2522.615716</v>
      </c>
      <c r="AX164" s="116">
        <f t="shared" si="135"/>
        <v>2468.256817</v>
      </c>
      <c r="AY164" s="116">
        <f t="shared" si="135"/>
        <v>3267.315337</v>
      </c>
      <c r="AZ164" s="116">
        <f t="shared" si="135"/>
        <v>3173.351088</v>
      </c>
      <c r="BA164" s="116">
        <f t="shared" si="135"/>
        <v>2961.362778</v>
      </c>
      <c r="BB164" s="116">
        <f t="shared" si="135"/>
        <v>2804.481256</v>
      </c>
      <c r="BC164" s="116">
        <f t="shared" si="135"/>
        <v>2688.776881</v>
      </c>
      <c r="BD164" s="116">
        <f t="shared" si="135"/>
        <v>2603.844335</v>
      </c>
      <c r="BE164" s="116">
        <f t="shared" si="135"/>
        <v>2541.910966</v>
      </c>
      <c r="BF164" s="116">
        <f t="shared" si="135"/>
        <v>2497.17073</v>
      </c>
      <c r="BG164" s="116">
        <f t="shared" si="135"/>
        <v>2465.286636</v>
      </c>
      <c r="BH164" s="116">
        <f t="shared" si="135"/>
        <v>2443.019081</v>
      </c>
      <c r="BI164" s="116">
        <f t="shared" si="135"/>
        <v>2427.94821</v>
      </c>
      <c r="BJ164" s="116">
        <f t="shared" si="135"/>
        <v>2418.266521</v>
      </c>
      <c r="BK164" s="116">
        <f t="shared" si="135"/>
        <v>3882.033399</v>
      </c>
      <c r="BL164" s="116">
        <f t="shared" si="135"/>
        <v>3789.156189</v>
      </c>
      <c r="BM164" s="116">
        <f t="shared" si="135"/>
        <v>3075.191786</v>
      </c>
      <c r="BN164" s="116">
        <f t="shared" si="135"/>
        <v>3052.24831</v>
      </c>
      <c r="BO164" s="116">
        <f t="shared" si="135"/>
        <v>3037.466109</v>
      </c>
      <c r="BP164" s="116">
        <f t="shared" si="135"/>
        <v>3028.82047</v>
      </c>
      <c r="BQ164" s="116">
        <f t="shared" si="135"/>
        <v>3024.799959</v>
      </c>
      <c r="BR164" s="116">
        <f t="shared" si="135"/>
        <v>3024.276592</v>
      </c>
      <c r="BS164" s="116">
        <f t="shared" si="135"/>
        <v>3026.408859</v>
      </c>
      <c r="BT164" s="116">
        <f t="shared" si="135"/>
        <v>3030.569272</v>
      </c>
      <c r="BU164" s="116">
        <f t="shared" si="135"/>
        <v>3036.290257</v>
      </c>
      <c r="BV164" s="116">
        <f t="shared" si="135"/>
        <v>3043.223729</v>
      </c>
      <c r="BW164" s="116">
        <f t="shared" si="135"/>
        <v>3161.742903</v>
      </c>
      <c r="BX164" s="116">
        <f t="shared" si="135"/>
        <v>-496.67607</v>
      </c>
      <c r="BY164" s="116">
        <f t="shared" si="135"/>
        <v>-208.6519248</v>
      </c>
      <c r="BZ164" s="116">
        <f t="shared" si="135"/>
        <v>535.4825592</v>
      </c>
      <c r="CA164" s="116">
        <f t="shared" si="135"/>
        <v>1093.616633</v>
      </c>
      <c r="CB164" s="116">
        <f t="shared" si="135"/>
        <v>1512.799756</v>
      </c>
      <c r="CC164" s="116">
        <f t="shared" si="135"/>
        <v>1828.178534</v>
      </c>
      <c r="CD164" s="116">
        <f t="shared" si="135"/>
        <v>2066.00813</v>
      </c>
      <c r="CE164" s="116">
        <f t="shared" si="135"/>
        <v>2245.901784</v>
      </c>
      <c r="CF164" s="116">
        <f t="shared" si="135"/>
        <v>2382.511208</v>
      </c>
      <c r="CG164" s="116">
        <f t="shared" si="135"/>
        <v>2486.781843</v>
      </c>
      <c r="CH164" s="116">
        <f t="shared" si="135"/>
        <v>2566.890532</v>
      </c>
    </row>
    <row r="165" ht="15.75" customHeight="1">
      <c r="A165" s="1" t="s">
        <v>692</v>
      </c>
      <c r="C165" s="146">
        <f>Revenue!C158</f>
        <v>64.29</v>
      </c>
      <c r="D165" s="146">
        <f>Revenue!D158</f>
        <v>40.046</v>
      </c>
      <c r="E165" s="146">
        <f>Revenue!E158</f>
        <v>77.35</v>
      </c>
      <c r="F165" s="146">
        <f>Revenue!F158</f>
        <v>76.764</v>
      </c>
      <c r="G165" s="146">
        <f>Revenue!G158</f>
        <v>50.154</v>
      </c>
      <c r="H165" s="146">
        <f>Revenue!H158</f>
        <v>62.538</v>
      </c>
      <c r="I165" s="146">
        <f>Revenue!I158</f>
        <v>53.386</v>
      </c>
      <c r="J165" s="146">
        <f>Revenue!J158</f>
        <v>71.836</v>
      </c>
      <c r="K165" s="146">
        <f>Revenue!K158</f>
        <v>77.976</v>
      </c>
      <c r="L165" s="146">
        <f>Revenue!L158</f>
        <v>52.492</v>
      </c>
      <c r="M165" s="146">
        <f>Revenue!M158</f>
        <v>50.406</v>
      </c>
      <c r="N165" s="146">
        <f>Revenue!N158</f>
        <v>349.246</v>
      </c>
      <c r="O165" s="146">
        <f>Revenue!O158</f>
        <v>366.304</v>
      </c>
      <c r="P165" s="146">
        <f>Revenue!P158</f>
        <v>328.708</v>
      </c>
      <c r="Q165" s="146">
        <f>Revenue!Q158</f>
        <v>440.614</v>
      </c>
      <c r="R165" s="146">
        <f>Revenue!R158</f>
        <v>479.714</v>
      </c>
      <c r="S165" s="146">
        <f>Revenue!S158</f>
        <v>457.522</v>
      </c>
      <c r="T165" s="146">
        <f>Revenue!T158</f>
        <v>364.018</v>
      </c>
      <c r="U165" s="146">
        <f>Revenue!U158</f>
        <v>373.668</v>
      </c>
      <c r="V165" s="146">
        <f>Revenue!V158</f>
        <v>530.942</v>
      </c>
      <c r="W165" s="146">
        <f>Revenue!W158</f>
        <v>512.746</v>
      </c>
      <c r="X165" s="146">
        <f>Revenue!X158</f>
        <v>458.04</v>
      </c>
      <c r="Y165" s="146">
        <f>Revenue!Y158</f>
        <v>445.172</v>
      </c>
      <c r="Z165" s="146">
        <f>Revenue!Z158</f>
        <v>474.5765205</v>
      </c>
      <c r="AA165" s="146">
        <f>Revenue!AA158</f>
        <v>508.3656431</v>
      </c>
      <c r="AB165" s="146">
        <f>Revenue!AB158</f>
        <v>538.4813339</v>
      </c>
      <c r="AC165" s="146">
        <f>Revenue!AC158</f>
        <v>564.5353234</v>
      </c>
      <c r="AD165" s="146">
        <f>Revenue!AD158</f>
        <v>587.8060778</v>
      </c>
      <c r="AE165" s="146">
        <f>Revenue!AE158</f>
        <v>600.0929179</v>
      </c>
      <c r="AF165" s="146">
        <f>Revenue!AF158</f>
        <v>611.1036695</v>
      </c>
      <c r="AG165" s="146">
        <f>Revenue!AG158</f>
        <v>618.0011836</v>
      </c>
      <c r="AH165" s="146">
        <f>Revenue!AH158</f>
        <v>623.9663732</v>
      </c>
      <c r="AI165" s="146">
        <f>Revenue!AI158</f>
        <v>631.8161273</v>
      </c>
      <c r="AJ165" s="146">
        <f>Revenue!AJ158</f>
        <v>641.0319533</v>
      </c>
      <c r="AK165" s="146">
        <f>Revenue!AK158</f>
        <v>649.0828497</v>
      </c>
      <c r="AL165" s="146">
        <f>Revenue!AL158</f>
        <v>656.4349713</v>
      </c>
      <c r="AM165" s="146">
        <f>Revenue!AM158</f>
        <v>661.0116885</v>
      </c>
      <c r="AN165" s="146">
        <f>Revenue!AN158</f>
        <v>667.33133</v>
      </c>
      <c r="AO165" s="146">
        <f>Revenue!AO158</f>
        <v>675.4377728</v>
      </c>
      <c r="AP165" s="146">
        <f>Revenue!AP158</f>
        <v>682.6357891</v>
      </c>
      <c r="AQ165" s="146">
        <f>Revenue!AQ158</f>
        <v>689.157936</v>
      </c>
      <c r="AR165" s="146">
        <f>Revenue!AR158</f>
        <v>695.7125532</v>
      </c>
      <c r="AS165" s="146">
        <f>Revenue!AS158</f>
        <v>701.7622761</v>
      </c>
      <c r="AT165" s="146">
        <f>Revenue!AT158</f>
        <v>707.4376538</v>
      </c>
      <c r="AU165" s="146">
        <f>Revenue!AU158</f>
        <v>712.8362308</v>
      </c>
      <c r="AV165" s="146">
        <f>Revenue!AV158</f>
        <v>718.0308978</v>
      </c>
      <c r="AW165" s="146">
        <f>Revenue!AW158</f>
        <v>723.0761292</v>
      </c>
      <c r="AX165" s="146">
        <f>Revenue!AX158</f>
        <v>728.0126428</v>
      </c>
      <c r="AY165" s="146">
        <f>Revenue!AY158</f>
        <v>734.5472735</v>
      </c>
      <c r="AZ165" s="146">
        <f>Revenue!AZ158</f>
        <v>740.8939757</v>
      </c>
      <c r="BA165" s="146">
        <f>Revenue!BA158</f>
        <v>746.8167012</v>
      </c>
      <c r="BB165" s="146">
        <f>Revenue!BB158</f>
        <v>752.4256637</v>
      </c>
      <c r="BC165" s="146">
        <f>Revenue!BC158</f>
        <v>757.8032175</v>
      </c>
      <c r="BD165" s="146">
        <f>Revenue!BD158</f>
        <v>763.0109062</v>
      </c>
      <c r="BE165" s="146">
        <f>Revenue!BE158</f>
        <v>768.0947281</v>
      </c>
      <c r="BF165" s="146">
        <f>Revenue!BF158</f>
        <v>773.0890696</v>
      </c>
      <c r="BG165" s="146">
        <f>Revenue!BG158</f>
        <v>778.0196428</v>
      </c>
      <c r="BH165" s="146">
        <f>Revenue!BH158</f>
        <v>782.905681</v>
      </c>
      <c r="BI165" s="146">
        <f>Revenue!BI158</f>
        <v>787.7615774</v>
      </c>
      <c r="BJ165" s="146">
        <f>Revenue!BJ158</f>
        <v>792.5981105</v>
      </c>
      <c r="BK165" s="146">
        <f>Revenue!BK158</f>
        <v>3145.077942</v>
      </c>
      <c r="BL165" s="146">
        <f>Revenue!BL158</f>
        <v>3181.211658</v>
      </c>
      <c r="BM165" s="146">
        <f>Revenue!BM158</f>
        <v>3204.364204</v>
      </c>
      <c r="BN165" s="146">
        <f>Revenue!BN158</f>
        <v>3227.099595</v>
      </c>
      <c r="BO165" s="146">
        <f>Revenue!BO158</f>
        <v>3249.566218</v>
      </c>
      <c r="BP165" s="146">
        <f>Revenue!BP158</f>
        <v>3271.875649</v>
      </c>
      <c r="BQ165" s="146">
        <f>Revenue!BQ158</f>
        <v>3294.111979</v>
      </c>
      <c r="BR165" s="146">
        <f>Revenue!BR158</f>
        <v>3316.338793</v>
      </c>
      <c r="BS165" s="146">
        <f>Revenue!BS158</f>
        <v>3338.604376</v>
      </c>
      <c r="BT165" s="146">
        <f>Revenue!BT158</f>
        <v>3360.945603</v>
      </c>
      <c r="BU165" s="146">
        <f>Revenue!BU158</f>
        <v>3383.390848</v>
      </c>
      <c r="BV165" s="146">
        <f>Revenue!BV158</f>
        <v>3405.962155</v>
      </c>
      <c r="BW165" s="146">
        <f>Revenue!BW158</f>
        <v>3430.688357</v>
      </c>
      <c r="BX165" s="146">
        <f>Revenue!BX158</f>
        <v>3388.89785</v>
      </c>
      <c r="BY165" s="146">
        <f>Revenue!BY158</f>
        <v>3352.344146</v>
      </c>
      <c r="BZ165" s="146">
        <f>Revenue!BZ158</f>
        <v>3329.32016</v>
      </c>
      <c r="CA165" s="146">
        <f>Revenue!CA158</f>
        <v>3316.444066</v>
      </c>
      <c r="CB165" s="146">
        <f>Revenue!CB158</f>
        <v>3311.189483</v>
      </c>
      <c r="CC165" s="146">
        <f>Revenue!CC158</f>
        <v>3311.66906</v>
      </c>
      <c r="CD165" s="146">
        <f>Revenue!CD158</f>
        <v>3316.472812</v>
      </c>
      <c r="CE165" s="146">
        <f>Revenue!CE158</f>
        <v>3324.547357</v>
      </c>
      <c r="CF165" s="146">
        <f>Revenue!CF158</f>
        <v>3335.10571</v>
      </c>
      <c r="CG165" s="146">
        <f>Revenue!CG158</f>
        <v>3347.559892</v>
      </c>
      <c r="CH165" s="146">
        <f>Revenue!CH158</f>
        <v>3361.470596</v>
      </c>
    </row>
    <row r="166" ht="15.75" customHeight="1">
      <c r="A166" s="1" t="s">
        <v>693</v>
      </c>
      <c r="C166" s="146"/>
      <c r="D166" s="146">
        <f t="shared" ref="D166:CH166" si="136">D165-C165</f>
        <v>-24.244</v>
      </c>
      <c r="E166" s="146">
        <f t="shared" si="136"/>
        <v>37.304</v>
      </c>
      <c r="F166" s="146">
        <f t="shared" si="136"/>
        <v>-0.586</v>
      </c>
      <c r="G166" s="146">
        <f t="shared" si="136"/>
        <v>-26.61</v>
      </c>
      <c r="H166" s="146">
        <f t="shared" si="136"/>
        <v>12.384</v>
      </c>
      <c r="I166" s="146">
        <f t="shared" si="136"/>
        <v>-9.152</v>
      </c>
      <c r="J166" s="146">
        <f t="shared" si="136"/>
        <v>18.45</v>
      </c>
      <c r="K166" s="146">
        <f t="shared" si="136"/>
        <v>6.14</v>
      </c>
      <c r="L166" s="146">
        <f t="shared" si="136"/>
        <v>-25.484</v>
      </c>
      <c r="M166" s="146">
        <f t="shared" si="136"/>
        <v>-2.086</v>
      </c>
      <c r="N166" s="146">
        <f t="shared" si="136"/>
        <v>298.84</v>
      </c>
      <c r="O166" s="146">
        <f t="shared" si="136"/>
        <v>17.058</v>
      </c>
      <c r="P166" s="146">
        <f t="shared" si="136"/>
        <v>-37.596</v>
      </c>
      <c r="Q166" s="146">
        <f t="shared" si="136"/>
        <v>111.906</v>
      </c>
      <c r="R166" s="146">
        <f t="shared" si="136"/>
        <v>39.1</v>
      </c>
      <c r="S166" s="146">
        <f t="shared" si="136"/>
        <v>-22.192</v>
      </c>
      <c r="T166" s="146">
        <f t="shared" si="136"/>
        <v>-93.504</v>
      </c>
      <c r="U166" s="146">
        <f t="shared" si="136"/>
        <v>9.65</v>
      </c>
      <c r="V166" s="146">
        <f t="shared" si="136"/>
        <v>157.274</v>
      </c>
      <c r="W166" s="146">
        <f t="shared" si="136"/>
        <v>-18.196</v>
      </c>
      <c r="X166" s="146">
        <f t="shared" si="136"/>
        <v>-54.706</v>
      </c>
      <c r="Y166" s="146">
        <f t="shared" si="136"/>
        <v>-12.868</v>
      </c>
      <c r="Z166" s="146">
        <f t="shared" si="136"/>
        <v>29.40452053</v>
      </c>
      <c r="AA166" s="146">
        <f t="shared" si="136"/>
        <v>33.78912258</v>
      </c>
      <c r="AB166" s="146">
        <f t="shared" si="136"/>
        <v>30.11569078</v>
      </c>
      <c r="AC166" s="146">
        <f t="shared" si="136"/>
        <v>26.05398951</v>
      </c>
      <c r="AD166" s="146">
        <f t="shared" si="136"/>
        <v>23.27075443</v>
      </c>
      <c r="AE166" s="146">
        <f t="shared" si="136"/>
        <v>12.28684002</v>
      </c>
      <c r="AF166" s="146">
        <f t="shared" si="136"/>
        <v>11.01075166</v>
      </c>
      <c r="AG166" s="146">
        <f t="shared" si="136"/>
        <v>6.897514073</v>
      </c>
      <c r="AH166" s="146">
        <f t="shared" si="136"/>
        <v>5.965189593</v>
      </c>
      <c r="AI166" s="146">
        <f t="shared" si="136"/>
        <v>7.849754102</v>
      </c>
      <c r="AJ166" s="146">
        <f t="shared" si="136"/>
        <v>9.215826054</v>
      </c>
      <c r="AK166" s="146">
        <f t="shared" si="136"/>
        <v>8.050896354</v>
      </c>
      <c r="AL166" s="146">
        <f t="shared" si="136"/>
        <v>7.352121639</v>
      </c>
      <c r="AM166" s="146">
        <f t="shared" si="136"/>
        <v>4.576717185</v>
      </c>
      <c r="AN166" s="146">
        <f t="shared" si="136"/>
        <v>6.319641518</v>
      </c>
      <c r="AO166" s="146">
        <f t="shared" si="136"/>
        <v>8.106442809</v>
      </c>
      <c r="AP166" s="146">
        <f t="shared" si="136"/>
        <v>7.198016229</v>
      </c>
      <c r="AQ166" s="146">
        <f t="shared" si="136"/>
        <v>6.522146885</v>
      </c>
      <c r="AR166" s="146">
        <f t="shared" si="136"/>
        <v>6.554617233</v>
      </c>
      <c r="AS166" s="146">
        <f t="shared" si="136"/>
        <v>6.049722965</v>
      </c>
      <c r="AT166" s="146">
        <f t="shared" si="136"/>
        <v>5.675377649</v>
      </c>
      <c r="AU166" s="146">
        <f t="shared" si="136"/>
        <v>5.398576977</v>
      </c>
      <c r="AV166" s="146">
        <f t="shared" si="136"/>
        <v>5.194666988</v>
      </c>
      <c r="AW166" s="146">
        <f t="shared" si="136"/>
        <v>5.045231433</v>
      </c>
      <c r="AX166" s="146">
        <f t="shared" si="136"/>
        <v>4.936513635</v>
      </c>
      <c r="AY166" s="146">
        <f t="shared" si="136"/>
        <v>6.534630674</v>
      </c>
      <c r="AZ166" s="146">
        <f t="shared" si="136"/>
        <v>6.346702176</v>
      </c>
      <c r="BA166" s="146">
        <f t="shared" si="136"/>
        <v>5.922725555</v>
      </c>
      <c r="BB166" s="146">
        <f t="shared" si="136"/>
        <v>5.608962511</v>
      </c>
      <c r="BC166" s="146">
        <f t="shared" si="136"/>
        <v>5.377553763</v>
      </c>
      <c r="BD166" s="146">
        <f t="shared" si="136"/>
        <v>5.20768867</v>
      </c>
      <c r="BE166" s="146">
        <f t="shared" si="136"/>
        <v>5.083821933</v>
      </c>
      <c r="BF166" s="146">
        <f t="shared" si="136"/>
        <v>4.994341459</v>
      </c>
      <c r="BG166" s="146">
        <f t="shared" si="136"/>
        <v>4.930573272</v>
      </c>
      <c r="BH166" s="146">
        <f t="shared" si="136"/>
        <v>4.886038162</v>
      </c>
      <c r="BI166" s="146">
        <f t="shared" si="136"/>
        <v>4.85589642</v>
      </c>
      <c r="BJ166" s="146">
        <f t="shared" si="136"/>
        <v>4.836533041</v>
      </c>
      <c r="BK166" s="146">
        <f t="shared" si="136"/>
        <v>2352.479832</v>
      </c>
      <c r="BL166" s="146">
        <f t="shared" si="136"/>
        <v>36.13371614</v>
      </c>
      <c r="BM166" s="146">
        <f t="shared" si="136"/>
        <v>23.15254516</v>
      </c>
      <c r="BN166" s="146">
        <f t="shared" si="136"/>
        <v>22.73539105</v>
      </c>
      <c r="BO166" s="146">
        <f t="shared" si="136"/>
        <v>22.46662377</v>
      </c>
      <c r="BP166" s="146">
        <f t="shared" si="136"/>
        <v>22.30943033</v>
      </c>
      <c r="BQ166" s="146">
        <f t="shared" si="136"/>
        <v>22.23633012</v>
      </c>
      <c r="BR166" s="146">
        <f t="shared" si="136"/>
        <v>22.22681437</v>
      </c>
      <c r="BS166" s="146">
        <f t="shared" si="136"/>
        <v>22.26558285</v>
      </c>
      <c r="BT166" s="146">
        <f t="shared" si="136"/>
        <v>22.34122673</v>
      </c>
      <c r="BU166" s="146">
        <f t="shared" si="136"/>
        <v>22.44524464</v>
      </c>
      <c r="BV166" s="146">
        <f t="shared" si="136"/>
        <v>22.57130777</v>
      </c>
      <c r="BW166" s="146">
        <f t="shared" si="136"/>
        <v>24.72620185</v>
      </c>
      <c r="BX166" s="146">
        <f t="shared" si="136"/>
        <v>-41.79050676</v>
      </c>
      <c r="BY166" s="146">
        <f t="shared" si="136"/>
        <v>-36.55370412</v>
      </c>
      <c r="BZ166" s="146">
        <f t="shared" si="136"/>
        <v>-23.02398623</v>
      </c>
      <c r="CA166" s="146">
        <f t="shared" si="136"/>
        <v>-12.87609398</v>
      </c>
      <c r="CB166" s="146">
        <f t="shared" si="136"/>
        <v>-5.254582652</v>
      </c>
      <c r="CC166" s="146">
        <f t="shared" si="136"/>
        <v>0.4795769581</v>
      </c>
      <c r="CD166" s="146">
        <f t="shared" si="136"/>
        <v>4.803751428</v>
      </c>
      <c r="CE166" s="146">
        <f t="shared" si="136"/>
        <v>8.074545128</v>
      </c>
      <c r="CF166" s="146">
        <f t="shared" si="136"/>
        <v>10.55835284</v>
      </c>
      <c r="CG166" s="146">
        <f t="shared" si="136"/>
        <v>12.45418257</v>
      </c>
      <c r="CH166" s="146">
        <f t="shared" si="136"/>
        <v>13.91070418</v>
      </c>
    </row>
    <row r="167" ht="15.75" customHeight="1"/>
    <row r="168" ht="15.75" customHeight="1">
      <c r="A168" s="1" t="s">
        <v>694</v>
      </c>
      <c r="M168" s="242"/>
      <c r="N168" s="242"/>
      <c r="O168" s="208">
        <v>0.99</v>
      </c>
      <c r="P168" s="208">
        <f t="shared" ref="P168:S168" si="137">O168</f>
        <v>0.99</v>
      </c>
      <c r="Q168" s="208">
        <f t="shared" si="137"/>
        <v>0.99</v>
      </c>
      <c r="R168" s="208">
        <f t="shared" si="137"/>
        <v>0.99</v>
      </c>
      <c r="S168" s="208">
        <f t="shared" si="137"/>
        <v>0.99</v>
      </c>
      <c r="T168" s="208">
        <v>0.95</v>
      </c>
      <c r="U168" s="208">
        <f>T168</f>
        <v>0.95</v>
      </c>
      <c r="V168" s="208">
        <v>0.95</v>
      </c>
      <c r="W168" s="208">
        <f>V168</f>
        <v>0.95</v>
      </c>
      <c r="X168" s="208">
        <v>0.8</v>
      </c>
      <c r="Y168" s="208">
        <v>0.8</v>
      </c>
      <c r="Z168" s="208">
        <v>0.8</v>
      </c>
      <c r="AA168" s="208">
        <v>0.95</v>
      </c>
      <c r="AB168" s="208">
        <f t="shared" ref="AB168:AL168" si="138">AA168</f>
        <v>0.95</v>
      </c>
      <c r="AC168" s="208">
        <f t="shared" si="138"/>
        <v>0.95</v>
      </c>
      <c r="AD168" s="208">
        <f t="shared" si="138"/>
        <v>0.95</v>
      </c>
      <c r="AE168" s="208">
        <f t="shared" si="138"/>
        <v>0.95</v>
      </c>
      <c r="AF168" s="208">
        <f t="shared" si="138"/>
        <v>0.95</v>
      </c>
      <c r="AG168" s="208">
        <f t="shared" si="138"/>
        <v>0.95</v>
      </c>
      <c r="AH168" s="208">
        <f t="shared" si="138"/>
        <v>0.95</v>
      </c>
      <c r="AI168" s="208">
        <f t="shared" si="138"/>
        <v>0.95</v>
      </c>
      <c r="AJ168" s="208">
        <f t="shared" si="138"/>
        <v>0.95</v>
      </c>
      <c r="AK168" s="208">
        <f t="shared" si="138"/>
        <v>0.95</v>
      </c>
      <c r="AL168" s="208">
        <f t="shared" si="138"/>
        <v>0.95</v>
      </c>
      <c r="AM168" s="208">
        <v>0.91</v>
      </c>
      <c r="AN168" s="208">
        <f t="shared" ref="AN168:AX168" si="139">AM168</f>
        <v>0.91</v>
      </c>
      <c r="AO168" s="208">
        <f t="shared" si="139"/>
        <v>0.91</v>
      </c>
      <c r="AP168" s="208">
        <f t="shared" si="139"/>
        <v>0.91</v>
      </c>
      <c r="AQ168" s="208">
        <f t="shared" si="139"/>
        <v>0.91</v>
      </c>
      <c r="AR168" s="208">
        <f t="shared" si="139"/>
        <v>0.91</v>
      </c>
      <c r="AS168" s="208">
        <f t="shared" si="139"/>
        <v>0.91</v>
      </c>
      <c r="AT168" s="208">
        <f t="shared" si="139"/>
        <v>0.91</v>
      </c>
      <c r="AU168" s="208">
        <f t="shared" si="139"/>
        <v>0.91</v>
      </c>
      <c r="AV168" s="208">
        <f t="shared" si="139"/>
        <v>0.91</v>
      </c>
      <c r="AW168" s="208">
        <f t="shared" si="139"/>
        <v>0.91</v>
      </c>
      <c r="AX168" s="208">
        <f t="shared" si="139"/>
        <v>0.91</v>
      </c>
      <c r="AY168" s="208">
        <v>0.87</v>
      </c>
      <c r="AZ168" s="208">
        <f t="shared" ref="AZ168:BJ168" si="140">AY168</f>
        <v>0.87</v>
      </c>
      <c r="BA168" s="208">
        <f t="shared" si="140"/>
        <v>0.87</v>
      </c>
      <c r="BB168" s="208">
        <f t="shared" si="140"/>
        <v>0.87</v>
      </c>
      <c r="BC168" s="208">
        <f t="shared" si="140"/>
        <v>0.87</v>
      </c>
      <c r="BD168" s="208">
        <f t="shared" si="140"/>
        <v>0.87</v>
      </c>
      <c r="BE168" s="208">
        <f t="shared" si="140"/>
        <v>0.87</v>
      </c>
      <c r="BF168" s="208">
        <f t="shared" si="140"/>
        <v>0.87</v>
      </c>
      <c r="BG168" s="208">
        <f t="shared" si="140"/>
        <v>0.87</v>
      </c>
      <c r="BH168" s="208">
        <f t="shared" si="140"/>
        <v>0.87</v>
      </c>
      <c r="BI168" s="208">
        <f t="shared" si="140"/>
        <v>0.87</v>
      </c>
      <c r="BJ168" s="208">
        <f t="shared" si="140"/>
        <v>0.87</v>
      </c>
      <c r="BK168" s="208">
        <v>0.8</v>
      </c>
      <c r="BL168" s="208">
        <v>0.8</v>
      </c>
      <c r="BM168" s="208">
        <v>0.8</v>
      </c>
      <c r="BN168" s="208">
        <v>0.8</v>
      </c>
      <c r="BO168" s="208">
        <v>0.8</v>
      </c>
      <c r="BP168" s="208">
        <v>0.8</v>
      </c>
      <c r="BQ168" s="208">
        <v>0.8</v>
      </c>
      <c r="BR168" s="208">
        <v>0.8</v>
      </c>
      <c r="BS168" s="208">
        <v>0.8</v>
      </c>
      <c r="BT168" s="208">
        <v>0.8</v>
      </c>
      <c r="BU168" s="208">
        <v>0.8</v>
      </c>
      <c r="BV168" s="208">
        <v>0.8</v>
      </c>
      <c r="BW168" s="208">
        <v>0.75</v>
      </c>
      <c r="BX168" s="208">
        <f t="shared" ref="BX168:CH168" si="141">BW168</f>
        <v>0.75</v>
      </c>
      <c r="BY168" s="208">
        <f t="shared" si="141"/>
        <v>0.75</v>
      </c>
      <c r="BZ168" s="208">
        <f t="shared" si="141"/>
        <v>0.75</v>
      </c>
      <c r="CA168" s="208">
        <f t="shared" si="141"/>
        <v>0.75</v>
      </c>
      <c r="CB168" s="208">
        <f t="shared" si="141"/>
        <v>0.75</v>
      </c>
      <c r="CC168" s="208">
        <f t="shared" si="141"/>
        <v>0.75</v>
      </c>
      <c r="CD168" s="208">
        <f t="shared" si="141"/>
        <v>0.75</v>
      </c>
      <c r="CE168" s="208">
        <f t="shared" si="141"/>
        <v>0.75</v>
      </c>
      <c r="CF168" s="208">
        <f t="shared" si="141"/>
        <v>0.75</v>
      </c>
      <c r="CG168" s="208">
        <f t="shared" si="141"/>
        <v>0.75</v>
      </c>
      <c r="CH168" s="208">
        <f t="shared" si="141"/>
        <v>0.75</v>
      </c>
    </row>
    <row r="169" ht="15.75" customHeight="1">
      <c r="A169" s="1" t="s">
        <v>695</v>
      </c>
      <c r="M169" s="242"/>
      <c r="N169" s="242"/>
      <c r="O169" s="130">
        <f t="shared" ref="O169:CH169" si="142">1-O168</f>
        <v>0.01</v>
      </c>
      <c r="P169" s="130">
        <f t="shared" si="142"/>
        <v>0.01</v>
      </c>
      <c r="Q169" s="130">
        <f t="shared" si="142"/>
        <v>0.01</v>
      </c>
      <c r="R169" s="130">
        <f t="shared" si="142"/>
        <v>0.01</v>
      </c>
      <c r="S169" s="130">
        <f t="shared" si="142"/>
        <v>0.01</v>
      </c>
      <c r="T169" s="130">
        <f t="shared" si="142"/>
        <v>0.05</v>
      </c>
      <c r="U169" s="130">
        <f t="shared" si="142"/>
        <v>0.05</v>
      </c>
      <c r="V169" s="130">
        <f t="shared" si="142"/>
        <v>0.05</v>
      </c>
      <c r="W169" s="130">
        <f t="shared" si="142"/>
        <v>0.05</v>
      </c>
      <c r="X169" s="130">
        <f t="shared" si="142"/>
        <v>0.2</v>
      </c>
      <c r="Y169" s="130">
        <f t="shared" si="142"/>
        <v>0.2</v>
      </c>
      <c r="Z169" s="130">
        <f t="shared" si="142"/>
        <v>0.2</v>
      </c>
      <c r="AA169" s="130">
        <f t="shared" si="142"/>
        <v>0.05</v>
      </c>
      <c r="AB169" s="130">
        <f t="shared" si="142"/>
        <v>0.05</v>
      </c>
      <c r="AC169" s="130">
        <f t="shared" si="142"/>
        <v>0.05</v>
      </c>
      <c r="AD169" s="130">
        <f t="shared" si="142"/>
        <v>0.05</v>
      </c>
      <c r="AE169" s="130">
        <f t="shared" si="142"/>
        <v>0.05</v>
      </c>
      <c r="AF169" s="130">
        <f t="shared" si="142"/>
        <v>0.05</v>
      </c>
      <c r="AG169" s="130">
        <f t="shared" si="142"/>
        <v>0.05</v>
      </c>
      <c r="AH169" s="130">
        <f t="shared" si="142"/>
        <v>0.05</v>
      </c>
      <c r="AI169" s="130">
        <f t="shared" si="142"/>
        <v>0.05</v>
      </c>
      <c r="AJ169" s="130">
        <f t="shared" si="142"/>
        <v>0.05</v>
      </c>
      <c r="AK169" s="130">
        <f t="shared" si="142"/>
        <v>0.05</v>
      </c>
      <c r="AL169" s="130">
        <f t="shared" si="142"/>
        <v>0.05</v>
      </c>
      <c r="AM169" s="130">
        <f t="shared" si="142"/>
        <v>0.09</v>
      </c>
      <c r="AN169" s="130">
        <f t="shared" si="142"/>
        <v>0.09</v>
      </c>
      <c r="AO169" s="130">
        <f t="shared" si="142"/>
        <v>0.09</v>
      </c>
      <c r="AP169" s="130">
        <f t="shared" si="142"/>
        <v>0.09</v>
      </c>
      <c r="AQ169" s="130">
        <f t="shared" si="142"/>
        <v>0.09</v>
      </c>
      <c r="AR169" s="130">
        <f t="shared" si="142"/>
        <v>0.09</v>
      </c>
      <c r="AS169" s="130">
        <f t="shared" si="142"/>
        <v>0.09</v>
      </c>
      <c r="AT169" s="130">
        <f t="shared" si="142"/>
        <v>0.09</v>
      </c>
      <c r="AU169" s="130">
        <f t="shared" si="142"/>
        <v>0.09</v>
      </c>
      <c r="AV169" s="130">
        <f t="shared" si="142"/>
        <v>0.09</v>
      </c>
      <c r="AW169" s="130">
        <f t="shared" si="142"/>
        <v>0.09</v>
      </c>
      <c r="AX169" s="130">
        <f t="shared" si="142"/>
        <v>0.09</v>
      </c>
      <c r="AY169" s="130">
        <f t="shared" si="142"/>
        <v>0.13</v>
      </c>
      <c r="AZ169" s="130">
        <f t="shared" si="142"/>
        <v>0.13</v>
      </c>
      <c r="BA169" s="130">
        <f t="shared" si="142"/>
        <v>0.13</v>
      </c>
      <c r="BB169" s="130">
        <f t="shared" si="142"/>
        <v>0.13</v>
      </c>
      <c r="BC169" s="130">
        <f t="shared" si="142"/>
        <v>0.13</v>
      </c>
      <c r="BD169" s="130">
        <f t="shared" si="142"/>
        <v>0.13</v>
      </c>
      <c r="BE169" s="130">
        <f t="shared" si="142"/>
        <v>0.13</v>
      </c>
      <c r="BF169" s="130">
        <f t="shared" si="142"/>
        <v>0.13</v>
      </c>
      <c r="BG169" s="130">
        <f t="shared" si="142"/>
        <v>0.13</v>
      </c>
      <c r="BH169" s="130">
        <f t="shared" si="142"/>
        <v>0.13</v>
      </c>
      <c r="BI169" s="130">
        <f t="shared" si="142"/>
        <v>0.13</v>
      </c>
      <c r="BJ169" s="130">
        <f t="shared" si="142"/>
        <v>0.13</v>
      </c>
      <c r="BK169" s="130">
        <f t="shared" si="142"/>
        <v>0.2</v>
      </c>
      <c r="BL169" s="130">
        <f t="shared" si="142"/>
        <v>0.2</v>
      </c>
      <c r="BM169" s="130">
        <f t="shared" si="142"/>
        <v>0.2</v>
      </c>
      <c r="BN169" s="130">
        <f t="shared" si="142"/>
        <v>0.2</v>
      </c>
      <c r="BO169" s="130">
        <f t="shared" si="142"/>
        <v>0.2</v>
      </c>
      <c r="BP169" s="130">
        <f t="shared" si="142"/>
        <v>0.2</v>
      </c>
      <c r="BQ169" s="130">
        <f t="shared" si="142"/>
        <v>0.2</v>
      </c>
      <c r="BR169" s="130">
        <f t="shared" si="142"/>
        <v>0.2</v>
      </c>
      <c r="BS169" s="130">
        <f t="shared" si="142"/>
        <v>0.2</v>
      </c>
      <c r="BT169" s="130">
        <f t="shared" si="142"/>
        <v>0.2</v>
      </c>
      <c r="BU169" s="130">
        <f t="shared" si="142"/>
        <v>0.2</v>
      </c>
      <c r="BV169" s="130">
        <f t="shared" si="142"/>
        <v>0.2</v>
      </c>
      <c r="BW169" s="130">
        <f t="shared" si="142"/>
        <v>0.25</v>
      </c>
      <c r="BX169" s="130">
        <f t="shared" si="142"/>
        <v>0.25</v>
      </c>
      <c r="BY169" s="130">
        <f t="shared" si="142"/>
        <v>0.25</v>
      </c>
      <c r="BZ169" s="130">
        <f t="shared" si="142"/>
        <v>0.25</v>
      </c>
      <c r="CA169" s="130">
        <f t="shared" si="142"/>
        <v>0.25</v>
      </c>
      <c r="CB169" s="130">
        <f t="shared" si="142"/>
        <v>0.25</v>
      </c>
      <c r="CC169" s="130">
        <f t="shared" si="142"/>
        <v>0.25</v>
      </c>
      <c r="CD169" s="130">
        <f t="shared" si="142"/>
        <v>0.25</v>
      </c>
      <c r="CE169" s="130">
        <f t="shared" si="142"/>
        <v>0.25</v>
      </c>
      <c r="CF169" s="130">
        <f t="shared" si="142"/>
        <v>0.25</v>
      </c>
      <c r="CG169" s="130">
        <f t="shared" si="142"/>
        <v>0.25</v>
      </c>
      <c r="CH169" s="130">
        <f t="shared" si="142"/>
        <v>0.25</v>
      </c>
    </row>
    <row r="170" ht="15.75" customHeight="1">
      <c r="A170" s="1"/>
      <c r="M170" s="173"/>
      <c r="N170" s="146"/>
      <c r="O170" s="146"/>
      <c r="P170" s="242"/>
      <c r="Q170" s="242"/>
      <c r="R170" s="242"/>
      <c r="S170" s="242"/>
      <c r="T170" s="146"/>
      <c r="U170" s="146"/>
      <c r="V170" s="146"/>
      <c r="W170" s="146"/>
      <c r="X170" s="146"/>
      <c r="Y170" s="146"/>
      <c r="Z170" s="146"/>
      <c r="AA170" s="146"/>
      <c r="AB170" s="146"/>
      <c r="AC170" s="146"/>
      <c r="AD170" s="146"/>
      <c r="AE170" s="146"/>
      <c r="AF170" s="146"/>
      <c r="AG170" s="146"/>
      <c r="AH170" s="146"/>
      <c r="AI170" s="146"/>
      <c r="AJ170" s="146"/>
      <c r="AK170" s="146"/>
      <c r="AL170" s="146"/>
      <c r="AM170" s="146"/>
      <c r="AN170" s="146"/>
      <c r="AO170" s="146"/>
      <c r="AP170" s="146"/>
      <c r="AQ170" s="146"/>
      <c r="AR170" s="146"/>
      <c r="AS170" s="146"/>
      <c r="AT170" s="146"/>
      <c r="AU170" s="146"/>
      <c r="AV170" s="146"/>
      <c r="AW170" s="146"/>
      <c r="AX170" s="146"/>
      <c r="AY170" s="146"/>
      <c r="AZ170" s="146"/>
      <c r="BA170" s="146"/>
      <c r="BB170" s="146"/>
      <c r="BC170" s="146"/>
      <c r="BD170" s="146"/>
      <c r="BE170" s="146"/>
      <c r="BF170" s="146"/>
      <c r="BG170" s="146"/>
      <c r="BH170" s="146"/>
      <c r="BI170" s="146"/>
      <c r="BJ170" s="146"/>
      <c r="BK170" s="146"/>
      <c r="BL170" s="146"/>
      <c r="BM170" s="146"/>
      <c r="BN170" s="146"/>
      <c r="BO170" s="146"/>
      <c r="BP170" s="146"/>
      <c r="BQ170" s="146"/>
      <c r="BR170" s="146"/>
      <c r="BS170" s="146"/>
      <c r="BT170" s="146"/>
      <c r="BU170" s="146"/>
      <c r="BV170" s="146"/>
      <c r="BW170" s="146"/>
      <c r="BX170" s="146"/>
      <c r="BY170" s="146"/>
      <c r="BZ170" s="146"/>
      <c r="CA170" s="146"/>
      <c r="CB170" s="146"/>
      <c r="CC170" s="146"/>
      <c r="CD170" s="146"/>
      <c r="CE170" s="146"/>
      <c r="CF170" s="146"/>
      <c r="CG170" s="146"/>
      <c r="CH170" s="146"/>
    </row>
    <row r="171" ht="15.75" customHeight="1">
      <c r="A171" s="1"/>
      <c r="M171" s="173"/>
      <c r="N171" s="146"/>
      <c r="O171" s="146"/>
      <c r="P171" s="242"/>
      <c r="Q171" s="242"/>
      <c r="R171" s="242"/>
      <c r="S171" s="242"/>
      <c r="T171" s="146"/>
      <c r="U171" s="146"/>
      <c r="V171" s="146"/>
      <c r="W171" s="146"/>
      <c r="X171" s="146"/>
      <c r="Y171" s="146"/>
      <c r="Z171" s="146"/>
      <c r="AA171" s="146"/>
      <c r="AB171" s="146"/>
      <c r="AC171" s="146"/>
      <c r="AD171" s="146"/>
      <c r="AE171" s="146"/>
      <c r="AF171" s="146"/>
      <c r="AG171" s="146"/>
      <c r="AH171" s="146"/>
      <c r="AI171" s="146"/>
      <c r="AJ171" s="146"/>
      <c r="AK171" s="146"/>
      <c r="AL171" s="146"/>
      <c r="AM171" s="146"/>
      <c r="AN171" s="146"/>
      <c r="AO171" s="146"/>
      <c r="AP171" s="146"/>
      <c r="AQ171" s="146"/>
      <c r="AR171" s="146"/>
      <c r="AS171" s="146"/>
      <c r="AT171" s="146"/>
      <c r="AU171" s="146"/>
      <c r="AV171" s="146"/>
      <c r="AW171" s="146"/>
      <c r="AX171" s="146"/>
      <c r="AY171" s="146"/>
      <c r="AZ171" s="146"/>
      <c r="BA171" s="146"/>
      <c r="BB171" s="146"/>
      <c r="BC171" s="146"/>
      <c r="BD171" s="146"/>
      <c r="BE171" s="146"/>
      <c r="BF171" s="146"/>
      <c r="BG171" s="146"/>
      <c r="BH171" s="146"/>
      <c r="BI171" s="146"/>
      <c r="BJ171" s="146"/>
      <c r="BK171" s="146"/>
      <c r="BL171" s="146"/>
      <c r="BM171" s="146"/>
      <c r="BN171" s="146"/>
      <c r="BO171" s="146"/>
      <c r="BP171" s="146"/>
      <c r="BQ171" s="146"/>
      <c r="BR171" s="146"/>
      <c r="BS171" s="146"/>
      <c r="BT171" s="146"/>
      <c r="BU171" s="146"/>
      <c r="BV171" s="146"/>
      <c r="BW171" s="146"/>
      <c r="BX171" s="146"/>
      <c r="BY171" s="146"/>
      <c r="BZ171" s="146"/>
      <c r="CA171" s="146"/>
      <c r="CB171" s="146"/>
      <c r="CC171" s="146"/>
      <c r="CD171" s="146"/>
      <c r="CE171" s="146"/>
      <c r="CF171" s="146"/>
      <c r="CG171" s="146"/>
      <c r="CH171" s="146"/>
    </row>
    <row r="172" ht="15.75" customHeight="1">
      <c r="A172" s="1" t="s">
        <v>724</v>
      </c>
      <c r="M172" s="173">
        <v>1.0</v>
      </c>
      <c r="N172" s="146">
        <f t="shared" ref="N172:O172" si="143">M172+M177</f>
        <v>1</v>
      </c>
      <c r="O172" s="146">
        <f t="shared" si="143"/>
        <v>1</v>
      </c>
      <c r="P172" s="242">
        <v>2.0</v>
      </c>
      <c r="Q172" s="242">
        <v>2.0</v>
      </c>
      <c r="R172" s="242">
        <v>2.0</v>
      </c>
      <c r="S172" s="242">
        <v>2.0</v>
      </c>
      <c r="T172" s="242">
        <v>2.0</v>
      </c>
      <c r="U172" s="242">
        <f t="shared" ref="U172:V172" si="144">T172+T177</f>
        <v>2</v>
      </c>
      <c r="V172" s="242">
        <f t="shared" si="144"/>
        <v>2</v>
      </c>
      <c r="W172" s="242">
        <v>2.0</v>
      </c>
      <c r="X172" s="242">
        <v>3.0</v>
      </c>
      <c r="Y172" s="242">
        <v>4.0</v>
      </c>
      <c r="Z172" s="146">
        <f t="shared" ref="Z172:CH172" si="145">Y172+Y177</f>
        <v>5</v>
      </c>
      <c r="AA172" s="146">
        <f t="shared" si="145"/>
        <v>5</v>
      </c>
      <c r="AB172" s="146">
        <f t="shared" si="145"/>
        <v>5</v>
      </c>
      <c r="AC172" s="146">
        <f t="shared" si="145"/>
        <v>5</v>
      </c>
      <c r="AD172" s="146">
        <f t="shared" si="145"/>
        <v>5</v>
      </c>
      <c r="AE172" s="146">
        <f t="shared" si="145"/>
        <v>5</v>
      </c>
      <c r="AF172" s="146">
        <f t="shared" si="145"/>
        <v>5</v>
      </c>
      <c r="AG172" s="146">
        <f t="shared" si="145"/>
        <v>5</v>
      </c>
      <c r="AH172" s="146">
        <f t="shared" si="145"/>
        <v>5</v>
      </c>
      <c r="AI172" s="146">
        <f t="shared" si="145"/>
        <v>5</v>
      </c>
      <c r="AJ172" s="146">
        <f t="shared" si="145"/>
        <v>5</v>
      </c>
      <c r="AK172" s="146">
        <f t="shared" si="145"/>
        <v>5</v>
      </c>
      <c r="AL172" s="146">
        <f t="shared" si="145"/>
        <v>5</v>
      </c>
      <c r="AM172" s="146">
        <f t="shared" si="145"/>
        <v>5</v>
      </c>
      <c r="AN172" s="146">
        <f t="shared" si="145"/>
        <v>5</v>
      </c>
      <c r="AO172" s="146">
        <f t="shared" si="145"/>
        <v>5</v>
      </c>
      <c r="AP172" s="146">
        <f t="shared" si="145"/>
        <v>5</v>
      </c>
      <c r="AQ172" s="146">
        <f t="shared" si="145"/>
        <v>5</v>
      </c>
      <c r="AR172" s="146">
        <f t="shared" si="145"/>
        <v>5</v>
      </c>
      <c r="AS172" s="146">
        <f t="shared" si="145"/>
        <v>5</v>
      </c>
      <c r="AT172" s="146">
        <f t="shared" si="145"/>
        <v>5</v>
      </c>
      <c r="AU172" s="146">
        <f t="shared" si="145"/>
        <v>5</v>
      </c>
      <c r="AV172" s="146">
        <f t="shared" si="145"/>
        <v>5</v>
      </c>
      <c r="AW172" s="146">
        <f t="shared" si="145"/>
        <v>5</v>
      </c>
      <c r="AX172" s="146">
        <f t="shared" si="145"/>
        <v>5</v>
      </c>
      <c r="AY172" s="146">
        <f t="shared" si="145"/>
        <v>5</v>
      </c>
      <c r="AZ172" s="146">
        <f t="shared" si="145"/>
        <v>5</v>
      </c>
      <c r="BA172" s="146">
        <f t="shared" si="145"/>
        <v>5</v>
      </c>
      <c r="BB172" s="146">
        <f t="shared" si="145"/>
        <v>5</v>
      </c>
      <c r="BC172" s="146">
        <f t="shared" si="145"/>
        <v>5</v>
      </c>
      <c r="BD172" s="146">
        <f t="shared" si="145"/>
        <v>5</v>
      </c>
      <c r="BE172" s="146">
        <f t="shared" si="145"/>
        <v>5</v>
      </c>
      <c r="BF172" s="146">
        <f t="shared" si="145"/>
        <v>5</v>
      </c>
      <c r="BG172" s="146">
        <f t="shared" si="145"/>
        <v>5</v>
      </c>
      <c r="BH172" s="146">
        <f t="shared" si="145"/>
        <v>5</v>
      </c>
      <c r="BI172" s="146">
        <f t="shared" si="145"/>
        <v>5</v>
      </c>
      <c r="BJ172" s="146">
        <f t="shared" si="145"/>
        <v>5</v>
      </c>
      <c r="BK172" s="146">
        <f t="shared" si="145"/>
        <v>5</v>
      </c>
      <c r="BL172" s="146">
        <f t="shared" si="145"/>
        <v>17</v>
      </c>
      <c r="BM172" s="146">
        <f t="shared" si="145"/>
        <v>18</v>
      </c>
      <c r="BN172" s="146">
        <f t="shared" si="145"/>
        <v>18</v>
      </c>
      <c r="BO172" s="146">
        <f t="shared" si="145"/>
        <v>18</v>
      </c>
      <c r="BP172" s="146">
        <f t="shared" si="145"/>
        <v>18</v>
      </c>
      <c r="BQ172" s="146">
        <f t="shared" si="145"/>
        <v>18</v>
      </c>
      <c r="BR172" s="146">
        <f t="shared" si="145"/>
        <v>18</v>
      </c>
      <c r="BS172" s="146">
        <f t="shared" si="145"/>
        <v>18</v>
      </c>
      <c r="BT172" s="146">
        <f t="shared" si="145"/>
        <v>18</v>
      </c>
      <c r="BU172" s="146">
        <f t="shared" si="145"/>
        <v>19</v>
      </c>
      <c r="BV172" s="146">
        <f t="shared" si="145"/>
        <v>19</v>
      </c>
      <c r="BW172" s="146">
        <f t="shared" si="145"/>
        <v>19</v>
      </c>
      <c r="BX172" s="146">
        <f t="shared" si="145"/>
        <v>19</v>
      </c>
      <c r="BY172" s="146">
        <f t="shared" si="145"/>
        <v>19</v>
      </c>
      <c r="BZ172" s="146">
        <f t="shared" si="145"/>
        <v>19</v>
      </c>
      <c r="CA172" s="146">
        <f t="shared" si="145"/>
        <v>19</v>
      </c>
      <c r="CB172" s="146">
        <f t="shared" si="145"/>
        <v>19</v>
      </c>
      <c r="CC172" s="146">
        <f t="shared" si="145"/>
        <v>19</v>
      </c>
      <c r="CD172" s="146">
        <f t="shared" si="145"/>
        <v>19</v>
      </c>
      <c r="CE172" s="146">
        <f t="shared" si="145"/>
        <v>19</v>
      </c>
      <c r="CF172" s="146">
        <f t="shared" si="145"/>
        <v>19</v>
      </c>
      <c r="CG172" s="146">
        <f t="shared" si="145"/>
        <v>19</v>
      </c>
      <c r="CH172" s="146">
        <f t="shared" si="145"/>
        <v>19</v>
      </c>
    </row>
    <row r="173" ht="15.75" customHeight="1">
      <c r="A173" s="1" t="s">
        <v>725</v>
      </c>
      <c r="M173" s="173">
        <v>160.0</v>
      </c>
      <c r="N173" s="146">
        <f t="shared" ref="N173:Q173" si="146">M173</f>
        <v>160</v>
      </c>
      <c r="O173" s="146">
        <f t="shared" si="146"/>
        <v>160</v>
      </c>
      <c r="P173" s="146">
        <f t="shared" si="146"/>
        <v>160</v>
      </c>
      <c r="Q173" s="146">
        <f t="shared" si="146"/>
        <v>160</v>
      </c>
      <c r="R173" s="146">
        <v>150.0</v>
      </c>
      <c r="S173" s="146">
        <f t="shared" ref="S173:CH173" si="147">R173</f>
        <v>150</v>
      </c>
      <c r="T173" s="146">
        <f t="shared" si="147"/>
        <v>150</v>
      </c>
      <c r="U173" s="146">
        <f t="shared" si="147"/>
        <v>150</v>
      </c>
      <c r="V173" s="146">
        <f t="shared" si="147"/>
        <v>150</v>
      </c>
      <c r="W173" s="146">
        <f t="shared" si="147"/>
        <v>150</v>
      </c>
      <c r="X173" s="146">
        <f t="shared" si="147"/>
        <v>150</v>
      </c>
      <c r="Y173" s="146">
        <f t="shared" si="147"/>
        <v>150</v>
      </c>
      <c r="Z173" s="146">
        <f t="shared" si="147"/>
        <v>150</v>
      </c>
      <c r="AA173" s="146">
        <f t="shared" si="147"/>
        <v>150</v>
      </c>
      <c r="AB173" s="146">
        <f t="shared" si="147"/>
        <v>150</v>
      </c>
      <c r="AC173" s="146">
        <f t="shared" si="147"/>
        <v>150</v>
      </c>
      <c r="AD173" s="146">
        <f t="shared" si="147"/>
        <v>150</v>
      </c>
      <c r="AE173" s="146">
        <f t="shared" si="147"/>
        <v>150</v>
      </c>
      <c r="AF173" s="146">
        <f t="shared" si="147"/>
        <v>150</v>
      </c>
      <c r="AG173" s="146">
        <f t="shared" si="147"/>
        <v>150</v>
      </c>
      <c r="AH173" s="146">
        <f t="shared" si="147"/>
        <v>150</v>
      </c>
      <c r="AI173" s="146">
        <f t="shared" si="147"/>
        <v>150</v>
      </c>
      <c r="AJ173" s="146">
        <f t="shared" si="147"/>
        <v>150</v>
      </c>
      <c r="AK173" s="146">
        <f t="shared" si="147"/>
        <v>150</v>
      </c>
      <c r="AL173" s="146">
        <f t="shared" si="147"/>
        <v>150</v>
      </c>
      <c r="AM173" s="146">
        <f t="shared" si="147"/>
        <v>150</v>
      </c>
      <c r="AN173" s="146">
        <f t="shared" si="147"/>
        <v>150</v>
      </c>
      <c r="AO173" s="146">
        <f t="shared" si="147"/>
        <v>150</v>
      </c>
      <c r="AP173" s="146">
        <f t="shared" si="147"/>
        <v>150</v>
      </c>
      <c r="AQ173" s="146">
        <f t="shared" si="147"/>
        <v>150</v>
      </c>
      <c r="AR173" s="146">
        <f t="shared" si="147"/>
        <v>150</v>
      </c>
      <c r="AS173" s="146">
        <f t="shared" si="147"/>
        <v>150</v>
      </c>
      <c r="AT173" s="146">
        <f t="shared" si="147"/>
        <v>150</v>
      </c>
      <c r="AU173" s="146">
        <f t="shared" si="147"/>
        <v>150</v>
      </c>
      <c r="AV173" s="146">
        <f t="shared" si="147"/>
        <v>150</v>
      </c>
      <c r="AW173" s="146">
        <f t="shared" si="147"/>
        <v>150</v>
      </c>
      <c r="AX173" s="146">
        <f t="shared" si="147"/>
        <v>150</v>
      </c>
      <c r="AY173" s="146">
        <f t="shared" si="147"/>
        <v>150</v>
      </c>
      <c r="AZ173" s="146">
        <f t="shared" si="147"/>
        <v>150</v>
      </c>
      <c r="BA173" s="146">
        <f t="shared" si="147"/>
        <v>150</v>
      </c>
      <c r="BB173" s="146">
        <f t="shared" si="147"/>
        <v>150</v>
      </c>
      <c r="BC173" s="146">
        <f t="shared" si="147"/>
        <v>150</v>
      </c>
      <c r="BD173" s="146">
        <f t="shared" si="147"/>
        <v>150</v>
      </c>
      <c r="BE173" s="146">
        <f t="shared" si="147"/>
        <v>150</v>
      </c>
      <c r="BF173" s="146">
        <f t="shared" si="147"/>
        <v>150</v>
      </c>
      <c r="BG173" s="146">
        <f t="shared" si="147"/>
        <v>150</v>
      </c>
      <c r="BH173" s="146">
        <f t="shared" si="147"/>
        <v>150</v>
      </c>
      <c r="BI173" s="146">
        <f t="shared" si="147"/>
        <v>150</v>
      </c>
      <c r="BJ173" s="146">
        <f t="shared" si="147"/>
        <v>150</v>
      </c>
      <c r="BK173" s="146">
        <f t="shared" si="147"/>
        <v>150</v>
      </c>
      <c r="BL173" s="146">
        <f t="shared" si="147"/>
        <v>150</v>
      </c>
      <c r="BM173" s="146">
        <f t="shared" si="147"/>
        <v>150</v>
      </c>
      <c r="BN173" s="146">
        <f t="shared" si="147"/>
        <v>150</v>
      </c>
      <c r="BO173" s="146">
        <f t="shared" si="147"/>
        <v>150</v>
      </c>
      <c r="BP173" s="146">
        <f t="shared" si="147"/>
        <v>150</v>
      </c>
      <c r="BQ173" s="146">
        <f t="shared" si="147"/>
        <v>150</v>
      </c>
      <c r="BR173" s="146">
        <f t="shared" si="147"/>
        <v>150</v>
      </c>
      <c r="BS173" s="146">
        <f t="shared" si="147"/>
        <v>150</v>
      </c>
      <c r="BT173" s="146">
        <f t="shared" si="147"/>
        <v>150</v>
      </c>
      <c r="BU173" s="146">
        <f t="shared" si="147"/>
        <v>150</v>
      </c>
      <c r="BV173" s="146">
        <f t="shared" si="147"/>
        <v>150</v>
      </c>
      <c r="BW173" s="146">
        <f t="shared" si="147"/>
        <v>150</v>
      </c>
      <c r="BX173" s="146">
        <f t="shared" si="147"/>
        <v>150</v>
      </c>
      <c r="BY173" s="146">
        <f t="shared" si="147"/>
        <v>150</v>
      </c>
      <c r="BZ173" s="146">
        <f t="shared" si="147"/>
        <v>150</v>
      </c>
      <c r="CA173" s="146">
        <f t="shared" si="147"/>
        <v>150</v>
      </c>
      <c r="CB173" s="146">
        <f t="shared" si="147"/>
        <v>150</v>
      </c>
      <c r="CC173" s="146">
        <f t="shared" si="147"/>
        <v>150</v>
      </c>
      <c r="CD173" s="146">
        <f t="shared" si="147"/>
        <v>150</v>
      </c>
      <c r="CE173" s="146">
        <f t="shared" si="147"/>
        <v>150</v>
      </c>
      <c r="CF173" s="146">
        <f t="shared" si="147"/>
        <v>150</v>
      </c>
      <c r="CG173" s="146">
        <f t="shared" si="147"/>
        <v>150</v>
      </c>
      <c r="CH173" s="146">
        <f t="shared" si="147"/>
        <v>150</v>
      </c>
    </row>
    <row r="174" ht="15.75" customHeight="1">
      <c r="A174" s="1" t="s">
        <v>698</v>
      </c>
      <c r="M174" s="146">
        <f t="shared" ref="M174:CH174" si="148">M172*M173</f>
        <v>160</v>
      </c>
      <c r="N174" s="146">
        <f t="shared" si="148"/>
        <v>160</v>
      </c>
      <c r="O174" s="146">
        <f t="shared" si="148"/>
        <v>160</v>
      </c>
      <c r="P174" s="146">
        <f t="shared" si="148"/>
        <v>320</v>
      </c>
      <c r="Q174" s="146">
        <f t="shared" si="148"/>
        <v>320</v>
      </c>
      <c r="R174" s="146">
        <f t="shared" si="148"/>
        <v>300</v>
      </c>
      <c r="S174" s="146">
        <f t="shared" si="148"/>
        <v>300</v>
      </c>
      <c r="T174" s="146">
        <f t="shared" si="148"/>
        <v>300</v>
      </c>
      <c r="U174" s="146">
        <f t="shared" si="148"/>
        <v>300</v>
      </c>
      <c r="V174" s="146">
        <f t="shared" si="148"/>
        <v>300</v>
      </c>
      <c r="W174" s="146">
        <f t="shared" si="148"/>
        <v>300</v>
      </c>
      <c r="X174" s="146">
        <f t="shared" si="148"/>
        <v>450</v>
      </c>
      <c r="Y174" s="146">
        <f t="shared" si="148"/>
        <v>600</v>
      </c>
      <c r="Z174" s="146">
        <f t="shared" si="148"/>
        <v>750</v>
      </c>
      <c r="AA174" s="146">
        <f t="shared" si="148"/>
        <v>750</v>
      </c>
      <c r="AB174" s="146">
        <f t="shared" si="148"/>
        <v>750</v>
      </c>
      <c r="AC174" s="146">
        <f t="shared" si="148"/>
        <v>750</v>
      </c>
      <c r="AD174" s="146">
        <f t="shared" si="148"/>
        <v>750</v>
      </c>
      <c r="AE174" s="146">
        <f t="shared" si="148"/>
        <v>750</v>
      </c>
      <c r="AF174" s="146">
        <f t="shared" si="148"/>
        <v>750</v>
      </c>
      <c r="AG174" s="146">
        <f t="shared" si="148"/>
        <v>750</v>
      </c>
      <c r="AH174" s="146">
        <f t="shared" si="148"/>
        <v>750</v>
      </c>
      <c r="AI174" s="146">
        <f t="shared" si="148"/>
        <v>750</v>
      </c>
      <c r="AJ174" s="146">
        <f t="shared" si="148"/>
        <v>750</v>
      </c>
      <c r="AK174" s="146">
        <f t="shared" si="148"/>
        <v>750</v>
      </c>
      <c r="AL174" s="146">
        <f t="shared" si="148"/>
        <v>750</v>
      </c>
      <c r="AM174" s="146">
        <f t="shared" si="148"/>
        <v>750</v>
      </c>
      <c r="AN174" s="146">
        <f t="shared" si="148"/>
        <v>750</v>
      </c>
      <c r="AO174" s="146">
        <f t="shared" si="148"/>
        <v>750</v>
      </c>
      <c r="AP174" s="146">
        <f t="shared" si="148"/>
        <v>750</v>
      </c>
      <c r="AQ174" s="146">
        <f t="shared" si="148"/>
        <v>750</v>
      </c>
      <c r="AR174" s="146">
        <f t="shared" si="148"/>
        <v>750</v>
      </c>
      <c r="AS174" s="146">
        <f t="shared" si="148"/>
        <v>750</v>
      </c>
      <c r="AT174" s="146">
        <f t="shared" si="148"/>
        <v>750</v>
      </c>
      <c r="AU174" s="146">
        <f t="shared" si="148"/>
        <v>750</v>
      </c>
      <c r="AV174" s="146">
        <f t="shared" si="148"/>
        <v>750</v>
      </c>
      <c r="AW174" s="146">
        <f t="shared" si="148"/>
        <v>750</v>
      </c>
      <c r="AX174" s="146">
        <f t="shared" si="148"/>
        <v>750</v>
      </c>
      <c r="AY174" s="146">
        <f t="shared" si="148"/>
        <v>750</v>
      </c>
      <c r="AZ174" s="146">
        <f t="shared" si="148"/>
        <v>750</v>
      </c>
      <c r="BA174" s="146">
        <f t="shared" si="148"/>
        <v>750</v>
      </c>
      <c r="BB174" s="146">
        <f t="shared" si="148"/>
        <v>750</v>
      </c>
      <c r="BC174" s="146">
        <f t="shared" si="148"/>
        <v>750</v>
      </c>
      <c r="BD174" s="146">
        <f t="shared" si="148"/>
        <v>750</v>
      </c>
      <c r="BE174" s="146">
        <f t="shared" si="148"/>
        <v>750</v>
      </c>
      <c r="BF174" s="146">
        <f t="shared" si="148"/>
        <v>750</v>
      </c>
      <c r="BG174" s="146">
        <f t="shared" si="148"/>
        <v>750</v>
      </c>
      <c r="BH174" s="146">
        <f t="shared" si="148"/>
        <v>750</v>
      </c>
      <c r="BI174" s="146">
        <f t="shared" si="148"/>
        <v>750</v>
      </c>
      <c r="BJ174" s="146">
        <f t="shared" si="148"/>
        <v>750</v>
      </c>
      <c r="BK174" s="146">
        <f t="shared" si="148"/>
        <v>750</v>
      </c>
      <c r="BL174" s="146">
        <f t="shared" si="148"/>
        <v>2550</v>
      </c>
      <c r="BM174" s="146">
        <f t="shared" si="148"/>
        <v>2700</v>
      </c>
      <c r="BN174" s="146">
        <f t="shared" si="148"/>
        <v>2700</v>
      </c>
      <c r="BO174" s="146">
        <f t="shared" si="148"/>
        <v>2700</v>
      </c>
      <c r="BP174" s="146">
        <f t="shared" si="148"/>
        <v>2700</v>
      </c>
      <c r="BQ174" s="146">
        <f t="shared" si="148"/>
        <v>2700</v>
      </c>
      <c r="BR174" s="146">
        <f t="shared" si="148"/>
        <v>2700</v>
      </c>
      <c r="BS174" s="146">
        <f t="shared" si="148"/>
        <v>2700</v>
      </c>
      <c r="BT174" s="146">
        <f t="shared" si="148"/>
        <v>2700</v>
      </c>
      <c r="BU174" s="146">
        <f t="shared" si="148"/>
        <v>2850</v>
      </c>
      <c r="BV174" s="146">
        <f t="shared" si="148"/>
        <v>2850</v>
      </c>
      <c r="BW174" s="146">
        <f t="shared" si="148"/>
        <v>2850</v>
      </c>
      <c r="BX174" s="146">
        <f t="shared" si="148"/>
        <v>2850</v>
      </c>
      <c r="BY174" s="146">
        <f t="shared" si="148"/>
        <v>2850</v>
      </c>
      <c r="BZ174" s="146">
        <f t="shared" si="148"/>
        <v>2850</v>
      </c>
      <c r="CA174" s="146">
        <f t="shared" si="148"/>
        <v>2850</v>
      </c>
      <c r="CB174" s="146">
        <f t="shared" si="148"/>
        <v>2850</v>
      </c>
      <c r="CC174" s="146">
        <f t="shared" si="148"/>
        <v>2850</v>
      </c>
      <c r="CD174" s="146">
        <f t="shared" si="148"/>
        <v>2850</v>
      </c>
      <c r="CE174" s="146">
        <f t="shared" si="148"/>
        <v>2850</v>
      </c>
      <c r="CF174" s="146">
        <f t="shared" si="148"/>
        <v>2850</v>
      </c>
      <c r="CG174" s="146">
        <f t="shared" si="148"/>
        <v>2850</v>
      </c>
      <c r="CH174" s="146">
        <f t="shared" si="148"/>
        <v>2850</v>
      </c>
    </row>
    <row r="175" ht="15.75" customHeight="1">
      <c r="A175" s="1" t="s">
        <v>726</v>
      </c>
      <c r="B175" s="467"/>
      <c r="M175" s="146"/>
      <c r="N175" s="146"/>
      <c r="O175" s="146"/>
      <c r="P175" s="146"/>
      <c r="Q175" s="146"/>
      <c r="R175" s="146"/>
      <c r="S175" s="146"/>
      <c r="T175" s="146">
        <f t="shared" ref="T175:CH175" si="149">T165*T168</f>
        <v>345.8171</v>
      </c>
      <c r="U175" s="146">
        <f t="shared" si="149"/>
        <v>354.9846</v>
      </c>
      <c r="V175" s="146">
        <f t="shared" si="149"/>
        <v>504.3949</v>
      </c>
      <c r="W175" s="146">
        <f t="shared" si="149"/>
        <v>487.1087</v>
      </c>
      <c r="X175" s="146">
        <f t="shared" si="149"/>
        <v>366.432</v>
      </c>
      <c r="Y175" s="146">
        <f t="shared" si="149"/>
        <v>356.1376</v>
      </c>
      <c r="Z175" s="146">
        <f t="shared" si="149"/>
        <v>379.6612164</v>
      </c>
      <c r="AA175" s="146">
        <f t="shared" si="149"/>
        <v>482.947361</v>
      </c>
      <c r="AB175" s="146">
        <f t="shared" si="149"/>
        <v>511.5572672</v>
      </c>
      <c r="AC175" s="146">
        <f t="shared" si="149"/>
        <v>536.3085572</v>
      </c>
      <c r="AD175" s="146">
        <f t="shared" si="149"/>
        <v>558.4157739</v>
      </c>
      <c r="AE175" s="146">
        <f t="shared" si="149"/>
        <v>570.088272</v>
      </c>
      <c r="AF175" s="146">
        <f t="shared" si="149"/>
        <v>580.548486</v>
      </c>
      <c r="AG175" s="146">
        <f t="shared" si="149"/>
        <v>587.1011244</v>
      </c>
      <c r="AH175" s="146">
        <f t="shared" si="149"/>
        <v>592.7680545</v>
      </c>
      <c r="AI175" s="146">
        <f t="shared" si="149"/>
        <v>600.2253209</v>
      </c>
      <c r="AJ175" s="146">
        <f t="shared" si="149"/>
        <v>608.9803557</v>
      </c>
      <c r="AK175" s="146">
        <f t="shared" si="149"/>
        <v>616.6287072</v>
      </c>
      <c r="AL175" s="146">
        <f t="shared" si="149"/>
        <v>623.6132228</v>
      </c>
      <c r="AM175" s="146">
        <f t="shared" si="149"/>
        <v>601.5206365</v>
      </c>
      <c r="AN175" s="146">
        <f t="shared" si="149"/>
        <v>607.2715103</v>
      </c>
      <c r="AO175" s="146">
        <f t="shared" si="149"/>
        <v>614.6483733</v>
      </c>
      <c r="AP175" s="146">
        <f t="shared" si="149"/>
        <v>621.198568</v>
      </c>
      <c r="AQ175" s="146">
        <f t="shared" si="149"/>
        <v>627.1337217</v>
      </c>
      <c r="AR175" s="146">
        <f t="shared" si="149"/>
        <v>633.0984234</v>
      </c>
      <c r="AS175" s="146">
        <f t="shared" si="149"/>
        <v>638.6036713</v>
      </c>
      <c r="AT175" s="146">
        <f t="shared" si="149"/>
        <v>643.768265</v>
      </c>
      <c r="AU175" s="146">
        <f t="shared" si="149"/>
        <v>648.68097</v>
      </c>
      <c r="AV175" s="146">
        <f t="shared" si="149"/>
        <v>653.408117</v>
      </c>
      <c r="AW175" s="146">
        <f t="shared" si="149"/>
        <v>657.9992776</v>
      </c>
      <c r="AX175" s="146">
        <f t="shared" si="149"/>
        <v>662.491505</v>
      </c>
      <c r="AY175" s="146">
        <f t="shared" si="149"/>
        <v>639.0561279</v>
      </c>
      <c r="AZ175" s="146">
        <f t="shared" si="149"/>
        <v>644.5777588</v>
      </c>
      <c r="BA175" s="146">
        <f t="shared" si="149"/>
        <v>649.7305301</v>
      </c>
      <c r="BB175" s="146">
        <f t="shared" si="149"/>
        <v>654.6103275</v>
      </c>
      <c r="BC175" s="146">
        <f t="shared" si="149"/>
        <v>659.2887992</v>
      </c>
      <c r="BD175" s="146">
        <f t="shared" si="149"/>
        <v>663.8194884</v>
      </c>
      <c r="BE175" s="146">
        <f t="shared" si="149"/>
        <v>668.2424135</v>
      </c>
      <c r="BF175" s="146">
        <f t="shared" si="149"/>
        <v>672.5874905</v>
      </c>
      <c r="BG175" s="146">
        <f t="shared" si="149"/>
        <v>676.8770893</v>
      </c>
      <c r="BH175" s="146">
        <f t="shared" si="149"/>
        <v>681.1279425</v>
      </c>
      <c r="BI175" s="146">
        <f t="shared" si="149"/>
        <v>685.3525724</v>
      </c>
      <c r="BJ175" s="146">
        <f t="shared" si="149"/>
        <v>689.5603561</v>
      </c>
      <c r="BK175" s="146">
        <f t="shared" si="149"/>
        <v>2516.062354</v>
      </c>
      <c r="BL175" s="146">
        <f t="shared" si="149"/>
        <v>2544.969327</v>
      </c>
      <c r="BM175" s="146">
        <f t="shared" si="149"/>
        <v>2563.491363</v>
      </c>
      <c r="BN175" s="146">
        <f t="shared" si="149"/>
        <v>2581.679676</v>
      </c>
      <c r="BO175" s="146">
        <f t="shared" si="149"/>
        <v>2599.652975</v>
      </c>
      <c r="BP175" s="146">
        <f t="shared" si="149"/>
        <v>2617.500519</v>
      </c>
      <c r="BQ175" s="146">
        <f t="shared" si="149"/>
        <v>2635.289583</v>
      </c>
      <c r="BR175" s="146">
        <f t="shared" si="149"/>
        <v>2653.071035</v>
      </c>
      <c r="BS175" s="146">
        <f t="shared" si="149"/>
        <v>2670.883501</v>
      </c>
      <c r="BT175" s="146">
        <f t="shared" si="149"/>
        <v>2688.756482</v>
      </c>
      <c r="BU175" s="146">
        <f t="shared" si="149"/>
        <v>2706.712678</v>
      </c>
      <c r="BV175" s="146">
        <f t="shared" si="149"/>
        <v>2724.769724</v>
      </c>
      <c r="BW175" s="146">
        <f t="shared" si="149"/>
        <v>2573.016268</v>
      </c>
      <c r="BX175" s="146">
        <f t="shared" si="149"/>
        <v>2541.673388</v>
      </c>
      <c r="BY175" s="146">
        <f t="shared" si="149"/>
        <v>2514.25811</v>
      </c>
      <c r="BZ175" s="146">
        <f t="shared" si="149"/>
        <v>2496.99012</v>
      </c>
      <c r="CA175" s="146">
        <f t="shared" si="149"/>
        <v>2487.33305</v>
      </c>
      <c r="CB175" s="146">
        <f t="shared" si="149"/>
        <v>2483.392113</v>
      </c>
      <c r="CC175" s="146">
        <f t="shared" si="149"/>
        <v>2483.751795</v>
      </c>
      <c r="CD175" s="146">
        <f t="shared" si="149"/>
        <v>2487.354609</v>
      </c>
      <c r="CE175" s="146">
        <f t="shared" si="149"/>
        <v>2493.410518</v>
      </c>
      <c r="CF175" s="146">
        <f t="shared" si="149"/>
        <v>2501.329282</v>
      </c>
      <c r="CG175" s="146">
        <f t="shared" si="149"/>
        <v>2510.669919</v>
      </c>
      <c r="CH175" s="146">
        <f t="shared" si="149"/>
        <v>2521.102947</v>
      </c>
    </row>
    <row r="176" ht="15.75" customHeight="1">
      <c r="A176" s="1" t="s">
        <v>700</v>
      </c>
      <c r="B176" s="446" t="s">
        <v>701</v>
      </c>
      <c r="M176" s="146">
        <f t="shared" ref="M176:U176" si="150">M174-M165</f>
        <v>109.594</v>
      </c>
      <c r="N176" s="146">
        <f t="shared" si="150"/>
        <v>-189.246</v>
      </c>
      <c r="O176" s="146">
        <f t="shared" si="150"/>
        <v>-206.304</v>
      </c>
      <c r="P176" s="146">
        <f t="shared" si="150"/>
        <v>-8.708</v>
      </c>
      <c r="Q176" s="146">
        <f t="shared" si="150"/>
        <v>-120.614</v>
      </c>
      <c r="R176" s="146">
        <f t="shared" si="150"/>
        <v>-179.714</v>
      </c>
      <c r="S176" s="146">
        <f t="shared" si="150"/>
        <v>-157.522</v>
      </c>
      <c r="T176" s="146">
        <f t="shared" si="150"/>
        <v>-64.018</v>
      </c>
      <c r="U176" s="146">
        <f t="shared" si="150"/>
        <v>-73.668</v>
      </c>
      <c r="V176" s="146">
        <f t="shared" ref="V176:CH176" si="151">V174-V175</f>
        <v>-204.3949</v>
      </c>
      <c r="W176" s="146">
        <f t="shared" si="151"/>
        <v>-187.1087</v>
      </c>
      <c r="X176" s="146">
        <f t="shared" si="151"/>
        <v>83.568</v>
      </c>
      <c r="Y176" s="146">
        <f t="shared" si="151"/>
        <v>243.8624</v>
      </c>
      <c r="Z176" s="146">
        <f t="shared" si="151"/>
        <v>370.3387836</v>
      </c>
      <c r="AA176" s="146">
        <f t="shared" si="151"/>
        <v>267.052639</v>
      </c>
      <c r="AB176" s="146">
        <f t="shared" si="151"/>
        <v>238.4427328</v>
      </c>
      <c r="AC176" s="146">
        <f t="shared" si="151"/>
        <v>213.6914428</v>
      </c>
      <c r="AD176" s="146">
        <f t="shared" si="151"/>
        <v>191.5842261</v>
      </c>
      <c r="AE176" s="146">
        <f t="shared" si="151"/>
        <v>179.911728</v>
      </c>
      <c r="AF176" s="146">
        <f t="shared" si="151"/>
        <v>169.451514</v>
      </c>
      <c r="AG176" s="146">
        <f t="shared" si="151"/>
        <v>162.8988756</v>
      </c>
      <c r="AH176" s="146">
        <f t="shared" si="151"/>
        <v>157.2319455</v>
      </c>
      <c r="AI176" s="146">
        <f t="shared" si="151"/>
        <v>149.7746791</v>
      </c>
      <c r="AJ176" s="146">
        <f t="shared" si="151"/>
        <v>141.0196443</v>
      </c>
      <c r="AK176" s="146">
        <f t="shared" si="151"/>
        <v>133.3712928</v>
      </c>
      <c r="AL176" s="146">
        <f t="shared" si="151"/>
        <v>126.3867772</v>
      </c>
      <c r="AM176" s="146">
        <f t="shared" si="151"/>
        <v>148.4793635</v>
      </c>
      <c r="AN176" s="146">
        <f t="shared" si="151"/>
        <v>142.7284897</v>
      </c>
      <c r="AO176" s="146">
        <f t="shared" si="151"/>
        <v>135.3516267</v>
      </c>
      <c r="AP176" s="146">
        <f t="shared" si="151"/>
        <v>128.801432</v>
      </c>
      <c r="AQ176" s="146">
        <f t="shared" si="151"/>
        <v>122.8662783</v>
      </c>
      <c r="AR176" s="146">
        <f t="shared" si="151"/>
        <v>116.9015766</v>
      </c>
      <c r="AS176" s="146">
        <f t="shared" si="151"/>
        <v>111.3963287</v>
      </c>
      <c r="AT176" s="146">
        <f t="shared" si="151"/>
        <v>106.231735</v>
      </c>
      <c r="AU176" s="146">
        <f t="shared" si="151"/>
        <v>101.31903</v>
      </c>
      <c r="AV176" s="146">
        <f t="shared" si="151"/>
        <v>96.59188304</v>
      </c>
      <c r="AW176" s="146">
        <f t="shared" si="151"/>
        <v>92.00072243</v>
      </c>
      <c r="AX176" s="146">
        <f t="shared" si="151"/>
        <v>87.50849503</v>
      </c>
      <c r="AY176" s="146">
        <f t="shared" si="151"/>
        <v>110.9438721</v>
      </c>
      <c r="AZ176" s="146">
        <f t="shared" si="151"/>
        <v>105.4222412</v>
      </c>
      <c r="BA176" s="146">
        <f t="shared" si="151"/>
        <v>100.2694699</v>
      </c>
      <c r="BB176" s="146">
        <f t="shared" si="151"/>
        <v>95.38967254</v>
      </c>
      <c r="BC176" s="146">
        <f t="shared" si="151"/>
        <v>90.71120077</v>
      </c>
      <c r="BD176" s="146">
        <f t="shared" si="151"/>
        <v>86.18051163</v>
      </c>
      <c r="BE176" s="146">
        <f t="shared" si="151"/>
        <v>81.75758654</v>
      </c>
      <c r="BF176" s="146">
        <f t="shared" si="151"/>
        <v>77.41250947</v>
      </c>
      <c r="BG176" s="146">
        <f t="shared" si="151"/>
        <v>73.12291073</v>
      </c>
      <c r="BH176" s="146">
        <f t="shared" si="151"/>
        <v>68.87205753</v>
      </c>
      <c r="BI176" s="146">
        <f t="shared" si="151"/>
        <v>64.64742764</v>
      </c>
      <c r="BJ176" s="146">
        <f t="shared" si="151"/>
        <v>60.4396439</v>
      </c>
      <c r="BK176" s="146">
        <f t="shared" si="151"/>
        <v>-1766.062354</v>
      </c>
      <c r="BL176" s="146">
        <f t="shared" si="151"/>
        <v>5.030673205</v>
      </c>
      <c r="BM176" s="146">
        <f t="shared" si="151"/>
        <v>136.5086371</v>
      </c>
      <c r="BN176" s="146">
        <f t="shared" si="151"/>
        <v>118.3203242</v>
      </c>
      <c r="BO176" s="146">
        <f t="shared" si="151"/>
        <v>100.3470252</v>
      </c>
      <c r="BP176" s="146">
        <f t="shared" si="151"/>
        <v>82.49948095</v>
      </c>
      <c r="BQ176" s="146">
        <f t="shared" si="151"/>
        <v>64.71041686</v>
      </c>
      <c r="BR176" s="146">
        <f t="shared" si="151"/>
        <v>46.92896536</v>
      </c>
      <c r="BS176" s="146">
        <f t="shared" si="151"/>
        <v>29.11649908</v>
      </c>
      <c r="BT176" s="146">
        <f t="shared" si="151"/>
        <v>11.2435177</v>
      </c>
      <c r="BU176" s="146">
        <f t="shared" si="151"/>
        <v>143.287322</v>
      </c>
      <c r="BV176" s="146">
        <f t="shared" si="151"/>
        <v>125.2302758</v>
      </c>
      <c r="BW176" s="146">
        <f t="shared" si="151"/>
        <v>276.9837321</v>
      </c>
      <c r="BX176" s="146">
        <f t="shared" si="151"/>
        <v>308.3266122</v>
      </c>
      <c r="BY176" s="146">
        <f t="shared" si="151"/>
        <v>335.7418903</v>
      </c>
      <c r="BZ176" s="146">
        <f t="shared" si="151"/>
        <v>353.00988</v>
      </c>
      <c r="CA176" s="146">
        <f t="shared" si="151"/>
        <v>362.6669505</v>
      </c>
      <c r="CB176" s="146">
        <f t="shared" si="151"/>
        <v>366.6078875</v>
      </c>
      <c r="CC176" s="146">
        <f t="shared" si="151"/>
        <v>366.2482047</v>
      </c>
      <c r="CD176" s="146">
        <f t="shared" si="151"/>
        <v>362.6453912</v>
      </c>
      <c r="CE176" s="146">
        <f t="shared" si="151"/>
        <v>356.5894823</v>
      </c>
      <c r="CF176" s="146">
        <f t="shared" si="151"/>
        <v>348.6707177</v>
      </c>
      <c r="CG176" s="146">
        <f t="shared" si="151"/>
        <v>339.3300808</v>
      </c>
      <c r="CH176" s="146">
        <f t="shared" si="151"/>
        <v>328.8970526</v>
      </c>
    </row>
    <row r="177" ht="15.75" customHeight="1">
      <c r="A177" s="1" t="s">
        <v>701</v>
      </c>
      <c r="B177" s="468">
        <v>25.0</v>
      </c>
      <c r="M177" s="173">
        <v>0.0</v>
      </c>
      <c r="N177" s="173">
        <v>0.0</v>
      </c>
      <c r="O177" s="173">
        <v>1.0</v>
      </c>
      <c r="P177" s="146">
        <f t="shared" ref="P177:Q177" si="152">IF(P176&gt;$B177,0,ROUNDUP(ABS(P176/P173),0))</f>
        <v>1</v>
      </c>
      <c r="Q177" s="146">
        <f t="shared" si="152"/>
        <v>1</v>
      </c>
      <c r="R177" s="146">
        <v>0.0</v>
      </c>
      <c r="S177" s="146">
        <v>0.0</v>
      </c>
      <c r="T177" s="146">
        <v>0.0</v>
      </c>
      <c r="U177" s="146">
        <v>0.0</v>
      </c>
      <c r="V177" s="146">
        <v>0.0</v>
      </c>
      <c r="W177" s="244"/>
      <c r="X177" s="244">
        <v>0.0</v>
      </c>
      <c r="Y177" s="244">
        <v>1.0</v>
      </c>
      <c r="Z177" s="244"/>
      <c r="AA177" s="146">
        <f t="shared" ref="AA177:CH177" si="153">IF(AA176&gt;$B177,0,ROUNDUP(ABS(AA176/AA173),0))</f>
        <v>0</v>
      </c>
      <c r="AB177" s="146">
        <f t="shared" si="153"/>
        <v>0</v>
      </c>
      <c r="AC177" s="146">
        <f t="shared" si="153"/>
        <v>0</v>
      </c>
      <c r="AD177" s="146">
        <f t="shared" si="153"/>
        <v>0</v>
      </c>
      <c r="AE177" s="146">
        <f t="shared" si="153"/>
        <v>0</v>
      </c>
      <c r="AF177" s="146">
        <f t="shared" si="153"/>
        <v>0</v>
      </c>
      <c r="AG177" s="146">
        <f t="shared" si="153"/>
        <v>0</v>
      </c>
      <c r="AH177" s="146">
        <f t="shared" si="153"/>
        <v>0</v>
      </c>
      <c r="AI177" s="146">
        <f t="shared" si="153"/>
        <v>0</v>
      </c>
      <c r="AJ177" s="146">
        <f t="shared" si="153"/>
        <v>0</v>
      </c>
      <c r="AK177" s="146">
        <f t="shared" si="153"/>
        <v>0</v>
      </c>
      <c r="AL177" s="146">
        <f t="shared" si="153"/>
        <v>0</v>
      </c>
      <c r="AM177" s="146">
        <f t="shared" si="153"/>
        <v>0</v>
      </c>
      <c r="AN177" s="146">
        <f t="shared" si="153"/>
        <v>0</v>
      </c>
      <c r="AO177" s="146">
        <f t="shared" si="153"/>
        <v>0</v>
      </c>
      <c r="AP177" s="146">
        <f t="shared" si="153"/>
        <v>0</v>
      </c>
      <c r="AQ177" s="146">
        <f t="shared" si="153"/>
        <v>0</v>
      </c>
      <c r="AR177" s="146">
        <f t="shared" si="153"/>
        <v>0</v>
      </c>
      <c r="AS177" s="146">
        <f t="shared" si="153"/>
        <v>0</v>
      </c>
      <c r="AT177" s="146">
        <f t="shared" si="153"/>
        <v>0</v>
      </c>
      <c r="AU177" s="146">
        <f t="shared" si="153"/>
        <v>0</v>
      </c>
      <c r="AV177" s="146">
        <f t="shared" si="153"/>
        <v>0</v>
      </c>
      <c r="AW177" s="146">
        <f t="shared" si="153"/>
        <v>0</v>
      </c>
      <c r="AX177" s="146">
        <f t="shared" si="153"/>
        <v>0</v>
      </c>
      <c r="AY177" s="146">
        <f t="shared" si="153"/>
        <v>0</v>
      </c>
      <c r="AZ177" s="146">
        <f t="shared" si="153"/>
        <v>0</v>
      </c>
      <c r="BA177" s="146">
        <f t="shared" si="153"/>
        <v>0</v>
      </c>
      <c r="BB177" s="146">
        <f t="shared" si="153"/>
        <v>0</v>
      </c>
      <c r="BC177" s="146">
        <f t="shared" si="153"/>
        <v>0</v>
      </c>
      <c r="BD177" s="146">
        <f t="shared" si="153"/>
        <v>0</v>
      </c>
      <c r="BE177" s="146">
        <f t="shared" si="153"/>
        <v>0</v>
      </c>
      <c r="BF177" s="146">
        <f t="shared" si="153"/>
        <v>0</v>
      </c>
      <c r="BG177" s="146">
        <f t="shared" si="153"/>
        <v>0</v>
      </c>
      <c r="BH177" s="146">
        <f t="shared" si="153"/>
        <v>0</v>
      </c>
      <c r="BI177" s="146">
        <f t="shared" si="153"/>
        <v>0</v>
      </c>
      <c r="BJ177" s="146">
        <f t="shared" si="153"/>
        <v>0</v>
      </c>
      <c r="BK177" s="146">
        <f t="shared" si="153"/>
        <v>12</v>
      </c>
      <c r="BL177" s="146">
        <f t="shared" si="153"/>
        <v>1</v>
      </c>
      <c r="BM177" s="146">
        <f t="shared" si="153"/>
        <v>0</v>
      </c>
      <c r="BN177" s="146">
        <f t="shared" si="153"/>
        <v>0</v>
      </c>
      <c r="BO177" s="146">
        <f t="shared" si="153"/>
        <v>0</v>
      </c>
      <c r="BP177" s="146">
        <f t="shared" si="153"/>
        <v>0</v>
      </c>
      <c r="BQ177" s="146">
        <f t="shared" si="153"/>
        <v>0</v>
      </c>
      <c r="BR177" s="146">
        <f t="shared" si="153"/>
        <v>0</v>
      </c>
      <c r="BS177" s="146">
        <f t="shared" si="153"/>
        <v>0</v>
      </c>
      <c r="BT177" s="146">
        <f t="shared" si="153"/>
        <v>1</v>
      </c>
      <c r="BU177" s="146">
        <f t="shared" si="153"/>
        <v>0</v>
      </c>
      <c r="BV177" s="146">
        <f t="shared" si="153"/>
        <v>0</v>
      </c>
      <c r="BW177" s="146">
        <f t="shared" si="153"/>
        <v>0</v>
      </c>
      <c r="BX177" s="146">
        <f t="shared" si="153"/>
        <v>0</v>
      </c>
      <c r="BY177" s="146">
        <f t="shared" si="153"/>
        <v>0</v>
      </c>
      <c r="BZ177" s="146">
        <f t="shared" si="153"/>
        <v>0</v>
      </c>
      <c r="CA177" s="146">
        <f t="shared" si="153"/>
        <v>0</v>
      </c>
      <c r="CB177" s="146">
        <f t="shared" si="153"/>
        <v>0</v>
      </c>
      <c r="CC177" s="146">
        <f t="shared" si="153"/>
        <v>0</v>
      </c>
      <c r="CD177" s="146">
        <f t="shared" si="153"/>
        <v>0</v>
      </c>
      <c r="CE177" s="146">
        <f t="shared" si="153"/>
        <v>0</v>
      </c>
      <c r="CF177" s="146">
        <f t="shared" si="153"/>
        <v>0</v>
      </c>
      <c r="CG177" s="146">
        <f t="shared" si="153"/>
        <v>0</v>
      </c>
      <c r="CH177" s="146">
        <f t="shared" si="153"/>
        <v>0</v>
      </c>
    </row>
    <row r="178" ht="15.75" customHeight="1">
      <c r="A178" s="1" t="s">
        <v>702</v>
      </c>
      <c r="B178" s="1" t="s">
        <v>703</v>
      </c>
      <c r="M178" s="244">
        <v>0.0</v>
      </c>
      <c r="N178" s="244">
        <v>0.0</v>
      </c>
      <c r="O178" s="244">
        <v>1.0</v>
      </c>
      <c r="P178" s="146">
        <f t="shared" ref="P178:S178" si="154">P177</f>
        <v>1</v>
      </c>
      <c r="Q178" s="146">
        <f t="shared" si="154"/>
        <v>1</v>
      </c>
      <c r="R178" s="146">
        <f t="shared" si="154"/>
        <v>0</v>
      </c>
      <c r="S178" s="146">
        <f t="shared" si="154"/>
        <v>0</v>
      </c>
      <c r="T178" s="146">
        <v>0.0</v>
      </c>
      <c r="U178" s="146">
        <v>0.0</v>
      </c>
      <c r="V178" s="146">
        <v>0.0</v>
      </c>
      <c r="W178" s="146" t="s">
        <v>727</v>
      </c>
      <c r="X178" s="244">
        <v>0.0</v>
      </c>
      <c r="Y178" s="244">
        <v>1.0</v>
      </c>
      <c r="Z178" s="244"/>
      <c r="AA178" s="146">
        <f t="shared" ref="AA178:CH178" si="155">AA177</f>
        <v>0</v>
      </c>
      <c r="AB178" s="146">
        <f t="shared" si="155"/>
        <v>0</v>
      </c>
      <c r="AC178" s="146">
        <f t="shared" si="155"/>
        <v>0</v>
      </c>
      <c r="AD178" s="146">
        <f t="shared" si="155"/>
        <v>0</v>
      </c>
      <c r="AE178" s="146">
        <f t="shared" si="155"/>
        <v>0</v>
      </c>
      <c r="AF178" s="146">
        <f t="shared" si="155"/>
        <v>0</v>
      </c>
      <c r="AG178" s="146">
        <f t="shared" si="155"/>
        <v>0</v>
      </c>
      <c r="AH178" s="146">
        <f t="shared" si="155"/>
        <v>0</v>
      </c>
      <c r="AI178" s="146">
        <f t="shared" si="155"/>
        <v>0</v>
      </c>
      <c r="AJ178" s="146">
        <f t="shared" si="155"/>
        <v>0</v>
      </c>
      <c r="AK178" s="146">
        <f t="shared" si="155"/>
        <v>0</v>
      </c>
      <c r="AL178" s="146">
        <f t="shared" si="155"/>
        <v>0</v>
      </c>
      <c r="AM178" s="146">
        <f t="shared" si="155"/>
        <v>0</v>
      </c>
      <c r="AN178" s="146">
        <f t="shared" si="155"/>
        <v>0</v>
      </c>
      <c r="AO178" s="146">
        <f t="shared" si="155"/>
        <v>0</v>
      </c>
      <c r="AP178" s="146">
        <f t="shared" si="155"/>
        <v>0</v>
      </c>
      <c r="AQ178" s="146">
        <f t="shared" si="155"/>
        <v>0</v>
      </c>
      <c r="AR178" s="146">
        <f t="shared" si="155"/>
        <v>0</v>
      </c>
      <c r="AS178" s="146">
        <f t="shared" si="155"/>
        <v>0</v>
      </c>
      <c r="AT178" s="146">
        <f t="shared" si="155"/>
        <v>0</v>
      </c>
      <c r="AU178" s="146">
        <f t="shared" si="155"/>
        <v>0</v>
      </c>
      <c r="AV178" s="146">
        <f t="shared" si="155"/>
        <v>0</v>
      </c>
      <c r="AW178" s="146">
        <f t="shared" si="155"/>
        <v>0</v>
      </c>
      <c r="AX178" s="146">
        <f t="shared" si="155"/>
        <v>0</v>
      </c>
      <c r="AY178" s="146">
        <f t="shared" si="155"/>
        <v>0</v>
      </c>
      <c r="AZ178" s="146">
        <f t="shared" si="155"/>
        <v>0</v>
      </c>
      <c r="BA178" s="146">
        <f t="shared" si="155"/>
        <v>0</v>
      </c>
      <c r="BB178" s="146">
        <f t="shared" si="155"/>
        <v>0</v>
      </c>
      <c r="BC178" s="146">
        <f t="shared" si="155"/>
        <v>0</v>
      </c>
      <c r="BD178" s="146">
        <f t="shared" si="155"/>
        <v>0</v>
      </c>
      <c r="BE178" s="146">
        <f t="shared" si="155"/>
        <v>0</v>
      </c>
      <c r="BF178" s="146">
        <f t="shared" si="155"/>
        <v>0</v>
      </c>
      <c r="BG178" s="146">
        <f t="shared" si="155"/>
        <v>0</v>
      </c>
      <c r="BH178" s="146">
        <f t="shared" si="155"/>
        <v>0</v>
      </c>
      <c r="BI178" s="146">
        <f t="shared" si="155"/>
        <v>0</v>
      </c>
      <c r="BJ178" s="146">
        <f t="shared" si="155"/>
        <v>0</v>
      </c>
      <c r="BK178" s="146">
        <f t="shared" si="155"/>
        <v>12</v>
      </c>
      <c r="BL178" s="146">
        <f t="shared" si="155"/>
        <v>1</v>
      </c>
      <c r="BM178" s="146">
        <f t="shared" si="155"/>
        <v>0</v>
      </c>
      <c r="BN178" s="146">
        <f t="shared" si="155"/>
        <v>0</v>
      </c>
      <c r="BO178" s="146">
        <f t="shared" si="155"/>
        <v>0</v>
      </c>
      <c r="BP178" s="146">
        <f t="shared" si="155"/>
        <v>0</v>
      </c>
      <c r="BQ178" s="146">
        <f t="shared" si="155"/>
        <v>0</v>
      </c>
      <c r="BR178" s="146">
        <f t="shared" si="155"/>
        <v>0</v>
      </c>
      <c r="BS178" s="146">
        <f t="shared" si="155"/>
        <v>0</v>
      </c>
      <c r="BT178" s="146">
        <f t="shared" si="155"/>
        <v>1</v>
      </c>
      <c r="BU178" s="146">
        <f t="shared" si="155"/>
        <v>0</v>
      </c>
      <c r="BV178" s="146">
        <f t="shared" si="155"/>
        <v>0</v>
      </c>
      <c r="BW178" s="146">
        <f t="shared" si="155"/>
        <v>0</v>
      </c>
      <c r="BX178" s="146">
        <f t="shared" si="155"/>
        <v>0</v>
      </c>
      <c r="BY178" s="146">
        <f t="shared" si="155"/>
        <v>0</v>
      </c>
      <c r="BZ178" s="146">
        <f t="shared" si="155"/>
        <v>0</v>
      </c>
      <c r="CA178" s="146">
        <f t="shared" si="155"/>
        <v>0</v>
      </c>
      <c r="CB178" s="146">
        <f t="shared" si="155"/>
        <v>0</v>
      </c>
      <c r="CC178" s="146">
        <f t="shared" si="155"/>
        <v>0</v>
      </c>
      <c r="CD178" s="146">
        <f t="shared" si="155"/>
        <v>0</v>
      </c>
      <c r="CE178" s="146">
        <f t="shared" si="155"/>
        <v>0</v>
      </c>
      <c r="CF178" s="146">
        <f t="shared" si="155"/>
        <v>0</v>
      </c>
      <c r="CG178" s="146">
        <f t="shared" si="155"/>
        <v>0</v>
      </c>
      <c r="CH178" s="146">
        <f t="shared" si="155"/>
        <v>0</v>
      </c>
    </row>
    <row r="179" ht="15.75" customHeight="1"/>
    <row r="180" ht="15.75" customHeight="1">
      <c r="A180" s="1" t="s">
        <v>705</v>
      </c>
      <c r="M180" s="173"/>
      <c r="N180" s="146"/>
      <c r="O180" s="146"/>
      <c r="P180" s="146"/>
      <c r="Q180" s="146"/>
      <c r="R180" s="146"/>
      <c r="S180" s="242">
        <f>R180+R184</f>
        <v>0</v>
      </c>
      <c r="T180" s="242">
        <v>1.0</v>
      </c>
      <c r="U180" s="242">
        <f t="shared" ref="U180:CH180" si="156">T180+T184</f>
        <v>1</v>
      </c>
      <c r="V180" s="242">
        <f t="shared" si="156"/>
        <v>1</v>
      </c>
      <c r="W180" s="242">
        <f t="shared" si="156"/>
        <v>1</v>
      </c>
      <c r="X180" s="242">
        <f t="shared" si="156"/>
        <v>1</v>
      </c>
      <c r="Y180" s="242">
        <f t="shared" si="156"/>
        <v>1</v>
      </c>
      <c r="Z180" s="146">
        <f t="shared" si="156"/>
        <v>1</v>
      </c>
      <c r="AA180" s="146">
        <f t="shared" si="156"/>
        <v>1</v>
      </c>
      <c r="AB180" s="146">
        <f t="shared" si="156"/>
        <v>1</v>
      </c>
      <c r="AC180" s="146">
        <f t="shared" si="156"/>
        <v>1</v>
      </c>
      <c r="AD180" s="146">
        <f t="shared" si="156"/>
        <v>1</v>
      </c>
      <c r="AE180" s="146">
        <f t="shared" si="156"/>
        <v>1</v>
      </c>
      <c r="AF180" s="146">
        <f t="shared" si="156"/>
        <v>1</v>
      </c>
      <c r="AG180" s="146">
        <f t="shared" si="156"/>
        <v>1</v>
      </c>
      <c r="AH180" s="146">
        <f t="shared" si="156"/>
        <v>1</v>
      </c>
      <c r="AI180" s="146">
        <f t="shared" si="156"/>
        <v>1</v>
      </c>
      <c r="AJ180" s="146">
        <f t="shared" si="156"/>
        <v>1</v>
      </c>
      <c r="AK180" s="146">
        <f t="shared" si="156"/>
        <v>1</v>
      </c>
      <c r="AL180" s="146">
        <f t="shared" si="156"/>
        <v>1</v>
      </c>
      <c r="AM180" s="146">
        <f t="shared" si="156"/>
        <v>1</v>
      </c>
      <c r="AN180" s="146">
        <f t="shared" si="156"/>
        <v>1</v>
      </c>
      <c r="AO180" s="146">
        <f t="shared" si="156"/>
        <v>1</v>
      </c>
      <c r="AP180" s="146">
        <f t="shared" si="156"/>
        <v>1</v>
      </c>
      <c r="AQ180" s="146">
        <f t="shared" si="156"/>
        <v>1</v>
      </c>
      <c r="AR180" s="146">
        <f t="shared" si="156"/>
        <v>1</v>
      </c>
      <c r="AS180" s="146">
        <f t="shared" si="156"/>
        <v>1</v>
      </c>
      <c r="AT180" s="146">
        <f t="shared" si="156"/>
        <v>1</v>
      </c>
      <c r="AU180" s="146">
        <f t="shared" si="156"/>
        <v>1</v>
      </c>
      <c r="AV180" s="146">
        <f t="shared" si="156"/>
        <v>1</v>
      </c>
      <c r="AW180" s="146">
        <f t="shared" si="156"/>
        <v>1</v>
      </c>
      <c r="AX180" s="146">
        <f t="shared" si="156"/>
        <v>1</v>
      </c>
      <c r="AY180" s="146">
        <f t="shared" si="156"/>
        <v>1</v>
      </c>
      <c r="AZ180" s="146">
        <f t="shared" si="156"/>
        <v>1</v>
      </c>
      <c r="BA180" s="146">
        <f t="shared" si="156"/>
        <v>1</v>
      </c>
      <c r="BB180" s="146">
        <f t="shared" si="156"/>
        <v>1</v>
      </c>
      <c r="BC180" s="146">
        <f t="shared" si="156"/>
        <v>1</v>
      </c>
      <c r="BD180" s="146">
        <f t="shared" si="156"/>
        <v>1</v>
      </c>
      <c r="BE180" s="146">
        <f t="shared" si="156"/>
        <v>1</v>
      </c>
      <c r="BF180" s="146">
        <f t="shared" si="156"/>
        <v>1</v>
      </c>
      <c r="BG180" s="146">
        <f t="shared" si="156"/>
        <v>1</v>
      </c>
      <c r="BH180" s="146">
        <f t="shared" si="156"/>
        <v>1</v>
      </c>
      <c r="BI180" s="146">
        <f t="shared" si="156"/>
        <v>1</v>
      </c>
      <c r="BJ180" s="146">
        <f t="shared" si="156"/>
        <v>1</v>
      </c>
      <c r="BK180" s="146">
        <f t="shared" si="156"/>
        <v>1</v>
      </c>
      <c r="BL180" s="146">
        <f t="shared" si="156"/>
        <v>1</v>
      </c>
      <c r="BM180" s="146">
        <f t="shared" si="156"/>
        <v>4</v>
      </c>
      <c r="BN180" s="146">
        <f t="shared" si="156"/>
        <v>4</v>
      </c>
      <c r="BO180" s="146">
        <f t="shared" si="156"/>
        <v>4</v>
      </c>
      <c r="BP180" s="146">
        <f t="shared" si="156"/>
        <v>4</v>
      </c>
      <c r="BQ180" s="146">
        <f t="shared" si="156"/>
        <v>4</v>
      </c>
      <c r="BR180" s="146">
        <f t="shared" si="156"/>
        <v>4</v>
      </c>
      <c r="BS180" s="146">
        <f t="shared" si="156"/>
        <v>4</v>
      </c>
      <c r="BT180" s="146">
        <f t="shared" si="156"/>
        <v>4</v>
      </c>
      <c r="BU180" s="146">
        <f t="shared" si="156"/>
        <v>4</v>
      </c>
      <c r="BV180" s="146">
        <f t="shared" si="156"/>
        <v>4</v>
      </c>
      <c r="BW180" s="146">
        <f t="shared" si="156"/>
        <v>4</v>
      </c>
      <c r="BX180" s="146">
        <f t="shared" si="156"/>
        <v>4</v>
      </c>
      <c r="BY180" s="146">
        <f t="shared" si="156"/>
        <v>4</v>
      </c>
      <c r="BZ180" s="146">
        <f t="shared" si="156"/>
        <v>4</v>
      </c>
      <c r="CA180" s="146">
        <f t="shared" si="156"/>
        <v>4</v>
      </c>
      <c r="CB180" s="146">
        <f t="shared" si="156"/>
        <v>4</v>
      </c>
      <c r="CC180" s="146">
        <f t="shared" si="156"/>
        <v>4</v>
      </c>
      <c r="CD180" s="146">
        <f t="shared" si="156"/>
        <v>4</v>
      </c>
      <c r="CE180" s="146">
        <f t="shared" si="156"/>
        <v>4</v>
      </c>
      <c r="CF180" s="146">
        <f t="shared" si="156"/>
        <v>4</v>
      </c>
      <c r="CG180" s="146">
        <f t="shared" si="156"/>
        <v>4</v>
      </c>
      <c r="CH180" s="146">
        <f t="shared" si="156"/>
        <v>4</v>
      </c>
    </row>
    <row r="181" ht="15.75" customHeight="1">
      <c r="A181" s="1" t="s">
        <v>706</v>
      </c>
      <c r="M181" s="471"/>
      <c r="N181" s="472"/>
      <c r="O181" s="472"/>
      <c r="P181" s="472"/>
      <c r="Q181" s="472"/>
      <c r="R181" s="481"/>
      <c r="S181" s="481">
        <v>5.5</v>
      </c>
      <c r="T181" s="472">
        <f t="shared" ref="T181:CH181" si="157">S181</f>
        <v>5.5</v>
      </c>
      <c r="U181" s="472">
        <f t="shared" si="157"/>
        <v>5.5</v>
      </c>
      <c r="V181" s="472">
        <f t="shared" si="157"/>
        <v>5.5</v>
      </c>
      <c r="W181" s="472">
        <f t="shared" si="157"/>
        <v>5.5</v>
      </c>
      <c r="X181" s="472">
        <f t="shared" si="157"/>
        <v>5.5</v>
      </c>
      <c r="Y181" s="472">
        <f t="shared" si="157"/>
        <v>5.5</v>
      </c>
      <c r="Z181" s="472">
        <f t="shared" si="157"/>
        <v>5.5</v>
      </c>
      <c r="AA181" s="472">
        <f t="shared" si="157"/>
        <v>5.5</v>
      </c>
      <c r="AB181" s="472">
        <f t="shared" si="157"/>
        <v>5.5</v>
      </c>
      <c r="AC181" s="472">
        <f t="shared" si="157"/>
        <v>5.5</v>
      </c>
      <c r="AD181" s="472">
        <f t="shared" si="157"/>
        <v>5.5</v>
      </c>
      <c r="AE181" s="472">
        <f t="shared" si="157"/>
        <v>5.5</v>
      </c>
      <c r="AF181" s="472">
        <f t="shared" si="157"/>
        <v>5.5</v>
      </c>
      <c r="AG181" s="472">
        <f t="shared" si="157"/>
        <v>5.5</v>
      </c>
      <c r="AH181" s="472">
        <f t="shared" si="157"/>
        <v>5.5</v>
      </c>
      <c r="AI181" s="472">
        <f t="shared" si="157"/>
        <v>5.5</v>
      </c>
      <c r="AJ181" s="472">
        <f t="shared" si="157"/>
        <v>5.5</v>
      </c>
      <c r="AK181" s="472">
        <f t="shared" si="157"/>
        <v>5.5</v>
      </c>
      <c r="AL181" s="472">
        <f t="shared" si="157"/>
        <v>5.5</v>
      </c>
      <c r="AM181" s="472">
        <f t="shared" si="157"/>
        <v>5.5</v>
      </c>
      <c r="AN181" s="472">
        <f t="shared" si="157"/>
        <v>5.5</v>
      </c>
      <c r="AO181" s="472">
        <f t="shared" si="157"/>
        <v>5.5</v>
      </c>
      <c r="AP181" s="472">
        <f t="shared" si="157"/>
        <v>5.5</v>
      </c>
      <c r="AQ181" s="472">
        <f t="shared" si="157"/>
        <v>5.5</v>
      </c>
      <c r="AR181" s="472">
        <f t="shared" si="157"/>
        <v>5.5</v>
      </c>
      <c r="AS181" s="472">
        <f t="shared" si="157"/>
        <v>5.5</v>
      </c>
      <c r="AT181" s="472">
        <f t="shared" si="157"/>
        <v>5.5</v>
      </c>
      <c r="AU181" s="472">
        <f t="shared" si="157"/>
        <v>5.5</v>
      </c>
      <c r="AV181" s="472">
        <f t="shared" si="157"/>
        <v>5.5</v>
      </c>
      <c r="AW181" s="472">
        <f t="shared" si="157"/>
        <v>5.5</v>
      </c>
      <c r="AX181" s="472">
        <f t="shared" si="157"/>
        <v>5.5</v>
      </c>
      <c r="AY181" s="472">
        <f t="shared" si="157"/>
        <v>5.5</v>
      </c>
      <c r="AZ181" s="472">
        <f t="shared" si="157"/>
        <v>5.5</v>
      </c>
      <c r="BA181" s="472">
        <f t="shared" si="157"/>
        <v>5.5</v>
      </c>
      <c r="BB181" s="472">
        <f t="shared" si="157"/>
        <v>5.5</v>
      </c>
      <c r="BC181" s="472">
        <f t="shared" si="157"/>
        <v>5.5</v>
      </c>
      <c r="BD181" s="472">
        <f t="shared" si="157"/>
        <v>5.5</v>
      </c>
      <c r="BE181" s="472">
        <f t="shared" si="157"/>
        <v>5.5</v>
      </c>
      <c r="BF181" s="472">
        <f t="shared" si="157"/>
        <v>5.5</v>
      </c>
      <c r="BG181" s="472">
        <f t="shared" si="157"/>
        <v>5.5</v>
      </c>
      <c r="BH181" s="472">
        <f t="shared" si="157"/>
        <v>5.5</v>
      </c>
      <c r="BI181" s="472">
        <f t="shared" si="157"/>
        <v>5.5</v>
      </c>
      <c r="BJ181" s="472">
        <f t="shared" si="157"/>
        <v>5.5</v>
      </c>
      <c r="BK181" s="472">
        <f t="shared" si="157"/>
        <v>5.5</v>
      </c>
      <c r="BL181" s="472">
        <f t="shared" si="157"/>
        <v>5.5</v>
      </c>
      <c r="BM181" s="472">
        <f t="shared" si="157"/>
        <v>5.5</v>
      </c>
      <c r="BN181" s="472">
        <f t="shared" si="157"/>
        <v>5.5</v>
      </c>
      <c r="BO181" s="472">
        <f t="shared" si="157"/>
        <v>5.5</v>
      </c>
      <c r="BP181" s="472">
        <f t="shared" si="157"/>
        <v>5.5</v>
      </c>
      <c r="BQ181" s="472">
        <f t="shared" si="157"/>
        <v>5.5</v>
      </c>
      <c r="BR181" s="472">
        <f t="shared" si="157"/>
        <v>5.5</v>
      </c>
      <c r="BS181" s="472">
        <f t="shared" si="157"/>
        <v>5.5</v>
      </c>
      <c r="BT181" s="472">
        <f t="shared" si="157"/>
        <v>5.5</v>
      </c>
      <c r="BU181" s="472">
        <f t="shared" si="157"/>
        <v>5.5</v>
      </c>
      <c r="BV181" s="472">
        <f t="shared" si="157"/>
        <v>5.5</v>
      </c>
      <c r="BW181" s="472">
        <f t="shared" si="157"/>
        <v>5.5</v>
      </c>
      <c r="BX181" s="472">
        <f t="shared" si="157"/>
        <v>5.5</v>
      </c>
      <c r="BY181" s="472">
        <f t="shared" si="157"/>
        <v>5.5</v>
      </c>
      <c r="BZ181" s="472">
        <f t="shared" si="157"/>
        <v>5.5</v>
      </c>
      <c r="CA181" s="472">
        <f t="shared" si="157"/>
        <v>5.5</v>
      </c>
      <c r="CB181" s="472">
        <f t="shared" si="157"/>
        <v>5.5</v>
      </c>
      <c r="CC181" s="472">
        <f t="shared" si="157"/>
        <v>5.5</v>
      </c>
      <c r="CD181" s="472">
        <f t="shared" si="157"/>
        <v>5.5</v>
      </c>
      <c r="CE181" s="472">
        <f t="shared" si="157"/>
        <v>5.5</v>
      </c>
      <c r="CF181" s="472">
        <f t="shared" si="157"/>
        <v>5.5</v>
      </c>
      <c r="CG181" s="472">
        <f t="shared" si="157"/>
        <v>5.5</v>
      </c>
      <c r="CH181" s="472">
        <f t="shared" si="157"/>
        <v>5.5</v>
      </c>
    </row>
    <row r="182" ht="15.75" customHeight="1">
      <c r="A182" s="1" t="s">
        <v>698</v>
      </c>
      <c r="M182" s="146"/>
      <c r="N182" s="146"/>
      <c r="O182" s="146"/>
      <c r="P182" s="146"/>
      <c r="Q182" s="146"/>
      <c r="R182" s="146"/>
      <c r="S182" s="146">
        <f t="shared" ref="S182:CH182" si="158">S180*S181</f>
        <v>0</v>
      </c>
      <c r="T182" s="146">
        <f t="shared" si="158"/>
        <v>5.5</v>
      </c>
      <c r="U182" s="146">
        <f t="shared" si="158"/>
        <v>5.5</v>
      </c>
      <c r="V182" s="146">
        <f t="shared" si="158"/>
        <v>5.5</v>
      </c>
      <c r="W182" s="146">
        <f t="shared" si="158"/>
        <v>5.5</v>
      </c>
      <c r="X182" s="146">
        <f t="shared" si="158"/>
        <v>5.5</v>
      </c>
      <c r="Y182" s="146">
        <f t="shared" si="158"/>
        <v>5.5</v>
      </c>
      <c r="Z182" s="146">
        <f t="shared" si="158"/>
        <v>5.5</v>
      </c>
      <c r="AA182" s="146">
        <f t="shared" si="158"/>
        <v>5.5</v>
      </c>
      <c r="AB182" s="146">
        <f t="shared" si="158"/>
        <v>5.5</v>
      </c>
      <c r="AC182" s="146">
        <f t="shared" si="158"/>
        <v>5.5</v>
      </c>
      <c r="AD182" s="146">
        <f t="shared" si="158"/>
        <v>5.5</v>
      </c>
      <c r="AE182" s="146">
        <f t="shared" si="158"/>
        <v>5.5</v>
      </c>
      <c r="AF182" s="146">
        <f t="shared" si="158"/>
        <v>5.5</v>
      </c>
      <c r="AG182" s="146">
        <f t="shared" si="158"/>
        <v>5.5</v>
      </c>
      <c r="AH182" s="146">
        <f t="shared" si="158"/>
        <v>5.5</v>
      </c>
      <c r="AI182" s="146">
        <f t="shared" si="158"/>
        <v>5.5</v>
      </c>
      <c r="AJ182" s="146">
        <f t="shared" si="158"/>
        <v>5.5</v>
      </c>
      <c r="AK182" s="146">
        <f t="shared" si="158"/>
        <v>5.5</v>
      </c>
      <c r="AL182" s="146">
        <f t="shared" si="158"/>
        <v>5.5</v>
      </c>
      <c r="AM182" s="146">
        <f t="shared" si="158"/>
        <v>5.5</v>
      </c>
      <c r="AN182" s="146">
        <f t="shared" si="158"/>
        <v>5.5</v>
      </c>
      <c r="AO182" s="146">
        <f t="shared" si="158"/>
        <v>5.5</v>
      </c>
      <c r="AP182" s="146">
        <f t="shared" si="158"/>
        <v>5.5</v>
      </c>
      <c r="AQ182" s="146">
        <f t="shared" si="158"/>
        <v>5.5</v>
      </c>
      <c r="AR182" s="146">
        <f t="shared" si="158"/>
        <v>5.5</v>
      </c>
      <c r="AS182" s="146">
        <f t="shared" si="158"/>
        <v>5.5</v>
      </c>
      <c r="AT182" s="146">
        <f t="shared" si="158"/>
        <v>5.5</v>
      </c>
      <c r="AU182" s="146">
        <f t="shared" si="158"/>
        <v>5.5</v>
      </c>
      <c r="AV182" s="146">
        <f t="shared" si="158"/>
        <v>5.5</v>
      </c>
      <c r="AW182" s="146">
        <f t="shared" si="158"/>
        <v>5.5</v>
      </c>
      <c r="AX182" s="146">
        <f t="shared" si="158"/>
        <v>5.5</v>
      </c>
      <c r="AY182" s="146">
        <f t="shared" si="158"/>
        <v>5.5</v>
      </c>
      <c r="AZ182" s="146">
        <f t="shared" si="158"/>
        <v>5.5</v>
      </c>
      <c r="BA182" s="146">
        <f t="shared" si="158"/>
        <v>5.5</v>
      </c>
      <c r="BB182" s="146">
        <f t="shared" si="158"/>
        <v>5.5</v>
      </c>
      <c r="BC182" s="146">
        <f t="shared" si="158"/>
        <v>5.5</v>
      </c>
      <c r="BD182" s="146">
        <f t="shared" si="158"/>
        <v>5.5</v>
      </c>
      <c r="BE182" s="146">
        <f t="shared" si="158"/>
        <v>5.5</v>
      </c>
      <c r="BF182" s="146">
        <f t="shared" si="158"/>
        <v>5.5</v>
      </c>
      <c r="BG182" s="146">
        <f t="shared" si="158"/>
        <v>5.5</v>
      </c>
      <c r="BH182" s="146">
        <f t="shared" si="158"/>
        <v>5.5</v>
      </c>
      <c r="BI182" s="146">
        <f t="shared" si="158"/>
        <v>5.5</v>
      </c>
      <c r="BJ182" s="146">
        <f t="shared" si="158"/>
        <v>5.5</v>
      </c>
      <c r="BK182" s="146">
        <f t="shared" si="158"/>
        <v>5.5</v>
      </c>
      <c r="BL182" s="146">
        <f t="shared" si="158"/>
        <v>5.5</v>
      </c>
      <c r="BM182" s="146">
        <f t="shared" si="158"/>
        <v>22</v>
      </c>
      <c r="BN182" s="146">
        <f t="shared" si="158"/>
        <v>22</v>
      </c>
      <c r="BO182" s="146">
        <f t="shared" si="158"/>
        <v>22</v>
      </c>
      <c r="BP182" s="146">
        <f t="shared" si="158"/>
        <v>22</v>
      </c>
      <c r="BQ182" s="146">
        <f t="shared" si="158"/>
        <v>22</v>
      </c>
      <c r="BR182" s="146">
        <f t="shared" si="158"/>
        <v>22</v>
      </c>
      <c r="BS182" s="146">
        <f t="shared" si="158"/>
        <v>22</v>
      </c>
      <c r="BT182" s="146">
        <f t="shared" si="158"/>
        <v>22</v>
      </c>
      <c r="BU182" s="146">
        <f t="shared" si="158"/>
        <v>22</v>
      </c>
      <c r="BV182" s="146">
        <f t="shared" si="158"/>
        <v>22</v>
      </c>
      <c r="BW182" s="146">
        <f t="shared" si="158"/>
        <v>22</v>
      </c>
      <c r="BX182" s="146">
        <f t="shared" si="158"/>
        <v>22</v>
      </c>
      <c r="BY182" s="146">
        <f t="shared" si="158"/>
        <v>22</v>
      </c>
      <c r="BZ182" s="146">
        <f t="shared" si="158"/>
        <v>22</v>
      </c>
      <c r="CA182" s="146">
        <f t="shared" si="158"/>
        <v>22</v>
      </c>
      <c r="CB182" s="146">
        <f t="shared" si="158"/>
        <v>22</v>
      </c>
      <c r="CC182" s="146">
        <f t="shared" si="158"/>
        <v>22</v>
      </c>
      <c r="CD182" s="146">
        <f t="shared" si="158"/>
        <v>22</v>
      </c>
      <c r="CE182" s="146">
        <f t="shared" si="158"/>
        <v>22</v>
      </c>
      <c r="CF182" s="146">
        <f t="shared" si="158"/>
        <v>22</v>
      </c>
      <c r="CG182" s="146">
        <f t="shared" si="158"/>
        <v>22</v>
      </c>
      <c r="CH182" s="146">
        <f t="shared" si="158"/>
        <v>22</v>
      </c>
    </row>
    <row r="183" ht="15.75" customHeight="1">
      <c r="A183" s="1" t="s">
        <v>700</v>
      </c>
      <c r="B183" s="446" t="s">
        <v>701</v>
      </c>
      <c r="M183" s="146"/>
      <c r="N183" s="146"/>
      <c r="O183" s="146"/>
      <c r="P183" s="146"/>
      <c r="Q183" s="146"/>
      <c r="R183" s="146"/>
      <c r="S183" s="146">
        <f t="shared" ref="S183:CH183" si="159">S182-S172</f>
        <v>-2</v>
      </c>
      <c r="T183" s="146">
        <f t="shared" si="159"/>
        <v>3.5</v>
      </c>
      <c r="U183" s="146">
        <f t="shared" si="159"/>
        <v>3.5</v>
      </c>
      <c r="V183" s="146">
        <f t="shared" si="159"/>
        <v>3.5</v>
      </c>
      <c r="W183" s="146">
        <f t="shared" si="159"/>
        <v>3.5</v>
      </c>
      <c r="X183" s="146">
        <f t="shared" si="159"/>
        <v>2.5</v>
      </c>
      <c r="Y183" s="146">
        <f t="shared" si="159"/>
        <v>1.5</v>
      </c>
      <c r="Z183" s="146">
        <f t="shared" si="159"/>
        <v>0.5</v>
      </c>
      <c r="AA183" s="146">
        <f t="shared" si="159"/>
        <v>0.5</v>
      </c>
      <c r="AB183" s="146">
        <f t="shared" si="159"/>
        <v>0.5</v>
      </c>
      <c r="AC183" s="146">
        <f t="shared" si="159"/>
        <v>0.5</v>
      </c>
      <c r="AD183" s="146">
        <f t="shared" si="159"/>
        <v>0.5</v>
      </c>
      <c r="AE183" s="146">
        <f t="shared" si="159"/>
        <v>0.5</v>
      </c>
      <c r="AF183" s="146">
        <f t="shared" si="159"/>
        <v>0.5</v>
      </c>
      <c r="AG183" s="146">
        <f t="shared" si="159"/>
        <v>0.5</v>
      </c>
      <c r="AH183" s="146">
        <f t="shared" si="159"/>
        <v>0.5</v>
      </c>
      <c r="AI183" s="146">
        <f t="shared" si="159"/>
        <v>0.5</v>
      </c>
      <c r="AJ183" s="146">
        <f t="shared" si="159"/>
        <v>0.5</v>
      </c>
      <c r="AK183" s="146">
        <f t="shared" si="159"/>
        <v>0.5</v>
      </c>
      <c r="AL183" s="146">
        <f t="shared" si="159"/>
        <v>0.5</v>
      </c>
      <c r="AM183" s="146">
        <f t="shared" si="159"/>
        <v>0.5</v>
      </c>
      <c r="AN183" s="146">
        <f t="shared" si="159"/>
        <v>0.5</v>
      </c>
      <c r="AO183" s="146">
        <f t="shared" si="159"/>
        <v>0.5</v>
      </c>
      <c r="AP183" s="146">
        <f t="shared" si="159"/>
        <v>0.5</v>
      </c>
      <c r="AQ183" s="146">
        <f t="shared" si="159"/>
        <v>0.5</v>
      </c>
      <c r="AR183" s="146">
        <f t="shared" si="159"/>
        <v>0.5</v>
      </c>
      <c r="AS183" s="146">
        <f t="shared" si="159"/>
        <v>0.5</v>
      </c>
      <c r="AT183" s="146">
        <f t="shared" si="159"/>
        <v>0.5</v>
      </c>
      <c r="AU183" s="146">
        <f t="shared" si="159"/>
        <v>0.5</v>
      </c>
      <c r="AV183" s="146">
        <f t="shared" si="159"/>
        <v>0.5</v>
      </c>
      <c r="AW183" s="146">
        <f t="shared" si="159"/>
        <v>0.5</v>
      </c>
      <c r="AX183" s="146">
        <f t="shared" si="159"/>
        <v>0.5</v>
      </c>
      <c r="AY183" s="146">
        <f t="shared" si="159"/>
        <v>0.5</v>
      </c>
      <c r="AZ183" s="146">
        <f t="shared" si="159"/>
        <v>0.5</v>
      </c>
      <c r="BA183" s="146">
        <f t="shared" si="159"/>
        <v>0.5</v>
      </c>
      <c r="BB183" s="146">
        <f t="shared" si="159"/>
        <v>0.5</v>
      </c>
      <c r="BC183" s="146">
        <f t="shared" si="159"/>
        <v>0.5</v>
      </c>
      <c r="BD183" s="146">
        <f t="shared" si="159"/>
        <v>0.5</v>
      </c>
      <c r="BE183" s="146">
        <f t="shared" si="159"/>
        <v>0.5</v>
      </c>
      <c r="BF183" s="146">
        <f t="shared" si="159"/>
        <v>0.5</v>
      </c>
      <c r="BG183" s="146">
        <f t="shared" si="159"/>
        <v>0.5</v>
      </c>
      <c r="BH183" s="146">
        <f t="shared" si="159"/>
        <v>0.5</v>
      </c>
      <c r="BI183" s="146">
        <f t="shared" si="159"/>
        <v>0.5</v>
      </c>
      <c r="BJ183" s="146">
        <f t="shared" si="159"/>
        <v>0.5</v>
      </c>
      <c r="BK183" s="146">
        <f t="shared" si="159"/>
        <v>0.5</v>
      </c>
      <c r="BL183" s="146">
        <f t="shared" si="159"/>
        <v>-11.5</v>
      </c>
      <c r="BM183" s="146">
        <f t="shared" si="159"/>
        <v>4</v>
      </c>
      <c r="BN183" s="146">
        <f t="shared" si="159"/>
        <v>4</v>
      </c>
      <c r="BO183" s="146">
        <f t="shared" si="159"/>
        <v>4</v>
      </c>
      <c r="BP183" s="146">
        <f t="shared" si="159"/>
        <v>4</v>
      </c>
      <c r="BQ183" s="146">
        <f t="shared" si="159"/>
        <v>4</v>
      </c>
      <c r="BR183" s="146">
        <f t="shared" si="159"/>
        <v>4</v>
      </c>
      <c r="BS183" s="146">
        <f t="shared" si="159"/>
        <v>4</v>
      </c>
      <c r="BT183" s="146">
        <f t="shared" si="159"/>
        <v>4</v>
      </c>
      <c r="BU183" s="146">
        <f t="shared" si="159"/>
        <v>3</v>
      </c>
      <c r="BV183" s="146">
        <f t="shared" si="159"/>
        <v>3</v>
      </c>
      <c r="BW183" s="146">
        <f t="shared" si="159"/>
        <v>3</v>
      </c>
      <c r="BX183" s="146">
        <f t="shared" si="159"/>
        <v>3</v>
      </c>
      <c r="BY183" s="146">
        <f t="shared" si="159"/>
        <v>3</v>
      </c>
      <c r="BZ183" s="146">
        <f t="shared" si="159"/>
        <v>3</v>
      </c>
      <c r="CA183" s="146">
        <f t="shared" si="159"/>
        <v>3</v>
      </c>
      <c r="CB183" s="146">
        <f t="shared" si="159"/>
        <v>3</v>
      </c>
      <c r="CC183" s="146">
        <f t="shared" si="159"/>
        <v>3</v>
      </c>
      <c r="CD183" s="146">
        <f t="shared" si="159"/>
        <v>3</v>
      </c>
      <c r="CE183" s="146">
        <f t="shared" si="159"/>
        <v>3</v>
      </c>
      <c r="CF183" s="146">
        <f t="shared" si="159"/>
        <v>3</v>
      </c>
      <c r="CG183" s="146">
        <f t="shared" si="159"/>
        <v>3</v>
      </c>
      <c r="CH183" s="146">
        <f t="shared" si="159"/>
        <v>3</v>
      </c>
    </row>
    <row r="184" ht="15.75" customHeight="1">
      <c r="A184" s="1" t="s">
        <v>701</v>
      </c>
      <c r="B184" s="473">
        <v>0.0</v>
      </c>
      <c r="M184" s="173"/>
      <c r="N184" s="173"/>
      <c r="O184" s="146"/>
      <c r="P184" s="146"/>
      <c r="Q184" s="146"/>
      <c r="R184" s="146"/>
      <c r="S184" s="146">
        <v>1.0</v>
      </c>
      <c r="T184" s="146">
        <v>0.0</v>
      </c>
      <c r="U184" s="146">
        <v>0.0</v>
      </c>
      <c r="V184" s="146">
        <v>0.0</v>
      </c>
      <c r="W184" s="146">
        <f t="shared" ref="W184:CH184" si="160">IF(W183&gt;$B184,0,ROUNDUP(ABS(W183/W181),0))</f>
        <v>0</v>
      </c>
      <c r="X184" s="146">
        <f t="shared" si="160"/>
        <v>0</v>
      </c>
      <c r="Y184" s="146">
        <f t="shared" si="160"/>
        <v>0</v>
      </c>
      <c r="Z184" s="146">
        <f t="shared" si="160"/>
        <v>0</v>
      </c>
      <c r="AA184" s="146">
        <f t="shared" si="160"/>
        <v>0</v>
      </c>
      <c r="AB184" s="146">
        <f t="shared" si="160"/>
        <v>0</v>
      </c>
      <c r="AC184" s="146">
        <f t="shared" si="160"/>
        <v>0</v>
      </c>
      <c r="AD184" s="146">
        <f t="shared" si="160"/>
        <v>0</v>
      </c>
      <c r="AE184" s="146">
        <f t="shared" si="160"/>
        <v>0</v>
      </c>
      <c r="AF184" s="146">
        <f t="shared" si="160"/>
        <v>0</v>
      </c>
      <c r="AG184" s="146">
        <f t="shared" si="160"/>
        <v>0</v>
      </c>
      <c r="AH184" s="146">
        <f t="shared" si="160"/>
        <v>0</v>
      </c>
      <c r="AI184" s="146">
        <f t="shared" si="160"/>
        <v>0</v>
      </c>
      <c r="AJ184" s="146">
        <f t="shared" si="160"/>
        <v>0</v>
      </c>
      <c r="AK184" s="146">
        <f t="shared" si="160"/>
        <v>0</v>
      </c>
      <c r="AL184" s="146">
        <f t="shared" si="160"/>
        <v>0</v>
      </c>
      <c r="AM184" s="146">
        <f t="shared" si="160"/>
        <v>0</v>
      </c>
      <c r="AN184" s="146">
        <f t="shared" si="160"/>
        <v>0</v>
      </c>
      <c r="AO184" s="146">
        <f t="shared" si="160"/>
        <v>0</v>
      </c>
      <c r="AP184" s="146">
        <f t="shared" si="160"/>
        <v>0</v>
      </c>
      <c r="AQ184" s="146">
        <f t="shared" si="160"/>
        <v>0</v>
      </c>
      <c r="AR184" s="146">
        <f t="shared" si="160"/>
        <v>0</v>
      </c>
      <c r="AS184" s="146">
        <f t="shared" si="160"/>
        <v>0</v>
      </c>
      <c r="AT184" s="146">
        <f t="shared" si="160"/>
        <v>0</v>
      </c>
      <c r="AU184" s="146">
        <f t="shared" si="160"/>
        <v>0</v>
      </c>
      <c r="AV184" s="146">
        <f t="shared" si="160"/>
        <v>0</v>
      </c>
      <c r="AW184" s="146">
        <f t="shared" si="160"/>
        <v>0</v>
      </c>
      <c r="AX184" s="146">
        <f t="shared" si="160"/>
        <v>0</v>
      </c>
      <c r="AY184" s="146">
        <f t="shared" si="160"/>
        <v>0</v>
      </c>
      <c r="AZ184" s="146">
        <f t="shared" si="160"/>
        <v>0</v>
      </c>
      <c r="BA184" s="146">
        <f t="shared" si="160"/>
        <v>0</v>
      </c>
      <c r="BB184" s="146">
        <f t="shared" si="160"/>
        <v>0</v>
      </c>
      <c r="BC184" s="146">
        <f t="shared" si="160"/>
        <v>0</v>
      </c>
      <c r="BD184" s="146">
        <f t="shared" si="160"/>
        <v>0</v>
      </c>
      <c r="BE184" s="146">
        <f t="shared" si="160"/>
        <v>0</v>
      </c>
      <c r="BF184" s="146">
        <f t="shared" si="160"/>
        <v>0</v>
      </c>
      <c r="BG184" s="146">
        <f t="shared" si="160"/>
        <v>0</v>
      </c>
      <c r="BH184" s="146">
        <f t="shared" si="160"/>
        <v>0</v>
      </c>
      <c r="BI184" s="146">
        <f t="shared" si="160"/>
        <v>0</v>
      </c>
      <c r="BJ184" s="146">
        <f t="shared" si="160"/>
        <v>0</v>
      </c>
      <c r="BK184" s="146">
        <f t="shared" si="160"/>
        <v>0</v>
      </c>
      <c r="BL184" s="146">
        <f t="shared" si="160"/>
        <v>3</v>
      </c>
      <c r="BM184" s="146">
        <f t="shared" si="160"/>
        <v>0</v>
      </c>
      <c r="BN184" s="146">
        <f t="shared" si="160"/>
        <v>0</v>
      </c>
      <c r="BO184" s="146">
        <f t="shared" si="160"/>
        <v>0</v>
      </c>
      <c r="BP184" s="146">
        <f t="shared" si="160"/>
        <v>0</v>
      </c>
      <c r="BQ184" s="146">
        <f t="shared" si="160"/>
        <v>0</v>
      </c>
      <c r="BR184" s="146">
        <f t="shared" si="160"/>
        <v>0</v>
      </c>
      <c r="BS184" s="146">
        <f t="shared" si="160"/>
        <v>0</v>
      </c>
      <c r="BT184" s="146">
        <f t="shared" si="160"/>
        <v>0</v>
      </c>
      <c r="BU184" s="146">
        <f t="shared" si="160"/>
        <v>0</v>
      </c>
      <c r="BV184" s="146">
        <f t="shared" si="160"/>
        <v>0</v>
      </c>
      <c r="BW184" s="146">
        <f t="shared" si="160"/>
        <v>0</v>
      </c>
      <c r="BX184" s="146">
        <f t="shared" si="160"/>
        <v>0</v>
      </c>
      <c r="BY184" s="146">
        <f t="shared" si="160"/>
        <v>0</v>
      </c>
      <c r="BZ184" s="146">
        <f t="shared" si="160"/>
        <v>0</v>
      </c>
      <c r="CA184" s="146">
        <f t="shared" si="160"/>
        <v>0</v>
      </c>
      <c r="CB184" s="146">
        <f t="shared" si="160"/>
        <v>0</v>
      </c>
      <c r="CC184" s="146">
        <f t="shared" si="160"/>
        <v>0</v>
      </c>
      <c r="CD184" s="146">
        <f t="shared" si="160"/>
        <v>0</v>
      </c>
      <c r="CE184" s="146">
        <f t="shared" si="160"/>
        <v>0</v>
      </c>
      <c r="CF184" s="146">
        <f t="shared" si="160"/>
        <v>0</v>
      </c>
      <c r="CG184" s="146">
        <f t="shared" si="160"/>
        <v>0</v>
      </c>
      <c r="CH184" s="146">
        <f t="shared" si="160"/>
        <v>0</v>
      </c>
    </row>
    <row r="185" ht="15.75" customHeight="1">
      <c r="A185" s="1" t="s">
        <v>702</v>
      </c>
      <c r="B185" s="1" t="s">
        <v>703</v>
      </c>
      <c r="M185" s="146"/>
      <c r="N185" s="146"/>
      <c r="O185" s="146"/>
      <c r="P185" s="146"/>
      <c r="Q185" s="146"/>
      <c r="R185" s="146"/>
      <c r="S185" s="146">
        <f t="shared" ref="S185:CH185" si="161">S184</f>
        <v>1</v>
      </c>
      <c r="T185" s="146">
        <f t="shared" si="161"/>
        <v>0</v>
      </c>
      <c r="U185" s="146">
        <f t="shared" si="161"/>
        <v>0</v>
      </c>
      <c r="V185" s="146">
        <f t="shared" si="161"/>
        <v>0</v>
      </c>
      <c r="W185" s="146">
        <f t="shared" si="161"/>
        <v>0</v>
      </c>
      <c r="X185" s="146">
        <f t="shared" si="161"/>
        <v>0</v>
      </c>
      <c r="Y185" s="146">
        <f t="shared" si="161"/>
        <v>0</v>
      </c>
      <c r="Z185" s="146">
        <f t="shared" si="161"/>
        <v>0</v>
      </c>
      <c r="AA185" s="146">
        <f t="shared" si="161"/>
        <v>0</v>
      </c>
      <c r="AB185" s="146">
        <f t="shared" si="161"/>
        <v>0</v>
      </c>
      <c r="AC185" s="146">
        <f t="shared" si="161"/>
        <v>0</v>
      </c>
      <c r="AD185" s="146">
        <f t="shared" si="161"/>
        <v>0</v>
      </c>
      <c r="AE185" s="146">
        <f t="shared" si="161"/>
        <v>0</v>
      </c>
      <c r="AF185" s="146">
        <f t="shared" si="161"/>
        <v>0</v>
      </c>
      <c r="AG185" s="146">
        <f t="shared" si="161"/>
        <v>0</v>
      </c>
      <c r="AH185" s="146">
        <f t="shared" si="161"/>
        <v>0</v>
      </c>
      <c r="AI185" s="146">
        <f t="shared" si="161"/>
        <v>0</v>
      </c>
      <c r="AJ185" s="146">
        <f t="shared" si="161"/>
        <v>0</v>
      </c>
      <c r="AK185" s="146">
        <f t="shared" si="161"/>
        <v>0</v>
      </c>
      <c r="AL185" s="146">
        <f t="shared" si="161"/>
        <v>0</v>
      </c>
      <c r="AM185" s="146">
        <f t="shared" si="161"/>
        <v>0</v>
      </c>
      <c r="AN185" s="146">
        <f t="shared" si="161"/>
        <v>0</v>
      </c>
      <c r="AO185" s="146">
        <f t="shared" si="161"/>
        <v>0</v>
      </c>
      <c r="AP185" s="146">
        <f t="shared" si="161"/>
        <v>0</v>
      </c>
      <c r="AQ185" s="146">
        <f t="shared" si="161"/>
        <v>0</v>
      </c>
      <c r="AR185" s="146">
        <f t="shared" si="161"/>
        <v>0</v>
      </c>
      <c r="AS185" s="146">
        <f t="shared" si="161"/>
        <v>0</v>
      </c>
      <c r="AT185" s="146">
        <f t="shared" si="161"/>
        <v>0</v>
      </c>
      <c r="AU185" s="146">
        <f t="shared" si="161"/>
        <v>0</v>
      </c>
      <c r="AV185" s="146">
        <f t="shared" si="161"/>
        <v>0</v>
      </c>
      <c r="AW185" s="146">
        <f t="shared" si="161"/>
        <v>0</v>
      </c>
      <c r="AX185" s="146">
        <f t="shared" si="161"/>
        <v>0</v>
      </c>
      <c r="AY185" s="146">
        <f t="shared" si="161"/>
        <v>0</v>
      </c>
      <c r="AZ185" s="146">
        <f t="shared" si="161"/>
        <v>0</v>
      </c>
      <c r="BA185" s="146">
        <f t="shared" si="161"/>
        <v>0</v>
      </c>
      <c r="BB185" s="146">
        <f t="shared" si="161"/>
        <v>0</v>
      </c>
      <c r="BC185" s="146">
        <f t="shared" si="161"/>
        <v>0</v>
      </c>
      <c r="BD185" s="146">
        <f t="shared" si="161"/>
        <v>0</v>
      </c>
      <c r="BE185" s="146">
        <f t="shared" si="161"/>
        <v>0</v>
      </c>
      <c r="BF185" s="146">
        <f t="shared" si="161"/>
        <v>0</v>
      </c>
      <c r="BG185" s="146">
        <f t="shared" si="161"/>
        <v>0</v>
      </c>
      <c r="BH185" s="146">
        <f t="shared" si="161"/>
        <v>0</v>
      </c>
      <c r="BI185" s="146">
        <f t="shared" si="161"/>
        <v>0</v>
      </c>
      <c r="BJ185" s="146">
        <f t="shared" si="161"/>
        <v>0</v>
      </c>
      <c r="BK185" s="146">
        <f t="shared" si="161"/>
        <v>0</v>
      </c>
      <c r="BL185" s="146">
        <f t="shared" si="161"/>
        <v>3</v>
      </c>
      <c r="BM185" s="146">
        <f t="shared" si="161"/>
        <v>0</v>
      </c>
      <c r="BN185" s="146">
        <f t="shared" si="161"/>
        <v>0</v>
      </c>
      <c r="BO185" s="146">
        <f t="shared" si="161"/>
        <v>0</v>
      </c>
      <c r="BP185" s="146">
        <f t="shared" si="161"/>
        <v>0</v>
      </c>
      <c r="BQ185" s="146">
        <f t="shared" si="161"/>
        <v>0</v>
      </c>
      <c r="BR185" s="146">
        <f t="shared" si="161"/>
        <v>0</v>
      </c>
      <c r="BS185" s="146">
        <f t="shared" si="161"/>
        <v>0</v>
      </c>
      <c r="BT185" s="146">
        <f t="shared" si="161"/>
        <v>0</v>
      </c>
      <c r="BU185" s="146">
        <f t="shared" si="161"/>
        <v>0</v>
      </c>
      <c r="BV185" s="146">
        <f t="shared" si="161"/>
        <v>0</v>
      </c>
      <c r="BW185" s="146">
        <f t="shared" si="161"/>
        <v>0</v>
      </c>
      <c r="BX185" s="146">
        <f t="shared" si="161"/>
        <v>0</v>
      </c>
      <c r="BY185" s="146">
        <f t="shared" si="161"/>
        <v>0</v>
      </c>
      <c r="BZ185" s="146">
        <f t="shared" si="161"/>
        <v>0</v>
      </c>
      <c r="CA185" s="146">
        <f t="shared" si="161"/>
        <v>0</v>
      </c>
      <c r="CB185" s="146">
        <f t="shared" si="161"/>
        <v>0</v>
      </c>
      <c r="CC185" s="146">
        <f t="shared" si="161"/>
        <v>0</v>
      </c>
      <c r="CD185" s="146">
        <f t="shared" si="161"/>
        <v>0</v>
      </c>
      <c r="CE185" s="146">
        <f t="shared" si="161"/>
        <v>0</v>
      </c>
      <c r="CF185" s="146">
        <f t="shared" si="161"/>
        <v>0</v>
      </c>
      <c r="CG185" s="146">
        <f t="shared" si="161"/>
        <v>0</v>
      </c>
      <c r="CH185" s="146">
        <f t="shared" si="161"/>
        <v>0</v>
      </c>
    </row>
    <row r="186" ht="15.75" customHeight="1"/>
    <row r="187" ht="15.75" customHeight="1">
      <c r="A187" s="1" t="s">
        <v>707</v>
      </c>
      <c r="B187" s="446" t="s">
        <v>708</v>
      </c>
      <c r="T187" s="456">
        <f t="shared" ref="T187:CH187" si="162">T165*T169</f>
        <v>18.2009</v>
      </c>
      <c r="U187" s="456">
        <f t="shared" si="162"/>
        <v>18.6834</v>
      </c>
      <c r="V187" s="456">
        <f t="shared" si="162"/>
        <v>26.5471</v>
      </c>
      <c r="W187" s="456">
        <f t="shared" si="162"/>
        <v>25.6373</v>
      </c>
      <c r="X187" s="456">
        <f t="shared" si="162"/>
        <v>91.608</v>
      </c>
      <c r="Y187" s="456">
        <f t="shared" si="162"/>
        <v>89.0344</v>
      </c>
      <c r="Z187" s="456">
        <f t="shared" si="162"/>
        <v>94.91530411</v>
      </c>
      <c r="AA187" s="456">
        <f t="shared" si="162"/>
        <v>25.41828216</v>
      </c>
      <c r="AB187" s="456">
        <f t="shared" si="162"/>
        <v>26.92406669</v>
      </c>
      <c r="AC187" s="456">
        <f t="shared" si="162"/>
        <v>28.22676617</v>
      </c>
      <c r="AD187" s="456">
        <f t="shared" si="162"/>
        <v>29.39030389</v>
      </c>
      <c r="AE187" s="456">
        <f t="shared" si="162"/>
        <v>30.00464589</v>
      </c>
      <c r="AF187" s="456">
        <f t="shared" si="162"/>
        <v>30.55518348</v>
      </c>
      <c r="AG187" s="456">
        <f t="shared" si="162"/>
        <v>30.90005918</v>
      </c>
      <c r="AH187" s="456">
        <f t="shared" si="162"/>
        <v>31.19831866</v>
      </c>
      <c r="AI187" s="456">
        <f t="shared" si="162"/>
        <v>31.59080636</v>
      </c>
      <c r="AJ187" s="456">
        <f t="shared" si="162"/>
        <v>32.05159767</v>
      </c>
      <c r="AK187" s="456">
        <f t="shared" si="162"/>
        <v>32.45414248</v>
      </c>
      <c r="AL187" s="456">
        <f t="shared" si="162"/>
        <v>32.82174857</v>
      </c>
      <c r="AM187" s="456">
        <f t="shared" si="162"/>
        <v>59.49105197</v>
      </c>
      <c r="AN187" s="456">
        <f t="shared" si="162"/>
        <v>60.0598197</v>
      </c>
      <c r="AO187" s="456">
        <f t="shared" si="162"/>
        <v>60.78939956</v>
      </c>
      <c r="AP187" s="456">
        <f t="shared" si="162"/>
        <v>61.43722102</v>
      </c>
      <c r="AQ187" s="456">
        <f t="shared" si="162"/>
        <v>62.02421424</v>
      </c>
      <c r="AR187" s="456">
        <f t="shared" si="162"/>
        <v>62.61412979</v>
      </c>
      <c r="AS187" s="456">
        <f t="shared" si="162"/>
        <v>63.15860485</v>
      </c>
      <c r="AT187" s="456">
        <f t="shared" si="162"/>
        <v>63.66938884</v>
      </c>
      <c r="AU187" s="456">
        <f t="shared" si="162"/>
        <v>64.15526077</v>
      </c>
      <c r="AV187" s="456">
        <f t="shared" si="162"/>
        <v>64.6227808</v>
      </c>
      <c r="AW187" s="456">
        <f t="shared" si="162"/>
        <v>65.07685163</v>
      </c>
      <c r="AX187" s="456">
        <f t="shared" si="162"/>
        <v>65.52113785</v>
      </c>
      <c r="AY187" s="456">
        <f t="shared" si="162"/>
        <v>95.49114556</v>
      </c>
      <c r="AZ187" s="456">
        <f t="shared" si="162"/>
        <v>96.31621684</v>
      </c>
      <c r="BA187" s="456">
        <f t="shared" si="162"/>
        <v>97.08617116</v>
      </c>
      <c r="BB187" s="456">
        <f t="shared" si="162"/>
        <v>97.81533629</v>
      </c>
      <c r="BC187" s="456">
        <f t="shared" si="162"/>
        <v>98.51441828</v>
      </c>
      <c r="BD187" s="456">
        <f t="shared" si="162"/>
        <v>99.1914178</v>
      </c>
      <c r="BE187" s="456">
        <f t="shared" si="162"/>
        <v>99.85231465</v>
      </c>
      <c r="BF187" s="456">
        <f t="shared" si="162"/>
        <v>100.501579</v>
      </c>
      <c r="BG187" s="456">
        <f t="shared" si="162"/>
        <v>101.1425536</v>
      </c>
      <c r="BH187" s="456">
        <f t="shared" si="162"/>
        <v>101.7777385</v>
      </c>
      <c r="BI187" s="456">
        <f t="shared" si="162"/>
        <v>102.4090051</v>
      </c>
      <c r="BJ187" s="456">
        <f t="shared" si="162"/>
        <v>103.0377544</v>
      </c>
      <c r="BK187" s="456">
        <f t="shared" si="162"/>
        <v>629.0155885</v>
      </c>
      <c r="BL187" s="456">
        <f t="shared" si="162"/>
        <v>636.2423317</v>
      </c>
      <c r="BM187" s="456">
        <f t="shared" si="162"/>
        <v>640.8728407</v>
      </c>
      <c r="BN187" s="456">
        <f t="shared" si="162"/>
        <v>645.4199189</v>
      </c>
      <c r="BO187" s="456">
        <f t="shared" si="162"/>
        <v>649.9132437</v>
      </c>
      <c r="BP187" s="456">
        <f t="shared" si="162"/>
        <v>654.3751298</v>
      </c>
      <c r="BQ187" s="456">
        <f t="shared" si="162"/>
        <v>658.8223958</v>
      </c>
      <c r="BR187" s="456">
        <f t="shared" si="162"/>
        <v>663.2677587</v>
      </c>
      <c r="BS187" s="456">
        <f t="shared" si="162"/>
        <v>667.7208752</v>
      </c>
      <c r="BT187" s="456">
        <f t="shared" si="162"/>
        <v>672.1891206</v>
      </c>
      <c r="BU187" s="456">
        <f t="shared" si="162"/>
        <v>676.6781695</v>
      </c>
      <c r="BV187" s="456">
        <f t="shared" si="162"/>
        <v>681.1924311</v>
      </c>
      <c r="BW187" s="456">
        <f t="shared" si="162"/>
        <v>857.6720893</v>
      </c>
      <c r="BX187" s="456">
        <f t="shared" si="162"/>
        <v>847.2244626</v>
      </c>
      <c r="BY187" s="456">
        <f t="shared" si="162"/>
        <v>838.0860366</v>
      </c>
      <c r="BZ187" s="456">
        <f t="shared" si="162"/>
        <v>832.33004</v>
      </c>
      <c r="CA187" s="456">
        <f t="shared" si="162"/>
        <v>829.1110165</v>
      </c>
      <c r="CB187" s="456">
        <f t="shared" si="162"/>
        <v>827.7973708</v>
      </c>
      <c r="CC187" s="456">
        <f t="shared" si="162"/>
        <v>827.9172651</v>
      </c>
      <c r="CD187" s="456">
        <f t="shared" si="162"/>
        <v>829.1182029</v>
      </c>
      <c r="CE187" s="456">
        <f t="shared" si="162"/>
        <v>831.1368392</v>
      </c>
      <c r="CF187" s="456">
        <f t="shared" si="162"/>
        <v>833.7764274</v>
      </c>
      <c r="CG187" s="456">
        <f t="shared" si="162"/>
        <v>836.8899731</v>
      </c>
      <c r="CH187" s="456">
        <f t="shared" si="162"/>
        <v>840.3676491</v>
      </c>
    </row>
    <row r="188" ht="15.75" customHeight="1">
      <c r="A188" s="137" t="s">
        <v>709</v>
      </c>
      <c r="B188" s="474">
        <v>50.0</v>
      </c>
      <c r="C188" s="137"/>
      <c r="D188" s="137"/>
      <c r="E188" s="137"/>
      <c r="F188" s="137"/>
      <c r="G188" s="137"/>
      <c r="H188" s="137"/>
      <c r="I188" s="137"/>
      <c r="J188" s="137"/>
      <c r="K188" s="137"/>
      <c r="L188" s="137"/>
      <c r="M188" s="137"/>
      <c r="N188" s="137"/>
      <c r="O188" s="137"/>
      <c r="P188" s="137"/>
      <c r="Q188" s="137"/>
      <c r="R188" s="137"/>
      <c r="S188" s="137"/>
      <c r="T188" s="137">
        <f t="shared" ref="T188:BV188" si="163">T187*$B$188</f>
        <v>910.045</v>
      </c>
      <c r="U188" s="137">
        <f t="shared" si="163"/>
        <v>934.17</v>
      </c>
      <c r="V188" s="137">
        <f t="shared" si="163"/>
        <v>1327.355</v>
      </c>
      <c r="W188" s="137">
        <f t="shared" si="163"/>
        <v>1281.865</v>
      </c>
      <c r="X188" s="137">
        <f t="shared" si="163"/>
        <v>4580.4</v>
      </c>
      <c r="Y188" s="137">
        <f t="shared" si="163"/>
        <v>4451.72</v>
      </c>
      <c r="Z188" s="137">
        <f t="shared" si="163"/>
        <v>4745.765205</v>
      </c>
      <c r="AA188" s="137">
        <f t="shared" si="163"/>
        <v>1270.914108</v>
      </c>
      <c r="AB188" s="137">
        <f t="shared" si="163"/>
        <v>1346.203335</v>
      </c>
      <c r="AC188" s="137">
        <f t="shared" si="163"/>
        <v>1411.338309</v>
      </c>
      <c r="AD188" s="137">
        <f t="shared" si="163"/>
        <v>1469.515195</v>
      </c>
      <c r="AE188" s="137">
        <f t="shared" si="163"/>
        <v>1500.232295</v>
      </c>
      <c r="AF188" s="137">
        <f t="shared" si="163"/>
        <v>1527.759174</v>
      </c>
      <c r="AG188" s="137">
        <f t="shared" si="163"/>
        <v>1545.002959</v>
      </c>
      <c r="AH188" s="137">
        <f t="shared" si="163"/>
        <v>1559.915933</v>
      </c>
      <c r="AI188" s="137">
        <f t="shared" si="163"/>
        <v>1579.540318</v>
      </c>
      <c r="AJ188" s="137">
        <f t="shared" si="163"/>
        <v>1602.579883</v>
      </c>
      <c r="AK188" s="137">
        <f t="shared" si="163"/>
        <v>1622.707124</v>
      </c>
      <c r="AL188" s="137">
        <f t="shared" si="163"/>
        <v>1641.087428</v>
      </c>
      <c r="AM188" s="137">
        <f t="shared" si="163"/>
        <v>2974.552598</v>
      </c>
      <c r="AN188" s="137">
        <f t="shared" si="163"/>
        <v>3002.990985</v>
      </c>
      <c r="AO188" s="137">
        <f t="shared" si="163"/>
        <v>3039.469978</v>
      </c>
      <c r="AP188" s="137">
        <f t="shared" si="163"/>
        <v>3071.861051</v>
      </c>
      <c r="AQ188" s="137">
        <f t="shared" si="163"/>
        <v>3101.210712</v>
      </c>
      <c r="AR188" s="137">
        <f t="shared" si="163"/>
        <v>3130.706489</v>
      </c>
      <c r="AS188" s="137">
        <f t="shared" si="163"/>
        <v>3157.930243</v>
      </c>
      <c r="AT188" s="137">
        <f t="shared" si="163"/>
        <v>3183.469442</v>
      </c>
      <c r="AU188" s="137">
        <f t="shared" si="163"/>
        <v>3207.763038</v>
      </c>
      <c r="AV188" s="137">
        <f t="shared" si="163"/>
        <v>3231.13904</v>
      </c>
      <c r="AW188" s="137">
        <f t="shared" si="163"/>
        <v>3253.842581</v>
      </c>
      <c r="AX188" s="137">
        <f t="shared" si="163"/>
        <v>3276.056893</v>
      </c>
      <c r="AY188" s="137">
        <f t="shared" si="163"/>
        <v>4774.557278</v>
      </c>
      <c r="AZ188" s="137">
        <f t="shared" si="163"/>
        <v>4815.810842</v>
      </c>
      <c r="BA188" s="137">
        <f t="shared" si="163"/>
        <v>4854.308558</v>
      </c>
      <c r="BB188" s="137">
        <f t="shared" si="163"/>
        <v>4890.766814</v>
      </c>
      <c r="BC188" s="137">
        <f t="shared" si="163"/>
        <v>4925.720914</v>
      </c>
      <c r="BD188" s="137">
        <f t="shared" si="163"/>
        <v>4959.57089</v>
      </c>
      <c r="BE188" s="137">
        <f t="shared" si="163"/>
        <v>4992.615733</v>
      </c>
      <c r="BF188" s="137">
        <f t="shared" si="163"/>
        <v>5025.078952</v>
      </c>
      <c r="BG188" s="137">
        <f t="shared" si="163"/>
        <v>5057.127678</v>
      </c>
      <c r="BH188" s="137">
        <f t="shared" si="163"/>
        <v>5088.886927</v>
      </c>
      <c r="BI188" s="137">
        <f t="shared" si="163"/>
        <v>5120.450253</v>
      </c>
      <c r="BJ188" s="137">
        <f t="shared" si="163"/>
        <v>5151.887718</v>
      </c>
      <c r="BK188" s="137">
        <f t="shared" si="163"/>
        <v>31450.77942</v>
      </c>
      <c r="BL188" s="137">
        <f t="shared" si="163"/>
        <v>31812.11658</v>
      </c>
      <c r="BM188" s="137">
        <f t="shared" si="163"/>
        <v>32043.64204</v>
      </c>
      <c r="BN188" s="137">
        <f t="shared" si="163"/>
        <v>32270.99595</v>
      </c>
      <c r="BO188" s="137">
        <f t="shared" si="163"/>
        <v>32495.66218</v>
      </c>
      <c r="BP188" s="137">
        <f t="shared" si="163"/>
        <v>32718.75649</v>
      </c>
      <c r="BQ188" s="137">
        <f t="shared" si="163"/>
        <v>32941.11979</v>
      </c>
      <c r="BR188" s="137">
        <f t="shared" si="163"/>
        <v>33163.38793</v>
      </c>
      <c r="BS188" s="137">
        <f t="shared" si="163"/>
        <v>33386.04376</v>
      </c>
      <c r="BT188" s="137">
        <f t="shared" si="163"/>
        <v>33609.45603</v>
      </c>
      <c r="BU188" s="137">
        <f t="shared" si="163"/>
        <v>33833.90848</v>
      </c>
      <c r="BV188" s="137">
        <f t="shared" si="163"/>
        <v>34059.62155</v>
      </c>
      <c r="BW188" s="137">
        <f t="shared" ref="BW188:CH188" si="164">BW187*$B$189</f>
        <v>47171.96491</v>
      </c>
      <c r="BX188" s="137">
        <f t="shared" si="164"/>
        <v>46597.34544</v>
      </c>
      <c r="BY188" s="137">
        <f t="shared" si="164"/>
        <v>46094.73201</v>
      </c>
      <c r="BZ188" s="137">
        <f t="shared" si="164"/>
        <v>45778.1522</v>
      </c>
      <c r="CA188" s="137">
        <f t="shared" si="164"/>
        <v>45601.10591</v>
      </c>
      <c r="CB188" s="137">
        <f t="shared" si="164"/>
        <v>45528.8554</v>
      </c>
      <c r="CC188" s="137">
        <f t="shared" si="164"/>
        <v>45535.44958</v>
      </c>
      <c r="CD188" s="137">
        <f t="shared" si="164"/>
        <v>45601.50116</v>
      </c>
      <c r="CE188" s="137">
        <f t="shared" si="164"/>
        <v>45712.52616</v>
      </c>
      <c r="CF188" s="137">
        <f t="shared" si="164"/>
        <v>45857.70351</v>
      </c>
      <c r="CG188" s="137">
        <f t="shared" si="164"/>
        <v>46028.94852</v>
      </c>
      <c r="CH188" s="137">
        <f t="shared" si="164"/>
        <v>46220.2207</v>
      </c>
    </row>
    <row r="189" ht="15.75" customHeight="1">
      <c r="A189" s="449" t="s">
        <v>711</v>
      </c>
      <c r="B189" s="475">
        <v>55.0</v>
      </c>
    </row>
    <row r="190" ht="15.75" customHeight="1">
      <c r="A190" s="115" t="s">
        <v>96</v>
      </c>
    </row>
    <row r="191" ht="15.75" customHeight="1"/>
    <row r="192" ht="15.75" customHeight="1">
      <c r="A192" s="1" t="s">
        <v>25</v>
      </c>
      <c r="C192" s="116">
        <f>Revenue!C11</f>
        <v>39950</v>
      </c>
      <c r="D192" s="116">
        <f>Revenue!D11</f>
        <v>38867</v>
      </c>
      <c r="E192" s="116">
        <f>Revenue!E11</f>
        <v>36759</v>
      </c>
      <c r="F192" s="116">
        <f>Revenue!F11</f>
        <v>25125</v>
      </c>
      <c r="G192" s="116">
        <f>Revenue!G11</f>
        <v>36781</v>
      </c>
      <c r="H192" s="116">
        <f>Revenue!H11</f>
        <v>37960</v>
      </c>
      <c r="I192" s="116">
        <f>Revenue!I11</f>
        <v>26320</v>
      </c>
      <c r="J192" s="116">
        <f>Revenue!J11</f>
        <v>26527</v>
      </c>
      <c r="K192" s="116">
        <f>Revenue!K11</f>
        <v>20651</v>
      </c>
      <c r="L192" s="116">
        <f>Revenue!L11</f>
        <v>39016</v>
      </c>
      <c r="M192" s="116">
        <f>Revenue!M11</f>
        <v>30718</v>
      </c>
      <c r="N192" s="116">
        <f>Revenue!N11</f>
        <v>20546</v>
      </c>
      <c r="O192" s="116">
        <f>Revenue!O11</f>
        <v>35731</v>
      </c>
      <c r="P192" s="116">
        <f>Revenue!P11</f>
        <v>22841</v>
      </c>
      <c r="Q192" s="116">
        <f>Revenue!Q11</f>
        <v>24132</v>
      </c>
      <c r="R192" s="116">
        <f>Revenue!R11</f>
        <v>24634</v>
      </c>
      <c r="S192" s="116">
        <f>Revenue!S11</f>
        <v>24667</v>
      </c>
      <c r="T192" s="116">
        <f>Revenue!T11</f>
        <v>35176</v>
      </c>
      <c r="U192" s="116">
        <f>Revenue!U11</f>
        <v>37262</v>
      </c>
      <c r="V192" s="116">
        <f>Revenue!V11</f>
        <v>25313</v>
      </c>
      <c r="W192" s="116">
        <f>Revenue!W11</f>
        <v>36298</v>
      </c>
      <c r="X192" s="116">
        <f>Revenue!X11</f>
        <v>23322</v>
      </c>
      <c r="Y192" s="116">
        <f>Revenue!Y11</f>
        <v>35512</v>
      </c>
      <c r="Z192" s="116">
        <f>Revenue!Z11</f>
        <v>50000</v>
      </c>
      <c r="AA192" s="116">
        <f>Revenue!AA11</f>
        <v>50000</v>
      </c>
      <c r="AB192" s="116">
        <f>Revenue!AB11</f>
        <v>50000</v>
      </c>
      <c r="AC192" s="116">
        <f>Revenue!AC11</f>
        <v>50000</v>
      </c>
      <c r="AD192" s="116">
        <f>Revenue!AD11</f>
        <v>50000</v>
      </c>
      <c r="AE192" s="116">
        <f>Revenue!AE11</f>
        <v>50000</v>
      </c>
      <c r="AF192" s="116">
        <f>Revenue!AF11</f>
        <v>50000</v>
      </c>
      <c r="AG192" s="116">
        <f>Revenue!AG11</f>
        <v>50000</v>
      </c>
      <c r="AH192" s="116">
        <f>Revenue!AH11</f>
        <v>50000</v>
      </c>
      <c r="AI192" s="116">
        <f>Revenue!AI11</f>
        <v>50000</v>
      </c>
      <c r="AJ192" s="116">
        <f>Revenue!AJ11</f>
        <v>50000</v>
      </c>
      <c r="AK192" s="116">
        <f>Revenue!AK11</f>
        <v>50000</v>
      </c>
      <c r="AL192" s="116">
        <f>Revenue!AL11</f>
        <v>50000</v>
      </c>
      <c r="AM192" s="116">
        <f>Revenue!AM11</f>
        <v>75000</v>
      </c>
      <c r="AN192" s="116">
        <f>Revenue!AN11</f>
        <v>75000</v>
      </c>
      <c r="AO192" s="116">
        <f>Revenue!AO11</f>
        <v>75000</v>
      </c>
      <c r="AP192" s="116">
        <f>Revenue!AP11</f>
        <v>75000</v>
      </c>
      <c r="AQ192" s="116">
        <f>Revenue!AQ11</f>
        <v>75000</v>
      </c>
      <c r="AR192" s="116">
        <f>Revenue!AR11</f>
        <v>75000</v>
      </c>
      <c r="AS192" s="116">
        <f>Revenue!AS11</f>
        <v>75000</v>
      </c>
      <c r="AT192" s="116">
        <f>Revenue!AT11</f>
        <v>75000</v>
      </c>
      <c r="AU192" s="116">
        <f>Revenue!AU11</f>
        <v>75000</v>
      </c>
      <c r="AV192" s="116">
        <f>Revenue!AV11</f>
        <v>75000</v>
      </c>
      <c r="AW192" s="116">
        <f>Revenue!AW11</f>
        <v>75000</v>
      </c>
      <c r="AX192" s="116">
        <f>Revenue!AX11</f>
        <v>75000</v>
      </c>
      <c r="AY192" s="116">
        <f>Revenue!AY11</f>
        <v>100000</v>
      </c>
      <c r="AZ192" s="116">
        <f>Revenue!AZ11</f>
        <v>100000</v>
      </c>
      <c r="BA192" s="116">
        <f>Revenue!BA11</f>
        <v>100000</v>
      </c>
      <c r="BB192" s="116">
        <f>Revenue!BB11</f>
        <v>100000</v>
      </c>
      <c r="BC192" s="116">
        <f>Revenue!BC11</f>
        <v>100000</v>
      </c>
      <c r="BD192" s="116">
        <f>Revenue!BD11</f>
        <v>100000</v>
      </c>
      <c r="BE192" s="116">
        <f>Revenue!BE11</f>
        <v>100000</v>
      </c>
      <c r="BF192" s="116">
        <f>Revenue!BF11</f>
        <v>100000</v>
      </c>
      <c r="BG192" s="116">
        <f>Revenue!BG11</f>
        <v>100000</v>
      </c>
      <c r="BH192" s="116">
        <f>Revenue!BH11</f>
        <v>100000</v>
      </c>
      <c r="BI192" s="116">
        <f>Revenue!BI11</f>
        <v>100000</v>
      </c>
      <c r="BJ192" s="116">
        <f>Revenue!BJ11</f>
        <v>100000</v>
      </c>
      <c r="BK192" s="116">
        <f>Revenue!BK11</f>
        <v>100000</v>
      </c>
      <c r="BL192" s="116">
        <f>Revenue!BL11</f>
        <v>100000</v>
      </c>
      <c r="BM192" s="116">
        <f>Revenue!BM11</f>
        <v>100000</v>
      </c>
      <c r="BN192" s="116">
        <f>Revenue!BN11</f>
        <v>100000</v>
      </c>
      <c r="BO192" s="116">
        <f>Revenue!BO11</f>
        <v>100000</v>
      </c>
      <c r="BP192" s="116">
        <f>Revenue!BP11</f>
        <v>100000</v>
      </c>
      <c r="BQ192" s="116">
        <f>Revenue!BQ11</f>
        <v>100000</v>
      </c>
      <c r="BR192" s="116">
        <f>Revenue!BR11</f>
        <v>100000</v>
      </c>
      <c r="BS192" s="116">
        <f>Revenue!BS11</f>
        <v>100000</v>
      </c>
      <c r="BT192" s="116">
        <f>Revenue!BT11</f>
        <v>100000</v>
      </c>
      <c r="BU192" s="116">
        <f>Revenue!BU11</f>
        <v>100000</v>
      </c>
      <c r="BV192" s="116">
        <f>Revenue!BV11</f>
        <v>100000</v>
      </c>
      <c r="BW192" s="116">
        <f>Revenue!BW11</f>
        <v>100000</v>
      </c>
      <c r="BX192" s="116">
        <f>Revenue!BX11</f>
        <v>100000</v>
      </c>
      <c r="BY192" s="116">
        <f>Revenue!BY11</f>
        <v>100000</v>
      </c>
      <c r="BZ192" s="116">
        <f>Revenue!BZ11</f>
        <v>100000</v>
      </c>
      <c r="CA192" s="116">
        <f>Revenue!CA11</f>
        <v>100000</v>
      </c>
      <c r="CB192" s="116">
        <f>Revenue!CB11</f>
        <v>100000</v>
      </c>
      <c r="CC192" s="116">
        <f>Revenue!CC11</f>
        <v>100000</v>
      </c>
      <c r="CD192" s="116">
        <f>Revenue!CD11</f>
        <v>100000</v>
      </c>
      <c r="CE192" s="116">
        <f>Revenue!CE11</f>
        <v>100000</v>
      </c>
      <c r="CF192" s="116">
        <f>Revenue!CF11</f>
        <v>100000</v>
      </c>
      <c r="CG192" s="116">
        <f>Revenue!CG11</f>
        <v>100000</v>
      </c>
      <c r="CH192" s="116">
        <f>Revenue!CH11</f>
        <v>100000</v>
      </c>
    </row>
    <row r="193" ht="15.75" customHeight="1">
      <c r="A193" s="1" t="s">
        <v>325</v>
      </c>
      <c r="C193" s="116"/>
      <c r="D193" s="116">
        <f t="shared" ref="D193:CH193" si="165">D192-C192</f>
        <v>-1083</v>
      </c>
      <c r="E193" s="116">
        <f t="shared" si="165"/>
        <v>-2108</v>
      </c>
      <c r="F193" s="116">
        <f t="shared" si="165"/>
        <v>-11634</v>
      </c>
      <c r="G193" s="116">
        <f t="shared" si="165"/>
        <v>11656</v>
      </c>
      <c r="H193" s="116">
        <f t="shared" si="165"/>
        <v>1179</v>
      </c>
      <c r="I193" s="116">
        <f t="shared" si="165"/>
        <v>-11640</v>
      </c>
      <c r="J193" s="116">
        <f t="shared" si="165"/>
        <v>207</v>
      </c>
      <c r="K193" s="116">
        <f t="shared" si="165"/>
        <v>-5876</v>
      </c>
      <c r="L193" s="116">
        <f t="shared" si="165"/>
        <v>18365</v>
      </c>
      <c r="M193" s="116">
        <f t="shared" si="165"/>
        <v>-8298</v>
      </c>
      <c r="N193" s="116">
        <f t="shared" si="165"/>
        <v>-10172</v>
      </c>
      <c r="O193" s="116">
        <f t="shared" si="165"/>
        <v>15185</v>
      </c>
      <c r="P193" s="116">
        <f t="shared" si="165"/>
        <v>-12890</v>
      </c>
      <c r="Q193" s="116">
        <f t="shared" si="165"/>
        <v>1291</v>
      </c>
      <c r="R193" s="116">
        <f t="shared" si="165"/>
        <v>502</v>
      </c>
      <c r="S193" s="116">
        <f t="shared" si="165"/>
        <v>33</v>
      </c>
      <c r="T193" s="116">
        <f t="shared" si="165"/>
        <v>10509</v>
      </c>
      <c r="U193" s="116">
        <f t="shared" si="165"/>
        <v>2086</v>
      </c>
      <c r="V193" s="116">
        <f t="shared" si="165"/>
        <v>-11949</v>
      </c>
      <c r="W193" s="116">
        <f t="shared" si="165"/>
        <v>10985</v>
      </c>
      <c r="X193" s="116">
        <f t="shared" si="165"/>
        <v>-12976</v>
      </c>
      <c r="Y193" s="116">
        <f t="shared" si="165"/>
        <v>12190</v>
      </c>
      <c r="Z193" s="116">
        <f t="shared" si="165"/>
        <v>14488</v>
      </c>
      <c r="AA193" s="116">
        <f t="shared" si="165"/>
        <v>0</v>
      </c>
      <c r="AB193" s="116">
        <f t="shared" si="165"/>
        <v>0</v>
      </c>
      <c r="AC193" s="116">
        <f t="shared" si="165"/>
        <v>0</v>
      </c>
      <c r="AD193" s="116">
        <f t="shared" si="165"/>
        <v>0</v>
      </c>
      <c r="AE193" s="116">
        <f t="shared" si="165"/>
        <v>0</v>
      </c>
      <c r="AF193" s="116">
        <f t="shared" si="165"/>
        <v>0</v>
      </c>
      <c r="AG193" s="116">
        <f t="shared" si="165"/>
        <v>0</v>
      </c>
      <c r="AH193" s="116">
        <f t="shared" si="165"/>
        <v>0</v>
      </c>
      <c r="AI193" s="116">
        <f t="shared" si="165"/>
        <v>0</v>
      </c>
      <c r="AJ193" s="116">
        <f t="shared" si="165"/>
        <v>0</v>
      </c>
      <c r="AK193" s="116">
        <f t="shared" si="165"/>
        <v>0</v>
      </c>
      <c r="AL193" s="116">
        <f t="shared" si="165"/>
        <v>0</v>
      </c>
      <c r="AM193" s="116">
        <f t="shared" si="165"/>
        <v>25000</v>
      </c>
      <c r="AN193" s="116">
        <f t="shared" si="165"/>
        <v>0</v>
      </c>
      <c r="AO193" s="116">
        <f t="shared" si="165"/>
        <v>0</v>
      </c>
      <c r="AP193" s="116">
        <f t="shared" si="165"/>
        <v>0</v>
      </c>
      <c r="AQ193" s="116">
        <f t="shared" si="165"/>
        <v>0</v>
      </c>
      <c r="AR193" s="116">
        <f t="shared" si="165"/>
        <v>0</v>
      </c>
      <c r="AS193" s="116">
        <f t="shared" si="165"/>
        <v>0</v>
      </c>
      <c r="AT193" s="116">
        <f t="shared" si="165"/>
        <v>0</v>
      </c>
      <c r="AU193" s="116">
        <f t="shared" si="165"/>
        <v>0</v>
      </c>
      <c r="AV193" s="116">
        <f t="shared" si="165"/>
        <v>0</v>
      </c>
      <c r="AW193" s="116">
        <f t="shared" si="165"/>
        <v>0</v>
      </c>
      <c r="AX193" s="116">
        <f t="shared" si="165"/>
        <v>0</v>
      </c>
      <c r="AY193" s="116">
        <f t="shared" si="165"/>
        <v>25000</v>
      </c>
      <c r="AZ193" s="116">
        <f t="shared" si="165"/>
        <v>0</v>
      </c>
      <c r="BA193" s="116">
        <f t="shared" si="165"/>
        <v>0</v>
      </c>
      <c r="BB193" s="116">
        <f t="shared" si="165"/>
        <v>0</v>
      </c>
      <c r="BC193" s="116">
        <f t="shared" si="165"/>
        <v>0</v>
      </c>
      <c r="BD193" s="116">
        <f t="shared" si="165"/>
        <v>0</v>
      </c>
      <c r="BE193" s="116">
        <f t="shared" si="165"/>
        <v>0</v>
      </c>
      <c r="BF193" s="116">
        <f t="shared" si="165"/>
        <v>0</v>
      </c>
      <c r="BG193" s="116">
        <f t="shared" si="165"/>
        <v>0</v>
      </c>
      <c r="BH193" s="116">
        <f t="shared" si="165"/>
        <v>0</v>
      </c>
      <c r="BI193" s="116">
        <f t="shared" si="165"/>
        <v>0</v>
      </c>
      <c r="BJ193" s="116">
        <f t="shared" si="165"/>
        <v>0</v>
      </c>
      <c r="BK193" s="116">
        <f t="shared" si="165"/>
        <v>0</v>
      </c>
      <c r="BL193" s="116">
        <f t="shared" si="165"/>
        <v>0</v>
      </c>
      <c r="BM193" s="116">
        <f t="shared" si="165"/>
        <v>0</v>
      </c>
      <c r="BN193" s="116">
        <f t="shared" si="165"/>
        <v>0</v>
      </c>
      <c r="BO193" s="116">
        <f t="shared" si="165"/>
        <v>0</v>
      </c>
      <c r="BP193" s="116">
        <f t="shared" si="165"/>
        <v>0</v>
      </c>
      <c r="BQ193" s="116">
        <f t="shared" si="165"/>
        <v>0</v>
      </c>
      <c r="BR193" s="116">
        <f t="shared" si="165"/>
        <v>0</v>
      </c>
      <c r="BS193" s="116">
        <f t="shared" si="165"/>
        <v>0</v>
      </c>
      <c r="BT193" s="116">
        <f t="shared" si="165"/>
        <v>0</v>
      </c>
      <c r="BU193" s="116">
        <f t="shared" si="165"/>
        <v>0</v>
      </c>
      <c r="BV193" s="116">
        <f t="shared" si="165"/>
        <v>0</v>
      </c>
      <c r="BW193" s="116">
        <f t="shared" si="165"/>
        <v>0</v>
      </c>
      <c r="BX193" s="116">
        <f t="shared" si="165"/>
        <v>0</v>
      </c>
      <c r="BY193" s="116">
        <f t="shared" si="165"/>
        <v>0</v>
      </c>
      <c r="BZ193" s="116">
        <f t="shared" si="165"/>
        <v>0</v>
      </c>
      <c r="CA193" s="116">
        <f t="shared" si="165"/>
        <v>0</v>
      </c>
      <c r="CB193" s="116">
        <f t="shared" si="165"/>
        <v>0</v>
      </c>
      <c r="CC193" s="116">
        <f t="shared" si="165"/>
        <v>0</v>
      </c>
      <c r="CD193" s="116">
        <f t="shared" si="165"/>
        <v>0</v>
      </c>
      <c r="CE193" s="116">
        <f t="shared" si="165"/>
        <v>0</v>
      </c>
      <c r="CF193" s="116">
        <f t="shared" si="165"/>
        <v>0</v>
      </c>
      <c r="CG193" s="116">
        <f t="shared" si="165"/>
        <v>0</v>
      </c>
      <c r="CH193" s="116">
        <f t="shared" si="165"/>
        <v>0</v>
      </c>
    </row>
    <row r="194" ht="15.75" customHeight="1">
      <c r="A194" s="1" t="s">
        <v>692</v>
      </c>
      <c r="C194" s="146">
        <f>Revenue!C173</f>
        <v>79.9</v>
      </c>
      <c r="D194" s="146">
        <f>Revenue!D173</f>
        <v>77.734</v>
      </c>
      <c r="E194" s="146">
        <f>Revenue!E173</f>
        <v>73.518</v>
      </c>
      <c r="F194" s="146">
        <f>Revenue!F173</f>
        <v>50.25</v>
      </c>
      <c r="G194" s="146">
        <f>Revenue!G173</f>
        <v>73.562</v>
      </c>
      <c r="H194" s="146">
        <f>Revenue!H173</f>
        <v>75.92</v>
      </c>
      <c r="I194" s="146">
        <f>Revenue!I173</f>
        <v>52.64</v>
      </c>
      <c r="J194" s="146">
        <f>Revenue!J173</f>
        <v>53.054</v>
      </c>
      <c r="K194" s="146">
        <f>Revenue!K173</f>
        <v>41.302</v>
      </c>
      <c r="L194" s="146">
        <f>Revenue!L173</f>
        <v>78.032</v>
      </c>
      <c r="M194" s="146">
        <f>Revenue!M173</f>
        <v>61.436</v>
      </c>
      <c r="N194" s="146">
        <f>Revenue!N173</f>
        <v>41.092</v>
      </c>
      <c r="O194" s="146">
        <f>Revenue!O173</f>
        <v>71.462</v>
      </c>
      <c r="P194" s="146">
        <f>Revenue!P173</f>
        <v>45.682</v>
      </c>
      <c r="Q194" s="146">
        <f>Revenue!Q173</f>
        <v>48.264</v>
      </c>
      <c r="R194" s="146">
        <f>Revenue!R173</f>
        <v>49.268</v>
      </c>
      <c r="S194" s="146">
        <f>Revenue!S173</f>
        <v>49.334</v>
      </c>
      <c r="T194" s="146">
        <f>Revenue!T173</f>
        <v>70.352</v>
      </c>
      <c r="U194" s="146">
        <f>Revenue!U173</f>
        <v>74.524</v>
      </c>
      <c r="V194" s="146">
        <f>Revenue!V173</f>
        <v>50.626</v>
      </c>
      <c r="W194" s="146">
        <f>Revenue!W173</f>
        <v>72.596</v>
      </c>
      <c r="X194" s="146">
        <f>Revenue!X173</f>
        <v>46.644</v>
      </c>
      <c r="Y194" s="146">
        <f>Revenue!Y173</f>
        <v>71.024</v>
      </c>
      <c r="Z194" s="146">
        <f>Revenue!Z173</f>
        <v>100</v>
      </c>
      <c r="AA194" s="146">
        <f>Revenue!AA173</f>
        <v>100</v>
      </c>
      <c r="AB194" s="146">
        <f>Revenue!AB173</f>
        <v>100</v>
      </c>
      <c r="AC194" s="146">
        <f>Revenue!AC173</f>
        <v>100</v>
      </c>
      <c r="AD194" s="146">
        <f>Revenue!AD173</f>
        <v>100</v>
      </c>
      <c r="AE194" s="146">
        <f>Revenue!AE173</f>
        <v>100</v>
      </c>
      <c r="AF194" s="146">
        <f>Revenue!AF173</f>
        <v>100</v>
      </c>
      <c r="AG194" s="146">
        <f>Revenue!AG173</f>
        <v>100</v>
      </c>
      <c r="AH194" s="146">
        <f>Revenue!AH173</f>
        <v>100</v>
      </c>
      <c r="AI194" s="146">
        <f>Revenue!AI173</f>
        <v>100</v>
      </c>
      <c r="AJ194" s="146">
        <f>Revenue!AJ173</f>
        <v>100</v>
      </c>
      <c r="AK194" s="146">
        <f>Revenue!AK173</f>
        <v>100</v>
      </c>
      <c r="AL194" s="146">
        <f>Revenue!AL173</f>
        <v>100</v>
      </c>
      <c r="AM194" s="146">
        <f>Revenue!AM173</f>
        <v>150</v>
      </c>
      <c r="AN194" s="146">
        <f>Revenue!AN173</f>
        <v>150</v>
      </c>
      <c r="AO194" s="146">
        <f>Revenue!AO173</f>
        <v>150</v>
      </c>
      <c r="AP194" s="146">
        <f>Revenue!AP173</f>
        <v>150</v>
      </c>
      <c r="AQ194" s="146">
        <f>Revenue!AQ173</f>
        <v>150</v>
      </c>
      <c r="AR194" s="146">
        <f>Revenue!AR173</f>
        <v>150</v>
      </c>
      <c r="AS194" s="146">
        <f>Revenue!AS173</f>
        <v>150</v>
      </c>
      <c r="AT194" s="146">
        <f>Revenue!AT173</f>
        <v>150</v>
      </c>
      <c r="AU194" s="146">
        <f>Revenue!AU173</f>
        <v>150</v>
      </c>
      <c r="AV194" s="146">
        <f>Revenue!AV173</f>
        <v>150</v>
      </c>
      <c r="AW194" s="146">
        <f>Revenue!AW173</f>
        <v>150</v>
      </c>
      <c r="AX194" s="146">
        <f>Revenue!AX173</f>
        <v>150</v>
      </c>
      <c r="AY194" s="146">
        <f>Revenue!AY173</f>
        <v>200</v>
      </c>
      <c r="AZ194" s="146">
        <f>Revenue!AZ173</f>
        <v>200</v>
      </c>
      <c r="BA194" s="146">
        <f>Revenue!BA173</f>
        <v>200</v>
      </c>
      <c r="BB194" s="146">
        <f>Revenue!BB173</f>
        <v>200</v>
      </c>
      <c r="BC194" s="146">
        <f>Revenue!BC173</f>
        <v>200</v>
      </c>
      <c r="BD194" s="146">
        <f>Revenue!BD173</f>
        <v>200</v>
      </c>
      <c r="BE194" s="146">
        <f>Revenue!BE173</f>
        <v>200</v>
      </c>
      <c r="BF194" s="146">
        <f>Revenue!BF173</f>
        <v>200</v>
      </c>
      <c r="BG194" s="146">
        <f>Revenue!BG173</f>
        <v>200</v>
      </c>
      <c r="BH194" s="146">
        <f>Revenue!BH173</f>
        <v>200</v>
      </c>
      <c r="BI194" s="146">
        <f>Revenue!BI173</f>
        <v>200</v>
      </c>
      <c r="BJ194" s="146">
        <f>Revenue!BJ173</f>
        <v>200</v>
      </c>
      <c r="BK194" s="146">
        <f>Revenue!BK173</f>
        <v>200</v>
      </c>
      <c r="BL194" s="146">
        <f>Revenue!BL173</f>
        <v>200</v>
      </c>
      <c r="BM194" s="146">
        <f>Revenue!BM173</f>
        <v>200</v>
      </c>
      <c r="BN194" s="146">
        <f>Revenue!BN173</f>
        <v>200</v>
      </c>
      <c r="BO194" s="146">
        <f>Revenue!BO173</f>
        <v>200</v>
      </c>
      <c r="BP194" s="146">
        <f>Revenue!BP173</f>
        <v>200</v>
      </c>
      <c r="BQ194" s="146">
        <f>Revenue!BQ173</f>
        <v>200</v>
      </c>
      <c r="BR194" s="146">
        <f>Revenue!BR173</f>
        <v>200</v>
      </c>
      <c r="BS194" s="146">
        <f>Revenue!BS173</f>
        <v>200</v>
      </c>
      <c r="BT194" s="146">
        <f>Revenue!BT173</f>
        <v>200</v>
      </c>
      <c r="BU194" s="146">
        <f>Revenue!BU173</f>
        <v>200</v>
      </c>
      <c r="BV194" s="146">
        <f>Revenue!BV173</f>
        <v>200</v>
      </c>
      <c r="BW194" s="146">
        <f>Revenue!BW173</f>
        <v>200</v>
      </c>
      <c r="BX194" s="146">
        <f>Revenue!BX173</f>
        <v>200</v>
      </c>
      <c r="BY194" s="146">
        <f>Revenue!BY173</f>
        <v>200</v>
      </c>
      <c r="BZ194" s="146">
        <f>Revenue!BZ173</f>
        <v>200</v>
      </c>
      <c r="CA194" s="146">
        <f>Revenue!CA173</f>
        <v>200</v>
      </c>
      <c r="CB194" s="146">
        <f>Revenue!CB173</f>
        <v>200</v>
      </c>
      <c r="CC194" s="146">
        <f>Revenue!CC173</f>
        <v>200</v>
      </c>
      <c r="CD194" s="146">
        <f>Revenue!CD173</f>
        <v>200</v>
      </c>
      <c r="CE194" s="146">
        <f>Revenue!CE173</f>
        <v>200</v>
      </c>
      <c r="CF194" s="146">
        <f>Revenue!CF173</f>
        <v>200</v>
      </c>
      <c r="CG194" s="146">
        <f>Revenue!CG173</f>
        <v>200</v>
      </c>
      <c r="CH194" s="146">
        <f>Revenue!CH173</f>
        <v>200</v>
      </c>
    </row>
    <row r="195" ht="15.75" customHeight="1">
      <c r="A195" s="1" t="s">
        <v>693</v>
      </c>
      <c r="C195" s="146"/>
      <c r="D195" s="146">
        <f t="shared" ref="D195:CH195" si="166">D194-C194</f>
        <v>-2.166</v>
      </c>
      <c r="E195" s="146">
        <f t="shared" si="166"/>
        <v>-4.216</v>
      </c>
      <c r="F195" s="146">
        <f t="shared" si="166"/>
        <v>-23.268</v>
      </c>
      <c r="G195" s="146">
        <f t="shared" si="166"/>
        <v>23.312</v>
      </c>
      <c r="H195" s="146">
        <f t="shared" si="166"/>
        <v>2.358</v>
      </c>
      <c r="I195" s="146">
        <f t="shared" si="166"/>
        <v>-23.28</v>
      </c>
      <c r="J195" s="146">
        <f t="shared" si="166"/>
        <v>0.414</v>
      </c>
      <c r="K195" s="146">
        <f t="shared" si="166"/>
        <v>-11.752</v>
      </c>
      <c r="L195" s="146">
        <f t="shared" si="166"/>
        <v>36.73</v>
      </c>
      <c r="M195" s="146">
        <f t="shared" si="166"/>
        <v>-16.596</v>
      </c>
      <c r="N195" s="146">
        <f t="shared" si="166"/>
        <v>-20.344</v>
      </c>
      <c r="O195" s="146">
        <f t="shared" si="166"/>
        <v>30.37</v>
      </c>
      <c r="P195" s="146">
        <f t="shared" si="166"/>
        <v>-25.78</v>
      </c>
      <c r="Q195" s="146">
        <f t="shared" si="166"/>
        <v>2.582</v>
      </c>
      <c r="R195" s="146">
        <f t="shared" si="166"/>
        <v>1.004</v>
      </c>
      <c r="S195" s="146">
        <f t="shared" si="166"/>
        <v>0.066</v>
      </c>
      <c r="T195" s="146">
        <f t="shared" si="166"/>
        <v>21.018</v>
      </c>
      <c r="U195" s="146">
        <f t="shared" si="166"/>
        <v>4.172</v>
      </c>
      <c r="V195" s="146">
        <f t="shared" si="166"/>
        <v>-23.898</v>
      </c>
      <c r="W195" s="146">
        <f t="shared" si="166"/>
        <v>21.97</v>
      </c>
      <c r="X195" s="146">
        <f t="shared" si="166"/>
        <v>-25.952</v>
      </c>
      <c r="Y195" s="146">
        <f t="shared" si="166"/>
        <v>24.38</v>
      </c>
      <c r="Z195" s="146">
        <f t="shared" si="166"/>
        <v>28.976</v>
      </c>
      <c r="AA195" s="146">
        <f t="shared" si="166"/>
        <v>0</v>
      </c>
      <c r="AB195" s="146">
        <f t="shared" si="166"/>
        <v>0</v>
      </c>
      <c r="AC195" s="146">
        <f t="shared" si="166"/>
        <v>0</v>
      </c>
      <c r="AD195" s="146">
        <f t="shared" si="166"/>
        <v>0</v>
      </c>
      <c r="AE195" s="146">
        <f t="shared" si="166"/>
        <v>0</v>
      </c>
      <c r="AF195" s="146">
        <f t="shared" si="166"/>
        <v>0</v>
      </c>
      <c r="AG195" s="146">
        <f t="shared" si="166"/>
        <v>0</v>
      </c>
      <c r="AH195" s="146">
        <f t="shared" si="166"/>
        <v>0</v>
      </c>
      <c r="AI195" s="146">
        <f t="shared" si="166"/>
        <v>0</v>
      </c>
      <c r="AJ195" s="146">
        <f t="shared" si="166"/>
        <v>0</v>
      </c>
      <c r="AK195" s="146">
        <f t="shared" si="166"/>
        <v>0</v>
      </c>
      <c r="AL195" s="146">
        <f t="shared" si="166"/>
        <v>0</v>
      </c>
      <c r="AM195" s="146">
        <f t="shared" si="166"/>
        <v>50</v>
      </c>
      <c r="AN195" s="146">
        <f t="shared" si="166"/>
        <v>0</v>
      </c>
      <c r="AO195" s="146">
        <f t="shared" si="166"/>
        <v>0</v>
      </c>
      <c r="AP195" s="146">
        <f t="shared" si="166"/>
        <v>0</v>
      </c>
      <c r="AQ195" s="146">
        <f t="shared" si="166"/>
        <v>0</v>
      </c>
      <c r="AR195" s="146">
        <f t="shared" si="166"/>
        <v>0</v>
      </c>
      <c r="AS195" s="146">
        <f t="shared" si="166"/>
        <v>0</v>
      </c>
      <c r="AT195" s="146">
        <f t="shared" si="166"/>
        <v>0</v>
      </c>
      <c r="AU195" s="146">
        <f t="shared" si="166"/>
        <v>0</v>
      </c>
      <c r="AV195" s="146">
        <f t="shared" si="166"/>
        <v>0</v>
      </c>
      <c r="AW195" s="146">
        <f t="shared" si="166"/>
        <v>0</v>
      </c>
      <c r="AX195" s="146">
        <f t="shared" si="166"/>
        <v>0</v>
      </c>
      <c r="AY195" s="146">
        <f t="shared" si="166"/>
        <v>50</v>
      </c>
      <c r="AZ195" s="146">
        <f t="shared" si="166"/>
        <v>0</v>
      </c>
      <c r="BA195" s="146">
        <f t="shared" si="166"/>
        <v>0</v>
      </c>
      <c r="BB195" s="146">
        <f t="shared" si="166"/>
        <v>0</v>
      </c>
      <c r="BC195" s="146">
        <f t="shared" si="166"/>
        <v>0</v>
      </c>
      <c r="BD195" s="146">
        <f t="shared" si="166"/>
        <v>0</v>
      </c>
      <c r="BE195" s="146">
        <f t="shared" si="166"/>
        <v>0</v>
      </c>
      <c r="BF195" s="146">
        <f t="shared" si="166"/>
        <v>0</v>
      </c>
      <c r="BG195" s="146">
        <f t="shared" si="166"/>
        <v>0</v>
      </c>
      <c r="BH195" s="146">
        <f t="shared" si="166"/>
        <v>0</v>
      </c>
      <c r="BI195" s="146">
        <f t="shared" si="166"/>
        <v>0</v>
      </c>
      <c r="BJ195" s="146">
        <f t="shared" si="166"/>
        <v>0</v>
      </c>
      <c r="BK195" s="146">
        <f t="shared" si="166"/>
        <v>0</v>
      </c>
      <c r="BL195" s="146">
        <f t="shared" si="166"/>
        <v>0</v>
      </c>
      <c r="BM195" s="146">
        <f t="shared" si="166"/>
        <v>0</v>
      </c>
      <c r="BN195" s="146">
        <f t="shared" si="166"/>
        <v>0</v>
      </c>
      <c r="BO195" s="146">
        <f t="shared" si="166"/>
        <v>0</v>
      </c>
      <c r="BP195" s="146">
        <f t="shared" si="166"/>
        <v>0</v>
      </c>
      <c r="BQ195" s="146">
        <f t="shared" si="166"/>
        <v>0</v>
      </c>
      <c r="BR195" s="146">
        <f t="shared" si="166"/>
        <v>0</v>
      </c>
      <c r="BS195" s="146">
        <f t="shared" si="166"/>
        <v>0</v>
      </c>
      <c r="BT195" s="146">
        <f t="shared" si="166"/>
        <v>0</v>
      </c>
      <c r="BU195" s="146">
        <f t="shared" si="166"/>
        <v>0</v>
      </c>
      <c r="BV195" s="146">
        <f t="shared" si="166"/>
        <v>0</v>
      </c>
      <c r="BW195" s="146">
        <f t="shared" si="166"/>
        <v>0</v>
      </c>
      <c r="BX195" s="146">
        <f t="shared" si="166"/>
        <v>0</v>
      </c>
      <c r="BY195" s="146">
        <f t="shared" si="166"/>
        <v>0</v>
      </c>
      <c r="BZ195" s="146">
        <f t="shared" si="166"/>
        <v>0</v>
      </c>
      <c r="CA195" s="146">
        <f t="shared" si="166"/>
        <v>0</v>
      </c>
      <c r="CB195" s="146">
        <f t="shared" si="166"/>
        <v>0</v>
      </c>
      <c r="CC195" s="146">
        <f t="shared" si="166"/>
        <v>0</v>
      </c>
      <c r="CD195" s="146">
        <f t="shared" si="166"/>
        <v>0</v>
      </c>
      <c r="CE195" s="146">
        <f t="shared" si="166"/>
        <v>0</v>
      </c>
      <c r="CF195" s="146">
        <f t="shared" si="166"/>
        <v>0</v>
      </c>
      <c r="CG195" s="146">
        <f t="shared" si="166"/>
        <v>0</v>
      </c>
      <c r="CH195" s="146">
        <f t="shared" si="166"/>
        <v>0</v>
      </c>
    </row>
    <row r="196" ht="15.75" customHeight="1"/>
    <row r="197" ht="15.75" customHeight="1">
      <c r="A197" s="1" t="s">
        <v>728</v>
      </c>
      <c r="M197" s="173">
        <v>2.0</v>
      </c>
      <c r="N197" s="146">
        <f t="shared" ref="N197:O197" si="167">M197+M201</f>
        <v>2</v>
      </c>
      <c r="O197" s="146">
        <f t="shared" si="167"/>
        <v>2</v>
      </c>
      <c r="P197" s="242">
        <v>1.0</v>
      </c>
      <c r="Q197" s="242">
        <v>1.0</v>
      </c>
      <c r="R197" s="242">
        <v>1.0</v>
      </c>
      <c r="S197" s="242">
        <v>1.0</v>
      </c>
      <c r="T197" s="242">
        <v>1.0</v>
      </c>
      <c r="U197" s="242">
        <v>1.0</v>
      </c>
      <c r="V197" s="242">
        <v>1.0</v>
      </c>
      <c r="W197" s="242">
        <v>1.0</v>
      </c>
      <c r="X197" s="242">
        <v>1.0</v>
      </c>
      <c r="Y197" s="242">
        <v>1.0</v>
      </c>
      <c r="Z197" s="146">
        <f t="shared" ref="Z197:CH197" si="168">Y197+Y201</f>
        <v>1</v>
      </c>
      <c r="AA197" s="146">
        <f t="shared" si="168"/>
        <v>1</v>
      </c>
      <c r="AB197" s="146">
        <f t="shared" si="168"/>
        <v>1</v>
      </c>
      <c r="AC197" s="146">
        <f t="shared" si="168"/>
        <v>1</v>
      </c>
      <c r="AD197" s="146">
        <f t="shared" si="168"/>
        <v>1</v>
      </c>
      <c r="AE197" s="146">
        <f t="shared" si="168"/>
        <v>1</v>
      </c>
      <c r="AF197" s="146">
        <f t="shared" si="168"/>
        <v>1</v>
      </c>
      <c r="AG197" s="146">
        <f t="shared" si="168"/>
        <v>1</v>
      </c>
      <c r="AH197" s="146">
        <f t="shared" si="168"/>
        <v>1</v>
      </c>
      <c r="AI197" s="146">
        <f t="shared" si="168"/>
        <v>1</v>
      </c>
      <c r="AJ197" s="146">
        <f t="shared" si="168"/>
        <v>1</v>
      </c>
      <c r="AK197" s="146">
        <f t="shared" si="168"/>
        <v>1</v>
      </c>
      <c r="AL197" s="146">
        <f t="shared" si="168"/>
        <v>1</v>
      </c>
      <c r="AM197" s="146">
        <f t="shared" si="168"/>
        <v>1</v>
      </c>
      <c r="AN197" s="146">
        <f t="shared" si="168"/>
        <v>1</v>
      </c>
      <c r="AO197" s="146">
        <f t="shared" si="168"/>
        <v>1</v>
      </c>
      <c r="AP197" s="146">
        <f t="shared" si="168"/>
        <v>1</v>
      </c>
      <c r="AQ197" s="146">
        <f t="shared" si="168"/>
        <v>1</v>
      </c>
      <c r="AR197" s="146">
        <f t="shared" si="168"/>
        <v>1</v>
      </c>
      <c r="AS197" s="146">
        <f t="shared" si="168"/>
        <v>1</v>
      </c>
      <c r="AT197" s="146">
        <f t="shared" si="168"/>
        <v>1</v>
      </c>
      <c r="AU197" s="146">
        <f t="shared" si="168"/>
        <v>1</v>
      </c>
      <c r="AV197" s="146">
        <f t="shared" si="168"/>
        <v>1</v>
      </c>
      <c r="AW197" s="146">
        <f t="shared" si="168"/>
        <v>1</v>
      </c>
      <c r="AX197" s="146">
        <f t="shared" si="168"/>
        <v>1</v>
      </c>
      <c r="AY197" s="146">
        <f t="shared" si="168"/>
        <v>1</v>
      </c>
      <c r="AZ197" s="146">
        <f t="shared" si="168"/>
        <v>2</v>
      </c>
      <c r="BA197" s="146">
        <f t="shared" si="168"/>
        <v>2</v>
      </c>
      <c r="BB197" s="146">
        <f t="shared" si="168"/>
        <v>2</v>
      </c>
      <c r="BC197" s="146">
        <f t="shared" si="168"/>
        <v>2</v>
      </c>
      <c r="BD197" s="146">
        <f t="shared" si="168"/>
        <v>2</v>
      </c>
      <c r="BE197" s="146">
        <f t="shared" si="168"/>
        <v>2</v>
      </c>
      <c r="BF197" s="146">
        <f t="shared" si="168"/>
        <v>2</v>
      </c>
      <c r="BG197" s="146">
        <f t="shared" si="168"/>
        <v>2</v>
      </c>
      <c r="BH197" s="146">
        <f t="shared" si="168"/>
        <v>2</v>
      </c>
      <c r="BI197" s="146">
        <f t="shared" si="168"/>
        <v>2</v>
      </c>
      <c r="BJ197" s="146">
        <f t="shared" si="168"/>
        <v>2</v>
      </c>
      <c r="BK197" s="146">
        <f t="shared" si="168"/>
        <v>2</v>
      </c>
      <c r="BL197" s="146">
        <f t="shared" si="168"/>
        <v>2</v>
      </c>
      <c r="BM197" s="146">
        <f t="shared" si="168"/>
        <v>2</v>
      </c>
      <c r="BN197" s="146">
        <f t="shared" si="168"/>
        <v>2</v>
      </c>
      <c r="BO197" s="146">
        <f t="shared" si="168"/>
        <v>2</v>
      </c>
      <c r="BP197" s="146">
        <f t="shared" si="168"/>
        <v>2</v>
      </c>
      <c r="BQ197" s="146">
        <f t="shared" si="168"/>
        <v>2</v>
      </c>
      <c r="BR197" s="146">
        <f t="shared" si="168"/>
        <v>2</v>
      </c>
      <c r="BS197" s="146">
        <f t="shared" si="168"/>
        <v>2</v>
      </c>
      <c r="BT197" s="146">
        <f t="shared" si="168"/>
        <v>2</v>
      </c>
      <c r="BU197" s="146">
        <f t="shared" si="168"/>
        <v>2</v>
      </c>
      <c r="BV197" s="146">
        <f t="shared" si="168"/>
        <v>2</v>
      </c>
      <c r="BW197" s="146">
        <f t="shared" si="168"/>
        <v>2</v>
      </c>
      <c r="BX197" s="146">
        <f t="shared" si="168"/>
        <v>2</v>
      </c>
      <c r="BY197" s="146">
        <f t="shared" si="168"/>
        <v>2</v>
      </c>
      <c r="BZ197" s="146">
        <f t="shared" si="168"/>
        <v>2</v>
      </c>
      <c r="CA197" s="146">
        <f t="shared" si="168"/>
        <v>2</v>
      </c>
      <c r="CB197" s="146">
        <f t="shared" si="168"/>
        <v>2</v>
      </c>
      <c r="CC197" s="146">
        <f t="shared" si="168"/>
        <v>2</v>
      </c>
      <c r="CD197" s="146">
        <f t="shared" si="168"/>
        <v>2</v>
      </c>
      <c r="CE197" s="146">
        <f t="shared" si="168"/>
        <v>2</v>
      </c>
      <c r="CF197" s="146">
        <f t="shared" si="168"/>
        <v>2</v>
      </c>
      <c r="CG197" s="146">
        <f t="shared" si="168"/>
        <v>2</v>
      </c>
      <c r="CH197" s="146">
        <f t="shared" si="168"/>
        <v>2</v>
      </c>
    </row>
    <row r="198" ht="15.75" customHeight="1">
      <c r="A198" s="1" t="s">
        <v>729</v>
      </c>
      <c r="M198" s="173">
        <v>160.0</v>
      </c>
      <c r="N198" s="146">
        <f>M198</f>
        <v>160</v>
      </c>
      <c r="O198" s="482">
        <v>150.0</v>
      </c>
      <c r="P198" s="146">
        <f t="shared" ref="P198:AL198" si="169">O198</f>
        <v>150</v>
      </c>
      <c r="Q198" s="146">
        <f t="shared" si="169"/>
        <v>150</v>
      </c>
      <c r="R198" s="146">
        <f t="shared" si="169"/>
        <v>150</v>
      </c>
      <c r="S198" s="146">
        <f t="shared" si="169"/>
        <v>150</v>
      </c>
      <c r="T198" s="146">
        <f t="shared" si="169"/>
        <v>150</v>
      </c>
      <c r="U198" s="146">
        <f t="shared" si="169"/>
        <v>150</v>
      </c>
      <c r="V198" s="146">
        <f t="shared" si="169"/>
        <v>150</v>
      </c>
      <c r="W198" s="146">
        <f t="shared" si="169"/>
        <v>150</v>
      </c>
      <c r="X198" s="146">
        <f t="shared" si="169"/>
        <v>150</v>
      </c>
      <c r="Y198" s="146">
        <f t="shared" si="169"/>
        <v>150</v>
      </c>
      <c r="Z198" s="146">
        <f t="shared" si="169"/>
        <v>150</v>
      </c>
      <c r="AA198" s="146">
        <f t="shared" si="169"/>
        <v>150</v>
      </c>
      <c r="AB198" s="146">
        <f t="shared" si="169"/>
        <v>150</v>
      </c>
      <c r="AC198" s="146">
        <f t="shared" si="169"/>
        <v>150</v>
      </c>
      <c r="AD198" s="146">
        <f t="shared" si="169"/>
        <v>150</v>
      </c>
      <c r="AE198" s="146">
        <f t="shared" si="169"/>
        <v>150</v>
      </c>
      <c r="AF198" s="146">
        <f t="shared" si="169"/>
        <v>150</v>
      </c>
      <c r="AG198" s="146">
        <f t="shared" si="169"/>
        <v>150</v>
      </c>
      <c r="AH198" s="146">
        <f t="shared" si="169"/>
        <v>150</v>
      </c>
      <c r="AI198" s="146">
        <f t="shared" si="169"/>
        <v>150</v>
      </c>
      <c r="AJ198" s="146">
        <f t="shared" si="169"/>
        <v>150</v>
      </c>
      <c r="AK198" s="146">
        <f t="shared" si="169"/>
        <v>150</v>
      </c>
      <c r="AL198" s="146">
        <f t="shared" si="169"/>
        <v>150</v>
      </c>
      <c r="AM198" s="244">
        <v>152.0</v>
      </c>
      <c r="AN198" s="146">
        <f t="shared" ref="AN198:CH198" si="170">AM198</f>
        <v>152</v>
      </c>
      <c r="AO198" s="146">
        <f t="shared" si="170"/>
        <v>152</v>
      </c>
      <c r="AP198" s="146">
        <f t="shared" si="170"/>
        <v>152</v>
      </c>
      <c r="AQ198" s="146">
        <f t="shared" si="170"/>
        <v>152</v>
      </c>
      <c r="AR198" s="146">
        <f t="shared" si="170"/>
        <v>152</v>
      </c>
      <c r="AS198" s="146">
        <f t="shared" si="170"/>
        <v>152</v>
      </c>
      <c r="AT198" s="146">
        <f t="shared" si="170"/>
        <v>152</v>
      </c>
      <c r="AU198" s="146">
        <f t="shared" si="170"/>
        <v>152</v>
      </c>
      <c r="AV198" s="146">
        <f t="shared" si="170"/>
        <v>152</v>
      </c>
      <c r="AW198" s="146">
        <f t="shared" si="170"/>
        <v>152</v>
      </c>
      <c r="AX198" s="146">
        <f t="shared" si="170"/>
        <v>152</v>
      </c>
      <c r="AY198" s="146">
        <f t="shared" si="170"/>
        <v>152</v>
      </c>
      <c r="AZ198" s="146">
        <f t="shared" si="170"/>
        <v>152</v>
      </c>
      <c r="BA198" s="146">
        <f t="shared" si="170"/>
        <v>152</v>
      </c>
      <c r="BB198" s="146">
        <f t="shared" si="170"/>
        <v>152</v>
      </c>
      <c r="BC198" s="146">
        <f t="shared" si="170"/>
        <v>152</v>
      </c>
      <c r="BD198" s="146">
        <f t="shared" si="170"/>
        <v>152</v>
      </c>
      <c r="BE198" s="146">
        <f t="shared" si="170"/>
        <v>152</v>
      </c>
      <c r="BF198" s="146">
        <f t="shared" si="170"/>
        <v>152</v>
      </c>
      <c r="BG198" s="146">
        <f t="shared" si="170"/>
        <v>152</v>
      </c>
      <c r="BH198" s="146">
        <f t="shared" si="170"/>
        <v>152</v>
      </c>
      <c r="BI198" s="146">
        <f t="shared" si="170"/>
        <v>152</v>
      </c>
      <c r="BJ198" s="146">
        <f t="shared" si="170"/>
        <v>152</v>
      </c>
      <c r="BK198" s="146">
        <f t="shared" si="170"/>
        <v>152</v>
      </c>
      <c r="BL198" s="146">
        <f t="shared" si="170"/>
        <v>152</v>
      </c>
      <c r="BM198" s="146">
        <f t="shared" si="170"/>
        <v>152</v>
      </c>
      <c r="BN198" s="146">
        <f t="shared" si="170"/>
        <v>152</v>
      </c>
      <c r="BO198" s="146">
        <f t="shared" si="170"/>
        <v>152</v>
      </c>
      <c r="BP198" s="146">
        <f t="shared" si="170"/>
        <v>152</v>
      </c>
      <c r="BQ198" s="146">
        <f t="shared" si="170"/>
        <v>152</v>
      </c>
      <c r="BR198" s="146">
        <f t="shared" si="170"/>
        <v>152</v>
      </c>
      <c r="BS198" s="146">
        <f t="shared" si="170"/>
        <v>152</v>
      </c>
      <c r="BT198" s="146">
        <f t="shared" si="170"/>
        <v>152</v>
      </c>
      <c r="BU198" s="146">
        <f t="shared" si="170"/>
        <v>152</v>
      </c>
      <c r="BV198" s="146">
        <f t="shared" si="170"/>
        <v>152</v>
      </c>
      <c r="BW198" s="146">
        <f t="shared" si="170"/>
        <v>152</v>
      </c>
      <c r="BX198" s="146">
        <f t="shared" si="170"/>
        <v>152</v>
      </c>
      <c r="BY198" s="146">
        <f t="shared" si="170"/>
        <v>152</v>
      </c>
      <c r="BZ198" s="146">
        <f t="shared" si="170"/>
        <v>152</v>
      </c>
      <c r="CA198" s="146">
        <f t="shared" si="170"/>
        <v>152</v>
      </c>
      <c r="CB198" s="146">
        <f t="shared" si="170"/>
        <v>152</v>
      </c>
      <c r="CC198" s="146">
        <f t="shared" si="170"/>
        <v>152</v>
      </c>
      <c r="CD198" s="146">
        <f t="shared" si="170"/>
        <v>152</v>
      </c>
      <c r="CE198" s="146">
        <f t="shared" si="170"/>
        <v>152</v>
      </c>
      <c r="CF198" s="146">
        <f t="shared" si="170"/>
        <v>152</v>
      </c>
      <c r="CG198" s="146">
        <f t="shared" si="170"/>
        <v>152</v>
      </c>
      <c r="CH198" s="146">
        <f t="shared" si="170"/>
        <v>152</v>
      </c>
    </row>
    <row r="199" ht="15.75" customHeight="1">
      <c r="A199" s="1" t="s">
        <v>698</v>
      </c>
      <c r="M199" s="146">
        <f t="shared" ref="M199:CH199" si="171">M197*M198</f>
        <v>320</v>
      </c>
      <c r="N199" s="146">
        <f t="shared" si="171"/>
        <v>320</v>
      </c>
      <c r="O199" s="146">
        <f t="shared" si="171"/>
        <v>300</v>
      </c>
      <c r="P199" s="146">
        <f t="shared" si="171"/>
        <v>150</v>
      </c>
      <c r="Q199" s="146">
        <f t="shared" si="171"/>
        <v>150</v>
      </c>
      <c r="R199" s="146">
        <f t="shared" si="171"/>
        <v>150</v>
      </c>
      <c r="S199" s="146">
        <f t="shared" si="171"/>
        <v>150</v>
      </c>
      <c r="T199" s="146">
        <f t="shared" si="171"/>
        <v>150</v>
      </c>
      <c r="U199" s="146">
        <f t="shared" si="171"/>
        <v>150</v>
      </c>
      <c r="V199" s="146">
        <f t="shared" si="171"/>
        <v>150</v>
      </c>
      <c r="W199" s="146">
        <f t="shared" si="171"/>
        <v>150</v>
      </c>
      <c r="X199" s="146">
        <f t="shared" si="171"/>
        <v>150</v>
      </c>
      <c r="Y199" s="146">
        <f t="shared" si="171"/>
        <v>150</v>
      </c>
      <c r="Z199" s="146">
        <f t="shared" si="171"/>
        <v>150</v>
      </c>
      <c r="AA199" s="146">
        <f t="shared" si="171"/>
        <v>150</v>
      </c>
      <c r="AB199" s="146">
        <f t="shared" si="171"/>
        <v>150</v>
      </c>
      <c r="AC199" s="146">
        <f t="shared" si="171"/>
        <v>150</v>
      </c>
      <c r="AD199" s="146">
        <f t="shared" si="171"/>
        <v>150</v>
      </c>
      <c r="AE199" s="146">
        <f t="shared" si="171"/>
        <v>150</v>
      </c>
      <c r="AF199" s="146">
        <f t="shared" si="171"/>
        <v>150</v>
      </c>
      <c r="AG199" s="146">
        <f t="shared" si="171"/>
        <v>150</v>
      </c>
      <c r="AH199" s="146">
        <f t="shared" si="171"/>
        <v>150</v>
      </c>
      <c r="AI199" s="146">
        <f t="shared" si="171"/>
        <v>150</v>
      </c>
      <c r="AJ199" s="146">
        <f t="shared" si="171"/>
        <v>150</v>
      </c>
      <c r="AK199" s="146">
        <f t="shared" si="171"/>
        <v>150</v>
      </c>
      <c r="AL199" s="146">
        <f t="shared" si="171"/>
        <v>150</v>
      </c>
      <c r="AM199" s="146">
        <f t="shared" si="171"/>
        <v>152</v>
      </c>
      <c r="AN199" s="146">
        <f t="shared" si="171"/>
        <v>152</v>
      </c>
      <c r="AO199" s="146">
        <f t="shared" si="171"/>
        <v>152</v>
      </c>
      <c r="AP199" s="146">
        <f t="shared" si="171"/>
        <v>152</v>
      </c>
      <c r="AQ199" s="146">
        <f t="shared" si="171"/>
        <v>152</v>
      </c>
      <c r="AR199" s="146">
        <f t="shared" si="171"/>
        <v>152</v>
      </c>
      <c r="AS199" s="146">
        <f t="shared" si="171"/>
        <v>152</v>
      </c>
      <c r="AT199" s="146">
        <f t="shared" si="171"/>
        <v>152</v>
      </c>
      <c r="AU199" s="146">
        <f t="shared" si="171"/>
        <v>152</v>
      </c>
      <c r="AV199" s="146">
        <f t="shared" si="171"/>
        <v>152</v>
      </c>
      <c r="AW199" s="146">
        <f t="shared" si="171"/>
        <v>152</v>
      </c>
      <c r="AX199" s="146">
        <f t="shared" si="171"/>
        <v>152</v>
      </c>
      <c r="AY199" s="146">
        <f t="shared" si="171"/>
        <v>152</v>
      </c>
      <c r="AZ199" s="146">
        <f t="shared" si="171"/>
        <v>304</v>
      </c>
      <c r="BA199" s="146">
        <f t="shared" si="171"/>
        <v>304</v>
      </c>
      <c r="BB199" s="146">
        <f t="shared" si="171"/>
        <v>304</v>
      </c>
      <c r="BC199" s="146">
        <f t="shared" si="171"/>
        <v>304</v>
      </c>
      <c r="BD199" s="146">
        <f t="shared" si="171"/>
        <v>304</v>
      </c>
      <c r="BE199" s="146">
        <f t="shared" si="171"/>
        <v>304</v>
      </c>
      <c r="BF199" s="146">
        <f t="shared" si="171"/>
        <v>304</v>
      </c>
      <c r="BG199" s="146">
        <f t="shared" si="171"/>
        <v>304</v>
      </c>
      <c r="BH199" s="146">
        <f t="shared" si="171"/>
        <v>304</v>
      </c>
      <c r="BI199" s="146">
        <f t="shared" si="171"/>
        <v>304</v>
      </c>
      <c r="BJ199" s="146">
        <f t="shared" si="171"/>
        <v>304</v>
      </c>
      <c r="BK199" s="146">
        <f t="shared" si="171"/>
        <v>304</v>
      </c>
      <c r="BL199" s="146">
        <f t="shared" si="171"/>
        <v>304</v>
      </c>
      <c r="BM199" s="146">
        <f t="shared" si="171"/>
        <v>304</v>
      </c>
      <c r="BN199" s="146">
        <f t="shared" si="171"/>
        <v>304</v>
      </c>
      <c r="BO199" s="146">
        <f t="shared" si="171"/>
        <v>304</v>
      </c>
      <c r="BP199" s="146">
        <f t="shared" si="171"/>
        <v>304</v>
      </c>
      <c r="BQ199" s="146">
        <f t="shared" si="171"/>
        <v>304</v>
      </c>
      <c r="BR199" s="146">
        <f t="shared" si="171"/>
        <v>304</v>
      </c>
      <c r="BS199" s="146">
        <f t="shared" si="171"/>
        <v>304</v>
      </c>
      <c r="BT199" s="146">
        <f t="shared" si="171"/>
        <v>304</v>
      </c>
      <c r="BU199" s="146">
        <f t="shared" si="171"/>
        <v>304</v>
      </c>
      <c r="BV199" s="146">
        <f t="shared" si="171"/>
        <v>304</v>
      </c>
      <c r="BW199" s="146">
        <f t="shared" si="171"/>
        <v>304</v>
      </c>
      <c r="BX199" s="146">
        <f t="shared" si="171"/>
        <v>304</v>
      </c>
      <c r="BY199" s="146">
        <f t="shared" si="171"/>
        <v>304</v>
      </c>
      <c r="BZ199" s="146">
        <f t="shared" si="171"/>
        <v>304</v>
      </c>
      <c r="CA199" s="146">
        <f t="shared" si="171"/>
        <v>304</v>
      </c>
      <c r="CB199" s="146">
        <f t="shared" si="171"/>
        <v>304</v>
      </c>
      <c r="CC199" s="146">
        <f t="shared" si="171"/>
        <v>304</v>
      </c>
      <c r="CD199" s="146">
        <f t="shared" si="171"/>
        <v>304</v>
      </c>
      <c r="CE199" s="146">
        <f t="shared" si="171"/>
        <v>304</v>
      </c>
      <c r="CF199" s="146">
        <f t="shared" si="171"/>
        <v>304</v>
      </c>
      <c r="CG199" s="146">
        <f t="shared" si="171"/>
        <v>304</v>
      </c>
      <c r="CH199" s="146">
        <f t="shared" si="171"/>
        <v>304</v>
      </c>
    </row>
    <row r="200" ht="15.75" customHeight="1">
      <c r="A200" s="1" t="s">
        <v>700</v>
      </c>
      <c r="B200" s="446" t="s">
        <v>701</v>
      </c>
      <c r="M200" s="146">
        <f t="shared" ref="M200:CH200" si="172">M199-M194</f>
        <v>258.564</v>
      </c>
      <c r="N200" s="146">
        <f t="shared" si="172"/>
        <v>278.908</v>
      </c>
      <c r="O200" s="146">
        <f t="shared" si="172"/>
        <v>228.538</v>
      </c>
      <c r="P200" s="146">
        <f t="shared" si="172"/>
        <v>104.318</v>
      </c>
      <c r="Q200" s="146">
        <f t="shared" si="172"/>
        <v>101.736</v>
      </c>
      <c r="R200" s="146">
        <f t="shared" si="172"/>
        <v>100.732</v>
      </c>
      <c r="S200" s="146">
        <f t="shared" si="172"/>
        <v>100.666</v>
      </c>
      <c r="T200" s="146">
        <f t="shared" si="172"/>
        <v>79.648</v>
      </c>
      <c r="U200" s="146">
        <f t="shared" si="172"/>
        <v>75.476</v>
      </c>
      <c r="V200" s="146">
        <f t="shared" si="172"/>
        <v>99.374</v>
      </c>
      <c r="W200" s="146">
        <f t="shared" si="172"/>
        <v>77.404</v>
      </c>
      <c r="X200" s="146">
        <f t="shared" si="172"/>
        <v>103.356</v>
      </c>
      <c r="Y200" s="146">
        <f t="shared" si="172"/>
        <v>78.976</v>
      </c>
      <c r="Z200" s="146">
        <f t="shared" si="172"/>
        <v>50</v>
      </c>
      <c r="AA200" s="146">
        <f t="shared" si="172"/>
        <v>50</v>
      </c>
      <c r="AB200" s="146">
        <f t="shared" si="172"/>
        <v>50</v>
      </c>
      <c r="AC200" s="146">
        <f t="shared" si="172"/>
        <v>50</v>
      </c>
      <c r="AD200" s="146">
        <f t="shared" si="172"/>
        <v>50</v>
      </c>
      <c r="AE200" s="146">
        <f t="shared" si="172"/>
        <v>50</v>
      </c>
      <c r="AF200" s="146">
        <f t="shared" si="172"/>
        <v>50</v>
      </c>
      <c r="AG200" s="146">
        <f t="shared" si="172"/>
        <v>50</v>
      </c>
      <c r="AH200" s="146">
        <f t="shared" si="172"/>
        <v>50</v>
      </c>
      <c r="AI200" s="146">
        <f t="shared" si="172"/>
        <v>50</v>
      </c>
      <c r="AJ200" s="146">
        <f t="shared" si="172"/>
        <v>50</v>
      </c>
      <c r="AK200" s="146">
        <f t="shared" si="172"/>
        <v>50</v>
      </c>
      <c r="AL200" s="146">
        <f t="shared" si="172"/>
        <v>50</v>
      </c>
      <c r="AM200" s="146">
        <f t="shared" si="172"/>
        <v>2</v>
      </c>
      <c r="AN200" s="146">
        <f t="shared" si="172"/>
        <v>2</v>
      </c>
      <c r="AO200" s="146">
        <f t="shared" si="172"/>
        <v>2</v>
      </c>
      <c r="AP200" s="146">
        <f t="shared" si="172"/>
        <v>2</v>
      </c>
      <c r="AQ200" s="146">
        <f t="shared" si="172"/>
        <v>2</v>
      </c>
      <c r="AR200" s="146">
        <f t="shared" si="172"/>
        <v>2</v>
      </c>
      <c r="AS200" s="146">
        <f t="shared" si="172"/>
        <v>2</v>
      </c>
      <c r="AT200" s="146">
        <f t="shared" si="172"/>
        <v>2</v>
      </c>
      <c r="AU200" s="146">
        <f t="shared" si="172"/>
        <v>2</v>
      </c>
      <c r="AV200" s="146">
        <f t="shared" si="172"/>
        <v>2</v>
      </c>
      <c r="AW200" s="146">
        <f t="shared" si="172"/>
        <v>2</v>
      </c>
      <c r="AX200" s="146">
        <f t="shared" si="172"/>
        <v>2</v>
      </c>
      <c r="AY200" s="146">
        <f t="shared" si="172"/>
        <v>-48</v>
      </c>
      <c r="AZ200" s="146">
        <f t="shared" si="172"/>
        <v>104</v>
      </c>
      <c r="BA200" s="146">
        <f t="shared" si="172"/>
        <v>104</v>
      </c>
      <c r="BB200" s="146">
        <f t="shared" si="172"/>
        <v>104</v>
      </c>
      <c r="BC200" s="146">
        <f t="shared" si="172"/>
        <v>104</v>
      </c>
      <c r="BD200" s="146">
        <f t="shared" si="172"/>
        <v>104</v>
      </c>
      <c r="BE200" s="146">
        <f t="shared" si="172"/>
        <v>104</v>
      </c>
      <c r="BF200" s="146">
        <f t="shared" si="172"/>
        <v>104</v>
      </c>
      <c r="BG200" s="146">
        <f t="shared" si="172"/>
        <v>104</v>
      </c>
      <c r="BH200" s="146">
        <f t="shared" si="172"/>
        <v>104</v>
      </c>
      <c r="BI200" s="146">
        <f t="shared" si="172"/>
        <v>104</v>
      </c>
      <c r="BJ200" s="146">
        <f t="shared" si="172"/>
        <v>104</v>
      </c>
      <c r="BK200" s="146">
        <f t="shared" si="172"/>
        <v>104</v>
      </c>
      <c r="BL200" s="146">
        <f t="shared" si="172"/>
        <v>104</v>
      </c>
      <c r="BM200" s="146">
        <f t="shared" si="172"/>
        <v>104</v>
      </c>
      <c r="BN200" s="146">
        <f t="shared" si="172"/>
        <v>104</v>
      </c>
      <c r="BO200" s="146">
        <f t="shared" si="172"/>
        <v>104</v>
      </c>
      <c r="BP200" s="146">
        <f t="shared" si="172"/>
        <v>104</v>
      </c>
      <c r="BQ200" s="146">
        <f t="shared" si="172"/>
        <v>104</v>
      </c>
      <c r="BR200" s="146">
        <f t="shared" si="172"/>
        <v>104</v>
      </c>
      <c r="BS200" s="146">
        <f t="shared" si="172"/>
        <v>104</v>
      </c>
      <c r="BT200" s="146">
        <f t="shared" si="172"/>
        <v>104</v>
      </c>
      <c r="BU200" s="146">
        <f t="shared" si="172"/>
        <v>104</v>
      </c>
      <c r="BV200" s="146">
        <f t="shared" si="172"/>
        <v>104</v>
      </c>
      <c r="BW200" s="146">
        <f t="shared" si="172"/>
        <v>104</v>
      </c>
      <c r="BX200" s="146">
        <f t="shared" si="172"/>
        <v>104</v>
      </c>
      <c r="BY200" s="146">
        <f t="shared" si="172"/>
        <v>104</v>
      </c>
      <c r="BZ200" s="146">
        <f t="shared" si="172"/>
        <v>104</v>
      </c>
      <c r="CA200" s="146">
        <f t="shared" si="172"/>
        <v>104</v>
      </c>
      <c r="CB200" s="146">
        <f t="shared" si="172"/>
        <v>104</v>
      </c>
      <c r="CC200" s="146">
        <f t="shared" si="172"/>
        <v>104</v>
      </c>
      <c r="CD200" s="146">
        <f t="shared" si="172"/>
        <v>104</v>
      </c>
      <c r="CE200" s="146">
        <f t="shared" si="172"/>
        <v>104</v>
      </c>
      <c r="CF200" s="146">
        <f t="shared" si="172"/>
        <v>104</v>
      </c>
      <c r="CG200" s="146">
        <f t="shared" si="172"/>
        <v>104</v>
      </c>
      <c r="CH200" s="146">
        <f t="shared" si="172"/>
        <v>104</v>
      </c>
    </row>
    <row r="201" ht="15.75" customHeight="1">
      <c r="A201" s="1" t="s">
        <v>701</v>
      </c>
      <c r="B201" s="468">
        <v>0.0</v>
      </c>
      <c r="M201" s="173">
        <v>0.0</v>
      </c>
      <c r="N201" s="173">
        <v>0.0</v>
      </c>
      <c r="O201" s="146">
        <f t="shared" ref="O201:U201" si="173">IF(O200&gt;$B201,0,ROUNDUP(ABS(O200/O198),0))</f>
        <v>0</v>
      </c>
      <c r="P201" s="146">
        <f t="shared" si="173"/>
        <v>0</v>
      </c>
      <c r="Q201" s="146">
        <f t="shared" si="173"/>
        <v>0</v>
      </c>
      <c r="R201" s="146">
        <f t="shared" si="173"/>
        <v>0</v>
      </c>
      <c r="S201" s="146">
        <f t="shared" si="173"/>
        <v>0</v>
      </c>
      <c r="T201" s="146">
        <f t="shared" si="173"/>
        <v>0</v>
      </c>
      <c r="U201" s="146">
        <f t="shared" si="173"/>
        <v>0</v>
      </c>
      <c r="V201" s="146">
        <v>1.0</v>
      </c>
      <c r="W201" s="244">
        <v>0.0</v>
      </c>
      <c r="X201" s="146">
        <f t="shared" ref="X201:CH201" si="174">IF(X200&gt;$B201,0,ROUNDUP(ABS(X200/X198),0))</f>
        <v>0</v>
      </c>
      <c r="Y201" s="146">
        <f t="shared" si="174"/>
        <v>0</v>
      </c>
      <c r="Z201" s="146">
        <f t="shared" si="174"/>
        <v>0</v>
      </c>
      <c r="AA201" s="146">
        <f t="shared" si="174"/>
        <v>0</v>
      </c>
      <c r="AB201" s="146">
        <f t="shared" si="174"/>
        <v>0</v>
      </c>
      <c r="AC201" s="146">
        <f t="shared" si="174"/>
        <v>0</v>
      </c>
      <c r="AD201" s="146">
        <f t="shared" si="174"/>
        <v>0</v>
      </c>
      <c r="AE201" s="146">
        <f t="shared" si="174"/>
        <v>0</v>
      </c>
      <c r="AF201" s="146">
        <f t="shared" si="174"/>
        <v>0</v>
      </c>
      <c r="AG201" s="146">
        <f t="shared" si="174"/>
        <v>0</v>
      </c>
      <c r="AH201" s="146">
        <f t="shared" si="174"/>
        <v>0</v>
      </c>
      <c r="AI201" s="146">
        <f t="shared" si="174"/>
        <v>0</v>
      </c>
      <c r="AJ201" s="146">
        <f t="shared" si="174"/>
        <v>0</v>
      </c>
      <c r="AK201" s="146">
        <f t="shared" si="174"/>
        <v>0</v>
      </c>
      <c r="AL201" s="146">
        <f t="shared" si="174"/>
        <v>0</v>
      </c>
      <c r="AM201" s="146">
        <f t="shared" si="174"/>
        <v>0</v>
      </c>
      <c r="AN201" s="146">
        <f t="shared" si="174"/>
        <v>0</v>
      </c>
      <c r="AO201" s="146">
        <f t="shared" si="174"/>
        <v>0</v>
      </c>
      <c r="AP201" s="146">
        <f t="shared" si="174"/>
        <v>0</v>
      </c>
      <c r="AQ201" s="146">
        <f t="shared" si="174"/>
        <v>0</v>
      </c>
      <c r="AR201" s="146">
        <f t="shared" si="174"/>
        <v>0</v>
      </c>
      <c r="AS201" s="146">
        <f t="shared" si="174"/>
        <v>0</v>
      </c>
      <c r="AT201" s="146">
        <f t="shared" si="174"/>
        <v>0</v>
      </c>
      <c r="AU201" s="146">
        <f t="shared" si="174"/>
        <v>0</v>
      </c>
      <c r="AV201" s="146">
        <f t="shared" si="174"/>
        <v>0</v>
      </c>
      <c r="AW201" s="146">
        <f t="shared" si="174"/>
        <v>0</v>
      </c>
      <c r="AX201" s="146">
        <f t="shared" si="174"/>
        <v>0</v>
      </c>
      <c r="AY201" s="146">
        <f t="shared" si="174"/>
        <v>1</v>
      </c>
      <c r="AZ201" s="146">
        <f t="shared" si="174"/>
        <v>0</v>
      </c>
      <c r="BA201" s="146">
        <f t="shared" si="174"/>
        <v>0</v>
      </c>
      <c r="BB201" s="146">
        <f t="shared" si="174"/>
        <v>0</v>
      </c>
      <c r="BC201" s="146">
        <f t="shared" si="174"/>
        <v>0</v>
      </c>
      <c r="BD201" s="146">
        <f t="shared" si="174"/>
        <v>0</v>
      </c>
      <c r="BE201" s="146">
        <f t="shared" si="174"/>
        <v>0</v>
      </c>
      <c r="BF201" s="146">
        <f t="shared" si="174"/>
        <v>0</v>
      </c>
      <c r="BG201" s="146">
        <f t="shared" si="174"/>
        <v>0</v>
      </c>
      <c r="BH201" s="146">
        <f t="shared" si="174"/>
        <v>0</v>
      </c>
      <c r="BI201" s="146">
        <f t="shared" si="174"/>
        <v>0</v>
      </c>
      <c r="BJ201" s="146">
        <f t="shared" si="174"/>
        <v>0</v>
      </c>
      <c r="BK201" s="146">
        <f t="shared" si="174"/>
        <v>0</v>
      </c>
      <c r="BL201" s="146">
        <f t="shared" si="174"/>
        <v>0</v>
      </c>
      <c r="BM201" s="146">
        <f t="shared" si="174"/>
        <v>0</v>
      </c>
      <c r="BN201" s="146">
        <f t="shared" si="174"/>
        <v>0</v>
      </c>
      <c r="BO201" s="146">
        <f t="shared" si="174"/>
        <v>0</v>
      </c>
      <c r="BP201" s="146">
        <f t="shared" si="174"/>
        <v>0</v>
      </c>
      <c r="BQ201" s="146">
        <f t="shared" si="174"/>
        <v>0</v>
      </c>
      <c r="BR201" s="146">
        <f t="shared" si="174"/>
        <v>0</v>
      </c>
      <c r="BS201" s="146">
        <f t="shared" si="174"/>
        <v>0</v>
      </c>
      <c r="BT201" s="146">
        <f t="shared" si="174"/>
        <v>0</v>
      </c>
      <c r="BU201" s="146">
        <f t="shared" si="174"/>
        <v>0</v>
      </c>
      <c r="BV201" s="146">
        <f t="shared" si="174"/>
        <v>0</v>
      </c>
      <c r="BW201" s="146">
        <f t="shared" si="174"/>
        <v>0</v>
      </c>
      <c r="BX201" s="146">
        <f t="shared" si="174"/>
        <v>0</v>
      </c>
      <c r="BY201" s="146">
        <f t="shared" si="174"/>
        <v>0</v>
      </c>
      <c r="BZ201" s="146">
        <f t="shared" si="174"/>
        <v>0</v>
      </c>
      <c r="CA201" s="146">
        <f t="shared" si="174"/>
        <v>0</v>
      </c>
      <c r="CB201" s="146">
        <f t="shared" si="174"/>
        <v>0</v>
      </c>
      <c r="CC201" s="146">
        <f t="shared" si="174"/>
        <v>0</v>
      </c>
      <c r="CD201" s="146">
        <f t="shared" si="174"/>
        <v>0</v>
      </c>
      <c r="CE201" s="146">
        <f t="shared" si="174"/>
        <v>0</v>
      </c>
      <c r="CF201" s="146">
        <f t="shared" si="174"/>
        <v>0</v>
      </c>
      <c r="CG201" s="146">
        <f t="shared" si="174"/>
        <v>0</v>
      </c>
      <c r="CH201" s="146">
        <f t="shared" si="174"/>
        <v>0</v>
      </c>
    </row>
    <row r="202" ht="15.75" customHeight="1">
      <c r="A202" s="1" t="s">
        <v>702</v>
      </c>
      <c r="B202" s="1" t="s">
        <v>703</v>
      </c>
      <c r="M202" s="244">
        <f t="shared" ref="M202:O202" si="175">M201</f>
        <v>0</v>
      </c>
      <c r="N202" s="244">
        <f t="shared" si="175"/>
        <v>0</v>
      </c>
      <c r="O202" s="244">
        <f t="shared" si="175"/>
        <v>0</v>
      </c>
      <c r="P202" s="146">
        <f t="shared" ref="P202:Q202" si="176">R201</f>
        <v>0</v>
      </c>
      <c r="Q202" s="146">
        <f t="shared" si="176"/>
        <v>0</v>
      </c>
      <c r="R202" s="146">
        <f t="shared" ref="R202:CH202" si="177">R201</f>
        <v>0</v>
      </c>
      <c r="S202" s="146">
        <f t="shared" si="177"/>
        <v>0</v>
      </c>
      <c r="T202" s="146">
        <f t="shared" si="177"/>
        <v>0</v>
      </c>
      <c r="U202" s="146">
        <f t="shared" si="177"/>
        <v>0</v>
      </c>
      <c r="V202" s="146">
        <f t="shared" si="177"/>
        <v>1</v>
      </c>
      <c r="W202" s="146">
        <f t="shared" si="177"/>
        <v>0</v>
      </c>
      <c r="X202" s="146">
        <f t="shared" si="177"/>
        <v>0</v>
      </c>
      <c r="Y202" s="146">
        <f t="shared" si="177"/>
        <v>0</v>
      </c>
      <c r="Z202" s="146">
        <f t="shared" si="177"/>
        <v>0</v>
      </c>
      <c r="AA202" s="146">
        <f t="shared" si="177"/>
        <v>0</v>
      </c>
      <c r="AB202" s="146">
        <f t="shared" si="177"/>
        <v>0</v>
      </c>
      <c r="AC202" s="146">
        <f t="shared" si="177"/>
        <v>0</v>
      </c>
      <c r="AD202" s="146">
        <f t="shared" si="177"/>
        <v>0</v>
      </c>
      <c r="AE202" s="146">
        <f t="shared" si="177"/>
        <v>0</v>
      </c>
      <c r="AF202" s="146">
        <f t="shared" si="177"/>
        <v>0</v>
      </c>
      <c r="AG202" s="146">
        <f t="shared" si="177"/>
        <v>0</v>
      </c>
      <c r="AH202" s="146">
        <f t="shared" si="177"/>
        <v>0</v>
      </c>
      <c r="AI202" s="146">
        <f t="shared" si="177"/>
        <v>0</v>
      </c>
      <c r="AJ202" s="146">
        <f t="shared" si="177"/>
        <v>0</v>
      </c>
      <c r="AK202" s="146">
        <f t="shared" si="177"/>
        <v>0</v>
      </c>
      <c r="AL202" s="146">
        <f t="shared" si="177"/>
        <v>0</v>
      </c>
      <c r="AM202" s="146">
        <f t="shared" si="177"/>
        <v>0</v>
      </c>
      <c r="AN202" s="146">
        <f t="shared" si="177"/>
        <v>0</v>
      </c>
      <c r="AO202" s="146">
        <f t="shared" si="177"/>
        <v>0</v>
      </c>
      <c r="AP202" s="146">
        <f t="shared" si="177"/>
        <v>0</v>
      </c>
      <c r="AQ202" s="146">
        <f t="shared" si="177"/>
        <v>0</v>
      </c>
      <c r="AR202" s="146">
        <f t="shared" si="177"/>
        <v>0</v>
      </c>
      <c r="AS202" s="146">
        <f t="shared" si="177"/>
        <v>0</v>
      </c>
      <c r="AT202" s="146">
        <f t="shared" si="177"/>
        <v>0</v>
      </c>
      <c r="AU202" s="146">
        <f t="shared" si="177"/>
        <v>0</v>
      </c>
      <c r="AV202" s="146">
        <f t="shared" si="177"/>
        <v>0</v>
      </c>
      <c r="AW202" s="146">
        <f t="shared" si="177"/>
        <v>0</v>
      </c>
      <c r="AX202" s="146">
        <f t="shared" si="177"/>
        <v>0</v>
      </c>
      <c r="AY202" s="146">
        <f t="shared" si="177"/>
        <v>1</v>
      </c>
      <c r="AZ202" s="146">
        <f t="shared" si="177"/>
        <v>0</v>
      </c>
      <c r="BA202" s="146">
        <f t="shared" si="177"/>
        <v>0</v>
      </c>
      <c r="BB202" s="146">
        <f t="shared" si="177"/>
        <v>0</v>
      </c>
      <c r="BC202" s="146">
        <f t="shared" si="177"/>
        <v>0</v>
      </c>
      <c r="BD202" s="146">
        <f t="shared" si="177"/>
        <v>0</v>
      </c>
      <c r="BE202" s="146">
        <f t="shared" si="177"/>
        <v>0</v>
      </c>
      <c r="BF202" s="146">
        <f t="shared" si="177"/>
        <v>0</v>
      </c>
      <c r="BG202" s="146">
        <f t="shared" si="177"/>
        <v>0</v>
      </c>
      <c r="BH202" s="146">
        <f t="shared" si="177"/>
        <v>0</v>
      </c>
      <c r="BI202" s="146">
        <f t="shared" si="177"/>
        <v>0</v>
      </c>
      <c r="BJ202" s="146">
        <f t="shared" si="177"/>
        <v>0</v>
      </c>
      <c r="BK202" s="146">
        <f t="shared" si="177"/>
        <v>0</v>
      </c>
      <c r="BL202" s="146">
        <f t="shared" si="177"/>
        <v>0</v>
      </c>
      <c r="BM202" s="146">
        <f t="shared" si="177"/>
        <v>0</v>
      </c>
      <c r="BN202" s="146">
        <f t="shared" si="177"/>
        <v>0</v>
      </c>
      <c r="BO202" s="146">
        <f t="shared" si="177"/>
        <v>0</v>
      </c>
      <c r="BP202" s="146">
        <f t="shared" si="177"/>
        <v>0</v>
      </c>
      <c r="BQ202" s="146">
        <f t="shared" si="177"/>
        <v>0</v>
      </c>
      <c r="BR202" s="146">
        <f t="shared" si="177"/>
        <v>0</v>
      </c>
      <c r="BS202" s="146">
        <f t="shared" si="177"/>
        <v>0</v>
      </c>
      <c r="BT202" s="146">
        <f t="shared" si="177"/>
        <v>0</v>
      </c>
      <c r="BU202" s="146">
        <f t="shared" si="177"/>
        <v>0</v>
      </c>
      <c r="BV202" s="146">
        <f t="shared" si="177"/>
        <v>0</v>
      </c>
      <c r="BW202" s="146">
        <f t="shared" si="177"/>
        <v>0</v>
      </c>
      <c r="BX202" s="146">
        <f t="shared" si="177"/>
        <v>0</v>
      </c>
      <c r="BY202" s="146">
        <f t="shared" si="177"/>
        <v>0</v>
      </c>
      <c r="BZ202" s="146">
        <f t="shared" si="177"/>
        <v>0</v>
      </c>
      <c r="CA202" s="146">
        <f t="shared" si="177"/>
        <v>0</v>
      </c>
      <c r="CB202" s="146">
        <f t="shared" si="177"/>
        <v>0</v>
      </c>
      <c r="CC202" s="146">
        <f t="shared" si="177"/>
        <v>0</v>
      </c>
      <c r="CD202" s="146">
        <f t="shared" si="177"/>
        <v>0</v>
      </c>
      <c r="CE202" s="146">
        <f t="shared" si="177"/>
        <v>0</v>
      </c>
      <c r="CF202" s="146">
        <f t="shared" si="177"/>
        <v>0</v>
      </c>
      <c r="CG202" s="146">
        <f t="shared" si="177"/>
        <v>0</v>
      </c>
      <c r="CH202" s="146">
        <f t="shared" si="177"/>
        <v>0</v>
      </c>
    </row>
    <row r="203" ht="15.75" customHeight="1"/>
    <row r="204" ht="15.75" customHeight="1">
      <c r="A204" s="115" t="s">
        <v>730</v>
      </c>
    </row>
    <row r="205" ht="15.75" customHeight="1"/>
    <row r="206" ht="15.75" customHeight="1">
      <c r="A206" s="1" t="s">
        <v>98</v>
      </c>
      <c r="O206" s="483">
        <f>'IS Proforma'!AB22</f>
        <v>1347011</v>
      </c>
      <c r="P206" s="483">
        <f>'IS Proforma'!AC22</f>
        <v>1100646</v>
      </c>
      <c r="Q206" s="483">
        <f>'IS Proforma'!AD22</f>
        <v>1222111</v>
      </c>
      <c r="R206" s="483">
        <f>'IS Proforma'!AE22</f>
        <v>1271194</v>
      </c>
      <c r="S206" s="483">
        <f>'IS Proforma'!AF22</f>
        <v>1363749</v>
      </c>
      <c r="T206" s="483">
        <f>'IS Proforma'!AG22</f>
        <v>1168159</v>
      </c>
      <c r="U206" s="483">
        <f>'IS Proforma'!AH22</f>
        <v>1323566</v>
      </c>
      <c r="V206" s="483">
        <f>'IS Proforma'!AI22</f>
        <v>1496054</v>
      </c>
      <c r="W206" s="483">
        <f>'IS Proforma'!AJ22</f>
        <v>1451527</v>
      </c>
      <c r="X206" s="483">
        <f>'IS Proforma'!AK22</f>
        <v>1263151</v>
      </c>
      <c r="Y206" s="483">
        <f>'IS Proforma'!AL22</f>
        <v>1309094</v>
      </c>
      <c r="Z206" s="483">
        <f>'IS Proforma'!AM22</f>
        <v>1415790.631</v>
      </c>
      <c r="AA206" s="483">
        <f>'IS Proforma'!AN22</f>
        <v>1667456.392</v>
      </c>
      <c r="AB206" s="483">
        <f>'IS Proforma'!AO22</f>
        <v>1916164.307</v>
      </c>
      <c r="AC206" s="483">
        <f>'IS Proforma'!AP22</f>
        <v>2143927.895</v>
      </c>
      <c r="AD206" s="483">
        <f>'IS Proforma'!AQ22</f>
        <v>2362030.523</v>
      </c>
      <c r="AE206" s="483">
        <f>'IS Proforma'!AR22</f>
        <v>2578733.721</v>
      </c>
      <c r="AF206" s="483">
        <f>'IS Proforma'!AS22</f>
        <v>2796714.82</v>
      </c>
      <c r="AG206" s="483">
        <f>'IS Proforma'!AT22</f>
        <v>2993212.987</v>
      </c>
      <c r="AH206" s="483">
        <f>'IS Proforma'!AU22</f>
        <v>3185918.325</v>
      </c>
      <c r="AI206" s="483">
        <f>'IS Proforma'!AV22</f>
        <v>3374588.725</v>
      </c>
      <c r="AJ206" s="483">
        <f>'IS Proforma'!AW22</f>
        <v>3549978.171</v>
      </c>
      <c r="AK206" s="483">
        <f>'IS Proforma'!AX22</f>
        <v>3723674.445</v>
      </c>
      <c r="AL206" s="483">
        <f>'IS Proforma'!AY22</f>
        <v>3899557.769</v>
      </c>
      <c r="AM206" s="483">
        <f>'IS Proforma'!AZ22</f>
        <v>4073318.095</v>
      </c>
      <c r="AN206" s="483">
        <f>'IS Proforma'!BA22</f>
        <v>4104264.349</v>
      </c>
      <c r="AO206" s="483">
        <f>'IS Proforma'!BB22</f>
        <v>4147652.518</v>
      </c>
      <c r="AP206" s="483">
        <f>'IS Proforma'!BC22</f>
        <v>4203892.505</v>
      </c>
      <c r="AQ206" s="483">
        <f>'IS Proforma'!BD22</f>
        <v>4263598.691</v>
      </c>
      <c r="AR206" s="483">
        <f>'IS Proforma'!BE22</f>
        <v>4325695.573</v>
      </c>
      <c r="AS206" s="483">
        <f>'IS Proforma'!BF22</f>
        <v>4387113.817</v>
      </c>
      <c r="AT206" s="483">
        <f>'IS Proforma'!BG22</f>
        <v>4461262.247</v>
      </c>
      <c r="AU206" s="483">
        <f>'IS Proforma'!BH22</f>
        <v>4521109.201</v>
      </c>
      <c r="AV206" s="483">
        <f>'IS Proforma'!BI22</f>
        <v>4580106.491</v>
      </c>
      <c r="AW206" s="483">
        <f>'IS Proforma'!BJ22</f>
        <v>4638288.148</v>
      </c>
      <c r="AX206" s="483">
        <f>'IS Proforma'!BK22</f>
        <v>4695693.717</v>
      </c>
      <c r="AY206" s="483">
        <f>'IS Proforma'!BL22</f>
        <v>4820732.602</v>
      </c>
      <c r="AZ206" s="483">
        <f>'IS Proforma'!BM22</f>
        <v>4914856.216</v>
      </c>
      <c r="BA206" s="483">
        <f>'IS Proforma'!BN22</f>
        <v>5006077.918</v>
      </c>
      <c r="BB206" s="483">
        <f>'IS Proforma'!BO22</f>
        <v>5094952.155</v>
      </c>
      <c r="BC206" s="483">
        <f>'IS Proforma'!BP22</f>
        <v>5181837.409</v>
      </c>
      <c r="BD206" s="483">
        <f>'IS Proforma'!BQ22</f>
        <v>5266964.562</v>
      </c>
      <c r="BE206" s="483">
        <f>'IS Proforma'!BR22</f>
        <v>5350509.62</v>
      </c>
      <c r="BF206" s="483">
        <f>'IS Proforma'!BS22</f>
        <v>5432616.125</v>
      </c>
      <c r="BG206" s="483">
        <f>'IS Proforma'!BT22</f>
        <v>5513405.239</v>
      </c>
      <c r="BH206" s="483">
        <f>'IS Proforma'!BU22</f>
        <v>5592981.632</v>
      </c>
      <c r="BI206" s="483">
        <f>'IS Proforma'!BV22</f>
        <v>5671437.41</v>
      </c>
      <c r="BJ206" s="483">
        <f>'IS Proforma'!BW22</f>
        <v>5748854.893</v>
      </c>
      <c r="BK206" s="483">
        <f>'IS Proforma'!BX22</f>
        <v>5860742.345</v>
      </c>
      <c r="BL206" s="483">
        <f>'IS Proforma'!BY22</f>
        <v>5947592.72</v>
      </c>
      <c r="BM206" s="483">
        <f>'IS Proforma'!BZ22</f>
        <v>6026248.645</v>
      </c>
      <c r="BN206" s="483">
        <f>'IS Proforma'!CA22</f>
        <v>6103350.145</v>
      </c>
      <c r="BO206" s="483">
        <f>'IS Proforma'!CB22</f>
        <v>6180069.871</v>
      </c>
      <c r="BP206" s="483">
        <f>'IS Proforma'!CC22</f>
        <v>6256437.323</v>
      </c>
      <c r="BQ206" s="483">
        <f>'IS Proforma'!CD22</f>
        <v>6332503.361</v>
      </c>
      <c r="BR206" s="483">
        <f>'IS Proforma'!CE22</f>
        <v>6408317.12</v>
      </c>
      <c r="BS206" s="483">
        <f>'IS Proforma'!CF22</f>
        <v>6483925.121</v>
      </c>
      <c r="BT206" s="483">
        <f>'IS Proforma'!CG22</f>
        <v>6559372.097</v>
      </c>
      <c r="BU206" s="483">
        <f>'IS Proforma'!CH22</f>
        <v>6634701.496</v>
      </c>
      <c r="BV206" s="483">
        <f>'IS Proforma'!CI22</f>
        <v>6709955.734</v>
      </c>
      <c r="BW206" s="483">
        <f>'IS Proforma'!CJ22</f>
        <v>6812868.679</v>
      </c>
      <c r="BX206" s="483">
        <f>'IS Proforma'!CK22</f>
        <v>6860970.95</v>
      </c>
      <c r="BY206" s="483">
        <f>'IS Proforma'!CL22</f>
        <v>6906949.871</v>
      </c>
      <c r="BZ206" s="483">
        <f>'IS Proforma'!CM22</f>
        <v>6955328.654</v>
      </c>
      <c r="CA206" s="483">
        <f>'IS Proforma'!CN22</f>
        <v>7005105.221</v>
      </c>
      <c r="CB206" s="483">
        <f>'IS Proforma'!CO22</f>
        <v>7055526.11</v>
      </c>
      <c r="CC206" s="483">
        <f>'IS Proforma'!CP22</f>
        <v>7106276.176</v>
      </c>
      <c r="CD206" s="483">
        <f>'IS Proforma'!CQ22</f>
        <v>7157194.211</v>
      </c>
      <c r="CE206" s="483">
        <f>'IS Proforma'!CR22</f>
        <v>7208189.201</v>
      </c>
      <c r="CF206" s="483">
        <f>'IS Proforma'!CS22</f>
        <v>7259209.016</v>
      </c>
      <c r="CG206" s="483">
        <f>'IS Proforma'!CT22</f>
        <v>7310225.906</v>
      </c>
      <c r="CH206" s="483">
        <f>'IS Proforma'!CU22</f>
        <v>7361228.504</v>
      </c>
    </row>
    <row r="207" ht="15.75" customHeight="1">
      <c r="A207" s="1" t="s">
        <v>731</v>
      </c>
    </row>
    <row r="208" ht="15.75" customHeight="1">
      <c r="A208" s="91">
        <v>2024.0</v>
      </c>
      <c r="B208" s="484">
        <v>0.55</v>
      </c>
    </row>
    <row r="209" ht="15.75" customHeight="1">
      <c r="A209" s="91">
        <v>2025.0</v>
      </c>
      <c r="B209" s="484">
        <v>-0.2</v>
      </c>
    </row>
    <row r="210" ht="15.75" customHeight="1">
      <c r="A210" s="91">
        <v>2026.0</v>
      </c>
      <c r="B210" s="484">
        <v>0.0</v>
      </c>
    </row>
    <row r="211" ht="15.75" customHeight="1">
      <c r="A211" s="91">
        <v>2027.0</v>
      </c>
      <c r="B211" s="484">
        <v>0.3</v>
      </c>
    </row>
    <row r="212" ht="15.75" customHeight="1">
      <c r="A212" s="115" t="s">
        <v>414</v>
      </c>
      <c r="O212" s="242">
        <f>Headcount!H6</f>
        <v>5</v>
      </c>
      <c r="P212" s="242">
        <f>Headcount!I6</f>
        <v>5</v>
      </c>
      <c r="Q212" s="242">
        <f>Headcount!J6</f>
        <v>5</v>
      </c>
      <c r="R212" s="242">
        <f>Headcount!K6</f>
        <v>5</v>
      </c>
      <c r="S212" s="242">
        <f>Headcount!L6</f>
        <v>5</v>
      </c>
      <c r="T212" s="242">
        <f>Headcount!M6</f>
        <v>5</v>
      </c>
      <c r="U212" s="242">
        <f t="shared" ref="U212:CH212" si="178">T212+T213</f>
        <v>5</v>
      </c>
      <c r="V212" s="242">
        <f t="shared" si="178"/>
        <v>5</v>
      </c>
      <c r="W212" s="242">
        <f t="shared" si="178"/>
        <v>6</v>
      </c>
      <c r="X212" s="242">
        <f t="shared" si="178"/>
        <v>7</v>
      </c>
      <c r="Y212" s="146">
        <f t="shared" si="178"/>
        <v>7</v>
      </c>
      <c r="Z212" s="146">
        <f t="shared" si="178"/>
        <v>7</v>
      </c>
      <c r="AA212" s="146">
        <f t="shared" si="178"/>
        <v>7</v>
      </c>
      <c r="AB212" s="146">
        <f t="shared" si="178"/>
        <v>7</v>
      </c>
      <c r="AC212" s="146">
        <f t="shared" si="178"/>
        <v>7</v>
      </c>
      <c r="AD212" s="146">
        <f t="shared" si="178"/>
        <v>7</v>
      </c>
      <c r="AE212" s="146">
        <f t="shared" si="178"/>
        <v>7</v>
      </c>
      <c r="AF212" s="146">
        <f t="shared" si="178"/>
        <v>7</v>
      </c>
      <c r="AG212" s="146">
        <f t="shared" si="178"/>
        <v>7</v>
      </c>
      <c r="AH212" s="146">
        <f t="shared" si="178"/>
        <v>7</v>
      </c>
      <c r="AI212" s="146">
        <f t="shared" si="178"/>
        <v>7</v>
      </c>
      <c r="AJ212" s="146">
        <f t="shared" si="178"/>
        <v>7</v>
      </c>
      <c r="AK212" s="146">
        <f t="shared" si="178"/>
        <v>7</v>
      </c>
      <c r="AL212" s="146">
        <f t="shared" si="178"/>
        <v>7</v>
      </c>
      <c r="AM212" s="146">
        <f t="shared" si="178"/>
        <v>7</v>
      </c>
      <c r="AN212" s="146">
        <f t="shared" si="178"/>
        <v>7</v>
      </c>
      <c r="AO212" s="146">
        <f t="shared" si="178"/>
        <v>7</v>
      </c>
      <c r="AP212" s="146">
        <f t="shared" si="178"/>
        <v>7</v>
      </c>
      <c r="AQ212" s="146">
        <f t="shared" si="178"/>
        <v>7</v>
      </c>
      <c r="AR212" s="146">
        <f t="shared" si="178"/>
        <v>7</v>
      </c>
      <c r="AS212" s="146">
        <f t="shared" si="178"/>
        <v>7</v>
      </c>
      <c r="AT212" s="146">
        <f t="shared" si="178"/>
        <v>7</v>
      </c>
      <c r="AU212" s="146">
        <f t="shared" si="178"/>
        <v>7</v>
      </c>
      <c r="AV212" s="146">
        <f t="shared" si="178"/>
        <v>7</v>
      </c>
      <c r="AW212" s="146">
        <f t="shared" si="178"/>
        <v>7</v>
      </c>
      <c r="AX212" s="146">
        <f t="shared" si="178"/>
        <v>7</v>
      </c>
      <c r="AY212" s="146">
        <f t="shared" si="178"/>
        <v>7</v>
      </c>
      <c r="AZ212" s="146">
        <f t="shared" si="178"/>
        <v>7</v>
      </c>
      <c r="BA212" s="146">
        <f t="shared" si="178"/>
        <v>7</v>
      </c>
      <c r="BB212" s="146">
        <f t="shared" si="178"/>
        <v>7</v>
      </c>
      <c r="BC212" s="146">
        <f t="shared" si="178"/>
        <v>7</v>
      </c>
      <c r="BD212" s="146">
        <f t="shared" si="178"/>
        <v>7</v>
      </c>
      <c r="BE212" s="146">
        <f t="shared" si="178"/>
        <v>7</v>
      </c>
      <c r="BF212" s="146">
        <f t="shared" si="178"/>
        <v>7</v>
      </c>
      <c r="BG212" s="146">
        <f t="shared" si="178"/>
        <v>7</v>
      </c>
      <c r="BH212" s="146">
        <f t="shared" si="178"/>
        <v>7</v>
      </c>
      <c r="BI212" s="146">
        <f t="shared" si="178"/>
        <v>7</v>
      </c>
      <c r="BJ212" s="146">
        <f t="shared" si="178"/>
        <v>7</v>
      </c>
      <c r="BK212" s="146">
        <f t="shared" si="178"/>
        <v>7</v>
      </c>
      <c r="BL212" s="146">
        <f t="shared" si="178"/>
        <v>7</v>
      </c>
      <c r="BM212" s="146">
        <f t="shared" si="178"/>
        <v>7</v>
      </c>
      <c r="BN212" s="146">
        <f t="shared" si="178"/>
        <v>7</v>
      </c>
      <c r="BO212" s="146">
        <f t="shared" si="178"/>
        <v>7</v>
      </c>
      <c r="BP212" s="146">
        <f t="shared" si="178"/>
        <v>7</v>
      </c>
      <c r="BQ212" s="146">
        <f t="shared" si="178"/>
        <v>7</v>
      </c>
      <c r="BR212" s="146">
        <f t="shared" si="178"/>
        <v>7</v>
      </c>
      <c r="BS212" s="146">
        <f t="shared" si="178"/>
        <v>7</v>
      </c>
      <c r="BT212" s="146">
        <f t="shared" si="178"/>
        <v>7</v>
      </c>
      <c r="BU212" s="146">
        <f t="shared" si="178"/>
        <v>7</v>
      </c>
      <c r="BV212" s="146">
        <f t="shared" si="178"/>
        <v>7</v>
      </c>
      <c r="BW212" s="146">
        <f t="shared" si="178"/>
        <v>7</v>
      </c>
      <c r="BX212" s="146">
        <f t="shared" si="178"/>
        <v>7</v>
      </c>
      <c r="BY212" s="146">
        <f t="shared" si="178"/>
        <v>7</v>
      </c>
      <c r="BZ212" s="146">
        <f t="shared" si="178"/>
        <v>7</v>
      </c>
      <c r="CA212" s="146">
        <f t="shared" si="178"/>
        <v>7</v>
      </c>
      <c r="CB212" s="146">
        <f t="shared" si="178"/>
        <v>7</v>
      </c>
      <c r="CC212" s="146">
        <f t="shared" si="178"/>
        <v>7</v>
      </c>
      <c r="CD212" s="146">
        <f t="shared" si="178"/>
        <v>7</v>
      </c>
      <c r="CE212" s="146">
        <f t="shared" si="178"/>
        <v>7</v>
      </c>
      <c r="CF212" s="146">
        <f t="shared" si="178"/>
        <v>7</v>
      </c>
      <c r="CG212" s="146">
        <f t="shared" si="178"/>
        <v>7</v>
      </c>
      <c r="CH212" s="146">
        <f t="shared" si="178"/>
        <v>7</v>
      </c>
    </row>
    <row r="213" ht="15.75" customHeight="1">
      <c r="A213" s="91" t="s">
        <v>732</v>
      </c>
      <c r="B213" s="485">
        <v>2000000.0</v>
      </c>
      <c r="O213" s="5"/>
      <c r="P213" s="5"/>
      <c r="Q213" s="5"/>
      <c r="R213" s="5"/>
      <c r="S213" s="5"/>
      <c r="T213" s="5"/>
      <c r="U213" s="8">
        <v>0.0</v>
      </c>
      <c r="V213" s="1">
        <v>1.0</v>
      </c>
      <c r="W213" s="8">
        <v>1.0</v>
      </c>
      <c r="X213" s="1">
        <f t="shared" ref="X213:AL213" si="179">IF((X212*$B213)&lt;X$206,ROUNDUP(ABS(X$206/$B213)-X212,0),0)</f>
        <v>0</v>
      </c>
      <c r="Y213" s="1">
        <f t="shared" si="179"/>
        <v>0</v>
      </c>
      <c r="Z213" s="1">
        <f t="shared" si="179"/>
        <v>0</v>
      </c>
      <c r="AA213" s="1">
        <f t="shared" si="179"/>
        <v>0</v>
      </c>
      <c r="AB213" s="1">
        <f t="shared" si="179"/>
        <v>0</v>
      </c>
      <c r="AC213" s="1">
        <f t="shared" si="179"/>
        <v>0</v>
      </c>
      <c r="AD213" s="1">
        <f t="shared" si="179"/>
        <v>0</v>
      </c>
      <c r="AE213" s="1">
        <f t="shared" si="179"/>
        <v>0</v>
      </c>
      <c r="AF213" s="1">
        <f t="shared" si="179"/>
        <v>0</v>
      </c>
      <c r="AG213" s="1">
        <f t="shared" si="179"/>
        <v>0</v>
      </c>
      <c r="AH213" s="1">
        <f t="shared" si="179"/>
        <v>0</v>
      </c>
      <c r="AI213" s="1">
        <f t="shared" si="179"/>
        <v>0</v>
      </c>
      <c r="AJ213" s="1">
        <f t="shared" si="179"/>
        <v>0</v>
      </c>
      <c r="AK213" s="1">
        <f t="shared" si="179"/>
        <v>0</v>
      </c>
      <c r="AL213" s="1">
        <f t="shared" si="179"/>
        <v>0</v>
      </c>
      <c r="AM213" s="1">
        <f t="shared" ref="AM213:AX213" si="180">IF((AM212*$B214)&lt;AM$206,ROUNDUP(ABS(AM$206/$B214)-AM212,0),0)</f>
        <v>0</v>
      </c>
      <c r="AN213" s="1">
        <f t="shared" si="180"/>
        <v>0</v>
      </c>
      <c r="AO213" s="1">
        <f t="shared" si="180"/>
        <v>0</v>
      </c>
      <c r="AP213" s="1">
        <f t="shared" si="180"/>
        <v>0</v>
      </c>
      <c r="AQ213" s="1">
        <f t="shared" si="180"/>
        <v>0</v>
      </c>
      <c r="AR213" s="1">
        <f t="shared" si="180"/>
        <v>0</v>
      </c>
      <c r="AS213" s="1">
        <f t="shared" si="180"/>
        <v>0</v>
      </c>
      <c r="AT213" s="1">
        <f t="shared" si="180"/>
        <v>0</v>
      </c>
      <c r="AU213" s="1">
        <f t="shared" si="180"/>
        <v>0</v>
      </c>
      <c r="AV213" s="1">
        <f t="shared" si="180"/>
        <v>0</v>
      </c>
      <c r="AW213" s="1">
        <f t="shared" si="180"/>
        <v>0</v>
      </c>
      <c r="AX213" s="1">
        <f t="shared" si="180"/>
        <v>0</v>
      </c>
      <c r="AY213" s="1">
        <f t="shared" ref="AY213:BJ213" si="181">IF((AY212*$B215)&lt;AY$206,ROUNDUP(ABS(AY$206/$B215)-AY212,0),0)</f>
        <v>0</v>
      </c>
      <c r="AZ213" s="1">
        <f t="shared" si="181"/>
        <v>0</v>
      </c>
      <c r="BA213" s="1">
        <f t="shared" si="181"/>
        <v>0</v>
      </c>
      <c r="BB213" s="1">
        <f t="shared" si="181"/>
        <v>0</v>
      </c>
      <c r="BC213" s="1">
        <f t="shared" si="181"/>
        <v>0</v>
      </c>
      <c r="BD213" s="1">
        <f t="shared" si="181"/>
        <v>0</v>
      </c>
      <c r="BE213" s="1">
        <f t="shared" si="181"/>
        <v>0</v>
      </c>
      <c r="BF213" s="1">
        <f t="shared" si="181"/>
        <v>0</v>
      </c>
      <c r="BG213" s="1">
        <f t="shared" si="181"/>
        <v>0</v>
      </c>
      <c r="BH213" s="1">
        <f t="shared" si="181"/>
        <v>0</v>
      </c>
      <c r="BI213" s="1">
        <f t="shared" si="181"/>
        <v>0</v>
      </c>
      <c r="BJ213" s="1">
        <f t="shared" si="181"/>
        <v>0</v>
      </c>
      <c r="BK213" s="1">
        <f t="shared" ref="BK213:BV213" si="182">IF((BK212*$B216)&lt;BK$206,ROUNDUP(ABS(BK$206/$B216)-BK212,0),0)</f>
        <v>0</v>
      </c>
      <c r="BL213" s="1">
        <f t="shared" si="182"/>
        <v>0</v>
      </c>
      <c r="BM213" s="1">
        <f t="shared" si="182"/>
        <v>0</v>
      </c>
      <c r="BN213" s="1">
        <f t="shared" si="182"/>
        <v>0</v>
      </c>
      <c r="BO213" s="1">
        <f t="shared" si="182"/>
        <v>0</v>
      </c>
      <c r="BP213" s="1">
        <f t="shared" si="182"/>
        <v>0</v>
      </c>
      <c r="BQ213" s="1">
        <f t="shared" si="182"/>
        <v>0</v>
      </c>
      <c r="BR213" s="1">
        <f t="shared" si="182"/>
        <v>0</v>
      </c>
      <c r="BS213" s="1">
        <f t="shared" si="182"/>
        <v>0</v>
      </c>
      <c r="BT213" s="1">
        <f t="shared" si="182"/>
        <v>0</v>
      </c>
      <c r="BU213" s="1">
        <f t="shared" si="182"/>
        <v>0</v>
      </c>
      <c r="BV213" s="1">
        <f t="shared" si="182"/>
        <v>0</v>
      </c>
      <c r="BW213" s="1">
        <f t="shared" ref="BW213:CH213" si="183">IF((BW212*$B217)&lt;BW$206,ROUNDUP(ABS(BW$206/$B217)-BW212,0),0)</f>
        <v>0</v>
      </c>
      <c r="BX213" s="1">
        <f t="shared" si="183"/>
        <v>0</v>
      </c>
      <c r="BY213" s="1">
        <f t="shared" si="183"/>
        <v>0</v>
      </c>
      <c r="BZ213" s="1">
        <f t="shared" si="183"/>
        <v>0</v>
      </c>
      <c r="CA213" s="1">
        <f t="shared" si="183"/>
        <v>0</v>
      </c>
      <c r="CB213" s="1">
        <f t="shared" si="183"/>
        <v>0</v>
      </c>
      <c r="CC213" s="1">
        <f t="shared" si="183"/>
        <v>0</v>
      </c>
      <c r="CD213" s="1">
        <f t="shared" si="183"/>
        <v>0</v>
      </c>
      <c r="CE213" s="1">
        <f t="shared" si="183"/>
        <v>0</v>
      </c>
      <c r="CF213" s="1">
        <f t="shared" si="183"/>
        <v>0</v>
      </c>
      <c r="CG213" s="1">
        <f t="shared" si="183"/>
        <v>0</v>
      </c>
      <c r="CH213" s="1">
        <f t="shared" si="183"/>
        <v>0</v>
      </c>
    </row>
    <row r="214" ht="15.75" customHeight="1">
      <c r="A214" s="91">
        <v>2024.0</v>
      </c>
      <c r="B214" s="137">
        <f t="shared" ref="B214:B217" si="184">B213*(1+B208)</f>
        <v>3100000</v>
      </c>
      <c r="O214" s="5"/>
      <c r="P214" s="5"/>
      <c r="Q214" s="5"/>
      <c r="R214" s="5"/>
      <c r="S214" s="5"/>
      <c r="T214" s="5"/>
    </row>
    <row r="215" ht="15.75" customHeight="1">
      <c r="A215" s="91">
        <v>2025.0</v>
      </c>
      <c r="B215" s="137">
        <f t="shared" si="184"/>
        <v>2480000</v>
      </c>
      <c r="O215" s="5"/>
      <c r="P215" s="5"/>
      <c r="Q215" s="5"/>
      <c r="R215" s="5"/>
      <c r="S215" s="5"/>
      <c r="T215" s="5"/>
    </row>
    <row r="216" ht="15.75" customHeight="1">
      <c r="A216" s="91">
        <v>2026.0</v>
      </c>
      <c r="B216" s="137">
        <f t="shared" si="184"/>
        <v>2480000</v>
      </c>
      <c r="O216" s="5"/>
      <c r="P216" s="5"/>
      <c r="Q216" s="5"/>
      <c r="R216" s="5"/>
      <c r="S216" s="5"/>
      <c r="T216" s="5"/>
    </row>
    <row r="217" ht="15.75" customHeight="1">
      <c r="A217" s="91">
        <v>2027.0</v>
      </c>
      <c r="B217" s="137">
        <f t="shared" si="184"/>
        <v>3224000</v>
      </c>
      <c r="O217" s="5"/>
      <c r="P217" s="5"/>
      <c r="Q217" s="5"/>
      <c r="R217" s="5"/>
      <c r="S217" s="5"/>
      <c r="T217" s="5"/>
    </row>
    <row r="218" ht="15.75" customHeight="1">
      <c r="A218" s="91"/>
      <c r="B218" s="305"/>
      <c r="O218" s="5"/>
      <c r="P218" s="5"/>
      <c r="Q218" s="5"/>
      <c r="R218" s="5"/>
      <c r="S218" s="5"/>
      <c r="T218" s="5"/>
    </row>
    <row r="219" ht="15.75" customHeight="1">
      <c r="A219" s="91"/>
      <c r="B219" s="305"/>
      <c r="O219" s="5"/>
      <c r="P219" s="5"/>
      <c r="Q219" s="5"/>
      <c r="R219" s="5"/>
      <c r="S219" s="8"/>
      <c r="T219" s="8"/>
      <c r="U219" s="8"/>
      <c r="V219" s="8"/>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row>
    <row r="220" ht="15.75" customHeight="1">
      <c r="A220" s="486" t="s">
        <v>733</v>
      </c>
      <c r="B220" s="305"/>
      <c r="O220" s="5"/>
      <c r="P220" s="5"/>
      <c r="Q220" s="5"/>
      <c r="R220" s="5"/>
      <c r="S220" s="8"/>
      <c r="T220" s="8"/>
      <c r="U220" s="8"/>
      <c r="V220" s="8"/>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row>
    <row r="221" ht="15.75" customHeight="1">
      <c r="A221" s="91"/>
      <c r="B221" s="305"/>
      <c r="O221" s="5"/>
      <c r="P221" s="5"/>
      <c r="Q221" s="5"/>
      <c r="R221" s="5"/>
      <c r="S221" s="5"/>
      <c r="T221" s="5"/>
    </row>
    <row r="222" ht="15.75" customHeight="1">
      <c r="A222" s="91" t="s">
        <v>732</v>
      </c>
      <c r="B222" s="485">
        <v>800000.0</v>
      </c>
      <c r="O222" s="242">
        <v>2.0</v>
      </c>
      <c r="P222" s="242">
        <v>2.0</v>
      </c>
      <c r="Q222" s="242">
        <v>2.0</v>
      </c>
      <c r="R222" s="242">
        <v>2.0</v>
      </c>
      <c r="S222" s="242">
        <v>2.0</v>
      </c>
      <c r="T222" s="242">
        <v>2.0</v>
      </c>
      <c r="U222" s="242">
        <v>2.0</v>
      </c>
      <c r="V222" s="242">
        <f t="shared" ref="V222:CH222" si="185">U222+U223</f>
        <v>4</v>
      </c>
      <c r="W222" s="242">
        <f t="shared" si="185"/>
        <v>4</v>
      </c>
      <c r="X222" s="242">
        <f t="shared" si="185"/>
        <v>4</v>
      </c>
      <c r="Y222" s="242">
        <f t="shared" si="185"/>
        <v>4</v>
      </c>
      <c r="Z222" s="146">
        <f t="shared" si="185"/>
        <v>4</v>
      </c>
      <c r="AA222" s="146">
        <f t="shared" si="185"/>
        <v>4</v>
      </c>
      <c r="AB222" s="146">
        <f t="shared" si="185"/>
        <v>4</v>
      </c>
      <c r="AC222" s="146">
        <f t="shared" si="185"/>
        <v>4</v>
      </c>
      <c r="AD222" s="146">
        <f t="shared" si="185"/>
        <v>4</v>
      </c>
      <c r="AE222" s="146">
        <f t="shared" si="185"/>
        <v>4</v>
      </c>
      <c r="AF222" s="146">
        <f t="shared" si="185"/>
        <v>4</v>
      </c>
      <c r="AG222" s="146">
        <f t="shared" si="185"/>
        <v>4</v>
      </c>
      <c r="AH222" s="146">
        <f t="shared" si="185"/>
        <v>4</v>
      </c>
      <c r="AI222" s="146">
        <f t="shared" si="185"/>
        <v>4</v>
      </c>
      <c r="AJ222" s="146">
        <f t="shared" si="185"/>
        <v>5</v>
      </c>
      <c r="AK222" s="146">
        <f t="shared" si="185"/>
        <v>5</v>
      </c>
      <c r="AL222" s="146">
        <f t="shared" si="185"/>
        <v>5</v>
      </c>
      <c r="AM222" s="146">
        <f t="shared" si="185"/>
        <v>5</v>
      </c>
      <c r="AN222" s="146">
        <f t="shared" si="185"/>
        <v>5</v>
      </c>
      <c r="AO222" s="146">
        <f t="shared" si="185"/>
        <v>5</v>
      </c>
      <c r="AP222" s="146">
        <f t="shared" si="185"/>
        <v>5</v>
      </c>
      <c r="AQ222" s="146">
        <f t="shared" si="185"/>
        <v>5</v>
      </c>
      <c r="AR222" s="146">
        <f t="shared" si="185"/>
        <v>5</v>
      </c>
      <c r="AS222" s="146">
        <f t="shared" si="185"/>
        <v>5</v>
      </c>
      <c r="AT222" s="146">
        <f t="shared" si="185"/>
        <v>5</v>
      </c>
      <c r="AU222" s="146">
        <f t="shared" si="185"/>
        <v>5</v>
      </c>
      <c r="AV222" s="146">
        <f t="shared" si="185"/>
        <v>5</v>
      </c>
      <c r="AW222" s="146">
        <f t="shared" si="185"/>
        <v>5</v>
      </c>
      <c r="AX222" s="146">
        <f t="shared" si="185"/>
        <v>5</v>
      </c>
      <c r="AY222" s="146">
        <f t="shared" si="185"/>
        <v>5</v>
      </c>
      <c r="AZ222" s="146">
        <f t="shared" si="185"/>
        <v>5</v>
      </c>
      <c r="BA222" s="146">
        <f t="shared" si="185"/>
        <v>5</v>
      </c>
      <c r="BB222" s="146">
        <f t="shared" si="185"/>
        <v>6</v>
      </c>
      <c r="BC222" s="146">
        <f t="shared" si="185"/>
        <v>6</v>
      </c>
      <c r="BD222" s="146">
        <f t="shared" si="185"/>
        <v>6</v>
      </c>
      <c r="BE222" s="146">
        <f t="shared" si="185"/>
        <v>6</v>
      </c>
      <c r="BF222" s="146">
        <f t="shared" si="185"/>
        <v>6</v>
      </c>
      <c r="BG222" s="146">
        <f t="shared" si="185"/>
        <v>6</v>
      </c>
      <c r="BH222" s="146">
        <f t="shared" si="185"/>
        <v>6</v>
      </c>
      <c r="BI222" s="146">
        <f t="shared" si="185"/>
        <v>6</v>
      </c>
      <c r="BJ222" s="146">
        <f t="shared" si="185"/>
        <v>6</v>
      </c>
      <c r="BK222" s="146">
        <f t="shared" si="185"/>
        <v>6</v>
      </c>
      <c r="BL222" s="146">
        <f t="shared" si="185"/>
        <v>6</v>
      </c>
      <c r="BM222" s="146">
        <f t="shared" si="185"/>
        <v>6</v>
      </c>
      <c r="BN222" s="146">
        <f t="shared" si="185"/>
        <v>7</v>
      </c>
      <c r="BO222" s="146">
        <f t="shared" si="185"/>
        <v>7</v>
      </c>
      <c r="BP222" s="146">
        <f t="shared" si="185"/>
        <v>7</v>
      </c>
      <c r="BQ222" s="146">
        <f t="shared" si="185"/>
        <v>7</v>
      </c>
      <c r="BR222" s="146">
        <f t="shared" si="185"/>
        <v>7</v>
      </c>
      <c r="BS222" s="146">
        <f t="shared" si="185"/>
        <v>7</v>
      </c>
      <c r="BT222" s="146">
        <f t="shared" si="185"/>
        <v>7</v>
      </c>
      <c r="BU222" s="146">
        <f t="shared" si="185"/>
        <v>7</v>
      </c>
      <c r="BV222" s="146">
        <f t="shared" si="185"/>
        <v>7</v>
      </c>
      <c r="BW222" s="146">
        <f t="shared" si="185"/>
        <v>7</v>
      </c>
      <c r="BX222" s="146">
        <f t="shared" si="185"/>
        <v>7</v>
      </c>
      <c r="BY222" s="146">
        <f t="shared" si="185"/>
        <v>7</v>
      </c>
      <c r="BZ222" s="146">
        <f t="shared" si="185"/>
        <v>7</v>
      </c>
      <c r="CA222" s="146">
        <f t="shared" si="185"/>
        <v>7</v>
      </c>
      <c r="CB222" s="146">
        <f t="shared" si="185"/>
        <v>7</v>
      </c>
      <c r="CC222" s="146">
        <f t="shared" si="185"/>
        <v>7</v>
      </c>
      <c r="CD222" s="146">
        <f t="shared" si="185"/>
        <v>7</v>
      </c>
      <c r="CE222" s="146">
        <f t="shared" si="185"/>
        <v>7</v>
      </c>
      <c r="CF222" s="146">
        <f t="shared" si="185"/>
        <v>7</v>
      </c>
      <c r="CG222" s="146">
        <f t="shared" si="185"/>
        <v>7</v>
      </c>
      <c r="CH222" s="146">
        <f t="shared" si="185"/>
        <v>7</v>
      </c>
    </row>
    <row r="223" ht="15.75" customHeight="1">
      <c r="A223" s="91">
        <v>2024.0</v>
      </c>
      <c r="B223" s="137">
        <f t="shared" ref="B223:B226" si="191">B222*(1+B208)</f>
        <v>1240000</v>
      </c>
      <c r="O223" s="5"/>
      <c r="P223" s="5"/>
      <c r="Q223" s="5"/>
      <c r="R223" s="5"/>
      <c r="S223" s="5"/>
      <c r="T223" s="5"/>
      <c r="U223" s="8">
        <v>2.0</v>
      </c>
      <c r="V223" s="1">
        <f>IF((V222*$B222)&lt;V$206,ROUNDUP(ABS(V$206/$B222)-V222,0),0)</f>
        <v>0</v>
      </c>
      <c r="W223" s="1">
        <v>0.0</v>
      </c>
      <c r="X223" s="1">
        <f t="shared" ref="X223:AL223" si="186">IF((X222*$B222)&lt;X$206,ROUNDUP(ABS(X$206/$B222)-X222,0),0)</f>
        <v>0</v>
      </c>
      <c r="Y223" s="1">
        <f t="shared" si="186"/>
        <v>0</v>
      </c>
      <c r="Z223" s="1">
        <f t="shared" si="186"/>
        <v>0</v>
      </c>
      <c r="AA223" s="1">
        <f t="shared" si="186"/>
        <v>0</v>
      </c>
      <c r="AB223" s="1">
        <f t="shared" si="186"/>
        <v>0</v>
      </c>
      <c r="AC223" s="1">
        <f t="shared" si="186"/>
        <v>0</v>
      </c>
      <c r="AD223" s="1">
        <f t="shared" si="186"/>
        <v>0</v>
      </c>
      <c r="AE223" s="1">
        <f t="shared" si="186"/>
        <v>0</v>
      </c>
      <c r="AF223" s="1">
        <f t="shared" si="186"/>
        <v>0</v>
      </c>
      <c r="AG223" s="1">
        <f t="shared" si="186"/>
        <v>0</v>
      </c>
      <c r="AH223" s="1">
        <f t="shared" si="186"/>
        <v>0</v>
      </c>
      <c r="AI223" s="1">
        <f t="shared" si="186"/>
        <v>1</v>
      </c>
      <c r="AJ223" s="1">
        <f t="shared" si="186"/>
        <v>0</v>
      </c>
      <c r="AK223" s="1">
        <f t="shared" si="186"/>
        <v>0</v>
      </c>
      <c r="AL223" s="1">
        <f t="shared" si="186"/>
        <v>0</v>
      </c>
      <c r="AM223" s="1">
        <f t="shared" ref="AM223:AX223" si="187">IF((AM222*$B223)&lt;AM$206,ROUNDUP(ABS(AM$206/$B223)-AM222,0),0)</f>
        <v>0</v>
      </c>
      <c r="AN223" s="1">
        <f t="shared" si="187"/>
        <v>0</v>
      </c>
      <c r="AO223" s="1">
        <f t="shared" si="187"/>
        <v>0</v>
      </c>
      <c r="AP223" s="1">
        <f t="shared" si="187"/>
        <v>0</v>
      </c>
      <c r="AQ223" s="1">
        <f t="shared" si="187"/>
        <v>0</v>
      </c>
      <c r="AR223" s="1">
        <f t="shared" si="187"/>
        <v>0</v>
      </c>
      <c r="AS223" s="1">
        <f t="shared" si="187"/>
        <v>0</v>
      </c>
      <c r="AT223" s="1">
        <f t="shared" si="187"/>
        <v>0</v>
      </c>
      <c r="AU223" s="1">
        <f t="shared" si="187"/>
        <v>0</v>
      </c>
      <c r="AV223" s="1">
        <f t="shared" si="187"/>
        <v>0</v>
      </c>
      <c r="AW223" s="1">
        <f t="shared" si="187"/>
        <v>0</v>
      </c>
      <c r="AX223" s="1">
        <f t="shared" si="187"/>
        <v>0</v>
      </c>
      <c r="AY223" s="1">
        <f t="shared" ref="AY223:BJ223" si="188">IF((AY222*$B224)&lt;AY$206,ROUNDUP(ABS(AY$206/$B224)-AY222,0),0)</f>
        <v>0</v>
      </c>
      <c r="AZ223" s="1">
        <f t="shared" si="188"/>
        <v>0</v>
      </c>
      <c r="BA223" s="1">
        <f t="shared" si="188"/>
        <v>1</v>
      </c>
      <c r="BB223" s="1">
        <f t="shared" si="188"/>
        <v>0</v>
      </c>
      <c r="BC223" s="1">
        <f t="shared" si="188"/>
        <v>0</v>
      </c>
      <c r="BD223" s="1">
        <f t="shared" si="188"/>
        <v>0</v>
      </c>
      <c r="BE223" s="1">
        <f t="shared" si="188"/>
        <v>0</v>
      </c>
      <c r="BF223" s="1">
        <f t="shared" si="188"/>
        <v>0</v>
      </c>
      <c r="BG223" s="1">
        <f t="shared" si="188"/>
        <v>0</v>
      </c>
      <c r="BH223" s="1">
        <f t="shared" si="188"/>
        <v>0</v>
      </c>
      <c r="BI223" s="1">
        <f t="shared" si="188"/>
        <v>0</v>
      </c>
      <c r="BJ223" s="1">
        <f t="shared" si="188"/>
        <v>0</v>
      </c>
      <c r="BK223" s="1">
        <f t="shared" ref="BK223:BV223" si="189">IF((BK222*$B225)&lt;BK$206,ROUNDUP(ABS(BK$206/$B225)-BK222,0),0)</f>
        <v>0</v>
      </c>
      <c r="BL223" s="1">
        <f t="shared" si="189"/>
        <v>0</v>
      </c>
      <c r="BM223" s="1">
        <f t="shared" si="189"/>
        <v>1</v>
      </c>
      <c r="BN223" s="1">
        <f t="shared" si="189"/>
        <v>0</v>
      </c>
      <c r="BO223" s="1">
        <f t="shared" si="189"/>
        <v>0</v>
      </c>
      <c r="BP223" s="1">
        <f t="shared" si="189"/>
        <v>0</v>
      </c>
      <c r="BQ223" s="1">
        <f t="shared" si="189"/>
        <v>0</v>
      </c>
      <c r="BR223" s="1">
        <f t="shared" si="189"/>
        <v>0</v>
      </c>
      <c r="BS223" s="1">
        <f t="shared" si="189"/>
        <v>0</v>
      </c>
      <c r="BT223" s="1">
        <f t="shared" si="189"/>
        <v>0</v>
      </c>
      <c r="BU223" s="1">
        <f t="shared" si="189"/>
        <v>0</v>
      </c>
      <c r="BV223" s="1">
        <f t="shared" si="189"/>
        <v>0</v>
      </c>
      <c r="BW223" s="1">
        <f t="shared" ref="BW223:CH223" si="190">IF((BW222*$B226)&lt;BW$206,ROUNDUP(ABS(BW$206/$B226)-BW222,0),0)</f>
        <v>0</v>
      </c>
      <c r="BX223" s="1">
        <f t="shared" si="190"/>
        <v>0</v>
      </c>
      <c r="BY223" s="1">
        <f t="shared" si="190"/>
        <v>0</v>
      </c>
      <c r="BZ223" s="1">
        <f t="shared" si="190"/>
        <v>0</v>
      </c>
      <c r="CA223" s="1">
        <f t="shared" si="190"/>
        <v>0</v>
      </c>
      <c r="CB223" s="1">
        <f t="shared" si="190"/>
        <v>0</v>
      </c>
      <c r="CC223" s="1">
        <f t="shared" si="190"/>
        <v>0</v>
      </c>
      <c r="CD223" s="1">
        <f t="shared" si="190"/>
        <v>0</v>
      </c>
      <c r="CE223" s="1">
        <f t="shared" si="190"/>
        <v>0</v>
      </c>
      <c r="CF223" s="1">
        <f t="shared" si="190"/>
        <v>0</v>
      </c>
      <c r="CG223" s="1">
        <f t="shared" si="190"/>
        <v>0</v>
      </c>
      <c r="CH223" s="1">
        <f t="shared" si="190"/>
        <v>0</v>
      </c>
    </row>
    <row r="224" ht="15.75" customHeight="1">
      <c r="A224" s="91">
        <v>2025.0</v>
      </c>
      <c r="B224" s="137">
        <f t="shared" si="191"/>
        <v>992000</v>
      </c>
      <c r="O224" s="242"/>
      <c r="P224" s="242"/>
      <c r="Q224" s="242"/>
      <c r="R224" s="242"/>
      <c r="S224" s="242"/>
      <c r="T224" s="242"/>
      <c r="U224" s="146"/>
      <c r="V224" s="146"/>
      <c r="W224" s="146"/>
      <c r="X224" s="146"/>
      <c r="Y224" s="146"/>
      <c r="Z224" s="146"/>
      <c r="AA224" s="146"/>
      <c r="AB224" s="146"/>
      <c r="AC224" s="146"/>
      <c r="AD224" s="146"/>
      <c r="AE224" s="146"/>
      <c r="AF224" s="146"/>
      <c r="AG224" s="146"/>
      <c r="AH224" s="146"/>
      <c r="AI224" s="146"/>
      <c r="AJ224" s="146"/>
      <c r="AK224" s="146"/>
      <c r="AL224" s="146"/>
      <c r="AM224" s="146"/>
      <c r="AN224" s="146"/>
      <c r="AO224" s="146"/>
      <c r="AP224" s="146"/>
      <c r="AQ224" s="146"/>
      <c r="AR224" s="146"/>
      <c r="AS224" s="146"/>
      <c r="AT224" s="146"/>
      <c r="AU224" s="146"/>
      <c r="AV224" s="146"/>
      <c r="AW224" s="146"/>
      <c r="AX224" s="146"/>
      <c r="AY224" s="146"/>
      <c r="AZ224" s="146"/>
      <c r="BA224" s="146"/>
      <c r="BB224" s="146"/>
      <c r="BC224" s="146"/>
      <c r="BD224" s="146"/>
      <c r="BE224" s="146"/>
      <c r="BF224" s="146"/>
      <c r="BG224" s="146"/>
      <c r="BH224" s="146"/>
      <c r="BI224" s="146"/>
      <c r="BJ224" s="146"/>
      <c r="BK224" s="146"/>
      <c r="BL224" s="146"/>
      <c r="BM224" s="146"/>
      <c r="BN224" s="146"/>
      <c r="BO224" s="146"/>
      <c r="BP224" s="146"/>
      <c r="BQ224" s="146"/>
      <c r="BR224" s="146"/>
      <c r="BS224" s="146"/>
      <c r="BT224" s="146"/>
      <c r="BU224" s="146"/>
      <c r="BV224" s="146"/>
      <c r="BW224" s="146"/>
      <c r="BX224" s="146"/>
      <c r="BY224" s="146"/>
      <c r="BZ224" s="146"/>
      <c r="CA224" s="146"/>
      <c r="CB224" s="146"/>
      <c r="CC224" s="146"/>
      <c r="CD224" s="146"/>
      <c r="CE224" s="146"/>
      <c r="CF224" s="146"/>
      <c r="CG224" s="146"/>
      <c r="CH224" s="146"/>
    </row>
    <row r="225" ht="15.75" customHeight="1">
      <c r="A225" s="91">
        <v>2026.0</v>
      </c>
      <c r="B225" s="137">
        <f t="shared" si="191"/>
        <v>992000</v>
      </c>
      <c r="O225" s="242"/>
      <c r="P225" s="242"/>
      <c r="Q225" s="242"/>
      <c r="R225" s="242"/>
      <c r="S225" s="242"/>
      <c r="T225" s="242"/>
      <c r="U225" s="146"/>
      <c r="V225" s="146"/>
      <c r="W225" s="146"/>
      <c r="X225" s="146"/>
      <c r="Y225" s="146"/>
      <c r="Z225" s="146"/>
      <c r="AA225" s="146"/>
      <c r="AB225" s="146"/>
      <c r="AC225" s="146"/>
      <c r="AD225" s="146"/>
      <c r="AE225" s="146"/>
      <c r="AF225" s="146"/>
      <c r="AG225" s="146"/>
      <c r="AH225" s="146"/>
      <c r="AI225" s="146"/>
      <c r="AJ225" s="146"/>
      <c r="AK225" s="146"/>
      <c r="AL225" s="146"/>
      <c r="AM225" s="146"/>
      <c r="AN225" s="146"/>
      <c r="AO225" s="146"/>
      <c r="AP225" s="146"/>
      <c r="AQ225" s="146"/>
      <c r="AR225" s="146"/>
      <c r="AS225" s="146"/>
      <c r="AT225" s="146"/>
      <c r="AU225" s="146"/>
      <c r="AV225" s="146"/>
      <c r="AW225" s="146"/>
      <c r="AX225" s="146"/>
      <c r="AY225" s="146"/>
      <c r="AZ225" s="146"/>
      <c r="BA225" s="146"/>
      <c r="BB225" s="146"/>
      <c r="BC225" s="146"/>
      <c r="BD225" s="146"/>
      <c r="BE225" s="146"/>
      <c r="BF225" s="146"/>
      <c r="BG225" s="146"/>
      <c r="BH225" s="146"/>
      <c r="BI225" s="146"/>
      <c r="BJ225" s="146"/>
      <c r="BK225" s="146"/>
      <c r="BL225" s="146"/>
      <c r="BM225" s="146"/>
      <c r="BN225" s="146"/>
      <c r="BO225" s="146"/>
      <c r="BP225" s="146"/>
      <c r="BQ225" s="146"/>
      <c r="BR225" s="146"/>
      <c r="BS225" s="146"/>
      <c r="BT225" s="146"/>
      <c r="BU225" s="146"/>
      <c r="BV225" s="146"/>
      <c r="BW225" s="146"/>
      <c r="BX225" s="146"/>
      <c r="BY225" s="146"/>
      <c r="BZ225" s="146"/>
      <c r="CA225" s="146"/>
      <c r="CB225" s="146"/>
      <c r="CC225" s="146"/>
      <c r="CD225" s="146"/>
      <c r="CE225" s="146"/>
      <c r="CF225" s="146"/>
      <c r="CG225" s="146"/>
      <c r="CH225" s="146"/>
    </row>
    <row r="226" ht="15.75" customHeight="1">
      <c r="A226" s="91">
        <v>2027.0</v>
      </c>
      <c r="B226" s="137">
        <f t="shared" si="191"/>
        <v>1289600</v>
      </c>
      <c r="O226" s="242"/>
      <c r="P226" s="242"/>
      <c r="Q226" s="242"/>
      <c r="R226" s="242"/>
      <c r="S226" s="242"/>
      <c r="T226" s="242"/>
      <c r="U226" s="146"/>
      <c r="V226" s="146"/>
      <c r="W226" s="146"/>
      <c r="X226" s="146"/>
      <c r="Y226" s="146"/>
      <c r="Z226" s="146"/>
      <c r="AA226" s="146"/>
      <c r="AB226" s="146"/>
      <c r="AC226" s="146"/>
      <c r="AD226" s="146"/>
      <c r="AE226" s="146"/>
      <c r="AF226" s="146"/>
      <c r="AG226" s="146"/>
      <c r="AH226" s="146"/>
      <c r="AI226" s="146"/>
      <c r="AJ226" s="146"/>
      <c r="AK226" s="146"/>
      <c r="AL226" s="146"/>
      <c r="AM226" s="146"/>
      <c r="AN226" s="146"/>
      <c r="AO226" s="146"/>
      <c r="AP226" s="146"/>
      <c r="AQ226" s="146"/>
      <c r="AR226" s="146"/>
      <c r="AS226" s="146"/>
      <c r="AT226" s="146"/>
      <c r="AU226" s="146"/>
      <c r="AV226" s="146"/>
      <c r="AW226" s="146"/>
      <c r="AX226" s="146"/>
      <c r="AY226" s="146"/>
      <c r="AZ226" s="146"/>
      <c r="BA226" s="146"/>
      <c r="BB226" s="146"/>
      <c r="BC226" s="146"/>
      <c r="BD226" s="146"/>
      <c r="BE226" s="146"/>
      <c r="BF226" s="146"/>
      <c r="BG226" s="146"/>
      <c r="BH226" s="146"/>
      <c r="BI226" s="146"/>
      <c r="BJ226" s="146"/>
      <c r="BK226" s="146"/>
      <c r="BL226" s="146"/>
      <c r="BM226" s="146"/>
      <c r="BN226" s="146"/>
      <c r="BO226" s="146"/>
      <c r="BP226" s="146"/>
      <c r="BQ226" s="146"/>
      <c r="BR226" s="146"/>
      <c r="BS226" s="146"/>
      <c r="BT226" s="146"/>
      <c r="BU226" s="146"/>
      <c r="BV226" s="146"/>
      <c r="BW226" s="146"/>
      <c r="BX226" s="146"/>
      <c r="BY226" s="146"/>
      <c r="BZ226" s="146"/>
      <c r="CA226" s="146"/>
      <c r="CB226" s="146"/>
      <c r="CC226" s="146"/>
      <c r="CD226" s="146"/>
      <c r="CE226" s="146"/>
      <c r="CF226" s="146"/>
      <c r="CG226" s="146"/>
      <c r="CH226" s="146"/>
    </row>
    <row r="227" ht="15.75" customHeight="1">
      <c r="A227" s="91"/>
      <c r="B227" s="305"/>
      <c r="O227" s="242"/>
      <c r="P227" s="242"/>
      <c r="Q227" s="242"/>
      <c r="R227" s="242"/>
      <c r="S227" s="146"/>
      <c r="T227" s="146"/>
      <c r="U227" s="242"/>
      <c r="V227" s="146"/>
      <c r="W227" s="146"/>
      <c r="X227" s="146"/>
      <c r="Y227" s="146"/>
      <c r="Z227" s="146"/>
      <c r="AA227" s="146"/>
      <c r="AB227" s="146"/>
      <c r="AC227" s="146"/>
      <c r="AD227" s="146"/>
      <c r="AE227" s="146"/>
      <c r="AF227" s="146"/>
      <c r="AG227" s="146"/>
      <c r="AH227" s="146"/>
      <c r="AI227" s="146"/>
      <c r="AJ227" s="146"/>
      <c r="AK227" s="146"/>
      <c r="AL227" s="146"/>
      <c r="AM227" s="146"/>
      <c r="AN227" s="146"/>
      <c r="AO227" s="146"/>
      <c r="AP227" s="146"/>
      <c r="AQ227" s="146"/>
      <c r="AR227" s="146"/>
      <c r="AS227" s="146"/>
      <c r="AT227" s="146"/>
      <c r="AU227" s="146"/>
      <c r="AV227" s="146"/>
      <c r="AW227" s="146"/>
      <c r="AX227" s="146"/>
      <c r="AY227" s="146"/>
      <c r="AZ227" s="146"/>
      <c r="BA227" s="146"/>
      <c r="BB227" s="146"/>
      <c r="BC227" s="146"/>
      <c r="BD227" s="146"/>
      <c r="BE227" s="146"/>
      <c r="BF227" s="146"/>
      <c r="BG227" s="146"/>
      <c r="BH227" s="146"/>
      <c r="BI227" s="146"/>
      <c r="BJ227" s="146"/>
      <c r="BK227" s="146"/>
      <c r="BL227" s="146"/>
      <c r="BM227" s="146"/>
      <c r="BN227" s="146"/>
      <c r="BO227" s="146"/>
      <c r="BP227" s="146"/>
      <c r="BQ227" s="146"/>
      <c r="BR227" s="146"/>
      <c r="BS227" s="146"/>
      <c r="BT227" s="146"/>
      <c r="BU227" s="146"/>
      <c r="BV227" s="146"/>
      <c r="BW227" s="146"/>
      <c r="BX227" s="146"/>
      <c r="BY227" s="146"/>
      <c r="BZ227" s="146"/>
      <c r="CA227" s="146"/>
      <c r="CB227" s="146"/>
      <c r="CC227" s="146"/>
      <c r="CD227" s="146"/>
      <c r="CE227" s="146"/>
      <c r="CF227" s="146"/>
      <c r="CG227" s="146"/>
      <c r="CH227" s="146"/>
    </row>
    <row r="228" ht="15.75" customHeight="1">
      <c r="A228" s="91"/>
      <c r="B228" s="305"/>
      <c r="O228" s="5"/>
      <c r="P228" s="5"/>
      <c r="Q228" s="5"/>
      <c r="R228" s="5"/>
      <c r="S228" s="5"/>
      <c r="T228" s="5"/>
      <c r="U228" s="8"/>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row>
    <row r="229" ht="15.75" customHeight="1">
      <c r="A229" s="486" t="s">
        <v>734</v>
      </c>
      <c r="B229" s="305"/>
      <c r="O229" s="5"/>
      <c r="P229" s="5"/>
      <c r="Q229" s="5"/>
      <c r="R229" s="5"/>
      <c r="S229" s="8"/>
      <c r="T229" s="8"/>
      <c r="U229" s="8"/>
      <c r="V229" s="8"/>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row>
    <row r="230" ht="15.75" customHeight="1">
      <c r="A230" s="91"/>
      <c r="B230" s="305"/>
      <c r="O230" s="5"/>
      <c r="P230" s="5"/>
      <c r="Q230" s="5"/>
      <c r="R230" s="5"/>
      <c r="S230" s="5"/>
      <c r="T230" s="5"/>
    </row>
    <row r="231" ht="15.75" customHeight="1">
      <c r="A231" s="91" t="s">
        <v>732</v>
      </c>
      <c r="B231" s="485">
        <v>800000.0</v>
      </c>
      <c r="O231" s="242">
        <v>2.0</v>
      </c>
      <c r="P231" s="242">
        <v>2.0</v>
      </c>
      <c r="Q231" s="242">
        <v>2.0</v>
      </c>
      <c r="R231" s="242">
        <v>2.0</v>
      </c>
      <c r="S231" s="242">
        <v>2.0</v>
      </c>
      <c r="T231" s="242">
        <v>2.0</v>
      </c>
      <c r="U231" s="242">
        <v>2.0</v>
      </c>
      <c r="V231" s="242">
        <f t="shared" ref="V231:W231" si="192">U231+U232</f>
        <v>3</v>
      </c>
      <c r="W231" s="242">
        <f t="shared" si="192"/>
        <v>3</v>
      </c>
      <c r="X231" s="242">
        <v>4.0</v>
      </c>
      <c r="Y231" s="242">
        <f t="shared" ref="Y231:CH231" si="193">X231+X232</f>
        <v>4</v>
      </c>
      <c r="Z231" s="146">
        <f t="shared" si="193"/>
        <v>4</v>
      </c>
      <c r="AA231" s="146">
        <f t="shared" si="193"/>
        <v>4</v>
      </c>
      <c r="AB231" s="146">
        <f t="shared" si="193"/>
        <v>4</v>
      </c>
      <c r="AC231" s="146">
        <f t="shared" si="193"/>
        <v>4</v>
      </c>
      <c r="AD231" s="146">
        <f t="shared" si="193"/>
        <v>4</v>
      </c>
      <c r="AE231" s="146">
        <f t="shared" si="193"/>
        <v>4</v>
      </c>
      <c r="AF231" s="146">
        <f t="shared" si="193"/>
        <v>4</v>
      </c>
      <c r="AG231" s="146">
        <f t="shared" si="193"/>
        <v>4</v>
      </c>
      <c r="AH231" s="146">
        <f t="shared" si="193"/>
        <v>4</v>
      </c>
      <c r="AI231" s="146">
        <f t="shared" si="193"/>
        <v>4</v>
      </c>
      <c r="AJ231" s="146">
        <f t="shared" si="193"/>
        <v>4</v>
      </c>
      <c r="AK231" s="146">
        <f t="shared" si="193"/>
        <v>4</v>
      </c>
      <c r="AL231" s="146">
        <f t="shared" si="193"/>
        <v>4</v>
      </c>
      <c r="AM231" s="146">
        <f t="shared" si="193"/>
        <v>4</v>
      </c>
      <c r="AN231" s="146">
        <f t="shared" si="193"/>
        <v>4</v>
      </c>
      <c r="AO231" s="146">
        <f t="shared" si="193"/>
        <v>4</v>
      </c>
      <c r="AP231" s="146">
        <f t="shared" si="193"/>
        <v>4</v>
      </c>
      <c r="AQ231" s="146">
        <f t="shared" si="193"/>
        <v>4</v>
      </c>
      <c r="AR231" s="146">
        <f t="shared" si="193"/>
        <v>4</v>
      </c>
      <c r="AS231" s="146">
        <f t="shared" si="193"/>
        <v>4</v>
      </c>
      <c r="AT231" s="146">
        <f t="shared" si="193"/>
        <v>4</v>
      </c>
      <c r="AU231" s="146">
        <f t="shared" si="193"/>
        <v>4</v>
      </c>
      <c r="AV231" s="146">
        <f t="shared" si="193"/>
        <v>4</v>
      </c>
      <c r="AW231" s="146">
        <f t="shared" si="193"/>
        <v>4</v>
      </c>
      <c r="AX231" s="146">
        <f t="shared" si="193"/>
        <v>4</v>
      </c>
      <c r="AY231" s="146">
        <f t="shared" si="193"/>
        <v>4</v>
      </c>
      <c r="AZ231" s="146">
        <f t="shared" si="193"/>
        <v>4</v>
      </c>
      <c r="BA231" s="146">
        <f t="shared" si="193"/>
        <v>4</v>
      </c>
      <c r="BB231" s="146">
        <f t="shared" si="193"/>
        <v>4</v>
      </c>
      <c r="BC231" s="146">
        <f t="shared" si="193"/>
        <v>4</v>
      </c>
      <c r="BD231" s="146">
        <f t="shared" si="193"/>
        <v>4</v>
      </c>
      <c r="BE231" s="146">
        <f t="shared" si="193"/>
        <v>4</v>
      </c>
      <c r="BF231" s="146">
        <f t="shared" si="193"/>
        <v>4</v>
      </c>
      <c r="BG231" s="146">
        <f t="shared" si="193"/>
        <v>4</v>
      </c>
      <c r="BH231" s="146">
        <f t="shared" si="193"/>
        <v>4</v>
      </c>
      <c r="BI231" s="146">
        <f t="shared" si="193"/>
        <v>4</v>
      </c>
      <c r="BJ231" s="146">
        <f t="shared" si="193"/>
        <v>4</v>
      </c>
      <c r="BK231" s="146">
        <f t="shared" si="193"/>
        <v>4</v>
      </c>
      <c r="BL231" s="146">
        <f t="shared" si="193"/>
        <v>4</v>
      </c>
      <c r="BM231" s="146">
        <f t="shared" si="193"/>
        <v>4</v>
      </c>
      <c r="BN231" s="146">
        <f t="shared" si="193"/>
        <v>4</v>
      </c>
      <c r="BO231" s="146">
        <f t="shared" si="193"/>
        <v>4</v>
      </c>
      <c r="BP231" s="146">
        <f t="shared" si="193"/>
        <v>4</v>
      </c>
      <c r="BQ231" s="146">
        <f t="shared" si="193"/>
        <v>4</v>
      </c>
      <c r="BR231" s="146">
        <f t="shared" si="193"/>
        <v>4</v>
      </c>
      <c r="BS231" s="146">
        <f t="shared" si="193"/>
        <v>4</v>
      </c>
      <c r="BT231" s="146">
        <f t="shared" si="193"/>
        <v>4</v>
      </c>
      <c r="BU231" s="146">
        <f t="shared" si="193"/>
        <v>4</v>
      </c>
      <c r="BV231" s="146">
        <f t="shared" si="193"/>
        <v>4</v>
      </c>
      <c r="BW231" s="146">
        <f t="shared" si="193"/>
        <v>4</v>
      </c>
      <c r="BX231" s="146">
        <f t="shared" si="193"/>
        <v>4</v>
      </c>
      <c r="BY231" s="146">
        <f t="shared" si="193"/>
        <v>4</v>
      </c>
      <c r="BZ231" s="146">
        <f t="shared" si="193"/>
        <v>4</v>
      </c>
      <c r="CA231" s="146">
        <f t="shared" si="193"/>
        <v>4</v>
      </c>
      <c r="CB231" s="146">
        <f t="shared" si="193"/>
        <v>4</v>
      </c>
      <c r="CC231" s="146">
        <f t="shared" si="193"/>
        <v>4</v>
      </c>
      <c r="CD231" s="146">
        <f t="shared" si="193"/>
        <v>4</v>
      </c>
      <c r="CE231" s="146">
        <f t="shared" si="193"/>
        <v>4</v>
      </c>
      <c r="CF231" s="146">
        <f t="shared" si="193"/>
        <v>4</v>
      </c>
      <c r="CG231" s="146">
        <f t="shared" si="193"/>
        <v>4</v>
      </c>
      <c r="CH231" s="146">
        <f t="shared" si="193"/>
        <v>4</v>
      </c>
    </row>
    <row r="232" ht="15.75" customHeight="1">
      <c r="A232" s="91">
        <v>2024.0</v>
      </c>
      <c r="B232" s="137">
        <f t="shared" ref="B232:B235" si="194">B231*(1+B208)</f>
        <v>1240000</v>
      </c>
      <c r="O232" s="5"/>
      <c r="P232" s="5"/>
      <c r="Q232" s="5"/>
      <c r="R232" s="5"/>
      <c r="S232" s="5"/>
      <c r="T232" s="5"/>
      <c r="U232" s="8">
        <v>1.0</v>
      </c>
      <c r="V232" s="1">
        <v>0.0</v>
      </c>
      <c r="W232" s="1">
        <v>0.0</v>
      </c>
      <c r="X232" s="1">
        <v>0.0</v>
      </c>
      <c r="Y232" s="1">
        <v>0.0</v>
      </c>
      <c r="Z232" s="1">
        <v>0.0</v>
      </c>
      <c r="AA232" s="1">
        <v>0.0</v>
      </c>
      <c r="AB232" s="1">
        <v>0.0</v>
      </c>
      <c r="AC232" s="1">
        <v>0.0</v>
      </c>
      <c r="AD232" s="1">
        <v>0.0</v>
      </c>
      <c r="AE232" s="1">
        <v>0.0</v>
      </c>
      <c r="AF232" s="1">
        <v>0.0</v>
      </c>
      <c r="AG232" s="1">
        <v>0.0</v>
      </c>
      <c r="AH232" s="1">
        <v>0.0</v>
      </c>
      <c r="AI232" s="1">
        <v>0.0</v>
      </c>
      <c r="AJ232" s="1">
        <v>0.0</v>
      </c>
      <c r="AK232" s="1">
        <v>0.0</v>
      </c>
      <c r="AL232" s="1">
        <v>0.0</v>
      </c>
      <c r="AM232" s="1">
        <v>0.0</v>
      </c>
      <c r="AN232" s="1">
        <v>0.0</v>
      </c>
      <c r="AO232" s="1">
        <v>0.0</v>
      </c>
      <c r="AP232" s="1">
        <v>0.0</v>
      </c>
      <c r="AQ232" s="1">
        <v>0.0</v>
      </c>
      <c r="AR232" s="1">
        <v>0.0</v>
      </c>
      <c r="AS232" s="1">
        <v>0.0</v>
      </c>
      <c r="AT232" s="1">
        <v>0.0</v>
      </c>
      <c r="AU232" s="1">
        <v>0.0</v>
      </c>
      <c r="AV232" s="1">
        <v>0.0</v>
      </c>
      <c r="AW232" s="1">
        <v>0.0</v>
      </c>
      <c r="AX232" s="1">
        <v>0.0</v>
      </c>
      <c r="AY232" s="1">
        <v>0.0</v>
      </c>
      <c r="AZ232" s="1">
        <v>0.0</v>
      </c>
      <c r="BA232" s="1">
        <v>0.0</v>
      </c>
      <c r="BB232" s="1">
        <v>0.0</v>
      </c>
      <c r="BC232" s="1">
        <v>0.0</v>
      </c>
      <c r="BD232" s="1">
        <v>0.0</v>
      </c>
      <c r="BE232" s="1">
        <v>0.0</v>
      </c>
      <c r="BF232" s="1">
        <v>0.0</v>
      </c>
      <c r="BG232" s="1">
        <v>0.0</v>
      </c>
      <c r="BH232" s="1">
        <v>0.0</v>
      </c>
      <c r="BI232" s="1">
        <v>0.0</v>
      </c>
      <c r="BJ232" s="1">
        <v>0.0</v>
      </c>
      <c r="BK232" s="1">
        <v>0.0</v>
      </c>
      <c r="BL232" s="1">
        <v>0.0</v>
      </c>
      <c r="BM232" s="1">
        <v>0.0</v>
      </c>
      <c r="BN232" s="1">
        <v>0.0</v>
      </c>
      <c r="BO232" s="1">
        <v>0.0</v>
      </c>
      <c r="BP232" s="1">
        <v>0.0</v>
      </c>
      <c r="BQ232" s="1">
        <v>0.0</v>
      </c>
      <c r="BR232" s="1">
        <v>0.0</v>
      </c>
      <c r="BS232" s="1">
        <v>0.0</v>
      </c>
      <c r="BT232" s="1">
        <v>0.0</v>
      </c>
      <c r="BU232" s="1">
        <v>0.0</v>
      </c>
      <c r="BV232" s="1">
        <v>0.0</v>
      </c>
      <c r="BW232" s="1">
        <v>0.0</v>
      </c>
      <c r="BX232" s="1">
        <v>0.0</v>
      </c>
      <c r="BY232" s="1">
        <v>0.0</v>
      </c>
      <c r="BZ232" s="1">
        <v>0.0</v>
      </c>
      <c r="CA232" s="1">
        <v>0.0</v>
      </c>
      <c r="CB232" s="1">
        <v>0.0</v>
      </c>
      <c r="CC232" s="1">
        <v>0.0</v>
      </c>
      <c r="CD232" s="1">
        <v>0.0</v>
      </c>
      <c r="CE232" s="1">
        <v>0.0</v>
      </c>
      <c r="CF232" s="1">
        <v>0.0</v>
      </c>
      <c r="CG232" s="1">
        <v>0.0</v>
      </c>
      <c r="CH232" s="1">
        <v>0.0</v>
      </c>
    </row>
    <row r="233" ht="15.75" customHeight="1">
      <c r="A233" s="91">
        <v>2025.0</v>
      </c>
      <c r="B233" s="137">
        <f t="shared" si="194"/>
        <v>992000</v>
      </c>
      <c r="O233" s="242"/>
      <c r="P233" s="242"/>
      <c r="Q233" s="242"/>
      <c r="R233" s="242"/>
      <c r="S233" s="242"/>
      <c r="T233" s="242"/>
      <c r="U233" s="146"/>
      <c r="V233" s="146"/>
      <c r="W233" s="146"/>
      <c r="X233" s="146"/>
      <c r="Y233" s="146"/>
      <c r="Z233" s="146"/>
      <c r="AA233" s="146"/>
      <c r="AB233" s="146"/>
      <c r="AC233" s="146"/>
      <c r="AD233" s="146"/>
      <c r="AE233" s="146"/>
      <c r="AF233" s="146"/>
      <c r="AG233" s="146"/>
      <c r="AH233" s="146"/>
      <c r="AI233" s="146"/>
      <c r="AJ233" s="146"/>
      <c r="AK233" s="146"/>
      <c r="AL233" s="146"/>
      <c r="AM233" s="146"/>
      <c r="AN233" s="146"/>
      <c r="AO233" s="146"/>
      <c r="AP233" s="146"/>
      <c r="AQ233" s="146"/>
      <c r="AR233" s="146"/>
      <c r="AS233" s="146"/>
      <c r="AT233" s="146"/>
      <c r="AU233" s="146"/>
      <c r="AV233" s="146"/>
      <c r="AW233" s="146"/>
      <c r="AX233" s="146"/>
      <c r="AY233" s="146"/>
      <c r="AZ233" s="146"/>
      <c r="BA233" s="146"/>
      <c r="BB233" s="146"/>
      <c r="BC233" s="146"/>
      <c r="BD233" s="146"/>
      <c r="BE233" s="146"/>
      <c r="BF233" s="146"/>
      <c r="BG233" s="146"/>
      <c r="BH233" s="146"/>
      <c r="BI233" s="146"/>
      <c r="BJ233" s="146"/>
      <c r="BK233" s="146"/>
      <c r="BL233" s="146"/>
      <c r="BM233" s="146"/>
      <c r="BN233" s="146"/>
      <c r="BO233" s="146"/>
      <c r="BP233" s="146"/>
      <c r="BQ233" s="146"/>
      <c r="BR233" s="146"/>
      <c r="BS233" s="146"/>
      <c r="BT233" s="146"/>
      <c r="BU233" s="146"/>
      <c r="BV233" s="146"/>
      <c r="BW233" s="146"/>
      <c r="BX233" s="146"/>
      <c r="BY233" s="146"/>
      <c r="BZ233" s="146"/>
      <c r="CA233" s="146"/>
      <c r="CB233" s="146"/>
      <c r="CC233" s="146"/>
      <c r="CD233" s="146"/>
      <c r="CE233" s="146"/>
      <c r="CF233" s="146"/>
      <c r="CG233" s="146"/>
      <c r="CH233" s="146"/>
    </row>
    <row r="234" ht="15.75" customHeight="1">
      <c r="A234" s="91">
        <v>2026.0</v>
      </c>
      <c r="B234" s="137">
        <f t="shared" si="194"/>
        <v>992000</v>
      </c>
      <c r="O234" s="242"/>
      <c r="P234" s="242"/>
      <c r="Q234" s="242"/>
      <c r="R234" s="242"/>
      <c r="S234" s="242"/>
      <c r="T234" s="242"/>
      <c r="U234" s="146"/>
      <c r="V234" s="146"/>
      <c r="W234" s="146"/>
      <c r="X234" s="146"/>
      <c r="Y234" s="146"/>
      <c r="Z234" s="146"/>
      <c r="AA234" s="146"/>
      <c r="AB234" s="146"/>
      <c r="AC234" s="146"/>
      <c r="AD234" s="146"/>
      <c r="AE234" s="146"/>
      <c r="AF234" s="146"/>
      <c r="AG234" s="146"/>
      <c r="AH234" s="146"/>
      <c r="AI234" s="146"/>
      <c r="AJ234" s="146"/>
      <c r="AK234" s="146"/>
      <c r="AL234" s="146"/>
      <c r="AM234" s="146"/>
      <c r="AN234" s="146"/>
      <c r="AO234" s="146"/>
      <c r="AP234" s="146"/>
      <c r="AQ234" s="146"/>
      <c r="AR234" s="146"/>
      <c r="AS234" s="146"/>
      <c r="AT234" s="146"/>
      <c r="AU234" s="146"/>
      <c r="AV234" s="146"/>
      <c r="AW234" s="146"/>
      <c r="AX234" s="146"/>
      <c r="AY234" s="146"/>
      <c r="AZ234" s="146"/>
      <c r="BA234" s="146"/>
      <c r="BB234" s="146"/>
      <c r="BC234" s="146"/>
      <c r="BD234" s="146"/>
      <c r="BE234" s="146"/>
      <c r="BF234" s="146"/>
      <c r="BG234" s="146"/>
      <c r="BH234" s="146"/>
      <c r="BI234" s="146"/>
      <c r="BJ234" s="146"/>
      <c r="BK234" s="146"/>
      <c r="BL234" s="146"/>
      <c r="BM234" s="146"/>
      <c r="BN234" s="146"/>
      <c r="BO234" s="146"/>
      <c r="BP234" s="146"/>
      <c r="BQ234" s="146"/>
      <c r="BR234" s="146"/>
      <c r="BS234" s="146"/>
      <c r="BT234" s="146"/>
      <c r="BU234" s="146"/>
      <c r="BV234" s="146"/>
      <c r="BW234" s="146"/>
      <c r="BX234" s="146"/>
      <c r="BY234" s="146"/>
      <c r="BZ234" s="146"/>
      <c r="CA234" s="146"/>
      <c r="CB234" s="146"/>
      <c r="CC234" s="146"/>
      <c r="CD234" s="146"/>
      <c r="CE234" s="146"/>
      <c r="CF234" s="146"/>
      <c r="CG234" s="146"/>
      <c r="CH234" s="146"/>
    </row>
    <row r="235" ht="15.75" customHeight="1">
      <c r="A235" s="91">
        <v>2027.0</v>
      </c>
      <c r="B235" s="137">
        <f t="shared" si="194"/>
        <v>1289600</v>
      </c>
      <c r="O235" s="242"/>
      <c r="P235" s="242"/>
      <c r="Q235" s="242"/>
      <c r="R235" s="242"/>
      <c r="S235" s="242"/>
      <c r="T235" s="242"/>
      <c r="U235" s="146"/>
      <c r="V235" s="146"/>
      <c r="W235" s="146"/>
      <c r="X235" s="146"/>
      <c r="Y235" s="146"/>
      <c r="Z235" s="146"/>
      <c r="AA235" s="146"/>
      <c r="AB235" s="146"/>
      <c r="AC235" s="146"/>
      <c r="AD235" s="146"/>
      <c r="AE235" s="146"/>
      <c r="AF235" s="146"/>
      <c r="AG235" s="146"/>
      <c r="AH235" s="146"/>
      <c r="AI235" s="146"/>
      <c r="AJ235" s="146"/>
      <c r="AK235" s="146"/>
      <c r="AL235" s="146"/>
      <c r="AM235" s="146"/>
      <c r="AN235" s="146"/>
      <c r="AO235" s="146"/>
      <c r="AP235" s="146"/>
      <c r="AQ235" s="146"/>
      <c r="AR235" s="146"/>
      <c r="AS235" s="146"/>
      <c r="AT235" s="146"/>
      <c r="AU235" s="146"/>
      <c r="AV235" s="146"/>
      <c r="AW235" s="146"/>
      <c r="AX235" s="146"/>
      <c r="AY235" s="146"/>
      <c r="AZ235" s="146"/>
      <c r="BA235" s="146"/>
      <c r="BB235" s="146"/>
      <c r="BC235" s="146"/>
      <c r="BD235" s="146"/>
      <c r="BE235" s="146"/>
      <c r="BF235" s="146"/>
      <c r="BG235" s="146"/>
      <c r="BH235" s="146"/>
      <c r="BI235" s="146"/>
      <c r="BJ235" s="146"/>
      <c r="BK235" s="146"/>
      <c r="BL235" s="146"/>
      <c r="BM235" s="146"/>
      <c r="BN235" s="146"/>
      <c r="BO235" s="146"/>
      <c r="BP235" s="146"/>
      <c r="BQ235" s="146"/>
      <c r="BR235" s="146"/>
      <c r="BS235" s="146"/>
      <c r="BT235" s="146"/>
      <c r="BU235" s="146"/>
      <c r="BV235" s="146"/>
      <c r="BW235" s="146"/>
      <c r="BX235" s="146"/>
      <c r="BY235" s="146"/>
      <c r="BZ235" s="146"/>
      <c r="CA235" s="146"/>
      <c r="CB235" s="146"/>
      <c r="CC235" s="146"/>
      <c r="CD235" s="146"/>
      <c r="CE235" s="146"/>
      <c r="CF235" s="146"/>
      <c r="CG235" s="146"/>
      <c r="CH235" s="146"/>
    </row>
    <row r="236" ht="15.75" customHeight="1">
      <c r="A236" s="91"/>
      <c r="B236" s="305"/>
      <c r="O236" s="242"/>
      <c r="P236" s="242"/>
      <c r="Q236" s="242"/>
      <c r="R236" s="242"/>
      <c r="S236" s="146"/>
      <c r="T236" s="146"/>
      <c r="U236" s="242"/>
      <c r="V236" s="146"/>
      <c r="W236" s="146"/>
      <c r="X236" s="146"/>
      <c r="Y236" s="146"/>
      <c r="Z236" s="146"/>
      <c r="AA236" s="146"/>
      <c r="AB236" s="146"/>
      <c r="AC236" s="146"/>
      <c r="AD236" s="146"/>
      <c r="AE236" s="146"/>
      <c r="AF236" s="146"/>
      <c r="AG236" s="146"/>
      <c r="AH236" s="146"/>
      <c r="AI236" s="146"/>
      <c r="AJ236" s="146"/>
      <c r="AK236" s="146"/>
      <c r="AL236" s="146"/>
      <c r="AM236" s="146"/>
      <c r="AN236" s="146"/>
      <c r="AO236" s="146"/>
      <c r="AP236" s="146"/>
      <c r="AQ236" s="146"/>
      <c r="AR236" s="146"/>
      <c r="AS236" s="146"/>
      <c r="AT236" s="146"/>
      <c r="AU236" s="146"/>
      <c r="AV236" s="146"/>
      <c r="AW236" s="146"/>
      <c r="AX236" s="146"/>
      <c r="AY236" s="146"/>
      <c r="AZ236" s="146"/>
      <c r="BA236" s="146"/>
      <c r="BB236" s="146"/>
      <c r="BC236" s="146"/>
      <c r="BD236" s="146"/>
      <c r="BE236" s="146"/>
      <c r="BF236" s="146"/>
      <c r="BG236" s="146"/>
      <c r="BH236" s="146"/>
      <c r="BI236" s="146"/>
      <c r="BJ236" s="146"/>
      <c r="BK236" s="146"/>
      <c r="BL236" s="146"/>
      <c r="BM236" s="146"/>
      <c r="BN236" s="146"/>
      <c r="BO236" s="146"/>
      <c r="BP236" s="146"/>
      <c r="BQ236" s="146"/>
      <c r="BR236" s="146"/>
      <c r="BS236" s="146"/>
      <c r="BT236" s="146"/>
      <c r="BU236" s="146"/>
      <c r="BV236" s="146"/>
      <c r="BW236" s="146"/>
      <c r="BX236" s="146"/>
      <c r="BY236" s="146"/>
      <c r="BZ236" s="146"/>
      <c r="CA236" s="146"/>
      <c r="CB236" s="146"/>
      <c r="CC236" s="146"/>
      <c r="CD236" s="146"/>
      <c r="CE236" s="146"/>
      <c r="CF236" s="146"/>
      <c r="CG236" s="146"/>
      <c r="CH236" s="146"/>
    </row>
    <row r="237" ht="15.75" customHeight="1">
      <c r="A237" s="91"/>
      <c r="B237" s="305"/>
      <c r="O237" s="5"/>
      <c r="P237" s="5"/>
      <c r="Q237" s="5"/>
      <c r="R237" s="5"/>
      <c r="S237" s="5"/>
      <c r="T237" s="5"/>
      <c r="U237" s="8"/>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row>
    <row r="238" ht="15.75" customHeight="1">
      <c r="A238" s="243" t="s">
        <v>735</v>
      </c>
      <c r="B238" s="487"/>
      <c r="C238" s="119"/>
      <c r="D238" s="119"/>
      <c r="E238" s="119"/>
      <c r="F238" s="119"/>
      <c r="G238" s="119"/>
      <c r="H238" s="119"/>
      <c r="I238" s="119"/>
      <c r="J238" s="119"/>
      <c r="K238" s="119"/>
      <c r="L238" s="119"/>
      <c r="M238" s="119"/>
      <c r="N238" s="119"/>
      <c r="O238" s="488">
        <f t="shared" ref="O238:Z238" si="195">O231+O222+O373</f>
        <v>4</v>
      </c>
      <c r="P238" s="488">
        <f t="shared" si="195"/>
        <v>4</v>
      </c>
      <c r="Q238" s="488">
        <f t="shared" si="195"/>
        <v>4</v>
      </c>
      <c r="R238" s="488">
        <f t="shared" si="195"/>
        <v>4</v>
      </c>
      <c r="S238" s="488">
        <f t="shared" si="195"/>
        <v>7</v>
      </c>
      <c r="T238" s="488">
        <f t="shared" si="195"/>
        <v>7</v>
      </c>
      <c r="U238" s="488">
        <f t="shared" si="195"/>
        <v>7</v>
      </c>
      <c r="V238" s="488">
        <f t="shared" si="195"/>
        <v>10</v>
      </c>
      <c r="W238" s="488">
        <f t="shared" si="195"/>
        <v>12</v>
      </c>
      <c r="X238" s="488">
        <f t="shared" si="195"/>
        <v>11</v>
      </c>
      <c r="Y238" s="488">
        <f t="shared" si="195"/>
        <v>12</v>
      </c>
      <c r="Z238" s="488">
        <f t="shared" si="195"/>
        <v>13</v>
      </c>
      <c r="AA238" s="488">
        <f t="shared" ref="AA238:CH238" si="196">AA231+AA222</f>
        <v>8</v>
      </c>
      <c r="AB238" s="488">
        <f t="shared" si="196"/>
        <v>8</v>
      </c>
      <c r="AC238" s="488">
        <f t="shared" si="196"/>
        <v>8</v>
      </c>
      <c r="AD238" s="488">
        <f t="shared" si="196"/>
        <v>8</v>
      </c>
      <c r="AE238" s="488">
        <f t="shared" si="196"/>
        <v>8</v>
      </c>
      <c r="AF238" s="488">
        <f t="shared" si="196"/>
        <v>8</v>
      </c>
      <c r="AG238" s="488">
        <f t="shared" si="196"/>
        <v>8</v>
      </c>
      <c r="AH238" s="488">
        <f t="shared" si="196"/>
        <v>8</v>
      </c>
      <c r="AI238" s="488">
        <f t="shared" si="196"/>
        <v>8</v>
      </c>
      <c r="AJ238" s="488">
        <f t="shared" si="196"/>
        <v>9</v>
      </c>
      <c r="AK238" s="488">
        <f t="shared" si="196"/>
        <v>9</v>
      </c>
      <c r="AL238" s="488">
        <f t="shared" si="196"/>
        <v>9</v>
      </c>
      <c r="AM238" s="488">
        <f t="shared" si="196"/>
        <v>9</v>
      </c>
      <c r="AN238" s="488">
        <f t="shared" si="196"/>
        <v>9</v>
      </c>
      <c r="AO238" s="488">
        <f t="shared" si="196"/>
        <v>9</v>
      </c>
      <c r="AP238" s="488">
        <f t="shared" si="196"/>
        <v>9</v>
      </c>
      <c r="AQ238" s="488">
        <f t="shared" si="196"/>
        <v>9</v>
      </c>
      <c r="AR238" s="488">
        <f t="shared" si="196"/>
        <v>9</v>
      </c>
      <c r="AS238" s="488">
        <f t="shared" si="196"/>
        <v>9</v>
      </c>
      <c r="AT238" s="488">
        <f t="shared" si="196"/>
        <v>9</v>
      </c>
      <c r="AU238" s="488">
        <f t="shared" si="196"/>
        <v>9</v>
      </c>
      <c r="AV238" s="488">
        <f t="shared" si="196"/>
        <v>9</v>
      </c>
      <c r="AW238" s="488">
        <f t="shared" si="196"/>
        <v>9</v>
      </c>
      <c r="AX238" s="488">
        <f t="shared" si="196"/>
        <v>9</v>
      </c>
      <c r="AY238" s="488">
        <f t="shared" si="196"/>
        <v>9</v>
      </c>
      <c r="AZ238" s="488">
        <f t="shared" si="196"/>
        <v>9</v>
      </c>
      <c r="BA238" s="488">
        <f t="shared" si="196"/>
        <v>9</v>
      </c>
      <c r="BB238" s="488">
        <f t="shared" si="196"/>
        <v>10</v>
      </c>
      <c r="BC238" s="488">
        <f t="shared" si="196"/>
        <v>10</v>
      </c>
      <c r="BD238" s="488">
        <f t="shared" si="196"/>
        <v>10</v>
      </c>
      <c r="BE238" s="488">
        <f t="shared" si="196"/>
        <v>10</v>
      </c>
      <c r="BF238" s="488">
        <f t="shared" si="196"/>
        <v>10</v>
      </c>
      <c r="BG238" s="488">
        <f t="shared" si="196"/>
        <v>10</v>
      </c>
      <c r="BH238" s="488">
        <f t="shared" si="196"/>
        <v>10</v>
      </c>
      <c r="BI238" s="488">
        <f t="shared" si="196"/>
        <v>10</v>
      </c>
      <c r="BJ238" s="488">
        <f t="shared" si="196"/>
        <v>10</v>
      </c>
      <c r="BK238" s="488">
        <f t="shared" si="196"/>
        <v>10</v>
      </c>
      <c r="BL238" s="488">
        <f t="shared" si="196"/>
        <v>10</v>
      </c>
      <c r="BM238" s="488">
        <f t="shared" si="196"/>
        <v>10</v>
      </c>
      <c r="BN238" s="488">
        <f t="shared" si="196"/>
        <v>11</v>
      </c>
      <c r="BO238" s="488">
        <f t="shared" si="196"/>
        <v>11</v>
      </c>
      <c r="BP238" s="488">
        <f t="shared" si="196"/>
        <v>11</v>
      </c>
      <c r="BQ238" s="488">
        <f t="shared" si="196"/>
        <v>11</v>
      </c>
      <c r="BR238" s="488">
        <f t="shared" si="196"/>
        <v>11</v>
      </c>
      <c r="BS238" s="488">
        <f t="shared" si="196"/>
        <v>11</v>
      </c>
      <c r="BT238" s="488">
        <f t="shared" si="196"/>
        <v>11</v>
      </c>
      <c r="BU238" s="488">
        <f t="shared" si="196"/>
        <v>11</v>
      </c>
      <c r="BV238" s="488">
        <f t="shared" si="196"/>
        <v>11</v>
      </c>
      <c r="BW238" s="488">
        <f t="shared" si="196"/>
        <v>11</v>
      </c>
      <c r="BX238" s="488">
        <f t="shared" si="196"/>
        <v>11</v>
      </c>
      <c r="BY238" s="488">
        <f t="shared" si="196"/>
        <v>11</v>
      </c>
      <c r="BZ238" s="488">
        <f t="shared" si="196"/>
        <v>11</v>
      </c>
      <c r="CA238" s="488">
        <f t="shared" si="196"/>
        <v>11</v>
      </c>
      <c r="CB238" s="488">
        <f t="shared" si="196"/>
        <v>11</v>
      </c>
      <c r="CC238" s="488">
        <f t="shared" si="196"/>
        <v>11</v>
      </c>
      <c r="CD238" s="488">
        <f t="shared" si="196"/>
        <v>11</v>
      </c>
      <c r="CE238" s="488">
        <f t="shared" si="196"/>
        <v>11</v>
      </c>
      <c r="CF238" s="488">
        <f t="shared" si="196"/>
        <v>11</v>
      </c>
      <c r="CG238" s="488">
        <f t="shared" si="196"/>
        <v>11</v>
      </c>
      <c r="CH238" s="488">
        <f t="shared" si="196"/>
        <v>11</v>
      </c>
    </row>
    <row r="239" ht="15.75" customHeight="1">
      <c r="A239" s="91"/>
      <c r="B239" s="305"/>
      <c r="O239" s="5"/>
      <c r="P239" s="5"/>
      <c r="Q239" s="5"/>
      <c r="R239" s="146">
        <f t="shared" ref="R239:CG239" si="197">S238-R238</f>
        <v>3</v>
      </c>
      <c r="S239" s="146">
        <f t="shared" si="197"/>
        <v>0</v>
      </c>
      <c r="T239" s="146">
        <f t="shared" si="197"/>
        <v>0</v>
      </c>
      <c r="U239" s="146">
        <f t="shared" si="197"/>
        <v>3</v>
      </c>
      <c r="V239" s="146">
        <f t="shared" si="197"/>
        <v>2</v>
      </c>
      <c r="W239" s="146">
        <f t="shared" si="197"/>
        <v>-1</v>
      </c>
      <c r="X239" s="146">
        <f t="shared" si="197"/>
        <v>1</v>
      </c>
      <c r="Y239" s="146">
        <f t="shared" si="197"/>
        <v>1</v>
      </c>
      <c r="Z239" s="146">
        <f t="shared" si="197"/>
        <v>-5</v>
      </c>
      <c r="AA239" s="146">
        <f t="shared" si="197"/>
        <v>0</v>
      </c>
      <c r="AB239" s="146">
        <f t="shared" si="197"/>
        <v>0</v>
      </c>
      <c r="AC239" s="146">
        <f t="shared" si="197"/>
        <v>0</v>
      </c>
      <c r="AD239" s="146">
        <f t="shared" si="197"/>
        <v>0</v>
      </c>
      <c r="AE239" s="146">
        <f t="shared" si="197"/>
        <v>0</v>
      </c>
      <c r="AF239" s="146">
        <f t="shared" si="197"/>
        <v>0</v>
      </c>
      <c r="AG239" s="146">
        <f t="shared" si="197"/>
        <v>0</v>
      </c>
      <c r="AH239" s="146">
        <f t="shared" si="197"/>
        <v>0</v>
      </c>
      <c r="AI239" s="146">
        <f t="shared" si="197"/>
        <v>1</v>
      </c>
      <c r="AJ239" s="146">
        <f t="shared" si="197"/>
        <v>0</v>
      </c>
      <c r="AK239" s="146">
        <f t="shared" si="197"/>
        <v>0</v>
      </c>
      <c r="AL239" s="146">
        <f t="shared" si="197"/>
        <v>0</v>
      </c>
      <c r="AM239" s="146">
        <f t="shared" si="197"/>
        <v>0</v>
      </c>
      <c r="AN239" s="146">
        <f t="shared" si="197"/>
        <v>0</v>
      </c>
      <c r="AO239" s="146">
        <f t="shared" si="197"/>
        <v>0</v>
      </c>
      <c r="AP239" s="146">
        <f t="shared" si="197"/>
        <v>0</v>
      </c>
      <c r="AQ239" s="146">
        <f t="shared" si="197"/>
        <v>0</v>
      </c>
      <c r="AR239" s="146">
        <f t="shared" si="197"/>
        <v>0</v>
      </c>
      <c r="AS239" s="146">
        <f t="shared" si="197"/>
        <v>0</v>
      </c>
      <c r="AT239" s="146">
        <f t="shared" si="197"/>
        <v>0</v>
      </c>
      <c r="AU239" s="146">
        <f t="shared" si="197"/>
        <v>0</v>
      </c>
      <c r="AV239" s="146">
        <f t="shared" si="197"/>
        <v>0</v>
      </c>
      <c r="AW239" s="146">
        <f t="shared" si="197"/>
        <v>0</v>
      </c>
      <c r="AX239" s="146">
        <f t="shared" si="197"/>
        <v>0</v>
      </c>
      <c r="AY239" s="146">
        <f t="shared" si="197"/>
        <v>0</v>
      </c>
      <c r="AZ239" s="146">
        <f t="shared" si="197"/>
        <v>0</v>
      </c>
      <c r="BA239" s="146">
        <f t="shared" si="197"/>
        <v>1</v>
      </c>
      <c r="BB239" s="146">
        <f t="shared" si="197"/>
        <v>0</v>
      </c>
      <c r="BC239" s="146">
        <f t="shared" si="197"/>
        <v>0</v>
      </c>
      <c r="BD239" s="146">
        <f t="shared" si="197"/>
        <v>0</v>
      </c>
      <c r="BE239" s="146">
        <f t="shared" si="197"/>
        <v>0</v>
      </c>
      <c r="BF239" s="146">
        <f t="shared" si="197"/>
        <v>0</v>
      </c>
      <c r="BG239" s="146">
        <f t="shared" si="197"/>
        <v>0</v>
      </c>
      <c r="BH239" s="146">
        <f t="shared" si="197"/>
        <v>0</v>
      </c>
      <c r="BI239" s="146">
        <f t="shared" si="197"/>
        <v>0</v>
      </c>
      <c r="BJ239" s="146">
        <f t="shared" si="197"/>
        <v>0</v>
      </c>
      <c r="BK239" s="146">
        <f t="shared" si="197"/>
        <v>0</v>
      </c>
      <c r="BL239" s="146">
        <f t="shared" si="197"/>
        <v>0</v>
      </c>
      <c r="BM239" s="146">
        <f t="shared" si="197"/>
        <v>1</v>
      </c>
      <c r="BN239" s="146">
        <f t="shared" si="197"/>
        <v>0</v>
      </c>
      <c r="BO239" s="146">
        <f t="shared" si="197"/>
        <v>0</v>
      </c>
      <c r="BP239" s="146">
        <f t="shared" si="197"/>
        <v>0</v>
      </c>
      <c r="BQ239" s="146">
        <f t="shared" si="197"/>
        <v>0</v>
      </c>
      <c r="BR239" s="146">
        <f t="shared" si="197"/>
        <v>0</v>
      </c>
      <c r="BS239" s="146">
        <f t="shared" si="197"/>
        <v>0</v>
      </c>
      <c r="BT239" s="146">
        <f t="shared" si="197"/>
        <v>0</v>
      </c>
      <c r="BU239" s="146">
        <f t="shared" si="197"/>
        <v>0</v>
      </c>
      <c r="BV239" s="146">
        <f t="shared" si="197"/>
        <v>0</v>
      </c>
      <c r="BW239" s="146">
        <f t="shared" si="197"/>
        <v>0</v>
      </c>
      <c r="BX239" s="146">
        <f t="shared" si="197"/>
        <v>0</v>
      </c>
      <c r="BY239" s="146">
        <f t="shared" si="197"/>
        <v>0</v>
      </c>
      <c r="BZ239" s="146">
        <f t="shared" si="197"/>
        <v>0</v>
      </c>
      <c r="CA239" s="146">
        <f t="shared" si="197"/>
        <v>0</v>
      </c>
      <c r="CB239" s="146">
        <f t="shared" si="197"/>
        <v>0</v>
      </c>
      <c r="CC239" s="146">
        <f t="shared" si="197"/>
        <v>0</v>
      </c>
      <c r="CD239" s="146">
        <f t="shared" si="197"/>
        <v>0</v>
      </c>
      <c r="CE239" s="146">
        <f t="shared" si="197"/>
        <v>0</v>
      </c>
      <c r="CF239" s="146">
        <f t="shared" si="197"/>
        <v>0</v>
      </c>
      <c r="CG239" s="146">
        <f t="shared" si="197"/>
        <v>0</v>
      </c>
      <c r="CH239" s="1">
        <v>0.0</v>
      </c>
    </row>
    <row r="240" ht="15.75" customHeight="1">
      <c r="A240" s="115" t="s">
        <v>121</v>
      </c>
      <c r="B240" s="305"/>
      <c r="O240" s="5"/>
      <c r="P240" s="5"/>
      <c r="Q240" s="5"/>
      <c r="R240" s="5"/>
      <c r="S240" s="5"/>
      <c r="T240" s="5"/>
    </row>
    <row r="241" ht="15.75" customHeight="1">
      <c r="A241" s="91" t="s">
        <v>732</v>
      </c>
      <c r="B241" s="485">
        <v>700000.0</v>
      </c>
      <c r="O241" s="242">
        <f>Headcount!H16</f>
        <v>3</v>
      </c>
      <c r="P241" s="242">
        <f>Headcount!I16</f>
        <v>3</v>
      </c>
      <c r="Q241" s="242">
        <f>Headcount!J16</f>
        <v>3</v>
      </c>
      <c r="R241" s="242">
        <f>Headcount!K16</f>
        <v>3</v>
      </c>
      <c r="S241" s="242">
        <f>Headcount!L16</f>
        <v>3</v>
      </c>
      <c r="T241" s="242">
        <f>Headcount!M16</f>
        <v>3</v>
      </c>
      <c r="U241" s="242">
        <f t="shared" ref="U241:CH241" si="198">T241+T242</f>
        <v>3</v>
      </c>
      <c r="V241" s="242">
        <f t="shared" si="198"/>
        <v>3</v>
      </c>
      <c r="W241" s="242">
        <f t="shared" si="198"/>
        <v>3</v>
      </c>
      <c r="X241" s="242">
        <f t="shared" si="198"/>
        <v>3</v>
      </c>
      <c r="Y241" s="242">
        <f t="shared" si="198"/>
        <v>3</v>
      </c>
      <c r="Z241" s="146">
        <f t="shared" si="198"/>
        <v>3</v>
      </c>
      <c r="AA241" s="146">
        <f t="shared" si="198"/>
        <v>3</v>
      </c>
      <c r="AB241" s="146">
        <f t="shared" si="198"/>
        <v>3</v>
      </c>
      <c r="AC241" s="146">
        <f t="shared" si="198"/>
        <v>3</v>
      </c>
      <c r="AD241" s="146">
        <f t="shared" si="198"/>
        <v>4</v>
      </c>
      <c r="AE241" s="146">
        <f t="shared" si="198"/>
        <v>4</v>
      </c>
      <c r="AF241" s="146">
        <f t="shared" si="198"/>
        <v>4</v>
      </c>
      <c r="AG241" s="146">
        <f t="shared" si="198"/>
        <v>4</v>
      </c>
      <c r="AH241" s="146">
        <f t="shared" si="198"/>
        <v>5</v>
      </c>
      <c r="AI241" s="146">
        <f t="shared" si="198"/>
        <v>5</v>
      </c>
      <c r="AJ241" s="146">
        <f t="shared" si="198"/>
        <v>5</v>
      </c>
      <c r="AK241" s="146">
        <f t="shared" si="198"/>
        <v>6</v>
      </c>
      <c r="AL241" s="146">
        <f t="shared" si="198"/>
        <v>6</v>
      </c>
      <c r="AM241" s="146">
        <f t="shared" si="198"/>
        <v>6</v>
      </c>
      <c r="AN241" s="146">
        <f t="shared" si="198"/>
        <v>6</v>
      </c>
      <c r="AO241" s="146">
        <f t="shared" si="198"/>
        <v>6</v>
      </c>
      <c r="AP241" s="146">
        <f t="shared" si="198"/>
        <v>6</v>
      </c>
      <c r="AQ241" s="146">
        <f t="shared" si="198"/>
        <v>6</v>
      </c>
      <c r="AR241" s="146">
        <f t="shared" si="198"/>
        <v>6</v>
      </c>
      <c r="AS241" s="146">
        <f t="shared" si="198"/>
        <v>6</v>
      </c>
      <c r="AT241" s="146">
        <f t="shared" si="198"/>
        <v>6</v>
      </c>
      <c r="AU241" s="146">
        <f t="shared" si="198"/>
        <v>6</v>
      </c>
      <c r="AV241" s="146">
        <f t="shared" si="198"/>
        <v>6</v>
      </c>
      <c r="AW241" s="146">
        <f t="shared" si="198"/>
        <v>6</v>
      </c>
      <c r="AX241" s="146">
        <f t="shared" si="198"/>
        <v>6</v>
      </c>
      <c r="AY241" s="146">
        <f t="shared" si="198"/>
        <v>6</v>
      </c>
      <c r="AZ241" s="146">
        <f t="shared" si="198"/>
        <v>6</v>
      </c>
      <c r="BA241" s="146">
        <f t="shared" si="198"/>
        <v>6</v>
      </c>
      <c r="BB241" s="146">
        <f t="shared" si="198"/>
        <v>6</v>
      </c>
      <c r="BC241" s="146">
        <f t="shared" si="198"/>
        <v>6</v>
      </c>
      <c r="BD241" s="146">
        <f t="shared" si="198"/>
        <v>6</v>
      </c>
      <c r="BE241" s="146">
        <f t="shared" si="198"/>
        <v>7</v>
      </c>
      <c r="BF241" s="146">
        <f t="shared" si="198"/>
        <v>7</v>
      </c>
      <c r="BG241" s="146">
        <f t="shared" si="198"/>
        <v>7</v>
      </c>
      <c r="BH241" s="146">
        <f t="shared" si="198"/>
        <v>7</v>
      </c>
      <c r="BI241" s="146">
        <f t="shared" si="198"/>
        <v>7</v>
      </c>
      <c r="BJ241" s="146">
        <f t="shared" si="198"/>
        <v>7</v>
      </c>
      <c r="BK241" s="146">
        <f t="shared" si="198"/>
        <v>7</v>
      </c>
      <c r="BL241" s="146">
        <f t="shared" si="198"/>
        <v>7</v>
      </c>
      <c r="BM241" s="146">
        <f t="shared" si="198"/>
        <v>7</v>
      </c>
      <c r="BN241" s="146">
        <f t="shared" si="198"/>
        <v>7</v>
      </c>
      <c r="BO241" s="146">
        <f t="shared" si="198"/>
        <v>8</v>
      </c>
      <c r="BP241" s="146">
        <f t="shared" si="198"/>
        <v>8</v>
      </c>
      <c r="BQ241" s="146">
        <f t="shared" si="198"/>
        <v>8</v>
      </c>
      <c r="BR241" s="146">
        <f t="shared" si="198"/>
        <v>8</v>
      </c>
      <c r="BS241" s="146">
        <f t="shared" si="198"/>
        <v>8</v>
      </c>
      <c r="BT241" s="146">
        <f t="shared" si="198"/>
        <v>8</v>
      </c>
      <c r="BU241" s="146">
        <f t="shared" si="198"/>
        <v>8</v>
      </c>
      <c r="BV241" s="146">
        <f t="shared" si="198"/>
        <v>8</v>
      </c>
      <c r="BW241" s="146">
        <f t="shared" si="198"/>
        <v>8</v>
      </c>
      <c r="BX241" s="146">
        <f t="shared" si="198"/>
        <v>8</v>
      </c>
      <c r="BY241" s="146">
        <f t="shared" si="198"/>
        <v>8</v>
      </c>
      <c r="BZ241" s="146">
        <f t="shared" si="198"/>
        <v>8</v>
      </c>
      <c r="CA241" s="146">
        <f t="shared" si="198"/>
        <v>8</v>
      </c>
      <c r="CB241" s="146">
        <f t="shared" si="198"/>
        <v>8</v>
      </c>
      <c r="CC241" s="146">
        <f t="shared" si="198"/>
        <v>8</v>
      </c>
      <c r="CD241" s="146">
        <f t="shared" si="198"/>
        <v>8</v>
      </c>
      <c r="CE241" s="146">
        <f t="shared" si="198"/>
        <v>8</v>
      </c>
      <c r="CF241" s="146">
        <f t="shared" si="198"/>
        <v>8</v>
      </c>
      <c r="CG241" s="146">
        <f t="shared" si="198"/>
        <v>8</v>
      </c>
      <c r="CH241" s="146">
        <f t="shared" si="198"/>
        <v>8</v>
      </c>
    </row>
    <row r="242" ht="15.75" customHeight="1">
      <c r="A242" s="91">
        <v>2024.0</v>
      </c>
      <c r="B242" s="137">
        <f t="shared" ref="B242:B245" si="206">B241*(1+B208)</f>
        <v>1085000</v>
      </c>
      <c r="O242" s="5"/>
      <c r="P242" s="5"/>
      <c r="Q242" s="5"/>
      <c r="R242" s="5"/>
      <c r="S242" s="5"/>
      <c r="T242" s="5"/>
      <c r="U242" s="1">
        <f t="shared" ref="U242:V242" si="199">IF((U241*$B241)&lt;U$206,ROUNDUP(ABS(U$206/$B241)-U241,0),0)</f>
        <v>0</v>
      </c>
      <c r="V242" s="1">
        <f t="shared" si="199"/>
        <v>0</v>
      </c>
      <c r="W242" s="1">
        <v>0.0</v>
      </c>
      <c r="X242" s="1">
        <f t="shared" ref="X242:Y242" si="200">IF((X241*$B241)&lt;X$206,ROUNDUP(ABS(X$206/$B241)-X241,0),0)</f>
        <v>0</v>
      </c>
      <c r="Y242" s="1">
        <f t="shared" si="200"/>
        <v>0</v>
      </c>
      <c r="Z242" s="8">
        <v>0.0</v>
      </c>
      <c r="AA242" s="8">
        <v>0.0</v>
      </c>
      <c r="AB242" s="1">
        <f t="shared" ref="AB242:AL242" si="201">IF((AB241*$B241)&lt;AB$206,ROUNDUP(ABS(AB$206/$B241)-AB241,0),0)</f>
        <v>0</v>
      </c>
      <c r="AC242" s="1">
        <f t="shared" si="201"/>
        <v>1</v>
      </c>
      <c r="AD242" s="1">
        <f t="shared" si="201"/>
        <v>0</v>
      </c>
      <c r="AE242" s="1">
        <f t="shared" si="201"/>
        <v>0</v>
      </c>
      <c r="AF242" s="1">
        <f t="shared" si="201"/>
        <v>0</v>
      </c>
      <c r="AG242" s="1">
        <f t="shared" si="201"/>
        <v>1</v>
      </c>
      <c r="AH242" s="1">
        <f t="shared" si="201"/>
        <v>0</v>
      </c>
      <c r="AI242" s="1">
        <f t="shared" si="201"/>
        <v>0</v>
      </c>
      <c r="AJ242" s="1">
        <f t="shared" si="201"/>
        <v>1</v>
      </c>
      <c r="AK242" s="1">
        <f t="shared" si="201"/>
        <v>0</v>
      </c>
      <c r="AL242" s="1">
        <f t="shared" si="201"/>
        <v>0</v>
      </c>
      <c r="AM242" s="1">
        <f t="shared" ref="AM242:AX242" si="202">IF((AM241*$B242)&lt;AM$206,ROUNDUP(ABS(AM$206/$B242)-AM241,0),0)</f>
        <v>0</v>
      </c>
      <c r="AN242" s="1">
        <f t="shared" si="202"/>
        <v>0</v>
      </c>
      <c r="AO242" s="1">
        <f t="shared" si="202"/>
        <v>0</v>
      </c>
      <c r="AP242" s="1">
        <f t="shared" si="202"/>
        <v>0</v>
      </c>
      <c r="AQ242" s="1">
        <f t="shared" si="202"/>
        <v>0</v>
      </c>
      <c r="AR242" s="1">
        <f t="shared" si="202"/>
        <v>0</v>
      </c>
      <c r="AS242" s="1">
        <f t="shared" si="202"/>
        <v>0</v>
      </c>
      <c r="AT242" s="1">
        <f t="shared" si="202"/>
        <v>0</v>
      </c>
      <c r="AU242" s="1">
        <f t="shared" si="202"/>
        <v>0</v>
      </c>
      <c r="AV242" s="1">
        <f t="shared" si="202"/>
        <v>0</v>
      </c>
      <c r="AW242" s="1">
        <f t="shared" si="202"/>
        <v>0</v>
      </c>
      <c r="AX242" s="1">
        <f t="shared" si="202"/>
        <v>0</v>
      </c>
      <c r="AY242" s="1">
        <f t="shared" ref="AY242:BJ242" si="203">IF((AY241*$B243)&lt;AY$206,ROUNDUP(ABS(AY$206/$B243)-AY241,0),0)</f>
        <v>0</v>
      </c>
      <c r="AZ242" s="1">
        <f t="shared" si="203"/>
        <v>0</v>
      </c>
      <c r="BA242" s="1">
        <f t="shared" si="203"/>
        <v>0</v>
      </c>
      <c r="BB242" s="1">
        <f t="shared" si="203"/>
        <v>0</v>
      </c>
      <c r="BC242" s="1">
        <f t="shared" si="203"/>
        <v>0</v>
      </c>
      <c r="BD242" s="1">
        <f t="shared" si="203"/>
        <v>1</v>
      </c>
      <c r="BE242" s="1">
        <f t="shared" si="203"/>
        <v>0</v>
      </c>
      <c r="BF242" s="1">
        <f t="shared" si="203"/>
        <v>0</v>
      </c>
      <c r="BG242" s="1">
        <f t="shared" si="203"/>
        <v>0</v>
      </c>
      <c r="BH242" s="1">
        <f t="shared" si="203"/>
        <v>0</v>
      </c>
      <c r="BI242" s="1">
        <f t="shared" si="203"/>
        <v>0</v>
      </c>
      <c r="BJ242" s="1">
        <f t="shared" si="203"/>
        <v>0</v>
      </c>
      <c r="BK242" s="1">
        <f t="shared" ref="BK242:BV242" si="204">IF((BK241*$B244)&lt;BK$206,ROUNDUP(ABS(BK$206/$B244)-BK241,0),0)</f>
        <v>0</v>
      </c>
      <c r="BL242" s="1">
        <f t="shared" si="204"/>
        <v>0</v>
      </c>
      <c r="BM242" s="1">
        <f t="shared" si="204"/>
        <v>0</v>
      </c>
      <c r="BN242" s="1">
        <f t="shared" si="204"/>
        <v>1</v>
      </c>
      <c r="BO242" s="1">
        <f t="shared" si="204"/>
        <v>0</v>
      </c>
      <c r="BP242" s="1">
        <f t="shared" si="204"/>
        <v>0</v>
      </c>
      <c r="BQ242" s="1">
        <f t="shared" si="204"/>
        <v>0</v>
      </c>
      <c r="BR242" s="1">
        <f t="shared" si="204"/>
        <v>0</v>
      </c>
      <c r="BS242" s="1">
        <f t="shared" si="204"/>
        <v>0</v>
      </c>
      <c r="BT242" s="1">
        <f t="shared" si="204"/>
        <v>0</v>
      </c>
      <c r="BU242" s="1">
        <f t="shared" si="204"/>
        <v>0</v>
      </c>
      <c r="BV242" s="1">
        <f t="shared" si="204"/>
        <v>0</v>
      </c>
      <c r="BW242" s="1">
        <f t="shared" ref="BW242:CH242" si="205">IF((BW241*$B245)&lt;BW$206,ROUNDUP(ABS(BW$206/$B245)-BW241,0),0)</f>
        <v>0</v>
      </c>
      <c r="BX242" s="1">
        <f t="shared" si="205"/>
        <v>0</v>
      </c>
      <c r="BY242" s="1">
        <f t="shared" si="205"/>
        <v>0</v>
      </c>
      <c r="BZ242" s="1">
        <f t="shared" si="205"/>
        <v>0</v>
      </c>
      <c r="CA242" s="1">
        <f t="shared" si="205"/>
        <v>0</v>
      </c>
      <c r="CB242" s="1">
        <f t="shared" si="205"/>
        <v>0</v>
      </c>
      <c r="CC242" s="1">
        <f t="shared" si="205"/>
        <v>0</v>
      </c>
      <c r="CD242" s="1">
        <f t="shared" si="205"/>
        <v>0</v>
      </c>
      <c r="CE242" s="1">
        <f t="shared" si="205"/>
        <v>0</v>
      </c>
      <c r="CF242" s="1">
        <f t="shared" si="205"/>
        <v>0</v>
      </c>
      <c r="CG242" s="1">
        <f t="shared" si="205"/>
        <v>0</v>
      </c>
      <c r="CH242" s="1">
        <f t="shared" si="205"/>
        <v>0</v>
      </c>
    </row>
    <row r="243" ht="15.75" customHeight="1">
      <c r="A243" s="91">
        <v>2025.0</v>
      </c>
      <c r="B243" s="137">
        <f t="shared" si="206"/>
        <v>868000</v>
      </c>
      <c r="O243" s="242"/>
      <c r="P243" s="242"/>
      <c r="Q243" s="242"/>
      <c r="R243" s="242"/>
      <c r="S243" s="242"/>
      <c r="T243" s="242"/>
      <c r="U243" s="146"/>
      <c r="V243" s="146"/>
      <c r="W243" s="146"/>
      <c r="X243" s="146"/>
      <c r="Y243" s="146"/>
      <c r="Z243" s="146"/>
      <c r="AA243" s="146"/>
      <c r="AB243" s="146"/>
      <c r="AC243" s="146"/>
      <c r="AD243" s="146"/>
      <c r="AE243" s="146"/>
      <c r="AF243" s="146"/>
      <c r="AG243" s="146"/>
      <c r="AH243" s="146"/>
      <c r="AI243" s="146"/>
      <c r="AJ243" s="146"/>
      <c r="AK243" s="146"/>
      <c r="AL243" s="146"/>
      <c r="AM243" s="146"/>
      <c r="AN243" s="146"/>
      <c r="AO243" s="146"/>
      <c r="AP243" s="146"/>
      <c r="AQ243" s="146"/>
      <c r="AR243" s="146"/>
      <c r="AS243" s="146"/>
      <c r="AT243" s="146"/>
      <c r="AU243" s="146"/>
      <c r="AV243" s="146"/>
      <c r="AW243" s="146"/>
      <c r="AX243" s="146"/>
      <c r="AY243" s="146"/>
      <c r="AZ243" s="146"/>
      <c r="BA243" s="146"/>
      <c r="BB243" s="146"/>
      <c r="BC243" s="146"/>
      <c r="BD243" s="146"/>
      <c r="BE243" s="146"/>
      <c r="BF243" s="146"/>
      <c r="BG243" s="146"/>
      <c r="BH243" s="146"/>
      <c r="BI243" s="146"/>
      <c r="BJ243" s="146"/>
      <c r="BK243" s="146"/>
      <c r="BL243" s="146"/>
      <c r="BM243" s="146"/>
      <c r="BN243" s="146"/>
      <c r="BO243" s="146"/>
      <c r="BP243" s="146"/>
      <c r="BQ243" s="146"/>
      <c r="BR243" s="146"/>
      <c r="BS243" s="146"/>
      <c r="BT243" s="146"/>
      <c r="BU243" s="146"/>
      <c r="BV243" s="146"/>
      <c r="BW243" s="146"/>
      <c r="BX243" s="146"/>
      <c r="BY243" s="146"/>
      <c r="BZ243" s="146"/>
      <c r="CA243" s="146"/>
      <c r="CB243" s="146"/>
      <c r="CC243" s="146"/>
      <c r="CD243" s="146"/>
      <c r="CE243" s="146"/>
      <c r="CF243" s="146"/>
      <c r="CG243" s="146"/>
      <c r="CH243" s="146"/>
    </row>
    <row r="244" ht="15.75" customHeight="1">
      <c r="A244" s="91">
        <v>2026.0</v>
      </c>
      <c r="B244" s="137">
        <f t="shared" si="206"/>
        <v>868000</v>
      </c>
      <c r="O244" s="242"/>
      <c r="P244" s="242"/>
      <c r="Q244" s="242"/>
      <c r="R244" s="242"/>
      <c r="S244" s="242"/>
      <c r="T244" s="242"/>
      <c r="U244" s="146"/>
      <c r="V244" s="146"/>
      <c r="W244" s="146"/>
      <c r="X244" s="146"/>
      <c r="Y244" s="146"/>
      <c r="Z244" s="146"/>
      <c r="AA244" s="146"/>
      <c r="AB244" s="146"/>
      <c r="AC244" s="146"/>
      <c r="AD244" s="146"/>
      <c r="AE244" s="146"/>
      <c r="AF244" s="146"/>
      <c r="AG244" s="146"/>
      <c r="AH244" s="146"/>
      <c r="AI244" s="146"/>
      <c r="AJ244" s="146"/>
      <c r="AK244" s="146"/>
      <c r="AL244" s="146"/>
      <c r="AM244" s="146"/>
      <c r="AN244" s="146"/>
      <c r="AO244" s="146"/>
      <c r="AP244" s="146"/>
      <c r="AQ244" s="146"/>
      <c r="AR244" s="146"/>
      <c r="AS244" s="146"/>
      <c r="AT244" s="146"/>
      <c r="AU244" s="146"/>
      <c r="AV244" s="146"/>
      <c r="AW244" s="146"/>
      <c r="AX244" s="146"/>
      <c r="AY244" s="146"/>
      <c r="AZ244" s="146"/>
      <c r="BA244" s="146"/>
      <c r="BB244" s="146"/>
      <c r="BC244" s="146"/>
      <c r="BD244" s="146"/>
      <c r="BE244" s="146"/>
      <c r="BF244" s="146"/>
      <c r="BG244" s="146"/>
      <c r="BH244" s="146"/>
      <c r="BI244" s="146"/>
      <c r="BJ244" s="146"/>
      <c r="BK244" s="146"/>
      <c r="BL244" s="146"/>
      <c r="BM244" s="146"/>
      <c r="BN244" s="146"/>
      <c r="BO244" s="146"/>
      <c r="BP244" s="146"/>
      <c r="BQ244" s="146"/>
      <c r="BR244" s="146"/>
      <c r="BS244" s="146"/>
      <c r="BT244" s="146"/>
      <c r="BU244" s="146"/>
      <c r="BV244" s="146"/>
      <c r="BW244" s="146"/>
      <c r="BX244" s="146"/>
      <c r="BY244" s="146"/>
      <c r="BZ244" s="146"/>
      <c r="CA244" s="146"/>
      <c r="CB244" s="146"/>
      <c r="CC244" s="146"/>
      <c r="CD244" s="146"/>
      <c r="CE244" s="146"/>
      <c r="CF244" s="146"/>
      <c r="CG244" s="146"/>
      <c r="CH244" s="146"/>
    </row>
    <row r="245" ht="15.75" customHeight="1">
      <c r="A245" s="91">
        <v>2027.0</v>
      </c>
      <c r="B245" s="137">
        <f t="shared" si="206"/>
        <v>1128400</v>
      </c>
      <c r="O245" s="242"/>
      <c r="P245" s="242"/>
      <c r="Q245" s="242"/>
      <c r="R245" s="242"/>
      <c r="S245" s="242"/>
      <c r="T245" s="242"/>
      <c r="U245" s="146"/>
      <c r="V245" s="146"/>
      <c r="W245" s="146"/>
      <c r="X245" s="146"/>
      <c r="Y245" s="146"/>
      <c r="Z245" s="146"/>
      <c r="AA245" s="146"/>
      <c r="AB245" s="146"/>
      <c r="AC245" s="146"/>
      <c r="AD245" s="146"/>
      <c r="AE245" s="146"/>
      <c r="AF245" s="146"/>
      <c r="AG245" s="146"/>
      <c r="AH245" s="146"/>
      <c r="AI245" s="146"/>
      <c r="AJ245" s="146"/>
      <c r="AK245" s="146"/>
      <c r="AL245" s="146"/>
      <c r="AM245" s="146"/>
      <c r="AN245" s="146"/>
      <c r="AO245" s="146"/>
      <c r="AP245" s="146"/>
      <c r="AQ245" s="146"/>
      <c r="AR245" s="146"/>
      <c r="AS245" s="146"/>
      <c r="AT245" s="146"/>
      <c r="AU245" s="146"/>
      <c r="AV245" s="146"/>
      <c r="AW245" s="146"/>
      <c r="AX245" s="146"/>
      <c r="AY245" s="146"/>
      <c r="AZ245" s="146"/>
      <c r="BA245" s="146"/>
      <c r="BB245" s="146"/>
      <c r="BC245" s="146"/>
      <c r="BD245" s="146"/>
      <c r="BE245" s="146"/>
      <c r="BF245" s="146"/>
      <c r="BG245" s="146"/>
      <c r="BH245" s="146"/>
      <c r="BI245" s="146"/>
      <c r="BJ245" s="146"/>
      <c r="BK245" s="146"/>
      <c r="BL245" s="146"/>
      <c r="BM245" s="146"/>
      <c r="BN245" s="146"/>
      <c r="BO245" s="146"/>
      <c r="BP245" s="146"/>
      <c r="BQ245" s="146"/>
      <c r="BR245" s="146"/>
      <c r="BS245" s="146"/>
      <c r="BT245" s="146"/>
      <c r="BU245" s="146"/>
      <c r="BV245" s="146"/>
      <c r="BW245" s="146"/>
      <c r="BX245" s="146"/>
      <c r="BY245" s="146"/>
      <c r="BZ245" s="146"/>
      <c r="CA245" s="146"/>
      <c r="CB245" s="146"/>
      <c r="CC245" s="146"/>
      <c r="CD245" s="146"/>
      <c r="CE245" s="146"/>
      <c r="CF245" s="146"/>
      <c r="CG245" s="146"/>
      <c r="CH245" s="146"/>
    </row>
    <row r="246" ht="15.75" customHeight="1">
      <c r="A246" s="91"/>
      <c r="B246" s="305"/>
      <c r="O246" s="242"/>
      <c r="P246" s="242"/>
      <c r="Q246" s="242"/>
      <c r="R246" s="242"/>
      <c r="S246" s="242"/>
      <c r="T246" s="242"/>
      <c r="U246" s="146"/>
      <c r="V246" s="146"/>
      <c r="W246" s="146"/>
      <c r="X246" s="146"/>
      <c r="Y246" s="146"/>
      <c r="Z246" s="146"/>
      <c r="AA246" s="146"/>
      <c r="AB246" s="146"/>
      <c r="AC246" s="146"/>
      <c r="AD246" s="146"/>
      <c r="AE246" s="146"/>
      <c r="AF246" s="146"/>
      <c r="AG246" s="146"/>
      <c r="AH246" s="146"/>
      <c r="AI246" s="146"/>
      <c r="AJ246" s="146"/>
      <c r="AK246" s="146"/>
      <c r="AL246" s="146"/>
      <c r="AM246" s="146"/>
      <c r="AN246" s="146"/>
      <c r="AO246" s="146"/>
      <c r="AP246" s="146"/>
      <c r="AQ246" s="146"/>
      <c r="AR246" s="146"/>
      <c r="AS246" s="146"/>
      <c r="AT246" s="146"/>
      <c r="AU246" s="146"/>
      <c r="AV246" s="146"/>
      <c r="AW246" s="146"/>
      <c r="AX246" s="146"/>
      <c r="AY246" s="146"/>
      <c r="AZ246" s="146"/>
      <c r="BA246" s="146"/>
      <c r="BB246" s="146"/>
      <c r="BC246" s="146"/>
      <c r="BD246" s="146"/>
      <c r="BE246" s="146"/>
      <c r="BF246" s="146"/>
      <c r="BG246" s="146"/>
      <c r="BH246" s="146"/>
      <c r="BI246" s="146"/>
      <c r="BJ246" s="146"/>
      <c r="BK246" s="146"/>
      <c r="BL246" s="146"/>
      <c r="BM246" s="146"/>
      <c r="BN246" s="146"/>
      <c r="BO246" s="146"/>
      <c r="BP246" s="146"/>
      <c r="BQ246" s="146"/>
      <c r="BR246" s="146"/>
      <c r="BS246" s="146"/>
      <c r="BT246" s="146"/>
      <c r="BU246" s="146"/>
      <c r="BV246" s="146"/>
      <c r="BW246" s="146"/>
      <c r="BX246" s="146"/>
      <c r="BY246" s="146"/>
      <c r="BZ246" s="146"/>
      <c r="CA246" s="146"/>
      <c r="CB246" s="146"/>
      <c r="CC246" s="146"/>
      <c r="CD246" s="146"/>
      <c r="CE246" s="146"/>
      <c r="CF246" s="146"/>
      <c r="CG246" s="146"/>
      <c r="CH246" s="146"/>
    </row>
    <row r="247" ht="15.75" customHeight="1">
      <c r="A247" s="91"/>
      <c r="B247" s="305"/>
      <c r="O247" s="5"/>
      <c r="P247" s="5"/>
      <c r="Q247" s="5"/>
      <c r="R247" s="5"/>
      <c r="S247" s="5"/>
      <c r="T247" s="5"/>
    </row>
    <row r="248" ht="15.75" customHeight="1">
      <c r="A248" s="115" t="s">
        <v>424</v>
      </c>
      <c r="B248" s="305"/>
      <c r="O248" s="5"/>
      <c r="P248" s="5"/>
      <c r="Q248" s="5"/>
      <c r="R248" s="5"/>
      <c r="S248" s="5"/>
      <c r="T248" s="5"/>
    </row>
    <row r="249" ht="15.75" customHeight="1">
      <c r="A249" s="91" t="s">
        <v>732</v>
      </c>
      <c r="B249" s="485">
        <v>185000.0</v>
      </c>
      <c r="O249" s="242">
        <f>Headcount!H17</f>
        <v>5</v>
      </c>
      <c r="P249" s="242">
        <f>Headcount!I17</f>
        <v>5</v>
      </c>
      <c r="Q249" s="242">
        <f>Headcount!J17</f>
        <v>5</v>
      </c>
      <c r="R249" s="242">
        <f>Headcount!K17</f>
        <v>5</v>
      </c>
      <c r="S249" s="242">
        <f>Headcount!L17</f>
        <v>5</v>
      </c>
      <c r="T249" s="242">
        <f>Headcount!M17</f>
        <v>5</v>
      </c>
      <c r="U249" s="242">
        <f t="shared" ref="U249:V249" si="207">T249+T250</f>
        <v>5</v>
      </c>
      <c r="V249" s="242">
        <f t="shared" si="207"/>
        <v>4</v>
      </c>
      <c r="W249" s="242">
        <v>11.0</v>
      </c>
      <c r="X249" s="242">
        <v>13.0</v>
      </c>
      <c r="Y249" s="242">
        <v>13.0</v>
      </c>
      <c r="Z249" s="146">
        <f t="shared" ref="Z249:CH249" si="208">Y249+Y250</f>
        <v>15</v>
      </c>
      <c r="AA249" s="146">
        <f t="shared" si="208"/>
        <v>15</v>
      </c>
      <c r="AB249" s="146">
        <f t="shared" si="208"/>
        <v>15</v>
      </c>
      <c r="AC249" s="146">
        <f t="shared" si="208"/>
        <v>15</v>
      </c>
      <c r="AD249" s="146">
        <f t="shared" si="208"/>
        <v>15</v>
      </c>
      <c r="AE249" s="146">
        <f t="shared" si="208"/>
        <v>15</v>
      </c>
      <c r="AF249" s="146">
        <f t="shared" si="208"/>
        <v>15</v>
      </c>
      <c r="AG249" s="146">
        <f t="shared" si="208"/>
        <v>16</v>
      </c>
      <c r="AH249" s="146">
        <f t="shared" si="208"/>
        <v>17</v>
      </c>
      <c r="AI249" s="146">
        <f t="shared" si="208"/>
        <v>18</v>
      </c>
      <c r="AJ249" s="146">
        <f t="shared" si="208"/>
        <v>19</v>
      </c>
      <c r="AK249" s="146">
        <f t="shared" si="208"/>
        <v>20</v>
      </c>
      <c r="AL249" s="146">
        <f t="shared" si="208"/>
        <v>21</v>
      </c>
      <c r="AM249" s="146">
        <f t="shared" si="208"/>
        <v>22</v>
      </c>
      <c r="AN249" s="146">
        <f t="shared" si="208"/>
        <v>22</v>
      </c>
      <c r="AO249" s="146">
        <f t="shared" si="208"/>
        <v>22</v>
      </c>
      <c r="AP249" s="146">
        <f t="shared" si="208"/>
        <v>22</v>
      </c>
      <c r="AQ249" s="146">
        <f t="shared" si="208"/>
        <v>22</v>
      </c>
      <c r="AR249" s="146">
        <f t="shared" si="208"/>
        <v>22</v>
      </c>
      <c r="AS249" s="146">
        <f t="shared" si="208"/>
        <v>22</v>
      </c>
      <c r="AT249" s="146">
        <f t="shared" si="208"/>
        <v>22</v>
      </c>
      <c r="AU249" s="146">
        <f t="shared" si="208"/>
        <v>22</v>
      </c>
      <c r="AV249" s="146">
        <f t="shared" si="208"/>
        <v>22</v>
      </c>
      <c r="AW249" s="146">
        <f t="shared" si="208"/>
        <v>22</v>
      </c>
      <c r="AX249" s="146">
        <f t="shared" si="208"/>
        <v>22</v>
      </c>
      <c r="AY249" s="146">
        <f t="shared" si="208"/>
        <v>22</v>
      </c>
      <c r="AZ249" s="146">
        <f t="shared" si="208"/>
        <v>22</v>
      </c>
      <c r="BA249" s="146">
        <f t="shared" si="208"/>
        <v>22</v>
      </c>
      <c r="BB249" s="146">
        <f t="shared" si="208"/>
        <v>22</v>
      </c>
      <c r="BC249" s="146">
        <f t="shared" si="208"/>
        <v>23</v>
      </c>
      <c r="BD249" s="146">
        <f t="shared" si="208"/>
        <v>23</v>
      </c>
      <c r="BE249" s="146">
        <f t="shared" si="208"/>
        <v>23</v>
      </c>
      <c r="BF249" s="146">
        <f t="shared" si="208"/>
        <v>24</v>
      </c>
      <c r="BG249" s="146">
        <f t="shared" si="208"/>
        <v>24</v>
      </c>
      <c r="BH249" s="146">
        <f t="shared" si="208"/>
        <v>25</v>
      </c>
      <c r="BI249" s="146">
        <f t="shared" si="208"/>
        <v>25</v>
      </c>
      <c r="BJ249" s="146">
        <f t="shared" si="208"/>
        <v>25</v>
      </c>
      <c r="BK249" s="146">
        <f t="shared" si="208"/>
        <v>26</v>
      </c>
      <c r="BL249" s="146">
        <f t="shared" si="208"/>
        <v>26</v>
      </c>
      <c r="BM249" s="146">
        <f t="shared" si="208"/>
        <v>26</v>
      </c>
      <c r="BN249" s="146">
        <f t="shared" si="208"/>
        <v>27</v>
      </c>
      <c r="BO249" s="146">
        <f t="shared" si="208"/>
        <v>27</v>
      </c>
      <c r="BP249" s="146">
        <f t="shared" si="208"/>
        <v>27</v>
      </c>
      <c r="BQ249" s="146">
        <f t="shared" si="208"/>
        <v>28</v>
      </c>
      <c r="BR249" s="146">
        <f t="shared" si="208"/>
        <v>28</v>
      </c>
      <c r="BS249" s="146">
        <f t="shared" si="208"/>
        <v>28</v>
      </c>
      <c r="BT249" s="146">
        <f t="shared" si="208"/>
        <v>29</v>
      </c>
      <c r="BU249" s="146">
        <f t="shared" si="208"/>
        <v>29</v>
      </c>
      <c r="BV249" s="146">
        <f t="shared" si="208"/>
        <v>29</v>
      </c>
      <c r="BW249" s="146">
        <f t="shared" si="208"/>
        <v>30</v>
      </c>
      <c r="BX249" s="146">
        <f t="shared" si="208"/>
        <v>30</v>
      </c>
      <c r="BY249" s="146">
        <f t="shared" si="208"/>
        <v>30</v>
      </c>
      <c r="BZ249" s="146">
        <f t="shared" si="208"/>
        <v>30</v>
      </c>
      <c r="CA249" s="146">
        <f t="shared" si="208"/>
        <v>30</v>
      </c>
      <c r="CB249" s="146">
        <f t="shared" si="208"/>
        <v>30</v>
      </c>
      <c r="CC249" s="146">
        <f t="shared" si="208"/>
        <v>30</v>
      </c>
      <c r="CD249" s="146">
        <f t="shared" si="208"/>
        <v>30</v>
      </c>
      <c r="CE249" s="146">
        <f t="shared" si="208"/>
        <v>30</v>
      </c>
      <c r="CF249" s="146">
        <f t="shared" si="208"/>
        <v>30</v>
      </c>
      <c r="CG249" s="146">
        <f t="shared" si="208"/>
        <v>30</v>
      </c>
      <c r="CH249" s="146">
        <f t="shared" si="208"/>
        <v>30</v>
      </c>
    </row>
    <row r="250" ht="15.75" customHeight="1">
      <c r="A250" s="91">
        <v>2024.0</v>
      </c>
      <c r="B250" s="137">
        <f t="shared" ref="B250:B253" si="214">B249*(1+B208)</f>
        <v>286750</v>
      </c>
      <c r="O250" s="5"/>
      <c r="P250" s="5"/>
      <c r="Q250" s="5"/>
      <c r="R250" s="5"/>
      <c r="S250" s="5"/>
      <c r="T250" s="5"/>
      <c r="U250" s="8">
        <v>-1.0</v>
      </c>
      <c r="V250" s="8">
        <v>1.0</v>
      </c>
      <c r="W250" s="91">
        <v>0.0</v>
      </c>
      <c r="X250" s="1">
        <v>0.0</v>
      </c>
      <c r="Y250" s="8">
        <v>2.0</v>
      </c>
      <c r="Z250" s="1">
        <v>0.0</v>
      </c>
      <c r="AA250" s="1">
        <f t="shared" ref="AA250:AL250" si="209">IF((AA249*$B249)&lt;AA$206,ROUNDUP(ABS(AA$206/$B249)-AA249,0),0)</f>
        <v>0</v>
      </c>
      <c r="AB250" s="1">
        <f t="shared" si="209"/>
        <v>0</v>
      </c>
      <c r="AC250" s="1">
        <f t="shared" si="209"/>
        <v>0</v>
      </c>
      <c r="AD250" s="1">
        <f t="shared" si="209"/>
        <v>0</v>
      </c>
      <c r="AE250" s="1">
        <f t="shared" si="209"/>
        <v>0</v>
      </c>
      <c r="AF250" s="1">
        <f t="shared" si="209"/>
        <v>1</v>
      </c>
      <c r="AG250" s="1">
        <f t="shared" si="209"/>
        <v>1</v>
      </c>
      <c r="AH250" s="1">
        <f t="shared" si="209"/>
        <v>1</v>
      </c>
      <c r="AI250" s="1">
        <f t="shared" si="209"/>
        <v>1</v>
      </c>
      <c r="AJ250" s="1">
        <f t="shared" si="209"/>
        <v>1</v>
      </c>
      <c r="AK250" s="1">
        <f t="shared" si="209"/>
        <v>1</v>
      </c>
      <c r="AL250" s="1">
        <f t="shared" si="209"/>
        <v>1</v>
      </c>
      <c r="AM250" s="1">
        <f t="shared" ref="AM250:AX250" si="210">IF((AM249*$B250)&lt;AM$206,ROUNDUP(ABS(AM$206/$B250)-AM249,0),0)</f>
        <v>0</v>
      </c>
      <c r="AN250" s="1">
        <f t="shared" si="210"/>
        <v>0</v>
      </c>
      <c r="AO250" s="1">
        <f t="shared" si="210"/>
        <v>0</v>
      </c>
      <c r="AP250" s="1">
        <f t="shared" si="210"/>
        <v>0</v>
      </c>
      <c r="AQ250" s="1">
        <f t="shared" si="210"/>
        <v>0</v>
      </c>
      <c r="AR250" s="1">
        <f t="shared" si="210"/>
        <v>0</v>
      </c>
      <c r="AS250" s="1">
        <f t="shared" si="210"/>
        <v>0</v>
      </c>
      <c r="AT250" s="1">
        <f t="shared" si="210"/>
        <v>0</v>
      </c>
      <c r="AU250" s="1">
        <f t="shared" si="210"/>
        <v>0</v>
      </c>
      <c r="AV250" s="1">
        <f t="shared" si="210"/>
        <v>0</v>
      </c>
      <c r="AW250" s="1">
        <f t="shared" si="210"/>
        <v>0</v>
      </c>
      <c r="AX250" s="1">
        <f t="shared" si="210"/>
        <v>0</v>
      </c>
      <c r="AY250" s="1">
        <f t="shared" ref="AY250:BJ250" si="211">IF((AY249*$B251)&lt;AY$206,ROUNDUP(ABS(AY$206/$B251)-AY249,0),0)</f>
        <v>0</v>
      </c>
      <c r="AZ250" s="1">
        <f t="shared" si="211"/>
        <v>0</v>
      </c>
      <c r="BA250" s="1">
        <f t="shared" si="211"/>
        <v>0</v>
      </c>
      <c r="BB250" s="1">
        <f t="shared" si="211"/>
        <v>1</v>
      </c>
      <c r="BC250" s="1">
        <f t="shared" si="211"/>
        <v>0</v>
      </c>
      <c r="BD250" s="1">
        <f t="shared" si="211"/>
        <v>0</v>
      </c>
      <c r="BE250" s="1">
        <f t="shared" si="211"/>
        <v>1</v>
      </c>
      <c r="BF250" s="1">
        <f t="shared" si="211"/>
        <v>0</v>
      </c>
      <c r="BG250" s="1">
        <f t="shared" si="211"/>
        <v>1</v>
      </c>
      <c r="BH250" s="1">
        <f t="shared" si="211"/>
        <v>0</v>
      </c>
      <c r="BI250" s="1">
        <f t="shared" si="211"/>
        <v>0</v>
      </c>
      <c r="BJ250" s="1">
        <f t="shared" si="211"/>
        <v>1</v>
      </c>
      <c r="BK250" s="1">
        <f t="shared" ref="BK250:BV250" si="212">IF((BK249*$B252)&lt;BK$206,ROUNDUP(ABS(BK$206/$B252)-BK249,0),0)</f>
        <v>0</v>
      </c>
      <c r="BL250" s="1">
        <f t="shared" si="212"/>
        <v>0</v>
      </c>
      <c r="BM250" s="1">
        <f t="shared" si="212"/>
        <v>1</v>
      </c>
      <c r="BN250" s="1">
        <f t="shared" si="212"/>
        <v>0</v>
      </c>
      <c r="BO250" s="1">
        <f t="shared" si="212"/>
        <v>0</v>
      </c>
      <c r="BP250" s="1">
        <f t="shared" si="212"/>
        <v>1</v>
      </c>
      <c r="BQ250" s="1">
        <f t="shared" si="212"/>
        <v>0</v>
      </c>
      <c r="BR250" s="1">
        <f t="shared" si="212"/>
        <v>0</v>
      </c>
      <c r="BS250" s="1">
        <f t="shared" si="212"/>
        <v>1</v>
      </c>
      <c r="BT250" s="1">
        <f t="shared" si="212"/>
        <v>0</v>
      </c>
      <c r="BU250" s="1">
        <f t="shared" si="212"/>
        <v>0</v>
      </c>
      <c r="BV250" s="1">
        <f t="shared" si="212"/>
        <v>1</v>
      </c>
      <c r="BW250" s="1">
        <f t="shared" ref="BW250:CH250" si="213">IF((BW249*$B253)&lt;BW$206,ROUNDUP(ABS(BW$206/$B253)-BW249,0),0)</f>
        <v>0</v>
      </c>
      <c r="BX250" s="1">
        <f t="shared" si="213"/>
        <v>0</v>
      </c>
      <c r="BY250" s="1">
        <f t="shared" si="213"/>
        <v>0</v>
      </c>
      <c r="BZ250" s="1">
        <f t="shared" si="213"/>
        <v>0</v>
      </c>
      <c r="CA250" s="1">
        <f t="shared" si="213"/>
        <v>0</v>
      </c>
      <c r="CB250" s="1">
        <f t="shared" si="213"/>
        <v>0</v>
      </c>
      <c r="CC250" s="1">
        <f t="shared" si="213"/>
        <v>0</v>
      </c>
      <c r="CD250" s="1">
        <f t="shared" si="213"/>
        <v>0</v>
      </c>
      <c r="CE250" s="1">
        <f t="shared" si="213"/>
        <v>0</v>
      </c>
      <c r="CF250" s="1">
        <f t="shared" si="213"/>
        <v>0</v>
      </c>
      <c r="CG250" s="1">
        <f t="shared" si="213"/>
        <v>0</v>
      </c>
      <c r="CH250" s="1">
        <f t="shared" si="213"/>
        <v>0</v>
      </c>
    </row>
    <row r="251" ht="15.75" customHeight="1">
      <c r="A251" s="91">
        <v>2025.0</v>
      </c>
      <c r="B251" s="137">
        <f t="shared" si="214"/>
        <v>229400</v>
      </c>
      <c r="O251" s="5"/>
      <c r="P251" s="5"/>
      <c r="Q251" s="5"/>
      <c r="R251" s="5"/>
      <c r="S251" s="5"/>
      <c r="T251" s="5"/>
    </row>
    <row r="252" ht="15.75" customHeight="1">
      <c r="A252" s="91">
        <v>2026.0</v>
      </c>
      <c r="B252" s="137">
        <f t="shared" si="214"/>
        <v>229400</v>
      </c>
      <c r="O252" s="5"/>
      <c r="P252" s="5"/>
      <c r="Q252" s="5"/>
      <c r="R252" s="5"/>
      <c r="S252" s="5"/>
      <c r="T252" s="5"/>
    </row>
    <row r="253" ht="15.75" customHeight="1">
      <c r="A253" s="91">
        <v>2027.0</v>
      </c>
      <c r="B253" s="137">
        <f t="shared" si="214"/>
        <v>298220</v>
      </c>
      <c r="O253" s="5"/>
      <c r="P253" s="5"/>
      <c r="Q253" s="5"/>
      <c r="R253" s="5"/>
      <c r="S253" s="5"/>
      <c r="T253" s="5"/>
    </row>
    <row r="254" ht="15.75" customHeight="1">
      <c r="A254" s="91"/>
      <c r="B254" s="305"/>
      <c r="O254" s="5"/>
      <c r="P254" s="5"/>
      <c r="Q254" s="5"/>
      <c r="R254" s="5"/>
      <c r="S254" s="5"/>
      <c r="T254" s="5"/>
    </row>
    <row r="255" ht="15.75" customHeight="1">
      <c r="A255" s="91"/>
      <c r="B255" s="305"/>
      <c r="O255" s="5"/>
      <c r="P255" s="5"/>
      <c r="Q255" s="5"/>
      <c r="R255" s="5"/>
      <c r="S255" s="5"/>
      <c r="T255" s="5"/>
    </row>
    <row r="256" ht="15.75" customHeight="1">
      <c r="A256" s="115" t="s">
        <v>120</v>
      </c>
      <c r="B256" s="305"/>
      <c r="O256" s="5"/>
      <c r="P256" s="5"/>
      <c r="Q256" s="5"/>
      <c r="R256" s="5"/>
      <c r="S256" s="5"/>
      <c r="T256" s="5"/>
    </row>
    <row r="257" ht="15.75" customHeight="1">
      <c r="A257" s="91" t="s">
        <v>732</v>
      </c>
      <c r="B257" s="485">
        <v>600000.0</v>
      </c>
      <c r="O257" s="242">
        <f>Headcount!H18</f>
        <v>8</v>
      </c>
      <c r="P257" s="242">
        <f>Headcount!I18</f>
        <v>8</v>
      </c>
      <c r="Q257" s="242">
        <f>Headcount!J18</f>
        <v>8</v>
      </c>
      <c r="R257" s="242">
        <f>Headcount!K18</f>
        <v>8</v>
      </c>
      <c r="S257" s="242">
        <f>Headcount!L18</f>
        <v>8</v>
      </c>
      <c r="T257" s="242">
        <f>Headcount!M18</f>
        <v>8</v>
      </c>
      <c r="U257" s="242">
        <f t="shared" ref="U257:W257" si="215">T257+T258</f>
        <v>8</v>
      </c>
      <c r="V257" s="242">
        <f t="shared" si="215"/>
        <v>7</v>
      </c>
      <c r="W257" s="242">
        <f t="shared" si="215"/>
        <v>5</v>
      </c>
      <c r="X257" s="242">
        <v>5.0</v>
      </c>
      <c r="Y257" s="242">
        <v>5.0</v>
      </c>
      <c r="Z257" s="146">
        <f t="shared" ref="Z257:CH257" si="216">Y257+Y258</f>
        <v>7</v>
      </c>
      <c r="AA257" s="146">
        <f t="shared" si="216"/>
        <v>11</v>
      </c>
      <c r="AB257" s="146">
        <f t="shared" si="216"/>
        <v>11</v>
      </c>
      <c r="AC257" s="146">
        <f t="shared" si="216"/>
        <v>11</v>
      </c>
      <c r="AD257" s="146">
        <f t="shared" si="216"/>
        <v>11</v>
      </c>
      <c r="AE257" s="146">
        <f t="shared" si="216"/>
        <v>11</v>
      </c>
      <c r="AF257" s="146">
        <f t="shared" si="216"/>
        <v>11</v>
      </c>
      <c r="AG257" s="146">
        <f t="shared" si="216"/>
        <v>11</v>
      </c>
      <c r="AH257" s="146">
        <f t="shared" si="216"/>
        <v>11</v>
      </c>
      <c r="AI257" s="146">
        <f t="shared" si="216"/>
        <v>11</v>
      </c>
      <c r="AJ257" s="146">
        <f t="shared" si="216"/>
        <v>11</v>
      </c>
      <c r="AK257" s="146">
        <f t="shared" si="216"/>
        <v>11</v>
      </c>
      <c r="AL257" s="146">
        <f t="shared" si="216"/>
        <v>11</v>
      </c>
      <c r="AM257" s="146">
        <f t="shared" si="216"/>
        <v>11</v>
      </c>
      <c r="AN257" s="146">
        <f t="shared" si="216"/>
        <v>11</v>
      </c>
      <c r="AO257" s="146">
        <f t="shared" si="216"/>
        <v>11</v>
      </c>
      <c r="AP257" s="146">
        <f t="shared" si="216"/>
        <v>11</v>
      </c>
      <c r="AQ257" s="146">
        <f t="shared" si="216"/>
        <v>11</v>
      </c>
      <c r="AR257" s="146">
        <f t="shared" si="216"/>
        <v>11</v>
      </c>
      <c r="AS257" s="146">
        <f t="shared" si="216"/>
        <v>11</v>
      </c>
      <c r="AT257" s="146">
        <f t="shared" si="216"/>
        <v>11</v>
      </c>
      <c r="AU257" s="146">
        <f t="shared" si="216"/>
        <v>11</v>
      </c>
      <c r="AV257" s="146">
        <f t="shared" si="216"/>
        <v>11</v>
      </c>
      <c r="AW257" s="146">
        <f t="shared" si="216"/>
        <v>11</v>
      </c>
      <c r="AX257" s="146">
        <f t="shared" si="216"/>
        <v>11</v>
      </c>
      <c r="AY257" s="146">
        <f t="shared" si="216"/>
        <v>11</v>
      </c>
      <c r="AZ257" s="146">
        <f t="shared" si="216"/>
        <v>11</v>
      </c>
      <c r="BA257" s="146">
        <f t="shared" si="216"/>
        <v>11</v>
      </c>
      <c r="BB257" s="146">
        <f t="shared" si="216"/>
        <v>11</v>
      </c>
      <c r="BC257" s="146">
        <f t="shared" si="216"/>
        <v>11</v>
      </c>
      <c r="BD257" s="146">
        <f t="shared" si="216"/>
        <v>11</v>
      </c>
      <c r="BE257" s="146">
        <f t="shared" si="216"/>
        <v>11</v>
      </c>
      <c r="BF257" s="146">
        <f t="shared" si="216"/>
        <v>11</v>
      </c>
      <c r="BG257" s="146">
        <f t="shared" si="216"/>
        <v>11</v>
      </c>
      <c r="BH257" s="146">
        <f t="shared" si="216"/>
        <v>11</v>
      </c>
      <c r="BI257" s="146">
        <f t="shared" si="216"/>
        <v>11</v>
      </c>
      <c r="BJ257" s="146">
        <f t="shared" si="216"/>
        <v>11</v>
      </c>
      <c r="BK257" s="146">
        <f t="shared" si="216"/>
        <v>11</v>
      </c>
      <c r="BL257" s="146">
        <f t="shared" si="216"/>
        <v>11</v>
      </c>
      <c r="BM257" s="146">
        <f t="shared" si="216"/>
        <v>11</v>
      </c>
      <c r="BN257" s="146">
        <f t="shared" si="216"/>
        <v>11</v>
      </c>
      <c r="BO257" s="146">
        <f t="shared" si="216"/>
        <v>11</v>
      </c>
      <c r="BP257" s="146">
        <f t="shared" si="216"/>
        <v>11</v>
      </c>
      <c r="BQ257" s="146">
        <f t="shared" si="216"/>
        <v>11</v>
      </c>
      <c r="BR257" s="146">
        <f t="shared" si="216"/>
        <v>11</v>
      </c>
      <c r="BS257" s="146">
        <f t="shared" si="216"/>
        <v>11</v>
      </c>
      <c r="BT257" s="146">
        <f t="shared" si="216"/>
        <v>11</v>
      </c>
      <c r="BU257" s="146">
        <f t="shared" si="216"/>
        <v>11</v>
      </c>
      <c r="BV257" s="146">
        <f t="shared" si="216"/>
        <v>11</v>
      </c>
      <c r="BW257" s="146">
        <f t="shared" si="216"/>
        <v>11</v>
      </c>
      <c r="BX257" s="146">
        <f t="shared" si="216"/>
        <v>11</v>
      </c>
      <c r="BY257" s="146">
        <f t="shared" si="216"/>
        <v>11</v>
      </c>
      <c r="BZ257" s="146">
        <f t="shared" si="216"/>
        <v>11</v>
      </c>
      <c r="CA257" s="146">
        <f t="shared" si="216"/>
        <v>11</v>
      </c>
      <c r="CB257" s="146">
        <f t="shared" si="216"/>
        <v>11</v>
      </c>
      <c r="CC257" s="146">
        <f t="shared" si="216"/>
        <v>11</v>
      </c>
      <c r="CD257" s="146">
        <f t="shared" si="216"/>
        <v>11</v>
      </c>
      <c r="CE257" s="146">
        <f t="shared" si="216"/>
        <v>11</v>
      </c>
      <c r="CF257" s="146">
        <f t="shared" si="216"/>
        <v>11</v>
      </c>
      <c r="CG257" s="146">
        <f t="shared" si="216"/>
        <v>11</v>
      </c>
      <c r="CH257" s="146">
        <f t="shared" si="216"/>
        <v>11</v>
      </c>
    </row>
    <row r="258" ht="15.75" customHeight="1">
      <c r="A258" s="91">
        <v>2024.0</v>
      </c>
      <c r="B258" s="137">
        <f t="shared" ref="B258:B261" si="222">B257*(1+B208)</f>
        <v>930000</v>
      </c>
      <c r="O258" s="5"/>
      <c r="P258" s="5"/>
      <c r="Q258" s="5"/>
      <c r="R258" s="5"/>
      <c r="S258" s="5"/>
      <c r="T258" s="5"/>
      <c r="U258" s="1">
        <v>-1.0</v>
      </c>
      <c r="V258" s="1">
        <v>-2.0</v>
      </c>
      <c r="W258" s="91">
        <v>3.0</v>
      </c>
      <c r="X258" s="8">
        <v>0.0</v>
      </c>
      <c r="Y258" s="8">
        <v>2.0</v>
      </c>
      <c r="Z258" s="489">
        <v>4.0</v>
      </c>
      <c r="AA258" s="1">
        <f t="shared" ref="AA258:AL258" si="217">IF((AA257*$B257)&lt;AA$206,ROUNDUP(ABS(AA$206/$B257)-AA257,0),0)</f>
        <v>0</v>
      </c>
      <c r="AB258" s="1">
        <f t="shared" si="217"/>
        <v>0</v>
      </c>
      <c r="AC258" s="1">
        <f t="shared" si="217"/>
        <v>0</v>
      </c>
      <c r="AD258" s="1">
        <f t="shared" si="217"/>
        <v>0</v>
      </c>
      <c r="AE258" s="1">
        <f t="shared" si="217"/>
        <v>0</v>
      </c>
      <c r="AF258" s="1">
        <f t="shared" si="217"/>
        <v>0</v>
      </c>
      <c r="AG258" s="1">
        <f t="shared" si="217"/>
        <v>0</v>
      </c>
      <c r="AH258" s="1">
        <f t="shared" si="217"/>
        <v>0</v>
      </c>
      <c r="AI258" s="1">
        <f t="shared" si="217"/>
        <v>0</v>
      </c>
      <c r="AJ258" s="1">
        <f t="shared" si="217"/>
        <v>0</v>
      </c>
      <c r="AK258" s="1">
        <f t="shared" si="217"/>
        <v>0</v>
      </c>
      <c r="AL258" s="1">
        <f t="shared" si="217"/>
        <v>0</v>
      </c>
      <c r="AM258" s="1">
        <f t="shared" ref="AM258:AX258" si="218">IF((AM257*$B258)&lt;AM$206,ROUNDUP(ABS(AM$206/$B258)-AM257,0),0)</f>
        <v>0</v>
      </c>
      <c r="AN258" s="1">
        <f t="shared" si="218"/>
        <v>0</v>
      </c>
      <c r="AO258" s="1">
        <f t="shared" si="218"/>
        <v>0</v>
      </c>
      <c r="AP258" s="1">
        <f t="shared" si="218"/>
        <v>0</v>
      </c>
      <c r="AQ258" s="1">
        <f t="shared" si="218"/>
        <v>0</v>
      </c>
      <c r="AR258" s="1">
        <f t="shared" si="218"/>
        <v>0</v>
      </c>
      <c r="AS258" s="1">
        <f t="shared" si="218"/>
        <v>0</v>
      </c>
      <c r="AT258" s="1">
        <f t="shared" si="218"/>
        <v>0</v>
      </c>
      <c r="AU258" s="1">
        <f t="shared" si="218"/>
        <v>0</v>
      </c>
      <c r="AV258" s="1">
        <f t="shared" si="218"/>
        <v>0</v>
      </c>
      <c r="AW258" s="1">
        <f t="shared" si="218"/>
        <v>0</v>
      </c>
      <c r="AX258" s="1">
        <f t="shared" si="218"/>
        <v>0</v>
      </c>
      <c r="AY258" s="1">
        <f t="shared" ref="AY258:BJ258" si="219">IF((AY257*$B259)&lt;AY$206,ROUNDUP(ABS(AY$206/$B259)-AY257,0),0)</f>
        <v>0</v>
      </c>
      <c r="AZ258" s="1">
        <f t="shared" si="219"/>
        <v>0</v>
      </c>
      <c r="BA258" s="1">
        <f t="shared" si="219"/>
        <v>0</v>
      </c>
      <c r="BB258" s="1">
        <f t="shared" si="219"/>
        <v>0</v>
      </c>
      <c r="BC258" s="1">
        <f t="shared" si="219"/>
        <v>0</v>
      </c>
      <c r="BD258" s="1">
        <f t="shared" si="219"/>
        <v>0</v>
      </c>
      <c r="BE258" s="1">
        <f t="shared" si="219"/>
        <v>0</v>
      </c>
      <c r="BF258" s="1">
        <f t="shared" si="219"/>
        <v>0</v>
      </c>
      <c r="BG258" s="1">
        <f t="shared" si="219"/>
        <v>0</v>
      </c>
      <c r="BH258" s="1">
        <f t="shared" si="219"/>
        <v>0</v>
      </c>
      <c r="BI258" s="1">
        <f t="shared" si="219"/>
        <v>0</v>
      </c>
      <c r="BJ258" s="1">
        <f t="shared" si="219"/>
        <v>0</v>
      </c>
      <c r="BK258" s="1">
        <f t="shared" ref="BK258:BV258" si="220">IF((BK257*$B260)&lt;BK$206,ROUNDUP(ABS(BK$206/$B260)-BK257,0),0)</f>
        <v>0</v>
      </c>
      <c r="BL258" s="1">
        <f t="shared" si="220"/>
        <v>0</v>
      </c>
      <c r="BM258" s="1">
        <f t="shared" si="220"/>
        <v>0</v>
      </c>
      <c r="BN258" s="1">
        <f t="shared" si="220"/>
        <v>0</v>
      </c>
      <c r="BO258" s="1">
        <f t="shared" si="220"/>
        <v>0</v>
      </c>
      <c r="BP258" s="1">
        <f t="shared" si="220"/>
        <v>0</v>
      </c>
      <c r="BQ258" s="1">
        <f t="shared" si="220"/>
        <v>0</v>
      </c>
      <c r="BR258" s="1">
        <f t="shared" si="220"/>
        <v>0</v>
      </c>
      <c r="BS258" s="1">
        <f t="shared" si="220"/>
        <v>0</v>
      </c>
      <c r="BT258" s="1">
        <f t="shared" si="220"/>
        <v>0</v>
      </c>
      <c r="BU258" s="1">
        <f t="shared" si="220"/>
        <v>0</v>
      </c>
      <c r="BV258" s="1">
        <f t="shared" si="220"/>
        <v>0</v>
      </c>
      <c r="BW258" s="1">
        <f t="shared" ref="BW258:CH258" si="221">IF((BW257*$B261)&lt;BW$206,ROUNDUP(ABS(BW$206/$B261)-BW257,0),0)</f>
        <v>0</v>
      </c>
      <c r="BX258" s="1">
        <f t="shared" si="221"/>
        <v>0</v>
      </c>
      <c r="BY258" s="1">
        <f t="shared" si="221"/>
        <v>0</v>
      </c>
      <c r="BZ258" s="1">
        <f t="shared" si="221"/>
        <v>0</v>
      </c>
      <c r="CA258" s="1">
        <f t="shared" si="221"/>
        <v>0</v>
      </c>
      <c r="CB258" s="1">
        <f t="shared" si="221"/>
        <v>0</v>
      </c>
      <c r="CC258" s="1">
        <f t="shared" si="221"/>
        <v>0</v>
      </c>
      <c r="CD258" s="1">
        <f t="shared" si="221"/>
        <v>0</v>
      </c>
      <c r="CE258" s="1">
        <f t="shared" si="221"/>
        <v>0</v>
      </c>
      <c r="CF258" s="1">
        <f t="shared" si="221"/>
        <v>0</v>
      </c>
      <c r="CG258" s="1">
        <f t="shared" si="221"/>
        <v>0</v>
      </c>
      <c r="CH258" s="1">
        <f t="shared" si="221"/>
        <v>0</v>
      </c>
    </row>
    <row r="259" ht="15.75" customHeight="1">
      <c r="A259" s="91">
        <v>2025.0</v>
      </c>
      <c r="B259" s="137">
        <f t="shared" si="222"/>
        <v>744000</v>
      </c>
      <c r="O259" s="5"/>
      <c r="P259" s="5"/>
      <c r="Q259" s="5"/>
      <c r="R259" s="5"/>
      <c r="S259" s="5"/>
      <c r="T259" s="5"/>
    </row>
    <row r="260" ht="15.75" customHeight="1">
      <c r="A260" s="91">
        <v>2026.0</v>
      </c>
      <c r="B260" s="137">
        <f t="shared" si="222"/>
        <v>744000</v>
      </c>
      <c r="O260" s="5"/>
      <c r="P260" s="5"/>
      <c r="Q260" s="5"/>
      <c r="R260" s="5"/>
      <c r="S260" s="5"/>
      <c r="T260" s="5"/>
    </row>
    <row r="261" ht="15.75" customHeight="1">
      <c r="A261" s="91">
        <v>2027.0</v>
      </c>
      <c r="B261" s="137">
        <f t="shared" si="222"/>
        <v>967200</v>
      </c>
      <c r="O261" s="5"/>
      <c r="P261" s="5"/>
      <c r="Q261" s="5"/>
      <c r="R261" s="5"/>
      <c r="S261" s="5"/>
      <c r="T261" s="5"/>
    </row>
    <row r="262" ht="15.75" customHeight="1">
      <c r="A262" s="91"/>
      <c r="B262" s="305"/>
      <c r="O262" s="5"/>
      <c r="P262" s="5"/>
      <c r="Q262" s="5"/>
      <c r="R262" s="5"/>
      <c r="S262" s="5"/>
      <c r="T262" s="5"/>
    </row>
    <row r="263" ht="15.75" customHeight="1">
      <c r="A263" s="115" t="s">
        <v>119</v>
      </c>
      <c r="B263" s="305"/>
      <c r="O263" s="5"/>
      <c r="P263" s="5"/>
      <c r="Q263" s="5"/>
      <c r="R263" s="5"/>
      <c r="S263" s="5"/>
      <c r="T263" s="5"/>
    </row>
    <row r="264" ht="15.75" customHeight="1">
      <c r="A264" s="91" t="s">
        <v>736</v>
      </c>
      <c r="B264" s="305"/>
      <c r="C264" s="1"/>
      <c r="D264" s="1"/>
      <c r="E264" s="1"/>
      <c r="F264" s="1"/>
      <c r="G264" s="1"/>
      <c r="H264" s="1"/>
      <c r="I264" s="1"/>
      <c r="J264" s="1"/>
      <c r="K264" s="1"/>
      <c r="L264" s="1"/>
      <c r="M264" s="1"/>
      <c r="N264" s="1"/>
      <c r="O264" s="490">
        <f>'New Biz Sales'!O118</f>
        <v>7889570</v>
      </c>
      <c r="P264" s="490">
        <f>'New Biz Sales'!P118</f>
        <v>10070690</v>
      </c>
      <c r="Q264" s="490">
        <f>'New Biz Sales'!Q118</f>
        <v>11116420</v>
      </c>
      <c r="R264" s="490">
        <f>'New Biz Sales'!R118</f>
        <v>10136605</v>
      </c>
      <c r="S264" s="490">
        <f>'New Biz Sales'!S118</f>
        <v>5566440</v>
      </c>
      <c r="T264" s="490">
        <f>'New Biz Sales'!T118</f>
        <v>9897825</v>
      </c>
      <c r="U264" s="490">
        <f>'New Biz Sales'!U118</f>
        <v>9207125</v>
      </c>
      <c r="V264" s="490">
        <f>'New Biz Sales'!V118</f>
        <v>7875660</v>
      </c>
      <c r="W264" s="490">
        <f>'New Biz Sales'!W118</f>
        <v>12121670</v>
      </c>
      <c r="X264" s="490">
        <f>'New Biz Sales'!X118</f>
        <v>6737185</v>
      </c>
      <c r="Y264" s="490">
        <f>'New Biz Sales'!Y118</f>
        <v>9882730</v>
      </c>
      <c r="Z264" s="490">
        <f>'New Biz Sales'!Z118</f>
        <v>2313937.5</v>
      </c>
      <c r="AA264" s="490">
        <f>'New Biz Sales'!AA118</f>
        <v>2823259.5</v>
      </c>
      <c r="AB264" s="490">
        <f>'New Biz Sales'!AB118</f>
        <v>3105585.45</v>
      </c>
      <c r="AC264" s="490">
        <f>'New Biz Sales'!AC118</f>
        <v>3105585.45</v>
      </c>
      <c r="AD264" s="490">
        <f>'New Biz Sales'!AD118</f>
        <v>3105585.45</v>
      </c>
      <c r="AE264" s="490">
        <f>'New Biz Sales'!AE118</f>
        <v>3105585.45</v>
      </c>
      <c r="AF264" s="490">
        <f>'New Biz Sales'!AF118</f>
        <v>3158933.184</v>
      </c>
      <c r="AG264" s="490">
        <f>'New Biz Sales'!AG118</f>
        <v>3158933.184</v>
      </c>
      <c r="AH264" s="490">
        <f>'New Biz Sales'!AH118</f>
        <v>3158933.184</v>
      </c>
      <c r="AI264" s="490">
        <f>'New Biz Sales'!AI118</f>
        <v>3158933.184</v>
      </c>
      <c r="AJ264" s="490">
        <f>'New Biz Sales'!AJ118</f>
        <v>3034233.992</v>
      </c>
      <c r="AK264" s="490">
        <f>'New Biz Sales'!AK118</f>
        <v>3034233.992</v>
      </c>
      <c r="AL264" s="490">
        <f>'New Biz Sales'!AL118</f>
        <v>3034233.992</v>
      </c>
      <c r="AM264" s="490">
        <f>'New Biz Sales'!AM118</f>
        <v>3068628.671</v>
      </c>
      <c r="AN264" s="490">
        <f>'New Biz Sales'!AN118</f>
        <v>2319632.494</v>
      </c>
      <c r="AO264" s="490">
        <f>'New Biz Sales'!AO118</f>
        <v>2235924.531</v>
      </c>
      <c r="AP264" s="490">
        <f>'New Biz Sales'!AP118</f>
        <v>2244629.153</v>
      </c>
      <c r="AQ264" s="490">
        <f>'New Biz Sales'!AQ118</f>
        <v>2253377.299</v>
      </c>
      <c r="AR264" s="490">
        <f>'New Biz Sales'!AR118</f>
        <v>2274975.21</v>
      </c>
      <c r="AS264" s="490">
        <f>'New Biz Sales'!AS118</f>
        <v>2283875.086</v>
      </c>
      <c r="AT264" s="490">
        <f>'New Biz Sales'!AT118</f>
        <v>2292819.462</v>
      </c>
      <c r="AU264" s="490">
        <f>'New Biz Sales'!AU118</f>
        <v>2301808.559</v>
      </c>
      <c r="AV264" s="490">
        <f>'New Biz Sales'!AV118</f>
        <v>2310842.602</v>
      </c>
      <c r="AW264" s="490">
        <f>'New Biz Sales'!AW118</f>
        <v>2319921.815</v>
      </c>
      <c r="AX264" s="490">
        <f>'New Biz Sales'!AX118</f>
        <v>2329046.424</v>
      </c>
      <c r="AY264" s="490">
        <f>'New Biz Sales'!AY118</f>
        <v>2351580.111</v>
      </c>
      <c r="AZ264" s="490">
        <f>'New Biz Sales'!AZ118</f>
        <v>2370145.912</v>
      </c>
      <c r="BA264" s="490">
        <f>'New Biz Sales'!BA118</f>
        <v>2379521.642</v>
      </c>
      <c r="BB264" s="490">
        <f>'New Biz Sales'!BB118</f>
        <v>2388944.25</v>
      </c>
      <c r="BC264" s="490">
        <f>'New Biz Sales'!BC118</f>
        <v>2398413.971</v>
      </c>
      <c r="BD264" s="490">
        <f>'New Biz Sales'!BD118</f>
        <v>2407931.041</v>
      </c>
      <c r="BE264" s="490">
        <f>'New Biz Sales'!BE118</f>
        <v>2417495.696</v>
      </c>
      <c r="BF264" s="490">
        <f>'New Biz Sales'!BF118</f>
        <v>2427108.175</v>
      </c>
      <c r="BG264" s="490">
        <f>'New Biz Sales'!BG118</f>
        <v>2436768.715</v>
      </c>
      <c r="BH264" s="490">
        <f>'New Biz Sales'!BH118</f>
        <v>2446477.559</v>
      </c>
      <c r="BI264" s="490">
        <f>'New Biz Sales'!BI118</f>
        <v>2456234.947</v>
      </c>
      <c r="BJ264" s="490">
        <f>'New Biz Sales'!BJ118</f>
        <v>2466041.122</v>
      </c>
      <c r="BK264" s="490">
        <f>'New Biz Sales'!BK118</f>
        <v>2542362.257</v>
      </c>
      <c r="BL264" s="490">
        <f>'New Biz Sales'!BL118</f>
        <v>2505674.909</v>
      </c>
      <c r="BM264" s="490">
        <f>'New Biz Sales'!BM118</f>
        <v>2515728.284</v>
      </c>
      <c r="BN264" s="490">
        <f>'New Biz Sales'!BN118</f>
        <v>2525831.925</v>
      </c>
      <c r="BO264" s="490">
        <f>'New Biz Sales'!BO118</f>
        <v>2535986.085</v>
      </c>
      <c r="BP264" s="490">
        <f>'New Biz Sales'!BP118</f>
        <v>2546191.015</v>
      </c>
      <c r="BQ264" s="490">
        <f>'New Biz Sales'!BQ118</f>
        <v>2556446.971</v>
      </c>
      <c r="BR264" s="490">
        <f>'New Biz Sales'!BR118</f>
        <v>2566754.205</v>
      </c>
      <c r="BS264" s="490">
        <f>'New Biz Sales'!BS118</f>
        <v>2577112.976</v>
      </c>
      <c r="BT264" s="490">
        <f>'New Biz Sales'!BT118</f>
        <v>2587523.541</v>
      </c>
      <c r="BU264" s="490">
        <f>'New Biz Sales'!BU118</f>
        <v>2597986.159</v>
      </c>
      <c r="BV264" s="490">
        <f>'New Biz Sales'!BV118</f>
        <v>2608501.09</v>
      </c>
      <c r="BW264" s="490">
        <f>'New Biz Sales'!BW118</f>
        <v>2619068.595</v>
      </c>
      <c r="BX264" s="490">
        <f>'New Biz Sales'!BX118</f>
        <v>2406661.736</v>
      </c>
      <c r="BY264" s="490">
        <f>'New Biz Sales'!BY118</f>
        <v>2416220.044</v>
      </c>
      <c r="BZ264" s="490">
        <f>'New Biz Sales'!BZ118</f>
        <v>2425826.145</v>
      </c>
      <c r="CA264" s="490">
        <f>'New Biz Sales'!CA118</f>
        <v>2435480.275</v>
      </c>
      <c r="CB264" s="490">
        <f>'New Biz Sales'!CB118</f>
        <v>2445182.677</v>
      </c>
      <c r="CC264" s="490">
        <f>'New Biz Sales'!CC118</f>
        <v>2454933.59</v>
      </c>
      <c r="CD264" s="490">
        <f>'New Biz Sales'!CD118</f>
        <v>2464733.258</v>
      </c>
      <c r="CE264" s="490">
        <f>'New Biz Sales'!CE118</f>
        <v>2474581.924</v>
      </c>
      <c r="CF264" s="490">
        <f>'New Biz Sales'!CF118</f>
        <v>2484479.834</v>
      </c>
      <c r="CG264" s="490">
        <f>'New Biz Sales'!CG118</f>
        <v>2494427.233</v>
      </c>
      <c r="CH264" s="490">
        <f>'New Biz Sales'!CH118</f>
        <v>2504424.369</v>
      </c>
    </row>
    <row r="265" ht="15.75" customHeight="1">
      <c r="A265" s="91"/>
      <c r="B265" s="305"/>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row>
    <row r="266" ht="15.75" customHeight="1">
      <c r="A266" s="91" t="s">
        <v>737</v>
      </c>
      <c r="B266" s="305"/>
      <c r="C266" s="1"/>
      <c r="D266" s="1"/>
      <c r="E266" s="1"/>
      <c r="F266" s="1"/>
      <c r="G266" s="1"/>
      <c r="H266" s="1"/>
      <c r="I266" s="1"/>
      <c r="J266" s="1"/>
      <c r="K266" s="1"/>
      <c r="L266" s="1"/>
      <c r="M266" s="1"/>
      <c r="N266" s="1"/>
      <c r="O266" s="5">
        <v>1.0</v>
      </c>
      <c r="P266" s="5">
        <v>1.0</v>
      </c>
      <c r="Q266" s="5">
        <v>1.0</v>
      </c>
      <c r="R266" s="5">
        <v>1.0</v>
      </c>
      <c r="S266" s="5">
        <v>1.0</v>
      </c>
      <c r="T266" s="5">
        <v>2.0</v>
      </c>
      <c r="U266" s="5">
        <v>2.0</v>
      </c>
      <c r="V266" s="5">
        <f>U266+U267</f>
        <v>2</v>
      </c>
      <c r="W266" s="5">
        <v>2.0</v>
      </c>
      <c r="X266" s="5">
        <v>2.0</v>
      </c>
      <c r="Y266" s="5">
        <v>2.0</v>
      </c>
      <c r="Z266" s="1">
        <f t="shared" ref="Z266:CH266" si="223">Y266+Y267</f>
        <v>3</v>
      </c>
      <c r="AA266" s="1">
        <f t="shared" si="223"/>
        <v>3</v>
      </c>
      <c r="AB266" s="1">
        <f t="shared" si="223"/>
        <v>4</v>
      </c>
      <c r="AC266" s="1">
        <f t="shared" si="223"/>
        <v>5</v>
      </c>
      <c r="AD266" s="1">
        <f t="shared" si="223"/>
        <v>6</v>
      </c>
      <c r="AE266" s="1">
        <f t="shared" si="223"/>
        <v>6</v>
      </c>
      <c r="AF266" s="1">
        <f t="shared" si="223"/>
        <v>6</v>
      </c>
      <c r="AG266" s="1">
        <f t="shared" si="223"/>
        <v>6</v>
      </c>
      <c r="AH266" s="1">
        <f t="shared" si="223"/>
        <v>6</v>
      </c>
      <c r="AI266" s="1">
        <f t="shared" si="223"/>
        <v>6</v>
      </c>
      <c r="AJ266" s="1">
        <f t="shared" si="223"/>
        <v>6</v>
      </c>
      <c r="AK266" s="1">
        <f t="shared" si="223"/>
        <v>6</v>
      </c>
      <c r="AL266" s="1">
        <f t="shared" si="223"/>
        <v>6</v>
      </c>
      <c r="AM266" s="1">
        <f t="shared" si="223"/>
        <v>6</v>
      </c>
      <c r="AN266" s="1">
        <f t="shared" si="223"/>
        <v>6</v>
      </c>
      <c r="AO266" s="1">
        <f t="shared" si="223"/>
        <v>6</v>
      </c>
      <c r="AP266" s="1">
        <f t="shared" si="223"/>
        <v>6</v>
      </c>
      <c r="AQ266" s="1">
        <f t="shared" si="223"/>
        <v>6</v>
      </c>
      <c r="AR266" s="1">
        <f t="shared" si="223"/>
        <v>6</v>
      </c>
      <c r="AS266" s="1">
        <f t="shared" si="223"/>
        <v>6</v>
      </c>
      <c r="AT266" s="1">
        <f t="shared" si="223"/>
        <v>6</v>
      </c>
      <c r="AU266" s="1">
        <f t="shared" si="223"/>
        <v>6</v>
      </c>
      <c r="AV266" s="1">
        <f t="shared" si="223"/>
        <v>6</v>
      </c>
      <c r="AW266" s="1">
        <f t="shared" si="223"/>
        <v>6</v>
      </c>
      <c r="AX266" s="1">
        <f t="shared" si="223"/>
        <v>6</v>
      </c>
      <c r="AY266" s="1">
        <f t="shared" si="223"/>
        <v>6</v>
      </c>
      <c r="AZ266" s="1">
        <f t="shared" si="223"/>
        <v>6</v>
      </c>
      <c r="BA266" s="1">
        <f t="shared" si="223"/>
        <v>6</v>
      </c>
      <c r="BB266" s="1">
        <f t="shared" si="223"/>
        <v>6</v>
      </c>
      <c r="BC266" s="1">
        <f t="shared" si="223"/>
        <v>6</v>
      </c>
      <c r="BD266" s="1">
        <f t="shared" si="223"/>
        <v>6</v>
      </c>
      <c r="BE266" s="1">
        <f t="shared" si="223"/>
        <v>6</v>
      </c>
      <c r="BF266" s="1">
        <f t="shared" si="223"/>
        <v>6</v>
      </c>
      <c r="BG266" s="1">
        <f t="shared" si="223"/>
        <v>6</v>
      </c>
      <c r="BH266" s="1">
        <f t="shared" si="223"/>
        <v>6</v>
      </c>
      <c r="BI266" s="1">
        <f t="shared" si="223"/>
        <v>6</v>
      </c>
      <c r="BJ266" s="1">
        <f t="shared" si="223"/>
        <v>6</v>
      </c>
      <c r="BK266" s="1">
        <f t="shared" si="223"/>
        <v>6</v>
      </c>
      <c r="BL266" s="1">
        <f t="shared" si="223"/>
        <v>6</v>
      </c>
      <c r="BM266" s="1">
        <f t="shared" si="223"/>
        <v>6</v>
      </c>
      <c r="BN266" s="1">
        <f t="shared" si="223"/>
        <v>6</v>
      </c>
      <c r="BO266" s="1">
        <f t="shared" si="223"/>
        <v>6</v>
      </c>
      <c r="BP266" s="1">
        <f t="shared" si="223"/>
        <v>6</v>
      </c>
      <c r="BQ266" s="1">
        <f t="shared" si="223"/>
        <v>6</v>
      </c>
      <c r="BR266" s="1">
        <f t="shared" si="223"/>
        <v>6</v>
      </c>
      <c r="BS266" s="1">
        <f t="shared" si="223"/>
        <v>6</v>
      </c>
      <c r="BT266" s="1">
        <f t="shared" si="223"/>
        <v>6</v>
      </c>
      <c r="BU266" s="1">
        <f t="shared" si="223"/>
        <v>6</v>
      </c>
      <c r="BV266" s="1">
        <f t="shared" si="223"/>
        <v>6</v>
      </c>
      <c r="BW266" s="1">
        <f t="shared" si="223"/>
        <v>6</v>
      </c>
      <c r="BX266" s="1">
        <f t="shared" si="223"/>
        <v>6</v>
      </c>
      <c r="BY266" s="1">
        <f t="shared" si="223"/>
        <v>6</v>
      </c>
      <c r="BZ266" s="1">
        <f t="shared" si="223"/>
        <v>6</v>
      </c>
      <c r="CA266" s="1">
        <f t="shared" si="223"/>
        <v>6</v>
      </c>
      <c r="CB266" s="1">
        <f t="shared" si="223"/>
        <v>6</v>
      </c>
      <c r="CC266" s="1">
        <f t="shared" si="223"/>
        <v>6</v>
      </c>
      <c r="CD266" s="1">
        <f t="shared" si="223"/>
        <v>6</v>
      </c>
      <c r="CE266" s="1">
        <f t="shared" si="223"/>
        <v>6</v>
      </c>
      <c r="CF266" s="1">
        <f t="shared" si="223"/>
        <v>6</v>
      </c>
      <c r="CG266" s="1">
        <f t="shared" si="223"/>
        <v>6</v>
      </c>
      <c r="CH266" s="1">
        <f t="shared" si="223"/>
        <v>6</v>
      </c>
    </row>
    <row r="267" ht="15.75" customHeight="1">
      <c r="A267" s="91" t="s">
        <v>738</v>
      </c>
      <c r="B267" s="491">
        <v>2.5</v>
      </c>
      <c r="C267" s="1"/>
      <c r="D267" s="1"/>
      <c r="E267" s="1"/>
      <c r="F267" s="1"/>
      <c r="G267" s="1"/>
      <c r="H267" s="1"/>
      <c r="I267" s="1"/>
      <c r="J267" s="1"/>
      <c r="K267" s="1"/>
      <c r="L267" s="1"/>
      <c r="M267" s="1"/>
      <c r="N267" s="1"/>
      <c r="O267" s="1"/>
      <c r="P267" s="1"/>
      <c r="Q267" s="1"/>
      <c r="R267" s="1"/>
      <c r="S267" s="1"/>
      <c r="T267" s="1"/>
      <c r="U267" s="1">
        <f>IF((U266*$B$267)&lt;SUM(U276,U291),1,0)</f>
        <v>0</v>
      </c>
      <c r="V267" s="1">
        <v>-1.0</v>
      </c>
      <c r="W267" s="1">
        <f t="shared" ref="W267:X267" si="224">IF((W266*$B$267)&lt;SUM(W276,W291),1,0)</f>
        <v>1</v>
      </c>
      <c r="X267" s="1">
        <f t="shared" si="224"/>
        <v>1</v>
      </c>
      <c r="Y267" s="1">
        <v>1.0</v>
      </c>
      <c r="Z267" s="8">
        <v>0.0</v>
      </c>
      <c r="AA267" s="1">
        <f t="shared" ref="AA267:CH267" si="225">IF((AA266*$B$267)&lt;SUM(AA276,AA291),1,0)</f>
        <v>1</v>
      </c>
      <c r="AB267" s="1">
        <f t="shared" si="225"/>
        <v>1</v>
      </c>
      <c r="AC267" s="1">
        <f t="shared" si="225"/>
        <v>1</v>
      </c>
      <c r="AD267" s="1">
        <f t="shared" si="225"/>
        <v>0</v>
      </c>
      <c r="AE267" s="1">
        <f t="shared" si="225"/>
        <v>0</v>
      </c>
      <c r="AF267" s="1">
        <f t="shared" si="225"/>
        <v>0</v>
      </c>
      <c r="AG267" s="1">
        <f t="shared" si="225"/>
        <v>0</v>
      </c>
      <c r="AH267" s="1">
        <f t="shared" si="225"/>
        <v>0</v>
      </c>
      <c r="AI267" s="1">
        <f t="shared" si="225"/>
        <v>0</v>
      </c>
      <c r="AJ267" s="1">
        <f t="shared" si="225"/>
        <v>0</v>
      </c>
      <c r="AK267" s="1">
        <f t="shared" si="225"/>
        <v>0</v>
      </c>
      <c r="AL267" s="1">
        <f t="shared" si="225"/>
        <v>0</v>
      </c>
      <c r="AM267" s="1">
        <f t="shared" si="225"/>
        <v>0</v>
      </c>
      <c r="AN267" s="1">
        <f t="shared" si="225"/>
        <v>0</v>
      </c>
      <c r="AO267" s="1">
        <f t="shared" si="225"/>
        <v>0</v>
      </c>
      <c r="AP267" s="1">
        <f t="shared" si="225"/>
        <v>0</v>
      </c>
      <c r="AQ267" s="1">
        <f t="shared" si="225"/>
        <v>0</v>
      </c>
      <c r="AR267" s="1">
        <f t="shared" si="225"/>
        <v>0</v>
      </c>
      <c r="AS267" s="1">
        <f t="shared" si="225"/>
        <v>0</v>
      </c>
      <c r="AT267" s="1">
        <f t="shared" si="225"/>
        <v>0</v>
      </c>
      <c r="AU267" s="1">
        <f t="shared" si="225"/>
        <v>0</v>
      </c>
      <c r="AV267" s="1">
        <f t="shared" si="225"/>
        <v>0</v>
      </c>
      <c r="AW267" s="1">
        <f t="shared" si="225"/>
        <v>0</v>
      </c>
      <c r="AX267" s="1">
        <f t="shared" si="225"/>
        <v>0</v>
      </c>
      <c r="AY267" s="1">
        <f t="shared" si="225"/>
        <v>0</v>
      </c>
      <c r="AZ267" s="1">
        <f t="shared" si="225"/>
        <v>0</v>
      </c>
      <c r="BA267" s="1">
        <f t="shared" si="225"/>
        <v>0</v>
      </c>
      <c r="BB267" s="1">
        <f t="shared" si="225"/>
        <v>0</v>
      </c>
      <c r="BC267" s="1">
        <f t="shared" si="225"/>
        <v>0</v>
      </c>
      <c r="BD267" s="1">
        <f t="shared" si="225"/>
        <v>0</v>
      </c>
      <c r="BE267" s="1">
        <f t="shared" si="225"/>
        <v>0</v>
      </c>
      <c r="BF267" s="1">
        <f t="shared" si="225"/>
        <v>0</v>
      </c>
      <c r="BG267" s="1">
        <f t="shared" si="225"/>
        <v>0</v>
      </c>
      <c r="BH267" s="1">
        <f t="shared" si="225"/>
        <v>0</v>
      </c>
      <c r="BI267" s="1">
        <f t="shared" si="225"/>
        <v>0</v>
      </c>
      <c r="BJ267" s="1">
        <f t="shared" si="225"/>
        <v>0</v>
      </c>
      <c r="BK267" s="1">
        <f t="shared" si="225"/>
        <v>0</v>
      </c>
      <c r="BL267" s="1">
        <f t="shared" si="225"/>
        <v>0</v>
      </c>
      <c r="BM267" s="1">
        <f t="shared" si="225"/>
        <v>0</v>
      </c>
      <c r="BN267" s="1">
        <f t="shared" si="225"/>
        <v>0</v>
      </c>
      <c r="BO267" s="1">
        <f t="shared" si="225"/>
        <v>0</v>
      </c>
      <c r="BP267" s="1">
        <f t="shared" si="225"/>
        <v>0</v>
      </c>
      <c r="BQ267" s="1">
        <f t="shared" si="225"/>
        <v>0</v>
      </c>
      <c r="BR267" s="1">
        <f t="shared" si="225"/>
        <v>0</v>
      </c>
      <c r="BS267" s="1">
        <f t="shared" si="225"/>
        <v>0</v>
      </c>
      <c r="BT267" s="1">
        <f t="shared" si="225"/>
        <v>0</v>
      </c>
      <c r="BU267" s="1">
        <f t="shared" si="225"/>
        <v>0</v>
      </c>
      <c r="BV267" s="1">
        <f t="shared" si="225"/>
        <v>0</v>
      </c>
      <c r="BW267" s="1">
        <f t="shared" si="225"/>
        <v>0</v>
      </c>
      <c r="BX267" s="1">
        <f t="shared" si="225"/>
        <v>0</v>
      </c>
      <c r="BY267" s="1">
        <f t="shared" si="225"/>
        <v>0</v>
      </c>
      <c r="BZ267" s="1">
        <f t="shared" si="225"/>
        <v>0</v>
      </c>
      <c r="CA267" s="1">
        <f t="shared" si="225"/>
        <v>0</v>
      </c>
      <c r="CB267" s="1">
        <f t="shared" si="225"/>
        <v>0</v>
      </c>
      <c r="CC267" s="1">
        <f t="shared" si="225"/>
        <v>0</v>
      </c>
      <c r="CD267" s="1">
        <f t="shared" si="225"/>
        <v>0</v>
      </c>
      <c r="CE267" s="1">
        <f t="shared" si="225"/>
        <v>0</v>
      </c>
      <c r="CF267" s="1">
        <f t="shared" si="225"/>
        <v>0</v>
      </c>
      <c r="CG267" s="1">
        <f t="shared" si="225"/>
        <v>0</v>
      </c>
      <c r="CH267" s="1">
        <f t="shared" si="225"/>
        <v>0</v>
      </c>
    </row>
    <row r="268" ht="15.75" customHeight="1">
      <c r="A268" s="91" t="s">
        <v>739</v>
      </c>
      <c r="B268" s="305">
        <f>(175000+135000)/2</f>
        <v>155000</v>
      </c>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row>
    <row r="269" ht="15.75" customHeight="1">
      <c r="A269" s="91"/>
      <c r="B269" s="305"/>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row>
    <row r="270" ht="15.75" customHeight="1">
      <c r="A270" s="91"/>
      <c r="B270" s="305"/>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row>
    <row r="271" ht="15.75" customHeight="1">
      <c r="A271" s="1" t="s">
        <v>740</v>
      </c>
      <c r="C271" s="1"/>
      <c r="D271" s="1"/>
      <c r="E271" s="1"/>
      <c r="F271" s="1"/>
      <c r="G271" s="1"/>
      <c r="H271" s="1"/>
      <c r="I271" s="1"/>
      <c r="J271" s="1"/>
      <c r="K271" s="1"/>
      <c r="L271" s="1"/>
      <c r="M271" s="1"/>
      <c r="N271" s="1"/>
      <c r="O271" s="5">
        <v>1.0</v>
      </c>
      <c r="P271" s="5">
        <v>1.0</v>
      </c>
      <c r="Q271" s="5">
        <v>1.0</v>
      </c>
      <c r="R271" s="5">
        <v>1.0</v>
      </c>
      <c r="S271" s="5">
        <v>1.0</v>
      </c>
      <c r="T271" s="5">
        <v>1.0</v>
      </c>
      <c r="U271" s="5">
        <v>1.0</v>
      </c>
      <c r="V271" s="5">
        <v>1.0</v>
      </c>
      <c r="W271" s="5">
        <v>1.0</v>
      </c>
      <c r="X271" s="5">
        <v>1.0</v>
      </c>
      <c r="Y271" s="5">
        <v>1.0</v>
      </c>
      <c r="Z271" s="1">
        <v>1.0</v>
      </c>
      <c r="AA271" s="1">
        <v>1.0</v>
      </c>
      <c r="AB271" s="1">
        <v>1.0</v>
      </c>
      <c r="AC271" s="1">
        <v>1.0</v>
      </c>
      <c r="AD271" s="1">
        <v>1.0</v>
      </c>
      <c r="AE271" s="1">
        <v>1.0</v>
      </c>
      <c r="AF271" s="1">
        <v>1.0</v>
      </c>
      <c r="AG271" s="1">
        <v>1.0</v>
      </c>
      <c r="AH271" s="1">
        <v>1.0</v>
      </c>
      <c r="AI271" s="1">
        <v>1.0</v>
      </c>
      <c r="AJ271" s="1">
        <v>1.0</v>
      </c>
      <c r="AK271" s="1">
        <v>1.0</v>
      </c>
      <c r="AL271" s="1">
        <v>1.0</v>
      </c>
      <c r="AM271" s="1">
        <v>1.0</v>
      </c>
      <c r="AN271" s="1">
        <v>1.0</v>
      </c>
      <c r="AO271" s="1">
        <v>1.0</v>
      </c>
      <c r="AP271" s="1">
        <v>1.0</v>
      </c>
      <c r="AQ271" s="1">
        <v>1.0</v>
      </c>
      <c r="AR271" s="1">
        <v>1.0</v>
      </c>
      <c r="AS271" s="1">
        <v>1.0</v>
      </c>
      <c r="AT271" s="1">
        <v>1.0</v>
      </c>
      <c r="AU271" s="1">
        <v>1.0</v>
      </c>
      <c r="AV271" s="1">
        <v>1.0</v>
      </c>
      <c r="AW271" s="1">
        <v>1.0</v>
      </c>
      <c r="AX271" s="1">
        <v>1.0</v>
      </c>
      <c r="AY271" s="1">
        <v>1.0</v>
      </c>
      <c r="AZ271" s="1">
        <v>1.0</v>
      </c>
      <c r="BA271" s="1">
        <v>1.0</v>
      </c>
      <c r="BB271" s="1">
        <v>1.0</v>
      </c>
      <c r="BC271" s="1">
        <v>1.0</v>
      </c>
      <c r="BD271" s="1">
        <v>1.0</v>
      </c>
      <c r="BE271" s="1">
        <v>1.0</v>
      </c>
      <c r="BF271" s="1">
        <v>1.0</v>
      </c>
      <c r="BG271" s="1">
        <v>1.0</v>
      </c>
      <c r="BH271" s="1">
        <v>1.0</v>
      </c>
      <c r="BI271" s="1">
        <v>1.0</v>
      </c>
      <c r="BJ271" s="1">
        <v>1.0</v>
      </c>
      <c r="BK271" s="1">
        <v>1.0</v>
      </c>
      <c r="BL271" s="1">
        <v>1.0</v>
      </c>
      <c r="BM271" s="1">
        <v>1.0</v>
      </c>
      <c r="BN271" s="1">
        <v>1.0</v>
      </c>
      <c r="BO271" s="1">
        <v>1.0</v>
      </c>
      <c r="BP271" s="1">
        <v>1.0</v>
      </c>
      <c r="BQ271" s="1">
        <v>1.0</v>
      </c>
      <c r="BR271" s="1">
        <v>1.0</v>
      </c>
      <c r="BS271" s="1">
        <v>1.0</v>
      </c>
      <c r="BT271" s="1">
        <v>1.0</v>
      </c>
      <c r="BU271" s="1">
        <v>1.0</v>
      </c>
      <c r="BV271" s="1">
        <v>1.0</v>
      </c>
      <c r="BW271" s="1">
        <v>1.0</v>
      </c>
      <c r="BX271" s="1">
        <v>1.0</v>
      </c>
      <c r="BY271" s="1">
        <v>1.0</v>
      </c>
      <c r="BZ271" s="1">
        <v>1.0</v>
      </c>
      <c r="CA271" s="1">
        <v>1.0</v>
      </c>
      <c r="CB271" s="1">
        <v>1.0</v>
      </c>
      <c r="CC271" s="1">
        <v>1.0</v>
      </c>
      <c r="CD271" s="1">
        <v>1.0</v>
      </c>
      <c r="CE271" s="1">
        <v>1.0</v>
      </c>
      <c r="CF271" s="1">
        <v>1.0</v>
      </c>
      <c r="CG271" s="1">
        <v>1.0</v>
      </c>
      <c r="CH271" s="1">
        <v>1.0</v>
      </c>
    </row>
    <row r="272" ht="15.75" customHeight="1">
      <c r="A272" s="91" t="s">
        <v>741</v>
      </c>
      <c r="B272" s="305">
        <v>150000.0</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row>
    <row r="273" ht="15.75" customHeight="1">
      <c r="A273" s="91" t="s">
        <v>742</v>
      </c>
      <c r="B273" s="130">
        <f>1-B274</f>
        <v>0.5</v>
      </c>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row>
    <row r="274" ht="15.75" customHeight="1">
      <c r="A274" s="91" t="s">
        <v>743</v>
      </c>
      <c r="B274" s="252">
        <v>0.5</v>
      </c>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row>
    <row r="275" ht="15.75" customHeight="1">
      <c r="A275" s="91"/>
      <c r="B275" s="305"/>
      <c r="C275" s="1"/>
      <c r="D275" s="1"/>
      <c r="E275" s="1"/>
      <c r="F275" s="1"/>
      <c r="G275" s="1"/>
      <c r="H275" s="1"/>
      <c r="I275" s="1"/>
      <c r="J275" s="1"/>
      <c r="K275" s="1"/>
      <c r="L275" s="1"/>
      <c r="M275" s="1"/>
      <c r="N275" s="1"/>
      <c r="O275" s="1"/>
      <c r="P275" s="1"/>
      <c r="Q275" s="1"/>
      <c r="R275" s="1"/>
      <c r="S275" s="1"/>
      <c r="T275" s="1"/>
      <c r="U275" s="8"/>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row>
    <row r="276" ht="15.75" customHeight="1">
      <c r="A276" s="91" t="s">
        <v>744</v>
      </c>
      <c r="B276" s="305"/>
      <c r="C276" s="1"/>
      <c r="D276" s="1"/>
      <c r="E276" s="1"/>
      <c r="F276" s="1"/>
      <c r="G276" s="1"/>
      <c r="H276" s="1"/>
      <c r="I276" s="1"/>
      <c r="J276" s="1"/>
      <c r="K276" s="1"/>
      <c r="L276" s="1"/>
      <c r="M276" s="1"/>
      <c r="N276" s="1"/>
      <c r="O276" s="5">
        <v>1.0</v>
      </c>
      <c r="P276" s="5">
        <v>1.0</v>
      </c>
      <c r="Q276" s="5">
        <v>1.0</v>
      </c>
      <c r="R276" s="5">
        <v>1.0</v>
      </c>
      <c r="S276" s="5">
        <v>1.0</v>
      </c>
      <c r="T276" s="5">
        <v>1.0</v>
      </c>
      <c r="U276" s="5">
        <v>1.0</v>
      </c>
      <c r="V276" s="5">
        <f t="shared" ref="V276:CH276" si="226">U276+U277</f>
        <v>2</v>
      </c>
      <c r="W276" s="5">
        <f t="shared" si="226"/>
        <v>3</v>
      </c>
      <c r="X276" s="5">
        <f t="shared" si="226"/>
        <v>4</v>
      </c>
      <c r="Y276" s="5">
        <f t="shared" si="226"/>
        <v>5</v>
      </c>
      <c r="Z276" s="1">
        <f t="shared" si="226"/>
        <v>6</v>
      </c>
      <c r="AA276" s="1">
        <f t="shared" si="226"/>
        <v>6</v>
      </c>
      <c r="AB276" s="1">
        <f t="shared" si="226"/>
        <v>6</v>
      </c>
      <c r="AC276" s="1">
        <f t="shared" si="226"/>
        <v>6</v>
      </c>
      <c r="AD276" s="1">
        <f t="shared" si="226"/>
        <v>6</v>
      </c>
      <c r="AE276" s="1">
        <f t="shared" si="226"/>
        <v>6</v>
      </c>
      <c r="AF276" s="1">
        <f t="shared" si="226"/>
        <v>6</v>
      </c>
      <c r="AG276" s="1">
        <f t="shared" si="226"/>
        <v>6</v>
      </c>
      <c r="AH276" s="1">
        <f t="shared" si="226"/>
        <v>6</v>
      </c>
      <c r="AI276" s="1">
        <f t="shared" si="226"/>
        <v>6</v>
      </c>
      <c r="AJ276" s="1">
        <f t="shared" si="226"/>
        <v>6</v>
      </c>
      <c r="AK276" s="1">
        <f t="shared" si="226"/>
        <v>6</v>
      </c>
      <c r="AL276" s="1">
        <f t="shared" si="226"/>
        <v>6</v>
      </c>
      <c r="AM276" s="1">
        <f t="shared" si="226"/>
        <v>6</v>
      </c>
      <c r="AN276" s="1">
        <f t="shared" si="226"/>
        <v>6</v>
      </c>
      <c r="AO276" s="1">
        <f t="shared" si="226"/>
        <v>6</v>
      </c>
      <c r="AP276" s="1">
        <f t="shared" si="226"/>
        <v>6</v>
      </c>
      <c r="AQ276" s="1">
        <f t="shared" si="226"/>
        <v>6</v>
      </c>
      <c r="AR276" s="1">
        <f t="shared" si="226"/>
        <v>6</v>
      </c>
      <c r="AS276" s="1">
        <f t="shared" si="226"/>
        <v>6</v>
      </c>
      <c r="AT276" s="1">
        <f t="shared" si="226"/>
        <v>6</v>
      </c>
      <c r="AU276" s="1">
        <f t="shared" si="226"/>
        <v>6</v>
      </c>
      <c r="AV276" s="1">
        <f t="shared" si="226"/>
        <v>6</v>
      </c>
      <c r="AW276" s="1">
        <f t="shared" si="226"/>
        <v>6</v>
      </c>
      <c r="AX276" s="1">
        <f t="shared" si="226"/>
        <v>6</v>
      </c>
      <c r="AY276" s="1">
        <f t="shared" si="226"/>
        <v>6</v>
      </c>
      <c r="AZ276" s="1">
        <f t="shared" si="226"/>
        <v>6</v>
      </c>
      <c r="BA276" s="1">
        <f t="shared" si="226"/>
        <v>6</v>
      </c>
      <c r="BB276" s="1">
        <f t="shared" si="226"/>
        <v>6</v>
      </c>
      <c r="BC276" s="1">
        <f t="shared" si="226"/>
        <v>6</v>
      </c>
      <c r="BD276" s="1">
        <f t="shared" si="226"/>
        <v>6</v>
      </c>
      <c r="BE276" s="1">
        <f t="shared" si="226"/>
        <v>6</v>
      </c>
      <c r="BF276" s="1">
        <f t="shared" si="226"/>
        <v>6</v>
      </c>
      <c r="BG276" s="1">
        <f t="shared" si="226"/>
        <v>6</v>
      </c>
      <c r="BH276" s="1">
        <f t="shared" si="226"/>
        <v>6</v>
      </c>
      <c r="BI276" s="1">
        <f t="shared" si="226"/>
        <v>6</v>
      </c>
      <c r="BJ276" s="1">
        <f t="shared" si="226"/>
        <v>6</v>
      </c>
      <c r="BK276" s="1">
        <f t="shared" si="226"/>
        <v>6</v>
      </c>
      <c r="BL276" s="1">
        <f t="shared" si="226"/>
        <v>6</v>
      </c>
      <c r="BM276" s="1">
        <f t="shared" si="226"/>
        <v>6</v>
      </c>
      <c r="BN276" s="1">
        <f t="shared" si="226"/>
        <v>6</v>
      </c>
      <c r="BO276" s="1">
        <f t="shared" si="226"/>
        <v>6</v>
      </c>
      <c r="BP276" s="1">
        <f t="shared" si="226"/>
        <v>6</v>
      </c>
      <c r="BQ276" s="1">
        <f t="shared" si="226"/>
        <v>6</v>
      </c>
      <c r="BR276" s="1">
        <f t="shared" si="226"/>
        <v>6</v>
      </c>
      <c r="BS276" s="1">
        <f t="shared" si="226"/>
        <v>6</v>
      </c>
      <c r="BT276" s="1">
        <f t="shared" si="226"/>
        <v>6</v>
      </c>
      <c r="BU276" s="1">
        <f t="shared" si="226"/>
        <v>6</v>
      </c>
      <c r="BV276" s="1">
        <f t="shared" si="226"/>
        <v>6</v>
      </c>
      <c r="BW276" s="1">
        <f t="shared" si="226"/>
        <v>6</v>
      </c>
      <c r="BX276" s="1">
        <f t="shared" si="226"/>
        <v>6</v>
      </c>
      <c r="BY276" s="1">
        <f t="shared" si="226"/>
        <v>6</v>
      </c>
      <c r="BZ276" s="1">
        <f t="shared" si="226"/>
        <v>6</v>
      </c>
      <c r="CA276" s="1">
        <f t="shared" si="226"/>
        <v>6</v>
      </c>
      <c r="CB276" s="1">
        <f t="shared" si="226"/>
        <v>6</v>
      </c>
      <c r="CC276" s="1">
        <f t="shared" si="226"/>
        <v>6</v>
      </c>
      <c r="CD276" s="1">
        <f t="shared" si="226"/>
        <v>6</v>
      </c>
      <c r="CE276" s="1">
        <f t="shared" si="226"/>
        <v>6</v>
      </c>
      <c r="CF276" s="1">
        <f t="shared" si="226"/>
        <v>6</v>
      </c>
      <c r="CG276" s="1">
        <f t="shared" si="226"/>
        <v>6</v>
      </c>
      <c r="CH276" s="1">
        <f t="shared" si="226"/>
        <v>6</v>
      </c>
    </row>
    <row r="277" ht="15.75" customHeight="1">
      <c r="A277" s="91" t="s">
        <v>745</v>
      </c>
      <c r="B277" s="492">
        <v>2.0</v>
      </c>
      <c r="C277" s="1"/>
      <c r="D277" s="1"/>
      <c r="E277" s="1"/>
      <c r="F277" s="1"/>
      <c r="G277" s="1"/>
      <c r="H277" s="1"/>
      <c r="I277" s="1"/>
      <c r="J277" s="1"/>
      <c r="K277" s="1"/>
      <c r="L277" s="1"/>
      <c r="M277" s="1"/>
      <c r="N277" s="1"/>
      <c r="O277" s="1">
        <v>0.0</v>
      </c>
      <c r="P277" s="1">
        <f t="shared" ref="P277:T277" si="227">IF(P285&gt;2,1,0)</f>
        <v>1</v>
      </c>
      <c r="Q277" s="1">
        <f t="shared" si="227"/>
        <v>1</v>
      </c>
      <c r="R277" s="1">
        <f t="shared" si="227"/>
        <v>1</v>
      </c>
      <c r="S277" s="1">
        <f t="shared" si="227"/>
        <v>1</v>
      </c>
      <c r="T277" s="1">
        <f t="shared" si="227"/>
        <v>1</v>
      </c>
      <c r="U277" s="1">
        <f t="shared" ref="U277:Y277" si="228">IF(U285&gt;$B$277,1,0)</f>
        <v>1</v>
      </c>
      <c r="V277" s="1">
        <f t="shared" si="228"/>
        <v>1</v>
      </c>
      <c r="W277" s="1">
        <f t="shared" si="228"/>
        <v>1</v>
      </c>
      <c r="X277" s="1">
        <f t="shared" si="228"/>
        <v>1</v>
      </c>
      <c r="Y277" s="1">
        <f t="shared" si="228"/>
        <v>1</v>
      </c>
      <c r="Z277" s="1">
        <v>0.0</v>
      </c>
      <c r="AA277" s="1">
        <f t="shared" ref="AA277:CH277" si="229">IF(AA285&gt;$B$277,1,0)</f>
        <v>0</v>
      </c>
      <c r="AB277" s="1">
        <f t="shared" si="229"/>
        <v>0</v>
      </c>
      <c r="AC277" s="1">
        <f t="shared" si="229"/>
        <v>0</v>
      </c>
      <c r="AD277" s="1">
        <f t="shared" si="229"/>
        <v>0</v>
      </c>
      <c r="AE277" s="1">
        <f t="shared" si="229"/>
        <v>0</v>
      </c>
      <c r="AF277" s="1">
        <f t="shared" si="229"/>
        <v>0</v>
      </c>
      <c r="AG277" s="1">
        <f t="shared" si="229"/>
        <v>0</v>
      </c>
      <c r="AH277" s="1">
        <f t="shared" si="229"/>
        <v>0</v>
      </c>
      <c r="AI277" s="1">
        <f t="shared" si="229"/>
        <v>0</v>
      </c>
      <c r="AJ277" s="1">
        <f t="shared" si="229"/>
        <v>0</v>
      </c>
      <c r="AK277" s="1">
        <f t="shared" si="229"/>
        <v>0</v>
      </c>
      <c r="AL277" s="1">
        <f t="shared" si="229"/>
        <v>0</v>
      </c>
      <c r="AM277" s="1">
        <f t="shared" si="229"/>
        <v>0</v>
      </c>
      <c r="AN277" s="1">
        <f t="shared" si="229"/>
        <v>0</v>
      </c>
      <c r="AO277" s="1">
        <f t="shared" si="229"/>
        <v>0</v>
      </c>
      <c r="AP277" s="1">
        <f t="shared" si="229"/>
        <v>0</v>
      </c>
      <c r="AQ277" s="1">
        <f t="shared" si="229"/>
        <v>0</v>
      </c>
      <c r="AR277" s="1">
        <f t="shared" si="229"/>
        <v>0</v>
      </c>
      <c r="AS277" s="1">
        <f t="shared" si="229"/>
        <v>0</v>
      </c>
      <c r="AT277" s="1">
        <f t="shared" si="229"/>
        <v>0</v>
      </c>
      <c r="AU277" s="1">
        <f t="shared" si="229"/>
        <v>0</v>
      </c>
      <c r="AV277" s="1">
        <f t="shared" si="229"/>
        <v>0</v>
      </c>
      <c r="AW277" s="1">
        <f t="shared" si="229"/>
        <v>0</v>
      </c>
      <c r="AX277" s="1">
        <f t="shared" si="229"/>
        <v>0</v>
      </c>
      <c r="AY277" s="1">
        <f t="shared" si="229"/>
        <v>0</v>
      </c>
      <c r="AZ277" s="1">
        <f t="shared" si="229"/>
        <v>0</v>
      </c>
      <c r="BA277" s="1">
        <f t="shared" si="229"/>
        <v>0</v>
      </c>
      <c r="BB277" s="1">
        <f t="shared" si="229"/>
        <v>0</v>
      </c>
      <c r="BC277" s="1">
        <f t="shared" si="229"/>
        <v>0</v>
      </c>
      <c r="BD277" s="1">
        <f t="shared" si="229"/>
        <v>0</v>
      </c>
      <c r="BE277" s="1">
        <f t="shared" si="229"/>
        <v>0</v>
      </c>
      <c r="BF277" s="1">
        <f t="shared" si="229"/>
        <v>0</v>
      </c>
      <c r="BG277" s="1">
        <f t="shared" si="229"/>
        <v>0</v>
      </c>
      <c r="BH277" s="1">
        <f t="shared" si="229"/>
        <v>0</v>
      </c>
      <c r="BI277" s="1">
        <f t="shared" si="229"/>
        <v>0</v>
      </c>
      <c r="BJ277" s="1">
        <f t="shared" si="229"/>
        <v>0</v>
      </c>
      <c r="BK277" s="1">
        <f t="shared" si="229"/>
        <v>0</v>
      </c>
      <c r="BL277" s="1">
        <f t="shared" si="229"/>
        <v>0</v>
      </c>
      <c r="BM277" s="1">
        <f t="shared" si="229"/>
        <v>0</v>
      </c>
      <c r="BN277" s="1">
        <f t="shared" si="229"/>
        <v>0</v>
      </c>
      <c r="BO277" s="1">
        <f t="shared" si="229"/>
        <v>0</v>
      </c>
      <c r="BP277" s="1">
        <f t="shared" si="229"/>
        <v>0</v>
      </c>
      <c r="BQ277" s="1">
        <f t="shared" si="229"/>
        <v>0</v>
      </c>
      <c r="BR277" s="1">
        <f t="shared" si="229"/>
        <v>0</v>
      </c>
      <c r="BS277" s="1">
        <f t="shared" si="229"/>
        <v>0</v>
      </c>
      <c r="BT277" s="1">
        <f t="shared" si="229"/>
        <v>0</v>
      </c>
      <c r="BU277" s="1">
        <f t="shared" si="229"/>
        <v>0</v>
      </c>
      <c r="BV277" s="1">
        <f t="shared" si="229"/>
        <v>0</v>
      </c>
      <c r="BW277" s="1">
        <f t="shared" si="229"/>
        <v>0</v>
      </c>
      <c r="BX277" s="1">
        <f t="shared" si="229"/>
        <v>0</v>
      </c>
      <c r="BY277" s="1">
        <f t="shared" si="229"/>
        <v>0</v>
      </c>
      <c r="BZ277" s="1">
        <f t="shared" si="229"/>
        <v>0</v>
      </c>
      <c r="CA277" s="1">
        <f t="shared" si="229"/>
        <v>0</v>
      </c>
      <c r="CB277" s="1">
        <f t="shared" si="229"/>
        <v>0</v>
      </c>
      <c r="CC277" s="1">
        <f t="shared" si="229"/>
        <v>0</v>
      </c>
      <c r="CD277" s="1">
        <f t="shared" si="229"/>
        <v>0</v>
      </c>
      <c r="CE277" s="1">
        <f t="shared" si="229"/>
        <v>0</v>
      </c>
      <c r="CF277" s="1">
        <f t="shared" si="229"/>
        <v>0</v>
      </c>
      <c r="CG277" s="1">
        <f t="shared" si="229"/>
        <v>0</v>
      </c>
      <c r="CH277" s="1">
        <f t="shared" si="229"/>
        <v>0</v>
      </c>
    </row>
    <row r="278" ht="15.75" customHeight="1">
      <c r="A278" s="91" t="s">
        <v>746</v>
      </c>
      <c r="B278" s="493">
        <v>0.5</v>
      </c>
      <c r="C278" s="1"/>
      <c r="D278" s="1"/>
      <c r="E278" s="1"/>
      <c r="F278" s="1"/>
      <c r="G278" s="1"/>
      <c r="H278" s="1"/>
      <c r="I278" s="1"/>
      <c r="J278" s="1"/>
      <c r="K278" s="1"/>
      <c r="L278" s="1"/>
      <c r="M278" s="1"/>
      <c r="N278" s="1"/>
      <c r="O278" s="137">
        <f t="shared" ref="O278:CH278" si="230">O264*$B$278</f>
        <v>3944785</v>
      </c>
      <c r="P278" s="137">
        <f t="shared" si="230"/>
        <v>5035345</v>
      </c>
      <c r="Q278" s="137">
        <f t="shared" si="230"/>
        <v>5558210</v>
      </c>
      <c r="R278" s="137">
        <f t="shared" si="230"/>
        <v>5068302.5</v>
      </c>
      <c r="S278" s="137">
        <f t="shared" si="230"/>
        <v>2783220</v>
      </c>
      <c r="T278" s="137">
        <f t="shared" si="230"/>
        <v>4948912.5</v>
      </c>
      <c r="U278" s="137">
        <f t="shared" si="230"/>
        <v>4603562.5</v>
      </c>
      <c r="V278" s="137">
        <f t="shared" si="230"/>
        <v>3937830</v>
      </c>
      <c r="W278" s="137">
        <f t="shared" si="230"/>
        <v>6060835</v>
      </c>
      <c r="X278" s="137">
        <f t="shared" si="230"/>
        <v>3368592.5</v>
      </c>
      <c r="Y278" s="137">
        <f t="shared" si="230"/>
        <v>4941365</v>
      </c>
      <c r="Z278" s="137">
        <f t="shared" si="230"/>
        <v>1156968.75</v>
      </c>
      <c r="AA278" s="137">
        <f t="shared" si="230"/>
        <v>1411629.75</v>
      </c>
      <c r="AB278" s="137">
        <f t="shared" si="230"/>
        <v>1552792.725</v>
      </c>
      <c r="AC278" s="137">
        <f t="shared" si="230"/>
        <v>1552792.725</v>
      </c>
      <c r="AD278" s="137">
        <f t="shared" si="230"/>
        <v>1552792.725</v>
      </c>
      <c r="AE278" s="137">
        <f t="shared" si="230"/>
        <v>1552792.725</v>
      </c>
      <c r="AF278" s="137">
        <f t="shared" si="230"/>
        <v>1579466.592</v>
      </c>
      <c r="AG278" s="137">
        <f t="shared" si="230"/>
        <v>1579466.592</v>
      </c>
      <c r="AH278" s="137">
        <f t="shared" si="230"/>
        <v>1579466.592</v>
      </c>
      <c r="AI278" s="137">
        <f t="shared" si="230"/>
        <v>1579466.592</v>
      </c>
      <c r="AJ278" s="137">
        <f t="shared" si="230"/>
        <v>1517116.996</v>
      </c>
      <c r="AK278" s="137">
        <f t="shared" si="230"/>
        <v>1517116.996</v>
      </c>
      <c r="AL278" s="137">
        <f t="shared" si="230"/>
        <v>1517116.996</v>
      </c>
      <c r="AM278" s="137">
        <f t="shared" si="230"/>
        <v>1534314.336</v>
      </c>
      <c r="AN278" s="137">
        <f t="shared" si="230"/>
        <v>1159816.247</v>
      </c>
      <c r="AO278" s="137">
        <f t="shared" si="230"/>
        <v>1117962.265</v>
      </c>
      <c r="AP278" s="137">
        <f t="shared" si="230"/>
        <v>1122314.577</v>
      </c>
      <c r="AQ278" s="137">
        <f t="shared" si="230"/>
        <v>1126688.65</v>
      </c>
      <c r="AR278" s="137">
        <f t="shared" si="230"/>
        <v>1137487.605</v>
      </c>
      <c r="AS278" s="137">
        <f t="shared" si="230"/>
        <v>1141937.543</v>
      </c>
      <c r="AT278" s="137">
        <f t="shared" si="230"/>
        <v>1146409.731</v>
      </c>
      <c r="AU278" s="137">
        <f t="shared" si="230"/>
        <v>1150904.28</v>
      </c>
      <c r="AV278" s="137">
        <f t="shared" si="230"/>
        <v>1155421.301</v>
      </c>
      <c r="AW278" s="137">
        <f t="shared" si="230"/>
        <v>1159960.908</v>
      </c>
      <c r="AX278" s="137">
        <f t="shared" si="230"/>
        <v>1164523.212</v>
      </c>
      <c r="AY278" s="137">
        <f t="shared" si="230"/>
        <v>1175790.055</v>
      </c>
      <c r="AZ278" s="137">
        <f t="shared" si="230"/>
        <v>1185072.956</v>
      </c>
      <c r="BA278" s="137">
        <f t="shared" si="230"/>
        <v>1189760.821</v>
      </c>
      <c r="BB278" s="137">
        <f t="shared" si="230"/>
        <v>1194472.125</v>
      </c>
      <c r="BC278" s="137">
        <f t="shared" si="230"/>
        <v>1199206.986</v>
      </c>
      <c r="BD278" s="137">
        <f t="shared" si="230"/>
        <v>1203965.52</v>
      </c>
      <c r="BE278" s="137">
        <f t="shared" si="230"/>
        <v>1208747.848</v>
      </c>
      <c r="BF278" s="137">
        <f t="shared" si="230"/>
        <v>1213554.087</v>
      </c>
      <c r="BG278" s="137">
        <f t="shared" si="230"/>
        <v>1218384.358</v>
      </c>
      <c r="BH278" s="137">
        <f t="shared" si="230"/>
        <v>1223238.78</v>
      </c>
      <c r="BI278" s="137">
        <f t="shared" si="230"/>
        <v>1228117.473</v>
      </c>
      <c r="BJ278" s="137">
        <f t="shared" si="230"/>
        <v>1233020.561</v>
      </c>
      <c r="BK278" s="137">
        <f t="shared" si="230"/>
        <v>1271181.128</v>
      </c>
      <c r="BL278" s="137">
        <f t="shared" si="230"/>
        <v>1252837.455</v>
      </c>
      <c r="BM278" s="137">
        <f t="shared" si="230"/>
        <v>1257864.142</v>
      </c>
      <c r="BN278" s="137">
        <f t="shared" si="230"/>
        <v>1262915.963</v>
      </c>
      <c r="BO278" s="137">
        <f t="shared" si="230"/>
        <v>1267993.043</v>
      </c>
      <c r="BP278" s="137">
        <f t="shared" si="230"/>
        <v>1273095.508</v>
      </c>
      <c r="BQ278" s="137">
        <f t="shared" si="230"/>
        <v>1278223.485</v>
      </c>
      <c r="BR278" s="137">
        <f t="shared" si="230"/>
        <v>1283377.103</v>
      </c>
      <c r="BS278" s="137">
        <f t="shared" si="230"/>
        <v>1288556.488</v>
      </c>
      <c r="BT278" s="137">
        <f t="shared" si="230"/>
        <v>1293761.771</v>
      </c>
      <c r="BU278" s="137">
        <f t="shared" si="230"/>
        <v>1298993.08</v>
      </c>
      <c r="BV278" s="137">
        <f t="shared" si="230"/>
        <v>1304250.545</v>
      </c>
      <c r="BW278" s="137">
        <f t="shared" si="230"/>
        <v>1309534.298</v>
      </c>
      <c r="BX278" s="137">
        <f t="shared" si="230"/>
        <v>1203330.868</v>
      </c>
      <c r="BY278" s="137">
        <f t="shared" si="230"/>
        <v>1208110.022</v>
      </c>
      <c r="BZ278" s="137">
        <f t="shared" si="230"/>
        <v>1212913.072</v>
      </c>
      <c r="CA278" s="137">
        <f t="shared" si="230"/>
        <v>1217740.138</v>
      </c>
      <c r="CB278" s="137">
        <f t="shared" si="230"/>
        <v>1222591.338</v>
      </c>
      <c r="CC278" s="137">
        <f t="shared" si="230"/>
        <v>1227466.795</v>
      </c>
      <c r="CD278" s="137">
        <f t="shared" si="230"/>
        <v>1232366.629</v>
      </c>
      <c r="CE278" s="137">
        <f t="shared" si="230"/>
        <v>1237290.962</v>
      </c>
      <c r="CF278" s="137">
        <f t="shared" si="230"/>
        <v>1242239.917</v>
      </c>
      <c r="CG278" s="137">
        <f t="shared" si="230"/>
        <v>1247213.617</v>
      </c>
      <c r="CH278" s="137">
        <f t="shared" si="230"/>
        <v>1252212.185</v>
      </c>
    </row>
    <row r="279" ht="15.75" customHeight="1">
      <c r="A279" s="91" t="s">
        <v>101</v>
      </c>
      <c r="B279" s="305"/>
      <c r="C279" s="1"/>
      <c r="D279" s="1"/>
      <c r="E279" s="1"/>
      <c r="F279" s="1"/>
      <c r="G279" s="1"/>
      <c r="H279" s="1"/>
      <c r="I279" s="1"/>
      <c r="J279" s="1"/>
      <c r="K279" s="1"/>
      <c r="L279" s="1"/>
      <c r="M279" s="1"/>
      <c r="N279" s="1"/>
      <c r="O279" s="265">
        <f>Retention!O157</f>
        <v>0.9831501005</v>
      </c>
      <c r="P279" s="265">
        <f>Retention!P157</f>
        <v>0.9788024487</v>
      </c>
      <c r="Q279" s="265">
        <f>Retention!Q157</f>
        <v>0.9790411837</v>
      </c>
      <c r="R279" s="265">
        <v>0.6</v>
      </c>
      <c r="S279" s="265">
        <v>0.6</v>
      </c>
      <c r="T279" s="265">
        <v>0.6</v>
      </c>
      <c r="U279" s="265">
        <v>0.6</v>
      </c>
      <c r="V279" s="265">
        <v>0.6</v>
      </c>
      <c r="W279" s="265">
        <v>0.6</v>
      </c>
      <c r="X279" s="265">
        <v>0.6</v>
      </c>
      <c r="Y279" s="265">
        <v>0.6</v>
      </c>
      <c r="Z279" s="265">
        <v>0.6</v>
      </c>
      <c r="AA279" s="265">
        <v>0.6</v>
      </c>
      <c r="AB279" s="265">
        <v>0.6</v>
      </c>
      <c r="AC279" s="265">
        <v>0.6</v>
      </c>
      <c r="AD279" s="265">
        <v>0.6</v>
      </c>
      <c r="AE279" s="265">
        <v>0.6</v>
      </c>
      <c r="AF279" s="265">
        <v>0.6</v>
      </c>
      <c r="AG279" s="265">
        <v>0.6</v>
      </c>
      <c r="AH279" s="265">
        <v>0.6</v>
      </c>
      <c r="AI279" s="265">
        <v>0.6</v>
      </c>
      <c r="AJ279" s="265">
        <v>0.6</v>
      </c>
      <c r="AK279" s="265">
        <v>0.6</v>
      </c>
      <c r="AL279" s="265">
        <v>0.6</v>
      </c>
      <c r="AM279" s="265">
        <v>0.6</v>
      </c>
      <c r="AN279" s="265">
        <v>0.6</v>
      </c>
      <c r="AO279" s="265">
        <v>0.6</v>
      </c>
      <c r="AP279" s="265">
        <v>0.6</v>
      </c>
      <c r="AQ279" s="265">
        <v>0.6</v>
      </c>
      <c r="AR279" s="265">
        <v>0.6</v>
      </c>
      <c r="AS279" s="265">
        <v>0.6</v>
      </c>
      <c r="AT279" s="265">
        <v>0.6</v>
      </c>
      <c r="AU279" s="265">
        <v>0.6</v>
      </c>
      <c r="AV279" s="265">
        <v>0.6</v>
      </c>
      <c r="AW279" s="265">
        <v>0.6</v>
      </c>
      <c r="AX279" s="265">
        <v>0.6</v>
      </c>
      <c r="AY279" s="265">
        <v>0.6</v>
      </c>
      <c r="AZ279" s="265">
        <v>0.6</v>
      </c>
      <c r="BA279" s="265">
        <v>0.6</v>
      </c>
      <c r="BB279" s="265">
        <v>0.6</v>
      </c>
      <c r="BC279" s="265">
        <v>0.6</v>
      </c>
      <c r="BD279" s="265">
        <v>0.6</v>
      </c>
      <c r="BE279" s="265">
        <v>0.6</v>
      </c>
      <c r="BF279" s="265">
        <v>0.6</v>
      </c>
      <c r="BG279" s="265">
        <v>0.6</v>
      </c>
      <c r="BH279" s="265">
        <v>0.6</v>
      </c>
      <c r="BI279" s="265">
        <v>0.6</v>
      </c>
      <c r="BJ279" s="265">
        <v>0.6</v>
      </c>
      <c r="BK279" s="265">
        <v>0.6</v>
      </c>
      <c r="BL279" s="265">
        <v>0.6</v>
      </c>
      <c r="BM279" s="265">
        <v>0.6</v>
      </c>
      <c r="BN279" s="265">
        <v>0.6</v>
      </c>
      <c r="BO279" s="265">
        <v>0.6</v>
      </c>
      <c r="BP279" s="265">
        <v>0.6</v>
      </c>
      <c r="BQ279" s="265">
        <v>0.6</v>
      </c>
      <c r="BR279" s="265">
        <v>0.6</v>
      </c>
      <c r="BS279" s="265">
        <v>0.6</v>
      </c>
      <c r="BT279" s="265">
        <v>0.6</v>
      </c>
      <c r="BU279" s="265">
        <v>0.6</v>
      </c>
      <c r="BV279" s="265">
        <v>0.6</v>
      </c>
      <c r="BW279" s="265">
        <v>0.6</v>
      </c>
      <c r="BX279" s="265">
        <v>0.6</v>
      </c>
      <c r="BY279" s="265">
        <v>0.6</v>
      </c>
      <c r="BZ279" s="265">
        <v>0.6</v>
      </c>
      <c r="CA279" s="265">
        <v>0.6</v>
      </c>
      <c r="CB279" s="265">
        <v>0.6</v>
      </c>
      <c r="CC279" s="265">
        <v>0.6</v>
      </c>
      <c r="CD279" s="265">
        <v>0.6</v>
      </c>
      <c r="CE279" s="265">
        <v>0.6</v>
      </c>
      <c r="CF279" s="265">
        <v>0.6</v>
      </c>
      <c r="CG279" s="265">
        <v>0.6</v>
      </c>
      <c r="CH279" s="265">
        <v>0.6</v>
      </c>
    </row>
    <row r="280" ht="15.75" customHeight="1">
      <c r="A280" s="91" t="s">
        <v>747</v>
      </c>
      <c r="C280" s="1"/>
      <c r="D280" s="1"/>
      <c r="E280" s="1"/>
      <c r="F280" s="1"/>
      <c r="G280" s="1"/>
      <c r="H280" s="1"/>
      <c r="I280" s="1"/>
      <c r="J280" s="1"/>
      <c r="K280" s="1"/>
      <c r="L280" s="1"/>
      <c r="M280" s="1"/>
      <c r="N280" s="1"/>
      <c r="O280" s="137">
        <f t="shared" ref="O280:CH280" si="231">O278*O279</f>
        <v>3878315.769</v>
      </c>
      <c r="P280" s="137">
        <f t="shared" si="231"/>
        <v>4928608.016</v>
      </c>
      <c r="Q280" s="137">
        <f t="shared" si="231"/>
        <v>5441716.497</v>
      </c>
      <c r="R280" s="137">
        <f t="shared" si="231"/>
        <v>3040981.5</v>
      </c>
      <c r="S280" s="137">
        <f t="shared" si="231"/>
        <v>1669932</v>
      </c>
      <c r="T280" s="137">
        <f t="shared" si="231"/>
        <v>2969347.5</v>
      </c>
      <c r="U280" s="137">
        <f t="shared" si="231"/>
        <v>2762137.5</v>
      </c>
      <c r="V280" s="137">
        <f t="shared" si="231"/>
        <v>2362698</v>
      </c>
      <c r="W280" s="137">
        <f t="shared" si="231"/>
        <v>3636501</v>
      </c>
      <c r="X280" s="137">
        <f t="shared" si="231"/>
        <v>2021155.5</v>
      </c>
      <c r="Y280" s="137">
        <f t="shared" si="231"/>
        <v>2964819</v>
      </c>
      <c r="Z280" s="137">
        <f t="shared" si="231"/>
        <v>694181.25</v>
      </c>
      <c r="AA280" s="137">
        <f t="shared" si="231"/>
        <v>846977.85</v>
      </c>
      <c r="AB280" s="137">
        <f t="shared" si="231"/>
        <v>931675.635</v>
      </c>
      <c r="AC280" s="137">
        <f t="shared" si="231"/>
        <v>931675.635</v>
      </c>
      <c r="AD280" s="137">
        <f t="shared" si="231"/>
        <v>931675.635</v>
      </c>
      <c r="AE280" s="137">
        <f t="shared" si="231"/>
        <v>931675.635</v>
      </c>
      <c r="AF280" s="137">
        <f t="shared" si="231"/>
        <v>947679.9552</v>
      </c>
      <c r="AG280" s="137">
        <f t="shared" si="231"/>
        <v>947679.9552</v>
      </c>
      <c r="AH280" s="137">
        <f t="shared" si="231"/>
        <v>947679.9552</v>
      </c>
      <c r="AI280" s="137">
        <f t="shared" si="231"/>
        <v>947679.9552</v>
      </c>
      <c r="AJ280" s="137">
        <f t="shared" si="231"/>
        <v>910270.1975</v>
      </c>
      <c r="AK280" s="137">
        <f t="shared" si="231"/>
        <v>910270.1975</v>
      </c>
      <c r="AL280" s="137">
        <f t="shared" si="231"/>
        <v>910270.1975</v>
      </c>
      <c r="AM280" s="137">
        <f t="shared" si="231"/>
        <v>920588.6013</v>
      </c>
      <c r="AN280" s="137">
        <f t="shared" si="231"/>
        <v>695889.7483</v>
      </c>
      <c r="AO280" s="137">
        <f t="shared" si="231"/>
        <v>670777.3592</v>
      </c>
      <c r="AP280" s="137">
        <f t="shared" si="231"/>
        <v>673388.746</v>
      </c>
      <c r="AQ280" s="137">
        <f t="shared" si="231"/>
        <v>676013.1897</v>
      </c>
      <c r="AR280" s="137">
        <f t="shared" si="231"/>
        <v>682492.5631</v>
      </c>
      <c r="AS280" s="137">
        <f t="shared" si="231"/>
        <v>685162.5259</v>
      </c>
      <c r="AT280" s="137">
        <f t="shared" si="231"/>
        <v>687845.8386</v>
      </c>
      <c r="AU280" s="137">
        <f t="shared" si="231"/>
        <v>690542.5678</v>
      </c>
      <c r="AV280" s="137">
        <f t="shared" si="231"/>
        <v>693252.7806</v>
      </c>
      <c r="AW280" s="137">
        <f t="shared" si="231"/>
        <v>695976.5445</v>
      </c>
      <c r="AX280" s="137">
        <f t="shared" si="231"/>
        <v>698713.9272</v>
      </c>
      <c r="AY280" s="137">
        <f t="shared" si="231"/>
        <v>705474.0333</v>
      </c>
      <c r="AZ280" s="137">
        <f t="shared" si="231"/>
        <v>711043.7736</v>
      </c>
      <c r="BA280" s="137">
        <f t="shared" si="231"/>
        <v>713856.4925</v>
      </c>
      <c r="BB280" s="137">
        <f t="shared" si="231"/>
        <v>716683.2749</v>
      </c>
      <c r="BC280" s="137">
        <f t="shared" si="231"/>
        <v>719524.1913</v>
      </c>
      <c r="BD280" s="137">
        <f t="shared" si="231"/>
        <v>722379.3123</v>
      </c>
      <c r="BE280" s="137">
        <f t="shared" si="231"/>
        <v>725248.7088</v>
      </c>
      <c r="BF280" s="137">
        <f t="shared" si="231"/>
        <v>728132.4524</v>
      </c>
      <c r="BG280" s="137">
        <f t="shared" si="231"/>
        <v>731030.6146</v>
      </c>
      <c r="BH280" s="137">
        <f t="shared" si="231"/>
        <v>733943.2677</v>
      </c>
      <c r="BI280" s="137">
        <f t="shared" si="231"/>
        <v>736870.4841</v>
      </c>
      <c r="BJ280" s="137">
        <f t="shared" si="231"/>
        <v>739812.3365</v>
      </c>
      <c r="BK280" s="137">
        <f t="shared" si="231"/>
        <v>762708.677</v>
      </c>
      <c r="BL280" s="137">
        <f t="shared" si="231"/>
        <v>751702.4728</v>
      </c>
      <c r="BM280" s="137">
        <f t="shared" si="231"/>
        <v>754718.4852</v>
      </c>
      <c r="BN280" s="137">
        <f t="shared" si="231"/>
        <v>757749.5776</v>
      </c>
      <c r="BO280" s="137">
        <f t="shared" si="231"/>
        <v>760795.8255</v>
      </c>
      <c r="BP280" s="137">
        <f t="shared" si="231"/>
        <v>763857.3046</v>
      </c>
      <c r="BQ280" s="137">
        <f t="shared" si="231"/>
        <v>766934.0912</v>
      </c>
      <c r="BR280" s="137">
        <f t="shared" si="231"/>
        <v>770026.2616</v>
      </c>
      <c r="BS280" s="137">
        <f t="shared" si="231"/>
        <v>773133.8929</v>
      </c>
      <c r="BT280" s="137">
        <f t="shared" si="231"/>
        <v>776257.0624</v>
      </c>
      <c r="BU280" s="137">
        <f t="shared" si="231"/>
        <v>779395.8477</v>
      </c>
      <c r="BV280" s="137">
        <f t="shared" si="231"/>
        <v>782550.3269</v>
      </c>
      <c r="BW280" s="137">
        <f t="shared" si="231"/>
        <v>785720.5786</v>
      </c>
      <c r="BX280" s="137">
        <f t="shared" si="231"/>
        <v>721998.5207</v>
      </c>
      <c r="BY280" s="137">
        <f t="shared" si="231"/>
        <v>724866.0133</v>
      </c>
      <c r="BZ280" s="137">
        <f t="shared" si="231"/>
        <v>727747.8434</v>
      </c>
      <c r="CA280" s="137">
        <f t="shared" si="231"/>
        <v>730644.0826</v>
      </c>
      <c r="CB280" s="137">
        <f t="shared" si="231"/>
        <v>733554.803</v>
      </c>
      <c r="CC280" s="137">
        <f t="shared" si="231"/>
        <v>736480.077</v>
      </c>
      <c r="CD280" s="137">
        <f t="shared" si="231"/>
        <v>739419.9774</v>
      </c>
      <c r="CE280" s="137">
        <f t="shared" si="231"/>
        <v>742374.5773</v>
      </c>
      <c r="CF280" s="137">
        <f t="shared" si="231"/>
        <v>745343.9502</v>
      </c>
      <c r="CG280" s="137">
        <f t="shared" si="231"/>
        <v>748328.1699</v>
      </c>
      <c r="CH280" s="137">
        <f t="shared" si="231"/>
        <v>751327.3108</v>
      </c>
    </row>
    <row r="281" ht="15.75" customHeight="1">
      <c r="A281" s="91" t="s">
        <v>23</v>
      </c>
      <c r="B281" s="266"/>
      <c r="C281" s="1"/>
      <c r="D281" s="1"/>
      <c r="E281" s="1"/>
      <c r="F281" s="1"/>
      <c r="G281" s="1"/>
      <c r="H281" s="1"/>
      <c r="I281" s="1"/>
      <c r="J281" s="1"/>
      <c r="K281" s="1"/>
      <c r="L281" s="1"/>
      <c r="M281" s="1"/>
      <c r="N281" s="1"/>
      <c r="O281" s="494">
        <f>1--SUM(Retention!O77:O79)/'New Biz Sales'!N130</f>
        <v>0.9757934741</v>
      </c>
      <c r="P281" s="494">
        <f>1--SUM(Retention!P77:P79)/'New Biz Sales'!O130</f>
        <v>0.9853631984</v>
      </c>
      <c r="Q281" s="494">
        <f>1--SUM(Retention!Q77:Q79)/'New Biz Sales'!P130</f>
        <v>0.9692166162</v>
      </c>
      <c r="R281" s="494">
        <f>1--SUM(Retention!R77:R79)/'New Biz Sales'!Q130</f>
        <v>0.9624592052</v>
      </c>
      <c r="S281" s="494">
        <f>1--SUM(Retention!S77:S79)/'New Biz Sales'!R130</f>
        <v>0.9924136614</v>
      </c>
      <c r="T281" s="494">
        <f>1--SUM(Retention!T77:T79)/'New Biz Sales'!S130</f>
        <v>0.9762959964</v>
      </c>
      <c r="U281" s="494">
        <f>1--SUM(Retention!U77:U79)/'New Biz Sales'!T130</f>
        <v>0.9852563733</v>
      </c>
      <c r="V281" s="494">
        <f>1--SUM(Retention!V77:V79)/'New Biz Sales'!U130</f>
        <v>0.9676061592</v>
      </c>
      <c r="W281" s="494">
        <f>1--SUM(Retention!W77:W79)/'New Biz Sales'!V130</f>
        <v>0.9824040144</v>
      </c>
      <c r="X281" s="494">
        <f>1--SUM(Retention!X77:X79)/'New Biz Sales'!W130</f>
        <v>0.9795701037</v>
      </c>
      <c r="Y281" s="494">
        <f>1--SUM(Retention!Y77:Y79)/'New Biz Sales'!X130</f>
        <v>0.9807809033</v>
      </c>
      <c r="Z281" s="494">
        <f>1--SUM(Retention!Z77:Z79)/'New Biz Sales'!Y130</f>
        <v>0.936577984</v>
      </c>
      <c r="AA281" s="494">
        <f>1--SUM(Retention!AA77:AA79)/'New Biz Sales'!Z130</f>
        <v>0.9350120905</v>
      </c>
      <c r="AB281" s="494">
        <f>1--SUM(Retention!AB77:AB79)/'New Biz Sales'!AA130</f>
        <v>0.9371397197</v>
      </c>
      <c r="AC281" s="494">
        <f>1--SUM(Retention!AC77:AC79)/'New Biz Sales'!AB130</f>
        <v>0.9392486434</v>
      </c>
      <c r="AD281" s="494">
        <f>1--SUM(Retention!AD77:AD79)/'New Biz Sales'!AC130</f>
        <v>0.9413486104</v>
      </c>
      <c r="AE281" s="494">
        <f>1--SUM(Retention!AE77:AE79)/'New Biz Sales'!AD130</f>
        <v>0.9434324722</v>
      </c>
      <c r="AF281" s="494">
        <f>1--SUM(Retention!AF77:AF79)/'New Biz Sales'!AE130</f>
        <v>0.9454976742</v>
      </c>
      <c r="AG281" s="494">
        <f>1--SUM(Retention!AG77:AG79)/'New Biz Sales'!AF130</f>
        <v>0.9483125428</v>
      </c>
      <c r="AH281" s="494">
        <f>1--SUM(Retention!AH77:AH79)/'New Biz Sales'!AG130</f>
        <v>0.94934307</v>
      </c>
      <c r="AI281" s="494">
        <f>1--SUM(Retention!AI77:AI79)/'New Biz Sales'!AH130</f>
        <v>0.9503723629</v>
      </c>
      <c r="AJ281" s="494">
        <f>1--SUM(Retention!AJ77:AJ79)/'New Biz Sales'!AI130</f>
        <v>0.951407806</v>
      </c>
      <c r="AK281" s="494">
        <f>1--SUM(Retention!AK77:AK79)/'New Biz Sales'!AJ130</f>
        <v>0.953074392</v>
      </c>
      <c r="AL281" s="494">
        <f>1--SUM(Retention!AL77:AL79)/'New Biz Sales'!AK130</f>
        <v>0.9541371226</v>
      </c>
      <c r="AM281" s="494">
        <f>1--SUM(Retention!AM77:AM79)/'New Biz Sales'!AL130</f>
        <v>0.9507789725</v>
      </c>
      <c r="AN281" s="494">
        <f>1--SUM(Retention!AN77:AN79)/'New Biz Sales'!AM130</f>
        <v>0.9507784448</v>
      </c>
      <c r="AO281" s="494">
        <f>1--SUM(Retention!AO77:AO79)/'New Biz Sales'!AN130</f>
        <v>0.9507801937</v>
      </c>
      <c r="AP281" s="494">
        <f>1--SUM(Retention!AP77:AP79)/'New Biz Sales'!AO130</f>
        <v>0.9507820363</v>
      </c>
      <c r="AQ281" s="494">
        <f>1--SUM(Retention!AQ77:AQ79)/'New Biz Sales'!AP130</f>
        <v>0.9507837718</v>
      </c>
      <c r="AR281" s="494">
        <f>1--SUM(Retention!AR77:AR79)/'New Biz Sales'!AQ130</f>
        <v>0.9507854096</v>
      </c>
      <c r="AS281" s="494">
        <f>1--SUM(Retention!AS77:AS79)/'New Biz Sales'!AR130</f>
        <v>0.9507868833</v>
      </c>
      <c r="AT281" s="494">
        <f>1--SUM(Retention!AT77:AT79)/'New Biz Sales'!AS130</f>
        <v>0.9507882806</v>
      </c>
      <c r="AU281" s="494">
        <f>1--SUM(Retention!AU77:AU79)/'New Biz Sales'!AT130</f>
        <v>0.9507896079</v>
      </c>
      <c r="AV281" s="494">
        <f>1--SUM(Retention!AV77:AV79)/'New Biz Sales'!AU130</f>
        <v>0.950790871</v>
      </c>
      <c r="AW281" s="494">
        <f>1--SUM(Retention!AW77:AW79)/'New Biz Sales'!AV130</f>
        <v>0.9507920749</v>
      </c>
      <c r="AX281" s="494">
        <f>1--SUM(Retention!AX77:AX79)/'New Biz Sales'!AW130</f>
        <v>0.9507932243</v>
      </c>
      <c r="AY281" s="494">
        <f>1--SUM(Retention!AY77:AY79)/'New Biz Sales'!AX130</f>
        <v>0.9593971617</v>
      </c>
      <c r="AZ281" s="494">
        <f>1--SUM(Retention!AZ77:AZ79)/'New Biz Sales'!AY130</f>
        <v>0.95939744</v>
      </c>
      <c r="BA281" s="494">
        <f>1--SUM(Retention!BA77:BA79)/'New Biz Sales'!AZ130</f>
        <v>0.9593977022</v>
      </c>
      <c r="BB281" s="494">
        <f>1--SUM(Retention!BB77:BB79)/'New Biz Sales'!BA130</f>
        <v>0.9593979583</v>
      </c>
      <c r="BC281" s="494">
        <f>1--SUM(Retention!BC77:BC79)/'New Biz Sales'!BB130</f>
        <v>0.9593982089</v>
      </c>
      <c r="BD281" s="494">
        <f>1--SUM(Retention!BD77:BD79)/'New Biz Sales'!BC130</f>
        <v>0.9593984545</v>
      </c>
      <c r="BE281" s="494">
        <f>1--SUM(Retention!BE77:BE79)/'New Biz Sales'!BD130</f>
        <v>0.9593986954</v>
      </c>
      <c r="BF281" s="494">
        <f>1--SUM(Retention!BF77:BF79)/'New Biz Sales'!BE130</f>
        <v>0.9593989322</v>
      </c>
      <c r="BG281" s="494">
        <f>1--SUM(Retention!BG77:BG79)/'New Biz Sales'!BF130</f>
        <v>0.959399165</v>
      </c>
      <c r="BH281" s="494">
        <f>1--SUM(Retention!BH77:BH79)/'New Biz Sales'!BG130</f>
        <v>0.9593993942</v>
      </c>
      <c r="BI281" s="494">
        <f>1--SUM(Retention!BI77:BI79)/'New Biz Sales'!BH130</f>
        <v>0.9593996201</v>
      </c>
      <c r="BJ281" s="494">
        <f>1--SUM(Retention!BJ77:BJ79)/'New Biz Sales'!BI130</f>
        <v>0.959399843</v>
      </c>
      <c r="BK281" s="494">
        <f>1--SUM(Retention!BK77:BK79)/'New Biz Sales'!BJ130</f>
        <v>0.961400063</v>
      </c>
      <c r="BL281" s="494">
        <f>1--SUM(Retention!BL77:BL79)/'New Biz Sales'!BK130</f>
        <v>0.9614000897</v>
      </c>
      <c r="BM281" s="494">
        <f>1--SUM(Retention!BM77:BM79)/'New Biz Sales'!BL130</f>
        <v>0.9614000553</v>
      </c>
      <c r="BN281" s="494">
        <f>1--SUM(Retention!BN77:BN79)/'New Biz Sales'!BM130</f>
        <v>0.9613999234</v>
      </c>
      <c r="BO281" s="494">
        <f>1--SUM(Retention!BO77:BO79)/'New Biz Sales'!BN130</f>
        <v>0.9613998134</v>
      </c>
      <c r="BP281" s="494">
        <f>1--SUM(Retention!BP77:BP79)/'New Biz Sales'!BO130</f>
        <v>0.9613997241</v>
      </c>
      <c r="BQ281" s="494">
        <f>1--SUM(Retention!BQ77:BQ79)/'New Biz Sales'!BP130</f>
        <v>0.9613996543</v>
      </c>
      <c r="BR281" s="494">
        <f>1--SUM(Retention!BR77:BR79)/'New Biz Sales'!BQ130</f>
        <v>0.9613996029</v>
      </c>
      <c r="BS281" s="494">
        <f>1--SUM(Retention!BS77:BS79)/'New Biz Sales'!BR130</f>
        <v>0.9613995687</v>
      </c>
      <c r="BT281" s="494">
        <f>1--SUM(Retention!BT77:BT79)/'New Biz Sales'!BS130</f>
        <v>0.9613995508</v>
      </c>
      <c r="BU281" s="494">
        <f>1--SUM(Retention!BU77:BU79)/'New Biz Sales'!BT130</f>
        <v>0.9613995484</v>
      </c>
      <c r="BV281" s="494">
        <f>1--SUM(Retention!BV77:BV79)/'New Biz Sales'!BU130</f>
        <v>0.9613995605</v>
      </c>
      <c r="BW281" s="494">
        <f>1--SUM(Retention!BW77:BW79)/'New Biz Sales'!BV130</f>
        <v>0.9623995866</v>
      </c>
      <c r="BX281" s="494">
        <f>1--SUM(Retention!BX77:BX79)/'New Biz Sales'!BW130</f>
        <v>0.9623996477</v>
      </c>
      <c r="BY281" s="494">
        <f>1--SUM(Retention!BY77:BY79)/'New Biz Sales'!BX130</f>
        <v>0.9623998835</v>
      </c>
      <c r="BZ281" s="494">
        <f>1--SUM(Retention!BZ77:BZ79)/'New Biz Sales'!BY130</f>
        <v>0.9624000051</v>
      </c>
      <c r="CA281" s="494">
        <f>1--SUM(Retention!CA77:CA79)/'New Biz Sales'!BZ130</f>
        <v>0.9624001206</v>
      </c>
      <c r="CB281" s="494">
        <f>1--SUM(Retention!CB77:CB79)/'New Biz Sales'!CA130</f>
        <v>0.9624002308</v>
      </c>
      <c r="CC281" s="494">
        <f>1--SUM(Retention!CC77:CC79)/'New Biz Sales'!CB130</f>
        <v>0.962400336</v>
      </c>
      <c r="CD281" s="494">
        <f>1--SUM(Retention!CD77:CD79)/'New Biz Sales'!CC130</f>
        <v>0.9624004368</v>
      </c>
      <c r="CE281" s="494">
        <f>1--SUM(Retention!CE77:CE79)/'New Biz Sales'!CD130</f>
        <v>0.9624005337</v>
      </c>
      <c r="CF281" s="494">
        <f>1--SUM(Retention!CF77:CF79)/'New Biz Sales'!CE130</f>
        <v>0.9624006269</v>
      </c>
      <c r="CG281" s="494">
        <f>1--SUM(Retention!CG77:CG79)/'New Biz Sales'!CF130</f>
        <v>0.9624007169</v>
      </c>
      <c r="CH281" s="494">
        <f>1--SUM(Retention!CH77:CH79)/'New Biz Sales'!CG130</f>
        <v>0.9624008041</v>
      </c>
    </row>
    <row r="282" ht="15.75" customHeight="1">
      <c r="A282" s="91" t="s">
        <v>748</v>
      </c>
      <c r="C282" s="1"/>
      <c r="D282" s="1"/>
      <c r="E282" s="1"/>
      <c r="F282" s="1"/>
      <c r="G282" s="1"/>
      <c r="H282" s="1"/>
      <c r="I282" s="1"/>
      <c r="J282" s="1"/>
      <c r="K282" s="1"/>
      <c r="L282" s="1"/>
      <c r="M282" s="1"/>
      <c r="N282" s="1"/>
      <c r="O282" s="117">
        <f t="shared" ref="O282:CH282" si="232">O280/((1-(O281))*12)</f>
        <v>13351481.39</v>
      </c>
      <c r="P282" s="117">
        <f t="shared" si="232"/>
        <v>28060593.18</v>
      </c>
      <c r="Q282" s="117">
        <f t="shared" si="232"/>
        <v>14731206.21</v>
      </c>
      <c r="R282" s="117">
        <f t="shared" si="232"/>
        <v>6750393.176</v>
      </c>
      <c r="S282" s="117">
        <f t="shared" si="232"/>
        <v>18343631.44</v>
      </c>
      <c r="T282" s="117">
        <f t="shared" si="232"/>
        <v>10438980.22</v>
      </c>
      <c r="U282" s="117">
        <f t="shared" si="232"/>
        <v>15612042.41</v>
      </c>
      <c r="V282" s="117">
        <f t="shared" si="232"/>
        <v>6078053.575</v>
      </c>
      <c r="W282" s="117">
        <f t="shared" si="232"/>
        <v>17222209.52</v>
      </c>
      <c r="X282" s="117">
        <f t="shared" si="232"/>
        <v>8244272.162</v>
      </c>
      <c r="Y282" s="117">
        <f t="shared" si="232"/>
        <v>12855351.81</v>
      </c>
      <c r="Z282" s="117">
        <f t="shared" si="232"/>
        <v>912119.1845</v>
      </c>
      <c r="AA282" s="117">
        <f t="shared" si="232"/>
        <v>1086071.056</v>
      </c>
      <c r="AB282" s="117">
        <f t="shared" si="232"/>
        <v>1235114.383</v>
      </c>
      <c r="AC282" s="117">
        <f t="shared" si="232"/>
        <v>1277990.166</v>
      </c>
      <c r="AD282" s="117">
        <f t="shared" si="232"/>
        <v>1323747.6</v>
      </c>
      <c r="AE282" s="117">
        <f t="shared" si="232"/>
        <v>1372512.451</v>
      </c>
      <c r="AF282" s="117">
        <f t="shared" si="232"/>
        <v>1448990.083</v>
      </c>
      <c r="AG282" s="117">
        <f t="shared" si="232"/>
        <v>1527901.232</v>
      </c>
      <c r="AH282" s="117">
        <f t="shared" si="232"/>
        <v>1558983.728</v>
      </c>
      <c r="AI282" s="117">
        <f t="shared" si="232"/>
        <v>1591317.543</v>
      </c>
      <c r="AJ282" s="117">
        <f t="shared" si="232"/>
        <v>1561070.688</v>
      </c>
      <c r="AK282" s="117">
        <f t="shared" si="232"/>
        <v>1616512.883</v>
      </c>
      <c r="AL282" s="117">
        <f t="shared" si="232"/>
        <v>1653970.578</v>
      </c>
      <c r="AM282" s="117">
        <f t="shared" si="232"/>
        <v>1558596.411</v>
      </c>
      <c r="AN282" s="117">
        <f t="shared" si="232"/>
        <v>1178158.881</v>
      </c>
      <c r="AO282" s="117">
        <f t="shared" si="232"/>
        <v>1135683.324</v>
      </c>
      <c r="AP282" s="117">
        <f t="shared" si="232"/>
        <v>1140147.309</v>
      </c>
      <c r="AQ282" s="117">
        <f t="shared" si="232"/>
        <v>1144631.242</v>
      </c>
      <c r="AR282" s="117">
        <f t="shared" si="232"/>
        <v>1155640.63</v>
      </c>
      <c r="AS282" s="117">
        <f t="shared" si="232"/>
        <v>1160196.325</v>
      </c>
      <c r="AT282" s="117">
        <f t="shared" si="232"/>
        <v>1164773.092</v>
      </c>
      <c r="AU282" s="117">
        <f t="shared" si="232"/>
        <v>1169371.175</v>
      </c>
      <c r="AV282" s="117">
        <f t="shared" si="232"/>
        <v>1173990.806</v>
      </c>
      <c r="AW282" s="117">
        <f t="shared" si="232"/>
        <v>1178632.207</v>
      </c>
      <c r="AX282" s="117">
        <f t="shared" si="232"/>
        <v>1183295.588</v>
      </c>
      <c r="AY282" s="117">
        <f t="shared" si="232"/>
        <v>1447916.086</v>
      </c>
      <c r="AZ282" s="117">
        <f t="shared" si="232"/>
        <v>1459357.436</v>
      </c>
      <c r="BA282" s="117">
        <f t="shared" si="232"/>
        <v>1465139.764</v>
      </c>
      <c r="BB282" s="117">
        <f t="shared" si="232"/>
        <v>1470950.813</v>
      </c>
      <c r="BC282" s="117">
        <f t="shared" si="232"/>
        <v>1476790.744</v>
      </c>
      <c r="BD282" s="117">
        <f t="shared" si="232"/>
        <v>1482659.717</v>
      </c>
      <c r="BE282" s="117">
        <f t="shared" si="232"/>
        <v>1488557.894</v>
      </c>
      <c r="BF282" s="117">
        <f t="shared" si="232"/>
        <v>1494485.431</v>
      </c>
      <c r="BG282" s="117">
        <f t="shared" si="232"/>
        <v>1500442.488</v>
      </c>
      <c r="BH282" s="117">
        <f t="shared" si="232"/>
        <v>1506429.222</v>
      </c>
      <c r="BI282" s="117">
        <f t="shared" si="232"/>
        <v>1512445.792</v>
      </c>
      <c r="BJ282" s="117">
        <f t="shared" si="232"/>
        <v>1518492.355</v>
      </c>
      <c r="BK282" s="117">
        <f t="shared" si="232"/>
        <v>1646610.366</v>
      </c>
      <c r="BL282" s="117">
        <f t="shared" si="232"/>
        <v>1622850.217</v>
      </c>
      <c r="BM282" s="117">
        <f t="shared" si="232"/>
        <v>1629360.033</v>
      </c>
      <c r="BN282" s="117">
        <f t="shared" si="232"/>
        <v>1635898.258</v>
      </c>
      <c r="BO282" s="117">
        <f t="shared" si="232"/>
        <v>1642470.094</v>
      </c>
      <c r="BP282" s="117">
        <f t="shared" si="232"/>
        <v>1649075.66</v>
      </c>
      <c r="BQ282" s="117">
        <f t="shared" si="232"/>
        <v>1655715.076</v>
      </c>
      <c r="BR282" s="117">
        <f t="shared" si="232"/>
        <v>1662388.469</v>
      </c>
      <c r="BS282" s="117">
        <f t="shared" si="232"/>
        <v>1669095.97</v>
      </c>
      <c r="BT282" s="117">
        <f t="shared" si="232"/>
        <v>1675837.713</v>
      </c>
      <c r="BU282" s="117">
        <f t="shared" si="232"/>
        <v>1682613.835</v>
      </c>
      <c r="BV282" s="117">
        <f t="shared" si="232"/>
        <v>1689424.477</v>
      </c>
      <c r="BW282" s="117">
        <f t="shared" si="232"/>
        <v>1741382.845</v>
      </c>
      <c r="BX282" s="117">
        <f t="shared" si="232"/>
        <v>1600159.032</v>
      </c>
      <c r="BY282" s="117">
        <f t="shared" si="232"/>
        <v>1606524.309</v>
      </c>
      <c r="BZ282" s="117">
        <f t="shared" si="232"/>
        <v>1612916.537</v>
      </c>
      <c r="CA282" s="117">
        <f t="shared" si="232"/>
        <v>1619340.485</v>
      </c>
      <c r="CB282" s="117">
        <f t="shared" si="232"/>
        <v>1625796.333</v>
      </c>
      <c r="CC282" s="117">
        <f t="shared" si="232"/>
        <v>1632284.262</v>
      </c>
      <c r="CD282" s="117">
        <f t="shared" si="232"/>
        <v>1638804.451</v>
      </c>
      <c r="CE282" s="117">
        <f t="shared" si="232"/>
        <v>1645357.079</v>
      </c>
      <c r="CF282" s="117">
        <f t="shared" si="232"/>
        <v>1651942.326</v>
      </c>
      <c r="CG282" s="117">
        <f t="shared" si="232"/>
        <v>1658560.37</v>
      </c>
      <c r="CH282" s="117">
        <f t="shared" si="232"/>
        <v>1665211.391</v>
      </c>
    </row>
    <row r="283" ht="15.75" customHeight="1">
      <c r="A283" s="91" t="s">
        <v>749</v>
      </c>
      <c r="B283" s="137"/>
      <c r="C283" s="1"/>
      <c r="D283" s="1"/>
      <c r="E283" s="1"/>
      <c r="F283" s="1"/>
      <c r="G283" s="1"/>
      <c r="H283" s="1"/>
      <c r="I283" s="1"/>
      <c r="J283" s="1"/>
      <c r="K283" s="1"/>
      <c r="L283" s="1"/>
      <c r="M283" s="1"/>
      <c r="N283" s="1"/>
      <c r="O283" s="137">
        <f t="shared" ref="O283:CH283" si="233">(O276*(($B$287*1.23)/12))+((($B$272*1.23)*$B$273)/12/2)+(O278*$B$288)+(O266*($B$268*1.23))/2/12</f>
        <v>141328.4425</v>
      </c>
      <c r="P283" s="137">
        <f t="shared" si="233"/>
        <v>174590.5225</v>
      </c>
      <c r="Q283" s="137">
        <f t="shared" si="233"/>
        <v>190537.905</v>
      </c>
      <c r="R283" s="137">
        <f t="shared" si="233"/>
        <v>175595.7263</v>
      </c>
      <c r="S283" s="137">
        <f t="shared" si="233"/>
        <v>105900.71</v>
      </c>
      <c r="T283" s="137">
        <f t="shared" si="233"/>
        <v>179898.0813</v>
      </c>
      <c r="U283" s="137">
        <f t="shared" si="233"/>
        <v>169364.9063</v>
      </c>
      <c r="V283" s="137">
        <f t="shared" si="233"/>
        <v>158285.065</v>
      </c>
      <c r="W283" s="137">
        <f t="shared" si="233"/>
        <v>232261.7175</v>
      </c>
      <c r="X283" s="137">
        <f t="shared" si="233"/>
        <v>159373.3213</v>
      </c>
      <c r="Y283" s="137">
        <f t="shared" si="233"/>
        <v>216567.8825</v>
      </c>
      <c r="Z283" s="137">
        <f t="shared" si="233"/>
        <v>118312.5469</v>
      </c>
      <c r="AA283" s="137">
        <f t="shared" si="233"/>
        <v>126079.7074</v>
      </c>
      <c r="AB283" s="137">
        <f t="shared" si="233"/>
        <v>138328.9281</v>
      </c>
      <c r="AC283" s="137">
        <f t="shared" si="233"/>
        <v>146272.6781</v>
      </c>
      <c r="AD283" s="137">
        <f t="shared" si="233"/>
        <v>154216.4281</v>
      </c>
      <c r="AE283" s="137">
        <f t="shared" si="233"/>
        <v>154216.4281</v>
      </c>
      <c r="AF283" s="137">
        <f t="shared" si="233"/>
        <v>155029.9811</v>
      </c>
      <c r="AG283" s="137">
        <f t="shared" si="233"/>
        <v>155029.9811</v>
      </c>
      <c r="AH283" s="137">
        <f t="shared" si="233"/>
        <v>155029.9811</v>
      </c>
      <c r="AI283" s="137">
        <f t="shared" si="233"/>
        <v>155029.9811</v>
      </c>
      <c r="AJ283" s="137">
        <f t="shared" si="233"/>
        <v>153128.3184</v>
      </c>
      <c r="AK283" s="137">
        <f t="shared" si="233"/>
        <v>153128.3184</v>
      </c>
      <c r="AL283" s="137">
        <f t="shared" si="233"/>
        <v>153128.3184</v>
      </c>
      <c r="AM283" s="137">
        <f t="shared" si="233"/>
        <v>153652.8372</v>
      </c>
      <c r="AN283" s="137">
        <f t="shared" si="233"/>
        <v>142230.6455</v>
      </c>
      <c r="AO283" s="137">
        <f t="shared" si="233"/>
        <v>140954.0991</v>
      </c>
      <c r="AP283" s="137">
        <f t="shared" si="233"/>
        <v>141086.8446</v>
      </c>
      <c r="AQ283" s="137">
        <f t="shared" si="233"/>
        <v>141220.2538</v>
      </c>
      <c r="AR283" s="137">
        <f t="shared" si="233"/>
        <v>141549.622</v>
      </c>
      <c r="AS283" s="137">
        <f t="shared" si="233"/>
        <v>141685.3451</v>
      </c>
      <c r="AT283" s="137">
        <f t="shared" si="233"/>
        <v>141821.7468</v>
      </c>
      <c r="AU283" s="137">
        <f t="shared" si="233"/>
        <v>141958.8305</v>
      </c>
      <c r="AV283" s="137">
        <f t="shared" si="233"/>
        <v>142096.5997</v>
      </c>
      <c r="AW283" s="137">
        <f t="shared" si="233"/>
        <v>142235.0577</v>
      </c>
      <c r="AX283" s="137">
        <f t="shared" si="233"/>
        <v>142374.208</v>
      </c>
      <c r="AY283" s="137">
        <f t="shared" si="233"/>
        <v>142717.8467</v>
      </c>
      <c r="AZ283" s="137">
        <f t="shared" si="233"/>
        <v>143000.9752</v>
      </c>
      <c r="BA283" s="137">
        <f t="shared" si="233"/>
        <v>143143.955</v>
      </c>
      <c r="BB283" s="137">
        <f t="shared" si="233"/>
        <v>143287.6498</v>
      </c>
      <c r="BC283" s="137">
        <f t="shared" si="233"/>
        <v>143432.0631</v>
      </c>
      <c r="BD283" s="137">
        <f t="shared" si="233"/>
        <v>143577.1984</v>
      </c>
      <c r="BE283" s="137">
        <f t="shared" si="233"/>
        <v>143723.0594</v>
      </c>
      <c r="BF283" s="137">
        <f t="shared" si="233"/>
        <v>143869.6497</v>
      </c>
      <c r="BG283" s="137">
        <f t="shared" si="233"/>
        <v>144016.9729</v>
      </c>
      <c r="BH283" s="137">
        <f t="shared" si="233"/>
        <v>144165.0328</v>
      </c>
      <c r="BI283" s="137">
        <f t="shared" si="233"/>
        <v>144313.8329</v>
      </c>
      <c r="BJ283" s="137">
        <f t="shared" si="233"/>
        <v>144463.3771</v>
      </c>
      <c r="BK283" s="137">
        <f t="shared" si="233"/>
        <v>145627.2744</v>
      </c>
      <c r="BL283" s="137">
        <f t="shared" si="233"/>
        <v>145067.7924</v>
      </c>
      <c r="BM283" s="137">
        <f t="shared" si="233"/>
        <v>145221.1063</v>
      </c>
      <c r="BN283" s="137">
        <f t="shared" si="233"/>
        <v>145375.1869</v>
      </c>
      <c r="BO283" s="137">
        <f t="shared" si="233"/>
        <v>145530.0378</v>
      </c>
      <c r="BP283" s="137">
        <f t="shared" si="233"/>
        <v>145685.663</v>
      </c>
      <c r="BQ283" s="137">
        <f t="shared" si="233"/>
        <v>145842.0663</v>
      </c>
      <c r="BR283" s="137">
        <f t="shared" si="233"/>
        <v>145999.2516</v>
      </c>
      <c r="BS283" s="137">
        <f t="shared" si="233"/>
        <v>146157.2229</v>
      </c>
      <c r="BT283" s="137">
        <f t="shared" si="233"/>
        <v>146315.984</v>
      </c>
      <c r="BU283" s="137">
        <f t="shared" si="233"/>
        <v>146475.5389</v>
      </c>
      <c r="BV283" s="137">
        <f t="shared" si="233"/>
        <v>146635.8916</v>
      </c>
      <c r="BW283" s="137">
        <f t="shared" si="233"/>
        <v>146797.0461</v>
      </c>
      <c r="BX283" s="137">
        <f t="shared" si="233"/>
        <v>143557.8415</v>
      </c>
      <c r="BY283" s="137">
        <f t="shared" si="233"/>
        <v>143703.6057</v>
      </c>
      <c r="BZ283" s="137">
        <f t="shared" si="233"/>
        <v>143850.0987</v>
      </c>
      <c r="CA283" s="137">
        <f t="shared" si="233"/>
        <v>143997.3242</v>
      </c>
      <c r="CB283" s="137">
        <f t="shared" si="233"/>
        <v>144145.2858</v>
      </c>
      <c r="CC283" s="137">
        <f t="shared" si="233"/>
        <v>144293.9872</v>
      </c>
      <c r="CD283" s="137">
        <f t="shared" si="233"/>
        <v>144443.4322</v>
      </c>
      <c r="CE283" s="137">
        <f t="shared" si="233"/>
        <v>144593.6243</v>
      </c>
      <c r="CF283" s="137">
        <f t="shared" si="233"/>
        <v>144744.5675</v>
      </c>
      <c r="CG283" s="137">
        <f t="shared" si="233"/>
        <v>144896.2653</v>
      </c>
      <c r="CH283" s="137">
        <f t="shared" si="233"/>
        <v>145048.7216</v>
      </c>
    </row>
    <row r="284" ht="15.75" customHeight="1">
      <c r="A284" s="91" t="s">
        <v>750</v>
      </c>
      <c r="C284" s="1"/>
      <c r="D284" s="1"/>
      <c r="E284" s="1"/>
      <c r="F284" s="1"/>
      <c r="G284" s="1"/>
      <c r="H284" s="1"/>
      <c r="I284" s="1"/>
      <c r="J284" s="1"/>
      <c r="K284" s="1"/>
      <c r="L284" s="1"/>
      <c r="M284" s="1"/>
      <c r="N284" s="1"/>
      <c r="O284" s="137">
        <f t="shared" ref="O284:CH284" si="234">O283*12</f>
        <v>1695941.31</v>
      </c>
      <c r="P284" s="137">
        <f t="shared" si="234"/>
        <v>2095086.27</v>
      </c>
      <c r="Q284" s="137">
        <f t="shared" si="234"/>
        <v>2286454.86</v>
      </c>
      <c r="R284" s="137">
        <f t="shared" si="234"/>
        <v>2107148.715</v>
      </c>
      <c r="S284" s="137">
        <f t="shared" si="234"/>
        <v>1270808.52</v>
      </c>
      <c r="T284" s="137">
        <f t="shared" si="234"/>
        <v>2158776.975</v>
      </c>
      <c r="U284" s="137">
        <f t="shared" si="234"/>
        <v>2032378.875</v>
      </c>
      <c r="V284" s="137">
        <f t="shared" si="234"/>
        <v>1899420.78</v>
      </c>
      <c r="W284" s="137">
        <f t="shared" si="234"/>
        <v>2787140.61</v>
      </c>
      <c r="X284" s="137">
        <f t="shared" si="234"/>
        <v>1912479.855</v>
      </c>
      <c r="Y284" s="137">
        <f t="shared" si="234"/>
        <v>2598814.59</v>
      </c>
      <c r="Z284" s="137">
        <f t="shared" si="234"/>
        <v>1419750.563</v>
      </c>
      <c r="AA284" s="137">
        <f t="shared" si="234"/>
        <v>1512956.489</v>
      </c>
      <c r="AB284" s="137">
        <f t="shared" si="234"/>
        <v>1659947.137</v>
      </c>
      <c r="AC284" s="137">
        <f t="shared" si="234"/>
        <v>1755272.137</v>
      </c>
      <c r="AD284" s="137">
        <f t="shared" si="234"/>
        <v>1850597.137</v>
      </c>
      <c r="AE284" s="137">
        <f t="shared" si="234"/>
        <v>1850597.137</v>
      </c>
      <c r="AF284" s="137">
        <f t="shared" si="234"/>
        <v>1860359.773</v>
      </c>
      <c r="AG284" s="137">
        <f t="shared" si="234"/>
        <v>1860359.773</v>
      </c>
      <c r="AH284" s="137">
        <f t="shared" si="234"/>
        <v>1860359.773</v>
      </c>
      <c r="AI284" s="137">
        <f t="shared" si="234"/>
        <v>1860359.773</v>
      </c>
      <c r="AJ284" s="137">
        <f t="shared" si="234"/>
        <v>1837539.82</v>
      </c>
      <c r="AK284" s="137">
        <f t="shared" si="234"/>
        <v>1837539.82</v>
      </c>
      <c r="AL284" s="137">
        <f t="shared" si="234"/>
        <v>1837539.82</v>
      </c>
      <c r="AM284" s="137">
        <f t="shared" si="234"/>
        <v>1843834.047</v>
      </c>
      <c r="AN284" s="137">
        <f t="shared" si="234"/>
        <v>1706767.746</v>
      </c>
      <c r="AO284" s="137">
        <f t="shared" si="234"/>
        <v>1691449.189</v>
      </c>
      <c r="AP284" s="137">
        <f t="shared" si="234"/>
        <v>1693042.135</v>
      </c>
      <c r="AQ284" s="137">
        <f t="shared" si="234"/>
        <v>1694643.046</v>
      </c>
      <c r="AR284" s="137">
        <f t="shared" si="234"/>
        <v>1698595.464</v>
      </c>
      <c r="AS284" s="137">
        <f t="shared" si="234"/>
        <v>1700224.141</v>
      </c>
      <c r="AT284" s="137">
        <f t="shared" si="234"/>
        <v>1701860.962</v>
      </c>
      <c r="AU284" s="137">
        <f t="shared" si="234"/>
        <v>1703505.966</v>
      </c>
      <c r="AV284" s="137">
        <f t="shared" si="234"/>
        <v>1705159.196</v>
      </c>
      <c r="AW284" s="137">
        <f t="shared" si="234"/>
        <v>1706820.692</v>
      </c>
      <c r="AX284" s="137">
        <f t="shared" si="234"/>
        <v>1708490.496</v>
      </c>
      <c r="AY284" s="137">
        <f t="shared" si="234"/>
        <v>1712614.16</v>
      </c>
      <c r="AZ284" s="137">
        <f t="shared" si="234"/>
        <v>1716011.702</v>
      </c>
      <c r="BA284" s="137">
        <f t="shared" si="234"/>
        <v>1717727.46</v>
      </c>
      <c r="BB284" s="137">
        <f t="shared" si="234"/>
        <v>1719451.798</v>
      </c>
      <c r="BC284" s="137">
        <f t="shared" si="234"/>
        <v>1721184.757</v>
      </c>
      <c r="BD284" s="137">
        <f t="shared" si="234"/>
        <v>1722926.38</v>
      </c>
      <c r="BE284" s="137">
        <f t="shared" si="234"/>
        <v>1724676.712</v>
      </c>
      <c r="BF284" s="137">
        <f t="shared" si="234"/>
        <v>1726435.796</v>
      </c>
      <c r="BG284" s="137">
        <f t="shared" si="234"/>
        <v>1728203.675</v>
      </c>
      <c r="BH284" s="137">
        <f t="shared" si="234"/>
        <v>1729980.393</v>
      </c>
      <c r="BI284" s="137">
        <f t="shared" si="234"/>
        <v>1731765.995</v>
      </c>
      <c r="BJ284" s="137">
        <f t="shared" si="234"/>
        <v>1733560.525</v>
      </c>
      <c r="BK284" s="137">
        <f t="shared" si="234"/>
        <v>1747527.293</v>
      </c>
      <c r="BL284" s="137">
        <f t="shared" si="234"/>
        <v>1740813.508</v>
      </c>
      <c r="BM284" s="137">
        <f t="shared" si="234"/>
        <v>1742653.276</v>
      </c>
      <c r="BN284" s="137">
        <f t="shared" si="234"/>
        <v>1744502.242</v>
      </c>
      <c r="BO284" s="137">
        <f t="shared" si="234"/>
        <v>1746360.454</v>
      </c>
      <c r="BP284" s="137">
        <f t="shared" si="234"/>
        <v>1748227.956</v>
      </c>
      <c r="BQ284" s="137">
        <f t="shared" si="234"/>
        <v>1750104.796</v>
      </c>
      <c r="BR284" s="137">
        <f t="shared" si="234"/>
        <v>1751991.02</v>
      </c>
      <c r="BS284" s="137">
        <f t="shared" si="234"/>
        <v>1753886.675</v>
      </c>
      <c r="BT284" s="137">
        <f t="shared" si="234"/>
        <v>1755791.808</v>
      </c>
      <c r="BU284" s="137">
        <f t="shared" si="234"/>
        <v>1757706.467</v>
      </c>
      <c r="BV284" s="137">
        <f t="shared" si="234"/>
        <v>1759630.699</v>
      </c>
      <c r="BW284" s="137">
        <f t="shared" si="234"/>
        <v>1761564.553</v>
      </c>
      <c r="BX284" s="137">
        <f t="shared" si="234"/>
        <v>1722694.098</v>
      </c>
      <c r="BY284" s="137">
        <f t="shared" si="234"/>
        <v>1724443.268</v>
      </c>
      <c r="BZ284" s="137">
        <f t="shared" si="234"/>
        <v>1726201.184</v>
      </c>
      <c r="CA284" s="137">
        <f t="shared" si="234"/>
        <v>1727967.89</v>
      </c>
      <c r="CB284" s="137">
        <f t="shared" si="234"/>
        <v>1729743.43</v>
      </c>
      <c r="CC284" s="137">
        <f t="shared" si="234"/>
        <v>1731527.847</v>
      </c>
      <c r="CD284" s="137">
        <f t="shared" si="234"/>
        <v>1733321.186</v>
      </c>
      <c r="CE284" s="137">
        <f t="shared" si="234"/>
        <v>1735123.492</v>
      </c>
      <c r="CF284" s="137">
        <f t="shared" si="234"/>
        <v>1736934.81</v>
      </c>
      <c r="CG284" s="137">
        <f t="shared" si="234"/>
        <v>1738755.184</v>
      </c>
      <c r="CH284" s="137">
        <f t="shared" si="234"/>
        <v>1740584.66</v>
      </c>
    </row>
    <row r="285" ht="15.75" customHeight="1">
      <c r="A285" s="273" t="s">
        <v>751</v>
      </c>
      <c r="B285" s="124"/>
      <c r="C285" s="124"/>
      <c r="D285" s="124"/>
      <c r="E285" s="124"/>
      <c r="F285" s="124"/>
      <c r="G285" s="124"/>
      <c r="H285" s="124"/>
      <c r="I285" s="124"/>
      <c r="J285" s="124"/>
      <c r="K285" s="124"/>
      <c r="L285" s="124"/>
      <c r="M285" s="124"/>
      <c r="N285" s="124"/>
      <c r="O285" s="495">
        <f t="shared" ref="O285:CH285" si="235">O282/O284</f>
        <v>7.872608159</v>
      </c>
      <c r="P285" s="495">
        <f t="shared" si="235"/>
        <v>13.39352636</v>
      </c>
      <c r="Q285" s="495">
        <f t="shared" si="235"/>
        <v>6.442815235</v>
      </c>
      <c r="R285" s="495">
        <f t="shared" si="235"/>
        <v>3.203567517</v>
      </c>
      <c r="S285" s="495">
        <f t="shared" si="235"/>
        <v>14.43461478</v>
      </c>
      <c r="T285" s="495">
        <f t="shared" si="235"/>
        <v>4.835599203</v>
      </c>
      <c r="U285" s="495">
        <f t="shared" si="235"/>
        <v>7.681659461</v>
      </c>
      <c r="V285" s="495">
        <f t="shared" si="235"/>
        <v>3.199951079</v>
      </c>
      <c r="W285" s="495">
        <f t="shared" si="235"/>
        <v>6.179167802</v>
      </c>
      <c r="X285" s="495">
        <f t="shared" si="235"/>
        <v>4.310775949</v>
      </c>
      <c r="Y285" s="495">
        <f t="shared" si="235"/>
        <v>4.946621378</v>
      </c>
      <c r="Z285" s="495">
        <f t="shared" si="235"/>
        <v>0.6424503068</v>
      </c>
      <c r="AA285" s="495">
        <f t="shared" si="235"/>
        <v>0.7178468544</v>
      </c>
      <c r="AB285" s="495">
        <f t="shared" si="235"/>
        <v>0.7440685038</v>
      </c>
      <c r="AC285" s="495">
        <f t="shared" si="235"/>
        <v>0.7280866246</v>
      </c>
      <c r="AD285" s="495">
        <f t="shared" si="235"/>
        <v>0.7153083583</v>
      </c>
      <c r="AE285" s="495">
        <f t="shared" si="235"/>
        <v>0.7416592316</v>
      </c>
      <c r="AF285" s="495">
        <f t="shared" si="235"/>
        <v>0.7788762711</v>
      </c>
      <c r="AG285" s="495">
        <f t="shared" si="235"/>
        <v>0.8212934156</v>
      </c>
      <c r="AH285" s="495">
        <f t="shared" si="235"/>
        <v>0.8380012032</v>
      </c>
      <c r="AI285" s="495">
        <f t="shared" si="235"/>
        <v>0.8553816129</v>
      </c>
      <c r="AJ285" s="495">
        <f t="shared" si="235"/>
        <v>0.8495438687</v>
      </c>
      <c r="AK285" s="495">
        <f t="shared" si="235"/>
        <v>0.8797158379</v>
      </c>
      <c r="AL285" s="495">
        <f t="shared" si="235"/>
        <v>0.9001005361</v>
      </c>
      <c r="AM285" s="495">
        <f t="shared" si="235"/>
        <v>0.8453018935</v>
      </c>
      <c r="AN285" s="495">
        <f t="shared" si="235"/>
        <v>0.690286586</v>
      </c>
      <c r="AO285" s="495">
        <f t="shared" si="235"/>
        <v>0.6714262132</v>
      </c>
      <c r="AP285" s="495">
        <f t="shared" si="235"/>
        <v>0.673431148</v>
      </c>
      <c r="AQ285" s="495">
        <f t="shared" si="235"/>
        <v>0.6754409109</v>
      </c>
      <c r="AR285" s="495">
        <f t="shared" si="235"/>
        <v>0.6803507102</v>
      </c>
      <c r="AS285" s="495">
        <f t="shared" si="235"/>
        <v>0.6823784567</v>
      </c>
      <c r="AT285" s="495">
        <f t="shared" si="235"/>
        <v>0.6844114286</v>
      </c>
      <c r="AU285" s="495">
        <f t="shared" si="235"/>
        <v>0.6864497091</v>
      </c>
      <c r="AV285" s="495">
        <f t="shared" si="235"/>
        <v>0.688493373</v>
      </c>
      <c r="AW285" s="495">
        <f t="shared" si="235"/>
        <v>0.6905424879</v>
      </c>
      <c r="AX285" s="495">
        <f t="shared" si="235"/>
        <v>0.6925971146</v>
      </c>
      <c r="AY285" s="495">
        <f t="shared" si="235"/>
        <v>0.8454420846</v>
      </c>
      <c r="AZ285" s="495">
        <f t="shared" si="235"/>
        <v>0.8504355969</v>
      </c>
      <c r="BA285" s="495">
        <f t="shared" si="235"/>
        <v>0.8529524024</v>
      </c>
      <c r="BB285" s="495">
        <f t="shared" si="235"/>
        <v>0.8554766203</v>
      </c>
      <c r="BC285" s="495">
        <f t="shared" si="235"/>
        <v>0.8580082631</v>
      </c>
      <c r="BD285" s="495">
        <f t="shared" si="235"/>
        <v>0.8605473421</v>
      </c>
      <c r="BE285" s="495">
        <f t="shared" si="235"/>
        <v>0.8630938673</v>
      </c>
      <c r="BF285" s="495">
        <f t="shared" si="235"/>
        <v>0.8656478477</v>
      </c>
      <c r="BG285" s="495">
        <f t="shared" si="235"/>
        <v>0.8682092913</v>
      </c>
      <c r="BH285" s="495">
        <f t="shared" si="235"/>
        <v>0.8707782054</v>
      </c>
      <c r="BI285" s="495">
        <f t="shared" si="235"/>
        <v>0.8733545966</v>
      </c>
      <c r="BJ285" s="495">
        <f t="shared" si="235"/>
        <v>0.8759384705</v>
      </c>
      <c r="BK285" s="495">
        <f t="shared" si="235"/>
        <v>0.9422515872</v>
      </c>
      <c r="BL285" s="495">
        <f t="shared" si="235"/>
        <v>0.9322366863</v>
      </c>
      <c r="BM285" s="495">
        <f t="shared" si="235"/>
        <v>0.9349880757</v>
      </c>
      <c r="BN285" s="495">
        <f t="shared" si="235"/>
        <v>0.9377450015</v>
      </c>
      <c r="BO285" s="495">
        <f t="shared" si="235"/>
        <v>0.9405103574</v>
      </c>
      <c r="BP285" s="495">
        <f t="shared" si="235"/>
        <v>0.9432841148</v>
      </c>
      <c r="BQ285" s="495">
        <f t="shared" si="235"/>
        <v>0.9460662471</v>
      </c>
      <c r="BR285" s="495">
        <f t="shared" si="235"/>
        <v>0.9488567298</v>
      </c>
      <c r="BS285" s="495">
        <f t="shared" si="235"/>
        <v>0.95165554</v>
      </c>
      <c r="BT285" s="495">
        <f t="shared" si="235"/>
        <v>0.9544626563</v>
      </c>
      <c r="BU285" s="495">
        <f t="shared" si="235"/>
        <v>0.957278059</v>
      </c>
      <c r="BV285" s="495">
        <f t="shared" si="235"/>
        <v>0.9601017291</v>
      </c>
      <c r="BW285" s="495">
        <f t="shared" si="235"/>
        <v>0.9885433049</v>
      </c>
      <c r="BX285" s="495">
        <f t="shared" si="235"/>
        <v>0.9288700962</v>
      </c>
      <c r="BY285" s="495">
        <f t="shared" si="235"/>
        <v>0.9316191135</v>
      </c>
      <c r="BZ285" s="495">
        <f t="shared" si="235"/>
        <v>0.9343734387</v>
      </c>
      <c r="CA285" s="495">
        <f t="shared" si="235"/>
        <v>0.9371357498</v>
      </c>
      <c r="CB285" s="495">
        <f t="shared" si="235"/>
        <v>0.9399060605</v>
      </c>
      <c r="CC285" s="495">
        <f t="shared" si="235"/>
        <v>0.9426843839</v>
      </c>
      <c r="CD285" s="495">
        <f t="shared" si="235"/>
        <v>0.9454707319</v>
      </c>
      <c r="CE285" s="495">
        <f t="shared" si="235"/>
        <v>0.9482651156</v>
      </c>
      <c r="CF285" s="495">
        <f t="shared" si="235"/>
        <v>0.9510675453</v>
      </c>
      <c r="CG285" s="495">
        <f t="shared" si="235"/>
        <v>0.9538780305</v>
      </c>
      <c r="CH285" s="495">
        <f t="shared" si="235"/>
        <v>0.95669658</v>
      </c>
    </row>
    <row r="286" ht="15.75" customHeight="1">
      <c r="A286" s="91"/>
      <c r="B286" s="305"/>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row>
    <row r="287" ht="15.75" customHeight="1">
      <c r="A287" s="1" t="s">
        <v>752</v>
      </c>
      <c r="B287" s="305">
        <v>90000.0</v>
      </c>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row>
    <row r="288" ht="15.75" customHeight="1">
      <c r="A288" s="1" t="s">
        <v>753</v>
      </c>
      <c r="B288" s="266">
        <v>0.0305</v>
      </c>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row>
    <row r="289" ht="15.75" customHeight="1">
      <c r="A289" s="91"/>
      <c r="B289" s="305"/>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row>
    <row r="290" ht="15.75" customHeight="1">
      <c r="A290" s="91"/>
      <c r="B290" s="305"/>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row>
    <row r="291" ht="15.75" customHeight="1">
      <c r="A291" s="91" t="s">
        <v>754</v>
      </c>
      <c r="B291" s="305"/>
      <c r="C291" s="1"/>
      <c r="D291" s="1"/>
      <c r="E291" s="1"/>
      <c r="F291" s="1"/>
      <c r="G291" s="1"/>
      <c r="H291" s="1"/>
      <c r="I291" s="1"/>
      <c r="J291" s="1"/>
      <c r="K291" s="1"/>
      <c r="L291" s="1"/>
      <c r="M291" s="1"/>
      <c r="N291" s="1"/>
      <c r="O291" s="5">
        <v>2.0</v>
      </c>
      <c r="P291" s="5">
        <v>2.0</v>
      </c>
      <c r="Q291" s="5">
        <v>2.0</v>
      </c>
      <c r="R291" s="5">
        <v>2.0</v>
      </c>
      <c r="S291" s="5">
        <v>2.0</v>
      </c>
      <c r="T291" s="5">
        <v>2.0</v>
      </c>
      <c r="U291" s="5">
        <v>2.0</v>
      </c>
      <c r="V291" s="5">
        <f t="shared" ref="V291:CH291" si="236">U291+U292</f>
        <v>3</v>
      </c>
      <c r="W291" s="5">
        <f t="shared" si="236"/>
        <v>4</v>
      </c>
      <c r="X291" s="5">
        <f t="shared" si="236"/>
        <v>5</v>
      </c>
      <c r="Y291" s="5">
        <f t="shared" si="236"/>
        <v>6</v>
      </c>
      <c r="Z291" s="1">
        <f t="shared" si="236"/>
        <v>7</v>
      </c>
      <c r="AA291" s="1">
        <f t="shared" si="236"/>
        <v>7</v>
      </c>
      <c r="AB291" s="1">
        <f t="shared" si="236"/>
        <v>7</v>
      </c>
      <c r="AC291" s="1">
        <f t="shared" si="236"/>
        <v>7</v>
      </c>
      <c r="AD291" s="1">
        <f t="shared" si="236"/>
        <v>7</v>
      </c>
      <c r="AE291" s="1">
        <f t="shared" si="236"/>
        <v>7</v>
      </c>
      <c r="AF291" s="1">
        <f t="shared" si="236"/>
        <v>7</v>
      </c>
      <c r="AG291" s="1">
        <f t="shared" si="236"/>
        <v>7</v>
      </c>
      <c r="AH291" s="1">
        <f t="shared" si="236"/>
        <v>7</v>
      </c>
      <c r="AI291" s="1">
        <f t="shared" si="236"/>
        <v>7</v>
      </c>
      <c r="AJ291" s="1">
        <f t="shared" si="236"/>
        <v>7</v>
      </c>
      <c r="AK291" s="1">
        <f t="shared" si="236"/>
        <v>7</v>
      </c>
      <c r="AL291" s="1">
        <f t="shared" si="236"/>
        <v>7</v>
      </c>
      <c r="AM291" s="1">
        <f t="shared" si="236"/>
        <v>7</v>
      </c>
      <c r="AN291" s="1">
        <f t="shared" si="236"/>
        <v>7</v>
      </c>
      <c r="AO291" s="1">
        <f t="shared" si="236"/>
        <v>7</v>
      </c>
      <c r="AP291" s="1">
        <f t="shared" si="236"/>
        <v>7</v>
      </c>
      <c r="AQ291" s="1">
        <f t="shared" si="236"/>
        <v>7</v>
      </c>
      <c r="AR291" s="1">
        <f t="shared" si="236"/>
        <v>7</v>
      </c>
      <c r="AS291" s="1">
        <f t="shared" si="236"/>
        <v>7</v>
      </c>
      <c r="AT291" s="1">
        <f t="shared" si="236"/>
        <v>7</v>
      </c>
      <c r="AU291" s="1">
        <f t="shared" si="236"/>
        <v>7</v>
      </c>
      <c r="AV291" s="1">
        <f t="shared" si="236"/>
        <v>7</v>
      </c>
      <c r="AW291" s="1">
        <f t="shared" si="236"/>
        <v>7</v>
      </c>
      <c r="AX291" s="1">
        <f t="shared" si="236"/>
        <v>7</v>
      </c>
      <c r="AY291" s="1">
        <f t="shared" si="236"/>
        <v>7</v>
      </c>
      <c r="AZ291" s="1">
        <f t="shared" si="236"/>
        <v>7</v>
      </c>
      <c r="BA291" s="1">
        <f t="shared" si="236"/>
        <v>7</v>
      </c>
      <c r="BB291" s="1">
        <f t="shared" si="236"/>
        <v>7</v>
      </c>
      <c r="BC291" s="1">
        <f t="shared" si="236"/>
        <v>7</v>
      </c>
      <c r="BD291" s="1">
        <f t="shared" si="236"/>
        <v>7</v>
      </c>
      <c r="BE291" s="1">
        <f t="shared" si="236"/>
        <v>7</v>
      </c>
      <c r="BF291" s="1">
        <f t="shared" si="236"/>
        <v>7</v>
      </c>
      <c r="BG291" s="1">
        <f t="shared" si="236"/>
        <v>7</v>
      </c>
      <c r="BH291" s="1">
        <f t="shared" si="236"/>
        <v>7</v>
      </c>
      <c r="BI291" s="1">
        <f t="shared" si="236"/>
        <v>7</v>
      </c>
      <c r="BJ291" s="1">
        <f t="shared" si="236"/>
        <v>7</v>
      </c>
      <c r="BK291" s="1">
        <f t="shared" si="236"/>
        <v>7</v>
      </c>
      <c r="BL291" s="1">
        <f t="shared" si="236"/>
        <v>7</v>
      </c>
      <c r="BM291" s="1">
        <f t="shared" si="236"/>
        <v>7</v>
      </c>
      <c r="BN291" s="1">
        <f t="shared" si="236"/>
        <v>7</v>
      </c>
      <c r="BO291" s="1">
        <f t="shared" si="236"/>
        <v>7</v>
      </c>
      <c r="BP291" s="1">
        <f t="shared" si="236"/>
        <v>7</v>
      </c>
      <c r="BQ291" s="1">
        <f t="shared" si="236"/>
        <v>7</v>
      </c>
      <c r="BR291" s="1">
        <f t="shared" si="236"/>
        <v>7</v>
      </c>
      <c r="BS291" s="1">
        <f t="shared" si="236"/>
        <v>7</v>
      </c>
      <c r="BT291" s="1">
        <f t="shared" si="236"/>
        <v>7</v>
      </c>
      <c r="BU291" s="1">
        <f t="shared" si="236"/>
        <v>7</v>
      </c>
      <c r="BV291" s="1">
        <f t="shared" si="236"/>
        <v>7</v>
      </c>
      <c r="BW291" s="1">
        <f t="shared" si="236"/>
        <v>7</v>
      </c>
      <c r="BX291" s="1">
        <f t="shared" si="236"/>
        <v>7</v>
      </c>
      <c r="BY291" s="1">
        <f t="shared" si="236"/>
        <v>7</v>
      </c>
      <c r="BZ291" s="1">
        <f t="shared" si="236"/>
        <v>7</v>
      </c>
      <c r="CA291" s="1">
        <f t="shared" si="236"/>
        <v>7</v>
      </c>
      <c r="CB291" s="1">
        <f t="shared" si="236"/>
        <v>7</v>
      </c>
      <c r="CC291" s="1">
        <f t="shared" si="236"/>
        <v>7</v>
      </c>
      <c r="CD291" s="1">
        <f t="shared" si="236"/>
        <v>7</v>
      </c>
      <c r="CE291" s="1">
        <f t="shared" si="236"/>
        <v>7</v>
      </c>
      <c r="CF291" s="1">
        <f t="shared" si="236"/>
        <v>7</v>
      </c>
      <c r="CG291" s="1">
        <f t="shared" si="236"/>
        <v>7</v>
      </c>
      <c r="CH291" s="1">
        <f t="shared" si="236"/>
        <v>7</v>
      </c>
    </row>
    <row r="292" ht="15.75" customHeight="1">
      <c r="A292" s="91" t="s">
        <v>755</v>
      </c>
      <c r="B292" s="492">
        <v>2.0</v>
      </c>
      <c r="C292" s="1"/>
      <c r="D292" s="1"/>
      <c r="E292" s="1"/>
      <c r="F292" s="1"/>
      <c r="G292" s="1"/>
      <c r="H292" s="1"/>
      <c r="I292" s="1"/>
      <c r="J292" s="1"/>
      <c r="K292" s="1"/>
      <c r="L292" s="1"/>
      <c r="M292" s="1"/>
      <c r="N292" s="1"/>
      <c r="O292" s="1">
        <v>0.0</v>
      </c>
      <c r="P292" s="1">
        <f t="shared" ref="P292:AL292" si="237">IF(P301&gt;$B$292,1,0)</f>
        <v>1</v>
      </c>
      <c r="Q292" s="1">
        <f t="shared" si="237"/>
        <v>1</v>
      </c>
      <c r="R292" s="1">
        <f t="shared" si="237"/>
        <v>1</v>
      </c>
      <c r="S292" s="1">
        <f t="shared" si="237"/>
        <v>1</v>
      </c>
      <c r="T292" s="1">
        <f t="shared" si="237"/>
        <v>1</v>
      </c>
      <c r="U292" s="1">
        <f t="shared" si="237"/>
        <v>1</v>
      </c>
      <c r="V292" s="1">
        <f t="shared" si="237"/>
        <v>1</v>
      </c>
      <c r="W292" s="1">
        <f t="shared" si="237"/>
        <v>1</v>
      </c>
      <c r="X292" s="1">
        <f t="shared" si="237"/>
        <v>1</v>
      </c>
      <c r="Y292" s="1">
        <f t="shared" si="237"/>
        <v>1</v>
      </c>
      <c r="Z292" s="1">
        <f t="shared" si="237"/>
        <v>0</v>
      </c>
      <c r="AA292" s="1">
        <f t="shared" si="237"/>
        <v>0</v>
      </c>
      <c r="AB292" s="1">
        <f t="shared" si="237"/>
        <v>0</v>
      </c>
      <c r="AC292" s="1">
        <f t="shared" si="237"/>
        <v>0</v>
      </c>
      <c r="AD292" s="1">
        <f t="shared" si="237"/>
        <v>0</v>
      </c>
      <c r="AE292" s="1">
        <f t="shared" si="237"/>
        <v>0</v>
      </c>
      <c r="AF292" s="1">
        <f t="shared" si="237"/>
        <v>0</v>
      </c>
      <c r="AG292" s="1">
        <f t="shared" si="237"/>
        <v>0</v>
      </c>
      <c r="AH292" s="1">
        <f t="shared" si="237"/>
        <v>0</v>
      </c>
      <c r="AI292" s="1">
        <f t="shared" si="237"/>
        <v>0</v>
      </c>
      <c r="AJ292" s="1">
        <f t="shared" si="237"/>
        <v>0</v>
      </c>
      <c r="AK292" s="1">
        <f t="shared" si="237"/>
        <v>0</v>
      </c>
      <c r="AL292" s="1">
        <f t="shared" si="237"/>
        <v>0</v>
      </c>
      <c r="AM292" s="1">
        <f t="shared" ref="AM292:CH292" si="238">IF(AM301&gt;$B$293,1,0)</f>
        <v>0</v>
      </c>
      <c r="AN292" s="1">
        <f t="shared" si="238"/>
        <v>0</v>
      </c>
      <c r="AO292" s="1">
        <f t="shared" si="238"/>
        <v>0</v>
      </c>
      <c r="AP292" s="1">
        <f t="shared" si="238"/>
        <v>0</v>
      </c>
      <c r="AQ292" s="1">
        <f t="shared" si="238"/>
        <v>0</v>
      </c>
      <c r="AR292" s="1">
        <f t="shared" si="238"/>
        <v>0</v>
      </c>
      <c r="AS292" s="1">
        <f t="shared" si="238"/>
        <v>0</v>
      </c>
      <c r="AT292" s="1">
        <f t="shared" si="238"/>
        <v>0</v>
      </c>
      <c r="AU292" s="1">
        <f t="shared" si="238"/>
        <v>0</v>
      </c>
      <c r="AV292" s="1">
        <f t="shared" si="238"/>
        <v>0</v>
      </c>
      <c r="AW292" s="1">
        <f t="shared" si="238"/>
        <v>0</v>
      </c>
      <c r="AX292" s="1">
        <f t="shared" si="238"/>
        <v>0</v>
      </c>
      <c r="AY292" s="1">
        <f t="shared" si="238"/>
        <v>0</v>
      </c>
      <c r="AZ292" s="1">
        <f t="shared" si="238"/>
        <v>0</v>
      </c>
      <c r="BA292" s="1">
        <f t="shared" si="238"/>
        <v>0</v>
      </c>
      <c r="BB292" s="1">
        <f t="shared" si="238"/>
        <v>0</v>
      </c>
      <c r="BC292" s="1">
        <f t="shared" si="238"/>
        <v>0</v>
      </c>
      <c r="BD292" s="1">
        <f t="shared" si="238"/>
        <v>0</v>
      </c>
      <c r="BE292" s="1">
        <f t="shared" si="238"/>
        <v>0</v>
      </c>
      <c r="BF292" s="1">
        <f t="shared" si="238"/>
        <v>0</v>
      </c>
      <c r="BG292" s="1">
        <f t="shared" si="238"/>
        <v>0</v>
      </c>
      <c r="BH292" s="1">
        <f t="shared" si="238"/>
        <v>0</v>
      </c>
      <c r="BI292" s="1">
        <f t="shared" si="238"/>
        <v>0</v>
      </c>
      <c r="BJ292" s="1">
        <f t="shared" si="238"/>
        <v>0</v>
      </c>
      <c r="BK292" s="1">
        <f t="shared" si="238"/>
        <v>0</v>
      </c>
      <c r="BL292" s="1">
        <f t="shared" si="238"/>
        <v>0</v>
      </c>
      <c r="BM292" s="1">
        <f t="shared" si="238"/>
        <v>0</v>
      </c>
      <c r="BN292" s="1">
        <f t="shared" si="238"/>
        <v>0</v>
      </c>
      <c r="BO292" s="1">
        <f t="shared" si="238"/>
        <v>0</v>
      </c>
      <c r="BP292" s="1">
        <f t="shared" si="238"/>
        <v>0</v>
      </c>
      <c r="BQ292" s="1">
        <f t="shared" si="238"/>
        <v>0</v>
      </c>
      <c r="BR292" s="1">
        <f t="shared" si="238"/>
        <v>0</v>
      </c>
      <c r="BS292" s="1">
        <f t="shared" si="238"/>
        <v>0</v>
      </c>
      <c r="BT292" s="1">
        <f t="shared" si="238"/>
        <v>0</v>
      </c>
      <c r="BU292" s="1">
        <f t="shared" si="238"/>
        <v>0</v>
      </c>
      <c r="BV292" s="1">
        <f t="shared" si="238"/>
        <v>0</v>
      </c>
      <c r="BW292" s="1">
        <f t="shared" si="238"/>
        <v>0</v>
      </c>
      <c r="BX292" s="1">
        <f t="shared" si="238"/>
        <v>0</v>
      </c>
      <c r="BY292" s="1">
        <f t="shared" si="238"/>
        <v>0</v>
      </c>
      <c r="BZ292" s="1">
        <f t="shared" si="238"/>
        <v>0</v>
      </c>
      <c r="CA292" s="1">
        <f t="shared" si="238"/>
        <v>0</v>
      </c>
      <c r="CB292" s="1">
        <f t="shared" si="238"/>
        <v>0</v>
      </c>
      <c r="CC292" s="1">
        <f t="shared" si="238"/>
        <v>0</v>
      </c>
      <c r="CD292" s="1">
        <f t="shared" si="238"/>
        <v>0</v>
      </c>
      <c r="CE292" s="1">
        <f t="shared" si="238"/>
        <v>0</v>
      </c>
      <c r="CF292" s="1">
        <f t="shared" si="238"/>
        <v>0</v>
      </c>
      <c r="CG292" s="1">
        <f t="shared" si="238"/>
        <v>0</v>
      </c>
      <c r="CH292" s="1">
        <f t="shared" si="238"/>
        <v>0</v>
      </c>
    </row>
    <row r="293" ht="15.75" customHeight="1">
      <c r="A293" s="91" t="s">
        <v>756</v>
      </c>
      <c r="B293" s="496">
        <v>2.0</v>
      </c>
      <c r="C293" s="1"/>
      <c r="D293" s="1"/>
      <c r="E293" s="1"/>
      <c r="F293" s="1"/>
      <c r="G293" s="1"/>
      <c r="H293" s="1"/>
      <c r="I293" s="1"/>
      <c r="J293" s="1"/>
      <c r="K293" s="1"/>
      <c r="L293" s="1"/>
      <c r="M293" s="1"/>
      <c r="N293" s="1"/>
      <c r="O293" s="137"/>
      <c r="P293" s="137"/>
      <c r="Q293" s="137"/>
      <c r="R293" s="137"/>
      <c r="S293" s="137"/>
      <c r="T293" s="137"/>
      <c r="U293" s="137"/>
      <c r="V293" s="137"/>
      <c r="W293" s="137"/>
      <c r="X293" s="137"/>
      <c r="Y293" s="137"/>
      <c r="Z293" s="137"/>
      <c r="AA293" s="137"/>
      <c r="AB293" s="137"/>
      <c r="AC293" s="137"/>
      <c r="AD293" s="137"/>
      <c r="AE293" s="137"/>
      <c r="AF293" s="137"/>
      <c r="AG293" s="137"/>
      <c r="AH293" s="137"/>
      <c r="AI293" s="137"/>
      <c r="AJ293" s="137"/>
      <c r="AK293" s="137"/>
      <c r="AL293" s="137"/>
      <c r="AM293" s="137"/>
      <c r="AN293" s="137"/>
      <c r="AO293" s="137"/>
      <c r="AP293" s="137"/>
      <c r="AQ293" s="137"/>
      <c r="AR293" s="137"/>
      <c r="AS293" s="137"/>
      <c r="AT293" s="137"/>
      <c r="AU293" s="137"/>
      <c r="AV293" s="137"/>
      <c r="AW293" s="137"/>
      <c r="AX293" s="137"/>
      <c r="AY293" s="137"/>
      <c r="AZ293" s="137"/>
      <c r="BA293" s="137"/>
      <c r="BB293" s="137"/>
      <c r="BC293" s="137"/>
      <c r="BD293" s="137"/>
      <c r="BE293" s="137"/>
      <c r="BF293" s="137"/>
      <c r="BG293" s="137"/>
      <c r="BH293" s="137"/>
      <c r="BI293" s="137"/>
      <c r="BJ293" s="137"/>
      <c r="BK293" s="137"/>
      <c r="BL293" s="137"/>
      <c r="BM293" s="137"/>
      <c r="BN293" s="137"/>
      <c r="BO293" s="137"/>
      <c r="BP293" s="137"/>
      <c r="BQ293" s="137"/>
      <c r="BR293" s="137"/>
      <c r="BS293" s="137"/>
      <c r="BT293" s="137"/>
      <c r="BU293" s="137"/>
      <c r="BV293" s="137"/>
      <c r="BW293" s="137"/>
      <c r="BX293" s="137"/>
      <c r="BY293" s="137"/>
      <c r="BZ293" s="137"/>
      <c r="CA293" s="137"/>
      <c r="CB293" s="137"/>
      <c r="CC293" s="137"/>
      <c r="CD293" s="137"/>
      <c r="CE293" s="137"/>
      <c r="CF293" s="137"/>
      <c r="CG293" s="137"/>
      <c r="CH293" s="137"/>
    </row>
    <row r="294" ht="15.75" customHeight="1">
      <c r="A294" s="91" t="s">
        <v>746</v>
      </c>
      <c r="B294" s="493">
        <v>0.5</v>
      </c>
      <c r="C294" s="1"/>
      <c r="D294" s="1"/>
      <c r="E294" s="1"/>
      <c r="F294" s="1"/>
      <c r="G294" s="1"/>
      <c r="H294" s="1"/>
      <c r="I294" s="1"/>
      <c r="J294" s="1"/>
      <c r="K294" s="1"/>
      <c r="L294" s="1"/>
      <c r="M294" s="1"/>
      <c r="N294" s="1"/>
      <c r="O294" s="137">
        <f t="shared" ref="O294:CH294" si="239">O264*$B$294</f>
        <v>3944785</v>
      </c>
      <c r="P294" s="137">
        <f t="shared" si="239"/>
        <v>5035345</v>
      </c>
      <c r="Q294" s="137">
        <f t="shared" si="239"/>
        <v>5558210</v>
      </c>
      <c r="R294" s="137">
        <f t="shared" si="239"/>
        <v>5068302.5</v>
      </c>
      <c r="S294" s="137">
        <f t="shared" si="239"/>
        <v>2783220</v>
      </c>
      <c r="T294" s="137">
        <f t="shared" si="239"/>
        <v>4948912.5</v>
      </c>
      <c r="U294" s="137">
        <f t="shared" si="239"/>
        <v>4603562.5</v>
      </c>
      <c r="V294" s="137">
        <f t="shared" si="239"/>
        <v>3937830</v>
      </c>
      <c r="W294" s="137">
        <f t="shared" si="239"/>
        <v>6060835</v>
      </c>
      <c r="X294" s="137">
        <f t="shared" si="239"/>
        <v>3368592.5</v>
      </c>
      <c r="Y294" s="137">
        <f t="shared" si="239"/>
        <v>4941365</v>
      </c>
      <c r="Z294" s="137">
        <f t="shared" si="239"/>
        <v>1156968.75</v>
      </c>
      <c r="AA294" s="137">
        <f t="shared" si="239"/>
        <v>1411629.75</v>
      </c>
      <c r="AB294" s="137">
        <f t="shared" si="239"/>
        <v>1552792.725</v>
      </c>
      <c r="AC294" s="137">
        <f t="shared" si="239"/>
        <v>1552792.725</v>
      </c>
      <c r="AD294" s="137">
        <f t="shared" si="239"/>
        <v>1552792.725</v>
      </c>
      <c r="AE294" s="137">
        <f t="shared" si="239"/>
        <v>1552792.725</v>
      </c>
      <c r="AF294" s="137">
        <f t="shared" si="239"/>
        <v>1579466.592</v>
      </c>
      <c r="AG294" s="137">
        <f t="shared" si="239"/>
        <v>1579466.592</v>
      </c>
      <c r="AH294" s="137">
        <f t="shared" si="239"/>
        <v>1579466.592</v>
      </c>
      <c r="AI294" s="137">
        <f t="shared" si="239"/>
        <v>1579466.592</v>
      </c>
      <c r="AJ294" s="137">
        <f t="shared" si="239"/>
        <v>1517116.996</v>
      </c>
      <c r="AK294" s="137">
        <f t="shared" si="239"/>
        <v>1517116.996</v>
      </c>
      <c r="AL294" s="137">
        <f t="shared" si="239"/>
        <v>1517116.996</v>
      </c>
      <c r="AM294" s="137">
        <f t="shared" si="239"/>
        <v>1534314.336</v>
      </c>
      <c r="AN294" s="137">
        <f t="shared" si="239"/>
        <v>1159816.247</v>
      </c>
      <c r="AO294" s="137">
        <f t="shared" si="239"/>
        <v>1117962.265</v>
      </c>
      <c r="AP294" s="137">
        <f t="shared" si="239"/>
        <v>1122314.577</v>
      </c>
      <c r="AQ294" s="137">
        <f t="shared" si="239"/>
        <v>1126688.65</v>
      </c>
      <c r="AR294" s="137">
        <f t="shared" si="239"/>
        <v>1137487.605</v>
      </c>
      <c r="AS294" s="137">
        <f t="shared" si="239"/>
        <v>1141937.543</v>
      </c>
      <c r="AT294" s="137">
        <f t="shared" si="239"/>
        <v>1146409.731</v>
      </c>
      <c r="AU294" s="137">
        <f t="shared" si="239"/>
        <v>1150904.28</v>
      </c>
      <c r="AV294" s="137">
        <f t="shared" si="239"/>
        <v>1155421.301</v>
      </c>
      <c r="AW294" s="137">
        <f t="shared" si="239"/>
        <v>1159960.908</v>
      </c>
      <c r="AX294" s="137">
        <f t="shared" si="239"/>
        <v>1164523.212</v>
      </c>
      <c r="AY294" s="137">
        <f t="shared" si="239"/>
        <v>1175790.055</v>
      </c>
      <c r="AZ294" s="137">
        <f t="shared" si="239"/>
        <v>1185072.956</v>
      </c>
      <c r="BA294" s="137">
        <f t="shared" si="239"/>
        <v>1189760.821</v>
      </c>
      <c r="BB294" s="137">
        <f t="shared" si="239"/>
        <v>1194472.125</v>
      </c>
      <c r="BC294" s="137">
        <f t="shared" si="239"/>
        <v>1199206.986</v>
      </c>
      <c r="BD294" s="137">
        <f t="shared" si="239"/>
        <v>1203965.52</v>
      </c>
      <c r="BE294" s="137">
        <f t="shared" si="239"/>
        <v>1208747.848</v>
      </c>
      <c r="BF294" s="137">
        <f t="shared" si="239"/>
        <v>1213554.087</v>
      </c>
      <c r="BG294" s="137">
        <f t="shared" si="239"/>
        <v>1218384.358</v>
      </c>
      <c r="BH294" s="137">
        <f t="shared" si="239"/>
        <v>1223238.78</v>
      </c>
      <c r="BI294" s="137">
        <f t="shared" si="239"/>
        <v>1228117.473</v>
      </c>
      <c r="BJ294" s="137">
        <f t="shared" si="239"/>
        <v>1233020.561</v>
      </c>
      <c r="BK294" s="137">
        <f t="shared" si="239"/>
        <v>1271181.128</v>
      </c>
      <c r="BL294" s="137">
        <f t="shared" si="239"/>
        <v>1252837.455</v>
      </c>
      <c r="BM294" s="137">
        <f t="shared" si="239"/>
        <v>1257864.142</v>
      </c>
      <c r="BN294" s="137">
        <f t="shared" si="239"/>
        <v>1262915.963</v>
      </c>
      <c r="BO294" s="137">
        <f t="shared" si="239"/>
        <v>1267993.043</v>
      </c>
      <c r="BP294" s="137">
        <f t="shared" si="239"/>
        <v>1273095.508</v>
      </c>
      <c r="BQ294" s="137">
        <f t="shared" si="239"/>
        <v>1278223.485</v>
      </c>
      <c r="BR294" s="137">
        <f t="shared" si="239"/>
        <v>1283377.103</v>
      </c>
      <c r="BS294" s="137">
        <f t="shared" si="239"/>
        <v>1288556.488</v>
      </c>
      <c r="BT294" s="137">
        <f t="shared" si="239"/>
        <v>1293761.771</v>
      </c>
      <c r="BU294" s="137">
        <f t="shared" si="239"/>
        <v>1298993.08</v>
      </c>
      <c r="BV294" s="137">
        <f t="shared" si="239"/>
        <v>1304250.545</v>
      </c>
      <c r="BW294" s="137">
        <f t="shared" si="239"/>
        <v>1309534.298</v>
      </c>
      <c r="BX294" s="137">
        <f t="shared" si="239"/>
        <v>1203330.868</v>
      </c>
      <c r="BY294" s="137">
        <f t="shared" si="239"/>
        <v>1208110.022</v>
      </c>
      <c r="BZ294" s="137">
        <f t="shared" si="239"/>
        <v>1212913.072</v>
      </c>
      <c r="CA294" s="137">
        <f t="shared" si="239"/>
        <v>1217740.138</v>
      </c>
      <c r="CB294" s="137">
        <f t="shared" si="239"/>
        <v>1222591.338</v>
      </c>
      <c r="CC294" s="137">
        <f t="shared" si="239"/>
        <v>1227466.795</v>
      </c>
      <c r="CD294" s="137">
        <f t="shared" si="239"/>
        <v>1232366.629</v>
      </c>
      <c r="CE294" s="137">
        <f t="shared" si="239"/>
        <v>1237290.962</v>
      </c>
      <c r="CF294" s="137">
        <f t="shared" si="239"/>
        <v>1242239.917</v>
      </c>
      <c r="CG294" s="137">
        <f t="shared" si="239"/>
        <v>1247213.617</v>
      </c>
      <c r="CH294" s="137">
        <f t="shared" si="239"/>
        <v>1252212.185</v>
      </c>
    </row>
    <row r="295" ht="15.75" customHeight="1">
      <c r="A295" s="91" t="s">
        <v>101</v>
      </c>
      <c r="B295" s="305"/>
      <c r="C295" s="1"/>
      <c r="D295" s="1"/>
      <c r="E295" s="1"/>
      <c r="F295" s="1"/>
      <c r="G295" s="1"/>
      <c r="H295" s="1"/>
      <c r="I295" s="1"/>
      <c r="J295" s="1"/>
      <c r="K295" s="1"/>
      <c r="L295" s="1"/>
      <c r="M295" s="1"/>
      <c r="N295" s="1"/>
      <c r="O295" s="265">
        <f>Retention!O157</f>
        <v>0.9831501005</v>
      </c>
      <c r="P295" s="265">
        <f>Retention!P157</f>
        <v>0.9788024487</v>
      </c>
      <c r="Q295" s="265">
        <f>Retention!Q157</f>
        <v>0.9790411837</v>
      </c>
      <c r="R295" s="265">
        <v>0.6</v>
      </c>
      <c r="S295" s="265">
        <v>0.6</v>
      </c>
      <c r="T295" s="265">
        <v>0.6</v>
      </c>
      <c r="U295" s="265">
        <v>0.6</v>
      </c>
      <c r="V295" s="265">
        <v>0.6</v>
      </c>
      <c r="W295" s="265">
        <v>0.6</v>
      </c>
      <c r="X295" s="265">
        <v>0.6</v>
      </c>
      <c r="Y295" s="265">
        <v>0.6</v>
      </c>
      <c r="Z295" s="265">
        <v>0.6</v>
      </c>
      <c r="AA295" s="265">
        <v>0.6</v>
      </c>
      <c r="AB295" s="265">
        <v>0.6</v>
      </c>
      <c r="AC295" s="265">
        <v>0.6</v>
      </c>
      <c r="AD295" s="265">
        <v>0.6</v>
      </c>
      <c r="AE295" s="265">
        <v>0.6</v>
      </c>
      <c r="AF295" s="265">
        <v>0.6</v>
      </c>
      <c r="AG295" s="265">
        <v>0.6</v>
      </c>
      <c r="AH295" s="265">
        <v>0.6</v>
      </c>
      <c r="AI295" s="265">
        <v>0.6</v>
      </c>
      <c r="AJ295" s="265">
        <v>0.6</v>
      </c>
      <c r="AK295" s="265">
        <v>0.6</v>
      </c>
      <c r="AL295" s="265">
        <v>0.6</v>
      </c>
      <c r="AM295" s="265">
        <v>0.6</v>
      </c>
      <c r="AN295" s="265">
        <v>0.6</v>
      </c>
      <c r="AO295" s="265">
        <v>0.6</v>
      </c>
      <c r="AP295" s="265">
        <v>0.6</v>
      </c>
      <c r="AQ295" s="265">
        <v>0.6</v>
      </c>
      <c r="AR295" s="265">
        <v>0.6</v>
      </c>
      <c r="AS295" s="265">
        <v>0.6</v>
      </c>
      <c r="AT295" s="265">
        <v>0.6</v>
      </c>
      <c r="AU295" s="265">
        <v>0.6</v>
      </c>
      <c r="AV295" s="265">
        <v>0.6</v>
      </c>
      <c r="AW295" s="265">
        <v>0.6</v>
      </c>
      <c r="AX295" s="265">
        <v>0.6</v>
      </c>
      <c r="AY295" s="265">
        <v>0.6</v>
      </c>
      <c r="AZ295" s="265">
        <v>0.6</v>
      </c>
      <c r="BA295" s="265">
        <v>0.6</v>
      </c>
      <c r="BB295" s="265">
        <v>0.6</v>
      </c>
      <c r="BC295" s="265">
        <v>0.6</v>
      </c>
      <c r="BD295" s="265">
        <v>0.6</v>
      </c>
      <c r="BE295" s="265">
        <v>0.6</v>
      </c>
      <c r="BF295" s="265">
        <v>0.6</v>
      </c>
      <c r="BG295" s="265">
        <v>0.6</v>
      </c>
      <c r="BH295" s="265">
        <v>0.6</v>
      </c>
      <c r="BI295" s="265">
        <v>0.6</v>
      </c>
      <c r="BJ295" s="265">
        <v>0.6</v>
      </c>
      <c r="BK295" s="265">
        <v>0.6</v>
      </c>
      <c r="BL295" s="265">
        <v>0.6</v>
      </c>
      <c r="BM295" s="265">
        <v>0.6</v>
      </c>
      <c r="BN295" s="265">
        <v>0.6</v>
      </c>
      <c r="BO295" s="265">
        <v>0.6</v>
      </c>
      <c r="BP295" s="265">
        <v>0.6</v>
      </c>
      <c r="BQ295" s="265">
        <v>0.6</v>
      </c>
      <c r="BR295" s="265">
        <v>0.6</v>
      </c>
      <c r="BS295" s="265">
        <v>0.6</v>
      </c>
      <c r="BT295" s="265">
        <v>0.6</v>
      </c>
      <c r="BU295" s="265">
        <v>0.6</v>
      </c>
      <c r="BV295" s="265">
        <v>0.6</v>
      </c>
      <c r="BW295" s="265">
        <v>0.6</v>
      </c>
      <c r="BX295" s="265">
        <v>0.6</v>
      </c>
      <c r="BY295" s="265">
        <v>0.6</v>
      </c>
      <c r="BZ295" s="265">
        <v>0.6</v>
      </c>
      <c r="CA295" s="265">
        <v>0.6</v>
      </c>
      <c r="CB295" s="265">
        <v>0.6</v>
      </c>
      <c r="CC295" s="265">
        <v>0.6</v>
      </c>
      <c r="CD295" s="265">
        <v>0.6</v>
      </c>
      <c r="CE295" s="265">
        <v>0.6</v>
      </c>
      <c r="CF295" s="265">
        <v>0.6</v>
      </c>
      <c r="CG295" s="265">
        <v>0.6</v>
      </c>
      <c r="CH295" s="265">
        <v>0.6</v>
      </c>
    </row>
    <row r="296" ht="15.75" customHeight="1">
      <c r="A296" s="91" t="s">
        <v>747</v>
      </c>
      <c r="B296" s="305"/>
      <c r="C296" s="1"/>
      <c r="D296" s="1"/>
      <c r="E296" s="1"/>
      <c r="F296" s="1"/>
      <c r="G296" s="1"/>
      <c r="H296" s="1"/>
      <c r="I296" s="1"/>
      <c r="J296" s="1"/>
      <c r="K296" s="1"/>
      <c r="L296" s="1"/>
      <c r="M296" s="1"/>
      <c r="N296" s="1"/>
      <c r="O296" s="137">
        <f t="shared" ref="O296:CH296" si="240">O294*O295</f>
        <v>3878315.769</v>
      </c>
      <c r="P296" s="137">
        <f t="shared" si="240"/>
        <v>4928608.016</v>
      </c>
      <c r="Q296" s="137">
        <f t="shared" si="240"/>
        <v>5441716.497</v>
      </c>
      <c r="R296" s="137">
        <f t="shared" si="240"/>
        <v>3040981.5</v>
      </c>
      <c r="S296" s="137">
        <f t="shared" si="240"/>
        <v>1669932</v>
      </c>
      <c r="T296" s="137">
        <f t="shared" si="240"/>
        <v>2969347.5</v>
      </c>
      <c r="U296" s="137">
        <f t="shared" si="240"/>
        <v>2762137.5</v>
      </c>
      <c r="V296" s="137">
        <f t="shared" si="240"/>
        <v>2362698</v>
      </c>
      <c r="W296" s="137">
        <f t="shared" si="240"/>
        <v>3636501</v>
      </c>
      <c r="X296" s="137">
        <f t="shared" si="240"/>
        <v>2021155.5</v>
      </c>
      <c r="Y296" s="137">
        <f t="shared" si="240"/>
        <v>2964819</v>
      </c>
      <c r="Z296" s="137">
        <f t="shared" si="240"/>
        <v>694181.25</v>
      </c>
      <c r="AA296" s="137">
        <f t="shared" si="240"/>
        <v>846977.85</v>
      </c>
      <c r="AB296" s="137">
        <f t="shared" si="240"/>
        <v>931675.635</v>
      </c>
      <c r="AC296" s="137">
        <f t="shared" si="240"/>
        <v>931675.635</v>
      </c>
      <c r="AD296" s="137">
        <f t="shared" si="240"/>
        <v>931675.635</v>
      </c>
      <c r="AE296" s="137">
        <f t="shared" si="240"/>
        <v>931675.635</v>
      </c>
      <c r="AF296" s="137">
        <f t="shared" si="240"/>
        <v>947679.9552</v>
      </c>
      <c r="AG296" s="137">
        <f t="shared" si="240"/>
        <v>947679.9552</v>
      </c>
      <c r="AH296" s="137">
        <f t="shared" si="240"/>
        <v>947679.9552</v>
      </c>
      <c r="AI296" s="137">
        <f t="shared" si="240"/>
        <v>947679.9552</v>
      </c>
      <c r="AJ296" s="137">
        <f t="shared" si="240"/>
        <v>910270.1975</v>
      </c>
      <c r="AK296" s="137">
        <f t="shared" si="240"/>
        <v>910270.1975</v>
      </c>
      <c r="AL296" s="137">
        <f t="shared" si="240"/>
        <v>910270.1975</v>
      </c>
      <c r="AM296" s="137">
        <f t="shared" si="240"/>
        <v>920588.6013</v>
      </c>
      <c r="AN296" s="137">
        <f t="shared" si="240"/>
        <v>695889.7483</v>
      </c>
      <c r="AO296" s="137">
        <f t="shared" si="240"/>
        <v>670777.3592</v>
      </c>
      <c r="AP296" s="137">
        <f t="shared" si="240"/>
        <v>673388.746</v>
      </c>
      <c r="AQ296" s="137">
        <f t="shared" si="240"/>
        <v>676013.1897</v>
      </c>
      <c r="AR296" s="137">
        <f t="shared" si="240"/>
        <v>682492.5631</v>
      </c>
      <c r="AS296" s="137">
        <f t="shared" si="240"/>
        <v>685162.5259</v>
      </c>
      <c r="AT296" s="137">
        <f t="shared" si="240"/>
        <v>687845.8386</v>
      </c>
      <c r="AU296" s="137">
        <f t="shared" si="240"/>
        <v>690542.5678</v>
      </c>
      <c r="AV296" s="137">
        <f t="shared" si="240"/>
        <v>693252.7806</v>
      </c>
      <c r="AW296" s="137">
        <f t="shared" si="240"/>
        <v>695976.5445</v>
      </c>
      <c r="AX296" s="137">
        <f t="shared" si="240"/>
        <v>698713.9272</v>
      </c>
      <c r="AY296" s="137">
        <f t="shared" si="240"/>
        <v>705474.0333</v>
      </c>
      <c r="AZ296" s="137">
        <f t="shared" si="240"/>
        <v>711043.7736</v>
      </c>
      <c r="BA296" s="137">
        <f t="shared" si="240"/>
        <v>713856.4925</v>
      </c>
      <c r="BB296" s="137">
        <f t="shared" si="240"/>
        <v>716683.2749</v>
      </c>
      <c r="BC296" s="137">
        <f t="shared" si="240"/>
        <v>719524.1913</v>
      </c>
      <c r="BD296" s="137">
        <f t="shared" si="240"/>
        <v>722379.3123</v>
      </c>
      <c r="BE296" s="137">
        <f t="shared" si="240"/>
        <v>725248.7088</v>
      </c>
      <c r="BF296" s="137">
        <f t="shared" si="240"/>
        <v>728132.4524</v>
      </c>
      <c r="BG296" s="137">
        <f t="shared" si="240"/>
        <v>731030.6146</v>
      </c>
      <c r="BH296" s="137">
        <f t="shared" si="240"/>
        <v>733943.2677</v>
      </c>
      <c r="BI296" s="137">
        <f t="shared" si="240"/>
        <v>736870.4841</v>
      </c>
      <c r="BJ296" s="137">
        <f t="shared" si="240"/>
        <v>739812.3365</v>
      </c>
      <c r="BK296" s="137">
        <f t="shared" si="240"/>
        <v>762708.677</v>
      </c>
      <c r="BL296" s="137">
        <f t="shared" si="240"/>
        <v>751702.4728</v>
      </c>
      <c r="BM296" s="137">
        <f t="shared" si="240"/>
        <v>754718.4852</v>
      </c>
      <c r="BN296" s="137">
        <f t="shared" si="240"/>
        <v>757749.5776</v>
      </c>
      <c r="BO296" s="137">
        <f t="shared" si="240"/>
        <v>760795.8255</v>
      </c>
      <c r="BP296" s="137">
        <f t="shared" si="240"/>
        <v>763857.3046</v>
      </c>
      <c r="BQ296" s="137">
        <f t="shared" si="240"/>
        <v>766934.0912</v>
      </c>
      <c r="BR296" s="137">
        <f t="shared" si="240"/>
        <v>770026.2616</v>
      </c>
      <c r="BS296" s="137">
        <f t="shared" si="240"/>
        <v>773133.8929</v>
      </c>
      <c r="BT296" s="137">
        <f t="shared" si="240"/>
        <v>776257.0624</v>
      </c>
      <c r="BU296" s="137">
        <f t="shared" si="240"/>
        <v>779395.8477</v>
      </c>
      <c r="BV296" s="137">
        <f t="shared" si="240"/>
        <v>782550.3269</v>
      </c>
      <c r="BW296" s="137">
        <f t="shared" si="240"/>
        <v>785720.5786</v>
      </c>
      <c r="BX296" s="137">
        <f t="shared" si="240"/>
        <v>721998.5207</v>
      </c>
      <c r="BY296" s="137">
        <f t="shared" si="240"/>
        <v>724866.0133</v>
      </c>
      <c r="BZ296" s="137">
        <f t="shared" si="240"/>
        <v>727747.8434</v>
      </c>
      <c r="CA296" s="137">
        <f t="shared" si="240"/>
        <v>730644.0826</v>
      </c>
      <c r="CB296" s="137">
        <f t="shared" si="240"/>
        <v>733554.803</v>
      </c>
      <c r="CC296" s="137">
        <f t="shared" si="240"/>
        <v>736480.077</v>
      </c>
      <c r="CD296" s="137">
        <f t="shared" si="240"/>
        <v>739419.9774</v>
      </c>
      <c r="CE296" s="137">
        <f t="shared" si="240"/>
        <v>742374.5773</v>
      </c>
      <c r="CF296" s="137">
        <f t="shared" si="240"/>
        <v>745343.9502</v>
      </c>
      <c r="CG296" s="137">
        <f t="shared" si="240"/>
        <v>748328.1699</v>
      </c>
      <c r="CH296" s="137">
        <f t="shared" si="240"/>
        <v>751327.3108</v>
      </c>
    </row>
    <row r="297" ht="15.75" customHeight="1">
      <c r="A297" s="91" t="s">
        <v>23</v>
      </c>
      <c r="C297" s="1"/>
      <c r="D297" s="1"/>
      <c r="E297" s="1"/>
      <c r="F297" s="1"/>
      <c r="G297" s="1"/>
      <c r="H297" s="1"/>
      <c r="I297" s="1"/>
      <c r="J297" s="1"/>
      <c r="K297" s="1"/>
      <c r="L297" s="1"/>
      <c r="M297" s="1"/>
      <c r="N297" s="1"/>
      <c r="O297" s="497">
        <f>1--SUM(Retention!O77:O79)/'New Biz Sales'!N130</f>
        <v>0.9757934741</v>
      </c>
      <c r="P297" s="497">
        <f>1--SUM(Retention!P77:P79)/'New Biz Sales'!O130</f>
        <v>0.9853631984</v>
      </c>
      <c r="Q297" s="497">
        <f>1--SUM(Retention!Q77:Q79)/'New Biz Sales'!P130</f>
        <v>0.9692166162</v>
      </c>
      <c r="R297" s="497">
        <f>1--SUM(Retention!R77:R79)/'New Biz Sales'!Q130</f>
        <v>0.9624592052</v>
      </c>
      <c r="S297" s="497">
        <f>1--SUM(Retention!S77:S79)/'New Biz Sales'!R130</f>
        <v>0.9924136614</v>
      </c>
      <c r="T297" s="497">
        <f>1--SUM(Retention!T77:T79)/'New Biz Sales'!S130</f>
        <v>0.9762959964</v>
      </c>
      <c r="U297" s="497">
        <f>1--SUM(Retention!U77:U79)/'New Biz Sales'!T130</f>
        <v>0.9852563733</v>
      </c>
      <c r="V297" s="497">
        <f>1--SUM(Retention!V77:V79)/'New Biz Sales'!U130</f>
        <v>0.9676061592</v>
      </c>
      <c r="W297" s="497">
        <f>1--SUM(Retention!W77:W79)/'New Biz Sales'!V130</f>
        <v>0.9824040144</v>
      </c>
      <c r="X297" s="497">
        <f>1--SUM(Retention!X77:X79)/'New Biz Sales'!W130</f>
        <v>0.9795701037</v>
      </c>
      <c r="Y297" s="497">
        <f>1--SUM(Retention!Y77:Y79)/'New Biz Sales'!X130</f>
        <v>0.9807809033</v>
      </c>
      <c r="Z297" s="497">
        <f>1--SUM(Retention!Z77:Z79)/'New Biz Sales'!Y130</f>
        <v>0.936577984</v>
      </c>
      <c r="AA297" s="497">
        <f>1--SUM(Retention!AA77:AA79)/'New Biz Sales'!Z130</f>
        <v>0.9350120905</v>
      </c>
      <c r="AB297" s="497">
        <f>1--SUM(Retention!AB77:AB79)/'New Biz Sales'!AA130</f>
        <v>0.9371397197</v>
      </c>
      <c r="AC297" s="497">
        <f>1--SUM(Retention!AC77:AC79)/'New Biz Sales'!AB130</f>
        <v>0.9392486434</v>
      </c>
      <c r="AD297" s="497">
        <f>1--SUM(Retention!AD77:AD79)/'New Biz Sales'!AC130</f>
        <v>0.9413486104</v>
      </c>
      <c r="AE297" s="497">
        <f>1--SUM(Retention!AE77:AE79)/'New Biz Sales'!AD130</f>
        <v>0.9434324722</v>
      </c>
      <c r="AF297" s="497">
        <f>1--SUM(Retention!AF77:AF79)/'New Biz Sales'!AE130</f>
        <v>0.9454976742</v>
      </c>
      <c r="AG297" s="497">
        <f>1--SUM(Retention!AG77:AG79)/'New Biz Sales'!AF130</f>
        <v>0.9483125428</v>
      </c>
      <c r="AH297" s="497">
        <f>1--SUM(Retention!AH77:AH79)/'New Biz Sales'!AG130</f>
        <v>0.94934307</v>
      </c>
      <c r="AI297" s="497">
        <f>1--SUM(Retention!AI77:AI79)/'New Biz Sales'!AH130</f>
        <v>0.9503723629</v>
      </c>
      <c r="AJ297" s="497">
        <f>1--SUM(Retention!AJ77:AJ79)/'New Biz Sales'!AI130</f>
        <v>0.951407806</v>
      </c>
      <c r="AK297" s="497">
        <f>1--SUM(Retention!AK77:AK79)/'New Biz Sales'!AJ130</f>
        <v>0.953074392</v>
      </c>
      <c r="AL297" s="497">
        <f>1--SUM(Retention!AL77:AL79)/'New Biz Sales'!AK130</f>
        <v>0.9541371226</v>
      </c>
      <c r="AM297" s="497">
        <f>1--SUM(Retention!AM77:AM79)/'New Biz Sales'!AL130</f>
        <v>0.9507789725</v>
      </c>
      <c r="AN297" s="497">
        <f>1--SUM(Retention!AN77:AN79)/'New Biz Sales'!AM130</f>
        <v>0.9507784448</v>
      </c>
      <c r="AO297" s="497">
        <f>1--SUM(Retention!AO77:AO79)/'New Biz Sales'!AN130</f>
        <v>0.9507801937</v>
      </c>
      <c r="AP297" s="497">
        <f>1--SUM(Retention!AP77:AP79)/'New Biz Sales'!AO130</f>
        <v>0.9507820363</v>
      </c>
      <c r="AQ297" s="497">
        <f>1--SUM(Retention!AQ77:AQ79)/'New Biz Sales'!AP130</f>
        <v>0.9507837718</v>
      </c>
      <c r="AR297" s="497">
        <f>1--SUM(Retention!AR77:AR79)/'New Biz Sales'!AQ130</f>
        <v>0.9507854096</v>
      </c>
      <c r="AS297" s="497">
        <f>1--SUM(Retention!AS77:AS79)/'New Biz Sales'!AR130</f>
        <v>0.9507868833</v>
      </c>
      <c r="AT297" s="497">
        <f>1--SUM(Retention!AT77:AT79)/'New Biz Sales'!AS130</f>
        <v>0.9507882806</v>
      </c>
      <c r="AU297" s="497">
        <f>1--SUM(Retention!AU77:AU79)/'New Biz Sales'!AT130</f>
        <v>0.9507896079</v>
      </c>
      <c r="AV297" s="497">
        <f>1--SUM(Retention!AV77:AV79)/'New Biz Sales'!AU130</f>
        <v>0.950790871</v>
      </c>
      <c r="AW297" s="497">
        <f>1--SUM(Retention!AW77:AW79)/'New Biz Sales'!AV130</f>
        <v>0.9507920749</v>
      </c>
      <c r="AX297" s="497">
        <f>1--SUM(Retention!AX77:AX79)/'New Biz Sales'!AW130</f>
        <v>0.9507932243</v>
      </c>
      <c r="AY297" s="497">
        <f>1--SUM(Retention!AY77:AY79)/'New Biz Sales'!AX130</f>
        <v>0.9593971617</v>
      </c>
      <c r="AZ297" s="497">
        <f>1--SUM(Retention!AZ77:AZ79)/'New Biz Sales'!AY130</f>
        <v>0.95939744</v>
      </c>
      <c r="BA297" s="497">
        <f>1--SUM(Retention!BA77:BA79)/'New Biz Sales'!AZ130</f>
        <v>0.9593977022</v>
      </c>
      <c r="BB297" s="497">
        <f>1--SUM(Retention!BB77:BB79)/'New Biz Sales'!BA130</f>
        <v>0.9593979583</v>
      </c>
      <c r="BC297" s="497">
        <f>1--SUM(Retention!BC77:BC79)/'New Biz Sales'!BB130</f>
        <v>0.9593982089</v>
      </c>
      <c r="BD297" s="497">
        <f>1--SUM(Retention!BD77:BD79)/'New Biz Sales'!BC130</f>
        <v>0.9593984545</v>
      </c>
      <c r="BE297" s="497">
        <f>1--SUM(Retention!BE77:BE79)/'New Biz Sales'!BD130</f>
        <v>0.9593986954</v>
      </c>
      <c r="BF297" s="497">
        <f>1--SUM(Retention!BF77:BF79)/'New Biz Sales'!BE130</f>
        <v>0.9593989322</v>
      </c>
      <c r="BG297" s="497">
        <f>1--SUM(Retention!BG77:BG79)/'New Biz Sales'!BF130</f>
        <v>0.959399165</v>
      </c>
      <c r="BH297" s="497">
        <f>1--SUM(Retention!BH77:BH79)/'New Biz Sales'!BG130</f>
        <v>0.9593993942</v>
      </c>
      <c r="BI297" s="497">
        <f>1--SUM(Retention!BI77:BI79)/'New Biz Sales'!BH130</f>
        <v>0.9593996201</v>
      </c>
      <c r="BJ297" s="497">
        <f>1--SUM(Retention!BJ77:BJ79)/'New Biz Sales'!BI130</f>
        <v>0.959399843</v>
      </c>
      <c r="BK297" s="497">
        <f>1--SUM(Retention!BK77:BK79)/'New Biz Sales'!BJ130</f>
        <v>0.961400063</v>
      </c>
      <c r="BL297" s="497">
        <f>1--SUM(Retention!BL77:BL79)/'New Biz Sales'!BK130</f>
        <v>0.9614000897</v>
      </c>
      <c r="BM297" s="497">
        <f>1--SUM(Retention!BM77:BM79)/'New Biz Sales'!BL130</f>
        <v>0.9614000553</v>
      </c>
      <c r="BN297" s="497">
        <f>1--SUM(Retention!BN77:BN79)/'New Biz Sales'!BM130</f>
        <v>0.9613999234</v>
      </c>
      <c r="BO297" s="497">
        <f>1--SUM(Retention!BO77:BO79)/'New Biz Sales'!BN130</f>
        <v>0.9613998134</v>
      </c>
      <c r="BP297" s="497">
        <f>1--SUM(Retention!BP77:BP79)/'New Biz Sales'!BO130</f>
        <v>0.9613997241</v>
      </c>
      <c r="BQ297" s="497">
        <f>1--SUM(Retention!BQ77:BQ79)/'New Biz Sales'!BP130</f>
        <v>0.9613996543</v>
      </c>
      <c r="BR297" s="497">
        <f>1--SUM(Retention!BR77:BR79)/'New Biz Sales'!BQ130</f>
        <v>0.9613996029</v>
      </c>
      <c r="BS297" s="497">
        <f>1--SUM(Retention!BS77:BS79)/'New Biz Sales'!BR130</f>
        <v>0.9613995687</v>
      </c>
      <c r="BT297" s="497">
        <f>1--SUM(Retention!BT77:BT79)/'New Biz Sales'!BS130</f>
        <v>0.9613995508</v>
      </c>
      <c r="BU297" s="497">
        <f>1--SUM(Retention!BU77:BU79)/'New Biz Sales'!BT130</f>
        <v>0.9613995484</v>
      </c>
      <c r="BV297" s="497">
        <f>1--SUM(Retention!BV77:BV79)/'New Biz Sales'!BU130</f>
        <v>0.9613995605</v>
      </c>
      <c r="BW297" s="497">
        <f>1--SUM(Retention!BW77:BW79)/'New Biz Sales'!BV130</f>
        <v>0.9623995866</v>
      </c>
      <c r="BX297" s="497">
        <f>1--SUM(Retention!BX77:BX79)/'New Biz Sales'!BW130</f>
        <v>0.9623996477</v>
      </c>
      <c r="BY297" s="497">
        <f>1--SUM(Retention!BY77:BY79)/'New Biz Sales'!BX130</f>
        <v>0.9623998835</v>
      </c>
      <c r="BZ297" s="497">
        <f>1--SUM(Retention!BZ77:BZ79)/'New Biz Sales'!BY130</f>
        <v>0.9624000051</v>
      </c>
      <c r="CA297" s="497">
        <f>1--SUM(Retention!CA77:CA79)/'New Biz Sales'!BZ130</f>
        <v>0.9624001206</v>
      </c>
      <c r="CB297" s="497">
        <f>1--SUM(Retention!CB77:CB79)/'New Biz Sales'!CA130</f>
        <v>0.9624002308</v>
      </c>
      <c r="CC297" s="497">
        <f>1--SUM(Retention!CC77:CC79)/'New Biz Sales'!CB130</f>
        <v>0.962400336</v>
      </c>
      <c r="CD297" s="497">
        <f>1--SUM(Retention!CD77:CD79)/'New Biz Sales'!CC130</f>
        <v>0.9624004368</v>
      </c>
      <c r="CE297" s="497">
        <f>1--SUM(Retention!CE77:CE79)/'New Biz Sales'!CD130</f>
        <v>0.9624005337</v>
      </c>
      <c r="CF297" s="497">
        <f>1--SUM(Retention!CF77:CF79)/'New Biz Sales'!CE130</f>
        <v>0.9624006269</v>
      </c>
      <c r="CG297" s="497">
        <f>1--SUM(Retention!CG77:CG79)/'New Biz Sales'!CF130</f>
        <v>0.9624007169</v>
      </c>
      <c r="CH297" s="497">
        <f>1--SUM(Retention!CH77:CH79)/'New Biz Sales'!CG130</f>
        <v>0.9624008041</v>
      </c>
    </row>
    <row r="298" ht="15.75" customHeight="1">
      <c r="A298" s="91" t="s">
        <v>748</v>
      </c>
      <c r="C298" s="1"/>
      <c r="D298" s="1"/>
      <c r="E298" s="1"/>
      <c r="F298" s="1"/>
      <c r="G298" s="1"/>
      <c r="H298" s="1"/>
      <c r="I298" s="1"/>
      <c r="J298" s="1"/>
      <c r="K298" s="1"/>
      <c r="L298" s="1"/>
      <c r="M298" s="1"/>
      <c r="N298" s="1"/>
      <c r="O298" s="117">
        <f t="shared" ref="O298:CH298" si="241">O296/((1-(O297))*12)</f>
        <v>13351481.39</v>
      </c>
      <c r="P298" s="117">
        <f t="shared" si="241"/>
        <v>28060593.18</v>
      </c>
      <c r="Q298" s="117">
        <f t="shared" si="241"/>
        <v>14731206.21</v>
      </c>
      <c r="R298" s="117">
        <f t="shared" si="241"/>
        <v>6750393.176</v>
      </c>
      <c r="S298" s="117">
        <f t="shared" si="241"/>
        <v>18343631.44</v>
      </c>
      <c r="T298" s="117">
        <f t="shared" si="241"/>
        <v>10438980.22</v>
      </c>
      <c r="U298" s="117">
        <f t="shared" si="241"/>
        <v>15612042.41</v>
      </c>
      <c r="V298" s="117">
        <f t="shared" si="241"/>
        <v>6078053.575</v>
      </c>
      <c r="W298" s="117">
        <f t="shared" si="241"/>
        <v>17222209.52</v>
      </c>
      <c r="X298" s="117">
        <f t="shared" si="241"/>
        <v>8244272.162</v>
      </c>
      <c r="Y298" s="117">
        <f t="shared" si="241"/>
        <v>12855351.81</v>
      </c>
      <c r="Z298" s="117">
        <f t="shared" si="241"/>
        <v>912119.1845</v>
      </c>
      <c r="AA298" s="117">
        <f t="shared" si="241"/>
        <v>1086071.056</v>
      </c>
      <c r="AB298" s="117">
        <f t="shared" si="241"/>
        <v>1235114.383</v>
      </c>
      <c r="AC298" s="117">
        <f t="shared" si="241"/>
        <v>1277990.166</v>
      </c>
      <c r="AD298" s="117">
        <f t="shared" si="241"/>
        <v>1323747.6</v>
      </c>
      <c r="AE298" s="117">
        <f t="shared" si="241"/>
        <v>1372512.451</v>
      </c>
      <c r="AF298" s="117">
        <f t="shared" si="241"/>
        <v>1448990.083</v>
      </c>
      <c r="AG298" s="117">
        <f t="shared" si="241"/>
        <v>1527901.232</v>
      </c>
      <c r="AH298" s="117">
        <f t="shared" si="241"/>
        <v>1558983.728</v>
      </c>
      <c r="AI298" s="117">
        <f t="shared" si="241"/>
        <v>1591317.543</v>
      </c>
      <c r="AJ298" s="117">
        <f t="shared" si="241"/>
        <v>1561070.688</v>
      </c>
      <c r="AK298" s="117">
        <f t="shared" si="241"/>
        <v>1616512.883</v>
      </c>
      <c r="AL298" s="117">
        <f t="shared" si="241"/>
        <v>1653970.578</v>
      </c>
      <c r="AM298" s="117">
        <f t="shared" si="241"/>
        <v>1558596.411</v>
      </c>
      <c r="AN298" s="117">
        <f t="shared" si="241"/>
        <v>1178158.881</v>
      </c>
      <c r="AO298" s="117">
        <f t="shared" si="241"/>
        <v>1135683.324</v>
      </c>
      <c r="AP298" s="117">
        <f t="shared" si="241"/>
        <v>1140147.309</v>
      </c>
      <c r="AQ298" s="117">
        <f t="shared" si="241"/>
        <v>1144631.242</v>
      </c>
      <c r="AR298" s="117">
        <f t="shared" si="241"/>
        <v>1155640.63</v>
      </c>
      <c r="AS298" s="117">
        <f t="shared" si="241"/>
        <v>1160196.325</v>
      </c>
      <c r="AT298" s="117">
        <f t="shared" si="241"/>
        <v>1164773.092</v>
      </c>
      <c r="AU298" s="117">
        <f t="shared" si="241"/>
        <v>1169371.175</v>
      </c>
      <c r="AV298" s="117">
        <f t="shared" si="241"/>
        <v>1173990.806</v>
      </c>
      <c r="AW298" s="117">
        <f t="shared" si="241"/>
        <v>1178632.207</v>
      </c>
      <c r="AX298" s="117">
        <f t="shared" si="241"/>
        <v>1183295.588</v>
      </c>
      <c r="AY298" s="117">
        <f t="shared" si="241"/>
        <v>1447916.086</v>
      </c>
      <c r="AZ298" s="117">
        <f t="shared" si="241"/>
        <v>1459357.436</v>
      </c>
      <c r="BA298" s="117">
        <f t="shared" si="241"/>
        <v>1465139.764</v>
      </c>
      <c r="BB298" s="117">
        <f t="shared" si="241"/>
        <v>1470950.813</v>
      </c>
      <c r="BC298" s="117">
        <f t="shared" si="241"/>
        <v>1476790.744</v>
      </c>
      <c r="BD298" s="117">
        <f t="shared" si="241"/>
        <v>1482659.717</v>
      </c>
      <c r="BE298" s="117">
        <f t="shared" si="241"/>
        <v>1488557.894</v>
      </c>
      <c r="BF298" s="117">
        <f t="shared" si="241"/>
        <v>1494485.431</v>
      </c>
      <c r="BG298" s="117">
        <f t="shared" si="241"/>
        <v>1500442.488</v>
      </c>
      <c r="BH298" s="117">
        <f t="shared" si="241"/>
        <v>1506429.222</v>
      </c>
      <c r="BI298" s="117">
        <f t="shared" si="241"/>
        <v>1512445.792</v>
      </c>
      <c r="BJ298" s="117">
        <f t="shared" si="241"/>
        <v>1518492.355</v>
      </c>
      <c r="BK298" s="117">
        <f t="shared" si="241"/>
        <v>1646610.366</v>
      </c>
      <c r="BL298" s="117">
        <f t="shared" si="241"/>
        <v>1622850.217</v>
      </c>
      <c r="BM298" s="117">
        <f t="shared" si="241"/>
        <v>1629360.033</v>
      </c>
      <c r="BN298" s="117">
        <f t="shared" si="241"/>
        <v>1635898.258</v>
      </c>
      <c r="BO298" s="117">
        <f t="shared" si="241"/>
        <v>1642470.094</v>
      </c>
      <c r="BP298" s="117">
        <f t="shared" si="241"/>
        <v>1649075.66</v>
      </c>
      <c r="BQ298" s="117">
        <f t="shared" si="241"/>
        <v>1655715.076</v>
      </c>
      <c r="BR298" s="117">
        <f t="shared" si="241"/>
        <v>1662388.469</v>
      </c>
      <c r="BS298" s="117">
        <f t="shared" si="241"/>
        <v>1669095.97</v>
      </c>
      <c r="BT298" s="117">
        <f t="shared" si="241"/>
        <v>1675837.713</v>
      </c>
      <c r="BU298" s="117">
        <f t="shared" si="241"/>
        <v>1682613.835</v>
      </c>
      <c r="BV298" s="117">
        <f t="shared" si="241"/>
        <v>1689424.477</v>
      </c>
      <c r="BW298" s="117">
        <f t="shared" si="241"/>
        <v>1741382.845</v>
      </c>
      <c r="BX298" s="117">
        <f t="shared" si="241"/>
        <v>1600159.032</v>
      </c>
      <c r="BY298" s="117">
        <f t="shared" si="241"/>
        <v>1606524.309</v>
      </c>
      <c r="BZ298" s="117">
        <f t="shared" si="241"/>
        <v>1612916.537</v>
      </c>
      <c r="CA298" s="117">
        <f t="shared" si="241"/>
        <v>1619340.485</v>
      </c>
      <c r="CB298" s="117">
        <f t="shared" si="241"/>
        <v>1625796.333</v>
      </c>
      <c r="CC298" s="117">
        <f t="shared" si="241"/>
        <v>1632284.262</v>
      </c>
      <c r="CD298" s="117">
        <f t="shared" si="241"/>
        <v>1638804.451</v>
      </c>
      <c r="CE298" s="117">
        <f t="shared" si="241"/>
        <v>1645357.079</v>
      </c>
      <c r="CF298" s="117">
        <f t="shared" si="241"/>
        <v>1651942.326</v>
      </c>
      <c r="CG298" s="117">
        <f t="shared" si="241"/>
        <v>1658560.37</v>
      </c>
      <c r="CH298" s="117">
        <f t="shared" si="241"/>
        <v>1665211.391</v>
      </c>
    </row>
    <row r="299" ht="15.75" customHeight="1">
      <c r="A299" s="91" t="s">
        <v>749</v>
      </c>
      <c r="C299" s="1"/>
      <c r="D299" s="1"/>
      <c r="E299" s="1"/>
      <c r="F299" s="1"/>
      <c r="G299" s="1"/>
      <c r="H299" s="1"/>
      <c r="I299" s="1"/>
      <c r="J299" s="1"/>
      <c r="K299" s="1"/>
      <c r="L299" s="1"/>
      <c r="M299" s="1"/>
      <c r="N299" s="1"/>
      <c r="O299" s="137">
        <f t="shared" ref="O299:CH299" si="242">(O291*(($B$303*1.23)/12))+(O294*$B$304)+((($B$272*1.23)*$B$274)/12/2)+((O266*($B$268*1.23))/2/12)</f>
        <v>154653.4425</v>
      </c>
      <c r="P299" s="137">
        <f t="shared" si="242"/>
        <v>187915.5225</v>
      </c>
      <c r="Q299" s="137">
        <f t="shared" si="242"/>
        <v>203862.905</v>
      </c>
      <c r="R299" s="137">
        <f t="shared" si="242"/>
        <v>188920.7263</v>
      </c>
      <c r="S299" s="137">
        <f t="shared" si="242"/>
        <v>119225.71</v>
      </c>
      <c r="T299" s="137">
        <f t="shared" si="242"/>
        <v>193223.0813</v>
      </c>
      <c r="U299" s="137">
        <f t="shared" si="242"/>
        <v>182689.9063</v>
      </c>
      <c r="V299" s="137">
        <f t="shared" si="242"/>
        <v>173660.065</v>
      </c>
      <c r="W299" s="137">
        <f t="shared" si="242"/>
        <v>249686.7175</v>
      </c>
      <c r="X299" s="137">
        <f t="shared" si="242"/>
        <v>178848.3213</v>
      </c>
      <c r="Y299" s="137">
        <f t="shared" si="242"/>
        <v>238092.8825</v>
      </c>
      <c r="Z299" s="137">
        <f t="shared" si="242"/>
        <v>141887.5469</v>
      </c>
      <c r="AA299" s="137">
        <f t="shared" si="242"/>
        <v>149654.7074</v>
      </c>
      <c r="AB299" s="137">
        <f t="shared" si="242"/>
        <v>161903.9281</v>
      </c>
      <c r="AC299" s="137">
        <f t="shared" si="242"/>
        <v>169847.6781</v>
      </c>
      <c r="AD299" s="137">
        <f t="shared" si="242"/>
        <v>177791.4281</v>
      </c>
      <c r="AE299" s="137">
        <f t="shared" si="242"/>
        <v>177791.4281</v>
      </c>
      <c r="AF299" s="137">
        <f t="shared" si="242"/>
        <v>178604.9811</v>
      </c>
      <c r="AG299" s="137">
        <f t="shared" si="242"/>
        <v>178604.9811</v>
      </c>
      <c r="AH299" s="137">
        <f t="shared" si="242"/>
        <v>178604.9811</v>
      </c>
      <c r="AI299" s="137">
        <f t="shared" si="242"/>
        <v>178604.9811</v>
      </c>
      <c r="AJ299" s="137">
        <f t="shared" si="242"/>
        <v>176703.3184</v>
      </c>
      <c r="AK299" s="137">
        <f t="shared" si="242"/>
        <v>176703.3184</v>
      </c>
      <c r="AL299" s="137">
        <f t="shared" si="242"/>
        <v>176703.3184</v>
      </c>
      <c r="AM299" s="137">
        <f t="shared" si="242"/>
        <v>177227.8372</v>
      </c>
      <c r="AN299" s="137">
        <f t="shared" si="242"/>
        <v>165805.6455</v>
      </c>
      <c r="AO299" s="137">
        <f t="shared" si="242"/>
        <v>164529.0991</v>
      </c>
      <c r="AP299" s="137">
        <f t="shared" si="242"/>
        <v>164661.8446</v>
      </c>
      <c r="AQ299" s="137">
        <f t="shared" si="242"/>
        <v>164795.2538</v>
      </c>
      <c r="AR299" s="137">
        <f t="shared" si="242"/>
        <v>165124.622</v>
      </c>
      <c r="AS299" s="137">
        <f t="shared" si="242"/>
        <v>165260.3451</v>
      </c>
      <c r="AT299" s="137">
        <f t="shared" si="242"/>
        <v>165396.7468</v>
      </c>
      <c r="AU299" s="137">
        <f t="shared" si="242"/>
        <v>165533.8305</v>
      </c>
      <c r="AV299" s="137">
        <f t="shared" si="242"/>
        <v>165671.5997</v>
      </c>
      <c r="AW299" s="137">
        <f t="shared" si="242"/>
        <v>165810.0577</v>
      </c>
      <c r="AX299" s="137">
        <f t="shared" si="242"/>
        <v>165949.208</v>
      </c>
      <c r="AY299" s="137">
        <f t="shared" si="242"/>
        <v>166292.8467</v>
      </c>
      <c r="AZ299" s="137">
        <f t="shared" si="242"/>
        <v>166575.9752</v>
      </c>
      <c r="BA299" s="137">
        <f t="shared" si="242"/>
        <v>166718.955</v>
      </c>
      <c r="BB299" s="137">
        <f t="shared" si="242"/>
        <v>166862.6498</v>
      </c>
      <c r="BC299" s="137">
        <f t="shared" si="242"/>
        <v>167007.0631</v>
      </c>
      <c r="BD299" s="137">
        <f t="shared" si="242"/>
        <v>167152.1984</v>
      </c>
      <c r="BE299" s="137">
        <f t="shared" si="242"/>
        <v>167298.0594</v>
      </c>
      <c r="BF299" s="137">
        <f t="shared" si="242"/>
        <v>167444.6497</v>
      </c>
      <c r="BG299" s="137">
        <f t="shared" si="242"/>
        <v>167591.9729</v>
      </c>
      <c r="BH299" s="137">
        <f t="shared" si="242"/>
        <v>167740.0328</v>
      </c>
      <c r="BI299" s="137">
        <f t="shared" si="242"/>
        <v>167888.8329</v>
      </c>
      <c r="BJ299" s="137">
        <f t="shared" si="242"/>
        <v>168038.3771</v>
      </c>
      <c r="BK299" s="137">
        <f t="shared" si="242"/>
        <v>169202.2744</v>
      </c>
      <c r="BL299" s="137">
        <f t="shared" si="242"/>
        <v>168642.7924</v>
      </c>
      <c r="BM299" s="137">
        <f t="shared" si="242"/>
        <v>168796.1063</v>
      </c>
      <c r="BN299" s="137">
        <f t="shared" si="242"/>
        <v>168950.1869</v>
      </c>
      <c r="BO299" s="137">
        <f t="shared" si="242"/>
        <v>169105.0378</v>
      </c>
      <c r="BP299" s="137">
        <f t="shared" si="242"/>
        <v>169260.663</v>
      </c>
      <c r="BQ299" s="137">
        <f t="shared" si="242"/>
        <v>169417.0663</v>
      </c>
      <c r="BR299" s="137">
        <f t="shared" si="242"/>
        <v>169574.2516</v>
      </c>
      <c r="BS299" s="137">
        <f t="shared" si="242"/>
        <v>169732.2229</v>
      </c>
      <c r="BT299" s="137">
        <f t="shared" si="242"/>
        <v>169890.984</v>
      </c>
      <c r="BU299" s="137">
        <f t="shared" si="242"/>
        <v>170050.5389</v>
      </c>
      <c r="BV299" s="137">
        <f t="shared" si="242"/>
        <v>170210.8916</v>
      </c>
      <c r="BW299" s="137">
        <f t="shared" si="242"/>
        <v>170372.0461</v>
      </c>
      <c r="BX299" s="137">
        <f t="shared" si="242"/>
        <v>167132.8415</v>
      </c>
      <c r="BY299" s="137">
        <f t="shared" si="242"/>
        <v>167278.6057</v>
      </c>
      <c r="BZ299" s="137">
        <f t="shared" si="242"/>
        <v>167425.0987</v>
      </c>
      <c r="CA299" s="137">
        <f t="shared" si="242"/>
        <v>167572.3242</v>
      </c>
      <c r="CB299" s="137">
        <f t="shared" si="242"/>
        <v>167720.2858</v>
      </c>
      <c r="CC299" s="137">
        <f t="shared" si="242"/>
        <v>167868.9872</v>
      </c>
      <c r="CD299" s="137">
        <f t="shared" si="242"/>
        <v>168018.4322</v>
      </c>
      <c r="CE299" s="137">
        <f t="shared" si="242"/>
        <v>168168.6243</v>
      </c>
      <c r="CF299" s="137">
        <f t="shared" si="242"/>
        <v>168319.5675</v>
      </c>
      <c r="CG299" s="137">
        <f t="shared" si="242"/>
        <v>168471.2653</v>
      </c>
      <c r="CH299" s="137">
        <f t="shared" si="242"/>
        <v>168623.7216</v>
      </c>
    </row>
    <row r="300" ht="15.75" customHeight="1">
      <c r="A300" s="91" t="s">
        <v>750</v>
      </c>
      <c r="C300" s="1"/>
      <c r="D300" s="1"/>
      <c r="E300" s="1"/>
      <c r="F300" s="1"/>
      <c r="G300" s="1"/>
      <c r="H300" s="1"/>
      <c r="I300" s="1"/>
      <c r="J300" s="1"/>
      <c r="K300" s="1"/>
      <c r="L300" s="1"/>
      <c r="M300" s="1"/>
      <c r="N300" s="1"/>
      <c r="O300" s="137">
        <f t="shared" ref="O300:CH300" si="243">O299*12</f>
        <v>1855841.31</v>
      </c>
      <c r="P300" s="137">
        <f t="shared" si="243"/>
        <v>2254986.27</v>
      </c>
      <c r="Q300" s="137">
        <f t="shared" si="243"/>
        <v>2446354.86</v>
      </c>
      <c r="R300" s="137">
        <f t="shared" si="243"/>
        <v>2267048.715</v>
      </c>
      <c r="S300" s="137">
        <f t="shared" si="243"/>
        <v>1430708.52</v>
      </c>
      <c r="T300" s="137">
        <f t="shared" si="243"/>
        <v>2318676.975</v>
      </c>
      <c r="U300" s="137">
        <f t="shared" si="243"/>
        <v>2192278.875</v>
      </c>
      <c r="V300" s="137">
        <f t="shared" si="243"/>
        <v>2083920.78</v>
      </c>
      <c r="W300" s="137">
        <f t="shared" si="243"/>
        <v>2996240.61</v>
      </c>
      <c r="X300" s="137">
        <f t="shared" si="243"/>
        <v>2146179.855</v>
      </c>
      <c r="Y300" s="137">
        <f t="shared" si="243"/>
        <v>2857114.59</v>
      </c>
      <c r="Z300" s="137">
        <f t="shared" si="243"/>
        <v>1702650.563</v>
      </c>
      <c r="AA300" s="137">
        <f t="shared" si="243"/>
        <v>1795856.489</v>
      </c>
      <c r="AB300" s="137">
        <f t="shared" si="243"/>
        <v>1942847.137</v>
      </c>
      <c r="AC300" s="137">
        <f t="shared" si="243"/>
        <v>2038172.137</v>
      </c>
      <c r="AD300" s="137">
        <f t="shared" si="243"/>
        <v>2133497.137</v>
      </c>
      <c r="AE300" s="137">
        <f t="shared" si="243"/>
        <v>2133497.137</v>
      </c>
      <c r="AF300" s="137">
        <f t="shared" si="243"/>
        <v>2143259.773</v>
      </c>
      <c r="AG300" s="137">
        <f t="shared" si="243"/>
        <v>2143259.773</v>
      </c>
      <c r="AH300" s="137">
        <f t="shared" si="243"/>
        <v>2143259.773</v>
      </c>
      <c r="AI300" s="137">
        <f t="shared" si="243"/>
        <v>2143259.773</v>
      </c>
      <c r="AJ300" s="137">
        <f t="shared" si="243"/>
        <v>2120439.82</v>
      </c>
      <c r="AK300" s="137">
        <f t="shared" si="243"/>
        <v>2120439.82</v>
      </c>
      <c r="AL300" s="137">
        <f t="shared" si="243"/>
        <v>2120439.82</v>
      </c>
      <c r="AM300" s="137">
        <f t="shared" si="243"/>
        <v>2126734.047</v>
      </c>
      <c r="AN300" s="137">
        <f t="shared" si="243"/>
        <v>1989667.746</v>
      </c>
      <c r="AO300" s="137">
        <f t="shared" si="243"/>
        <v>1974349.189</v>
      </c>
      <c r="AP300" s="137">
        <f t="shared" si="243"/>
        <v>1975942.135</v>
      </c>
      <c r="AQ300" s="137">
        <f t="shared" si="243"/>
        <v>1977543.046</v>
      </c>
      <c r="AR300" s="137">
        <f t="shared" si="243"/>
        <v>1981495.464</v>
      </c>
      <c r="AS300" s="137">
        <f t="shared" si="243"/>
        <v>1983124.141</v>
      </c>
      <c r="AT300" s="137">
        <f t="shared" si="243"/>
        <v>1984760.962</v>
      </c>
      <c r="AU300" s="137">
        <f t="shared" si="243"/>
        <v>1986405.966</v>
      </c>
      <c r="AV300" s="137">
        <f t="shared" si="243"/>
        <v>1988059.196</v>
      </c>
      <c r="AW300" s="137">
        <f t="shared" si="243"/>
        <v>1989720.692</v>
      </c>
      <c r="AX300" s="137">
        <f t="shared" si="243"/>
        <v>1991390.496</v>
      </c>
      <c r="AY300" s="137">
        <f t="shared" si="243"/>
        <v>1995514.16</v>
      </c>
      <c r="AZ300" s="137">
        <f t="shared" si="243"/>
        <v>1998911.702</v>
      </c>
      <c r="BA300" s="137">
        <f t="shared" si="243"/>
        <v>2000627.46</v>
      </c>
      <c r="BB300" s="137">
        <f t="shared" si="243"/>
        <v>2002351.798</v>
      </c>
      <c r="BC300" s="137">
        <f t="shared" si="243"/>
        <v>2004084.757</v>
      </c>
      <c r="BD300" s="137">
        <f t="shared" si="243"/>
        <v>2005826.38</v>
      </c>
      <c r="BE300" s="137">
        <f t="shared" si="243"/>
        <v>2007576.712</v>
      </c>
      <c r="BF300" s="137">
        <f t="shared" si="243"/>
        <v>2009335.796</v>
      </c>
      <c r="BG300" s="137">
        <f t="shared" si="243"/>
        <v>2011103.675</v>
      </c>
      <c r="BH300" s="137">
        <f t="shared" si="243"/>
        <v>2012880.393</v>
      </c>
      <c r="BI300" s="137">
        <f t="shared" si="243"/>
        <v>2014665.995</v>
      </c>
      <c r="BJ300" s="137">
        <f t="shared" si="243"/>
        <v>2016460.525</v>
      </c>
      <c r="BK300" s="137">
        <f t="shared" si="243"/>
        <v>2030427.293</v>
      </c>
      <c r="BL300" s="137">
        <f t="shared" si="243"/>
        <v>2023713.508</v>
      </c>
      <c r="BM300" s="137">
        <f t="shared" si="243"/>
        <v>2025553.276</v>
      </c>
      <c r="BN300" s="137">
        <f t="shared" si="243"/>
        <v>2027402.242</v>
      </c>
      <c r="BO300" s="137">
        <f t="shared" si="243"/>
        <v>2029260.454</v>
      </c>
      <c r="BP300" s="137">
        <f t="shared" si="243"/>
        <v>2031127.956</v>
      </c>
      <c r="BQ300" s="137">
        <f t="shared" si="243"/>
        <v>2033004.796</v>
      </c>
      <c r="BR300" s="137">
        <f t="shared" si="243"/>
        <v>2034891.02</v>
      </c>
      <c r="BS300" s="137">
        <f t="shared" si="243"/>
        <v>2036786.675</v>
      </c>
      <c r="BT300" s="137">
        <f t="shared" si="243"/>
        <v>2038691.808</v>
      </c>
      <c r="BU300" s="137">
        <f t="shared" si="243"/>
        <v>2040606.467</v>
      </c>
      <c r="BV300" s="137">
        <f t="shared" si="243"/>
        <v>2042530.699</v>
      </c>
      <c r="BW300" s="137">
        <f t="shared" si="243"/>
        <v>2044464.553</v>
      </c>
      <c r="BX300" s="137">
        <f t="shared" si="243"/>
        <v>2005594.098</v>
      </c>
      <c r="BY300" s="137">
        <f t="shared" si="243"/>
        <v>2007343.268</v>
      </c>
      <c r="BZ300" s="137">
        <f t="shared" si="243"/>
        <v>2009101.184</v>
      </c>
      <c r="CA300" s="137">
        <f t="shared" si="243"/>
        <v>2010867.89</v>
      </c>
      <c r="CB300" s="137">
        <f t="shared" si="243"/>
        <v>2012643.43</v>
      </c>
      <c r="CC300" s="137">
        <f t="shared" si="243"/>
        <v>2014427.847</v>
      </c>
      <c r="CD300" s="137">
        <f t="shared" si="243"/>
        <v>2016221.186</v>
      </c>
      <c r="CE300" s="137">
        <f t="shared" si="243"/>
        <v>2018023.492</v>
      </c>
      <c r="CF300" s="137">
        <f t="shared" si="243"/>
        <v>2019834.81</v>
      </c>
      <c r="CG300" s="137">
        <f t="shared" si="243"/>
        <v>2021655.184</v>
      </c>
      <c r="CH300" s="137">
        <f t="shared" si="243"/>
        <v>2023484.66</v>
      </c>
    </row>
    <row r="301" ht="15.75" customHeight="1">
      <c r="A301" s="273" t="s">
        <v>757</v>
      </c>
      <c r="B301" s="124"/>
      <c r="C301" s="124"/>
      <c r="D301" s="124"/>
      <c r="E301" s="124"/>
      <c r="F301" s="124"/>
      <c r="G301" s="124"/>
      <c r="H301" s="124"/>
      <c r="I301" s="124"/>
      <c r="J301" s="124"/>
      <c r="K301" s="124"/>
      <c r="L301" s="124"/>
      <c r="M301" s="124"/>
      <c r="N301" s="124"/>
      <c r="O301" s="495">
        <f t="shared" ref="O301:CH301" si="244">O298/O300</f>
        <v>7.194301217</v>
      </c>
      <c r="P301" s="495">
        <f t="shared" si="244"/>
        <v>12.4437978</v>
      </c>
      <c r="Q301" s="495">
        <f t="shared" si="244"/>
        <v>6.021696381</v>
      </c>
      <c r="R301" s="495">
        <f t="shared" si="244"/>
        <v>2.977612758</v>
      </c>
      <c r="S301" s="495">
        <f t="shared" si="244"/>
        <v>12.82136171</v>
      </c>
      <c r="T301" s="495">
        <f t="shared" si="244"/>
        <v>4.502127866</v>
      </c>
      <c r="U301" s="495">
        <f t="shared" si="244"/>
        <v>7.121376113</v>
      </c>
      <c r="V301" s="495">
        <f t="shared" si="244"/>
        <v>2.916643297</v>
      </c>
      <c r="W301" s="495">
        <f t="shared" si="244"/>
        <v>5.747939421</v>
      </c>
      <c r="X301" s="495">
        <f t="shared" si="244"/>
        <v>3.841370584</v>
      </c>
      <c r="Y301" s="495">
        <f t="shared" si="244"/>
        <v>4.499417647</v>
      </c>
      <c r="Z301" s="495">
        <f t="shared" si="244"/>
        <v>0.5357054492</v>
      </c>
      <c r="AA301" s="495">
        <f t="shared" si="244"/>
        <v>0.6047649481</v>
      </c>
      <c r="AB301" s="495">
        <f t="shared" si="244"/>
        <v>0.6357239122</v>
      </c>
      <c r="AC301" s="495">
        <f t="shared" si="244"/>
        <v>0.6270275912</v>
      </c>
      <c r="AD301" s="495">
        <f t="shared" si="244"/>
        <v>0.6204590468</v>
      </c>
      <c r="AE301" s="495">
        <f t="shared" si="244"/>
        <v>0.6433158156</v>
      </c>
      <c r="AF301" s="495">
        <f t="shared" si="244"/>
        <v>0.6760683428</v>
      </c>
      <c r="AG301" s="495">
        <f t="shared" si="244"/>
        <v>0.7128866278</v>
      </c>
      <c r="AH301" s="495">
        <f t="shared" si="244"/>
        <v>0.7273890677</v>
      </c>
      <c r="AI301" s="495">
        <f t="shared" si="244"/>
        <v>0.7424753468</v>
      </c>
      <c r="AJ301" s="495">
        <f t="shared" si="244"/>
        <v>0.736201364</v>
      </c>
      <c r="AK301" s="495">
        <f t="shared" si="244"/>
        <v>0.7623479182</v>
      </c>
      <c r="AL301" s="495">
        <f t="shared" si="244"/>
        <v>0.7800129773</v>
      </c>
      <c r="AM301" s="495">
        <f t="shared" si="244"/>
        <v>0.7328591054</v>
      </c>
      <c r="AN301" s="495">
        <f t="shared" si="244"/>
        <v>0.592138503</v>
      </c>
      <c r="AO301" s="495">
        <f t="shared" si="244"/>
        <v>0.5752190799</v>
      </c>
      <c r="AP301" s="495">
        <f t="shared" si="244"/>
        <v>0.5770145231</v>
      </c>
      <c r="AQ301" s="495">
        <f t="shared" si="244"/>
        <v>0.5788148303</v>
      </c>
      <c r="AR301" s="495">
        <f t="shared" si="244"/>
        <v>0.5832163894</v>
      </c>
      <c r="AS301" s="495">
        <f t="shared" si="244"/>
        <v>0.5850346438</v>
      </c>
      <c r="AT301" s="495">
        <f t="shared" si="244"/>
        <v>0.5868581227</v>
      </c>
      <c r="AU301" s="495">
        <f t="shared" si="244"/>
        <v>0.5886869023</v>
      </c>
      <c r="AV301" s="495">
        <f t="shared" si="244"/>
        <v>0.5905210513</v>
      </c>
      <c r="AW301" s="495">
        <f t="shared" si="244"/>
        <v>0.5923606322</v>
      </c>
      <c r="AX301" s="495">
        <f t="shared" si="244"/>
        <v>0.5942057021</v>
      </c>
      <c r="AY301" s="495">
        <f t="shared" si="244"/>
        <v>0.7255854729</v>
      </c>
      <c r="AZ301" s="495">
        <f t="shared" si="244"/>
        <v>0.7300759882</v>
      </c>
      <c r="BA301" s="495">
        <f t="shared" si="244"/>
        <v>0.7323401248</v>
      </c>
      <c r="BB301" s="495">
        <f t="shared" si="244"/>
        <v>0.7346115774</v>
      </c>
      <c r="BC301" s="495">
        <f t="shared" si="244"/>
        <v>0.7368903629</v>
      </c>
      <c r="BD301" s="495">
        <f t="shared" si="244"/>
        <v>0.7391764969</v>
      </c>
      <c r="BE301" s="495">
        <f t="shared" si="244"/>
        <v>0.7414699943</v>
      </c>
      <c r="BF301" s="495">
        <f t="shared" si="244"/>
        <v>0.7437708689</v>
      </c>
      <c r="BG301" s="495">
        <f t="shared" si="244"/>
        <v>0.7460791338</v>
      </c>
      <c r="BH301" s="495">
        <f t="shared" si="244"/>
        <v>0.7483948015</v>
      </c>
      <c r="BI301" s="495">
        <f t="shared" si="244"/>
        <v>0.7507178836</v>
      </c>
      <c r="BJ301" s="495">
        <f t="shared" si="244"/>
        <v>0.7530483915</v>
      </c>
      <c r="BK301" s="495">
        <f t="shared" si="244"/>
        <v>0.8109674113</v>
      </c>
      <c r="BL301" s="495">
        <f t="shared" si="244"/>
        <v>0.8019169758</v>
      </c>
      <c r="BM301" s="495">
        <f t="shared" si="244"/>
        <v>0.8044024576</v>
      </c>
      <c r="BN301" s="495">
        <f t="shared" si="244"/>
        <v>0.8068937795</v>
      </c>
      <c r="BO301" s="495">
        <f t="shared" si="244"/>
        <v>0.8093934376</v>
      </c>
      <c r="BP301" s="495">
        <f t="shared" si="244"/>
        <v>0.8119014142</v>
      </c>
      <c r="BQ301" s="495">
        <f t="shared" si="244"/>
        <v>0.8144176932</v>
      </c>
      <c r="BR301" s="495">
        <f t="shared" si="244"/>
        <v>0.8169422605</v>
      </c>
      <c r="BS301" s="495">
        <f t="shared" si="244"/>
        <v>0.8194751032</v>
      </c>
      <c r="BT301" s="495">
        <f t="shared" si="244"/>
        <v>0.8220162099</v>
      </c>
      <c r="BU301" s="495">
        <f t="shared" si="244"/>
        <v>0.8245655702</v>
      </c>
      <c r="BV301" s="495">
        <f t="shared" si="244"/>
        <v>0.8271231749</v>
      </c>
      <c r="BW301" s="495">
        <f t="shared" si="244"/>
        <v>0.8517549705</v>
      </c>
      <c r="BX301" s="495">
        <f t="shared" si="244"/>
        <v>0.7978478966</v>
      </c>
      <c r="BY301" s="495">
        <f t="shared" si="244"/>
        <v>0.8003236587</v>
      </c>
      <c r="BZ301" s="495">
        <f t="shared" si="244"/>
        <v>0.80280503</v>
      </c>
      <c r="CA301" s="495">
        <f t="shared" si="244"/>
        <v>0.8052943171</v>
      </c>
      <c r="CB301" s="495">
        <f t="shared" si="244"/>
        <v>0.8077915386</v>
      </c>
      <c r="CC301" s="495">
        <f t="shared" si="244"/>
        <v>0.8102967124</v>
      </c>
      <c r="CD301" s="495">
        <f t="shared" si="244"/>
        <v>0.8128098553</v>
      </c>
      <c r="CE301" s="495">
        <f t="shared" si="244"/>
        <v>0.8153309837</v>
      </c>
      <c r="CF301" s="495">
        <f t="shared" si="244"/>
        <v>0.8178601131</v>
      </c>
      <c r="CG301" s="495">
        <f t="shared" si="244"/>
        <v>0.8203972584</v>
      </c>
      <c r="CH301" s="495">
        <f t="shared" si="244"/>
        <v>0.8229424341</v>
      </c>
    </row>
    <row r="302" ht="15.75" customHeight="1">
      <c r="A302" s="91"/>
      <c r="B302" s="137"/>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row>
    <row r="303" ht="15.75" customHeight="1">
      <c r="A303" s="1" t="s">
        <v>758</v>
      </c>
      <c r="B303" s="305">
        <v>110000.0</v>
      </c>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row>
    <row r="304" ht="15.75" customHeight="1">
      <c r="A304" s="1" t="s">
        <v>759</v>
      </c>
      <c r="B304" s="266">
        <v>0.0305</v>
      </c>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row>
    <row r="305" ht="15.75" customHeight="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row>
    <row r="306" ht="15.75" customHeight="1">
      <c r="A306" s="4" t="s">
        <v>760</v>
      </c>
      <c r="B306" s="4"/>
      <c r="C306" s="4"/>
      <c r="D306" s="4"/>
      <c r="E306" s="4"/>
      <c r="F306" s="4"/>
      <c r="G306" s="4"/>
      <c r="H306" s="4"/>
      <c r="I306" s="4"/>
      <c r="J306" s="4"/>
      <c r="K306" s="4"/>
      <c r="L306" s="4"/>
      <c r="M306" s="4"/>
      <c r="N306" s="4"/>
      <c r="O306" s="5">
        <f t="shared" ref="O306:CH306" si="245">O266+O276+O291+O271</f>
        <v>5</v>
      </c>
      <c r="P306" s="5">
        <f t="shared" si="245"/>
        <v>5</v>
      </c>
      <c r="Q306" s="5">
        <f t="shared" si="245"/>
        <v>5</v>
      </c>
      <c r="R306" s="5">
        <f t="shared" si="245"/>
        <v>5</v>
      </c>
      <c r="S306" s="5">
        <f t="shared" si="245"/>
        <v>5</v>
      </c>
      <c r="T306" s="5">
        <f t="shared" si="245"/>
        <v>6</v>
      </c>
      <c r="U306" s="5">
        <f t="shared" si="245"/>
        <v>6</v>
      </c>
      <c r="V306" s="5">
        <f t="shared" si="245"/>
        <v>8</v>
      </c>
      <c r="W306" s="498">
        <f t="shared" si="245"/>
        <v>10</v>
      </c>
      <c r="X306" s="498">
        <f t="shared" si="245"/>
        <v>12</v>
      </c>
      <c r="Y306" s="498">
        <f t="shared" si="245"/>
        <v>14</v>
      </c>
      <c r="Z306" s="4">
        <f t="shared" si="245"/>
        <v>17</v>
      </c>
      <c r="AA306" s="4">
        <f t="shared" si="245"/>
        <v>17</v>
      </c>
      <c r="AB306" s="4">
        <f t="shared" si="245"/>
        <v>18</v>
      </c>
      <c r="AC306" s="4">
        <f t="shared" si="245"/>
        <v>19</v>
      </c>
      <c r="AD306" s="4">
        <f t="shared" si="245"/>
        <v>20</v>
      </c>
      <c r="AE306" s="4">
        <f t="shared" si="245"/>
        <v>20</v>
      </c>
      <c r="AF306" s="4">
        <f t="shared" si="245"/>
        <v>20</v>
      </c>
      <c r="AG306" s="4">
        <f t="shared" si="245"/>
        <v>20</v>
      </c>
      <c r="AH306" s="4">
        <f t="shared" si="245"/>
        <v>20</v>
      </c>
      <c r="AI306" s="4">
        <f t="shared" si="245"/>
        <v>20</v>
      </c>
      <c r="AJ306" s="4">
        <f t="shared" si="245"/>
        <v>20</v>
      </c>
      <c r="AK306" s="4">
        <f t="shared" si="245"/>
        <v>20</v>
      </c>
      <c r="AL306" s="4">
        <f t="shared" si="245"/>
        <v>20</v>
      </c>
      <c r="AM306" s="4">
        <f t="shared" si="245"/>
        <v>20</v>
      </c>
      <c r="AN306" s="4">
        <f t="shared" si="245"/>
        <v>20</v>
      </c>
      <c r="AO306" s="4">
        <f t="shared" si="245"/>
        <v>20</v>
      </c>
      <c r="AP306" s="4">
        <f t="shared" si="245"/>
        <v>20</v>
      </c>
      <c r="AQ306" s="4">
        <f t="shared" si="245"/>
        <v>20</v>
      </c>
      <c r="AR306" s="4">
        <f t="shared" si="245"/>
        <v>20</v>
      </c>
      <c r="AS306" s="4">
        <f t="shared" si="245"/>
        <v>20</v>
      </c>
      <c r="AT306" s="4">
        <f t="shared" si="245"/>
        <v>20</v>
      </c>
      <c r="AU306" s="4">
        <f t="shared" si="245"/>
        <v>20</v>
      </c>
      <c r="AV306" s="4">
        <f t="shared" si="245"/>
        <v>20</v>
      </c>
      <c r="AW306" s="4">
        <f t="shared" si="245"/>
        <v>20</v>
      </c>
      <c r="AX306" s="4">
        <f t="shared" si="245"/>
        <v>20</v>
      </c>
      <c r="AY306" s="4">
        <f t="shared" si="245"/>
        <v>20</v>
      </c>
      <c r="AZ306" s="4">
        <f t="shared" si="245"/>
        <v>20</v>
      </c>
      <c r="BA306" s="4">
        <f t="shared" si="245"/>
        <v>20</v>
      </c>
      <c r="BB306" s="4">
        <f t="shared" si="245"/>
        <v>20</v>
      </c>
      <c r="BC306" s="4">
        <f t="shared" si="245"/>
        <v>20</v>
      </c>
      <c r="BD306" s="4">
        <f t="shared" si="245"/>
        <v>20</v>
      </c>
      <c r="BE306" s="4">
        <f t="shared" si="245"/>
        <v>20</v>
      </c>
      <c r="BF306" s="4">
        <f t="shared" si="245"/>
        <v>20</v>
      </c>
      <c r="BG306" s="4">
        <f t="shared" si="245"/>
        <v>20</v>
      </c>
      <c r="BH306" s="4">
        <f t="shared" si="245"/>
        <v>20</v>
      </c>
      <c r="BI306" s="4">
        <f t="shared" si="245"/>
        <v>20</v>
      </c>
      <c r="BJ306" s="4">
        <f t="shared" si="245"/>
        <v>20</v>
      </c>
      <c r="BK306" s="4">
        <f t="shared" si="245"/>
        <v>20</v>
      </c>
      <c r="BL306" s="4">
        <f t="shared" si="245"/>
        <v>20</v>
      </c>
      <c r="BM306" s="4">
        <f t="shared" si="245"/>
        <v>20</v>
      </c>
      <c r="BN306" s="4">
        <f t="shared" si="245"/>
        <v>20</v>
      </c>
      <c r="BO306" s="4">
        <f t="shared" si="245"/>
        <v>20</v>
      </c>
      <c r="BP306" s="4">
        <f t="shared" si="245"/>
        <v>20</v>
      </c>
      <c r="BQ306" s="4">
        <f t="shared" si="245"/>
        <v>20</v>
      </c>
      <c r="BR306" s="4">
        <f t="shared" si="245"/>
        <v>20</v>
      </c>
      <c r="BS306" s="4">
        <f t="shared" si="245"/>
        <v>20</v>
      </c>
      <c r="BT306" s="4">
        <f t="shared" si="245"/>
        <v>20</v>
      </c>
      <c r="BU306" s="4">
        <f t="shared" si="245"/>
        <v>20</v>
      </c>
      <c r="BV306" s="4">
        <f t="shared" si="245"/>
        <v>20</v>
      </c>
      <c r="BW306" s="4">
        <f t="shared" si="245"/>
        <v>20</v>
      </c>
      <c r="BX306" s="4">
        <f t="shared" si="245"/>
        <v>20</v>
      </c>
      <c r="BY306" s="4">
        <f t="shared" si="245"/>
        <v>20</v>
      </c>
      <c r="BZ306" s="4">
        <f t="shared" si="245"/>
        <v>20</v>
      </c>
      <c r="CA306" s="4">
        <f t="shared" si="245"/>
        <v>20</v>
      </c>
      <c r="CB306" s="4">
        <f t="shared" si="245"/>
        <v>20</v>
      </c>
      <c r="CC306" s="4">
        <f t="shared" si="245"/>
        <v>20</v>
      </c>
      <c r="CD306" s="4">
        <f t="shared" si="245"/>
        <v>20</v>
      </c>
      <c r="CE306" s="4">
        <f t="shared" si="245"/>
        <v>20</v>
      </c>
      <c r="CF306" s="4">
        <f t="shared" si="245"/>
        <v>20</v>
      </c>
      <c r="CG306" s="4">
        <f t="shared" si="245"/>
        <v>20</v>
      </c>
      <c r="CH306" s="4">
        <f t="shared" si="245"/>
        <v>20</v>
      </c>
    </row>
    <row r="307" ht="15.75" customHeight="1">
      <c r="A307" s="1" t="s">
        <v>761</v>
      </c>
      <c r="C307" s="1"/>
      <c r="D307" s="1"/>
      <c r="E307" s="1"/>
      <c r="F307" s="1"/>
      <c r="G307" s="1"/>
      <c r="H307" s="1"/>
      <c r="I307" s="1"/>
      <c r="J307" s="1"/>
      <c r="K307" s="1"/>
      <c r="L307" s="1"/>
      <c r="M307" s="1"/>
      <c r="N307" s="1"/>
      <c r="O307" s="1"/>
      <c r="P307" s="1"/>
      <c r="Q307" s="1"/>
      <c r="R307" s="1"/>
      <c r="S307" s="1"/>
      <c r="T307" s="1">
        <f t="shared" ref="T307:CH307" si="246">T306-S306</f>
        <v>1</v>
      </c>
      <c r="U307" s="1">
        <f t="shared" si="246"/>
        <v>0</v>
      </c>
      <c r="V307" s="1">
        <f t="shared" si="246"/>
        <v>2</v>
      </c>
      <c r="W307" s="1">
        <f t="shared" si="246"/>
        <v>2</v>
      </c>
      <c r="X307" s="1">
        <f t="shared" si="246"/>
        <v>2</v>
      </c>
      <c r="Y307" s="1">
        <f t="shared" si="246"/>
        <v>2</v>
      </c>
      <c r="Z307" s="1">
        <f t="shared" si="246"/>
        <v>3</v>
      </c>
      <c r="AA307" s="1">
        <f t="shared" si="246"/>
        <v>0</v>
      </c>
      <c r="AB307" s="1">
        <f t="shared" si="246"/>
        <v>1</v>
      </c>
      <c r="AC307" s="1">
        <f t="shared" si="246"/>
        <v>1</v>
      </c>
      <c r="AD307" s="1">
        <f t="shared" si="246"/>
        <v>1</v>
      </c>
      <c r="AE307" s="1">
        <f t="shared" si="246"/>
        <v>0</v>
      </c>
      <c r="AF307" s="1">
        <f t="shared" si="246"/>
        <v>0</v>
      </c>
      <c r="AG307" s="1">
        <f t="shared" si="246"/>
        <v>0</v>
      </c>
      <c r="AH307" s="1">
        <f t="shared" si="246"/>
        <v>0</v>
      </c>
      <c r="AI307" s="1">
        <f t="shared" si="246"/>
        <v>0</v>
      </c>
      <c r="AJ307" s="1">
        <f t="shared" si="246"/>
        <v>0</v>
      </c>
      <c r="AK307" s="1">
        <f t="shared" si="246"/>
        <v>0</v>
      </c>
      <c r="AL307" s="1">
        <f t="shared" si="246"/>
        <v>0</v>
      </c>
      <c r="AM307" s="1">
        <f t="shared" si="246"/>
        <v>0</v>
      </c>
      <c r="AN307" s="1">
        <f t="shared" si="246"/>
        <v>0</v>
      </c>
      <c r="AO307" s="1">
        <f t="shared" si="246"/>
        <v>0</v>
      </c>
      <c r="AP307" s="1">
        <f t="shared" si="246"/>
        <v>0</v>
      </c>
      <c r="AQ307" s="1">
        <f t="shared" si="246"/>
        <v>0</v>
      </c>
      <c r="AR307" s="1">
        <f t="shared" si="246"/>
        <v>0</v>
      </c>
      <c r="AS307" s="1">
        <f t="shared" si="246"/>
        <v>0</v>
      </c>
      <c r="AT307" s="1">
        <f t="shared" si="246"/>
        <v>0</v>
      </c>
      <c r="AU307" s="1">
        <f t="shared" si="246"/>
        <v>0</v>
      </c>
      <c r="AV307" s="1">
        <f t="shared" si="246"/>
        <v>0</v>
      </c>
      <c r="AW307" s="1">
        <f t="shared" si="246"/>
        <v>0</v>
      </c>
      <c r="AX307" s="1">
        <f t="shared" si="246"/>
        <v>0</v>
      </c>
      <c r="AY307" s="1">
        <f t="shared" si="246"/>
        <v>0</v>
      </c>
      <c r="AZ307" s="1">
        <f t="shared" si="246"/>
        <v>0</v>
      </c>
      <c r="BA307" s="1">
        <f t="shared" si="246"/>
        <v>0</v>
      </c>
      <c r="BB307" s="1">
        <f t="shared" si="246"/>
        <v>0</v>
      </c>
      <c r="BC307" s="1">
        <f t="shared" si="246"/>
        <v>0</v>
      </c>
      <c r="BD307" s="1">
        <f t="shared" si="246"/>
        <v>0</v>
      </c>
      <c r="BE307" s="1">
        <f t="shared" si="246"/>
        <v>0</v>
      </c>
      <c r="BF307" s="1">
        <f t="shared" si="246"/>
        <v>0</v>
      </c>
      <c r="BG307" s="1">
        <f t="shared" si="246"/>
        <v>0</v>
      </c>
      <c r="BH307" s="1">
        <f t="shared" si="246"/>
        <v>0</v>
      </c>
      <c r="BI307" s="1">
        <f t="shared" si="246"/>
        <v>0</v>
      </c>
      <c r="BJ307" s="1">
        <f t="shared" si="246"/>
        <v>0</v>
      </c>
      <c r="BK307" s="1">
        <f t="shared" si="246"/>
        <v>0</v>
      </c>
      <c r="BL307" s="1">
        <f t="shared" si="246"/>
        <v>0</v>
      </c>
      <c r="BM307" s="1">
        <f t="shared" si="246"/>
        <v>0</v>
      </c>
      <c r="BN307" s="1">
        <f t="shared" si="246"/>
        <v>0</v>
      </c>
      <c r="BO307" s="1">
        <f t="shared" si="246"/>
        <v>0</v>
      </c>
      <c r="BP307" s="1">
        <f t="shared" si="246"/>
        <v>0</v>
      </c>
      <c r="BQ307" s="1">
        <f t="shared" si="246"/>
        <v>0</v>
      </c>
      <c r="BR307" s="1">
        <f t="shared" si="246"/>
        <v>0</v>
      </c>
      <c r="BS307" s="1">
        <f t="shared" si="246"/>
        <v>0</v>
      </c>
      <c r="BT307" s="1">
        <f t="shared" si="246"/>
        <v>0</v>
      </c>
      <c r="BU307" s="1">
        <f t="shared" si="246"/>
        <v>0</v>
      </c>
      <c r="BV307" s="1">
        <f t="shared" si="246"/>
        <v>0</v>
      </c>
      <c r="BW307" s="1">
        <f t="shared" si="246"/>
        <v>0</v>
      </c>
      <c r="BX307" s="1">
        <f t="shared" si="246"/>
        <v>0</v>
      </c>
      <c r="BY307" s="1">
        <f t="shared" si="246"/>
        <v>0</v>
      </c>
      <c r="BZ307" s="1">
        <f t="shared" si="246"/>
        <v>0</v>
      </c>
      <c r="CA307" s="1">
        <f t="shared" si="246"/>
        <v>0</v>
      </c>
      <c r="CB307" s="1">
        <f t="shared" si="246"/>
        <v>0</v>
      </c>
      <c r="CC307" s="1">
        <f t="shared" si="246"/>
        <v>0</v>
      </c>
      <c r="CD307" s="1">
        <f t="shared" si="246"/>
        <v>0</v>
      </c>
      <c r="CE307" s="1">
        <f t="shared" si="246"/>
        <v>0</v>
      </c>
      <c r="CF307" s="1">
        <f t="shared" si="246"/>
        <v>0</v>
      </c>
      <c r="CG307" s="1">
        <f t="shared" si="246"/>
        <v>0</v>
      </c>
      <c r="CH307" s="1">
        <f t="shared" si="246"/>
        <v>0</v>
      </c>
    </row>
    <row r="308" ht="15.75" customHeight="1">
      <c r="A308" s="1" t="s">
        <v>762</v>
      </c>
      <c r="C308" s="1"/>
      <c r="D308" s="1"/>
      <c r="E308" s="1"/>
      <c r="F308" s="1"/>
      <c r="G308" s="1"/>
      <c r="H308" s="1"/>
      <c r="I308" s="1"/>
      <c r="J308" s="1"/>
      <c r="K308" s="1"/>
      <c r="L308" s="1"/>
      <c r="M308" s="1"/>
      <c r="N308" s="1"/>
      <c r="O308" s="262">
        <f>'New Biz Sales'!O118</f>
        <v>7889570</v>
      </c>
      <c r="P308" s="262">
        <f>'New Biz Sales'!P118</f>
        <v>10070690</v>
      </c>
      <c r="Q308" s="262">
        <f>'New Biz Sales'!Q118</f>
        <v>11116420</v>
      </c>
      <c r="R308" s="262">
        <f>'New Biz Sales'!R118</f>
        <v>10136605</v>
      </c>
      <c r="S308" s="262">
        <f>'New Biz Sales'!S118</f>
        <v>5566440</v>
      </c>
      <c r="T308" s="262">
        <f>'New Biz Sales'!T118</f>
        <v>9897825</v>
      </c>
      <c r="U308" s="262">
        <f>'New Biz Sales'!U118</f>
        <v>9207125</v>
      </c>
      <c r="V308" s="262">
        <f>'New Biz Sales'!V118</f>
        <v>7875660</v>
      </c>
      <c r="W308" s="262">
        <f>'New Biz Sales'!W118</f>
        <v>12121670</v>
      </c>
      <c r="X308" s="262">
        <f>'New Biz Sales'!X118</f>
        <v>6737185</v>
      </c>
      <c r="Y308" s="262">
        <f>'New Biz Sales'!Y118</f>
        <v>9882730</v>
      </c>
      <c r="Z308" s="262">
        <f>'New Biz Sales'!Z118</f>
        <v>2313937.5</v>
      </c>
      <c r="AA308" s="262">
        <f>'New Biz Sales'!AA118</f>
        <v>2823259.5</v>
      </c>
      <c r="AB308" s="262">
        <f>'New Biz Sales'!AB118</f>
        <v>3105585.45</v>
      </c>
      <c r="AC308" s="262">
        <f>'New Biz Sales'!AC118</f>
        <v>3105585.45</v>
      </c>
      <c r="AD308" s="262">
        <f>'New Biz Sales'!AD118</f>
        <v>3105585.45</v>
      </c>
      <c r="AE308" s="262">
        <f>'New Biz Sales'!AE118</f>
        <v>3105585.45</v>
      </c>
      <c r="AF308" s="262">
        <f>'New Biz Sales'!AF118</f>
        <v>3158933.184</v>
      </c>
      <c r="AG308" s="262">
        <f>'New Biz Sales'!AG118</f>
        <v>3158933.184</v>
      </c>
      <c r="AH308" s="262">
        <f>'New Biz Sales'!AH118</f>
        <v>3158933.184</v>
      </c>
      <c r="AI308" s="262">
        <f>'New Biz Sales'!AI118</f>
        <v>3158933.184</v>
      </c>
      <c r="AJ308" s="262">
        <f>'New Biz Sales'!AJ118</f>
        <v>3034233.992</v>
      </c>
      <c r="AK308" s="262">
        <f>'New Biz Sales'!AK118</f>
        <v>3034233.992</v>
      </c>
      <c r="AL308" s="262">
        <f>'New Biz Sales'!AL118</f>
        <v>3034233.992</v>
      </c>
      <c r="AM308" s="262">
        <f>'New Biz Sales'!AM118</f>
        <v>3068628.671</v>
      </c>
      <c r="AN308" s="262">
        <f>'New Biz Sales'!AN118</f>
        <v>2319632.494</v>
      </c>
      <c r="AO308" s="262">
        <f>'New Biz Sales'!AO118</f>
        <v>2235924.531</v>
      </c>
      <c r="AP308" s="262">
        <f>'New Biz Sales'!AP118</f>
        <v>2244629.153</v>
      </c>
      <c r="AQ308" s="262">
        <f>'New Biz Sales'!AQ118</f>
        <v>2253377.299</v>
      </c>
      <c r="AR308" s="262">
        <f>'New Biz Sales'!AR118</f>
        <v>2274975.21</v>
      </c>
      <c r="AS308" s="262">
        <f>'New Biz Sales'!AS118</f>
        <v>2283875.086</v>
      </c>
      <c r="AT308" s="262">
        <f>'New Biz Sales'!AT118</f>
        <v>2292819.462</v>
      </c>
      <c r="AU308" s="262">
        <f>'New Biz Sales'!AU118</f>
        <v>2301808.559</v>
      </c>
      <c r="AV308" s="262">
        <f>'New Biz Sales'!AV118</f>
        <v>2310842.602</v>
      </c>
      <c r="AW308" s="262">
        <f>'New Biz Sales'!AW118</f>
        <v>2319921.815</v>
      </c>
      <c r="AX308" s="262">
        <f>'New Biz Sales'!AX118</f>
        <v>2329046.424</v>
      </c>
      <c r="AY308" s="262">
        <f>'New Biz Sales'!AY118</f>
        <v>2351580.111</v>
      </c>
      <c r="AZ308" s="262">
        <f>'New Biz Sales'!AZ118</f>
        <v>2370145.912</v>
      </c>
      <c r="BA308" s="262">
        <f>'New Biz Sales'!BA118</f>
        <v>2379521.642</v>
      </c>
      <c r="BB308" s="262">
        <f>'New Biz Sales'!BB118</f>
        <v>2388944.25</v>
      </c>
      <c r="BC308" s="262">
        <f>'New Biz Sales'!BC118</f>
        <v>2398413.971</v>
      </c>
      <c r="BD308" s="262">
        <f>'New Biz Sales'!BD118</f>
        <v>2407931.041</v>
      </c>
      <c r="BE308" s="262">
        <f>'New Biz Sales'!BE118</f>
        <v>2417495.696</v>
      </c>
      <c r="BF308" s="262">
        <f>'New Biz Sales'!BF118</f>
        <v>2427108.175</v>
      </c>
      <c r="BG308" s="262">
        <f>'New Biz Sales'!BG118</f>
        <v>2436768.715</v>
      </c>
      <c r="BH308" s="262">
        <f>'New Biz Sales'!BH118</f>
        <v>2446477.559</v>
      </c>
      <c r="BI308" s="262">
        <f>'New Biz Sales'!BI118</f>
        <v>2456234.947</v>
      </c>
      <c r="BJ308" s="262">
        <f>'New Biz Sales'!BJ118</f>
        <v>2466041.122</v>
      </c>
      <c r="BK308" s="262">
        <f>'New Biz Sales'!BK118</f>
        <v>2542362.257</v>
      </c>
      <c r="BL308" s="262">
        <f>'New Biz Sales'!BL118</f>
        <v>2505674.909</v>
      </c>
      <c r="BM308" s="262">
        <f>'New Biz Sales'!BM118</f>
        <v>2515728.284</v>
      </c>
      <c r="BN308" s="262">
        <f>'New Biz Sales'!BN118</f>
        <v>2525831.925</v>
      </c>
      <c r="BO308" s="262">
        <f>'New Biz Sales'!BO118</f>
        <v>2535986.085</v>
      </c>
      <c r="BP308" s="262">
        <f>'New Biz Sales'!BP118</f>
        <v>2546191.015</v>
      </c>
      <c r="BQ308" s="262">
        <f>'New Biz Sales'!BQ118</f>
        <v>2556446.971</v>
      </c>
      <c r="BR308" s="262">
        <f>'New Biz Sales'!BR118</f>
        <v>2566754.205</v>
      </c>
      <c r="BS308" s="262">
        <f>'New Biz Sales'!BS118</f>
        <v>2577112.976</v>
      </c>
      <c r="BT308" s="262">
        <f>'New Biz Sales'!BT118</f>
        <v>2587523.541</v>
      </c>
      <c r="BU308" s="262">
        <f>'New Biz Sales'!BU118</f>
        <v>2597986.159</v>
      </c>
      <c r="BV308" s="262">
        <f>'New Biz Sales'!BV118</f>
        <v>2608501.09</v>
      </c>
      <c r="BW308" s="262">
        <f>'New Biz Sales'!BW118</f>
        <v>2619068.595</v>
      </c>
      <c r="BX308" s="262">
        <f>'New Biz Sales'!BX118</f>
        <v>2406661.736</v>
      </c>
      <c r="BY308" s="262">
        <f>'New Biz Sales'!BY118</f>
        <v>2416220.044</v>
      </c>
      <c r="BZ308" s="262">
        <f>'New Biz Sales'!BZ118</f>
        <v>2425826.145</v>
      </c>
      <c r="CA308" s="262">
        <f>'New Biz Sales'!CA118</f>
        <v>2435480.275</v>
      </c>
      <c r="CB308" s="262">
        <f>'New Biz Sales'!CB118</f>
        <v>2445182.677</v>
      </c>
      <c r="CC308" s="262">
        <f>'New Biz Sales'!CC118</f>
        <v>2454933.59</v>
      </c>
      <c r="CD308" s="262">
        <f>'New Biz Sales'!CD118</f>
        <v>2464733.258</v>
      </c>
      <c r="CE308" s="262">
        <f>'New Biz Sales'!CE118</f>
        <v>2474581.924</v>
      </c>
      <c r="CF308" s="262">
        <f>'New Biz Sales'!CF118</f>
        <v>2484479.834</v>
      </c>
      <c r="CG308" s="262">
        <f>'New Biz Sales'!CG118</f>
        <v>2494427.233</v>
      </c>
      <c r="CH308" s="262">
        <f>'New Biz Sales'!CH118</f>
        <v>2504424.369</v>
      </c>
    </row>
    <row r="309" ht="15.75" customHeight="1">
      <c r="A309" s="1" t="s">
        <v>763</v>
      </c>
      <c r="C309" s="1"/>
      <c r="D309" s="1"/>
      <c r="E309" s="1"/>
      <c r="F309" s="1"/>
      <c r="G309" s="1"/>
      <c r="H309" s="1"/>
      <c r="I309" s="1"/>
      <c r="J309" s="1"/>
      <c r="K309" s="1"/>
      <c r="L309" s="1"/>
      <c r="M309" s="1"/>
      <c r="N309" s="1"/>
      <c r="O309" s="1"/>
      <c r="P309" s="137">
        <f t="shared" ref="P309:CH309" si="247">P308-O308</f>
        <v>2181120</v>
      </c>
      <c r="Q309" s="137">
        <f t="shared" si="247"/>
        <v>1045730</v>
      </c>
      <c r="R309" s="137">
        <f t="shared" si="247"/>
        <v>-979815</v>
      </c>
      <c r="S309" s="137">
        <f t="shared" si="247"/>
        <v>-4570165</v>
      </c>
      <c r="T309" s="137">
        <f t="shared" si="247"/>
        <v>4331385</v>
      </c>
      <c r="U309" s="137">
        <f t="shared" si="247"/>
        <v>-690700</v>
      </c>
      <c r="V309" s="137">
        <f t="shared" si="247"/>
        <v>-1331465</v>
      </c>
      <c r="W309" s="137">
        <f t="shared" si="247"/>
        <v>4246010</v>
      </c>
      <c r="X309" s="137">
        <f t="shared" si="247"/>
        <v>-5384485</v>
      </c>
      <c r="Y309" s="137">
        <f t="shared" si="247"/>
        <v>3145545</v>
      </c>
      <c r="Z309" s="137">
        <f t="shared" si="247"/>
        <v>-7568792.5</v>
      </c>
      <c r="AA309" s="137">
        <f t="shared" si="247"/>
        <v>509322</v>
      </c>
      <c r="AB309" s="137">
        <f t="shared" si="247"/>
        <v>282325.95</v>
      </c>
      <c r="AC309" s="137">
        <f t="shared" si="247"/>
        <v>0</v>
      </c>
      <c r="AD309" s="137">
        <f t="shared" si="247"/>
        <v>0</v>
      </c>
      <c r="AE309" s="137">
        <f t="shared" si="247"/>
        <v>0</v>
      </c>
      <c r="AF309" s="137">
        <f t="shared" si="247"/>
        <v>53347.734</v>
      </c>
      <c r="AG309" s="137">
        <f t="shared" si="247"/>
        <v>0</v>
      </c>
      <c r="AH309" s="137">
        <f t="shared" si="247"/>
        <v>0</v>
      </c>
      <c r="AI309" s="137">
        <f t="shared" si="247"/>
        <v>0</v>
      </c>
      <c r="AJ309" s="137">
        <f t="shared" si="247"/>
        <v>-124699.1922</v>
      </c>
      <c r="AK309" s="137">
        <f t="shared" si="247"/>
        <v>0</v>
      </c>
      <c r="AL309" s="137">
        <f t="shared" si="247"/>
        <v>0</v>
      </c>
      <c r="AM309" s="137">
        <f t="shared" si="247"/>
        <v>34394.67926</v>
      </c>
      <c r="AN309" s="137">
        <f t="shared" si="247"/>
        <v>-748996.1766</v>
      </c>
      <c r="AO309" s="137">
        <f t="shared" si="247"/>
        <v>-83707.96377</v>
      </c>
      <c r="AP309" s="137">
        <f t="shared" si="247"/>
        <v>8704.622653</v>
      </c>
      <c r="AQ309" s="137">
        <f t="shared" si="247"/>
        <v>8748.145767</v>
      </c>
      <c r="AR309" s="137">
        <f t="shared" si="247"/>
        <v>21597.91134</v>
      </c>
      <c r="AS309" s="137">
        <f t="shared" si="247"/>
        <v>8899.876052</v>
      </c>
      <c r="AT309" s="137">
        <f t="shared" si="247"/>
        <v>8944.375432</v>
      </c>
      <c r="AU309" s="137">
        <f t="shared" si="247"/>
        <v>8989.09731</v>
      </c>
      <c r="AV309" s="137">
        <f t="shared" si="247"/>
        <v>9034.042796</v>
      </c>
      <c r="AW309" s="137">
        <f t="shared" si="247"/>
        <v>9079.21301</v>
      </c>
      <c r="AX309" s="137">
        <f t="shared" si="247"/>
        <v>9124.609075</v>
      </c>
      <c r="AY309" s="137">
        <f t="shared" si="247"/>
        <v>22533.68683</v>
      </c>
      <c r="AZ309" s="137">
        <f t="shared" si="247"/>
        <v>18565.80111</v>
      </c>
      <c r="BA309" s="137">
        <f t="shared" si="247"/>
        <v>9375.72956</v>
      </c>
      <c r="BB309" s="137">
        <f t="shared" si="247"/>
        <v>9422.608208</v>
      </c>
      <c r="BC309" s="137">
        <f t="shared" si="247"/>
        <v>9469.721249</v>
      </c>
      <c r="BD309" s="137">
        <f t="shared" si="247"/>
        <v>9517.069855</v>
      </c>
      <c r="BE309" s="137">
        <f t="shared" si="247"/>
        <v>9564.655205</v>
      </c>
      <c r="BF309" s="137">
        <f t="shared" si="247"/>
        <v>9612.478481</v>
      </c>
      <c r="BG309" s="137">
        <f t="shared" si="247"/>
        <v>9660.540873</v>
      </c>
      <c r="BH309" s="137">
        <f t="shared" si="247"/>
        <v>9708.843577</v>
      </c>
      <c r="BI309" s="137">
        <f t="shared" si="247"/>
        <v>9757.387795</v>
      </c>
      <c r="BJ309" s="137">
        <f t="shared" si="247"/>
        <v>9806.174734</v>
      </c>
      <c r="BK309" s="137">
        <f t="shared" si="247"/>
        <v>76321.13498</v>
      </c>
      <c r="BL309" s="137">
        <f t="shared" si="247"/>
        <v>-36687.34713</v>
      </c>
      <c r="BM309" s="137">
        <f t="shared" si="247"/>
        <v>10053.37455</v>
      </c>
      <c r="BN309" s="137">
        <f t="shared" si="247"/>
        <v>10103.64142</v>
      </c>
      <c r="BO309" s="137">
        <f t="shared" si="247"/>
        <v>10154.15963</v>
      </c>
      <c r="BP309" s="137">
        <f t="shared" si="247"/>
        <v>10204.93043</v>
      </c>
      <c r="BQ309" s="137">
        <f t="shared" si="247"/>
        <v>10255.95508</v>
      </c>
      <c r="BR309" s="137">
        <f t="shared" si="247"/>
        <v>10307.23485</v>
      </c>
      <c r="BS309" s="137">
        <f t="shared" si="247"/>
        <v>10358.77103</v>
      </c>
      <c r="BT309" s="137">
        <f t="shared" si="247"/>
        <v>10410.56488</v>
      </c>
      <c r="BU309" s="137">
        <f t="shared" si="247"/>
        <v>10462.61771</v>
      </c>
      <c r="BV309" s="137">
        <f t="shared" si="247"/>
        <v>10514.9308</v>
      </c>
      <c r="BW309" s="137">
        <f t="shared" si="247"/>
        <v>10567.50545</v>
      </c>
      <c r="BX309" s="137">
        <f t="shared" si="247"/>
        <v>-212406.8595</v>
      </c>
      <c r="BY309" s="137">
        <f t="shared" si="247"/>
        <v>9558.308679</v>
      </c>
      <c r="BZ309" s="137">
        <f t="shared" si="247"/>
        <v>9606.100222</v>
      </c>
      <c r="CA309" s="137">
        <f t="shared" si="247"/>
        <v>9654.130723</v>
      </c>
      <c r="CB309" s="137">
        <f t="shared" si="247"/>
        <v>9702.401377</v>
      </c>
      <c r="CC309" s="137">
        <f t="shared" si="247"/>
        <v>9750.913384</v>
      </c>
      <c r="CD309" s="137">
        <f t="shared" si="247"/>
        <v>9799.667951</v>
      </c>
      <c r="CE309" s="137">
        <f t="shared" si="247"/>
        <v>9848.66629</v>
      </c>
      <c r="CF309" s="137">
        <f t="shared" si="247"/>
        <v>9897.909622</v>
      </c>
      <c r="CG309" s="137">
        <f t="shared" si="247"/>
        <v>9947.39917</v>
      </c>
      <c r="CH309" s="137">
        <f t="shared" si="247"/>
        <v>9997.136166</v>
      </c>
    </row>
    <row r="310" ht="15.75" customHeight="1">
      <c r="A310" s="91" t="s">
        <v>101</v>
      </c>
      <c r="B310" s="305"/>
      <c r="C310" s="1"/>
      <c r="D310" s="1"/>
      <c r="E310" s="1"/>
      <c r="F310" s="1"/>
      <c r="G310" s="1"/>
      <c r="H310" s="1"/>
      <c r="I310" s="1"/>
      <c r="J310" s="1"/>
      <c r="K310" s="1"/>
      <c r="L310" s="1"/>
      <c r="M310" s="1"/>
      <c r="N310" s="1"/>
      <c r="O310" s="499">
        <f>Retention!O157</f>
        <v>0.9831501005</v>
      </c>
      <c r="P310" s="499">
        <f>Retention!P157</f>
        <v>0.9788024487</v>
      </c>
      <c r="Q310" s="499">
        <f>Retention!Q157</f>
        <v>0.9790411837</v>
      </c>
      <c r="R310" s="499">
        <v>0.6</v>
      </c>
      <c r="S310" s="499">
        <v>0.6</v>
      </c>
      <c r="T310" s="499">
        <v>0.6</v>
      </c>
      <c r="U310" s="499">
        <v>0.6</v>
      </c>
      <c r="V310" s="499">
        <v>0.6</v>
      </c>
      <c r="W310" s="499">
        <v>0.6</v>
      </c>
      <c r="X310" s="499">
        <v>0.6</v>
      </c>
      <c r="Y310" s="499">
        <v>0.6</v>
      </c>
      <c r="Z310" s="499">
        <v>0.6</v>
      </c>
      <c r="AA310" s="499">
        <v>0.6</v>
      </c>
      <c r="AB310" s="499">
        <v>0.6</v>
      </c>
      <c r="AC310" s="499">
        <v>0.6</v>
      </c>
      <c r="AD310" s="499">
        <v>0.6</v>
      </c>
      <c r="AE310" s="499">
        <v>0.6</v>
      </c>
      <c r="AF310" s="499">
        <v>0.6</v>
      </c>
      <c r="AG310" s="499">
        <v>0.6</v>
      </c>
      <c r="AH310" s="499">
        <v>0.6</v>
      </c>
      <c r="AI310" s="499">
        <v>0.6</v>
      </c>
      <c r="AJ310" s="499">
        <v>0.6</v>
      </c>
      <c r="AK310" s="499">
        <v>0.6</v>
      </c>
      <c r="AL310" s="499">
        <v>0.6</v>
      </c>
      <c r="AM310" s="499">
        <v>0.6</v>
      </c>
      <c r="AN310" s="499">
        <v>0.6</v>
      </c>
      <c r="AO310" s="499">
        <v>0.6</v>
      </c>
      <c r="AP310" s="499">
        <v>0.6</v>
      </c>
      <c r="AQ310" s="499">
        <v>0.6</v>
      </c>
      <c r="AR310" s="499">
        <v>0.6</v>
      </c>
      <c r="AS310" s="499">
        <v>0.6</v>
      </c>
      <c r="AT310" s="499">
        <v>0.6</v>
      </c>
      <c r="AU310" s="499">
        <v>0.6</v>
      </c>
      <c r="AV310" s="499">
        <v>0.6</v>
      </c>
      <c r="AW310" s="499">
        <v>0.6</v>
      </c>
      <c r="AX310" s="499">
        <v>0.6</v>
      </c>
      <c r="AY310" s="499">
        <v>0.6</v>
      </c>
      <c r="AZ310" s="499">
        <v>0.6</v>
      </c>
      <c r="BA310" s="499">
        <v>0.6</v>
      </c>
      <c r="BB310" s="499">
        <v>0.6</v>
      </c>
      <c r="BC310" s="499">
        <v>0.6</v>
      </c>
      <c r="BD310" s="499">
        <v>0.6</v>
      </c>
      <c r="BE310" s="499">
        <v>0.6</v>
      </c>
      <c r="BF310" s="499">
        <v>0.6</v>
      </c>
      <c r="BG310" s="499">
        <v>0.6</v>
      </c>
      <c r="BH310" s="499">
        <v>0.6</v>
      </c>
      <c r="BI310" s="499">
        <v>0.6</v>
      </c>
      <c r="BJ310" s="499">
        <v>0.6</v>
      </c>
      <c r="BK310" s="499">
        <v>0.6</v>
      </c>
      <c r="BL310" s="499">
        <v>0.6</v>
      </c>
      <c r="BM310" s="499">
        <v>0.6</v>
      </c>
      <c r="BN310" s="499">
        <v>0.6</v>
      </c>
      <c r="BO310" s="499">
        <v>0.6</v>
      </c>
      <c r="BP310" s="499">
        <v>0.6</v>
      </c>
      <c r="BQ310" s="499">
        <v>0.6</v>
      </c>
      <c r="BR310" s="499">
        <v>0.6</v>
      </c>
      <c r="BS310" s="499">
        <v>0.6</v>
      </c>
      <c r="BT310" s="499">
        <v>0.6</v>
      </c>
      <c r="BU310" s="499">
        <v>0.6</v>
      </c>
      <c r="BV310" s="499">
        <v>0.6</v>
      </c>
      <c r="BW310" s="499">
        <v>0.6</v>
      </c>
      <c r="BX310" s="499">
        <v>0.6</v>
      </c>
      <c r="BY310" s="499">
        <v>0.6</v>
      </c>
      <c r="BZ310" s="499">
        <v>0.6</v>
      </c>
      <c r="CA310" s="499">
        <v>0.6</v>
      </c>
      <c r="CB310" s="499">
        <v>0.6</v>
      </c>
      <c r="CC310" s="499">
        <v>0.6</v>
      </c>
      <c r="CD310" s="499">
        <v>0.6</v>
      </c>
      <c r="CE310" s="499">
        <v>0.6</v>
      </c>
      <c r="CF310" s="499">
        <v>0.6</v>
      </c>
      <c r="CG310" s="499">
        <v>0.6</v>
      </c>
      <c r="CH310" s="499">
        <v>0.6</v>
      </c>
    </row>
    <row r="311" ht="15.75" customHeight="1">
      <c r="A311" s="1" t="s">
        <v>764</v>
      </c>
      <c r="C311" s="1"/>
      <c r="D311" s="1"/>
      <c r="E311" s="1"/>
      <c r="F311" s="1"/>
      <c r="G311" s="1"/>
      <c r="H311" s="1"/>
      <c r="I311" s="1"/>
      <c r="J311" s="1"/>
      <c r="K311" s="1"/>
      <c r="L311" s="1"/>
      <c r="M311" s="1"/>
      <c r="N311" s="1"/>
      <c r="O311" s="137">
        <f t="shared" ref="O311:CH311" si="248">O308*O310</f>
        <v>7756631.538</v>
      </c>
      <c r="P311" s="137">
        <f t="shared" si="248"/>
        <v>9857216.033</v>
      </c>
      <c r="Q311" s="137">
        <f t="shared" si="248"/>
        <v>10883432.99</v>
      </c>
      <c r="R311" s="137">
        <f t="shared" si="248"/>
        <v>6081963</v>
      </c>
      <c r="S311" s="137">
        <f t="shared" si="248"/>
        <v>3339864</v>
      </c>
      <c r="T311" s="137">
        <f t="shared" si="248"/>
        <v>5938695</v>
      </c>
      <c r="U311" s="137">
        <f t="shared" si="248"/>
        <v>5524275</v>
      </c>
      <c r="V311" s="137">
        <f t="shared" si="248"/>
        <v>4725396</v>
      </c>
      <c r="W311" s="137">
        <f t="shared" si="248"/>
        <v>7273002</v>
      </c>
      <c r="X311" s="137">
        <f t="shared" si="248"/>
        <v>4042311</v>
      </c>
      <c r="Y311" s="137">
        <f t="shared" si="248"/>
        <v>5929638</v>
      </c>
      <c r="Z311" s="137">
        <f t="shared" si="248"/>
        <v>1388362.5</v>
      </c>
      <c r="AA311" s="137">
        <f t="shared" si="248"/>
        <v>1693955.7</v>
      </c>
      <c r="AB311" s="137">
        <f t="shared" si="248"/>
        <v>1863351.27</v>
      </c>
      <c r="AC311" s="137">
        <f t="shared" si="248"/>
        <v>1863351.27</v>
      </c>
      <c r="AD311" s="137">
        <f t="shared" si="248"/>
        <v>1863351.27</v>
      </c>
      <c r="AE311" s="137">
        <f t="shared" si="248"/>
        <v>1863351.27</v>
      </c>
      <c r="AF311" s="137">
        <f t="shared" si="248"/>
        <v>1895359.91</v>
      </c>
      <c r="AG311" s="137">
        <f t="shared" si="248"/>
        <v>1895359.91</v>
      </c>
      <c r="AH311" s="137">
        <f t="shared" si="248"/>
        <v>1895359.91</v>
      </c>
      <c r="AI311" s="137">
        <f t="shared" si="248"/>
        <v>1895359.91</v>
      </c>
      <c r="AJ311" s="137">
        <f t="shared" si="248"/>
        <v>1820540.395</v>
      </c>
      <c r="AK311" s="137">
        <f t="shared" si="248"/>
        <v>1820540.395</v>
      </c>
      <c r="AL311" s="137">
        <f t="shared" si="248"/>
        <v>1820540.395</v>
      </c>
      <c r="AM311" s="137">
        <f t="shared" si="248"/>
        <v>1841177.203</v>
      </c>
      <c r="AN311" s="137">
        <f t="shared" si="248"/>
        <v>1391779.497</v>
      </c>
      <c r="AO311" s="137">
        <f t="shared" si="248"/>
        <v>1341554.718</v>
      </c>
      <c r="AP311" s="137">
        <f t="shared" si="248"/>
        <v>1346777.492</v>
      </c>
      <c r="AQ311" s="137">
        <f t="shared" si="248"/>
        <v>1352026.379</v>
      </c>
      <c r="AR311" s="137">
        <f t="shared" si="248"/>
        <v>1364985.126</v>
      </c>
      <c r="AS311" s="137">
        <f t="shared" si="248"/>
        <v>1370325.052</v>
      </c>
      <c r="AT311" s="137">
        <f t="shared" si="248"/>
        <v>1375691.677</v>
      </c>
      <c r="AU311" s="137">
        <f t="shared" si="248"/>
        <v>1381085.136</v>
      </c>
      <c r="AV311" s="137">
        <f t="shared" si="248"/>
        <v>1386505.561</v>
      </c>
      <c r="AW311" s="137">
        <f t="shared" si="248"/>
        <v>1391953.089</v>
      </c>
      <c r="AX311" s="137">
        <f t="shared" si="248"/>
        <v>1397427.854</v>
      </c>
      <c r="AY311" s="137">
        <f t="shared" si="248"/>
        <v>1410948.067</v>
      </c>
      <c r="AZ311" s="137">
        <f t="shared" si="248"/>
        <v>1422087.547</v>
      </c>
      <c r="BA311" s="137">
        <f t="shared" si="248"/>
        <v>1427712.985</v>
      </c>
      <c r="BB311" s="137">
        <f t="shared" si="248"/>
        <v>1433366.55</v>
      </c>
      <c r="BC311" s="137">
        <f t="shared" si="248"/>
        <v>1439048.383</v>
      </c>
      <c r="BD311" s="137">
        <f t="shared" si="248"/>
        <v>1444758.625</v>
      </c>
      <c r="BE311" s="137">
        <f t="shared" si="248"/>
        <v>1450497.418</v>
      </c>
      <c r="BF311" s="137">
        <f t="shared" si="248"/>
        <v>1456264.905</v>
      </c>
      <c r="BG311" s="137">
        <f t="shared" si="248"/>
        <v>1462061.229</v>
      </c>
      <c r="BH311" s="137">
        <f t="shared" si="248"/>
        <v>1467886.535</v>
      </c>
      <c r="BI311" s="137">
        <f t="shared" si="248"/>
        <v>1473740.968</v>
      </c>
      <c r="BJ311" s="137">
        <f t="shared" si="248"/>
        <v>1479624.673</v>
      </c>
      <c r="BK311" s="137">
        <f t="shared" si="248"/>
        <v>1525417.354</v>
      </c>
      <c r="BL311" s="137">
        <f t="shared" si="248"/>
        <v>1503404.946</v>
      </c>
      <c r="BM311" s="137">
        <f t="shared" si="248"/>
        <v>1509436.97</v>
      </c>
      <c r="BN311" s="137">
        <f t="shared" si="248"/>
        <v>1515499.155</v>
      </c>
      <c r="BO311" s="137">
        <f t="shared" si="248"/>
        <v>1521591.651</v>
      </c>
      <c r="BP311" s="137">
        <f t="shared" si="248"/>
        <v>1527714.609</v>
      </c>
      <c r="BQ311" s="137">
        <f t="shared" si="248"/>
        <v>1533868.182</v>
      </c>
      <c r="BR311" s="137">
        <f t="shared" si="248"/>
        <v>1540052.523</v>
      </c>
      <c r="BS311" s="137">
        <f t="shared" si="248"/>
        <v>1546267.786</v>
      </c>
      <c r="BT311" s="137">
        <f t="shared" si="248"/>
        <v>1552514.125</v>
      </c>
      <c r="BU311" s="137">
        <f t="shared" si="248"/>
        <v>1558791.695</v>
      </c>
      <c r="BV311" s="137">
        <f t="shared" si="248"/>
        <v>1565100.654</v>
      </c>
      <c r="BW311" s="137">
        <f t="shared" si="248"/>
        <v>1571441.157</v>
      </c>
      <c r="BX311" s="137">
        <f t="shared" si="248"/>
        <v>1443997.041</v>
      </c>
      <c r="BY311" s="137">
        <f t="shared" si="248"/>
        <v>1449732.027</v>
      </c>
      <c r="BZ311" s="137">
        <f t="shared" si="248"/>
        <v>1455495.687</v>
      </c>
      <c r="CA311" s="137">
        <f t="shared" si="248"/>
        <v>1461288.165</v>
      </c>
      <c r="CB311" s="137">
        <f t="shared" si="248"/>
        <v>1467109.606</v>
      </c>
      <c r="CC311" s="137">
        <f t="shared" si="248"/>
        <v>1472960.154</v>
      </c>
      <c r="CD311" s="137">
        <f t="shared" si="248"/>
        <v>1478839.955</v>
      </c>
      <c r="CE311" s="137">
        <f t="shared" si="248"/>
        <v>1484749.155</v>
      </c>
      <c r="CF311" s="137">
        <f t="shared" si="248"/>
        <v>1490687.9</v>
      </c>
      <c r="CG311" s="137">
        <f t="shared" si="248"/>
        <v>1496656.34</v>
      </c>
      <c r="CH311" s="137">
        <f t="shared" si="248"/>
        <v>1502654.622</v>
      </c>
    </row>
    <row r="312" ht="15.75" customHeight="1">
      <c r="A312" s="1" t="s">
        <v>23</v>
      </c>
      <c r="C312" s="1"/>
      <c r="D312" s="1"/>
      <c r="E312" s="1"/>
      <c r="F312" s="1"/>
      <c r="G312" s="1"/>
      <c r="H312" s="1"/>
      <c r="I312" s="1"/>
      <c r="J312" s="1"/>
      <c r="K312" s="1"/>
      <c r="L312" s="1"/>
      <c r="M312" s="1"/>
      <c r="N312" s="1"/>
      <c r="O312" s="497">
        <f>1--SUM(Retention!O77:O79)/'New Biz Sales'!N130</f>
        <v>0.9757934741</v>
      </c>
      <c r="P312" s="497">
        <f>1--SUM(Retention!P77:P79)/'New Biz Sales'!O130</f>
        <v>0.9853631984</v>
      </c>
      <c r="Q312" s="497">
        <f>1--SUM(Retention!Q77:Q79)/'New Biz Sales'!P130</f>
        <v>0.9692166162</v>
      </c>
      <c r="R312" s="497">
        <f>1--SUM(Retention!R77:R79)/'New Biz Sales'!Q130</f>
        <v>0.9624592052</v>
      </c>
      <c r="S312" s="497">
        <f>1--SUM(Retention!S77:S79)/'New Biz Sales'!R130</f>
        <v>0.9924136614</v>
      </c>
      <c r="T312" s="497">
        <f>1--SUM(Retention!T77:T79)/'New Biz Sales'!S130</f>
        <v>0.9762959964</v>
      </c>
      <c r="U312" s="497">
        <f>1--SUM(Retention!U77:U79)/'New Biz Sales'!T130</f>
        <v>0.9852563733</v>
      </c>
      <c r="V312" s="497">
        <f>1--SUM(Retention!V77:V79)/'New Biz Sales'!U130</f>
        <v>0.9676061592</v>
      </c>
      <c r="W312" s="497">
        <f>1--SUM(Retention!W77:W79)/'New Biz Sales'!V130</f>
        <v>0.9824040144</v>
      </c>
      <c r="X312" s="497">
        <f>1--SUM(Retention!X77:X79)/'New Biz Sales'!W130</f>
        <v>0.9795701037</v>
      </c>
      <c r="Y312" s="497">
        <f>1--SUM(Retention!Y77:Y79)/'New Biz Sales'!X130</f>
        <v>0.9807809033</v>
      </c>
      <c r="Z312" s="497">
        <f>1--SUM(Retention!Z77:Z79)/'New Biz Sales'!Y130</f>
        <v>0.936577984</v>
      </c>
      <c r="AA312" s="497">
        <f>1--SUM(Retention!AA77:AA79)/'New Biz Sales'!Z130</f>
        <v>0.9350120905</v>
      </c>
      <c r="AB312" s="497">
        <f>1--SUM(Retention!AB77:AB79)/'New Biz Sales'!AA130</f>
        <v>0.9371397197</v>
      </c>
      <c r="AC312" s="497">
        <f>1--SUM(Retention!AC77:AC79)/'New Biz Sales'!AB130</f>
        <v>0.9392486434</v>
      </c>
      <c r="AD312" s="497">
        <f>1--SUM(Retention!AD77:AD79)/'New Biz Sales'!AC130</f>
        <v>0.9413486104</v>
      </c>
      <c r="AE312" s="497">
        <f>1--SUM(Retention!AE77:AE79)/'New Biz Sales'!AD130</f>
        <v>0.9434324722</v>
      </c>
      <c r="AF312" s="497">
        <f>1--SUM(Retention!AF77:AF79)/'New Biz Sales'!AE130</f>
        <v>0.9454976742</v>
      </c>
      <c r="AG312" s="497">
        <f>1--SUM(Retention!AG77:AG79)/'New Biz Sales'!AF130</f>
        <v>0.9483125428</v>
      </c>
      <c r="AH312" s="497">
        <f>1--SUM(Retention!AH77:AH79)/'New Biz Sales'!AG130</f>
        <v>0.94934307</v>
      </c>
      <c r="AI312" s="497">
        <f>1--SUM(Retention!AI77:AI79)/'New Biz Sales'!AH130</f>
        <v>0.9503723629</v>
      </c>
      <c r="AJ312" s="497">
        <f>1--SUM(Retention!AJ77:AJ79)/'New Biz Sales'!AI130</f>
        <v>0.951407806</v>
      </c>
      <c r="AK312" s="497">
        <f>1--SUM(Retention!AK77:AK79)/'New Biz Sales'!AJ130</f>
        <v>0.953074392</v>
      </c>
      <c r="AL312" s="497">
        <f>1--SUM(Retention!AL77:AL79)/'New Biz Sales'!AK130</f>
        <v>0.9541371226</v>
      </c>
      <c r="AM312" s="497">
        <f>1--SUM(Retention!AM77:AM79)/'New Biz Sales'!AL130</f>
        <v>0.9507789725</v>
      </c>
      <c r="AN312" s="497">
        <f>1--SUM(Retention!AN77:AN79)/'New Biz Sales'!AM130</f>
        <v>0.9507784448</v>
      </c>
      <c r="AO312" s="497">
        <f>1--SUM(Retention!AO77:AO79)/'New Biz Sales'!AN130</f>
        <v>0.9507801937</v>
      </c>
      <c r="AP312" s="497">
        <f>1--SUM(Retention!AP77:AP79)/'New Biz Sales'!AO130</f>
        <v>0.9507820363</v>
      </c>
      <c r="AQ312" s="497">
        <f>1--SUM(Retention!AQ77:AQ79)/'New Biz Sales'!AP130</f>
        <v>0.9507837718</v>
      </c>
      <c r="AR312" s="497">
        <f>1--SUM(Retention!AR77:AR79)/'New Biz Sales'!AQ130</f>
        <v>0.9507854096</v>
      </c>
      <c r="AS312" s="497">
        <f>1--SUM(Retention!AS77:AS79)/'New Biz Sales'!AR130</f>
        <v>0.9507868833</v>
      </c>
      <c r="AT312" s="497">
        <f>1--SUM(Retention!AT77:AT79)/'New Biz Sales'!AS130</f>
        <v>0.9507882806</v>
      </c>
      <c r="AU312" s="497">
        <f>1--SUM(Retention!AU77:AU79)/'New Biz Sales'!AT130</f>
        <v>0.9507896079</v>
      </c>
      <c r="AV312" s="497">
        <f>1--SUM(Retention!AV77:AV79)/'New Biz Sales'!AU130</f>
        <v>0.950790871</v>
      </c>
      <c r="AW312" s="497">
        <f>1--SUM(Retention!AW77:AW79)/'New Biz Sales'!AV130</f>
        <v>0.9507920749</v>
      </c>
      <c r="AX312" s="497">
        <f>1--SUM(Retention!AX77:AX79)/'New Biz Sales'!AW130</f>
        <v>0.9507932243</v>
      </c>
      <c r="AY312" s="497">
        <f>1--SUM(Retention!AY77:AY79)/'New Biz Sales'!AX130</f>
        <v>0.9593971617</v>
      </c>
      <c r="AZ312" s="497">
        <f>1--SUM(Retention!AZ77:AZ79)/'New Biz Sales'!AY130</f>
        <v>0.95939744</v>
      </c>
      <c r="BA312" s="497">
        <f>1--SUM(Retention!BA77:BA79)/'New Biz Sales'!AZ130</f>
        <v>0.9593977022</v>
      </c>
      <c r="BB312" s="497">
        <f>1--SUM(Retention!BB77:BB79)/'New Biz Sales'!BA130</f>
        <v>0.9593979583</v>
      </c>
      <c r="BC312" s="497">
        <f>1--SUM(Retention!BC77:BC79)/'New Biz Sales'!BB130</f>
        <v>0.9593982089</v>
      </c>
      <c r="BD312" s="497">
        <f>1--SUM(Retention!BD77:BD79)/'New Biz Sales'!BC130</f>
        <v>0.9593984545</v>
      </c>
      <c r="BE312" s="497">
        <f>1--SUM(Retention!BE77:BE79)/'New Biz Sales'!BD130</f>
        <v>0.9593986954</v>
      </c>
      <c r="BF312" s="497">
        <f>1--SUM(Retention!BF77:BF79)/'New Biz Sales'!BE130</f>
        <v>0.9593989322</v>
      </c>
      <c r="BG312" s="497">
        <f>1--SUM(Retention!BG77:BG79)/'New Biz Sales'!BF130</f>
        <v>0.959399165</v>
      </c>
      <c r="BH312" s="497">
        <f>1--SUM(Retention!BH77:BH79)/'New Biz Sales'!BG130</f>
        <v>0.9593993942</v>
      </c>
      <c r="BI312" s="497">
        <f>1--SUM(Retention!BI77:BI79)/'New Biz Sales'!BH130</f>
        <v>0.9593996201</v>
      </c>
      <c r="BJ312" s="497">
        <f>1--SUM(Retention!BJ77:BJ79)/'New Biz Sales'!BI130</f>
        <v>0.959399843</v>
      </c>
      <c r="BK312" s="497">
        <f>1--SUM(Retention!BK77:BK79)/'New Biz Sales'!BJ130</f>
        <v>0.961400063</v>
      </c>
      <c r="BL312" s="497">
        <f>1--SUM(Retention!BL77:BL79)/'New Biz Sales'!BK130</f>
        <v>0.9614000897</v>
      </c>
      <c r="BM312" s="497">
        <f>1--SUM(Retention!BM77:BM79)/'New Biz Sales'!BL130</f>
        <v>0.9614000553</v>
      </c>
      <c r="BN312" s="497">
        <f>1--SUM(Retention!BN77:BN79)/'New Biz Sales'!BM130</f>
        <v>0.9613999234</v>
      </c>
      <c r="BO312" s="497">
        <f>1--SUM(Retention!BO77:BO79)/'New Biz Sales'!BN130</f>
        <v>0.9613998134</v>
      </c>
      <c r="BP312" s="497">
        <f>1--SUM(Retention!BP77:BP79)/'New Biz Sales'!BO130</f>
        <v>0.9613997241</v>
      </c>
      <c r="BQ312" s="497">
        <f>1--SUM(Retention!BQ77:BQ79)/'New Biz Sales'!BP130</f>
        <v>0.9613996543</v>
      </c>
      <c r="BR312" s="497">
        <f>1--SUM(Retention!BR77:BR79)/'New Biz Sales'!BQ130</f>
        <v>0.9613996029</v>
      </c>
      <c r="BS312" s="497">
        <f>1--SUM(Retention!BS77:BS79)/'New Biz Sales'!BR130</f>
        <v>0.9613995687</v>
      </c>
      <c r="BT312" s="497">
        <f>1--SUM(Retention!BT77:BT79)/'New Biz Sales'!BS130</f>
        <v>0.9613995508</v>
      </c>
      <c r="BU312" s="497">
        <f>1--SUM(Retention!BU77:BU79)/'New Biz Sales'!BT130</f>
        <v>0.9613995484</v>
      </c>
      <c r="BV312" s="497">
        <f>1--SUM(Retention!BV77:BV79)/'New Biz Sales'!BU130</f>
        <v>0.9613995605</v>
      </c>
      <c r="BW312" s="497">
        <f>1--SUM(Retention!BW77:BW79)/'New Biz Sales'!BV130</f>
        <v>0.9623995866</v>
      </c>
      <c r="BX312" s="497">
        <f>1--SUM(Retention!BX77:BX79)/'New Biz Sales'!BW130</f>
        <v>0.9623996477</v>
      </c>
      <c r="BY312" s="497">
        <f>1--SUM(Retention!BY77:BY79)/'New Biz Sales'!BX130</f>
        <v>0.9623998835</v>
      </c>
      <c r="BZ312" s="497">
        <f>1--SUM(Retention!BZ77:BZ79)/'New Biz Sales'!BY130</f>
        <v>0.9624000051</v>
      </c>
      <c r="CA312" s="497">
        <f>1--SUM(Retention!CA77:CA79)/'New Biz Sales'!BZ130</f>
        <v>0.9624001206</v>
      </c>
      <c r="CB312" s="497">
        <f>1--SUM(Retention!CB77:CB79)/'New Biz Sales'!CA130</f>
        <v>0.9624002308</v>
      </c>
      <c r="CC312" s="497">
        <f>1--SUM(Retention!CC77:CC79)/'New Biz Sales'!CB130</f>
        <v>0.962400336</v>
      </c>
      <c r="CD312" s="497">
        <f>1--SUM(Retention!CD77:CD79)/'New Biz Sales'!CC130</f>
        <v>0.9624004368</v>
      </c>
      <c r="CE312" s="497">
        <f>1--SUM(Retention!CE77:CE79)/'New Biz Sales'!CD130</f>
        <v>0.9624005337</v>
      </c>
      <c r="CF312" s="497">
        <f>1--SUM(Retention!CF77:CF79)/'New Biz Sales'!CE130</f>
        <v>0.9624006269</v>
      </c>
      <c r="CG312" s="497">
        <f>1--SUM(Retention!CG77:CG79)/'New Biz Sales'!CF130</f>
        <v>0.9624007169</v>
      </c>
      <c r="CH312" s="497">
        <f>1--SUM(Retention!CH77:CH79)/'New Biz Sales'!CG130</f>
        <v>0.9624008041</v>
      </c>
    </row>
    <row r="313" ht="15.75" customHeight="1">
      <c r="A313" s="1" t="s">
        <v>748</v>
      </c>
      <c r="C313" s="1"/>
      <c r="D313" s="1"/>
      <c r="E313" s="1"/>
      <c r="F313" s="1"/>
      <c r="G313" s="1"/>
      <c r="H313" s="1"/>
      <c r="I313" s="1"/>
      <c r="J313" s="1"/>
      <c r="K313" s="1"/>
      <c r="L313" s="1"/>
      <c r="M313" s="1"/>
      <c r="N313" s="1"/>
      <c r="O313" s="117">
        <f t="shared" ref="O313:CH313" si="249">O311/((1-(O312))*12)</f>
        <v>26702962.79</v>
      </c>
      <c r="P313" s="117">
        <f t="shared" si="249"/>
        <v>56121186.36</v>
      </c>
      <c r="Q313" s="117">
        <f t="shared" si="249"/>
        <v>29462412.41</v>
      </c>
      <c r="R313" s="117">
        <f t="shared" si="249"/>
        <v>13500786.35</v>
      </c>
      <c r="S313" s="117">
        <f t="shared" si="249"/>
        <v>36687262.88</v>
      </c>
      <c r="T313" s="117">
        <f t="shared" si="249"/>
        <v>20877960.44</v>
      </c>
      <c r="U313" s="117">
        <f t="shared" si="249"/>
        <v>31224084.83</v>
      </c>
      <c r="V313" s="117">
        <f t="shared" si="249"/>
        <v>12156107.15</v>
      </c>
      <c r="W313" s="117">
        <f t="shared" si="249"/>
        <v>34444419.03</v>
      </c>
      <c r="X313" s="117">
        <f t="shared" si="249"/>
        <v>16488544.32</v>
      </c>
      <c r="Y313" s="117">
        <f t="shared" si="249"/>
        <v>25710703.61</v>
      </c>
      <c r="Z313" s="117">
        <f t="shared" si="249"/>
        <v>1824238.369</v>
      </c>
      <c r="AA313" s="117">
        <f t="shared" si="249"/>
        <v>2172142.112</v>
      </c>
      <c r="AB313" s="117">
        <f t="shared" si="249"/>
        <v>2470228.766</v>
      </c>
      <c r="AC313" s="117">
        <f t="shared" si="249"/>
        <v>2555980.332</v>
      </c>
      <c r="AD313" s="117">
        <f t="shared" si="249"/>
        <v>2647495.201</v>
      </c>
      <c r="AE313" s="117">
        <f t="shared" si="249"/>
        <v>2745024.902</v>
      </c>
      <c r="AF313" s="117">
        <f t="shared" si="249"/>
        <v>2897980.165</v>
      </c>
      <c r="AG313" s="117">
        <f t="shared" si="249"/>
        <v>3055802.464</v>
      </c>
      <c r="AH313" s="117">
        <f t="shared" si="249"/>
        <v>3117967.456</v>
      </c>
      <c r="AI313" s="117">
        <f t="shared" si="249"/>
        <v>3182635.086</v>
      </c>
      <c r="AJ313" s="117">
        <f t="shared" si="249"/>
        <v>3122141.376</v>
      </c>
      <c r="AK313" s="117">
        <f t="shared" si="249"/>
        <v>3233025.766</v>
      </c>
      <c r="AL313" s="117">
        <f t="shared" si="249"/>
        <v>3307941.155</v>
      </c>
      <c r="AM313" s="117">
        <f t="shared" si="249"/>
        <v>3117192.822</v>
      </c>
      <c r="AN313" s="117">
        <f t="shared" si="249"/>
        <v>2356317.762</v>
      </c>
      <c r="AO313" s="117">
        <f t="shared" si="249"/>
        <v>2271366.648</v>
      </c>
      <c r="AP313" s="117">
        <f t="shared" si="249"/>
        <v>2280294.617</v>
      </c>
      <c r="AQ313" s="117">
        <f t="shared" si="249"/>
        <v>2289262.485</v>
      </c>
      <c r="AR313" s="117">
        <f t="shared" si="249"/>
        <v>2311281.26</v>
      </c>
      <c r="AS313" s="117">
        <f t="shared" si="249"/>
        <v>2320392.651</v>
      </c>
      <c r="AT313" s="117">
        <f t="shared" si="249"/>
        <v>2329546.184</v>
      </c>
      <c r="AU313" s="117">
        <f t="shared" si="249"/>
        <v>2338742.35</v>
      </c>
      <c r="AV313" s="117">
        <f t="shared" si="249"/>
        <v>2347981.613</v>
      </c>
      <c r="AW313" s="117">
        <f t="shared" si="249"/>
        <v>2357264.414</v>
      </c>
      <c r="AX313" s="117">
        <f t="shared" si="249"/>
        <v>2366591.175</v>
      </c>
      <c r="AY313" s="117">
        <f t="shared" si="249"/>
        <v>2895832.172</v>
      </c>
      <c r="AZ313" s="117">
        <f t="shared" si="249"/>
        <v>2918714.872</v>
      </c>
      <c r="BA313" s="117">
        <f t="shared" si="249"/>
        <v>2930279.528</v>
      </c>
      <c r="BB313" s="117">
        <f t="shared" si="249"/>
        <v>2941901.625</v>
      </c>
      <c r="BC313" s="117">
        <f t="shared" si="249"/>
        <v>2953581.487</v>
      </c>
      <c r="BD313" s="117">
        <f t="shared" si="249"/>
        <v>2965319.435</v>
      </c>
      <c r="BE313" s="117">
        <f t="shared" si="249"/>
        <v>2977115.787</v>
      </c>
      <c r="BF313" s="117">
        <f t="shared" si="249"/>
        <v>2988970.862</v>
      </c>
      <c r="BG313" s="117">
        <f t="shared" si="249"/>
        <v>3000884.976</v>
      </c>
      <c r="BH313" s="117">
        <f t="shared" si="249"/>
        <v>3012858.445</v>
      </c>
      <c r="BI313" s="117">
        <f t="shared" si="249"/>
        <v>3024891.584</v>
      </c>
      <c r="BJ313" s="117">
        <f t="shared" si="249"/>
        <v>3036984.71</v>
      </c>
      <c r="BK313" s="117">
        <f t="shared" si="249"/>
        <v>3293220.731</v>
      </c>
      <c r="BL313" s="117">
        <f t="shared" si="249"/>
        <v>3245700.433</v>
      </c>
      <c r="BM313" s="117">
        <f t="shared" si="249"/>
        <v>3258720.066</v>
      </c>
      <c r="BN313" s="117">
        <f t="shared" si="249"/>
        <v>3271796.516</v>
      </c>
      <c r="BO313" s="117">
        <f t="shared" si="249"/>
        <v>3284940.189</v>
      </c>
      <c r="BP313" s="117">
        <f t="shared" si="249"/>
        <v>3298151.319</v>
      </c>
      <c r="BQ313" s="117">
        <f t="shared" si="249"/>
        <v>3311430.152</v>
      </c>
      <c r="BR313" s="117">
        <f t="shared" si="249"/>
        <v>3324776.939</v>
      </c>
      <c r="BS313" s="117">
        <f t="shared" si="249"/>
        <v>3338191.941</v>
      </c>
      <c r="BT313" s="117">
        <f t="shared" si="249"/>
        <v>3351675.426</v>
      </c>
      <c r="BU313" s="117">
        <f t="shared" si="249"/>
        <v>3365227.67</v>
      </c>
      <c r="BV313" s="117">
        <f t="shared" si="249"/>
        <v>3378848.954</v>
      </c>
      <c r="BW313" s="117">
        <f t="shared" si="249"/>
        <v>3482765.69</v>
      </c>
      <c r="BX313" s="117">
        <f t="shared" si="249"/>
        <v>3200318.064</v>
      </c>
      <c r="BY313" s="117">
        <f t="shared" si="249"/>
        <v>3213048.617</v>
      </c>
      <c r="BZ313" s="117">
        <f t="shared" si="249"/>
        <v>3225833.073</v>
      </c>
      <c r="CA313" s="117">
        <f t="shared" si="249"/>
        <v>3238680.969</v>
      </c>
      <c r="CB313" s="117">
        <f t="shared" si="249"/>
        <v>3251592.666</v>
      </c>
      <c r="CC313" s="117">
        <f t="shared" si="249"/>
        <v>3264568.523</v>
      </c>
      <c r="CD313" s="117">
        <f t="shared" si="249"/>
        <v>3277608.901</v>
      </c>
      <c r="CE313" s="117">
        <f t="shared" si="249"/>
        <v>3290714.158</v>
      </c>
      <c r="CF313" s="117">
        <f t="shared" si="249"/>
        <v>3303884.652</v>
      </c>
      <c r="CG313" s="117">
        <f t="shared" si="249"/>
        <v>3317120.74</v>
      </c>
      <c r="CH313" s="117">
        <f t="shared" si="249"/>
        <v>3330422.782</v>
      </c>
    </row>
    <row r="314" ht="15.75" customHeight="1">
      <c r="A314" s="1" t="s">
        <v>765</v>
      </c>
      <c r="C314" s="1"/>
      <c r="D314" s="1"/>
      <c r="E314" s="1"/>
      <c r="F314" s="1"/>
      <c r="G314" s="1"/>
      <c r="H314" s="1"/>
      <c r="I314" s="1"/>
      <c r="J314" s="1"/>
      <c r="K314" s="1"/>
      <c r="L314" s="1"/>
      <c r="M314" s="1"/>
      <c r="N314" s="1"/>
      <c r="O314" s="137">
        <f t="shared" ref="O314:CH314" si="250">O284+O300</f>
        <v>3551782.62</v>
      </c>
      <c r="P314" s="137">
        <f t="shared" si="250"/>
        <v>4350072.54</v>
      </c>
      <c r="Q314" s="137">
        <f t="shared" si="250"/>
        <v>4732809.72</v>
      </c>
      <c r="R314" s="137">
        <f t="shared" si="250"/>
        <v>4374197.43</v>
      </c>
      <c r="S314" s="137">
        <f t="shared" si="250"/>
        <v>2701517.04</v>
      </c>
      <c r="T314" s="137">
        <f t="shared" si="250"/>
        <v>4477453.95</v>
      </c>
      <c r="U314" s="137">
        <f t="shared" si="250"/>
        <v>4224657.75</v>
      </c>
      <c r="V314" s="137">
        <f t="shared" si="250"/>
        <v>3983341.56</v>
      </c>
      <c r="W314" s="137">
        <f t="shared" si="250"/>
        <v>5783381.22</v>
      </c>
      <c r="X314" s="137">
        <f t="shared" si="250"/>
        <v>4058659.71</v>
      </c>
      <c r="Y314" s="137">
        <f t="shared" si="250"/>
        <v>5455929.18</v>
      </c>
      <c r="Z314" s="137">
        <f t="shared" si="250"/>
        <v>3122401.125</v>
      </c>
      <c r="AA314" s="137">
        <f t="shared" si="250"/>
        <v>3308812.977</v>
      </c>
      <c r="AB314" s="137">
        <f t="shared" si="250"/>
        <v>3602794.275</v>
      </c>
      <c r="AC314" s="137">
        <f t="shared" si="250"/>
        <v>3793444.275</v>
      </c>
      <c r="AD314" s="137">
        <f t="shared" si="250"/>
        <v>3984094.275</v>
      </c>
      <c r="AE314" s="137">
        <f t="shared" si="250"/>
        <v>3984094.275</v>
      </c>
      <c r="AF314" s="137">
        <f t="shared" si="250"/>
        <v>4003619.545</v>
      </c>
      <c r="AG314" s="137">
        <f t="shared" si="250"/>
        <v>4003619.545</v>
      </c>
      <c r="AH314" s="137">
        <f t="shared" si="250"/>
        <v>4003619.545</v>
      </c>
      <c r="AI314" s="137">
        <f t="shared" si="250"/>
        <v>4003619.545</v>
      </c>
      <c r="AJ314" s="137">
        <f t="shared" si="250"/>
        <v>3957979.641</v>
      </c>
      <c r="AK314" s="137">
        <f t="shared" si="250"/>
        <v>3957979.641</v>
      </c>
      <c r="AL314" s="137">
        <f t="shared" si="250"/>
        <v>3957979.641</v>
      </c>
      <c r="AM314" s="137">
        <f t="shared" si="250"/>
        <v>3970568.094</v>
      </c>
      <c r="AN314" s="137">
        <f t="shared" si="250"/>
        <v>3696435.493</v>
      </c>
      <c r="AO314" s="137">
        <f t="shared" si="250"/>
        <v>3665798.378</v>
      </c>
      <c r="AP314" s="137">
        <f t="shared" si="250"/>
        <v>3668984.27</v>
      </c>
      <c r="AQ314" s="137">
        <f t="shared" si="250"/>
        <v>3672186.091</v>
      </c>
      <c r="AR314" s="137">
        <f t="shared" si="250"/>
        <v>3680090.927</v>
      </c>
      <c r="AS314" s="137">
        <f t="shared" si="250"/>
        <v>3683348.282</v>
      </c>
      <c r="AT314" s="137">
        <f t="shared" si="250"/>
        <v>3686621.923</v>
      </c>
      <c r="AU314" s="137">
        <f t="shared" si="250"/>
        <v>3689911.933</v>
      </c>
      <c r="AV314" s="137">
        <f t="shared" si="250"/>
        <v>3693218.392</v>
      </c>
      <c r="AW314" s="137">
        <f t="shared" si="250"/>
        <v>3696541.384</v>
      </c>
      <c r="AX314" s="137">
        <f t="shared" si="250"/>
        <v>3699880.991</v>
      </c>
      <c r="AY314" s="137">
        <f t="shared" si="250"/>
        <v>3708128.321</v>
      </c>
      <c r="AZ314" s="137">
        <f t="shared" si="250"/>
        <v>3714923.404</v>
      </c>
      <c r="BA314" s="137">
        <f t="shared" si="250"/>
        <v>3718354.921</v>
      </c>
      <c r="BB314" s="137">
        <f t="shared" si="250"/>
        <v>3721803.595</v>
      </c>
      <c r="BC314" s="137">
        <f t="shared" si="250"/>
        <v>3725269.513</v>
      </c>
      <c r="BD314" s="137">
        <f t="shared" si="250"/>
        <v>3728752.761</v>
      </c>
      <c r="BE314" s="137">
        <f t="shared" si="250"/>
        <v>3732253.425</v>
      </c>
      <c r="BF314" s="137">
        <f t="shared" si="250"/>
        <v>3735771.592</v>
      </c>
      <c r="BG314" s="137">
        <f t="shared" si="250"/>
        <v>3739307.35</v>
      </c>
      <c r="BH314" s="137">
        <f t="shared" si="250"/>
        <v>3742860.787</v>
      </c>
      <c r="BI314" s="137">
        <f t="shared" si="250"/>
        <v>3746431.991</v>
      </c>
      <c r="BJ314" s="137">
        <f t="shared" si="250"/>
        <v>3750021.051</v>
      </c>
      <c r="BK314" s="137">
        <f t="shared" si="250"/>
        <v>3777954.586</v>
      </c>
      <c r="BL314" s="137">
        <f t="shared" si="250"/>
        <v>3764527.017</v>
      </c>
      <c r="BM314" s="137">
        <f t="shared" si="250"/>
        <v>3768206.552</v>
      </c>
      <c r="BN314" s="137">
        <f t="shared" si="250"/>
        <v>3771904.485</v>
      </c>
      <c r="BO314" s="137">
        <f t="shared" si="250"/>
        <v>3775620.907</v>
      </c>
      <c r="BP314" s="137">
        <f t="shared" si="250"/>
        <v>3779355.912</v>
      </c>
      <c r="BQ314" s="137">
        <f t="shared" si="250"/>
        <v>3783109.591</v>
      </c>
      <c r="BR314" s="137">
        <f t="shared" si="250"/>
        <v>3786882.039</v>
      </c>
      <c r="BS314" s="137">
        <f t="shared" si="250"/>
        <v>3790673.349</v>
      </c>
      <c r="BT314" s="137">
        <f t="shared" si="250"/>
        <v>3794483.616</v>
      </c>
      <c r="BU314" s="137">
        <f t="shared" si="250"/>
        <v>3798312.934</v>
      </c>
      <c r="BV314" s="137">
        <f t="shared" si="250"/>
        <v>3802161.399</v>
      </c>
      <c r="BW314" s="137">
        <f t="shared" si="250"/>
        <v>3806029.106</v>
      </c>
      <c r="BX314" s="137">
        <f t="shared" si="250"/>
        <v>3728288.195</v>
      </c>
      <c r="BY314" s="137">
        <f t="shared" si="250"/>
        <v>3731786.536</v>
      </c>
      <c r="BZ314" s="137">
        <f t="shared" si="250"/>
        <v>3735302.369</v>
      </c>
      <c r="CA314" s="137">
        <f t="shared" si="250"/>
        <v>3738835.781</v>
      </c>
      <c r="CB314" s="137">
        <f t="shared" si="250"/>
        <v>3742386.86</v>
      </c>
      <c r="CC314" s="137">
        <f t="shared" si="250"/>
        <v>3745955.694</v>
      </c>
      <c r="CD314" s="137">
        <f t="shared" si="250"/>
        <v>3749542.372</v>
      </c>
      <c r="CE314" s="137">
        <f t="shared" si="250"/>
        <v>3753146.984</v>
      </c>
      <c r="CF314" s="137">
        <f t="shared" si="250"/>
        <v>3756769.619</v>
      </c>
      <c r="CG314" s="137">
        <f t="shared" si="250"/>
        <v>3760410.367</v>
      </c>
      <c r="CH314" s="137">
        <f t="shared" si="250"/>
        <v>3764069.319</v>
      </c>
    </row>
    <row r="315" ht="15.75" customHeight="1">
      <c r="A315" s="124" t="s">
        <v>766</v>
      </c>
      <c r="B315" s="124"/>
      <c r="C315" s="124"/>
      <c r="D315" s="124"/>
      <c r="E315" s="124"/>
      <c r="F315" s="124"/>
      <c r="G315" s="124"/>
      <c r="H315" s="124"/>
      <c r="I315" s="124"/>
      <c r="J315" s="124"/>
      <c r="K315" s="124"/>
      <c r="L315" s="124"/>
      <c r="M315" s="124"/>
      <c r="N315" s="124"/>
      <c r="O315" s="495">
        <f t="shared" ref="O315:CH315" si="251">O313/O314</f>
        <v>7.518186118</v>
      </c>
      <c r="P315" s="495">
        <f t="shared" si="251"/>
        <v>12.90120701</v>
      </c>
      <c r="Q315" s="495">
        <f t="shared" si="251"/>
        <v>6.225141968</v>
      </c>
      <c r="R315" s="495">
        <f t="shared" si="251"/>
        <v>3.086460218</v>
      </c>
      <c r="S315" s="495">
        <f t="shared" si="251"/>
        <v>13.58024485</v>
      </c>
      <c r="T315" s="495">
        <f t="shared" si="251"/>
        <v>4.662909027</v>
      </c>
      <c r="U315" s="495">
        <f t="shared" si="251"/>
        <v>7.390914644</v>
      </c>
      <c r="V315" s="495">
        <f t="shared" si="251"/>
        <v>3.051736078</v>
      </c>
      <c r="W315" s="495">
        <f t="shared" si="251"/>
        <v>5.955758011</v>
      </c>
      <c r="X315" s="495">
        <f t="shared" si="251"/>
        <v>4.062558949</v>
      </c>
      <c r="Y315" s="495">
        <f t="shared" si="251"/>
        <v>4.712433532</v>
      </c>
      <c r="Z315" s="495">
        <f t="shared" si="251"/>
        <v>0.5842421572</v>
      </c>
      <c r="AA315" s="495">
        <f t="shared" si="251"/>
        <v>0.6564717097</v>
      </c>
      <c r="AB315" s="495">
        <f t="shared" si="251"/>
        <v>0.6856424701</v>
      </c>
      <c r="AC315" s="495">
        <f t="shared" si="251"/>
        <v>0.6737888174</v>
      </c>
      <c r="AD315" s="495">
        <f t="shared" si="251"/>
        <v>0.6645162032</v>
      </c>
      <c r="AE315" s="495">
        <f t="shared" si="251"/>
        <v>0.6889959706</v>
      </c>
      <c r="AF315" s="495">
        <f t="shared" si="251"/>
        <v>0.7238400484</v>
      </c>
      <c r="AG315" s="495">
        <f t="shared" si="251"/>
        <v>0.7632599525</v>
      </c>
      <c r="AH315" s="495">
        <f t="shared" si="251"/>
        <v>0.7787871501</v>
      </c>
      <c r="AI315" s="495">
        <f t="shared" si="251"/>
        <v>0.7949394416</v>
      </c>
      <c r="AJ315" s="495">
        <f t="shared" si="251"/>
        <v>0.7888219898</v>
      </c>
      <c r="AK315" s="495">
        <f t="shared" si="251"/>
        <v>0.8168373915</v>
      </c>
      <c r="AL315" s="495">
        <f t="shared" si="251"/>
        <v>0.8357650759</v>
      </c>
      <c r="AM315" s="495">
        <f t="shared" si="251"/>
        <v>0.7850747673</v>
      </c>
      <c r="AN315" s="495">
        <f t="shared" si="251"/>
        <v>0.6374567516</v>
      </c>
      <c r="AO315" s="495">
        <f t="shared" si="251"/>
        <v>0.6196103587</v>
      </c>
      <c r="AP315" s="495">
        <f t="shared" si="251"/>
        <v>0.6215056946</v>
      </c>
      <c r="AQ315" s="495">
        <f t="shared" si="251"/>
        <v>0.6234059026</v>
      </c>
      <c r="AR315" s="495">
        <f t="shared" si="251"/>
        <v>0.6280500416</v>
      </c>
      <c r="AS315" s="495">
        <f t="shared" si="251"/>
        <v>0.6299682987</v>
      </c>
      <c r="AT315" s="495">
        <f t="shared" si="251"/>
        <v>0.6318918057</v>
      </c>
      <c r="AU315" s="495">
        <f t="shared" si="251"/>
        <v>0.633820642</v>
      </c>
      <c r="AV315" s="495">
        <f t="shared" si="251"/>
        <v>0.6357548792</v>
      </c>
      <c r="AW315" s="495">
        <f t="shared" si="251"/>
        <v>0.6376945823</v>
      </c>
      <c r="AX315" s="495">
        <f t="shared" si="251"/>
        <v>0.6396398103</v>
      </c>
      <c r="AY315" s="495">
        <f t="shared" si="251"/>
        <v>0.780941737</v>
      </c>
      <c r="AZ315" s="495">
        <f t="shared" si="251"/>
        <v>0.7856729614</v>
      </c>
      <c r="BA315" s="495">
        <f t="shared" si="251"/>
        <v>0.78805805</v>
      </c>
      <c r="BB315" s="495">
        <f t="shared" si="251"/>
        <v>0.7904505302</v>
      </c>
      <c r="BC315" s="495">
        <f t="shared" si="251"/>
        <v>0.792850417</v>
      </c>
      <c r="BD315" s="495">
        <f t="shared" si="251"/>
        <v>0.7952577242</v>
      </c>
      <c r="BE315" s="495">
        <f t="shared" si="251"/>
        <v>0.7976724644</v>
      </c>
      <c r="BF315" s="495">
        <f t="shared" si="251"/>
        <v>0.8000946493</v>
      </c>
      <c r="BG315" s="495">
        <f t="shared" si="251"/>
        <v>0.8025242899</v>
      </c>
      <c r="BH315" s="495">
        <f t="shared" si="251"/>
        <v>0.8049613962</v>
      </c>
      <c r="BI315" s="495">
        <f t="shared" si="251"/>
        <v>0.8074059777</v>
      </c>
      <c r="BJ315" s="495">
        <f t="shared" si="251"/>
        <v>0.8098580432</v>
      </c>
      <c r="BK315" s="495">
        <f t="shared" si="251"/>
        <v>0.8716941022</v>
      </c>
      <c r="BL315" s="495">
        <f t="shared" si="251"/>
        <v>0.8621801407</v>
      </c>
      <c r="BM315" s="495">
        <f t="shared" si="251"/>
        <v>0.8647933762</v>
      </c>
      <c r="BN315" s="495">
        <f t="shared" si="251"/>
        <v>0.8674123454</v>
      </c>
      <c r="BO315" s="495">
        <f t="shared" si="251"/>
        <v>0.8700397284</v>
      </c>
      <c r="BP315" s="495">
        <f t="shared" si="251"/>
        <v>0.8726755025</v>
      </c>
      <c r="BQ315" s="495">
        <f t="shared" si="251"/>
        <v>0.875319647</v>
      </c>
      <c r="BR315" s="495">
        <f t="shared" si="251"/>
        <v>0.8779721429</v>
      </c>
      <c r="BS315" s="495">
        <f t="shared" si="251"/>
        <v>0.8806329729</v>
      </c>
      <c r="BT315" s="495">
        <f t="shared" si="251"/>
        <v>0.883302121</v>
      </c>
      <c r="BU315" s="495">
        <f t="shared" si="251"/>
        <v>0.8859795726</v>
      </c>
      <c r="BV315" s="495">
        <f t="shared" si="251"/>
        <v>0.8886653142</v>
      </c>
      <c r="BW315" s="495">
        <f t="shared" si="251"/>
        <v>0.9150654378</v>
      </c>
      <c r="BX315" s="495">
        <f t="shared" si="251"/>
        <v>0.8583880582</v>
      </c>
      <c r="BY315" s="495">
        <f t="shared" si="251"/>
        <v>0.8609947504</v>
      </c>
      <c r="BZ315" s="495">
        <f t="shared" si="251"/>
        <v>0.8636069465</v>
      </c>
      <c r="CA315" s="495">
        <f t="shared" si="251"/>
        <v>0.8662271249</v>
      </c>
      <c r="CB315" s="495">
        <f t="shared" si="251"/>
        <v>0.8688553022</v>
      </c>
      <c r="CC315" s="495">
        <f t="shared" si="251"/>
        <v>0.8714914938</v>
      </c>
      <c r="CD315" s="495">
        <f t="shared" si="251"/>
        <v>0.8741357146</v>
      </c>
      <c r="CE315" s="495">
        <f t="shared" si="251"/>
        <v>0.8767879786</v>
      </c>
      <c r="CF315" s="495">
        <f t="shared" si="251"/>
        <v>0.8794482991</v>
      </c>
      <c r="CG315" s="495">
        <f t="shared" si="251"/>
        <v>0.8821166884</v>
      </c>
      <c r="CH315" s="495">
        <f t="shared" si="251"/>
        <v>0.8847931586</v>
      </c>
    </row>
    <row r="316" ht="15.75" customHeight="1">
      <c r="A316" s="91"/>
      <c r="B316" s="305"/>
      <c r="O316" s="5"/>
      <c r="P316" s="5"/>
      <c r="Q316" s="5"/>
      <c r="R316" s="5"/>
      <c r="S316" s="5"/>
      <c r="T316" s="5"/>
    </row>
    <row r="317" ht="15.75" customHeight="1">
      <c r="A317" s="91"/>
      <c r="B317" s="305"/>
      <c r="O317" s="5"/>
      <c r="P317" s="5"/>
      <c r="Q317" s="5"/>
      <c r="R317" s="5"/>
      <c r="S317" s="5"/>
      <c r="T317" s="5"/>
    </row>
    <row r="318" ht="15.75" customHeight="1">
      <c r="A318" s="500" t="s">
        <v>767</v>
      </c>
      <c r="S318" s="501"/>
      <c r="T318" s="501"/>
      <c r="U318" s="501"/>
      <c r="V318" s="501"/>
      <c r="W318" s="501"/>
      <c r="X318" s="5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1"/>
      <c r="BB318" s="201"/>
      <c r="BC318" s="201"/>
      <c r="BD318" s="201"/>
      <c r="BE318" s="201"/>
      <c r="BF318" s="201"/>
      <c r="BG318" s="201"/>
      <c r="BH318" s="201"/>
      <c r="BI318" s="201"/>
      <c r="BJ318" s="201"/>
      <c r="BK318" s="201"/>
      <c r="BL318" s="201"/>
      <c r="BM318" s="201"/>
      <c r="BN318" s="201"/>
      <c r="BO318" s="201"/>
      <c r="BP318" s="201"/>
      <c r="BQ318" s="201"/>
      <c r="BR318" s="201"/>
      <c r="BS318" s="201"/>
      <c r="BT318" s="201"/>
      <c r="BU318" s="201"/>
      <c r="BV318" s="201"/>
      <c r="BW318" s="201"/>
      <c r="BX318" s="201"/>
      <c r="BY318" s="201"/>
      <c r="BZ318" s="201"/>
      <c r="CA318" s="201"/>
      <c r="CB318" s="201"/>
      <c r="CC318" s="201"/>
      <c r="CD318" s="201"/>
      <c r="CE318" s="201"/>
      <c r="CF318" s="201"/>
      <c r="CG318" s="201"/>
      <c r="CH318" s="201"/>
    </row>
    <row r="319" ht="15.75" customHeight="1">
      <c r="A319" s="431"/>
      <c r="S319" s="501"/>
      <c r="T319" s="501"/>
      <c r="U319" s="501"/>
      <c r="V319" s="501"/>
      <c r="W319" s="501"/>
      <c r="X319" s="5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1"/>
      <c r="BB319" s="201"/>
      <c r="BC319" s="201"/>
      <c r="BD319" s="201"/>
      <c r="BE319" s="201"/>
      <c r="BF319" s="201"/>
      <c r="BG319" s="201"/>
      <c r="BH319" s="201"/>
      <c r="BI319" s="201"/>
      <c r="BJ319" s="201"/>
      <c r="BK319" s="201"/>
      <c r="BL319" s="201"/>
      <c r="BM319" s="201"/>
      <c r="BN319" s="201"/>
      <c r="BO319" s="201"/>
      <c r="BP319" s="201"/>
      <c r="BQ319" s="201"/>
      <c r="BR319" s="201"/>
      <c r="BS319" s="201"/>
      <c r="BT319" s="201"/>
      <c r="BU319" s="201"/>
      <c r="BV319" s="201"/>
      <c r="BW319" s="201"/>
      <c r="BX319" s="201"/>
      <c r="BY319" s="201"/>
      <c r="BZ319" s="201"/>
      <c r="CA319" s="201"/>
      <c r="CB319" s="201"/>
      <c r="CC319" s="201"/>
      <c r="CD319" s="201"/>
      <c r="CE319" s="201"/>
      <c r="CF319" s="201"/>
      <c r="CG319" s="201"/>
      <c r="CH319" s="201"/>
    </row>
    <row r="320" ht="15.75" customHeight="1">
      <c r="A320" s="431" t="s">
        <v>768</v>
      </c>
      <c r="S320" s="501">
        <v>1.0</v>
      </c>
      <c r="T320" s="501">
        <v>1.0</v>
      </c>
      <c r="U320" s="501">
        <v>1.0</v>
      </c>
      <c r="V320" s="501">
        <v>1.0</v>
      </c>
      <c r="W320" s="501">
        <v>3.0</v>
      </c>
      <c r="X320" s="501">
        <v>1.0</v>
      </c>
      <c r="Y320" s="501">
        <v>1.0</v>
      </c>
      <c r="Z320" s="201">
        <f t="shared" ref="Z320:CH320" si="252">Y320</f>
        <v>1</v>
      </c>
      <c r="AA320" s="201">
        <f t="shared" si="252"/>
        <v>1</v>
      </c>
      <c r="AB320" s="201">
        <f t="shared" si="252"/>
        <v>1</v>
      </c>
      <c r="AC320" s="201">
        <f t="shared" si="252"/>
        <v>1</v>
      </c>
      <c r="AD320" s="201">
        <f t="shared" si="252"/>
        <v>1</v>
      </c>
      <c r="AE320" s="201">
        <f t="shared" si="252"/>
        <v>1</v>
      </c>
      <c r="AF320" s="201">
        <f t="shared" si="252"/>
        <v>1</v>
      </c>
      <c r="AG320" s="201">
        <f t="shared" si="252"/>
        <v>1</v>
      </c>
      <c r="AH320" s="201">
        <f t="shared" si="252"/>
        <v>1</v>
      </c>
      <c r="AI320" s="201">
        <f t="shared" si="252"/>
        <v>1</v>
      </c>
      <c r="AJ320" s="201">
        <f t="shared" si="252"/>
        <v>1</v>
      </c>
      <c r="AK320" s="201">
        <f t="shared" si="252"/>
        <v>1</v>
      </c>
      <c r="AL320" s="201">
        <f t="shared" si="252"/>
        <v>1</v>
      </c>
      <c r="AM320" s="201">
        <f t="shared" si="252"/>
        <v>1</v>
      </c>
      <c r="AN320" s="201">
        <f t="shared" si="252"/>
        <v>1</v>
      </c>
      <c r="AO320" s="201">
        <f t="shared" si="252"/>
        <v>1</v>
      </c>
      <c r="AP320" s="201">
        <f t="shared" si="252"/>
        <v>1</v>
      </c>
      <c r="AQ320" s="201">
        <f t="shared" si="252"/>
        <v>1</v>
      </c>
      <c r="AR320" s="201">
        <f t="shared" si="252"/>
        <v>1</v>
      </c>
      <c r="AS320" s="201">
        <f t="shared" si="252"/>
        <v>1</v>
      </c>
      <c r="AT320" s="201">
        <f t="shared" si="252"/>
        <v>1</v>
      </c>
      <c r="AU320" s="201">
        <f t="shared" si="252"/>
        <v>1</v>
      </c>
      <c r="AV320" s="201">
        <f t="shared" si="252"/>
        <v>1</v>
      </c>
      <c r="AW320" s="201">
        <f t="shared" si="252"/>
        <v>1</v>
      </c>
      <c r="AX320" s="201">
        <f t="shared" si="252"/>
        <v>1</v>
      </c>
      <c r="AY320" s="201">
        <f t="shared" si="252"/>
        <v>1</v>
      </c>
      <c r="AZ320" s="201">
        <f t="shared" si="252"/>
        <v>1</v>
      </c>
      <c r="BA320" s="201">
        <f t="shared" si="252"/>
        <v>1</v>
      </c>
      <c r="BB320" s="201">
        <f t="shared" si="252"/>
        <v>1</v>
      </c>
      <c r="BC320" s="201">
        <f t="shared" si="252"/>
        <v>1</v>
      </c>
      <c r="BD320" s="201">
        <f t="shared" si="252"/>
        <v>1</v>
      </c>
      <c r="BE320" s="201">
        <f t="shared" si="252"/>
        <v>1</v>
      </c>
      <c r="BF320" s="201">
        <f t="shared" si="252"/>
        <v>1</v>
      </c>
      <c r="BG320" s="201">
        <f t="shared" si="252"/>
        <v>1</v>
      </c>
      <c r="BH320" s="201">
        <f t="shared" si="252"/>
        <v>1</v>
      </c>
      <c r="BI320" s="201">
        <f t="shared" si="252"/>
        <v>1</v>
      </c>
      <c r="BJ320" s="201">
        <f t="shared" si="252"/>
        <v>1</v>
      </c>
      <c r="BK320" s="201">
        <f t="shared" si="252"/>
        <v>1</v>
      </c>
      <c r="BL320" s="201">
        <f t="shared" si="252"/>
        <v>1</v>
      </c>
      <c r="BM320" s="201">
        <f t="shared" si="252"/>
        <v>1</v>
      </c>
      <c r="BN320" s="201">
        <f t="shared" si="252"/>
        <v>1</v>
      </c>
      <c r="BO320" s="201">
        <f t="shared" si="252"/>
        <v>1</v>
      </c>
      <c r="BP320" s="201">
        <f t="shared" si="252"/>
        <v>1</v>
      </c>
      <c r="BQ320" s="201">
        <f t="shared" si="252"/>
        <v>1</v>
      </c>
      <c r="BR320" s="201">
        <f t="shared" si="252"/>
        <v>1</v>
      </c>
      <c r="BS320" s="201">
        <f t="shared" si="252"/>
        <v>1</v>
      </c>
      <c r="BT320" s="201">
        <f t="shared" si="252"/>
        <v>1</v>
      </c>
      <c r="BU320" s="201">
        <f t="shared" si="252"/>
        <v>1</v>
      </c>
      <c r="BV320" s="201">
        <f t="shared" si="252"/>
        <v>1</v>
      </c>
      <c r="BW320" s="201">
        <f t="shared" si="252"/>
        <v>1</v>
      </c>
      <c r="BX320" s="201">
        <f t="shared" si="252"/>
        <v>1</v>
      </c>
      <c r="BY320" s="201">
        <f t="shared" si="252"/>
        <v>1</v>
      </c>
      <c r="BZ320" s="201">
        <f t="shared" si="252"/>
        <v>1</v>
      </c>
      <c r="CA320" s="201">
        <f t="shared" si="252"/>
        <v>1</v>
      </c>
      <c r="CB320" s="201">
        <f t="shared" si="252"/>
        <v>1</v>
      </c>
      <c r="CC320" s="201">
        <f t="shared" si="252"/>
        <v>1</v>
      </c>
      <c r="CD320" s="201">
        <f t="shared" si="252"/>
        <v>1</v>
      </c>
      <c r="CE320" s="201">
        <f t="shared" si="252"/>
        <v>1</v>
      </c>
      <c r="CF320" s="201">
        <f t="shared" si="252"/>
        <v>1</v>
      </c>
      <c r="CG320" s="201">
        <f t="shared" si="252"/>
        <v>1</v>
      </c>
      <c r="CH320" s="201">
        <f t="shared" si="252"/>
        <v>1</v>
      </c>
    </row>
    <row r="321" ht="15.75" customHeight="1">
      <c r="A321" s="431" t="s">
        <v>531</v>
      </c>
      <c r="S321" s="366">
        <f t="shared" ref="S321:V321" si="253">T320-S320</f>
        <v>0</v>
      </c>
      <c r="T321" s="366">
        <f t="shared" si="253"/>
        <v>0</v>
      </c>
      <c r="U321" s="366">
        <f t="shared" si="253"/>
        <v>0</v>
      </c>
      <c r="V321" s="366">
        <f t="shared" si="253"/>
        <v>2</v>
      </c>
      <c r="W321" s="366">
        <v>-1.0</v>
      </c>
      <c r="X321" s="366">
        <f t="shared" ref="X321:CG321" si="254">Y320-X320</f>
        <v>0</v>
      </c>
      <c r="Y321" s="366">
        <f t="shared" si="254"/>
        <v>0</v>
      </c>
      <c r="Z321" s="366">
        <f t="shared" si="254"/>
        <v>0</v>
      </c>
      <c r="AA321" s="366">
        <f t="shared" si="254"/>
        <v>0</v>
      </c>
      <c r="AB321" s="366">
        <f t="shared" si="254"/>
        <v>0</v>
      </c>
      <c r="AC321" s="366">
        <f t="shared" si="254"/>
        <v>0</v>
      </c>
      <c r="AD321" s="366">
        <f t="shared" si="254"/>
        <v>0</v>
      </c>
      <c r="AE321" s="366">
        <f t="shared" si="254"/>
        <v>0</v>
      </c>
      <c r="AF321" s="366">
        <f t="shared" si="254"/>
        <v>0</v>
      </c>
      <c r="AG321" s="366">
        <f t="shared" si="254"/>
        <v>0</v>
      </c>
      <c r="AH321" s="366">
        <f t="shared" si="254"/>
        <v>0</v>
      </c>
      <c r="AI321" s="366">
        <f t="shared" si="254"/>
        <v>0</v>
      </c>
      <c r="AJ321" s="366">
        <f t="shared" si="254"/>
        <v>0</v>
      </c>
      <c r="AK321" s="366">
        <f t="shared" si="254"/>
        <v>0</v>
      </c>
      <c r="AL321" s="366">
        <f t="shared" si="254"/>
        <v>0</v>
      </c>
      <c r="AM321" s="366">
        <f t="shared" si="254"/>
        <v>0</v>
      </c>
      <c r="AN321" s="366">
        <f t="shared" si="254"/>
        <v>0</v>
      </c>
      <c r="AO321" s="366">
        <f t="shared" si="254"/>
        <v>0</v>
      </c>
      <c r="AP321" s="366">
        <f t="shared" si="254"/>
        <v>0</v>
      </c>
      <c r="AQ321" s="366">
        <f t="shared" si="254"/>
        <v>0</v>
      </c>
      <c r="AR321" s="366">
        <f t="shared" si="254"/>
        <v>0</v>
      </c>
      <c r="AS321" s="366">
        <f t="shared" si="254"/>
        <v>0</v>
      </c>
      <c r="AT321" s="366">
        <f t="shared" si="254"/>
        <v>0</v>
      </c>
      <c r="AU321" s="366">
        <f t="shared" si="254"/>
        <v>0</v>
      </c>
      <c r="AV321" s="366">
        <f t="shared" si="254"/>
        <v>0</v>
      </c>
      <c r="AW321" s="366">
        <f t="shared" si="254"/>
        <v>0</v>
      </c>
      <c r="AX321" s="366">
        <f t="shared" si="254"/>
        <v>0</v>
      </c>
      <c r="AY321" s="366">
        <f t="shared" si="254"/>
        <v>0</v>
      </c>
      <c r="AZ321" s="366">
        <f t="shared" si="254"/>
        <v>0</v>
      </c>
      <c r="BA321" s="366">
        <f t="shared" si="254"/>
        <v>0</v>
      </c>
      <c r="BB321" s="366">
        <f t="shared" si="254"/>
        <v>0</v>
      </c>
      <c r="BC321" s="366">
        <f t="shared" si="254"/>
        <v>0</v>
      </c>
      <c r="BD321" s="366">
        <f t="shared" si="254"/>
        <v>0</v>
      </c>
      <c r="BE321" s="366">
        <f t="shared" si="254"/>
        <v>0</v>
      </c>
      <c r="BF321" s="366">
        <f t="shared" si="254"/>
        <v>0</v>
      </c>
      <c r="BG321" s="366">
        <f t="shared" si="254"/>
        <v>0</v>
      </c>
      <c r="BH321" s="366">
        <f t="shared" si="254"/>
        <v>0</v>
      </c>
      <c r="BI321" s="366">
        <f t="shared" si="254"/>
        <v>0</v>
      </c>
      <c r="BJ321" s="366">
        <f t="shared" si="254"/>
        <v>0</v>
      </c>
      <c r="BK321" s="366">
        <f t="shared" si="254"/>
        <v>0</v>
      </c>
      <c r="BL321" s="366">
        <f t="shared" si="254"/>
        <v>0</v>
      </c>
      <c r="BM321" s="366">
        <f t="shared" si="254"/>
        <v>0</v>
      </c>
      <c r="BN321" s="366">
        <f t="shared" si="254"/>
        <v>0</v>
      </c>
      <c r="BO321" s="366">
        <f t="shared" si="254"/>
        <v>0</v>
      </c>
      <c r="BP321" s="366">
        <f t="shared" si="254"/>
        <v>0</v>
      </c>
      <c r="BQ321" s="366">
        <f t="shared" si="254"/>
        <v>0</v>
      </c>
      <c r="BR321" s="366">
        <f t="shared" si="254"/>
        <v>0</v>
      </c>
      <c r="BS321" s="366">
        <f t="shared" si="254"/>
        <v>0</v>
      </c>
      <c r="BT321" s="366">
        <f t="shared" si="254"/>
        <v>0</v>
      </c>
      <c r="BU321" s="366">
        <f t="shared" si="254"/>
        <v>0</v>
      </c>
      <c r="BV321" s="366">
        <f t="shared" si="254"/>
        <v>0</v>
      </c>
      <c r="BW321" s="366">
        <f t="shared" si="254"/>
        <v>0</v>
      </c>
      <c r="BX321" s="366">
        <f t="shared" si="254"/>
        <v>0</v>
      </c>
      <c r="BY321" s="366">
        <f t="shared" si="254"/>
        <v>0</v>
      </c>
      <c r="BZ321" s="366">
        <f t="shared" si="254"/>
        <v>0</v>
      </c>
      <c r="CA321" s="366">
        <f t="shared" si="254"/>
        <v>0</v>
      </c>
      <c r="CB321" s="366">
        <f t="shared" si="254"/>
        <v>0</v>
      </c>
      <c r="CC321" s="366">
        <f t="shared" si="254"/>
        <v>0</v>
      </c>
      <c r="CD321" s="366">
        <f t="shared" si="254"/>
        <v>0</v>
      </c>
      <c r="CE321" s="366">
        <f t="shared" si="254"/>
        <v>0</v>
      </c>
      <c r="CF321" s="366">
        <f t="shared" si="254"/>
        <v>0</v>
      </c>
      <c r="CG321" s="366">
        <f t="shared" si="254"/>
        <v>0</v>
      </c>
      <c r="CH321" s="366" t="str">
        <f>#REF!-CH320</f>
        <v>#REF!</v>
      </c>
    </row>
    <row r="322" ht="15.75" customHeight="1">
      <c r="A322" s="431" t="s">
        <v>769</v>
      </c>
      <c r="S322" s="196">
        <v>252150.0</v>
      </c>
      <c r="T322" s="198">
        <f t="shared" ref="T322:CH322" si="255">S322</f>
        <v>252150</v>
      </c>
      <c r="U322" s="198">
        <f t="shared" si="255"/>
        <v>252150</v>
      </c>
      <c r="V322" s="198">
        <f t="shared" si="255"/>
        <v>252150</v>
      </c>
      <c r="W322" s="198">
        <f t="shared" si="255"/>
        <v>252150</v>
      </c>
      <c r="X322" s="198">
        <f t="shared" si="255"/>
        <v>252150</v>
      </c>
      <c r="Y322" s="198">
        <f t="shared" si="255"/>
        <v>252150</v>
      </c>
      <c r="Z322" s="198">
        <f t="shared" si="255"/>
        <v>252150</v>
      </c>
      <c r="AA322" s="198">
        <f t="shared" si="255"/>
        <v>252150</v>
      </c>
      <c r="AB322" s="198">
        <f t="shared" si="255"/>
        <v>252150</v>
      </c>
      <c r="AC322" s="198">
        <f t="shared" si="255"/>
        <v>252150</v>
      </c>
      <c r="AD322" s="198">
        <f t="shared" si="255"/>
        <v>252150</v>
      </c>
      <c r="AE322" s="198">
        <f t="shared" si="255"/>
        <v>252150</v>
      </c>
      <c r="AF322" s="198">
        <f t="shared" si="255"/>
        <v>252150</v>
      </c>
      <c r="AG322" s="198">
        <f t="shared" si="255"/>
        <v>252150</v>
      </c>
      <c r="AH322" s="198">
        <f t="shared" si="255"/>
        <v>252150</v>
      </c>
      <c r="AI322" s="198">
        <f t="shared" si="255"/>
        <v>252150</v>
      </c>
      <c r="AJ322" s="198">
        <f t="shared" si="255"/>
        <v>252150</v>
      </c>
      <c r="AK322" s="198">
        <f t="shared" si="255"/>
        <v>252150</v>
      </c>
      <c r="AL322" s="198">
        <f t="shared" si="255"/>
        <v>252150</v>
      </c>
      <c r="AM322" s="198">
        <f t="shared" si="255"/>
        <v>252150</v>
      </c>
      <c r="AN322" s="198">
        <f t="shared" si="255"/>
        <v>252150</v>
      </c>
      <c r="AO322" s="198">
        <f t="shared" si="255"/>
        <v>252150</v>
      </c>
      <c r="AP322" s="198">
        <f t="shared" si="255"/>
        <v>252150</v>
      </c>
      <c r="AQ322" s="198">
        <f t="shared" si="255"/>
        <v>252150</v>
      </c>
      <c r="AR322" s="198">
        <f t="shared" si="255"/>
        <v>252150</v>
      </c>
      <c r="AS322" s="198">
        <f t="shared" si="255"/>
        <v>252150</v>
      </c>
      <c r="AT322" s="198">
        <f t="shared" si="255"/>
        <v>252150</v>
      </c>
      <c r="AU322" s="198">
        <f t="shared" si="255"/>
        <v>252150</v>
      </c>
      <c r="AV322" s="198">
        <f t="shared" si="255"/>
        <v>252150</v>
      </c>
      <c r="AW322" s="198">
        <f t="shared" si="255"/>
        <v>252150</v>
      </c>
      <c r="AX322" s="198">
        <f t="shared" si="255"/>
        <v>252150</v>
      </c>
      <c r="AY322" s="198">
        <f t="shared" si="255"/>
        <v>252150</v>
      </c>
      <c r="AZ322" s="198">
        <f t="shared" si="255"/>
        <v>252150</v>
      </c>
      <c r="BA322" s="198">
        <f t="shared" si="255"/>
        <v>252150</v>
      </c>
      <c r="BB322" s="198">
        <f t="shared" si="255"/>
        <v>252150</v>
      </c>
      <c r="BC322" s="198">
        <f t="shared" si="255"/>
        <v>252150</v>
      </c>
      <c r="BD322" s="198">
        <f t="shared" si="255"/>
        <v>252150</v>
      </c>
      <c r="BE322" s="198">
        <f t="shared" si="255"/>
        <v>252150</v>
      </c>
      <c r="BF322" s="198">
        <f t="shared" si="255"/>
        <v>252150</v>
      </c>
      <c r="BG322" s="198">
        <f t="shared" si="255"/>
        <v>252150</v>
      </c>
      <c r="BH322" s="198">
        <f t="shared" si="255"/>
        <v>252150</v>
      </c>
      <c r="BI322" s="198">
        <f t="shared" si="255"/>
        <v>252150</v>
      </c>
      <c r="BJ322" s="198">
        <f t="shared" si="255"/>
        <v>252150</v>
      </c>
      <c r="BK322" s="198">
        <f t="shared" si="255"/>
        <v>252150</v>
      </c>
      <c r="BL322" s="198">
        <f t="shared" si="255"/>
        <v>252150</v>
      </c>
      <c r="BM322" s="198">
        <f t="shared" si="255"/>
        <v>252150</v>
      </c>
      <c r="BN322" s="198">
        <f t="shared" si="255"/>
        <v>252150</v>
      </c>
      <c r="BO322" s="198">
        <f t="shared" si="255"/>
        <v>252150</v>
      </c>
      <c r="BP322" s="198">
        <f t="shared" si="255"/>
        <v>252150</v>
      </c>
      <c r="BQ322" s="198">
        <f t="shared" si="255"/>
        <v>252150</v>
      </c>
      <c r="BR322" s="198">
        <f t="shared" si="255"/>
        <v>252150</v>
      </c>
      <c r="BS322" s="198">
        <f t="shared" si="255"/>
        <v>252150</v>
      </c>
      <c r="BT322" s="198">
        <f t="shared" si="255"/>
        <v>252150</v>
      </c>
      <c r="BU322" s="198">
        <f t="shared" si="255"/>
        <v>252150</v>
      </c>
      <c r="BV322" s="198">
        <f t="shared" si="255"/>
        <v>252150</v>
      </c>
      <c r="BW322" s="198">
        <f t="shared" si="255"/>
        <v>252150</v>
      </c>
      <c r="BX322" s="198">
        <f t="shared" si="255"/>
        <v>252150</v>
      </c>
      <c r="BY322" s="198">
        <f t="shared" si="255"/>
        <v>252150</v>
      </c>
      <c r="BZ322" s="198">
        <f t="shared" si="255"/>
        <v>252150</v>
      </c>
      <c r="CA322" s="198">
        <f t="shared" si="255"/>
        <v>252150</v>
      </c>
      <c r="CB322" s="198">
        <f t="shared" si="255"/>
        <v>252150</v>
      </c>
      <c r="CC322" s="198">
        <f t="shared" si="255"/>
        <v>252150</v>
      </c>
      <c r="CD322" s="198">
        <f t="shared" si="255"/>
        <v>252150</v>
      </c>
      <c r="CE322" s="198">
        <f t="shared" si="255"/>
        <v>252150</v>
      </c>
      <c r="CF322" s="198">
        <f t="shared" si="255"/>
        <v>252150</v>
      </c>
      <c r="CG322" s="198">
        <f t="shared" si="255"/>
        <v>252150</v>
      </c>
      <c r="CH322" s="198">
        <f t="shared" si="255"/>
        <v>252150</v>
      </c>
    </row>
    <row r="323" ht="15.75" customHeight="1">
      <c r="A323" s="431" t="s">
        <v>770</v>
      </c>
      <c r="S323" s="198">
        <f>S322*S320*Capacity!$B$363</f>
        <v>126075</v>
      </c>
      <c r="T323" s="198">
        <f>T322*T320*Capacity!$B$363</f>
        <v>126075</v>
      </c>
      <c r="U323" s="198">
        <f>U322*U320*Capacity!$B$363</f>
        <v>126075</v>
      </c>
      <c r="V323" s="198">
        <f>V322*V320*Capacity!$B$363</f>
        <v>126075</v>
      </c>
      <c r="W323" s="198">
        <f>W322*W320*Capacity!$B$363</f>
        <v>378225</v>
      </c>
      <c r="X323" s="198">
        <f>X322*X320*Capacity!$B$363</f>
        <v>126075</v>
      </c>
      <c r="Y323" s="198">
        <f>Y322*Y320*Capacity!$B$363</f>
        <v>126075</v>
      </c>
      <c r="Z323" s="198">
        <f>Z322*Z320*Capacity!$B$363</f>
        <v>126075</v>
      </c>
      <c r="AA323" s="198">
        <f>AA322*AA320*Capacity!$B$363</f>
        <v>126075</v>
      </c>
      <c r="AB323" s="198">
        <f>AB322*AB320*Capacity!$B$363</f>
        <v>126075</v>
      </c>
      <c r="AC323" s="198">
        <f>AC322*AC320*Capacity!$B$363</f>
        <v>126075</v>
      </c>
      <c r="AD323" s="198">
        <f>AD322*AD320*Capacity!$B$363</f>
        <v>126075</v>
      </c>
      <c r="AE323" s="198">
        <f>AE322*AE320*Capacity!$B$363</f>
        <v>126075</v>
      </c>
      <c r="AF323" s="198">
        <f>AF322*AF320*Capacity!$B$363</f>
        <v>126075</v>
      </c>
      <c r="AG323" s="198">
        <f>AG322*AG320*Capacity!$B$363</f>
        <v>126075</v>
      </c>
      <c r="AH323" s="198">
        <f>AH322*AH320*Capacity!$B$363</f>
        <v>126075</v>
      </c>
      <c r="AI323" s="198">
        <f>AI322*AI320*Capacity!$B$363</f>
        <v>126075</v>
      </c>
      <c r="AJ323" s="198">
        <f>AJ322*AJ320*Capacity!$B$363</f>
        <v>126075</v>
      </c>
      <c r="AK323" s="198">
        <f>AK322*AK320*Capacity!$B$363</f>
        <v>126075</v>
      </c>
      <c r="AL323" s="198">
        <f>AL322*AL320*Capacity!$B$363</f>
        <v>126075</v>
      </c>
      <c r="AM323" s="198">
        <f>AM322*AM320*Capacity!$B$363</f>
        <v>126075</v>
      </c>
      <c r="AN323" s="198">
        <f>AN322*AN320*Capacity!$B$363</f>
        <v>126075</v>
      </c>
      <c r="AO323" s="198">
        <f>AO322*AO320*Capacity!$B$363</f>
        <v>126075</v>
      </c>
      <c r="AP323" s="198">
        <f>AP322*AP320*Capacity!$B$363</f>
        <v>126075</v>
      </c>
      <c r="AQ323" s="198">
        <f>AQ322*AQ320*Capacity!$B$363</f>
        <v>126075</v>
      </c>
      <c r="AR323" s="198">
        <f>AR322*AR320*Capacity!$B$363</f>
        <v>126075</v>
      </c>
      <c r="AS323" s="198">
        <f>AS322*AS320*Capacity!$B$363</f>
        <v>126075</v>
      </c>
      <c r="AT323" s="198">
        <f>AT322*AT320*Capacity!$B$363</f>
        <v>126075</v>
      </c>
      <c r="AU323" s="198">
        <f>AU322*AU320*Capacity!$B$363</f>
        <v>126075</v>
      </c>
      <c r="AV323" s="198">
        <f>AV322*AV320*Capacity!$B$363</f>
        <v>126075</v>
      </c>
      <c r="AW323" s="198">
        <f>AW322*AW320*Capacity!$B$363</f>
        <v>126075</v>
      </c>
      <c r="AX323" s="198">
        <f>AX322*AX320*Capacity!$B$363</f>
        <v>126075</v>
      </c>
      <c r="AY323" s="198">
        <f>AY322*AY320*Capacity!$B$363</f>
        <v>126075</v>
      </c>
      <c r="AZ323" s="198">
        <f>AZ322*AZ320*Capacity!$B$363</f>
        <v>126075</v>
      </c>
      <c r="BA323" s="198">
        <f>BA322*BA320*Capacity!$B$363</f>
        <v>126075</v>
      </c>
      <c r="BB323" s="198">
        <f>BB322*BB320*Capacity!$B$363</f>
        <v>126075</v>
      </c>
      <c r="BC323" s="198">
        <f>BC322*BC320*Capacity!$B$363</f>
        <v>126075</v>
      </c>
      <c r="BD323" s="198">
        <f>BD322*BD320*Capacity!$B$363</f>
        <v>126075</v>
      </c>
      <c r="BE323" s="198">
        <f>BE322*BE320*Capacity!$B$363</f>
        <v>126075</v>
      </c>
      <c r="BF323" s="198">
        <f>BF322*BF320*Capacity!$B$363</f>
        <v>126075</v>
      </c>
      <c r="BG323" s="198">
        <f>BG322*BG320*Capacity!$B$363</f>
        <v>126075</v>
      </c>
      <c r="BH323" s="198">
        <f>BH322*BH320*Capacity!$B$363</f>
        <v>126075</v>
      </c>
      <c r="BI323" s="198">
        <f>BI322*BI320*Capacity!$B$363</f>
        <v>126075</v>
      </c>
      <c r="BJ323" s="198">
        <f>BJ322*BJ320*Capacity!$B$363</f>
        <v>126075</v>
      </c>
      <c r="BK323" s="198">
        <f>BK322*BK320*Capacity!$B$363</f>
        <v>126075</v>
      </c>
      <c r="BL323" s="198">
        <f>BL322*BL320*Capacity!$B$363</f>
        <v>126075</v>
      </c>
      <c r="BM323" s="198">
        <f>BM322*BM320*Capacity!$B$363</f>
        <v>126075</v>
      </c>
      <c r="BN323" s="198">
        <f>BN322*BN320*Capacity!$B$363</f>
        <v>126075</v>
      </c>
      <c r="BO323" s="198">
        <f>BO322*BO320*Capacity!$B$363</f>
        <v>126075</v>
      </c>
      <c r="BP323" s="198">
        <f>BP322*BP320*Capacity!$B$363</f>
        <v>126075</v>
      </c>
      <c r="BQ323" s="198">
        <f>BQ322*BQ320*Capacity!$B$363</f>
        <v>126075</v>
      </c>
      <c r="BR323" s="198">
        <f>BR322*BR320*Capacity!$B$363</f>
        <v>126075</v>
      </c>
      <c r="BS323" s="198">
        <f>BS322*BS320*Capacity!$B$363</f>
        <v>126075</v>
      </c>
      <c r="BT323" s="198">
        <f>BT322*BT320*Capacity!$B$363</f>
        <v>126075</v>
      </c>
      <c r="BU323" s="198">
        <f>BU322*BU320*Capacity!$B$363</f>
        <v>126075</v>
      </c>
      <c r="BV323" s="198">
        <f>BV322*BV320*Capacity!$B$363</f>
        <v>126075</v>
      </c>
      <c r="BW323" s="198">
        <f>BW322*BW320*Capacity!$B$363</f>
        <v>126075</v>
      </c>
      <c r="BX323" s="198">
        <f>BX322*BX320*Capacity!$B$363</f>
        <v>126075</v>
      </c>
      <c r="BY323" s="198">
        <f>BY322*BY320*Capacity!$B$363</f>
        <v>126075</v>
      </c>
      <c r="BZ323" s="198">
        <f>BZ322*BZ320*Capacity!$B$363</f>
        <v>126075</v>
      </c>
      <c r="CA323" s="198">
        <f>CA322*CA320*Capacity!$B$363</f>
        <v>126075</v>
      </c>
      <c r="CB323" s="198">
        <f>CB322*CB320*Capacity!$B$363</f>
        <v>126075</v>
      </c>
      <c r="CC323" s="198">
        <f>CC322*CC320*Capacity!$B$363</f>
        <v>126075</v>
      </c>
      <c r="CD323" s="198">
        <f>CD322*CD320*Capacity!$B$363</f>
        <v>126075</v>
      </c>
      <c r="CE323" s="198">
        <f>CE322*CE320*Capacity!$B$363</f>
        <v>126075</v>
      </c>
      <c r="CF323" s="198">
        <f>CF322*CF320*Capacity!$B$363</f>
        <v>126075</v>
      </c>
      <c r="CG323" s="198">
        <f>CG322*CG320*Capacity!$B$363</f>
        <v>126075</v>
      </c>
      <c r="CH323" s="198">
        <f>CH322*CH320*Capacity!$B$363</f>
        <v>126075</v>
      </c>
    </row>
    <row r="324" ht="15.75" customHeight="1">
      <c r="A324" s="431" t="s">
        <v>771</v>
      </c>
      <c r="S324" s="198">
        <f t="shared" ref="S324:CH324" si="256">S322*S320-S323</f>
        <v>126075</v>
      </c>
      <c r="T324" s="198">
        <f t="shared" si="256"/>
        <v>126075</v>
      </c>
      <c r="U324" s="198">
        <f t="shared" si="256"/>
        <v>126075</v>
      </c>
      <c r="V324" s="198">
        <f t="shared" si="256"/>
        <v>126075</v>
      </c>
      <c r="W324" s="198">
        <f t="shared" si="256"/>
        <v>378225</v>
      </c>
      <c r="X324" s="198">
        <f t="shared" si="256"/>
        <v>126075</v>
      </c>
      <c r="Y324" s="198">
        <f t="shared" si="256"/>
        <v>126075</v>
      </c>
      <c r="Z324" s="198">
        <f t="shared" si="256"/>
        <v>126075</v>
      </c>
      <c r="AA324" s="198">
        <f t="shared" si="256"/>
        <v>126075</v>
      </c>
      <c r="AB324" s="198">
        <f t="shared" si="256"/>
        <v>126075</v>
      </c>
      <c r="AC324" s="198">
        <f t="shared" si="256"/>
        <v>126075</v>
      </c>
      <c r="AD324" s="198">
        <f t="shared" si="256"/>
        <v>126075</v>
      </c>
      <c r="AE324" s="198">
        <f t="shared" si="256"/>
        <v>126075</v>
      </c>
      <c r="AF324" s="198">
        <f t="shared" si="256"/>
        <v>126075</v>
      </c>
      <c r="AG324" s="198">
        <f t="shared" si="256"/>
        <v>126075</v>
      </c>
      <c r="AH324" s="198">
        <f t="shared" si="256"/>
        <v>126075</v>
      </c>
      <c r="AI324" s="198">
        <f t="shared" si="256"/>
        <v>126075</v>
      </c>
      <c r="AJ324" s="198">
        <f t="shared" si="256"/>
        <v>126075</v>
      </c>
      <c r="AK324" s="198">
        <f t="shared" si="256"/>
        <v>126075</v>
      </c>
      <c r="AL324" s="198">
        <f t="shared" si="256"/>
        <v>126075</v>
      </c>
      <c r="AM324" s="198">
        <f t="shared" si="256"/>
        <v>126075</v>
      </c>
      <c r="AN324" s="198">
        <f t="shared" si="256"/>
        <v>126075</v>
      </c>
      <c r="AO324" s="198">
        <f t="shared" si="256"/>
        <v>126075</v>
      </c>
      <c r="AP324" s="198">
        <f t="shared" si="256"/>
        <v>126075</v>
      </c>
      <c r="AQ324" s="198">
        <f t="shared" si="256"/>
        <v>126075</v>
      </c>
      <c r="AR324" s="198">
        <f t="shared" si="256"/>
        <v>126075</v>
      </c>
      <c r="AS324" s="198">
        <f t="shared" si="256"/>
        <v>126075</v>
      </c>
      <c r="AT324" s="198">
        <f t="shared" si="256"/>
        <v>126075</v>
      </c>
      <c r="AU324" s="198">
        <f t="shared" si="256"/>
        <v>126075</v>
      </c>
      <c r="AV324" s="198">
        <f t="shared" si="256"/>
        <v>126075</v>
      </c>
      <c r="AW324" s="198">
        <f t="shared" si="256"/>
        <v>126075</v>
      </c>
      <c r="AX324" s="198">
        <f t="shared" si="256"/>
        <v>126075</v>
      </c>
      <c r="AY324" s="198">
        <f t="shared" si="256"/>
        <v>126075</v>
      </c>
      <c r="AZ324" s="198">
        <f t="shared" si="256"/>
        <v>126075</v>
      </c>
      <c r="BA324" s="198">
        <f t="shared" si="256"/>
        <v>126075</v>
      </c>
      <c r="BB324" s="198">
        <f t="shared" si="256"/>
        <v>126075</v>
      </c>
      <c r="BC324" s="198">
        <f t="shared" si="256"/>
        <v>126075</v>
      </c>
      <c r="BD324" s="198">
        <f t="shared" si="256"/>
        <v>126075</v>
      </c>
      <c r="BE324" s="198">
        <f t="shared" si="256"/>
        <v>126075</v>
      </c>
      <c r="BF324" s="198">
        <f t="shared" si="256"/>
        <v>126075</v>
      </c>
      <c r="BG324" s="198">
        <f t="shared" si="256"/>
        <v>126075</v>
      </c>
      <c r="BH324" s="198">
        <f t="shared" si="256"/>
        <v>126075</v>
      </c>
      <c r="BI324" s="198">
        <f t="shared" si="256"/>
        <v>126075</v>
      </c>
      <c r="BJ324" s="198">
        <f t="shared" si="256"/>
        <v>126075</v>
      </c>
      <c r="BK324" s="198">
        <f t="shared" si="256"/>
        <v>126075</v>
      </c>
      <c r="BL324" s="198">
        <f t="shared" si="256"/>
        <v>126075</v>
      </c>
      <c r="BM324" s="198">
        <f t="shared" si="256"/>
        <v>126075</v>
      </c>
      <c r="BN324" s="198">
        <f t="shared" si="256"/>
        <v>126075</v>
      </c>
      <c r="BO324" s="198">
        <f t="shared" si="256"/>
        <v>126075</v>
      </c>
      <c r="BP324" s="198">
        <f t="shared" si="256"/>
        <v>126075</v>
      </c>
      <c r="BQ324" s="198">
        <f t="shared" si="256"/>
        <v>126075</v>
      </c>
      <c r="BR324" s="198">
        <f t="shared" si="256"/>
        <v>126075</v>
      </c>
      <c r="BS324" s="198">
        <f t="shared" si="256"/>
        <v>126075</v>
      </c>
      <c r="BT324" s="198">
        <f t="shared" si="256"/>
        <v>126075</v>
      </c>
      <c r="BU324" s="198">
        <f t="shared" si="256"/>
        <v>126075</v>
      </c>
      <c r="BV324" s="198">
        <f t="shared" si="256"/>
        <v>126075</v>
      </c>
      <c r="BW324" s="198">
        <f t="shared" si="256"/>
        <v>126075</v>
      </c>
      <c r="BX324" s="198">
        <f t="shared" si="256"/>
        <v>126075</v>
      </c>
      <c r="BY324" s="198">
        <f t="shared" si="256"/>
        <v>126075</v>
      </c>
      <c r="BZ324" s="198">
        <f t="shared" si="256"/>
        <v>126075</v>
      </c>
      <c r="CA324" s="198">
        <f t="shared" si="256"/>
        <v>126075</v>
      </c>
      <c r="CB324" s="198">
        <f t="shared" si="256"/>
        <v>126075</v>
      </c>
      <c r="CC324" s="198">
        <f t="shared" si="256"/>
        <v>126075</v>
      </c>
      <c r="CD324" s="198">
        <f t="shared" si="256"/>
        <v>126075</v>
      </c>
      <c r="CE324" s="198">
        <f t="shared" si="256"/>
        <v>126075</v>
      </c>
      <c r="CF324" s="198">
        <f t="shared" si="256"/>
        <v>126075</v>
      </c>
      <c r="CG324" s="198">
        <f t="shared" si="256"/>
        <v>126075</v>
      </c>
      <c r="CH324" s="198">
        <f t="shared" si="256"/>
        <v>126075</v>
      </c>
    </row>
    <row r="325" ht="15.75" customHeight="1">
      <c r="A325" s="431"/>
      <c r="S325" s="431"/>
      <c r="T325" s="431"/>
      <c r="U325" s="431"/>
      <c r="V325" s="431"/>
      <c r="W325" s="431"/>
      <c r="X325" s="431"/>
      <c r="Y325" s="431"/>
      <c r="Z325" s="431"/>
      <c r="AA325" s="431"/>
      <c r="AB325" s="431"/>
      <c r="AC325" s="431"/>
      <c r="AD325" s="431"/>
      <c r="AE325" s="431"/>
      <c r="AF325" s="431"/>
      <c r="AG325" s="431"/>
      <c r="AH325" s="431"/>
      <c r="AI325" s="431"/>
      <c r="AJ325" s="431"/>
      <c r="AK325" s="431"/>
      <c r="AL325" s="431"/>
      <c r="AM325" s="431"/>
      <c r="AN325" s="431"/>
      <c r="AO325" s="431"/>
      <c r="AP325" s="431"/>
      <c r="AQ325" s="431"/>
      <c r="AR325" s="431"/>
      <c r="AS325" s="431"/>
      <c r="AT325" s="431"/>
      <c r="AU325" s="431"/>
      <c r="AV325" s="431"/>
      <c r="AW325" s="431"/>
      <c r="AX325" s="431"/>
      <c r="AY325" s="431"/>
      <c r="AZ325" s="431"/>
      <c r="BA325" s="431"/>
      <c r="BB325" s="431"/>
      <c r="BC325" s="431"/>
      <c r="BD325" s="431"/>
      <c r="BE325" s="431"/>
      <c r="BF325" s="431"/>
      <c r="BG325" s="431"/>
      <c r="BH325" s="431"/>
      <c r="BI325" s="431"/>
      <c r="BJ325" s="431"/>
      <c r="BK325" s="431"/>
      <c r="BL325" s="431"/>
      <c r="BM325" s="431"/>
      <c r="BN325" s="431"/>
      <c r="BO325" s="431"/>
      <c r="BP325" s="431"/>
      <c r="BQ325" s="431"/>
      <c r="BR325" s="431"/>
      <c r="BS325" s="431"/>
      <c r="BT325" s="431"/>
      <c r="BU325" s="431"/>
      <c r="BV325" s="431"/>
      <c r="BW325" s="431"/>
      <c r="BX325" s="431"/>
      <c r="BY325" s="431"/>
      <c r="BZ325" s="431"/>
      <c r="CA325" s="431"/>
      <c r="CB325" s="431"/>
      <c r="CC325" s="431"/>
      <c r="CD325" s="431"/>
      <c r="CE325" s="431"/>
      <c r="CF325" s="431"/>
      <c r="CG325" s="431"/>
      <c r="CH325" s="431"/>
    </row>
    <row r="326" ht="15.75" customHeight="1">
      <c r="A326" s="1" t="s">
        <v>772</v>
      </c>
      <c r="S326" s="501">
        <v>2.0</v>
      </c>
      <c r="T326" s="501">
        <f t="shared" ref="T326:V326" si="257">S326</f>
        <v>2</v>
      </c>
      <c r="U326" s="501">
        <f t="shared" si="257"/>
        <v>2</v>
      </c>
      <c r="V326" s="501">
        <f t="shared" si="257"/>
        <v>2</v>
      </c>
      <c r="W326" s="501">
        <f t="shared" ref="W326:CH326" si="258">V326+V330</f>
        <v>2</v>
      </c>
      <c r="X326" s="501">
        <f t="shared" si="258"/>
        <v>2</v>
      </c>
      <c r="Y326" s="501">
        <f t="shared" si="258"/>
        <v>2</v>
      </c>
      <c r="Z326" s="323">
        <f t="shared" si="258"/>
        <v>2</v>
      </c>
      <c r="AA326" s="323">
        <f t="shared" si="258"/>
        <v>2</v>
      </c>
      <c r="AB326" s="323">
        <f t="shared" si="258"/>
        <v>2</v>
      </c>
      <c r="AC326" s="323">
        <f t="shared" si="258"/>
        <v>2</v>
      </c>
      <c r="AD326" s="323">
        <f t="shared" si="258"/>
        <v>2</v>
      </c>
      <c r="AE326" s="323">
        <f t="shared" si="258"/>
        <v>2</v>
      </c>
      <c r="AF326" s="323">
        <f t="shared" si="258"/>
        <v>2</v>
      </c>
      <c r="AG326" s="323">
        <f t="shared" si="258"/>
        <v>2</v>
      </c>
      <c r="AH326" s="323">
        <f t="shared" si="258"/>
        <v>2</v>
      </c>
      <c r="AI326" s="323">
        <f t="shared" si="258"/>
        <v>2</v>
      </c>
      <c r="AJ326" s="323">
        <f t="shared" si="258"/>
        <v>2</v>
      </c>
      <c r="AK326" s="323">
        <f t="shared" si="258"/>
        <v>2</v>
      </c>
      <c r="AL326" s="323">
        <f t="shared" si="258"/>
        <v>2</v>
      </c>
      <c r="AM326" s="323">
        <f t="shared" si="258"/>
        <v>2</v>
      </c>
      <c r="AN326" s="323">
        <f t="shared" si="258"/>
        <v>2</v>
      </c>
      <c r="AO326" s="323">
        <f t="shared" si="258"/>
        <v>2</v>
      </c>
      <c r="AP326" s="323">
        <f t="shared" si="258"/>
        <v>2</v>
      </c>
      <c r="AQ326" s="323">
        <f t="shared" si="258"/>
        <v>2</v>
      </c>
      <c r="AR326" s="323">
        <f t="shared" si="258"/>
        <v>2</v>
      </c>
      <c r="AS326" s="323">
        <f t="shared" si="258"/>
        <v>2</v>
      </c>
      <c r="AT326" s="323">
        <f t="shared" si="258"/>
        <v>2</v>
      </c>
      <c r="AU326" s="323">
        <f t="shared" si="258"/>
        <v>2</v>
      </c>
      <c r="AV326" s="323">
        <f t="shared" si="258"/>
        <v>2</v>
      </c>
      <c r="AW326" s="323">
        <f t="shared" si="258"/>
        <v>2</v>
      </c>
      <c r="AX326" s="323">
        <f t="shared" si="258"/>
        <v>2</v>
      </c>
      <c r="AY326" s="323">
        <f t="shared" si="258"/>
        <v>2</v>
      </c>
      <c r="AZ326" s="323">
        <f t="shared" si="258"/>
        <v>2</v>
      </c>
      <c r="BA326" s="323">
        <f t="shared" si="258"/>
        <v>2</v>
      </c>
      <c r="BB326" s="323">
        <f t="shared" si="258"/>
        <v>2</v>
      </c>
      <c r="BC326" s="323">
        <f t="shared" si="258"/>
        <v>2</v>
      </c>
      <c r="BD326" s="323">
        <f t="shared" si="258"/>
        <v>2</v>
      </c>
      <c r="BE326" s="323">
        <f t="shared" si="258"/>
        <v>2</v>
      </c>
      <c r="BF326" s="323">
        <f t="shared" si="258"/>
        <v>2</v>
      </c>
      <c r="BG326" s="323">
        <f t="shared" si="258"/>
        <v>2</v>
      </c>
      <c r="BH326" s="323">
        <f t="shared" si="258"/>
        <v>2</v>
      </c>
      <c r="BI326" s="323">
        <f t="shared" si="258"/>
        <v>2</v>
      </c>
      <c r="BJ326" s="323">
        <f t="shared" si="258"/>
        <v>2</v>
      </c>
      <c r="BK326" s="323">
        <f t="shared" si="258"/>
        <v>2</v>
      </c>
      <c r="BL326" s="323">
        <f t="shared" si="258"/>
        <v>2</v>
      </c>
      <c r="BM326" s="323">
        <f t="shared" si="258"/>
        <v>2</v>
      </c>
      <c r="BN326" s="323">
        <f t="shared" si="258"/>
        <v>2</v>
      </c>
      <c r="BO326" s="323">
        <f t="shared" si="258"/>
        <v>2</v>
      </c>
      <c r="BP326" s="323">
        <f t="shared" si="258"/>
        <v>2</v>
      </c>
      <c r="BQ326" s="323">
        <f t="shared" si="258"/>
        <v>2</v>
      </c>
      <c r="BR326" s="323">
        <f t="shared" si="258"/>
        <v>2</v>
      </c>
      <c r="BS326" s="323">
        <f t="shared" si="258"/>
        <v>2</v>
      </c>
      <c r="BT326" s="323">
        <f t="shared" si="258"/>
        <v>2</v>
      </c>
      <c r="BU326" s="323">
        <f t="shared" si="258"/>
        <v>2</v>
      </c>
      <c r="BV326" s="323">
        <f t="shared" si="258"/>
        <v>2</v>
      </c>
      <c r="BW326" s="323">
        <f t="shared" si="258"/>
        <v>2</v>
      </c>
      <c r="BX326" s="323">
        <f t="shared" si="258"/>
        <v>2</v>
      </c>
      <c r="BY326" s="323">
        <f t="shared" si="258"/>
        <v>2</v>
      </c>
      <c r="BZ326" s="323">
        <f t="shared" si="258"/>
        <v>2</v>
      </c>
      <c r="CA326" s="323">
        <f t="shared" si="258"/>
        <v>2</v>
      </c>
      <c r="CB326" s="323">
        <f t="shared" si="258"/>
        <v>2</v>
      </c>
      <c r="CC326" s="323">
        <f t="shared" si="258"/>
        <v>2</v>
      </c>
      <c r="CD326" s="323">
        <f t="shared" si="258"/>
        <v>2</v>
      </c>
      <c r="CE326" s="323">
        <f t="shared" si="258"/>
        <v>2</v>
      </c>
      <c r="CF326" s="323">
        <f t="shared" si="258"/>
        <v>2</v>
      </c>
      <c r="CG326" s="323">
        <f t="shared" si="258"/>
        <v>2</v>
      </c>
      <c r="CH326" s="323">
        <f t="shared" si="258"/>
        <v>2</v>
      </c>
    </row>
    <row r="327" ht="15.75" customHeight="1">
      <c r="A327" s="431" t="s">
        <v>769</v>
      </c>
      <c r="S327" s="196">
        <v>166050.0</v>
      </c>
      <c r="T327" s="198">
        <f t="shared" ref="T327:CH327" si="259">S327</f>
        <v>166050</v>
      </c>
      <c r="U327" s="198">
        <f t="shared" si="259"/>
        <v>166050</v>
      </c>
      <c r="V327" s="198">
        <f t="shared" si="259"/>
        <v>166050</v>
      </c>
      <c r="W327" s="198">
        <f t="shared" si="259"/>
        <v>166050</v>
      </c>
      <c r="X327" s="198">
        <f t="shared" si="259"/>
        <v>166050</v>
      </c>
      <c r="Y327" s="198">
        <f t="shared" si="259"/>
        <v>166050</v>
      </c>
      <c r="Z327" s="198">
        <f t="shared" si="259"/>
        <v>166050</v>
      </c>
      <c r="AA327" s="198">
        <f t="shared" si="259"/>
        <v>166050</v>
      </c>
      <c r="AB327" s="198">
        <f t="shared" si="259"/>
        <v>166050</v>
      </c>
      <c r="AC327" s="198">
        <f t="shared" si="259"/>
        <v>166050</v>
      </c>
      <c r="AD327" s="198">
        <f t="shared" si="259"/>
        <v>166050</v>
      </c>
      <c r="AE327" s="198">
        <f t="shared" si="259"/>
        <v>166050</v>
      </c>
      <c r="AF327" s="198">
        <f t="shared" si="259"/>
        <v>166050</v>
      </c>
      <c r="AG327" s="198">
        <f t="shared" si="259"/>
        <v>166050</v>
      </c>
      <c r="AH327" s="198">
        <f t="shared" si="259"/>
        <v>166050</v>
      </c>
      <c r="AI327" s="198">
        <f t="shared" si="259"/>
        <v>166050</v>
      </c>
      <c r="AJ327" s="198">
        <f t="shared" si="259"/>
        <v>166050</v>
      </c>
      <c r="AK327" s="198">
        <f t="shared" si="259"/>
        <v>166050</v>
      </c>
      <c r="AL327" s="198">
        <f t="shared" si="259"/>
        <v>166050</v>
      </c>
      <c r="AM327" s="198">
        <f t="shared" si="259"/>
        <v>166050</v>
      </c>
      <c r="AN327" s="198">
        <f t="shared" si="259"/>
        <v>166050</v>
      </c>
      <c r="AO327" s="198">
        <f t="shared" si="259"/>
        <v>166050</v>
      </c>
      <c r="AP327" s="198">
        <f t="shared" si="259"/>
        <v>166050</v>
      </c>
      <c r="AQ327" s="198">
        <f t="shared" si="259"/>
        <v>166050</v>
      </c>
      <c r="AR327" s="198">
        <f t="shared" si="259"/>
        <v>166050</v>
      </c>
      <c r="AS327" s="198">
        <f t="shared" si="259"/>
        <v>166050</v>
      </c>
      <c r="AT327" s="198">
        <f t="shared" si="259"/>
        <v>166050</v>
      </c>
      <c r="AU327" s="198">
        <f t="shared" si="259"/>
        <v>166050</v>
      </c>
      <c r="AV327" s="198">
        <f t="shared" si="259"/>
        <v>166050</v>
      </c>
      <c r="AW327" s="198">
        <f t="shared" si="259"/>
        <v>166050</v>
      </c>
      <c r="AX327" s="198">
        <f t="shared" si="259"/>
        <v>166050</v>
      </c>
      <c r="AY327" s="198">
        <f t="shared" si="259"/>
        <v>166050</v>
      </c>
      <c r="AZ327" s="198">
        <f t="shared" si="259"/>
        <v>166050</v>
      </c>
      <c r="BA327" s="198">
        <f t="shared" si="259"/>
        <v>166050</v>
      </c>
      <c r="BB327" s="198">
        <f t="shared" si="259"/>
        <v>166050</v>
      </c>
      <c r="BC327" s="198">
        <f t="shared" si="259"/>
        <v>166050</v>
      </c>
      <c r="BD327" s="198">
        <f t="shared" si="259"/>
        <v>166050</v>
      </c>
      <c r="BE327" s="198">
        <f t="shared" si="259"/>
        <v>166050</v>
      </c>
      <c r="BF327" s="198">
        <f t="shared" si="259"/>
        <v>166050</v>
      </c>
      <c r="BG327" s="198">
        <f t="shared" si="259"/>
        <v>166050</v>
      </c>
      <c r="BH327" s="198">
        <f t="shared" si="259"/>
        <v>166050</v>
      </c>
      <c r="BI327" s="198">
        <f t="shared" si="259"/>
        <v>166050</v>
      </c>
      <c r="BJ327" s="198">
        <f t="shared" si="259"/>
        <v>166050</v>
      </c>
      <c r="BK327" s="198">
        <f t="shared" si="259"/>
        <v>166050</v>
      </c>
      <c r="BL327" s="198">
        <f t="shared" si="259"/>
        <v>166050</v>
      </c>
      <c r="BM327" s="198">
        <f t="shared" si="259"/>
        <v>166050</v>
      </c>
      <c r="BN327" s="198">
        <f t="shared" si="259"/>
        <v>166050</v>
      </c>
      <c r="BO327" s="198">
        <f t="shared" si="259"/>
        <v>166050</v>
      </c>
      <c r="BP327" s="198">
        <f t="shared" si="259"/>
        <v>166050</v>
      </c>
      <c r="BQ327" s="198">
        <f t="shared" si="259"/>
        <v>166050</v>
      </c>
      <c r="BR327" s="198">
        <f t="shared" si="259"/>
        <v>166050</v>
      </c>
      <c r="BS327" s="198">
        <f t="shared" si="259"/>
        <v>166050</v>
      </c>
      <c r="BT327" s="198">
        <f t="shared" si="259"/>
        <v>166050</v>
      </c>
      <c r="BU327" s="198">
        <f t="shared" si="259"/>
        <v>166050</v>
      </c>
      <c r="BV327" s="198">
        <f t="shared" si="259"/>
        <v>166050</v>
      </c>
      <c r="BW327" s="198">
        <f t="shared" si="259"/>
        <v>166050</v>
      </c>
      <c r="BX327" s="198">
        <f t="shared" si="259"/>
        <v>166050</v>
      </c>
      <c r="BY327" s="198">
        <f t="shared" si="259"/>
        <v>166050</v>
      </c>
      <c r="BZ327" s="198">
        <f t="shared" si="259"/>
        <v>166050</v>
      </c>
      <c r="CA327" s="198">
        <f t="shared" si="259"/>
        <v>166050</v>
      </c>
      <c r="CB327" s="198">
        <f t="shared" si="259"/>
        <v>166050</v>
      </c>
      <c r="CC327" s="198">
        <f t="shared" si="259"/>
        <v>166050</v>
      </c>
      <c r="CD327" s="198">
        <f t="shared" si="259"/>
        <v>166050</v>
      </c>
      <c r="CE327" s="198">
        <f t="shared" si="259"/>
        <v>166050</v>
      </c>
      <c r="CF327" s="198">
        <f t="shared" si="259"/>
        <v>166050</v>
      </c>
      <c r="CG327" s="198">
        <f t="shared" si="259"/>
        <v>166050</v>
      </c>
      <c r="CH327" s="198">
        <f t="shared" si="259"/>
        <v>166050</v>
      </c>
    </row>
    <row r="328" ht="15.75" customHeight="1">
      <c r="A328" s="1" t="s">
        <v>773</v>
      </c>
      <c r="S328" s="431"/>
      <c r="T328" s="431"/>
      <c r="U328" s="431"/>
      <c r="V328" s="198">
        <f>+'Portfolio Sales'!L48*Capacity!$B$359+'Portfolio Sales'!L49*Capacity!$B$361+'Portfolio Sales'!L50*Capacity!$B$362</f>
        <v>372933.5</v>
      </c>
      <c r="W328" s="198">
        <f>+'Portfolio Sales'!M48*Capacity!$B$359+'Portfolio Sales'!M49*Capacity!$B$361+'Portfolio Sales'!M50*Capacity!$B$362</f>
        <v>282500.1</v>
      </c>
      <c r="X328" s="198">
        <f>+'Portfolio Sales'!N48*Capacity!$B$359+'Portfolio Sales'!N49*Capacity!$B$361+'Portfolio Sales'!N50*Capacity!$B$362</f>
        <v>264005.2</v>
      </c>
      <c r="Y328" s="198">
        <f>+'Portfolio Sales'!O48*Capacity!$B$359+'Portfolio Sales'!O49*Capacity!$B$361+'Portfolio Sales'!O50*Capacity!$B$362</f>
        <v>314276.1403</v>
      </c>
      <c r="Z328" s="198">
        <f>+'Portfolio Sales'!P48*Capacity!$B$359+'Portfolio Sales'!P49*Capacity!$B$361+'Portfolio Sales'!P50*Capacity!$B$362</f>
        <v>127029.9868</v>
      </c>
      <c r="AA328" s="198">
        <f>+'Portfolio Sales'!Q48*Capacity!$B$359+'Portfolio Sales'!Q49*Capacity!$B$361+'Portfolio Sales'!Q50*Capacity!$B$362</f>
        <v>142837.6854</v>
      </c>
      <c r="AB328" s="198">
        <f>+'Portfolio Sales'!R48*Capacity!$B$359+'Portfolio Sales'!R49*Capacity!$B$361+'Portfolio Sales'!R50*Capacity!$B$362</f>
        <v>181596.5434</v>
      </c>
      <c r="AC328" s="198">
        <f>+'Portfolio Sales'!S48*Capacity!$B$359+'Portfolio Sales'!S49*Capacity!$B$361+'Portfolio Sales'!S50*Capacity!$B$362</f>
        <v>229490.8193</v>
      </c>
      <c r="AD328" s="198">
        <f>+'Portfolio Sales'!T48*Capacity!$B$359+'Portfolio Sales'!T49*Capacity!$B$361+'Portfolio Sales'!T50*Capacity!$B$362</f>
        <v>266660.4496</v>
      </c>
      <c r="AE328" s="198">
        <f>+'Portfolio Sales'!U48*Capacity!$B$359+'Portfolio Sales'!U49*Capacity!$B$361+'Portfolio Sales'!U50*Capacity!$B$362</f>
        <v>279839.2068</v>
      </c>
      <c r="AF328" s="198">
        <f>+'Portfolio Sales'!V48*Capacity!$B$359+'Portfolio Sales'!V49*Capacity!$B$361+'Portfolio Sales'!V50*Capacity!$B$362</f>
        <v>285471.3761</v>
      </c>
      <c r="AG328" s="198">
        <f>+'Portfolio Sales'!W48*Capacity!$B$359+'Portfolio Sales'!W49*Capacity!$B$361+'Portfolio Sales'!W50*Capacity!$B$362</f>
        <v>291217.6716</v>
      </c>
      <c r="AH328" s="198">
        <f>+'Portfolio Sales'!X48*Capacity!$B$359+'Portfolio Sales'!X49*Capacity!$B$361+'Portfolio Sales'!X50*Capacity!$B$362</f>
        <v>297080.4195</v>
      </c>
      <c r="AI328" s="198">
        <f>+'Portfolio Sales'!Y48*Capacity!$B$359+'Portfolio Sales'!Y49*Capacity!$B$361+'Portfolio Sales'!Y50*Capacity!$B$362</f>
        <v>317319.8564</v>
      </c>
      <c r="AJ328" s="198">
        <f>+'Portfolio Sales'!Z48*Capacity!$B$359+'Portfolio Sales'!Z49*Capacity!$B$361+'Portfolio Sales'!Z50*Capacity!$B$362</f>
        <v>328691.1874</v>
      </c>
      <c r="AK328" s="198">
        <f>+'Portfolio Sales'!AA48*Capacity!$B$359+'Portfolio Sales'!AA49*Capacity!$B$361+'Portfolio Sales'!AA50*Capacity!$B$362</f>
        <v>336111.5191</v>
      </c>
      <c r="AL328" s="198">
        <f>+'Portfolio Sales'!AB48*Capacity!$B$359+'Portfolio Sales'!AB49*Capacity!$B$361+'Portfolio Sales'!AB50*Capacity!$B$362</f>
        <v>343982.4314</v>
      </c>
      <c r="AM328" s="198">
        <f>+'Portfolio Sales'!AC48*Capacity!$B$359+'Portfolio Sales'!AC49*Capacity!$B$361+'Portfolio Sales'!AC50*Capacity!$B$362</f>
        <v>248074.3326</v>
      </c>
      <c r="AN328" s="198">
        <f>+'Portfolio Sales'!AD48*Capacity!$B$359+'Portfolio Sales'!AD49*Capacity!$B$361+'Portfolio Sales'!AD50*Capacity!$B$362</f>
        <v>300137.3526</v>
      </c>
      <c r="AO328" s="198">
        <f>+'Portfolio Sales'!AE48*Capacity!$B$359+'Portfolio Sales'!AE49*Capacity!$B$361+'Portfolio Sales'!AE50*Capacity!$B$362</f>
        <v>303347.6555</v>
      </c>
      <c r="AP328" s="198">
        <f>+'Portfolio Sales'!AF48*Capacity!$B$359+'Portfolio Sales'!AF49*Capacity!$B$361+'Portfolio Sales'!AF50*Capacity!$B$362</f>
        <v>306595.7988</v>
      </c>
      <c r="AQ328" s="198">
        <f>+'Portfolio Sales'!AG48*Capacity!$B$359+'Portfolio Sales'!AG49*Capacity!$B$361+'Portfolio Sales'!AG50*Capacity!$B$362</f>
        <v>309882.2418</v>
      </c>
      <c r="AR328" s="198">
        <f>+'Portfolio Sales'!AH48*Capacity!$B$359+'Portfolio Sales'!AH49*Capacity!$B$361+'Portfolio Sales'!AH50*Capacity!$B$362</f>
        <v>313207.4494</v>
      </c>
      <c r="AS328" s="198">
        <f>+'Portfolio Sales'!AI48*Capacity!$B$359+'Portfolio Sales'!AI49*Capacity!$B$361+'Portfolio Sales'!AI50*Capacity!$B$362</f>
        <v>316571.8922</v>
      </c>
      <c r="AT328" s="198">
        <f>+'Portfolio Sales'!AJ48*Capacity!$B$359+'Portfolio Sales'!AJ49*Capacity!$B$361+'Portfolio Sales'!AJ50*Capacity!$B$362</f>
        <v>319976.0467</v>
      </c>
      <c r="AU328" s="198">
        <f>+'Portfolio Sales'!AK48*Capacity!$B$359+'Portfolio Sales'!AK49*Capacity!$B$361+'Portfolio Sales'!AK50*Capacity!$B$362</f>
        <v>323420.3952</v>
      </c>
      <c r="AV328" s="198">
        <f>+'Portfolio Sales'!AL48*Capacity!$B$359+'Portfolio Sales'!AL49*Capacity!$B$361+'Portfolio Sales'!AL50*Capacity!$B$362</f>
        <v>326905.4258</v>
      </c>
      <c r="AW328" s="198">
        <f>+'Portfolio Sales'!AM48*Capacity!$B$359+'Portfolio Sales'!AM49*Capacity!$B$361+'Portfolio Sales'!AM50*Capacity!$B$362</f>
        <v>330431.6326</v>
      </c>
      <c r="AX328" s="198">
        <f>+'Portfolio Sales'!AN48*Capacity!$B$359+'Portfolio Sales'!AN49*Capacity!$B$361+'Portfolio Sales'!AN50*Capacity!$B$362</f>
        <v>333999.516</v>
      </c>
      <c r="AY328" s="198">
        <f>+'Portfolio Sales'!AO48*Capacity!$B$359+'Portfolio Sales'!AO49*Capacity!$B$361+'Portfolio Sales'!AO50*Capacity!$B$362</f>
        <v>337659.3252</v>
      </c>
      <c r="AZ328" s="198">
        <f>+'Portfolio Sales'!AP48*Capacity!$B$359+'Portfolio Sales'!AP49*Capacity!$B$361+'Portfolio Sales'!AP50*Capacity!$B$362</f>
        <v>341318.6398</v>
      </c>
      <c r="BA328" s="198">
        <f>+'Portfolio Sales'!AQ48*Capacity!$B$359+'Portfolio Sales'!AQ49*Capacity!$B$361+'Portfolio Sales'!AQ50*Capacity!$B$362</f>
        <v>345020.3405</v>
      </c>
      <c r="BB328" s="198">
        <f>+'Portfolio Sales'!AR48*Capacity!$B$359+'Portfolio Sales'!AR49*Capacity!$B$361+'Portfolio Sales'!AR50*Capacity!$B$362</f>
        <v>348764.9304</v>
      </c>
      <c r="BC328" s="198">
        <f>+'Portfolio Sales'!AS48*Capacity!$B$359+'Portfolio Sales'!AS49*Capacity!$B$361+'Portfolio Sales'!AS50*Capacity!$B$362</f>
        <v>352552.9185</v>
      </c>
      <c r="BD328" s="198">
        <f>+'Portfolio Sales'!AT48*Capacity!$B$359+'Portfolio Sales'!AT49*Capacity!$B$361+'Portfolio Sales'!AT50*Capacity!$B$362</f>
        <v>356384.82</v>
      </c>
      <c r="BE328" s="198">
        <f>+'Portfolio Sales'!AU48*Capacity!$B$359+'Portfolio Sales'!AU49*Capacity!$B$361+'Portfolio Sales'!AU50*Capacity!$B$362</f>
        <v>360261.1563</v>
      </c>
      <c r="BF328" s="198">
        <f>+'Portfolio Sales'!AV48*Capacity!$B$359+'Portfolio Sales'!AV49*Capacity!$B$361+'Portfolio Sales'!AV50*Capacity!$B$362</f>
        <v>364182.455</v>
      </c>
      <c r="BG328" s="198">
        <f>+'Portfolio Sales'!AW48*Capacity!$B$359+'Portfolio Sales'!AW49*Capacity!$B$361+'Portfolio Sales'!AW50*Capacity!$B$362</f>
        <v>368149.25</v>
      </c>
      <c r="BH328" s="198">
        <f>+'Portfolio Sales'!AX48*Capacity!$B$359+'Portfolio Sales'!AX49*Capacity!$B$361+'Portfolio Sales'!AX50*Capacity!$B$362</f>
        <v>372162.0817</v>
      </c>
      <c r="BI328" s="198">
        <f>+'Portfolio Sales'!AY48*Capacity!$B$359+'Portfolio Sales'!AY49*Capacity!$B$361+'Portfolio Sales'!AY50*Capacity!$B$362</f>
        <v>376221.4968</v>
      </c>
      <c r="BJ328" s="198">
        <f>+'Portfolio Sales'!AZ48*Capacity!$B$359+'Portfolio Sales'!AZ49*Capacity!$B$361+'Portfolio Sales'!AZ50*Capacity!$B$362</f>
        <v>380328.0485</v>
      </c>
      <c r="BK328" s="198">
        <f>+'Portfolio Sales'!BA48*Capacity!$B$359+'Portfolio Sales'!BA49*Capacity!$B$361+'Portfolio Sales'!BA50*Capacity!$B$362</f>
        <v>380783.5143</v>
      </c>
      <c r="BL328" s="198">
        <f>+'Portfolio Sales'!BB48*Capacity!$B$359+'Portfolio Sales'!BB49*Capacity!$B$361+'Portfolio Sales'!BB50*Capacity!$B$362</f>
        <v>385359.1086</v>
      </c>
      <c r="BM328" s="198">
        <f>+'Portfolio Sales'!BC48*Capacity!$B$359+'Portfolio Sales'!BC49*Capacity!$B$361+'Portfolio Sales'!BC50*Capacity!$B$362</f>
        <v>357093.0033</v>
      </c>
      <c r="BN328" s="198">
        <f>+'Portfolio Sales'!BD48*Capacity!$B$359+'Portfolio Sales'!BD49*Capacity!$B$361+'Portfolio Sales'!BD50*Capacity!$B$362</f>
        <v>361405.6294</v>
      </c>
      <c r="BO328" s="198">
        <f>+'Portfolio Sales'!BE48*Capacity!$B$359+'Portfolio Sales'!BE49*Capacity!$B$361+'Portfolio Sales'!BE50*Capacity!$B$362</f>
        <v>365781.5895</v>
      </c>
      <c r="BP328" s="198">
        <f>+'Portfolio Sales'!BF48*Capacity!$B$359+'Portfolio Sales'!BF49*Capacity!$B$361+'Portfolio Sales'!BF50*Capacity!$B$362</f>
        <v>370222.0626</v>
      </c>
      <c r="BQ328" s="198">
        <f>+'Portfolio Sales'!BG48*Capacity!$B$359+'Portfolio Sales'!BG49*Capacity!$B$361+'Portfolio Sales'!BG50*Capacity!$B$362</f>
        <v>374728.2559</v>
      </c>
      <c r="BR328" s="198">
        <f>+'Portfolio Sales'!BH48*Capacity!$B$359+'Portfolio Sales'!BH49*Capacity!$B$361+'Portfolio Sales'!BH50*Capacity!$B$362</f>
        <v>379301.4052</v>
      </c>
      <c r="BS328" s="198">
        <f>+'Portfolio Sales'!BI48*Capacity!$B$359+'Portfolio Sales'!BI49*Capacity!$B$361+'Portfolio Sales'!BI50*Capacity!$B$362</f>
        <v>383942.776</v>
      </c>
      <c r="BT328" s="198">
        <f>+'Portfolio Sales'!BJ48*Capacity!$B$359+'Portfolio Sales'!BJ49*Capacity!$B$361+'Portfolio Sales'!BJ50*Capacity!$B$362</f>
        <v>388653.6639</v>
      </c>
      <c r="BU328" s="198">
        <f>+'Portfolio Sales'!BK48*Capacity!$B$359+'Portfolio Sales'!BK49*Capacity!$B$361+'Portfolio Sales'!BK50*Capacity!$B$362</f>
        <v>393435.396</v>
      </c>
      <c r="BV328" s="198">
        <f>+'Portfolio Sales'!BL48*Capacity!$B$359+'Portfolio Sales'!BL49*Capacity!$B$361+'Portfolio Sales'!BL50*Capacity!$B$362</f>
        <v>398289.3315</v>
      </c>
      <c r="BW328" s="198">
        <f>+'Portfolio Sales'!BM48*Capacity!$B$359+'Portfolio Sales'!BM49*Capacity!$B$361+'Portfolio Sales'!BM50*Capacity!$B$362</f>
        <v>405855.1974</v>
      </c>
      <c r="BX328" s="198">
        <f>+'Portfolio Sales'!BN48*Capacity!$B$359+'Portfolio Sales'!BN49*Capacity!$B$361+'Portfolio Sales'!BN50*Capacity!$B$362</f>
        <v>409166.13</v>
      </c>
      <c r="BY328" s="198">
        <f>+'Portfolio Sales'!BO48*Capacity!$B$359+'Portfolio Sales'!BO49*Capacity!$B$361+'Portfolio Sales'!BO50*Capacity!$B$362</f>
        <v>378430.5067</v>
      </c>
      <c r="BZ328" s="198">
        <f>+'Portfolio Sales'!BP48*Capacity!$B$359+'Portfolio Sales'!BP49*Capacity!$B$361+'Portfolio Sales'!BP50*Capacity!$B$362</f>
        <v>381467.0762</v>
      </c>
      <c r="CA328" s="198">
        <f>+'Portfolio Sales'!BQ48*Capacity!$B$359+'Portfolio Sales'!BQ49*Capacity!$B$361+'Portfolio Sales'!BQ50*Capacity!$B$362</f>
        <v>384566.6498</v>
      </c>
      <c r="CB328" s="198">
        <f>+'Portfolio Sales'!BR48*Capacity!$B$359+'Portfolio Sales'!BR49*Capacity!$B$361+'Portfolio Sales'!BR50*Capacity!$B$362</f>
        <v>387729.2537</v>
      </c>
      <c r="CC328" s="198">
        <f>+'Portfolio Sales'!BS48*Capacity!$B$359+'Portfolio Sales'!BS49*Capacity!$B$361+'Portfolio Sales'!BS50*Capacity!$B$362</f>
        <v>390954.933</v>
      </c>
      <c r="CD328" s="198">
        <f>+'Portfolio Sales'!BT48*Capacity!$B$359+'Portfolio Sales'!BT49*Capacity!$B$361+'Portfolio Sales'!BT50*Capacity!$B$362</f>
        <v>394243.7522</v>
      </c>
      <c r="CE328" s="198">
        <f>+'Portfolio Sales'!BU48*Capacity!$B$359+'Portfolio Sales'!BU49*Capacity!$B$361+'Portfolio Sales'!BU50*Capacity!$B$362</f>
        <v>397595.7943</v>
      </c>
      <c r="CF328" s="198">
        <f>+'Portfolio Sales'!BV48*Capacity!$B$359+'Portfolio Sales'!BV49*Capacity!$B$361+'Portfolio Sales'!BV50*Capacity!$B$362</f>
        <v>401011.1611</v>
      </c>
      <c r="CG328" s="198">
        <f>+'Portfolio Sales'!BW48*Capacity!$B$359+'Portfolio Sales'!BW49*Capacity!$B$361+'Portfolio Sales'!BW50*Capacity!$B$362</f>
        <v>404489.9724</v>
      </c>
      <c r="CH328" s="198">
        <f>+'Portfolio Sales'!BX48*Capacity!$B$359+'Portfolio Sales'!BX49*Capacity!$B$361+'Portfolio Sales'!BX50*Capacity!$B$362</f>
        <v>408032.3663</v>
      </c>
    </row>
    <row r="329" ht="15.75" customHeight="1">
      <c r="A329" s="1" t="s">
        <v>774</v>
      </c>
      <c r="S329" s="431"/>
      <c r="T329" s="431"/>
      <c r="U329" s="323">
        <f>'Portfolio Sales'!B6</f>
        <v>36</v>
      </c>
      <c r="V329" s="457">
        <f>U329+'Portfolio Sales'!L30*Capacity!$B$361+'Portfolio Sales'!L34*Capacity!$B$362</f>
        <v>37.1</v>
      </c>
      <c r="W329" s="457">
        <f>V329+'Portfolio Sales'!M30*Capacity!$B$361+'Portfolio Sales'!M34*Capacity!$B$362</f>
        <v>38.2</v>
      </c>
      <c r="X329" s="457">
        <f>W329+'Portfolio Sales'!N30*Capacity!$B$361+'Portfolio Sales'!N34*Capacity!$B$362</f>
        <v>39.3</v>
      </c>
      <c r="Y329" s="457">
        <f>X329+'Portfolio Sales'!O30*Capacity!$B$361+'Portfolio Sales'!O34*Capacity!$B$362</f>
        <v>40.36496481</v>
      </c>
      <c r="Z329" s="457">
        <f>Y329+'Portfolio Sales'!P30*Capacity!$B$361+'Portfolio Sales'!P34*Capacity!$B$362</f>
        <v>40.7208337</v>
      </c>
      <c r="AA329" s="457">
        <f>Z329+'Portfolio Sales'!Q30*Capacity!$B$361+'Portfolio Sales'!Q34*Capacity!$B$362</f>
        <v>41.10968194</v>
      </c>
      <c r="AB329" s="457">
        <f>AA329+'Portfolio Sales'!R30*Capacity!$B$361+'Portfolio Sales'!R34*Capacity!$B$362</f>
        <v>41.48686839</v>
      </c>
      <c r="AC329" s="457">
        <f>AB329+'Portfolio Sales'!S30*Capacity!$B$361+'Portfolio Sales'!S34*Capacity!$B$362</f>
        <v>41.86887836</v>
      </c>
      <c r="AD329" s="457">
        <f>AC329+'Portfolio Sales'!T30*Capacity!$B$361+'Portfolio Sales'!T34*Capacity!$B$362</f>
        <v>42.25579474</v>
      </c>
      <c r="AE329" s="457">
        <f>AD329+'Portfolio Sales'!U30*Capacity!$B$361+'Portfolio Sales'!U34*Capacity!$B$362</f>
        <v>42.64770197</v>
      </c>
      <c r="AF329" s="457">
        <f>AE329+'Portfolio Sales'!V30*Capacity!$B$361+'Portfolio Sales'!V34*Capacity!$B$362</f>
        <v>43.04468615</v>
      </c>
      <c r="AG329" s="457">
        <f>AF329+'Portfolio Sales'!W30*Capacity!$B$361+'Portfolio Sales'!W34*Capacity!$B$362</f>
        <v>43.446835</v>
      </c>
      <c r="AH329" s="457">
        <f>AG329+'Portfolio Sales'!X30*Capacity!$B$361+'Portfolio Sales'!X34*Capacity!$B$362</f>
        <v>43.85423794</v>
      </c>
      <c r="AI329" s="457">
        <f>AH329+'Portfolio Sales'!Y30*Capacity!$B$361+'Portfolio Sales'!Y34*Capacity!$B$362</f>
        <v>44.26478064</v>
      </c>
      <c r="AJ329" s="457">
        <f>AI329+'Portfolio Sales'!Z30*Capacity!$B$361+'Portfolio Sales'!Z34*Capacity!$B$362</f>
        <v>44.67848982</v>
      </c>
      <c r="AK329" s="457">
        <f>AJ329+'Portfolio Sales'!AA30*Capacity!$B$361+'Portfolio Sales'!AA34*Capacity!$B$362</f>
        <v>45.09539244</v>
      </c>
      <c r="AL329" s="457">
        <f>AK329+'Portfolio Sales'!AB30*Capacity!$B$361+'Portfolio Sales'!AB34*Capacity!$B$362</f>
        <v>45.51741245</v>
      </c>
      <c r="AM329" s="457">
        <f>AL329+'Portfolio Sales'!AC30*Capacity!$B$361+'Portfolio Sales'!AC34*Capacity!$B$362</f>
        <v>45.83543435</v>
      </c>
      <c r="AN329" s="457">
        <f>AM329+'Portfolio Sales'!AD30*Capacity!$B$361+'Portfolio Sales'!AD34*Capacity!$B$362</f>
        <v>46.15447117</v>
      </c>
      <c r="AO329" s="457">
        <f>AN329+'Portfolio Sales'!AE30*Capacity!$B$361+'Portfolio Sales'!AE34*Capacity!$B$362</f>
        <v>46.47452655</v>
      </c>
      <c r="AP329" s="457">
        <f>AO329+'Portfolio Sales'!AF30*Capacity!$B$361+'Portfolio Sales'!AF34*Capacity!$B$362</f>
        <v>46.79560413</v>
      </c>
      <c r="AQ329" s="457">
        <f>AP329+'Portfolio Sales'!AG30*Capacity!$B$361+'Portfolio Sales'!AG34*Capacity!$B$362</f>
        <v>47.11770758</v>
      </c>
      <c r="AR329" s="457">
        <f>AQ329+'Portfolio Sales'!AH30*Capacity!$B$361+'Portfolio Sales'!AH34*Capacity!$B$362</f>
        <v>47.44084058</v>
      </c>
      <c r="AS329" s="457">
        <f>AR329+'Portfolio Sales'!AI30*Capacity!$B$361+'Portfolio Sales'!AI34*Capacity!$B$362</f>
        <v>47.76500684</v>
      </c>
      <c r="AT329" s="457">
        <f>AS329+'Portfolio Sales'!AJ30*Capacity!$B$361+'Portfolio Sales'!AJ34*Capacity!$B$362</f>
        <v>48.09021005</v>
      </c>
      <c r="AU329" s="457">
        <f>AT329+'Portfolio Sales'!AK30*Capacity!$B$361+'Portfolio Sales'!AK34*Capacity!$B$362</f>
        <v>48.41645394</v>
      </c>
      <c r="AV329" s="457">
        <f>AU329+'Portfolio Sales'!AL30*Capacity!$B$361+'Portfolio Sales'!AL34*Capacity!$B$362</f>
        <v>48.74374226</v>
      </c>
      <c r="AW329" s="457">
        <f>AV329+'Portfolio Sales'!AM30*Capacity!$B$361+'Portfolio Sales'!AM34*Capacity!$B$362</f>
        <v>49.07207875</v>
      </c>
      <c r="AX329" s="457">
        <f>AW329+'Portfolio Sales'!AN30*Capacity!$B$361+'Portfolio Sales'!AN34*Capacity!$B$362</f>
        <v>49.4014672</v>
      </c>
      <c r="AY329" s="457">
        <f>AX329+'Portfolio Sales'!AO30*Capacity!$B$361+'Portfolio Sales'!AO34*Capacity!$B$362</f>
        <v>49.73191137</v>
      </c>
      <c r="AZ329" s="457">
        <f>AY329+'Portfolio Sales'!AP30*Capacity!$B$361+'Portfolio Sales'!AP34*Capacity!$B$362</f>
        <v>50.06313498</v>
      </c>
      <c r="BA329" s="457">
        <f>AZ329+'Portfolio Sales'!AQ30*Capacity!$B$361+'Portfolio Sales'!AQ34*Capacity!$B$362</f>
        <v>50.39513986</v>
      </c>
      <c r="BB329" s="457">
        <f>BA329+'Portfolio Sales'!AR30*Capacity!$B$361+'Portfolio Sales'!AR34*Capacity!$B$362</f>
        <v>50.72792789</v>
      </c>
      <c r="BC329" s="457">
        <f>BB329+'Portfolio Sales'!AS30*Capacity!$B$361+'Portfolio Sales'!AS34*Capacity!$B$362</f>
        <v>51.06150092</v>
      </c>
      <c r="BD329" s="457">
        <f>BC329+'Portfolio Sales'!AT30*Capacity!$B$361+'Portfolio Sales'!AT34*Capacity!$B$362</f>
        <v>51.39586082</v>
      </c>
      <c r="BE329" s="457">
        <f>BD329+'Portfolio Sales'!AU30*Capacity!$B$361+'Portfolio Sales'!AU34*Capacity!$B$362</f>
        <v>51.73100947</v>
      </c>
      <c r="BF329" s="457">
        <f>BE329+'Portfolio Sales'!AV30*Capacity!$B$361+'Portfolio Sales'!AV34*Capacity!$B$362</f>
        <v>52.06694874</v>
      </c>
      <c r="BG329" s="457">
        <f>BF329+'Portfolio Sales'!AW30*Capacity!$B$361+'Portfolio Sales'!AW34*Capacity!$B$362</f>
        <v>52.40368052</v>
      </c>
      <c r="BH329" s="457">
        <f>BG329+'Portfolio Sales'!AX30*Capacity!$B$361+'Portfolio Sales'!AX34*Capacity!$B$362</f>
        <v>52.74120669</v>
      </c>
      <c r="BI329" s="457">
        <f>BH329+'Portfolio Sales'!AY30*Capacity!$B$361+'Portfolio Sales'!AY34*Capacity!$B$362</f>
        <v>53.07952914</v>
      </c>
      <c r="BJ329" s="457">
        <f>BI329+'Portfolio Sales'!AZ30*Capacity!$B$361+'Portfolio Sales'!AZ34*Capacity!$B$362</f>
        <v>53.41864977</v>
      </c>
      <c r="BK329" s="457">
        <f>BJ329+'Portfolio Sales'!BA30*Capacity!$B$361+'Portfolio Sales'!BA34*Capacity!$B$362</f>
        <v>53.74103834</v>
      </c>
      <c r="BL329" s="457">
        <f>BK329+'Portfolio Sales'!BB30*Capacity!$B$361+'Portfolio Sales'!BB34*Capacity!$B$362</f>
        <v>54.06423289</v>
      </c>
      <c r="BM329" s="457">
        <f>BL329+'Portfolio Sales'!BC30*Capacity!$B$361+'Portfolio Sales'!BC34*Capacity!$B$362</f>
        <v>54.38823542</v>
      </c>
      <c r="BN329" s="457">
        <f>BM329+'Portfolio Sales'!BD30*Capacity!$B$361+'Portfolio Sales'!BD34*Capacity!$B$362</f>
        <v>54.71304795</v>
      </c>
      <c r="BO329" s="457">
        <f>BN329+'Portfolio Sales'!BE30*Capacity!$B$361+'Portfolio Sales'!BE34*Capacity!$B$362</f>
        <v>55.03867252</v>
      </c>
      <c r="BP329" s="457">
        <f>BO329+'Portfolio Sales'!BF30*Capacity!$B$361+'Portfolio Sales'!BF34*Capacity!$B$362</f>
        <v>55.36511115</v>
      </c>
      <c r="BQ329" s="457">
        <f>BP329+'Portfolio Sales'!BG30*Capacity!$B$361+'Portfolio Sales'!BG34*Capacity!$B$362</f>
        <v>55.69236587</v>
      </c>
      <c r="BR329" s="457">
        <f>BQ329+'Portfolio Sales'!BH30*Capacity!$B$361+'Portfolio Sales'!BH34*Capacity!$B$362</f>
        <v>56.02043873</v>
      </c>
      <c r="BS329" s="457">
        <f>BR329+'Portfolio Sales'!BI30*Capacity!$B$361+'Portfolio Sales'!BI34*Capacity!$B$362</f>
        <v>56.34933178</v>
      </c>
      <c r="BT329" s="457">
        <f>BS329+'Portfolio Sales'!BJ30*Capacity!$B$361+'Portfolio Sales'!BJ34*Capacity!$B$362</f>
        <v>56.67904705</v>
      </c>
      <c r="BU329" s="457">
        <f>BT329+'Portfolio Sales'!BK30*Capacity!$B$361+'Portfolio Sales'!BK34*Capacity!$B$362</f>
        <v>57.00958662</v>
      </c>
      <c r="BV329" s="457">
        <f>BU329+'Portfolio Sales'!BL30*Capacity!$B$361+'Portfolio Sales'!BL34*Capacity!$B$362</f>
        <v>57.34095253</v>
      </c>
      <c r="BW329" s="457">
        <f>BV329+'Portfolio Sales'!BM30*Capacity!$B$361+'Portfolio Sales'!BM34*Capacity!$B$362</f>
        <v>57.68683212</v>
      </c>
      <c r="BX329" s="457">
        <f>BW329+'Portfolio Sales'!BN30*Capacity!$B$361+'Portfolio Sales'!BN34*Capacity!$B$362</f>
        <v>58.02967964</v>
      </c>
      <c r="BY329" s="457">
        <f>BX329+'Portfolio Sales'!BO30*Capacity!$B$361+'Portfolio Sales'!BO34*Capacity!$B$362</f>
        <v>58.36960442</v>
      </c>
      <c r="BZ329" s="457">
        <f>BY329+'Portfolio Sales'!BP30*Capacity!$B$361+'Portfolio Sales'!BP34*Capacity!$B$362</f>
        <v>58.70671254</v>
      </c>
      <c r="CA329" s="457">
        <f>BZ329+'Portfolio Sales'!BQ30*Capacity!$B$361+'Portfolio Sales'!BQ34*Capacity!$B$362</f>
        <v>59.04110695</v>
      </c>
      <c r="CB329" s="457">
        <f>CA329+'Portfolio Sales'!BR30*Capacity!$B$361+'Portfolio Sales'!BR34*Capacity!$B$362</f>
        <v>59.37288757</v>
      </c>
      <c r="CC329" s="457">
        <f>CB329+'Portfolio Sales'!BS30*Capacity!$B$361+'Portfolio Sales'!BS34*Capacity!$B$362</f>
        <v>59.70215135</v>
      </c>
      <c r="CD329" s="457">
        <f>CC329+'Portfolio Sales'!BT30*Capacity!$B$361+'Portfolio Sales'!BT34*Capacity!$B$362</f>
        <v>60.0289924</v>
      </c>
      <c r="CE329" s="457">
        <f>CD329+'Portfolio Sales'!BU30*Capacity!$B$361+'Portfolio Sales'!BU34*Capacity!$B$362</f>
        <v>60.35350202</v>
      </c>
      <c r="CF329" s="457">
        <f>CE329+'Portfolio Sales'!BV30*Capacity!$B$361+'Portfolio Sales'!BV34*Capacity!$B$362</f>
        <v>60.67576885</v>
      </c>
      <c r="CG329" s="457">
        <f>CF329+'Portfolio Sales'!BW30*Capacity!$B$361+'Portfolio Sales'!BW34*Capacity!$B$362</f>
        <v>60.99587891</v>
      </c>
      <c r="CH329" s="457">
        <f>CG329+'Portfolio Sales'!BX30*Capacity!$B$361+'Portfolio Sales'!BX34*Capacity!$B$362</f>
        <v>61.31391567</v>
      </c>
    </row>
    <row r="330" ht="15.75" customHeight="1">
      <c r="A330" s="1" t="s">
        <v>775</v>
      </c>
      <c r="S330" s="323">
        <f t="shared" ref="S330:Y330" si="260">IF(S337&gt;2.5,1,0)</f>
        <v>0</v>
      </c>
      <c r="T330" s="323">
        <f t="shared" si="260"/>
        <v>0</v>
      </c>
      <c r="U330" s="323">
        <f t="shared" si="260"/>
        <v>0</v>
      </c>
      <c r="V330" s="323">
        <f t="shared" si="260"/>
        <v>0</v>
      </c>
      <c r="W330" s="323">
        <f t="shared" si="260"/>
        <v>0</v>
      </c>
      <c r="X330" s="323">
        <f t="shared" si="260"/>
        <v>0</v>
      </c>
      <c r="Y330" s="323">
        <f t="shared" si="260"/>
        <v>0</v>
      </c>
      <c r="Z330" s="323">
        <f t="shared" ref="Z330:CH330" si="261">IF(Z337&gt;2,1,0)</f>
        <v>0</v>
      </c>
      <c r="AA330" s="323">
        <f t="shared" si="261"/>
        <v>0</v>
      </c>
      <c r="AB330" s="323">
        <f t="shared" si="261"/>
        <v>0</v>
      </c>
      <c r="AC330" s="323">
        <f t="shared" si="261"/>
        <v>0</v>
      </c>
      <c r="AD330" s="323">
        <f t="shared" si="261"/>
        <v>0</v>
      </c>
      <c r="AE330" s="323">
        <f t="shared" si="261"/>
        <v>0</v>
      </c>
      <c r="AF330" s="323">
        <f t="shared" si="261"/>
        <v>0</v>
      </c>
      <c r="AG330" s="323">
        <f t="shared" si="261"/>
        <v>0</v>
      </c>
      <c r="AH330" s="323">
        <f t="shared" si="261"/>
        <v>0</v>
      </c>
      <c r="AI330" s="323">
        <f t="shared" si="261"/>
        <v>0</v>
      </c>
      <c r="AJ330" s="323">
        <f t="shared" si="261"/>
        <v>0</v>
      </c>
      <c r="AK330" s="323">
        <f t="shared" si="261"/>
        <v>0</v>
      </c>
      <c r="AL330" s="323">
        <f t="shared" si="261"/>
        <v>0</v>
      </c>
      <c r="AM330" s="323">
        <f t="shared" si="261"/>
        <v>0</v>
      </c>
      <c r="AN330" s="323">
        <f t="shared" si="261"/>
        <v>0</v>
      </c>
      <c r="AO330" s="323">
        <f t="shared" si="261"/>
        <v>0</v>
      </c>
      <c r="AP330" s="323">
        <f t="shared" si="261"/>
        <v>0</v>
      </c>
      <c r="AQ330" s="323">
        <f t="shared" si="261"/>
        <v>0</v>
      </c>
      <c r="AR330" s="323">
        <f t="shared" si="261"/>
        <v>0</v>
      </c>
      <c r="AS330" s="323">
        <f t="shared" si="261"/>
        <v>0</v>
      </c>
      <c r="AT330" s="323">
        <f t="shared" si="261"/>
        <v>0</v>
      </c>
      <c r="AU330" s="323">
        <f t="shared" si="261"/>
        <v>0</v>
      </c>
      <c r="AV330" s="323">
        <f t="shared" si="261"/>
        <v>0</v>
      </c>
      <c r="AW330" s="323">
        <f t="shared" si="261"/>
        <v>0</v>
      </c>
      <c r="AX330" s="323">
        <f t="shared" si="261"/>
        <v>0</v>
      </c>
      <c r="AY330" s="323">
        <f t="shared" si="261"/>
        <v>0</v>
      </c>
      <c r="AZ330" s="323">
        <f t="shared" si="261"/>
        <v>0</v>
      </c>
      <c r="BA330" s="323">
        <f t="shared" si="261"/>
        <v>0</v>
      </c>
      <c r="BB330" s="323">
        <f t="shared" si="261"/>
        <v>0</v>
      </c>
      <c r="BC330" s="323">
        <f t="shared" si="261"/>
        <v>0</v>
      </c>
      <c r="BD330" s="323">
        <f t="shared" si="261"/>
        <v>0</v>
      </c>
      <c r="BE330" s="323">
        <f t="shared" si="261"/>
        <v>0</v>
      </c>
      <c r="BF330" s="323">
        <f t="shared" si="261"/>
        <v>0</v>
      </c>
      <c r="BG330" s="323">
        <f t="shared" si="261"/>
        <v>0</v>
      </c>
      <c r="BH330" s="323">
        <f t="shared" si="261"/>
        <v>0</v>
      </c>
      <c r="BI330" s="323">
        <f t="shared" si="261"/>
        <v>0</v>
      </c>
      <c r="BJ330" s="323">
        <f t="shared" si="261"/>
        <v>0</v>
      </c>
      <c r="BK330" s="323">
        <f t="shared" si="261"/>
        <v>0</v>
      </c>
      <c r="BL330" s="323">
        <f t="shared" si="261"/>
        <v>0</v>
      </c>
      <c r="BM330" s="323">
        <f t="shared" si="261"/>
        <v>0</v>
      </c>
      <c r="BN330" s="323">
        <f t="shared" si="261"/>
        <v>0</v>
      </c>
      <c r="BO330" s="323">
        <f t="shared" si="261"/>
        <v>0</v>
      </c>
      <c r="BP330" s="323">
        <f t="shared" si="261"/>
        <v>0</v>
      </c>
      <c r="BQ330" s="323">
        <f t="shared" si="261"/>
        <v>0</v>
      </c>
      <c r="BR330" s="323">
        <f t="shared" si="261"/>
        <v>0</v>
      </c>
      <c r="BS330" s="323">
        <f t="shared" si="261"/>
        <v>0</v>
      </c>
      <c r="BT330" s="323">
        <f t="shared" si="261"/>
        <v>0</v>
      </c>
      <c r="BU330" s="323">
        <f t="shared" si="261"/>
        <v>0</v>
      </c>
      <c r="BV330" s="323">
        <f t="shared" si="261"/>
        <v>0</v>
      </c>
      <c r="BW330" s="323">
        <f t="shared" si="261"/>
        <v>0</v>
      </c>
      <c r="BX330" s="323">
        <f t="shared" si="261"/>
        <v>0</v>
      </c>
      <c r="BY330" s="323">
        <f t="shared" si="261"/>
        <v>0</v>
      </c>
      <c r="BZ330" s="323">
        <f t="shared" si="261"/>
        <v>0</v>
      </c>
      <c r="CA330" s="323">
        <f t="shared" si="261"/>
        <v>0</v>
      </c>
      <c r="CB330" s="323">
        <f t="shared" si="261"/>
        <v>0</v>
      </c>
      <c r="CC330" s="323">
        <f t="shared" si="261"/>
        <v>0</v>
      </c>
      <c r="CD330" s="323">
        <f t="shared" si="261"/>
        <v>0</v>
      </c>
      <c r="CE330" s="323">
        <f t="shared" si="261"/>
        <v>0</v>
      </c>
      <c r="CF330" s="323">
        <f t="shared" si="261"/>
        <v>0</v>
      </c>
      <c r="CG330" s="323">
        <f t="shared" si="261"/>
        <v>0</v>
      </c>
      <c r="CH330" s="323">
        <f t="shared" si="261"/>
        <v>0</v>
      </c>
    </row>
    <row r="331" ht="15.75" customHeight="1">
      <c r="A331" s="431"/>
      <c r="S331" s="431"/>
      <c r="T331" s="431"/>
      <c r="U331" s="431"/>
      <c r="V331" s="431"/>
      <c r="W331" s="431"/>
      <c r="X331" s="431"/>
      <c r="Y331" s="431"/>
      <c r="Z331" s="431"/>
      <c r="AA331" s="431"/>
      <c r="AB331" s="431"/>
      <c r="AC331" s="431"/>
      <c r="AD331" s="431"/>
      <c r="AE331" s="431"/>
      <c r="AF331" s="431"/>
      <c r="AG331" s="431"/>
      <c r="AH331" s="431"/>
      <c r="AI331" s="431"/>
      <c r="AJ331" s="431"/>
      <c r="AK331" s="431"/>
      <c r="AL331" s="431"/>
      <c r="AM331" s="431"/>
      <c r="AN331" s="431"/>
      <c r="AO331" s="431"/>
      <c r="AP331" s="431"/>
      <c r="AQ331" s="431"/>
      <c r="AR331" s="431"/>
      <c r="AS331" s="431"/>
      <c r="AT331" s="431"/>
      <c r="AU331" s="431"/>
      <c r="AV331" s="431"/>
      <c r="AW331" s="431"/>
      <c r="AX331" s="431"/>
      <c r="AY331" s="431"/>
      <c r="AZ331" s="431"/>
      <c r="BA331" s="431"/>
      <c r="BB331" s="431"/>
      <c r="BC331" s="431"/>
      <c r="BD331" s="431"/>
      <c r="BE331" s="431"/>
      <c r="BF331" s="431"/>
      <c r="BG331" s="431"/>
      <c r="BH331" s="431"/>
      <c r="BI331" s="431"/>
      <c r="BJ331" s="431"/>
      <c r="BK331" s="431"/>
      <c r="BL331" s="431"/>
      <c r="BM331" s="431"/>
      <c r="BN331" s="431"/>
      <c r="BO331" s="431"/>
      <c r="BP331" s="431"/>
      <c r="BQ331" s="431"/>
      <c r="BR331" s="431"/>
      <c r="BS331" s="431"/>
      <c r="BT331" s="431"/>
      <c r="BU331" s="431"/>
      <c r="BV331" s="431"/>
      <c r="BW331" s="431"/>
      <c r="BX331" s="431"/>
      <c r="BY331" s="431"/>
      <c r="BZ331" s="431"/>
      <c r="CA331" s="431"/>
      <c r="CB331" s="431"/>
      <c r="CC331" s="431"/>
      <c r="CD331" s="431"/>
      <c r="CE331" s="431"/>
      <c r="CF331" s="431"/>
      <c r="CG331" s="431"/>
      <c r="CH331" s="431"/>
    </row>
    <row r="332" ht="15.75" customHeight="1">
      <c r="A332" s="1" t="s">
        <v>101</v>
      </c>
      <c r="S332" s="502">
        <v>0.6</v>
      </c>
      <c r="T332" s="502">
        <v>0.6</v>
      </c>
      <c r="U332" s="502">
        <v>0.6</v>
      </c>
      <c r="V332" s="502">
        <v>0.6</v>
      </c>
      <c r="W332" s="502">
        <v>0.6</v>
      </c>
      <c r="X332" s="502">
        <v>0.6</v>
      </c>
      <c r="Y332" s="502">
        <v>0.6</v>
      </c>
      <c r="Z332" s="502">
        <v>0.6</v>
      </c>
      <c r="AA332" s="502">
        <v>0.6</v>
      </c>
      <c r="AB332" s="502">
        <v>0.6</v>
      </c>
      <c r="AC332" s="502">
        <v>0.6</v>
      </c>
      <c r="AD332" s="502">
        <v>0.6</v>
      </c>
      <c r="AE332" s="502">
        <v>0.6</v>
      </c>
      <c r="AF332" s="502">
        <v>0.6</v>
      </c>
      <c r="AG332" s="502">
        <v>0.6</v>
      </c>
      <c r="AH332" s="502">
        <v>0.6</v>
      </c>
      <c r="AI332" s="502">
        <v>0.6</v>
      </c>
      <c r="AJ332" s="502">
        <v>0.6</v>
      </c>
      <c r="AK332" s="502">
        <v>0.6</v>
      </c>
      <c r="AL332" s="502">
        <v>0.6</v>
      </c>
      <c r="AM332" s="502">
        <v>0.6</v>
      </c>
      <c r="AN332" s="502">
        <v>0.6</v>
      </c>
      <c r="AO332" s="502">
        <v>0.6</v>
      </c>
      <c r="AP332" s="502">
        <v>0.6</v>
      </c>
      <c r="AQ332" s="502">
        <v>0.6</v>
      </c>
      <c r="AR332" s="502">
        <v>0.6</v>
      </c>
      <c r="AS332" s="502">
        <v>0.6</v>
      </c>
      <c r="AT332" s="502">
        <v>0.6</v>
      </c>
      <c r="AU332" s="502">
        <v>0.6</v>
      </c>
      <c r="AV332" s="502">
        <v>0.6</v>
      </c>
      <c r="AW332" s="502">
        <v>0.6</v>
      </c>
      <c r="AX332" s="502">
        <v>0.6</v>
      </c>
      <c r="AY332" s="502">
        <v>0.6</v>
      </c>
      <c r="AZ332" s="502">
        <v>0.6</v>
      </c>
      <c r="BA332" s="502">
        <v>0.6</v>
      </c>
      <c r="BB332" s="502">
        <v>0.6</v>
      </c>
      <c r="BC332" s="502">
        <v>0.6</v>
      </c>
      <c r="BD332" s="502">
        <v>0.6</v>
      </c>
      <c r="BE332" s="502">
        <v>0.6</v>
      </c>
      <c r="BF332" s="502">
        <v>0.6</v>
      </c>
      <c r="BG332" s="502">
        <v>0.6</v>
      </c>
      <c r="BH332" s="502">
        <v>0.6</v>
      </c>
      <c r="BI332" s="502">
        <v>0.6</v>
      </c>
      <c r="BJ332" s="502">
        <v>0.6</v>
      </c>
      <c r="BK332" s="502">
        <v>0.6</v>
      </c>
      <c r="BL332" s="502">
        <v>0.6</v>
      </c>
      <c r="BM332" s="502">
        <v>0.6</v>
      </c>
      <c r="BN332" s="502">
        <v>0.6</v>
      </c>
      <c r="BO332" s="502">
        <v>0.6</v>
      </c>
      <c r="BP332" s="502">
        <v>0.6</v>
      </c>
      <c r="BQ332" s="502">
        <v>0.6</v>
      </c>
      <c r="BR332" s="502">
        <v>0.6</v>
      </c>
      <c r="BS332" s="502">
        <v>0.6</v>
      </c>
      <c r="BT332" s="502">
        <v>0.6</v>
      </c>
      <c r="BU332" s="502">
        <v>0.6</v>
      </c>
      <c r="BV332" s="502">
        <v>0.6</v>
      </c>
      <c r="BW332" s="502">
        <v>0.6</v>
      </c>
      <c r="BX332" s="502">
        <v>0.6</v>
      </c>
      <c r="BY332" s="502">
        <v>0.6</v>
      </c>
      <c r="BZ332" s="502">
        <v>0.6</v>
      </c>
      <c r="CA332" s="502">
        <v>0.6</v>
      </c>
      <c r="CB332" s="502">
        <v>0.6</v>
      </c>
      <c r="CC332" s="502">
        <v>0.6</v>
      </c>
      <c r="CD332" s="502">
        <v>0.6</v>
      </c>
      <c r="CE332" s="502">
        <v>0.6</v>
      </c>
      <c r="CF332" s="502">
        <v>0.6</v>
      </c>
      <c r="CG332" s="502">
        <v>0.6</v>
      </c>
      <c r="CH332" s="502">
        <v>0.6</v>
      </c>
    </row>
    <row r="333" ht="15.75" customHeight="1">
      <c r="A333" s="1" t="s">
        <v>747</v>
      </c>
      <c r="S333" s="323">
        <f t="shared" ref="S333:CH333" si="262">S332*S328</f>
        <v>0</v>
      </c>
      <c r="T333" s="323">
        <f t="shared" si="262"/>
        <v>0</v>
      </c>
      <c r="U333" s="323">
        <f t="shared" si="262"/>
        <v>0</v>
      </c>
      <c r="V333" s="198">
        <f t="shared" si="262"/>
        <v>223760.1</v>
      </c>
      <c r="W333" s="198">
        <f t="shared" si="262"/>
        <v>169500.06</v>
      </c>
      <c r="X333" s="198">
        <f t="shared" si="262"/>
        <v>158403.12</v>
      </c>
      <c r="Y333" s="198">
        <f t="shared" si="262"/>
        <v>188565.6842</v>
      </c>
      <c r="Z333" s="198">
        <f t="shared" si="262"/>
        <v>76217.99208</v>
      </c>
      <c r="AA333" s="198">
        <f t="shared" si="262"/>
        <v>85702.61126</v>
      </c>
      <c r="AB333" s="198">
        <f t="shared" si="262"/>
        <v>108957.926</v>
      </c>
      <c r="AC333" s="198">
        <f t="shared" si="262"/>
        <v>137694.4916</v>
      </c>
      <c r="AD333" s="198">
        <f t="shared" si="262"/>
        <v>159996.2697</v>
      </c>
      <c r="AE333" s="198">
        <f t="shared" si="262"/>
        <v>167903.5241</v>
      </c>
      <c r="AF333" s="198">
        <f t="shared" si="262"/>
        <v>171282.8256</v>
      </c>
      <c r="AG333" s="198">
        <f t="shared" si="262"/>
        <v>174730.603</v>
      </c>
      <c r="AH333" s="198">
        <f t="shared" si="262"/>
        <v>178248.2517</v>
      </c>
      <c r="AI333" s="198">
        <f t="shared" si="262"/>
        <v>190391.9139</v>
      </c>
      <c r="AJ333" s="198">
        <f t="shared" si="262"/>
        <v>197214.7125</v>
      </c>
      <c r="AK333" s="198">
        <f t="shared" si="262"/>
        <v>201666.9115</v>
      </c>
      <c r="AL333" s="198">
        <f t="shared" si="262"/>
        <v>206389.4589</v>
      </c>
      <c r="AM333" s="198">
        <f t="shared" si="262"/>
        <v>148844.5996</v>
      </c>
      <c r="AN333" s="198">
        <f t="shared" si="262"/>
        <v>180082.4116</v>
      </c>
      <c r="AO333" s="198">
        <f t="shared" si="262"/>
        <v>182008.5933</v>
      </c>
      <c r="AP333" s="198">
        <f t="shared" si="262"/>
        <v>183957.4793</v>
      </c>
      <c r="AQ333" s="198">
        <f t="shared" si="262"/>
        <v>185929.3451</v>
      </c>
      <c r="AR333" s="198">
        <f t="shared" si="262"/>
        <v>187924.4696</v>
      </c>
      <c r="AS333" s="198">
        <f t="shared" si="262"/>
        <v>189943.1353</v>
      </c>
      <c r="AT333" s="198">
        <f t="shared" si="262"/>
        <v>191985.628</v>
      </c>
      <c r="AU333" s="198">
        <f t="shared" si="262"/>
        <v>194052.2371</v>
      </c>
      <c r="AV333" s="198">
        <f t="shared" si="262"/>
        <v>196143.2555</v>
      </c>
      <c r="AW333" s="198">
        <f t="shared" si="262"/>
        <v>198258.9796</v>
      </c>
      <c r="AX333" s="198">
        <f t="shared" si="262"/>
        <v>200399.7096</v>
      </c>
      <c r="AY333" s="198">
        <f t="shared" si="262"/>
        <v>202595.5951</v>
      </c>
      <c r="AZ333" s="198">
        <f t="shared" si="262"/>
        <v>204791.1839</v>
      </c>
      <c r="BA333" s="198">
        <f t="shared" si="262"/>
        <v>207012.2043</v>
      </c>
      <c r="BB333" s="198">
        <f t="shared" si="262"/>
        <v>209258.9582</v>
      </c>
      <c r="BC333" s="198">
        <f t="shared" si="262"/>
        <v>211531.7511</v>
      </c>
      <c r="BD333" s="198">
        <f t="shared" si="262"/>
        <v>213830.892</v>
      </c>
      <c r="BE333" s="198">
        <f t="shared" si="262"/>
        <v>216156.6938</v>
      </c>
      <c r="BF333" s="198">
        <f t="shared" si="262"/>
        <v>218509.473</v>
      </c>
      <c r="BG333" s="198">
        <f t="shared" si="262"/>
        <v>220889.55</v>
      </c>
      <c r="BH333" s="198">
        <f t="shared" si="262"/>
        <v>223297.249</v>
      </c>
      <c r="BI333" s="198">
        <f t="shared" si="262"/>
        <v>225732.8981</v>
      </c>
      <c r="BJ333" s="198">
        <f t="shared" si="262"/>
        <v>228196.8291</v>
      </c>
      <c r="BK333" s="198">
        <f t="shared" si="262"/>
        <v>228470.1086</v>
      </c>
      <c r="BL333" s="198">
        <f t="shared" si="262"/>
        <v>231215.4651</v>
      </c>
      <c r="BM333" s="198">
        <f t="shared" si="262"/>
        <v>214255.802</v>
      </c>
      <c r="BN333" s="198">
        <f t="shared" si="262"/>
        <v>216843.3777</v>
      </c>
      <c r="BO333" s="198">
        <f t="shared" si="262"/>
        <v>219468.9537</v>
      </c>
      <c r="BP333" s="198">
        <f t="shared" si="262"/>
        <v>222133.2376</v>
      </c>
      <c r="BQ333" s="198">
        <f t="shared" si="262"/>
        <v>224836.9536</v>
      </c>
      <c r="BR333" s="198">
        <f t="shared" si="262"/>
        <v>227580.8431</v>
      </c>
      <c r="BS333" s="198">
        <f t="shared" si="262"/>
        <v>230365.6656</v>
      </c>
      <c r="BT333" s="198">
        <f t="shared" si="262"/>
        <v>233192.1983</v>
      </c>
      <c r="BU333" s="198">
        <f t="shared" si="262"/>
        <v>236061.2376</v>
      </c>
      <c r="BV333" s="198">
        <f t="shared" si="262"/>
        <v>238973.5989</v>
      </c>
      <c r="BW333" s="198">
        <f t="shared" si="262"/>
        <v>243513.1184</v>
      </c>
      <c r="BX333" s="198">
        <f t="shared" si="262"/>
        <v>245499.678</v>
      </c>
      <c r="BY333" s="198">
        <f t="shared" si="262"/>
        <v>227058.304</v>
      </c>
      <c r="BZ333" s="198">
        <f t="shared" si="262"/>
        <v>228880.2457</v>
      </c>
      <c r="CA333" s="198">
        <f t="shared" si="262"/>
        <v>230739.9899</v>
      </c>
      <c r="CB333" s="198">
        <f t="shared" si="262"/>
        <v>232637.5522</v>
      </c>
      <c r="CC333" s="198">
        <f t="shared" si="262"/>
        <v>234572.9598</v>
      </c>
      <c r="CD333" s="198">
        <f t="shared" si="262"/>
        <v>236546.2513</v>
      </c>
      <c r="CE333" s="198">
        <f t="shared" si="262"/>
        <v>238557.4766</v>
      </c>
      <c r="CF333" s="198">
        <f t="shared" si="262"/>
        <v>240606.6966</v>
      </c>
      <c r="CG333" s="198">
        <f t="shared" si="262"/>
        <v>242693.9834</v>
      </c>
      <c r="CH333" s="198">
        <f t="shared" si="262"/>
        <v>244819.4198</v>
      </c>
    </row>
    <row r="334" ht="15.75" customHeight="1">
      <c r="A334" s="1" t="s">
        <v>776</v>
      </c>
      <c r="S334" s="503">
        <v>0.8</v>
      </c>
      <c r="T334" s="503">
        <v>0.8</v>
      </c>
      <c r="U334" s="503">
        <v>0.8</v>
      </c>
      <c r="V334" s="503">
        <v>0.8</v>
      </c>
      <c r="W334" s="503">
        <v>0.8</v>
      </c>
      <c r="X334" s="503">
        <v>0.8</v>
      </c>
      <c r="Y334" s="503">
        <v>0.8</v>
      </c>
      <c r="Z334" s="503">
        <v>0.8</v>
      </c>
      <c r="AA334" s="503">
        <v>0.8</v>
      </c>
      <c r="AB334" s="503">
        <v>0.8</v>
      </c>
      <c r="AC334" s="503">
        <v>0.8</v>
      </c>
      <c r="AD334" s="503">
        <v>0.8</v>
      </c>
      <c r="AE334" s="503">
        <v>0.8</v>
      </c>
      <c r="AF334" s="503">
        <v>0.8</v>
      </c>
      <c r="AG334" s="503">
        <v>0.8</v>
      </c>
      <c r="AH334" s="503">
        <v>0.8</v>
      </c>
      <c r="AI334" s="503">
        <v>0.8</v>
      </c>
      <c r="AJ334" s="503">
        <v>0.8</v>
      </c>
      <c r="AK334" s="503">
        <v>0.8</v>
      </c>
      <c r="AL334" s="503">
        <v>0.8</v>
      </c>
      <c r="AM334" s="503">
        <v>0.8</v>
      </c>
      <c r="AN334" s="503">
        <v>0.8</v>
      </c>
      <c r="AO334" s="503">
        <v>0.8</v>
      </c>
      <c r="AP334" s="503">
        <v>0.8</v>
      </c>
      <c r="AQ334" s="503">
        <v>0.8</v>
      </c>
      <c r="AR334" s="503">
        <v>0.8</v>
      </c>
      <c r="AS334" s="503">
        <v>0.8</v>
      </c>
      <c r="AT334" s="503">
        <v>0.8</v>
      </c>
      <c r="AU334" s="503">
        <v>0.8</v>
      </c>
      <c r="AV334" s="503">
        <v>0.8</v>
      </c>
      <c r="AW334" s="503">
        <v>0.8</v>
      </c>
      <c r="AX334" s="503">
        <v>0.8</v>
      </c>
      <c r="AY334" s="503">
        <v>0.8</v>
      </c>
      <c r="AZ334" s="503">
        <v>0.8</v>
      </c>
      <c r="BA334" s="503">
        <v>0.8</v>
      </c>
      <c r="BB334" s="503">
        <v>0.8</v>
      </c>
      <c r="BC334" s="503">
        <v>0.8</v>
      </c>
      <c r="BD334" s="503">
        <v>0.8</v>
      </c>
      <c r="BE334" s="503">
        <v>0.8</v>
      </c>
      <c r="BF334" s="503">
        <v>0.8</v>
      </c>
      <c r="BG334" s="503">
        <v>0.8</v>
      </c>
      <c r="BH334" s="503">
        <v>0.8</v>
      </c>
      <c r="BI334" s="503">
        <v>0.8</v>
      </c>
      <c r="BJ334" s="503">
        <v>0.8</v>
      </c>
      <c r="BK334" s="503">
        <v>0.8</v>
      </c>
      <c r="BL334" s="503">
        <v>0.8</v>
      </c>
      <c r="BM334" s="503">
        <v>0.8</v>
      </c>
      <c r="BN334" s="503">
        <v>0.8</v>
      </c>
      <c r="BO334" s="503">
        <v>0.8</v>
      </c>
      <c r="BP334" s="503">
        <v>0.8</v>
      </c>
      <c r="BQ334" s="503">
        <v>0.8</v>
      </c>
      <c r="BR334" s="503">
        <v>0.8</v>
      </c>
      <c r="BS334" s="503">
        <v>0.8</v>
      </c>
      <c r="BT334" s="503">
        <v>0.8</v>
      </c>
      <c r="BU334" s="503">
        <v>0.8</v>
      </c>
      <c r="BV334" s="503">
        <v>0.8</v>
      </c>
      <c r="BW334" s="503">
        <v>0.8</v>
      </c>
      <c r="BX334" s="503">
        <v>0.8</v>
      </c>
      <c r="BY334" s="503">
        <v>0.8</v>
      </c>
      <c r="BZ334" s="503">
        <v>0.8</v>
      </c>
      <c r="CA334" s="503">
        <v>0.8</v>
      </c>
      <c r="CB334" s="503">
        <v>0.8</v>
      </c>
      <c r="CC334" s="503">
        <v>0.8</v>
      </c>
      <c r="CD334" s="503">
        <v>0.8</v>
      </c>
      <c r="CE334" s="503">
        <v>0.8</v>
      </c>
      <c r="CF334" s="503">
        <v>0.8</v>
      </c>
      <c r="CG334" s="503">
        <v>0.8</v>
      </c>
      <c r="CH334" s="503">
        <v>0.8</v>
      </c>
    </row>
    <row r="335" ht="15.75" customHeight="1">
      <c r="A335" s="1" t="s">
        <v>777</v>
      </c>
      <c r="S335" s="323">
        <f t="shared" ref="S335:U335" si="263">S333/S334</f>
        <v>0</v>
      </c>
      <c r="T335" s="323">
        <f t="shared" si="263"/>
        <v>0</v>
      </c>
      <c r="U335" s="323">
        <f t="shared" si="263"/>
        <v>0</v>
      </c>
      <c r="V335" s="117">
        <f t="shared" ref="V335:CH335" si="264">V333/((1-(V334))*12)</f>
        <v>93233.375</v>
      </c>
      <c r="W335" s="117">
        <f t="shared" si="264"/>
        <v>70625.025</v>
      </c>
      <c r="X335" s="117">
        <f t="shared" si="264"/>
        <v>66001.3</v>
      </c>
      <c r="Y335" s="117">
        <f t="shared" si="264"/>
        <v>78569.03509</v>
      </c>
      <c r="Z335" s="117">
        <f t="shared" si="264"/>
        <v>31757.4967</v>
      </c>
      <c r="AA335" s="117">
        <f t="shared" si="264"/>
        <v>35709.42136</v>
      </c>
      <c r="AB335" s="117">
        <f t="shared" si="264"/>
        <v>45399.13584</v>
      </c>
      <c r="AC335" s="117">
        <f t="shared" si="264"/>
        <v>57372.70482</v>
      </c>
      <c r="AD335" s="117">
        <f t="shared" si="264"/>
        <v>66665.11239</v>
      </c>
      <c r="AE335" s="117">
        <f t="shared" si="264"/>
        <v>69959.80171</v>
      </c>
      <c r="AF335" s="117">
        <f t="shared" si="264"/>
        <v>71367.84402</v>
      </c>
      <c r="AG335" s="117">
        <f t="shared" si="264"/>
        <v>72804.41791</v>
      </c>
      <c r="AH335" s="117">
        <f t="shared" si="264"/>
        <v>74270.10488</v>
      </c>
      <c r="AI335" s="117">
        <f t="shared" si="264"/>
        <v>79329.96411</v>
      </c>
      <c r="AJ335" s="117">
        <f t="shared" si="264"/>
        <v>82172.79686</v>
      </c>
      <c r="AK335" s="117">
        <f t="shared" si="264"/>
        <v>84027.87977</v>
      </c>
      <c r="AL335" s="117">
        <f t="shared" si="264"/>
        <v>85995.60786</v>
      </c>
      <c r="AM335" s="117">
        <f t="shared" si="264"/>
        <v>62018.58315</v>
      </c>
      <c r="AN335" s="117">
        <f t="shared" si="264"/>
        <v>75034.33816</v>
      </c>
      <c r="AO335" s="117">
        <f t="shared" si="264"/>
        <v>75836.91388</v>
      </c>
      <c r="AP335" s="117">
        <f t="shared" si="264"/>
        <v>76648.9497</v>
      </c>
      <c r="AQ335" s="117">
        <f t="shared" si="264"/>
        <v>77470.56044</v>
      </c>
      <c r="AR335" s="117">
        <f t="shared" si="264"/>
        <v>78301.86234</v>
      </c>
      <c r="AS335" s="117">
        <f t="shared" si="264"/>
        <v>79142.97305</v>
      </c>
      <c r="AT335" s="117">
        <f t="shared" si="264"/>
        <v>79994.01169</v>
      </c>
      <c r="AU335" s="117">
        <f t="shared" si="264"/>
        <v>80855.0988</v>
      </c>
      <c r="AV335" s="117">
        <f t="shared" si="264"/>
        <v>81726.35644</v>
      </c>
      <c r="AW335" s="117">
        <f t="shared" si="264"/>
        <v>82607.90815</v>
      </c>
      <c r="AX335" s="117">
        <f t="shared" si="264"/>
        <v>83499.87899</v>
      </c>
      <c r="AY335" s="117">
        <f t="shared" si="264"/>
        <v>84414.8313</v>
      </c>
      <c r="AZ335" s="117">
        <f t="shared" si="264"/>
        <v>85329.65996</v>
      </c>
      <c r="BA335" s="117">
        <f t="shared" si="264"/>
        <v>86255.08513</v>
      </c>
      <c r="BB335" s="117">
        <f t="shared" si="264"/>
        <v>87191.2326</v>
      </c>
      <c r="BC335" s="117">
        <f t="shared" si="264"/>
        <v>88138.22962</v>
      </c>
      <c r="BD335" s="117">
        <f t="shared" si="264"/>
        <v>89096.205</v>
      </c>
      <c r="BE335" s="117">
        <f t="shared" si="264"/>
        <v>90065.28908</v>
      </c>
      <c r="BF335" s="117">
        <f t="shared" si="264"/>
        <v>91045.61375</v>
      </c>
      <c r="BG335" s="117">
        <f t="shared" si="264"/>
        <v>92037.31251</v>
      </c>
      <c r="BH335" s="117">
        <f t="shared" si="264"/>
        <v>93040.52043</v>
      </c>
      <c r="BI335" s="117">
        <f t="shared" si="264"/>
        <v>94055.37419</v>
      </c>
      <c r="BJ335" s="117">
        <f t="shared" si="264"/>
        <v>95082.01213</v>
      </c>
      <c r="BK335" s="117">
        <f t="shared" si="264"/>
        <v>95195.87857</v>
      </c>
      <c r="BL335" s="117">
        <f t="shared" si="264"/>
        <v>96339.77714</v>
      </c>
      <c r="BM335" s="117">
        <f t="shared" si="264"/>
        <v>89273.25083</v>
      </c>
      <c r="BN335" s="117">
        <f t="shared" si="264"/>
        <v>90351.40736</v>
      </c>
      <c r="BO335" s="117">
        <f t="shared" si="264"/>
        <v>91445.39737</v>
      </c>
      <c r="BP335" s="117">
        <f t="shared" si="264"/>
        <v>92555.51566</v>
      </c>
      <c r="BQ335" s="117">
        <f t="shared" si="264"/>
        <v>93682.06398</v>
      </c>
      <c r="BR335" s="117">
        <f t="shared" si="264"/>
        <v>94825.35131</v>
      </c>
      <c r="BS335" s="117">
        <f t="shared" si="264"/>
        <v>95985.69399</v>
      </c>
      <c r="BT335" s="117">
        <f t="shared" si="264"/>
        <v>97163.41596</v>
      </c>
      <c r="BU335" s="117">
        <f t="shared" si="264"/>
        <v>98358.84899</v>
      </c>
      <c r="BV335" s="117">
        <f t="shared" si="264"/>
        <v>99572.33286</v>
      </c>
      <c r="BW335" s="117">
        <f t="shared" si="264"/>
        <v>101463.7993</v>
      </c>
      <c r="BX335" s="117">
        <f t="shared" si="264"/>
        <v>102291.5325</v>
      </c>
      <c r="BY335" s="117">
        <f t="shared" si="264"/>
        <v>94607.62666</v>
      </c>
      <c r="BZ335" s="117">
        <f t="shared" si="264"/>
        <v>95366.76904</v>
      </c>
      <c r="CA335" s="117">
        <f t="shared" si="264"/>
        <v>96141.66245</v>
      </c>
      <c r="CB335" s="117">
        <f t="shared" si="264"/>
        <v>96932.31342</v>
      </c>
      <c r="CC335" s="117">
        <f t="shared" si="264"/>
        <v>97738.73325</v>
      </c>
      <c r="CD335" s="117">
        <f t="shared" si="264"/>
        <v>98560.93805</v>
      </c>
      <c r="CE335" s="117">
        <f t="shared" si="264"/>
        <v>99398.94858</v>
      </c>
      <c r="CF335" s="117">
        <f t="shared" si="264"/>
        <v>100252.7903</v>
      </c>
      <c r="CG335" s="117">
        <f t="shared" si="264"/>
        <v>101122.4931</v>
      </c>
      <c r="CH335" s="117">
        <f t="shared" si="264"/>
        <v>102008.0916</v>
      </c>
    </row>
    <row r="336" ht="15.75" customHeight="1">
      <c r="A336" s="1" t="s">
        <v>778</v>
      </c>
      <c r="S336" s="198">
        <f t="shared" ref="S336:CH336" si="265">S327*S326+S323</f>
        <v>458175</v>
      </c>
      <c r="T336" s="198">
        <f t="shared" si="265"/>
        <v>458175</v>
      </c>
      <c r="U336" s="198">
        <f t="shared" si="265"/>
        <v>458175</v>
      </c>
      <c r="V336" s="198">
        <f t="shared" si="265"/>
        <v>458175</v>
      </c>
      <c r="W336" s="198">
        <f t="shared" si="265"/>
        <v>710325</v>
      </c>
      <c r="X336" s="198">
        <f t="shared" si="265"/>
        <v>458175</v>
      </c>
      <c r="Y336" s="198">
        <f t="shared" si="265"/>
        <v>458175</v>
      </c>
      <c r="Z336" s="198">
        <f t="shared" si="265"/>
        <v>458175</v>
      </c>
      <c r="AA336" s="198">
        <f t="shared" si="265"/>
        <v>458175</v>
      </c>
      <c r="AB336" s="198">
        <f t="shared" si="265"/>
        <v>458175</v>
      </c>
      <c r="AC336" s="198">
        <f t="shared" si="265"/>
        <v>458175</v>
      </c>
      <c r="AD336" s="198">
        <f t="shared" si="265"/>
        <v>458175</v>
      </c>
      <c r="AE336" s="198">
        <f t="shared" si="265"/>
        <v>458175</v>
      </c>
      <c r="AF336" s="198">
        <f t="shared" si="265"/>
        <v>458175</v>
      </c>
      <c r="AG336" s="198">
        <f t="shared" si="265"/>
        <v>458175</v>
      </c>
      <c r="AH336" s="198">
        <f t="shared" si="265"/>
        <v>458175</v>
      </c>
      <c r="AI336" s="198">
        <f t="shared" si="265"/>
        <v>458175</v>
      </c>
      <c r="AJ336" s="198">
        <f t="shared" si="265"/>
        <v>458175</v>
      </c>
      <c r="AK336" s="198">
        <f t="shared" si="265"/>
        <v>458175</v>
      </c>
      <c r="AL336" s="198">
        <f t="shared" si="265"/>
        <v>458175</v>
      </c>
      <c r="AM336" s="198">
        <f t="shared" si="265"/>
        <v>458175</v>
      </c>
      <c r="AN336" s="198">
        <f t="shared" si="265"/>
        <v>458175</v>
      </c>
      <c r="AO336" s="198">
        <f t="shared" si="265"/>
        <v>458175</v>
      </c>
      <c r="AP336" s="198">
        <f t="shared" si="265"/>
        <v>458175</v>
      </c>
      <c r="AQ336" s="198">
        <f t="shared" si="265"/>
        <v>458175</v>
      </c>
      <c r="AR336" s="198">
        <f t="shared" si="265"/>
        <v>458175</v>
      </c>
      <c r="AS336" s="198">
        <f t="shared" si="265"/>
        <v>458175</v>
      </c>
      <c r="AT336" s="198">
        <f t="shared" si="265"/>
        <v>458175</v>
      </c>
      <c r="AU336" s="198">
        <f t="shared" si="265"/>
        <v>458175</v>
      </c>
      <c r="AV336" s="198">
        <f t="shared" si="265"/>
        <v>458175</v>
      </c>
      <c r="AW336" s="198">
        <f t="shared" si="265"/>
        <v>458175</v>
      </c>
      <c r="AX336" s="198">
        <f t="shared" si="265"/>
        <v>458175</v>
      </c>
      <c r="AY336" s="198">
        <f t="shared" si="265"/>
        <v>458175</v>
      </c>
      <c r="AZ336" s="198">
        <f t="shared" si="265"/>
        <v>458175</v>
      </c>
      <c r="BA336" s="198">
        <f t="shared" si="265"/>
        <v>458175</v>
      </c>
      <c r="BB336" s="198">
        <f t="shared" si="265"/>
        <v>458175</v>
      </c>
      <c r="BC336" s="198">
        <f t="shared" si="265"/>
        <v>458175</v>
      </c>
      <c r="BD336" s="198">
        <f t="shared" si="265"/>
        <v>458175</v>
      </c>
      <c r="BE336" s="198">
        <f t="shared" si="265"/>
        <v>458175</v>
      </c>
      <c r="BF336" s="198">
        <f t="shared" si="265"/>
        <v>458175</v>
      </c>
      <c r="BG336" s="198">
        <f t="shared" si="265"/>
        <v>458175</v>
      </c>
      <c r="BH336" s="198">
        <f t="shared" si="265"/>
        <v>458175</v>
      </c>
      <c r="BI336" s="198">
        <f t="shared" si="265"/>
        <v>458175</v>
      </c>
      <c r="BJ336" s="198">
        <f t="shared" si="265"/>
        <v>458175</v>
      </c>
      <c r="BK336" s="198">
        <f t="shared" si="265"/>
        <v>458175</v>
      </c>
      <c r="BL336" s="198">
        <f t="shared" si="265"/>
        <v>458175</v>
      </c>
      <c r="BM336" s="198">
        <f t="shared" si="265"/>
        <v>458175</v>
      </c>
      <c r="BN336" s="198">
        <f t="shared" si="265"/>
        <v>458175</v>
      </c>
      <c r="BO336" s="198">
        <f t="shared" si="265"/>
        <v>458175</v>
      </c>
      <c r="BP336" s="198">
        <f t="shared" si="265"/>
        <v>458175</v>
      </c>
      <c r="BQ336" s="198">
        <f t="shared" si="265"/>
        <v>458175</v>
      </c>
      <c r="BR336" s="198">
        <f t="shared" si="265"/>
        <v>458175</v>
      </c>
      <c r="BS336" s="198">
        <f t="shared" si="265"/>
        <v>458175</v>
      </c>
      <c r="BT336" s="198">
        <f t="shared" si="265"/>
        <v>458175</v>
      </c>
      <c r="BU336" s="198">
        <f t="shared" si="265"/>
        <v>458175</v>
      </c>
      <c r="BV336" s="198">
        <f t="shared" si="265"/>
        <v>458175</v>
      </c>
      <c r="BW336" s="198">
        <f t="shared" si="265"/>
        <v>458175</v>
      </c>
      <c r="BX336" s="198">
        <f t="shared" si="265"/>
        <v>458175</v>
      </c>
      <c r="BY336" s="198">
        <f t="shared" si="265"/>
        <v>458175</v>
      </c>
      <c r="BZ336" s="198">
        <f t="shared" si="265"/>
        <v>458175</v>
      </c>
      <c r="CA336" s="198">
        <f t="shared" si="265"/>
        <v>458175</v>
      </c>
      <c r="CB336" s="198">
        <f t="shared" si="265"/>
        <v>458175</v>
      </c>
      <c r="CC336" s="198">
        <f t="shared" si="265"/>
        <v>458175</v>
      </c>
      <c r="CD336" s="198">
        <f t="shared" si="265"/>
        <v>458175</v>
      </c>
      <c r="CE336" s="198">
        <f t="shared" si="265"/>
        <v>458175</v>
      </c>
      <c r="CF336" s="198">
        <f t="shared" si="265"/>
        <v>458175</v>
      </c>
      <c r="CG336" s="198">
        <f t="shared" si="265"/>
        <v>458175</v>
      </c>
      <c r="CH336" s="198">
        <f t="shared" si="265"/>
        <v>458175</v>
      </c>
    </row>
    <row r="337" ht="15.75" customHeight="1">
      <c r="A337" s="124" t="s">
        <v>779</v>
      </c>
      <c r="B337" s="124"/>
      <c r="C337" s="124"/>
      <c r="D337" s="124"/>
      <c r="E337" s="124"/>
      <c r="F337" s="124"/>
      <c r="G337" s="124"/>
      <c r="H337" s="124"/>
      <c r="I337" s="124"/>
      <c r="J337" s="124"/>
      <c r="K337" s="124"/>
      <c r="L337" s="124"/>
      <c r="M337" s="124"/>
      <c r="N337" s="124"/>
      <c r="O337" s="124"/>
      <c r="P337" s="124"/>
      <c r="Q337" s="124"/>
      <c r="R337" s="124"/>
      <c r="S337" s="504">
        <f t="shared" ref="S337:CH337" si="266">S335/S336</f>
        <v>0</v>
      </c>
      <c r="T337" s="504">
        <f t="shared" si="266"/>
        <v>0</v>
      </c>
      <c r="U337" s="504">
        <f t="shared" si="266"/>
        <v>0</v>
      </c>
      <c r="V337" s="504">
        <f t="shared" si="266"/>
        <v>0.2034885688</v>
      </c>
      <c r="W337" s="504">
        <f t="shared" si="266"/>
        <v>0.09942635413</v>
      </c>
      <c r="X337" s="504">
        <f t="shared" si="266"/>
        <v>0.1440526</v>
      </c>
      <c r="Y337" s="504">
        <f t="shared" si="266"/>
        <v>0.1714825887</v>
      </c>
      <c r="Z337" s="504">
        <f t="shared" si="266"/>
        <v>0.06931302821</v>
      </c>
      <c r="AA337" s="504">
        <f t="shared" si="266"/>
        <v>0.07793838895</v>
      </c>
      <c r="AB337" s="504">
        <f t="shared" si="266"/>
        <v>0.09908689004</v>
      </c>
      <c r="AC337" s="504">
        <f t="shared" si="266"/>
        <v>0.1252200684</v>
      </c>
      <c r="AD337" s="504">
        <f t="shared" si="266"/>
        <v>0.1455014184</v>
      </c>
      <c r="AE337" s="504">
        <f t="shared" si="266"/>
        <v>0.1526923156</v>
      </c>
      <c r="AF337" s="504">
        <f t="shared" si="266"/>
        <v>0.1557654696</v>
      </c>
      <c r="AG337" s="504">
        <f t="shared" si="266"/>
        <v>0.1589008957</v>
      </c>
      <c r="AH337" s="504">
        <f t="shared" si="266"/>
        <v>0.1620998633</v>
      </c>
      <c r="AI337" s="504">
        <f t="shared" si="266"/>
        <v>0.1731433712</v>
      </c>
      <c r="AJ337" s="504">
        <f t="shared" si="266"/>
        <v>0.1793480588</v>
      </c>
      <c r="AK337" s="504">
        <f t="shared" si="266"/>
        <v>0.1833969112</v>
      </c>
      <c r="AL337" s="504">
        <f t="shared" si="266"/>
        <v>0.1876916197</v>
      </c>
      <c r="AM337" s="504">
        <f t="shared" si="266"/>
        <v>0.1353600331</v>
      </c>
      <c r="AN337" s="504">
        <f t="shared" si="266"/>
        <v>0.1637678576</v>
      </c>
      <c r="AO337" s="504">
        <f t="shared" si="266"/>
        <v>0.165519537</v>
      </c>
      <c r="AP337" s="504">
        <f t="shared" si="266"/>
        <v>0.1672918638</v>
      </c>
      <c r="AQ337" s="504">
        <f t="shared" si="266"/>
        <v>0.1690850885</v>
      </c>
      <c r="AR337" s="504">
        <f t="shared" si="266"/>
        <v>0.1708994649</v>
      </c>
      <c r="AS337" s="504">
        <f t="shared" si="266"/>
        <v>0.1727352497</v>
      </c>
      <c r="AT337" s="504">
        <f t="shared" si="266"/>
        <v>0.174592703</v>
      </c>
      <c r="AU337" s="504">
        <f t="shared" si="266"/>
        <v>0.1764720877</v>
      </c>
      <c r="AV337" s="504">
        <f t="shared" si="266"/>
        <v>0.1783736704</v>
      </c>
      <c r="AW337" s="504">
        <f t="shared" si="266"/>
        <v>0.1802977206</v>
      </c>
      <c r="AX337" s="504">
        <f t="shared" si="266"/>
        <v>0.1822445114</v>
      </c>
      <c r="AY337" s="504">
        <f t="shared" si="266"/>
        <v>0.1842414608</v>
      </c>
      <c r="AZ337" s="504">
        <f t="shared" si="266"/>
        <v>0.1862381404</v>
      </c>
      <c r="BA337" s="504">
        <f t="shared" si="266"/>
        <v>0.1882579476</v>
      </c>
      <c r="BB337" s="504">
        <f t="shared" si="266"/>
        <v>0.190301157</v>
      </c>
      <c r="BC337" s="504">
        <f t="shared" si="266"/>
        <v>0.1923680463</v>
      </c>
      <c r="BD337" s="504">
        <f t="shared" si="266"/>
        <v>0.1944588967</v>
      </c>
      <c r="BE337" s="504">
        <f t="shared" si="266"/>
        <v>0.1965739926</v>
      </c>
      <c r="BF337" s="504">
        <f t="shared" si="266"/>
        <v>0.198713622</v>
      </c>
      <c r="BG337" s="504">
        <f t="shared" si="266"/>
        <v>0.2008780761</v>
      </c>
      <c r="BH337" s="504">
        <f t="shared" si="266"/>
        <v>0.2030676498</v>
      </c>
      <c r="BI337" s="504">
        <f t="shared" si="266"/>
        <v>0.2052826413</v>
      </c>
      <c r="BJ337" s="504">
        <f t="shared" si="266"/>
        <v>0.2075233527</v>
      </c>
      <c r="BK337" s="504">
        <f t="shared" si="266"/>
        <v>0.2077718744</v>
      </c>
      <c r="BL337" s="504">
        <f t="shared" si="266"/>
        <v>0.2102685156</v>
      </c>
      <c r="BM337" s="504">
        <f t="shared" si="266"/>
        <v>0.194845312</v>
      </c>
      <c r="BN337" s="504">
        <f t="shared" si="266"/>
        <v>0.1971984664</v>
      </c>
      <c r="BO337" s="504">
        <f t="shared" si="266"/>
        <v>0.1995861786</v>
      </c>
      <c r="BP337" s="504">
        <f t="shared" si="266"/>
        <v>0.2020090918</v>
      </c>
      <c r="BQ337" s="504">
        <f t="shared" si="266"/>
        <v>0.2044678649</v>
      </c>
      <c r="BR337" s="504">
        <f t="shared" si="266"/>
        <v>0.206963172</v>
      </c>
      <c r="BS337" s="504">
        <f t="shared" si="266"/>
        <v>0.2094957036</v>
      </c>
      <c r="BT337" s="504">
        <f t="shared" si="266"/>
        <v>0.2120661668</v>
      </c>
      <c r="BU337" s="504">
        <f t="shared" si="266"/>
        <v>0.2146752856</v>
      </c>
      <c r="BV337" s="504">
        <f t="shared" si="266"/>
        <v>0.2173238017</v>
      </c>
      <c r="BW337" s="504">
        <f t="shared" si="266"/>
        <v>0.2214520638</v>
      </c>
      <c r="BX337" s="504">
        <f t="shared" si="266"/>
        <v>0.2232586512</v>
      </c>
      <c r="BY337" s="504">
        <f t="shared" si="266"/>
        <v>0.2064879722</v>
      </c>
      <c r="BZ337" s="504">
        <f t="shared" si="266"/>
        <v>0.2081448552</v>
      </c>
      <c r="CA337" s="504">
        <f t="shared" si="266"/>
        <v>0.209836116</v>
      </c>
      <c r="CB337" s="504">
        <f t="shared" si="266"/>
        <v>0.2115617688</v>
      </c>
      <c r="CC337" s="504">
        <f t="shared" si="266"/>
        <v>0.2133218383</v>
      </c>
      <c r="CD337" s="504">
        <f t="shared" si="266"/>
        <v>0.2151163596</v>
      </c>
      <c r="CE337" s="504">
        <f t="shared" si="266"/>
        <v>0.216945378</v>
      </c>
      <c r="CF337" s="504">
        <f t="shared" si="266"/>
        <v>0.2188089491</v>
      </c>
      <c r="CG337" s="504">
        <f t="shared" si="266"/>
        <v>0.2207071383</v>
      </c>
      <c r="CH337" s="504">
        <f t="shared" si="266"/>
        <v>0.2226400209</v>
      </c>
    </row>
    <row r="338" ht="15.75" customHeight="1">
      <c r="A338" s="431"/>
      <c r="S338" s="431"/>
      <c r="T338" s="431"/>
      <c r="U338" s="431"/>
      <c r="V338" s="431"/>
      <c r="W338" s="431"/>
      <c r="X338" s="431"/>
      <c r="Y338" s="431"/>
      <c r="Z338" s="431"/>
      <c r="AA338" s="431"/>
      <c r="AB338" s="431"/>
      <c r="AC338" s="431"/>
      <c r="AD338" s="431"/>
      <c r="AE338" s="431"/>
      <c r="AF338" s="431"/>
      <c r="AG338" s="431"/>
      <c r="AH338" s="431"/>
      <c r="AI338" s="431"/>
      <c r="AJ338" s="431"/>
      <c r="AK338" s="431"/>
      <c r="AL338" s="431"/>
      <c r="AM338" s="431"/>
      <c r="AN338" s="431"/>
      <c r="AO338" s="431"/>
      <c r="AP338" s="431"/>
      <c r="AQ338" s="431"/>
      <c r="AR338" s="431"/>
      <c r="AS338" s="431"/>
      <c r="AT338" s="431"/>
      <c r="AU338" s="431"/>
      <c r="AV338" s="431"/>
      <c r="AW338" s="431"/>
      <c r="AX338" s="431"/>
      <c r="AY338" s="431"/>
      <c r="AZ338" s="431"/>
      <c r="BA338" s="431"/>
      <c r="BB338" s="431"/>
      <c r="BC338" s="431"/>
      <c r="BD338" s="431"/>
      <c r="BE338" s="431"/>
      <c r="BF338" s="431"/>
      <c r="BG338" s="431"/>
      <c r="BH338" s="431"/>
      <c r="BI338" s="431"/>
      <c r="BJ338" s="431"/>
      <c r="BK338" s="431"/>
      <c r="BL338" s="431"/>
      <c r="BM338" s="431"/>
      <c r="BN338" s="431"/>
      <c r="BO338" s="431"/>
      <c r="BP338" s="431"/>
      <c r="BQ338" s="431"/>
      <c r="BR338" s="431"/>
      <c r="BS338" s="431"/>
      <c r="BT338" s="431"/>
      <c r="BU338" s="431"/>
      <c r="BV338" s="431"/>
      <c r="BW338" s="431"/>
      <c r="BX338" s="431"/>
      <c r="BY338" s="431"/>
      <c r="BZ338" s="431"/>
      <c r="CA338" s="431"/>
      <c r="CB338" s="431"/>
      <c r="CC338" s="431"/>
      <c r="CD338" s="431"/>
      <c r="CE338" s="431"/>
      <c r="CF338" s="431"/>
      <c r="CG338" s="431"/>
      <c r="CH338" s="431"/>
    </row>
    <row r="339" ht="15.75" customHeight="1">
      <c r="A339" s="1" t="s">
        <v>780</v>
      </c>
      <c r="S339" s="501">
        <v>0.0</v>
      </c>
      <c r="T339" s="501">
        <v>0.0</v>
      </c>
      <c r="U339" s="501">
        <v>0.0</v>
      </c>
      <c r="V339" s="501">
        <v>0.0</v>
      </c>
      <c r="W339" s="501">
        <v>0.0</v>
      </c>
      <c r="X339" s="501">
        <f>W339+W343</f>
        <v>0</v>
      </c>
      <c r="Y339" s="505">
        <v>1.0</v>
      </c>
      <c r="Z339" s="323">
        <f t="shared" ref="Z339:CH339" si="267">Y339+Y343</f>
        <v>2</v>
      </c>
      <c r="AA339" s="323">
        <f t="shared" si="267"/>
        <v>2</v>
      </c>
      <c r="AB339" s="323">
        <f t="shared" si="267"/>
        <v>2</v>
      </c>
      <c r="AC339" s="323">
        <f t="shared" si="267"/>
        <v>2</v>
      </c>
      <c r="AD339" s="323">
        <f t="shared" si="267"/>
        <v>2</v>
      </c>
      <c r="AE339" s="323">
        <f t="shared" si="267"/>
        <v>2</v>
      </c>
      <c r="AF339" s="323">
        <f t="shared" si="267"/>
        <v>2</v>
      </c>
      <c r="AG339" s="323">
        <f t="shared" si="267"/>
        <v>2</v>
      </c>
      <c r="AH339" s="323">
        <f t="shared" si="267"/>
        <v>2</v>
      </c>
      <c r="AI339" s="323">
        <f t="shared" si="267"/>
        <v>2</v>
      </c>
      <c r="AJ339" s="323">
        <f t="shared" si="267"/>
        <v>2</v>
      </c>
      <c r="AK339" s="323">
        <f t="shared" si="267"/>
        <v>2</v>
      </c>
      <c r="AL339" s="323">
        <f t="shared" si="267"/>
        <v>2</v>
      </c>
      <c r="AM339" s="323">
        <f t="shared" si="267"/>
        <v>2</v>
      </c>
      <c r="AN339" s="323">
        <f t="shared" si="267"/>
        <v>2</v>
      </c>
      <c r="AO339" s="323">
        <f t="shared" si="267"/>
        <v>2</v>
      </c>
      <c r="AP339" s="323">
        <f t="shared" si="267"/>
        <v>2</v>
      </c>
      <c r="AQ339" s="323">
        <f t="shared" si="267"/>
        <v>2</v>
      </c>
      <c r="AR339" s="323">
        <f t="shared" si="267"/>
        <v>2</v>
      </c>
      <c r="AS339" s="323">
        <f t="shared" si="267"/>
        <v>2</v>
      </c>
      <c r="AT339" s="323">
        <f t="shared" si="267"/>
        <v>2</v>
      </c>
      <c r="AU339" s="323">
        <f t="shared" si="267"/>
        <v>2</v>
      </c>
      <c r="AV339" s="323">
        <f t="shared" si="267"/>
        <v>2</v>
      </c>
      <c r="AW339" s="323">
        <f t="shared" si="267"/>
        <v>2</v>
      </c>
      <c r="AX339" s="323">
        <f t="shared" si="267"/>
        <v>2</v>
      </c>
      <c r="AY339" s="323">
        <f t="shared" si="267"/>
        <v>2</v>
      </c>
      <c r="AZ339" s="323">
        <f t="shared" si="267"/>
        <v>2</v>
      </c>
      <c r="BA339" s="323">
        <f t="shared" si="267"/>
        <v>2</v>
      </c>
      <c r="BB339" s="323">
        <f t="shared" si="267"/>
        <v>2</v>
      </c>
      <c r="BC339" s="323">
        <f t="shared" si="267"/>
        <v>2</v>
      </c>
      <c r="BD339" s="323">
        <f t="shared" si="267"/>
        <v>2</v>
      </c>
      <c r="BE339" s="323">
        <f t="shared" si="267"/>
        <v>2</v>
      </c>
      <c r="BF339" s="323">
        <f t="shared" si="267"/>
        <v>2</v>
      </c>
      <c r="BG339" s="323">
        <f t="shared" si="267"/>
        <v>2</v>
      </c>
      <c r="BH339" s="323">
        <f t="shared" si="267"/>
        <v>2</v>
      </c>
      <c r="BI339" s="323">
        <f t="shared" si="267"/>
        <v>2</v>
      </c>
      <c r="BJ339" s="323">
        <f t="shared" si="267"/>
        <v>2</v>
      </c>
      <c r="BK339" s="323">
        <f t="shared" si="267"/>
        <v>2</v>
      </c>
      <c r="BL339" s="323">
        <f t="shared" si="267"/>
        <v>2</v>
      </c>
      <c r="BM339" s="323">
        <f t="shared" si="267"/>
        <v>2</v>
      </c>
      <c r="BN339" s="323">
        <f t="shared" si="267"/>
        <v>2</v>
      </c>
      <c r="BO339" s="323">
        <f t="shared" si="267"/>
        <v>2</v>
      </c>
      <c r="BP339" s="323">
        <f t="shared" si="267"/>
        <v>2</v>
      </c>
      <c r="BQ339" s="323">
        <f t="shared" si="267"/>
        <v>2</v>
      </c>
      <c r="BR339" s="323">
        <f t="shared" si="267"/>
        <v>2</v>
      </c>
      <c r="BS339" s="323">
        <f t="shared" si="267"/>
        <v>2</v>
      </c>
      <c r="BT339" s="323">
        <f t="shared" si="267"/>
        <v>2</v>
      </c>
      <c r="BU339" s="323">
        <f t="shared" si="267"/>
        <v>2</v>
      </c>
      <c r="BV339" s="323">
        <f t="shared" si="267"/>
        <v>2</v>
      </c>
      <c r="BW339" s="323">
        <f t="shared" si="267"/>
        <v>2</v>
      </c>
      <c r="BX339" s="323">
        <f t="shared" si="267"/>
        <v>2</v>
      </c>
      <c r="BY339" s="323">
        <f t="shared" si="267"/>
        <v>2</v>
      </c>
      <c r="BZ339" s="323">
        <f t="shared" si="267"/>
        <v>2</v>
      </c>
      <c r="CA339" s="323">
        <f t="shared" si="267"/>
        <v>2</v>
      </c>
      <c r="CB339" s="323">
        <f t="shared" si="267"/>
        <v>2</v>
      </c>
      <c r="CC339" s="323">
        <f t="shared" si="267"/>
        <v>2</v>
      </c>
      <c r="CD339" s="323">
        <f t="shared" si="267"/>
        <v>2</v>
      </c>
      <c r="CE339" s="323">
        <f t="shared" si="267"/>
        <v>2</v>
      </c>
      <c r="CF339" s="323">
        <f t="shared" si="267"/>
        <v>2</v>
      </c>
      <c r="CG339" s="323">
        <f t="shared" si="267"/>
        <v>2</v>
      </c>
      <c r="CH339" s="323">
        <f t="shared" si="267"/>
        <v>2</v>
      </c>
    </row>
    <row r="340" ht="15.75" customHeight="1">
      <c r="A340" s="431" t="s">
        <v>769</v>
      </c>
      <c r="S340" s="198">
        <v>84800.0</v>
      </c>
      <c r="T340" s="198">
        <f t="shared" ref="T340:CH340" si="268">S340</f>
        <v>84800</v>
      </c>
      <c r="U340" s="198">
        <f t="shared" si="268"/>
        <v>84800</v>
      </c>
      <c r="V340" s="198">
        <f t="shared" si="268"/>
        <v>84800</v>
      </c>
      <c r="W340" s="198">
        <f t="shared" si="268"/>
        <v>84800</v>
      </c>
      <c r="X340" s="198">
        <f t="shared" si="268"/>
        <v>84800</v>
      </c>
      <c r="Y340" s="198">
        <f t="shared" si="268"/>
        <v>84800</v>
      </c>
      <c r="Z340" s="198">
        <f t="shared" si="268"/>
        <v>84800</v>
      </c>
      <c r="AA340" s="198">
        <f t="shared" si="268"/>
        <v>84800</v>
      </c>
      <c r="AB340" s="198">
        <f t="shared" si="268"/>
        <v>84800</v>
      </c>
      <c r="AC340" s="198">
        <f t="shared" si="268"/>
        <v>84800</v>
      </c>
      <c r="AD340" s="198">
        <f t="shared" si="268"/>
        <v>84800</v>
      </c>
      <c r="AE340" s="198">
        <f t="shared" si="268"/>
        <v>84800</v>
      </c>
      <c r="AF340" s="198">
        <f t="shared" si="268"/>
        <v>84800</v>
      </c>
      <c r="AG340" s="198">
        <f t="shared" si="268"/>
        <v>84800</v>
      </c>
      <c r="AH340" s="198">
        <f t="shared" si="268"/>
        <v>84800</v>
      </c>
      <c r="AI340" s="198">
        <f t="shared" si="268"/>
        <v>84800</v>
      </c>
      <c r="AJ340" s="198">
        <f t="shared" si="268"/>
        <v>84800</v>
      </c>
      <c r="AK340" s="198">
        <f t="shared" si="268"/>
        <v>84800</v>
      </c>
      <c r="AL340" s="198">
        <f t="shared" si="268"/>
        <v>84800</v>
      </c>
      <c r="AM340" s="198">
        <f t="shared" si="268"/>
        <v>84800</v>
      </c>
      <c r="AN340" s="198">
        <f t="shared" si="268"/>
        <v>84800</v>
      </c>
      <c r="AO340" s="198">
        <f t="shared" si="268"/>
        <v>84800</v>
      </c>
      <c r="AP340" s="198">
        <f t="shared" si="268"/>
        <v>84800</v>
      </c>
      <c r="AQ340" s="198">
        <f t="shared" si="268"/>
        <v>84800</v>
      </c>
      <c r="AR340" s="198">
        <f t="shared" si="268"/>
        <v>84800</v>
      </c>
      <c r="AS340" s="198">
        <f t="shared" si="268"/>
        <v>84800</v>
      </c>
      <c r="AT340" s="198">
        <f t="shared" si="268"/>
        <v>84800</v>
      </c>
      <c r="AU340" s="198">
        <f t="shared" si="268"/>
        <v>84800</v>
      </c>
      <c r="AV340" s="198">
        <f t="shared" si="268"/>
        <v>84800</v>
      </c>
      <c r="AW340" s="198">
        <f t="shared" si="268"/>
        <v>84800</v>
      </c>
      <c r="AX340" s="198">
        <f t="shared" si="268"/>
        <v>84800</v>
      </c>
      <c r="AY340" s="198">
        <f t="shared" si="268"/>
        <v>84800</v>
      </c>
      <c r="AZ340" s="198">
        <f t="shared" si="268"/>
        <v>84800</v>
      </c>
      <c r="BA340" s="198">
        <f t="shared" si="268"/>
        <v>84800</v>
      </c>
      <c r="BB340" s="198">
        <f t="shared" si="268"/>
        <v>84800</v>
      </c>
      <c r="BC340" s="198">
        <f t="shared" si="268"/>
        <v>84800</v>
      </c>
      <c r="BD340" s="198">
        <f t="shared" si="268"/>
        <v>84800</v>
      </c>
      <c r="BE340" s="198">
        <f t="shared" si="268"/>
        <v>84800</v>
      </c>
      <c r="BF340" s="198">
        <f t="shared" si="268"/>
        <v>84800</v>
      </c>
      <c r="BG340" s="198">
        <f t="shared" si="268"/>
        <v>84800</v>
      </c>
      <c r="BH340" s="198">
        <f t="shared" si="268"/>
        <v>84800</v>
      </c>
      <c r="BI340" s="198">
        <f t="shared" si="268"/>
        <v>84800</v>
      </c>
      <c r="BJ340" s="198">
        <f t="shared" si="268"/>
        <v>84800</v>
      </c>
      <c r="BK340" s="198">
        <f t="shared" si="268"/>
        <v>84800</v>
      </c>
      <c r="BL340" s="198">
        <f t="shared" si="268"/>
        <v>84800</v>
      </c>
      <c r="BM340" s="198">
        <f t="shared" si="268"/>
        <v>84800</v>
      </c>
      <c r="BN340" s="198">
        <f t="shared" si="268"/>
        <v>84800</v>
      </c>
      <c r="BO340" s="198">
        <f t="shared" si="268"/>
        <v>84800</v>
      </c>
      <c r="BP340" s="198">
        <f t="shared" si="268"/>
        <v>84800</v>
      </c>
      <c r="BQ340" s="198">
        <f t="shared" si="268"/>
        <v>84800</v>
      </c>
      <c r="BR340" s="198">
        <f t="shared" si="268"/>
        <v>84800</v>
      </c>
      <c r="BS340" s="198">
        <f t="shared" si="268"/>
        <v>84800</v>
      </c>
      <c r="BT340" s="198">
        <f t="shared" si="268"/>
        <v>84800</v>
      </c>
      <c r="BU340" s="198">
        <f t="shared" si="268"/>
        <v>84800</v>
      </c>
      <c r="BV340" s="198">
        <f t="shared" si="268"/>
        <v>84800</v>
      </c>
      <c r="BW340" s="198">
        <f t="shared" si="268"/>
        <v>84800</v>
      </c>
      <c r="BX340" s="198">
        <f t="shared" si="268"/>
        <v>84800</v>
      </c>
      <c r="BY340" s="198">
        <f t="shared" si="268"/>
        <v>84800</v>
      </c>
      <c r="BZ340" s="198">
        <f t="shared" si="268"/>
        <v>84800</v>
      </c>
      <c r="CA340" s="198">
        <f t="shared" si="268"/>
        <v>84800</v>
      </c>
      <c r="CB340" s="198">
        <f t="shared" si="268"/>
        <v>84800</v>
      </c>
      <c r="CC340" s="198">
        <f t="shared" si="268"/>
        <v>84800</v>
      </c>
      <c r="CD340" s="198">
        <f t="shared" si="268"/>
        <v>84800</v>
      </c>
      <c r="CE340" s="198">
        <f t="shared" si="268"/>
        <v>84800</v>
      </c>
      <c r="CF340" s="198">
        <f t="shared" si="268"/>
        <v>84800</v>
      </c>
      <c r="CG340" s="198">
        <f t="shared" si="268"/>
        <v>84800</v>
      </c>
      <c r="CH340" s="198">
        <f t="shared" si="268"/>
        <v>84800</v>
      </c>
    </row>
    <row r="341" ht="15.75" customHeight="1">
      <c r="A341" s="1" t="s">
        <v>781</v>
      </c>
      <c r="S341" s="431"/>
      <c r="T341" s="431"/>
      <c r="U341" s="431"/>
      <c r="V341" s="198">
        <f>'Portfolio Sales'!L$48*Capacity!$B$367+'Portfolio Sales'!L$49*Capacity!$B$369+'Portfolio Sales'!L$50*Capacity!$B$370</f>
        <v>923066.5</v>
      </c>
      <c r="W341" s="198">
        <f>'Portfolio Sales'!M$48*Capacity!$B$367+'Portfolio Sales'!M$49*Capacity!$B$369+'Portfolio Sales'!M$50*Capacity!$B$370</f>
        <v>442499.9</v>
      </c>
      <c r="X341" s="198">
        <f>'Portfolio Sales'!N$48*Capacity!$B$367+'Portfolio Sales'!N$49*Capacity!$B$369+'Portfolio Sales'!N$50*Capacity!$B$370</f>
        <v>438712.8</v>
      </c>
      <c r="Y341" s="198">
        <f>'Portfolio Sales'!O$48*Capacity!$B$367+'Portfolio Sales'!O$49*Capacity!$B$369+'Portfolio Sales'!O$50*Capacity!$B$370</f>
        <v>553807.2631</v>
      </c>
      <c r="Z341" s="198">
        <f>'Portfolio Sales'!P$48*Capacity!$B$367+'Portfolio Sales'!P$49*Capacity!$B$369+'Portfolio Sales'!P$50*Capacity!$B$370</f>
        <v>418677.4772</v>
      </c>
      <c r="AA341" s="198">
        <f>'Portfolio Sales'!Q$48*Capacity!$B$367+'Portfolio Sales'!Q$49*Capacity!$B$369+'Portfolio Sales'!Q$50*Capacity!$B$370</f>
        <v>452587.9176</v>
      </c>
      <c r="AB341" s="198">
        <f>'Portfolio Sales'!R$48*Capacity!$B$367+'Portfolio Sales'!R$49*Capacity!$B$369+'Portfolio Sales'!R$50*Capacity!$B$370</f>
        <v>548766.9207</v>
      </c>
      <c r="AC341" s="198">
        <f>'Portfolio Sales'!S$48*Capacity!$B$367+'Portfolio Sales'!S$49*Capacity!$B$369+'Portfolio Sales'!S$50*Capacity!$B$370</f>
        <v>680698.5461</v>
      </c>
      <c r="AD341" s="198">
        <f>'Portfolio Sales'!T$48*Capacity!$B$367+'Portfolio Sales'!T$49*Capacity!$B$369+'Portfolio Sales'!T$50*Capacity!$B$370</f>
        <v>783129.0583</v>
      </c>
      <c r="AE341" s="198">
        <f>'Portfolio Sales'!U$48*Capacity!$B$367+'Portfolio Sales'!U$49*Capacity!$B$369+'Portfolio Sales'!U$50*Capacity!$B$370</f>
        <v>816800.1867</v>
      </c>
      <c r="AF341" s="198">
        <f>'Portfolio Sales'!V$48*Capacity!$B$367+'Portfolio Sales'!V$49*Capacity!$B$369+'Portfolio Sales'!V$50*Capacity!$B$370</f>
        <v>832422.2733</v>
      </c>
      <c r="AG341" s="198">
        <f>'Portfolio Sales'!W$48*Capacity!$B$367+'Portfolio Sales'!W$49*Capacity!$B$369+'Portfolio Sales'!W$50*Capacity!$B$370</f>
        <v>848347.1984</v>
      </c>
      <c r="AH341" s="198">
        <f>'Portfolio Sales'!X$48*Capacity!$B$367+'Portfolio Sales'!X$49*Capacity!$B$369+'Portfolio Sales'!X$50*Capacity!$B$370</f>
        <v>864580.8993</v>
      </c>
      <c r="AI341" s="198">
        <f>'Portfolio Sales'!Y$48*Capacity!$B$367+'Portfolio Sales'!Y$49*Capacity!$B$369+'Portfolio Sales'!Y$50*Capacity!$B$370</f>
        <v>918281.0537</v>
      </c>
      <c r="AJ341" s="198">
        <f>'Portfolio Sales'!Z$48*Capacity!$B$367+'Portfolio Sales'!Z$49*Capacity!$B$369+'Portfolio Sales'!Z$50*Capacity!$B$370</f>
        <v>947900.0158</v>
      </c>
      <c r="AK341" s="198">
        <f>'Portfolio Sales'!AA$48*Capacity!$B$367+'Portfolio Sales'!AA$49*Capacity!$B$369+'Portfolio Sales'!AA$50*Capacity!$B$370</f>
        <v>974275.555</v>
      </c>
      <c r="AL341" s="198">
        <f>'Portfolio Sales'!AB$48*Capacity!$B$367+'Portfolio Sales'!AB$49*Capacity!$B$369+'Portfolio Sales'!AB$50*Capacity!$B$370</f>
        <v>1003894.131</v>
      </c>
      <c r="AM341" s="198">
        <f>'Portfolio Sales'!AC$48*Capacity!$B$367+'Portfolio Sales'!AC$49*Capacity!$B$369+'Portfolio Sales'!AC$50*Capacity!$B$370</f>
        <v>673255.2964</v>
      </c>
      <c r="AN341" s="198">
        <f>'Portfolio Sales'!AD$48*Capacity!$B$367+'Portfolio Sales'!AD$49*Capacity!$B$369+'Portfolio Sales'!AD$50*Capacity!$B$370</f>
        <v>817305.9931</v>
      </c>
      <c r="AO341" s="198">
        <f>'Portfolio Sales'!AE$48*Capacity!$B$367+'Portfolio Sales'!AE$49*Capacity!$B$369+'Portfolio Sales'!AE$50*Capacity!$B$370</f>
        <v>827028.1932</v>
      </c>
      <c r="AP341" s="198">
        <f>'Portfolio Sales'!AF$48*Capacity!$B$367+'Portfolio Sales'!AF$49*Capacity!$B$369+'Portfolio Sales'!AF$50*Capacity!$B$370</f>
        <v>836870.9545</v>
      </c>
      <c r="AQ341" s="198">
        <f>'Portfolio Sales'!AG$48*Capacity!$B$367+'Portfolio Sales'!AG$49*Capacity!$B$369+'Portfolio Sales'!AG$50*Capacity!$B$370</f>
        <v>846835.7974</v>
      </c>
      <c r="AR341" s="198">
        <f>'Portfolio Sales'!AH$48*Capacity!$B$367+'Portfolio Sales'!AH$49*Capacity!$B$369+'Portfolio Sales'!AH$50*Capacity!$B$370</f>
        <v>856924.2619</v>
      </c>
      <c r="AS341" s="198">
        <f>'Portfolio Sales'!AI$48*Capacity!$B$367+'Portfolio Sales'!AI$49*Capacity!$B$369+'Portfolio Sales'!AI$50*Capacity!$B$370</f>
        <v>867137.9076</v>
      </c>
      <c r="AT341" s="198">
        <f>'Portfolio Sales'!AJ$48*Capacity!$B$367+'Portfolio Sales'!AJ$49*Capacity!$B$369+'Portfolio Sales'!AJ$50*Capacity!$B$370</f>
        <v>877478.3139</v>
      </c>
      <c r="AU341" s="198">
        <f>'Portfolio Sales'!AK$48*Capacity!$B$367+'Portfolio Sales'!AK$49*Capacity!$B$369+'Portfolio Sales'!AK$50*Capacity!$B$370</f>
        <v>887947.0806</v>
      </c>
      <c r="AV341" s="198">
        <f>'Portfolio Sales'!AL$48*Capacity!$B$367+'Portfolio Sales'!AL$49*Capacity!$B$369+'Portfolio Sales'!AL$50*Capacity!$B$370</f>
        <v>898545.8277</v>
      </c>
      <c r="AW341" s="198">
        <f>'Portfolio Sales'!AM$48*Capacity!$B$367+'Portfolio Sales'!AM$49*Capacity!$B$369+'Portfolio Sales'!AM$50*Capacity!$B$370</f>
        <v>909276.196</v>
      </c>
      <c r="AX341" s="198">
        <f>'Portfolio Sales'!AN$48*Capacity!$B$367+'Portfolio Sales'!AN$49*Capacity!$B$369+'Portfolio Sales'!AN$50*Capacity!$B$370</f>
        <v>920139.847</v>
      </c>
      <c r="AY341" s="198">
        <f>'Portfolio Sales'!AO$48*Capacity!$B$367+'Portfolio Sales'!AO$49*Capacity!$B$369+'Portfolio Sales'!AO$50*Capacity!$B$370</f>
        <v>931188.2069</v>
      </c>
      <c r="AZ341" s="198">
        <f>'Portfolio Sales'!AP$48*Capacity!$B$367+'Portfolio Sales'!AP$49*Capacity!$B$369+'Portfolio Sales'!AP$50*Capacity!$B$370</f>
        <v>941981.7387</v>
      </c>
      <c r="BA341" s="198">
        <f>'Portfolio Sales'!AQ$48*Capacity!$B$367+'Portfolio Sales'!AQ$49*Capacity!$B$369+'Portfolio Sales'!AQ$50*Capacity!$B$370</f>
        <v>952903.4098</v>
      </c>
      <c r="BB341" s="198">
        <f>'Portfolio Sales'!AR$48*Capacity!$B$367+'Portfolio Sales'!AR$49*Capacity!$B$369+'Portfolio Sales'!AR$50*Capacity!$B$370</f>
        <v>963954.7541</v>
      </c>
      <c r="BC341" s="198">
        <f>'Portfolio Sales'!AS$48*Capacity!$B$367+'Portfolio Sales'!AS$49*Capacity!$B$369+'Portfolio Sales'!AS$50*Capacity!$B$370</f>
        <v>975137.3239</v>
      </c>
      <c r="BD341" s="198">
        <f>'Portfolio Sales'!AT$48*Capacity!$B$367+'Portfolio Sales'!AT$49*Capacity!$B$369+'Portfolio Sales'!AT$50*Capacity!$B$370</f>
        <v>986452.69</v>
      </c>
      <c r="BE341" s="198">
        <f>'Portfolio Sales'!AU$48*Capacity!$B$367+'Portfolio Sales'!AU$49*Capacity!$B$369+'Portfolio Sales'!AU$50*Capacity!$B$370</f>
        <v>997902.4421</v>
      </c>
      <c r="BF341" s="198">
        <f>'Portfolio Sales'!AV$48*Capacity!$B$367+'Portfolio Sales'!AV$49*Capacity!$B$369+'Portfolio Sales'!AV$50*Capacity!$B$370</f>
        <v>1009488.189</v>
      </c>
      <c r="BG341" s="198">
        <f>'Portfolio Sales'!AW$48*Capacity!$B$367+'Portfolio Sales'!AW$49*Capacity!$B$369+'Portfolio Sales'!AW$50*Capacity!$B$370</f>
        <v>1021211.559</v>
      </c>
      <c r="BH341" s="198">
        <f>'Portfolio Sales'!AX$48*Capacity!$B$367+'Portfolio Sales'!AX$49*Capacity!$B$369+'Portfolio Sales'!AX$50*Capacity!$B$370</f>
        <v>1033074.2</v>
      </c>
      <c r="BI341" s="198">
        <f>'Portfolio Sales'!AY$48*Capacity!$B$367+'Portfolio Sales'!AY$49*Capacity!$B$369+'Portfolio Sales'!AY$50*Capacity!$B$370</f>
        <v>1045077.778</v>
      </c>
      <c r="BJ341" s="198">
        <f>'Portfolio Sales'!AZ$48*Capacity!$B$367+'Portfolio Sales'!AZ$49*Capacity!$B$369+'Portfolio Sales'!AZ$50*Capacity!$B$370</f>
        <v>1057223.983</v>
      </c>
      <c r="BK341" s="198">
        <f>'Portfolio Sales'!BA$48*Capacity!$B$367+'Portfolio Sales'!BA$49*Capacity!$B$369+'Portfolio Sales'!BA$50*Capacity!$B$370</f>
        <v>1078975.505</v>
      </c>
      <c r="BL341" s="198">
        <f>'Portfolio Sales'!BB$48*Capacity!$B$367+'Portfolio Sales'!BB$49*Capacity!$B$369+'Portfolio Sales'!BB$50*Capacity!$B$370</f>
        <v>1094941.007</v>
      </c>
      <c r="BM341" s="198">
        <f>'Portfolio Sales'!BC$48*Capacity!$B$367+'Portfolio Sales'!BC$49*Capacity!$B$369+'Portfolio Sales'!BC$50*Capacity!$B$370</f>
        <v>1020711.572</v>
      </c>
      <c r="BN341" s="198">
        <f>'Portfolio Sales'!BD$48*Capacity!$B$367+'Portfolio Sales'!BD$49*Capacity!$B$369+'Portfolio Sales'!BD$50*Capacity!$B$370</f>
        <v>1036197.01</v>
      </c>
      <c r="BO341" s="198">
        <f>'Portfolio Sales'!BE$48*Capacity!$B$367+'Portfolio Sales'!BE$49*Capacity!$B$369+'Portfolio Sales'!BE$50*Capacity!$B$370</f>
        <v>1051984.194</v>
      </c>
      <c r="BP341" s="198">
        <f>'Portfolio Sales'!BF$48*Capacity!$B$367+'Portfolio Sales'!BF$49*Capacity!$B$369+'Portfolio Sales'!BF$50*Capacity!$B$370</f>
        <v>1068080.558</v>
      </c>
      <c r="BQ341" s="198">
        <f>'Portfolio Sales'!BG$48*Capacity!$B$367+'Portfolio Sales'!BG$49*Capacity!$B$369+'Portfolio Sales'!BG$50*Capacity!$B$370</f>
        <v>1084493.753</v>
      </c>
      <c r="BR341" s="198">
        <f>'Portfolio Sales'!BH$48*Capacity!$B$367+'Portfolio Sales'!BH$49*Capacity!$B$369+'Portfolio Sales'!BH$50*Capacity!$B$370</f>
        <v>1101231.649</v>
      </c>
      <c r="BS341" s="198">
        <f>'Portfolio Sales'!BI$48*Capacity!$B$367+'Portfolio Sales'!BI$49*Capacity!$B$369+'Portfolio Sales'!BI$50*Capacity!$B$370</f>
        <v>1118302.344</v>
      </c>
      <c r="BT341" s="198">
        <f>'Portfolio Sales'!BJ$48*Capacity!$B$367+'Portfolio Sales'!BJ$49*Capacity!$B$369+'Portfolio Sales'!BJ$50*Capacity!$B$370</f>
        <v>1135714.169</v>
      </c>
      <c r="BU341" s="198">
        <f>'Portfolio Sales'!BK$48*Capacity!$B$367+'Portfolio Sales'!BK$49*Capacity!$B$369+'Portfolio Sales'!BK$50*Capacity!$B$370</f>
        <v>1153475.697</v>
      </c>
      <c r="BV341" s="198">
        <f>'Portfolio Sales'!BL$48*Capacity!$B$367+'Portfolio Sales'!BL$49*Capacity!$B$369+'Portfolio Sales'!BL$50*Capacity!$B$370</f>
        <v>1171595.75</v>
      </c>
      <c r="BW341" s="198">
        <f>'Portfolio Sales'!BM$48*Capacity!$B$367+'Portfolio Sales'!BM$49*Capacity!$B$369+'Portfolio Sales'!BM$50*Capacity!$B$370</f>
        <v>1214221.632</v>
      </c>
      <c r="BX341" s="198">
        <f>'Portfolio Sales'!BN$48*Capacity!$B$367+'Portfolio Sales'!BN$49*Capacity!$B$369+'Portfolio Sales'!BN$50*Capacity!$B$370</f>
        <v>1218257.62</v>
      </c>
      <c r="BY341" s="198">
        <f>'Portfolio Sales'!BO$48*Capacity!$B$367+'Portfolio Sales'!BO$49*Capacity!$B$369+'Portfolio Sales'!BO$50*Capacity!$B$370</f>
        <v>1128790.621</v>
      </c>
      <c r="BZ341" s="198">
        <f>'Portfolio Sales'!BP$48*Capacity!$B$367+'Portfolio Sales'!BP$49*Capacity!$B$369+'Portfolio Sales'!BP$50*Capacity!$B$370</f>
        <v>1132318.591</v>
      </c>
      <c r="CA341" s="198">
        <f>'Portfolio Sales'!BQ$48*Capacity!$B$367+'Portfolio Sales'!BQ$49*Capacity!$B$369+'Portfolio Sales'!BQ$50*Capacity!$B$370</f>
        <v>1136138.222</v>
      </c>
      <c r="CB341" s="198">
        <f>'Portfolio Sales'!BR$48*Capacity!$B$367+'Portfolio Sales'!BR$49*Capacity!$B$369+'Portfolio Sales'!BR$50*Capacity!$B$370</f>
        <v>1140246.47</v>
      </c>
      <c r="CC341" s="198">
        <f>'Portfolio Sales'!BS$48*Capacity!$B$367+'Portfolio Sales'!BS$49*Capacity!$B$369+'Portfolio Sales'!BS$50*Capacity!$B$370</f>
        <v>1144640.425</v>
      </c>
      <c r="CD341" s="198">
        <f>'Portfolio Sales'!BT$48*Capacity!$B$367+'Portfolio Sales'!BT$49*Capacity!$B$369+'Portfolio Sales'!BT$50*Capacity!$B$370</f>
        <v>1149317.308</v>
      </c>
      <c r="CE341" s="198">
        <f>'Portfolio Sales'!BU$48*Capacity!$B$367+'Portfolio Sales'!BU$49*Capacity!$B$369+'Portfolio Sales'!BU$50*Capacity!$B$370</f>
        <v>1154274.473</v>
      </c>
      <c r="CF341" s="198">
        <f>'Portfolio Sales'!BV$48*Capacity!$B$367+'Portfolio Sales'!BV$49*Capacity!$B$369+'Portfolio Sales'!BV$50*Capacity!$B$370</f>
        <v>1159509.394</v>
      </c>
      <c r="CG341" s="198">
        <f>'Portfolio Sales'!BW$48*Capacity!$B$367+'Portfolio Sales'!BW$49*Capacity!$B$369+'Portfolio Sales'!BW$50*Capacity!$B$370</f>
        <v>1165019.672</v>
      </c>
      <c r="CH341" s="198">
        <f>'Portfolio Sales'!BX$48*Capacity!$B$367+'Portfolio Sales'!BX$49*Capacity!$B$369+'Portfolio Sales'!BX$50*Capacity!$B$370</f>
        <v>1170803.03</v>
      </c>
    </row>
    <row r="342" ht="15.75" customHeight="1">
      <c r="A342" s="1" t="s">
        <v>782</v>
      </c>
      <c r="S342" s="431"/>
      <c r="T342" s="431"/>
      <c r="U342" s="457">
        <f>'Portfolio Sales'!B7</f>
        <v>81</v>
      </c>
      <c r="V342" s="457">
        <f>U342+'Portfolio Sales'!L30*Capacity!$B$369+'Portfolio Sales'!L34*Capacity!$B$370</f>
        <v>82.9</v>
      </c>
      <c r="W342" s="457">
        <f>V342+'Portfolio Sales'!M30*Capacity!$B$369+'Portfolio Sales'!M34*Capacity!$B$370</f>
        <v>84.8</v>
      </c>
      <c r="X342" s="457">
        <f>W342+'Portfolio Sales'!N30*Capacity!$B$369+'Portfolio Sales'!N34*Capacity!$B$370</f>
        <v>86.7</v>
      </c>
      <c r="Y342" s="457">
        <f>X342+'Portfolio Sales'!O30*Capacity!$B$369+'Portfolio Sales'!O34*Capacity!$B$370</f>
        <v>88.28468327</v>
      </c>
      <c r="Z342" s="457">
        <f>Y342+'Portfolio Sales'!P30*Capacity!$B$369+'Portfolio Sales'!P34*Capacity!$B$370</f>
        <v>90.20750334</v>
      </c>
      <c r="AA342" s="457">
        <f>Z342+'Portfolio Sales'!Q30*Capacity!$B$369+'Portfolio Sales'!Q34*Capacity!$B$370</f>
        <v>92.1711375</v>
      </c>
      <c r="AB342" s="457">
        <f>AA342+'Portfolio Sales'!R30*Capacity!$B$369+'Portfolio Sales'!R34*Capacity!$B$370</f>
        <v>93.99909548</v>
      </c>
      <c r="AC342" s="457">
        <f>AB342+'Portfolio Sales'!S30*Capacity!$B$369+'Portfolio Sales'!S34*Capacity!$B$370</f>
        <v>95.83913084</v>
      </c>
      <c r="AD342" s="457">
        <f>AC342+'Portfolio Sales'!T30*Capacity!$B$369+'Portfolio Sales'!T34*Capacity!$B$370</f>
        <v>97.69136274</v>
      </c>
      <c r="AE342" s="457">
        <f>AD342+'Portfolio Sales'!U30*Capacity!$B$369+'Portfolio Sales'!U34*Capacity!$B$370</f>
        <v>99.55591207</v>
      </c>
      <c r="AF342" s="457">
        <f>AE342+'Portfolio Sales'!V30*Capacity!$B$369+'Portfolio Sales'!V34*Capacity!$B$370</f>
        <v>101.4329016</v>
      </c>
      <c r="AG342" s="457">
        <f>AF342+'Portfolio Sales'!W30*Capacity!$B$369+'Portfolio Sales'!W34*Capacity!$B$370</f>
        <v>103.3224557</v>
      </c>
      <c r="AH342" s="457">
        <f>AG342+'Portfolio Sales'!X30*Capacity!$B$369+'Portfolio Sales'!X34*Capacity!$B$370</f>
        <v>105.224701</v>
      </c>
      <c r="AI342" s="457">
        <f>AH342+'Portfolio Sales'!Y30*Capacity!$B$369+'Portfolio Sales'!Y34*Capacity!$B$370</f>
        <v>107.1375603</v>
      </c>
      <c r="AJ342" s="457">
        <f>AI342+'Portfolio Sales'!Z30*Capacity!$B$369+'Portfolio Sales'!Z34*Capacity!$B$370</f>
        <v>109.0610976</v>
      </c>
      <c r="AK342" s="457">
        <f>AJ342+'Portfolio Sales'!AA30*Capacity!$B$369+'Portfolio Sales'!AA34*Capacity!$B$370</f>
        <v>110.9953776</v>
      </c>
      <c r="AL342" s="457">
        <f>AK342+'Portfolio Sales'!AB30*Capacity!$B$369+'Portfolio Sales'!AB34*Capacity!$B$370</f>
        <v>112.9575355</v>
      </c>
      <c r="AM342" s="457">
        <f>AL342+'Portfolio Sales'!AC30*Capacity!$B$369+'Portfolio Sales'!AC34*Capacity!$B$370</f>
        <v>113.9791204</v>
      </c>
      <c r="AN342" s="457">
        <f>AM342+'Portfolio Sales'!AD30*Capacity!$B$369+'Portfolio Sales'!AD34*Capacity!$B$370</f>
        <v>115.0052381</v>
      </c>
      <c r="AO342" s="457">
        <f>AN342+'Portfolio Sales'!AE30*Capacity!$B$369+'Portfolio Sales'!AE34*Capacity!$B$370</f>
        <v>116.0359097</v>
      </c>
      <c r="AP342" s="457">
        <f>AO342+'Portfolio Sales'!AF30*Capacity!$B$369+'Portfolio Sales'!AF34*Capacity!$B$370</f>
        <v>117.0711566</v>
      </c>
      <c r="AQ342" s="457">
        <f>AP342+'Portfolio Sales'!AG30*Capacity!$B$369+'Portfolio Sales'!AG34*Capacity!$B$370</f>
        <v>118.1110002</v>
      </c>
      <c r="AR342" s="457">
        <f>AQ342+'Portfolio Sales'!AH30*Capacity!$B$369+'Portfolio Sales'!AH34*Capacity!$B$370</f>
        <v>119.1554621</v>
      </c>
      <c r="AS342" s="457">
        <f>AR342+'Portfolio Sales'!AI30*Capacity!$B$369+'Portfolio Sales'!AI34*Capacity!$B$370</f>
        <v>120.2045639</v>
      </c>
      <c r="AT342" s="457">
        <f>AS342+'Portfolio Sales'!AJ30*Capacity!$B$369+'Portfolio Sales'!AJ34*Capacity!$B$370</f>
        <v>121.2583273</v>
      </c>
      <c r="AU342" s="457">
        <f>AT342+'Portfolio Sales'!AK30*Capacity!$B$369+'Portfolio Sales'!AK34*Capacity!$B$370</f>
        <v>122.3167741</v>
      </c>
      <c r="AV342" s="457">
        <f>AU342+'Portfolio Sales'!AL30*Capacity!$B$369+'Portfolio Sales'!AL34*Capacity!$B$370</f>
        <v>123.3799265</v>
      </c>
      <c r="AW342" s="457">
        <f>AV342+'Portfolio Sales'!AM30*Capacity!$B$369+'Portfolio Sales'!AM34*Capacity!$B$370</f>
        <v>124.4478063</v>
      </c>
      <c r="AX342" s="457">
        <f>AW342+'Portfolio Sales'!AN30*Capacity!$B$369+'Portfolio Sales'!AN34*Capacity!$B$370</f>
        <v>125.5204358</v>
      </c>
      <c r="AY342" s="457">
        <f>AX342+'Portfolio Sales'!AO30*Capacity!$B$369+'Portfolio Sales'!AO34*Capacity!$B$370</f>
        <v>126.5978372</v>
      </c>
      <c r="AZ342" s="457">
        <f>AY342+'Portfolio Sales'!AP30*Capacity!$B$369+'Portfolio Sales'!AP34*Capacity!$B$370</f>
        <v>127.677512</v>
      </c>
      <c r="BA342" s="457">
        <f>AZ342+'Portfolio Sales'!AQ30*Capacity!$B$369+'Portfolio Sales'!AQ34*Capacity!$B$370</f>
        <v>128.7594649</v>
      </c>
      <c r="BB342" s="457">
        <f>BA342+'Portfolio Sales'!AR30*Capacity!$B$369+'Portfolio Sales'!AR34*Capacity!$B$370</f>
        <v>129.8437009</v>
      </c>
      <c r="BC342" s="457">
        <f>BB342+'Portfolio Sales'!AS30*Capacity!$B$369+'Portfolio Sales'!AS34*Capacity!$B$370</f>
        <v>130.9302248</v>
      </c>
      <c r="BD342" s="457">
        <f>BC342+'Portfolio Sales'!AT30*Capacity!$B$369+'Portfolio Sales'!AT34*Capacity!$B$370</f>
        <v>132.0190414</v>
      </c>
      <c r="BE342" s="457">
        <f>BD342+'Portfolio Sales'!AU30*Capacity!$B$369+'Portfolio Sales'!AU34*Capacity!$B$370</f>
        <v>133.1101558</v>
      </c>
      <c r="BF342" s="457">
        <f>BE342+'Portfolio Sales'!AV30*Capacity!$B$369+'Portfolio Sales'!AV34*Capacity!$B$370</f>
        <v>134.2035726</v>
      </c>
      <c r="BG342" s="457">
        <f>BF342+'Portfolio Sales'!AW30*Capacity!$B$369+'Portfolio Sales'!AW34*Capacity!$B$370</f>
        <v>135.299297</v>
      </c>
      <c r="BH342" s="457">
        <f>BG342+'Portfolio Sales'!AX30*Capacity!$B$369+'Portfolio Sales'!AX34*Capacity!$B$370</f>
        <v>136.3973337</v>
      </c>
      <c r="BI342" s="457">
        <f>BH342+'Portfolio Sales'!AY30*Capacity!$B$369+'Portfolio Sales'!AY34*Capacity!$B$370</f>
        <v>137.4976877</v>
      </c>
      <c r="BJ342" s="457">
        <f>BI342+'Portfolio Sales'!AZ30*Capacity!$B$369+'Portfolio Sales'!AZ34*Capacity!$B$370</f>
        <v>138.600364</v>
      </c>
      <c r="BK342" s="457">
        <f>BJ342+'Portfolio Sales'!BA30*Capacity!$B$369+'Portfolio Sales'!BA34*Capacity!$B$370</f>
        <v>139.7473926</v>
      </c>
      <c r="BL342" s="457">
        <f>BK342+'Portfolio Sales'!BB30*Capacity!$B$369+'Portfolio Sales'!BB34*Capacity!$B$370</f>
        <v>140.8972888</v>
      </c>
      <c r="BM342" s="457">
        <f>BL342+'Portfolio Sales'!BC30*Capacity!$B$369+'Portfolio Sales'!BC34*Capacity!$B$370</f>
        <v>142.0500598</v>
      </c>
      <c r="BN342" s="457">
        <f>BM342+'Portfolio Sales'!BD30*Capacity!$B$369+'Portfolio Sales'!BD34*Capacity!$B$370</f>
        <v>143.2057127</v>
      </c>
      <c r="BO342" s="457">
        <f>BN342+'Portfolio Sales'!BE30*Capacity!$B$369+'Portfolio Sales'!BE34*Capacity!$B$370</f>
        <v>144.3642547</v>
      </c>
      <c r="BP342" s="457">
        <f>BO342+'Portfolio Sales'!BF30*Capacity!$B$369+'Portfolio Sales'!BF34*Capacity!$B$370</f>
        <v>145.5256931</v>
      </c>
      <c r="BQ342" s="457">
        <f>BP342+'Portfolio Sales'!BG30*Capacity!$B$369+'Portfolio Sales'!BG34*Capacity!$B$370</f>
        <v>146.6900351</v>
      </c>
      <c r="BR342" s="457">
        <f>BQ342+'Portfolio Sales'!BH30*Capacity!$B$369+'Portfolio Sales'!BH34*Capacity!$B$370</f>
        <v>147.8572879</v>
      </c>
      <c r="BS342" s="457">
        <f>BR342+'Portfolio Sales'!BI30*Capacity!$B$369+'Portfolio Sales'!BI34*Capacity!$B$370</f>
        <v>149.0274588</v>
      </c>
      <c r="BT342" s="457">
        <f>BS342+'Portfolio Sales'!BJ30*Capacity!$B$369+'Portfolio Sales'!BJ34*Capacity!$B$370</f>
        <v>150.2005552</v>
      </c>
      <c r="BU342" s="457">
        <f>BT342+'Portfolio Sales'!BK30*Capacity!$B$369+'Portfolio Sales'!BK34*Capacity!$B$370</f>
        <v>151.3765844</v>
      </c>
      <c r="BV342" s="457">
        <f>BU342+'Portfolio Sales'!BL30*Capacity!$B$369+'Portfolio Sales'!BL34*Capacity!$B$370</f>
        <v>152.5555536</v>
      </c>
      <c r="BW342" s="457">
        <f>BV342+'Portfolio Sales'!BM30*Capacity!$B$369+'Portfolio Sales'!BM34*Capacity!$B$370</f>
        <v>153.8606375</v>
      </c>
      <c r="BX342" s="457">
        <f>BW342+'Portfolio Sales'!BN30*Capacity!$B$369+'Portfolio Sales'!BN34*Capacity!$B$370</f>
        <v>155.1339133</v>
      </c>
      <c r="BY342" s="457">
        <f>BX342+'Portfolio Sales'!BO30*Capacity!$B$369+'Portfolio Sales'!BO34*Capacity!$B$370</f>
        <v>156.3763535</v>
      </c>
      <c r="BZ342" s="457">
        <f>BY342+'Portfolio Sales'!BP30*Capacity!$B$369+'Portfolio Sales'!BP34*Capacity!$B$370</f>
        <v>157.5889016</v>
      </c>
      <c r="CA342" s="457">
        <f>BZ342+'Portfolio Sales'!BQ30*Capacity!$B$369+'Portfolio Sales'!BQ34*Capacity!$B$370</f>
        <v>158.7724727</v>
      </c>
      <c r="CB342" s="457">
        <f>CA342+'Portfolio Sales'!BR30*Capacity!$B$369+'Portfolio Sales'!BR34*Capacity!$B$370</f>
        <v>159.9279548</v>
      </c>
      <c r="CC342" s="457">
        <f>CB342+'Portfolio Sales'!BS30*Capacity!$B$369+'Portfolio Sales'!BS34*Capacity!$B$370</f>
        <v>161.056209</v>
      </c>
      <c r="CD342" s="457">
        <f>CC342+'Portfolio Sales'!BT30*Capacity!$B$369+'Portfolio Sales'!BT34*Capacity!$B$370</f>
        <v>162.1580707</v>
      </c>
      <c r="CE342" s="457">
        <f>CD342+'Portfolio Sales'!BU30*Capacity!$B$369+'Portfolio Sales'!BU34*Capacity!$B$370</f>
        <v>163.2343504</v>
      </c>
      <c r="CF342" s="457">
        <f>CE342+'Portfolio Sales'!BV30*Capacity!$B$369+'Portfolio Sales'!BV34*Capacity!$B$370</f>
        <v>164.2858342</v>
      </c>
      <c r="CG342" s="457">
        <f>CF342+'Portfolio Sales'!BW30*Capacity!$B$369+'Portfolio Sales'!BW34*Capacity!$B$370</f>
        <v>165.3132847</v>
      </c>
      <c r="CH342" s="457">
        <f>CG342+'Portfolio Sales'!BX30*Capacity!$B$369+'Portfolio Sales'!BX34*Capacity!$B$370</f>
        <v>166.3174417</v>
      </c>
    </row>
    <row r="343" ht="15.75" customHeight="1">
      <c r="A343" s="1" t="s">
        <v>783</v>
      </c>
      <c r="S343" s="323">
        <f t="shared" ref="S343:U343" si="269">IF(S350&gt;2.5,1,0)</f>
        <v>0</v>
      </c>
      <c r="T343" s="323">
        <f t="shared" si="269"/>
        <v>0</v>
      </c>
      <c r="U343" s="323">
        <f t="shared" si="269"/>
        <v>0</v>
      </c>
      <c r="V343" s="323">
        <v>0.0</v>
      </c>
      <c r="W343" s="323">
        <f>IF(W350&gt;2.5,1,0)</f>
        <v>0</v>
      </c>
      <c r="X343" s="506">
        <v>1.0</v>
      </c>
      <c r="Y343" s="506">
        <v>1.0</v>
      </c>
      <c r="Z343" s="323">
        <f t="shared" ref="Z343:AL343" si="270">IF(Z350&gt;2.5,1,0)</f>
        <v>0</v>
      </c>
      <c r="AA343" s="323">
        <f t="shared" si="270"/>
        <v>0</v>
      </c>
      <c r="AB343" s="323">
        <f t="shared" si="270"/>
        <v>0</v>
      </c>
      <c r="AC343" s="323">
        <f t="shared" si="270"/>
        <v>0</v>
      </c>
      <c r="AD343" s="323">
        <f t="shared" si="270"/>
        <v>0</v>
      </c>
      <c r="AE343" s="323">
        <f t="shared" si="270"/>
        <v>0</v>
      </c>
      <c r="AF343" s="323">
        <f t="shared" si="270"/>
        <v>0</v>
      </c>
      <c r="AG343" s="323">
        <f t="shared" si="270"/>
        <v>0</v>
      </c>
      <c r="AH343" s="323">
        <f t="shared" si="270"/>
        <v>0</v>
      </c>
      <c r="AI343" s="323">
        <f t="shared" si="270"/>
        <v>0</v>
      </c>
      <c r="AJ343" s="323">
        <f t="shared" si="270"/>
        <v>0</v>
      </c>
      <c r="AK343" s="323">
        <f t="shared" si="270"/>
        <v>0</v>
      </c>
      <c r="AL343" s="323">
        <f t="shared" si="270"/>
        <v>0</v>
      </c>
      <c r="AM343" s="323">
        <f t="shared" ref="AM343:AX343" si="271">IF(AM350&gt;3,1,0)</f>
        <v>0</v>
      </c>
      <c r="AN343" s="323">
        <f t="shared" si="271"/>
        <v>0</v>
      </c>
      <c r="AO343" s="323">
        <f t="shared" si="271"/>
        <v>0</v>
      </c>
      <c r="AP343" s="323">
        <f t="shared" si="271"/>
        <v>0</v>
      </c>
      <c r="AQ343" s="323">
        <f t="shared" si="271"/>
        <v>0</v>
      </c>
      <c r="AR343" s="323">
        <f t="shared" si="271"/>
        <v>0</v>
      </c>
      <c r="AS343" s="323">
        <f t="shared" si="271"/>
        <v>0</v>
      </c>
      <c r="AT343" s="323">
        <f t="shared" si="271"/>
        <v>0</v>
      </c>
      <c r="AU343" s="323">
        <f t="shared" si="271"/>
        <v>0</v>
      </c>
      <c r="AV343" s="323">
        <f t="shared" si="271"/>
        <v>0</v>
      </c>
      <c r="AW343" s="323">
        <f t="shared" si="271"/>
        <v>0</v>
      </c>
      <c r="AX343" s="323">
        <f t="shared" si="271"/>
        <v>0</v>
      </c>
      <c r="AY343" s="323">
        <f t="shared" ref="AY343:CH343" si="272">IF(AY350&gt;2.5,1,0)</f>
        <v>0</v>
      </c>
      <c r="AZ343" s="323">
        <f t="shared" si="272"/>
        <v>0</v>
      </c>
      <c r="BA343" s="323">
        <f t="shared" si="272"/>
        <v>0</v>
      </c>
      <c r="BB343" s="323">
        <f t="shared" si="272"/>
        <v>0</v>
      </c>
      <c r="BC343" s="323">
        <f t="shared" si="272"/>
        <v>0</v>
      </c>
      <c r="BD343" s="323">
        <f t="shared" si="272"/>
        <v>0</v>
      </c>
      <c r="BE343" s="323">
        <f t="shared" si="272"/>
        <v>0</v>
      </c>
      <c r="BF343" s="323">
        <f t="shared" si="272"/>
        <v>0</v>
      </c>
      <c r="BG343" s="323">
        <f t="shared" si="272"/>
        <v>0</v>
      </c>
      <c r="BH343" s="323">
        <f t="shared" si="272"/>
        <v>0</v>
      </c>
      <c r="BI343" s="323">
        <f t="shared" si="272"/>
        <v>0</v>
      </c>
      <c r="BJ343" s="323">
        <f t="shared" si="272"/>
        <v>0</v>
      </c>
      <c r="BK343" s="323">
        <f t="shared" si="272"/>
        <v>0</v>
      </c>
      <c r="BL343" s="323">
        <f t="shared" si="272"/>
        <v>0</v>
      </c>
      <c r="BM343" s="323">
        <f t="shared" si="272"/>
        <v>0</v>
      </c>
      <c r="BN343" s="323">
        <f t="shared" si="272"/>
        <v>0</v>
      </c>
      <c r="BO343" s="323">
        <f t="shared" si="272"/>
        <v>0</v>
      </c>
      <c r="BP343" s="323">
        <f t="shared" si="272"/>
        <v>0</v>
      </c>
      <c r="BQ343" s="323">
        <f t="shared" si="272"/>
        <v>0</v>
      </c>
      <c r="BR343" s="323">
        <f t="shared" si="272"/>
        <v>0</v>
      </c>
      <c r="BS343" s="323">
        <f t="shared" si="272"/>
        <v>0</v>
      </c>
      <c r="BT343" s="323">
        <f t="shared" si="272"/>
        <v>0</v>
      </c>
      <c r="BU343" s="323">
        <f t="shared" si="272"/>
        <v>0</v>
      </c>
      <c r="BV343" s="323">
        <f t="shared" si="272"/>
        <v>0</v>
      </c>
      <c r="BW343" s="323">
        <f t="shared" si="272"/>
        <v>0</v>
      </c>
      <c r="BX343" s="323">
        <f t="shared" si="272"/>
        <v>0</v>
      </c>
      <c r="BY343" s="323">
        <f t="shared" si="272"/>
        <v>0</v>
      </c>
      <c r="BZ343" s="323">
        <f t="shared" si="272"/>
        <v>0</v>
      </c>
      <c r="CA343" s="323">
        <f t="shared" si="272"/>
        <v>0</v>
      </c>
      <c r="CB343" s="323">
        <f t="shared" si="272"/>
        <v>0</v>
      </c>
      <c r="CC343" s="323">
        <f t="shared" si="272"/>
        <v>0</v>
      </c>
      <c r="CD343" s="323">
        <f t="shared" si="272"/>
        <v>0</v>
      </c>
      <c r="CE343" s="323">
        <f t="shared" si="272"/>
        <v>0</v>
      </c>
      <c r="CF343" s="323">
        <f t="shared" si="272"/>
        <v>0</v>
      </c>
      <c r="CG343" s="323">
        <f t="shared" si="272"/>
        <v>0</v>
      </c>
      <c r="CH343" s="323">
        <f t="shared" si="272"/>
        <v>0</v>
      </c>
    </row>
    <row r="344" ht="15.75" customHeight="1">
      <c r="A344" s="431"/>
      <c r="S344" s="431"/>
      <c r="T344" s="431"/>
      <c r="U344" s="431"/>
      <c r="V344" s="431"/>
      <c r="W344" s="431"/>
      <c r="X344" s="431"/>
      <c r="Y344" s="431"/>
      <c r="Z344" s="431"/>
      <c r="AA344" s="431"/>
      <c r="AB344" s="431"/>
      <c r="AC344" s="431"/>
      <c r="AD344" s="431"/>
      <c r="AE344" s="431"/>
      <c r="AF344" s="431"/>
      <c r="AG344" s="431"/>
      <c r="AH344" s="431"/>
      <c r="AI344" s="431"/>
      <c r="AJ344" s="431"/>
      <c r="AK344" s="431"/>
      <c r="AL344" s="431"/>
      <c r="AM344" s="431"/>
      <c r="AN344" s="431"/>
      <c r="AO344" s="431"/>
      <c r="AP344" s="431"/>
      <c r="AQ344" s="431"/>
      <c r="AR344" s="431"/>
      <c r="AS344" s="431"/>
      <c r="AT344" s="431"/>
      <c r="AU344" s="431"/>
      <c r="AV344" s="431"/>
      <c r="AW344" s="431"/>
      <c r="AX344" s="431"/>
      <c r="AY344" s="431"/>
      <c r="AZ344" s="431"/>
      <c r="BA344" s="431"/>
      <c r="BB344" s="431"/>
      <c r="BC344" s="431"/>
      <c r="BD344" s="431"/>
      <c r="BE344" s="431"/>
      <c r="BF344" s="431"/>
      <c r="BG344" s="431"/>
      <c r="BH344" s="431"/>
      <c r="BI344" s="431"/>
      <c r="BJ344" s="431"/>
      <c r="BK344" s="431"/>
      <c r="BL344" s="431"/>
      <c r="BM344" s="431"/>
      <c r="BN344" s="431"/>
      <c r="BO344" s="431"/>
      <c r="BP344" s="431"/>
      <c r="BQ344" s="431"/>
      <c r="BR344" s="431"/>
      <c r="BS344" s="431"/>
      <c r="BT344" s="431"/>
      <c r="BU344" s="431"/>
      <c r="BV344" s="431"/>
      <c r="BW344" s="431"/>
      <c r="BX344" s="431"/>
      <c r="BY344" s="431"/>
      <c r="BZ344" s="431"/>
      <c r="CA344" s="431"/>
      <c r="CB344" s="431"/>
      <c r="CC344" s="431"/>
      <c r="CD344" s="431"/>
      <c r="CE344" s="431"/>
      <c r="CF344" s="431"/>
      <c r="CG344" s="431"/>
      <c r="CH344" s="431"/>
    </row>
    <row r="345" ht="15.75" customHeight="1">
      <c r="A345" s="1" t="s">
        <v>101</v>
      </c>
      <c r="S345" s="502">
        <v>0.6</v>
      </c>
      <c r="T345" s="502">
        <v>0.6</v>
      </c>
      <c r="U345" s="502">
        <v>0.6</v>
      </c>
      <c r="V345" s="502">
        <v>0.6</v>
      </c>
      <c r="W345" s="502">
        <v>0.6</v>
      </c>
      <c r="X345" s="502">
        <v>0.6</v>
      </c>
      <c r="Y345" s="502">
        <v>0.6</v>
      </c>
      <c r="Z345" s="502">
        <v>0.6</v>
      </c>
      <c r="AA345" s="502">
        <v>0.6</v>
      </c>
      <c r="AB345" s="502">
        <v>0.6</v>
      </c>
      <c r="AC345" s="502">
        <v>0.6</v>
      </c>
      <c r="AD345" s="502">
        <v>0.6</v>
      </c>
      <c r="AE345" s="502">
        <v>0.6</v>
      </c>
      <c r="AF345" s="502">
        <v>0.6</v>
      </c>
      <c r="AG345" s="502">
        <v>0.6</v>
      </c>
      <c r="AH345" s="502">
        <v>0.6</v>
      </c>
      <c r="AI345" s="502">
        <v>0.6</v>
      </c>
      <c r="AJ345" s="502">
        <v>0.6</v>
      </c>
      <c r="AK345" s="502">
        <v>0.6</v>
      </c>
      <c r="AL345" s="502">
        <v>0.6</v>
      </c>
      <c r="AM345" s="502">
        <v>0.6</v>
      </c>
      <c r="AN345" s="502">
        <v>0.6</v>
      </c>
      <c r="AO345" s="502">
        <v>0.6</v>
      </c>
      <c r="AP345" s="502">
        <v>0.6</v>
      </c>
      <c r="AQ345" s="502">
        <v>0.6</v>
      </c>
      <c r="AR345" s="502">
        <v>0.6</v>
      </c>
      <c r="AS345" s="502">
        <v>0.6</v>
      </c>
      <c r="AT345" s="502">
        <v>0.6</v>
      </c>
      <c r="AU345" s="502">
        <v>0.6</v>
      </c>
      <c r="AV345" s="502">
        <v>0.6</v>
      </c>
      <c r="AW345" s="502">
        <v>0.6</v>
      </c>
      <c r="AX345" s="502">
        <v>0.6</v>
      </c>
      <c r="AY345" s="502">
        <v>0.6</v>
      </c>
      <c r="AZ345" s="502">
        <v>0.6</v>
      </c>
      <c r="BA345" s="502">
        <v>0.6</v>
      </c>
      <c r="BB345" s="502">
        <v>0.6</v>
      </c>
      <c r="BC345" s="502">
        <v>0.6</v>
      </c>
      <c r="BD345" s="502">
        <v>0.6</v>
      </c>
      <c r="BE345" s="502">
        <v>0.6</v>
      </c>
      <c r="BF345" s="502">
        <v>0.6</v>
      </c>
      <c r="BG345" s="502">
        <v>0.6</v>
      </c>
      <c r="BH345" s="502">
        <v>0.6</v>
      </c>
      <c r="BI345" s="502">
        <v>0.6</v>
      </c>
      <c r="BJ345" s="502">
        <v>0.6</v>
      </c>
      <c r="BK345" s="502">
        <v>0.6</v>
      </c>
      <c r="BL345" s="502">
        <v>0.6</v>
      </c>
      <c r="BM345" s="502">
        <v>0.6</v>
      </c>
      <c r="BN345" s="502">
        <v>0.6</v>
      </c>
      <c r="BO345" s="502">
        <v>0.6</v>
      </c>
      <c r="BP345" s="502">
        <v>0.6</v>
      </c>
      <c r="BQ345" s="502">
        <v>0.6</v>
      </c>
      <c r="BR345" s="502">
        <v>0.6</v>
      </c>
      <c r="BS345" s="502">
        <v>0.6</v>
      </c>
      <c r="BT345" s="502">
        <v>0.6</v>
      </c>
      <c r="BU345" s="502">
        <v>0.6</v>
      </c>
      <c r="BV345" s="502">
        <v>0.6</v>
      </c>
      <c r="BW345" s="502">
        <v>0.6</v>
      </c>
      <c r="BX345" s="502">
        <v>0.6</v>
      </c>
      <c r="BY345" s="502">
        <v>0.6</v>
      </c>
      <c r="BZ345" s="502">
        <v>0.6</v>
      </c>
      <c r="CA345" s="502">
        <v>0.6</v>
      </c>
      <c r="CB345" s="502">
        <v>0.6</v>
      </c>
      <c r="CC345" s="502">
        <v>0.6</v>
      </c>
      <c r="CD345" s="502">
        <v>0.6</v>
      </c>
      <c r="CE345" s="502">
        <v>0.6</v>
      </c>
      <c r="CF345" s="502">
        <v>0.6</v>
      </c>
      <c r="CG345" s="502">
        <v>0.6</v>
      </c>
      <c r="CH345" s="502">
        <v>0.6</v>
      </c>
    </row>
    <row r="346" ht="15.75" customHeight="1">
      <c r="A346" s="1" t="s">
        <v>747</v>
      </c>
      <c r="S346" s="431"/>
      <c r="T346" s="431"/>
      <c r="U346" s="431"/>
      <c r="V346" s="198">
        <f t="shared" ref="V346:CH346" si="273">V341*V345</f>
        <v>553839.9</v>
      </c>
      <c r="W346" s="198">
        <f t="shared" si="273"/>
        <v>265499.94</v>
      </c>
      <c r="X346" s="198">
        <f t="shared" si="273"/>
        <v>263227.68</v>
      </c>
      <c r="Y346" s="198">
        <f t="shared" si="273"/>
        <v>332284.3578</v>
      </c>
      <c r="Z346" s="198">
        <f t="shared" si="273"/>
        <v>251206.4863</v>
      </c>
      <c r="AA346" s="198">
        <f t="shared" si="273"/>
        <v>271552.7506</v>
      </c>
      <c r="AB346" s="198">
        <f t="shared" si="273"/>
        <v>329260.1524</v>
      </c>
      <c r="AC346" s="198">
        <f t="shared" si="273"/>
        <v>408419.1277</v>
      </c>
      <c r="AD346" s="198">
        <f t="shared" si="273"/>
        <v>469877.435</v>
      </c>
      <c r="AE346" s="198">
        <f t="shared" si="273"/>
        <v>490080.112</v>
      </c>
      <c r="AF346" s="198">
        <f t="shared" si="273"/>
        <v>499453.364</v>
      </c>
      <c r="AG346" s="198">
        <f t="shared" si="273"/>
        <v>509008.319</v>
      </c>
      <c r="AH346" s="198">
        <f t="shared" si="273"/>
        <v>518748.5396</v>
      </c>
      <c r="AI346" s="198">
        <f t="shared" si="273"/>
        <v>550968.6322</v>
      </c>
      <c r="AJ346" s="198">
        <f t="shared" si="273"/>
        <v>568740.0095</v>
      </c>
      <c r="AK346" s="198">
        <f t="shared" si="273"/>
        <v>584565.333</v>
      </c>
      <c r="AL346" s="198">
        <f t="shared" si="273"/>
        <v>602336.4786</v>
      </c>
      <c r="AM346" s="198">
        <f t="shared" si="273"/>
        <v>403953.1779</v>
      </c>
      <c r="AN346" s="198">
        <f t="shared" si="273"/>
        <v>490383.5959</v>
      </c>
      <c r="AO346" s="198">
        <f t="shared" si="273"/>
        <v>496216.9159</v>
      </c>
      <c r="AP346" s="198">
        <f t="shared" si="273"/>
        <v>502122.5727</v>
      </c>
      <c r="AQ346" s="198">
        <f t="shared" si="273"/>
        <v>508101.4784</v>
      </c>
      <c r="AR346" s="198">
        <f t="shared" si="273"/>
        <v>514154.5571</v>
      </c>
      <c r="AS346" s="198">
        <f t="shared" si="273"/>
        <v>520282.7445</v>
      </c>
      <c r="AT346" s="198">
        <f t="shared" si="273"/>
        <v>526486.9884</v>
      </c>
      <c r="AU346" s="198">
        <f t="shared" si="273"/>
        <v>532768.2484</v>
      </c>
      <c r="AV346" s="198">
        <f t="shared" si="273"/>
        <v>539127.4966</v>
      </c>
      <c r="AW346" s="198">
        <f t="shared" si="273"/>
        <v>545565.7176</v>
      </c>
      <c r="AX346" s="198">
        <f t="shared" si="273"/>
        <v>552083.9082</v>
      </c>
      <c r="AY346" s="198">
        <f t="shared" si="273"/>
        <v>558712.9241</v>
      </c>
      <c r="AZ346" s="198">
        <f t="shared" si="273"/>
        <v>565189.0432</v>
      </c>
      <c r="BA346" s="198">
        <f t="shared" si="273"/>
        <v>571742.0459</v>
      </c>
      <c r="BB346" s="198">
        <f t="shared" si="273"/>
        <v>578372.8525</v>
      </c>
      <c r="BC346" s="198">
        <f t="shared" si="273"/>
        <v>585082.3943</v>
      </c>
      <c r="BD346" s="198">
        <f t="shared" si="273"/>
        <v>591871.614</v>
      </c>
      <c r="BE346" s="198">
        <f t="shared" si="273"/>
        <v>598741.4653</v>
      </c>
      <c r="BF346" s="198">
        <f t="shared" si="273"/>
        <v>605692.9134</v>
      </c>
      <c r="BG346" s="198">
        <f t="shared" si="273"/>
        <v>612726.9354</v>
      </c>
      <c r="BH346" s="198">
        <f t="shared" si="273"/>
        <v>619844.5198</v>
      </c>
      <c r="BI346" s="198">
        <f t="shared" si="273"/>
        <v>627046.667</v>
      </c>
      <c r="BJ346" s="198">
        <f t="shared" si="273"/>
        <v>634334.3896</v>
      </c>
      <c r="BK346" s="198">
        <f t="shared" si="273"/>
        <v>647385.303</v>
      </c>
      <c r="BL346" s="198">
        <f t="shared" si="273"/>
        <v>656964.6043</v>
      </c>
      <c r="BM346" s="198">
        <f t="shared" si="273"/>
        <v>612426.9431</v>
      </c>
      <c r="BN346" s="198">
        <f t="shared" si="273"/>
        <v>621718.2062</v>
      </c>
      <c r="BO346" s="198">
        <f t="shared" si="273"/>
        <v>631190.5161</v>
      </c>
      <c r="BP346" s="198">
        <f t="shared" si="273"/>
        <v>640848.3346</v>
      </c>
      <c r="BQ346" s="198">
        <f t="shared" si="273"/>
        <v>650696.2517</v>
      </c>
      <c r="BR346" s="198">
        <f t="shared" si="273"/>
        <v>660738.9896</v>
      </c>
      <c r="BS346" s="198">
        <f t="shared" si="273"/>
        <v>670981.4065</v>
      </c>
      <c r="BT346" s="198">
        <f t="shared" si="273"/>
        <v>681428.5015</v>
      </c>
      <c r="BU346" s="198">
        <f t="shared" si="273"/>
        <v>692085.4182</v>
      </c>
      <c r="BV346" s="198">
        <f t="shared" si="273"/>
        <v>702957.4498</v>
      </c>
      <c r="BW346" s="198">
        <f t="shared" si="273"/>
        <v>728532.9792</v>
      </c>
      <c r="BX346" s="198">
        <f t="shared" si="273"/>
        <v>730954.572</v>
      </c>
      <c r="BY346" s="198">
        <f t="shared" si="273"/>
        <v>677274.3724</v>
      </c>
      <c r="BZ346" s="198">
        <f t="shared" si="273"/>
        <v>679391.1548</v>
      </c>
      <c r="CA346" s="198">
        <f t="shared" si="273"/>
        <v>681682.9334</v>
      </c>
      <c r="CB346" s="198">
        <f t="shared" si="273"/>
        <v>684147.8819</v>
      </c>
      <c r="CC346" s="198">
        <f t="shared" si="273"/>
        <v>686784.2547</v>
      </c>
      <c r="CD346" s="198">
        <f t="shared" si="273"/>
        <v>689590.3851</v>
      </c>
      <c r="CE346" s="198">
        <f t="shared" si="273"/>
        <v>692564.6835</v>
      </c>
      <c r="CF346" s="198">
        <f t="shared" si="273"/>
        <v>695705.6362</v>
      </c>
      <c r="CG346" s="198">
        <f t="shared" si="273"/>
        <v>699011.8034</v>
      </c>
      <c r="CH346" s="198">
        <f t="shared" si="273"/>
        <v>702481.8179</v>
      </c>
    </row>
    <row r="347" ht="15.75" customHeight="1">
      <c r="A347" s="1" t="s">
        <v>776</v>
      </c>
      <c r="S347" s="502">
        <v>0.8</v>
      </c>
      <c r="T347" s="502">
        <v>0.8</v>
      </c>
      <c r="U347" s="502">
        <v>0.8</v>
      </c>
      <c r="V347" s="502">
        <v>0.8</v>
      </c>
      <c r="W347" s="502">
        <v>0.8</v>
      </c>
      <c r="X347" s="502">
        <v>0.8</v>
      </c>
      <c r="Y347" s="502">
        <v>0.8</v>
      </c>
      <c r="Z347" s="502">
        <v>0.8</v>
      </c>
      <c r="AA347" s="502">
        <v>0.8</v>
      </c>
      <c r="AB347" s="502">
        <v>0.8</v>
      </c>
      <c r="AC347" s="502">
        <v>0.8</v>
      </c>
      <c r="AD347" s="502">
        <v>0.8</v>
      </c>
      <c r="AE347" s="502">
        <v>0.8</v>
      </c>
      <c r="AF347" s="502">
        <v>0.8</v>
      </c>
      <c r="AG347" s="502">
        <v>0.8</v>
      </c>
      <c r="AH347" s="502">
        <v>0.8</v>
      </c>
      <c r="AI347" s="502">
        <v>0.8</v>
      </c>
      <c r="AJ347" s="502">
        <v>0.8</v>
      </c>
      <c r="AK347" s="502">
        <v>0.8</v>
      </c>
      <c r="AL347" s="502">
        <v>0.8</v>
      </c>
      <c r="AM347" s="502">
        <v>0.8</v>
      </c>
      <c r="AN347" s="502">
        <v>0.8</v>
      </c>
      <c r="AO347" s="502">
        <v>0.8</v>
      </c>
      <c r="AP347" s="502">
        <v>0.8</v>
      </c>
      <c r="AQ347" s="502">
        <v>0.8</v>
      </c>
      <c r="AR347" s="502">
        <v>0.8</v>
      </c>
      <c r="AS347" s="502">
        <v>0.8</v>
      </c>
      <c r="AT347" s="502">
        <v>0.8</v>
      </c>
      <c r="AU347" s="502">
        <v>0.8</v>
      </c>
      <c r="AV347" s="502">
        <v>0.8</v>
      </c>
      <c r="AW347" s="502">
        <v>0.8</v>
      </c>
      <c r="AX347" s="502">
        <v>0.8</v>
      </c>
      <c r="AY347" s="502">
        <v>0.8</v>
      </c>
      <c r="AZ347" s="502">
        <v>0.8</v>
      </c>
      <c r="BA347" s="502">
        <v>0.8</v>
      </c>
      <c r="BB347" s="502">
        <v>0.8</v>
      </c>
      <c r="BC347" s="502">
        <v>0.8</v>
      </c>
      <c r="BD347" s="502">
        <v>0.8</v>
      </c>
      <c r="BE347" s="502">
        <v>0.8</v>
      </c>
      <c r="BF347" s="502">
        <v>0.8</v>
      </c>
      <c r="BG347" s="502">
        <v>0.8</v>
      </c>
      <c r="BH347" s="502">
        <v>0.8</v>
      </c>
      <c r="BI347" s="502">
        <v>0.8</v>
      </c>
      <c r="BJ347" s="502">
        <v>0.8</v>
      </c>
      <c r="BK347" s="502">
        <v>0.8</v>
      </c>
      <c r="BL347" s="502">
        <v>0.8</v>
      </c>
      <c r="BM347" s="502">
        <v>0.8</v>
      </c>
      <c r="BN347" s="502">
        <v>0.8</v>
      </c>
      <c r="BO347" s="502">
        <v>0.8</v>
      </c>
      <c r="BP347" s="502">
        <v>0.8</v>
      </c>
      <c r="BQ347" s="502">
        <v>0.8</v>
      </c>
      <c r="BR347" s="502">
        <v>0.8</v>
      </c>
      <c r="BS347" s="502">
        <v>0.8</v>
      </c>
      <c r="BT347" s="502">
        <v>0.8</v>
      </c>
      <c r="BU347" s="502">
        <v>0.8</v>
      </c>
      <c r="BV347" s="502">
        <v>0.8</v>
      </c>
      <c r="BW347" s="502">
        <v>0.8</v>
      </c>
      <c r="BX347" s="502">
        <v>0.8</v>
      </c>
      <c r="BY347" s="502">
        <v>0.8</v>
      </c>
      <c r="BZ347" s="502">
        <v>0.8</v>
      </c>
      <c r="CA347" s="502">
        <v>0.8</v>
      </c>
      <c r="CB347" s="502">
        <v>0.8</v>
      </c>
      <c r="CC347" s="502">
        <v>0.8</v>
      </c>
      <c r="CD347" s="502">
        <v>0.8</v>
      </c>
      <c r="CE347" s="502">
        <v>0.8</v>
      </c>
      <c r="CF347" s="502">
        <v>0.8</v>
      </c>
      <c r="CG347" s="502">
        <v>0.8</v>
      </c>
      <c r="CH347" s="502">
        <v>0.8</v>
      </c>
    </row>
    <row r="348" ht="15.75" customHeight="1">
      <c r="A348" s="1" t="s">
        <v>784</v>
      </c>
      <c r="S348" s="323">
        <f t="shared" ref="S348:U348" si="274">S346/S347</f>
        <v>0</v>
      </c>
      <c r="T348" s="323">
        <f t="shared" si="274"/>
        <v>0</v>
      </c>
      <c r="U348" s="323">
        <f t="shared" si="274"/>
        <v>0</v>
      </c>
      <c r="V348" s="117">
        <f t="shared" ref="V348:CH348" si="275">V346/((1-(V347))*12)</f>
        <v>230766.625</v>
      </c>
      <c r="W348" s="117">
        <f t="shared" si="275"/>
        <v>110624.975</v>
      </c>
      <c r="X348" s="117">
        <f t="shared" si="275"/>
        <v>109678.2</v>
      </c>
      <c r="Y348" s="117">
        <f t="shared" si="275"/>
        <v>138451.8158</v>
      </c>
      <c r="Z348" s="117">
        <f t="shared" si="275"/>
        <v>104669.3693</v>
      </c>
      <c r="AA348" s="117">
        <f t="shared" si="275"/>
        <v>113146.9794</v>
      </c>
      <c r="AB348" s="117">
        <f t="shared" si="275"/>
        <v>137191.7302</v>
      </c>
      <c r="AC348" s="117">
        <f t="shared" si="275"/>
        <v>170174.6365</v>
      </c>
      <c r="AD348" s="117">
        <f t="shared" si="275"/>
        <v>195782.2646</v>
      </c>
      <c r="AE348" s="117">
        <f t="shared" si="275"/>
        <v>204200.0467</v>
      </c>
      <c r="AF348" s="117">
        <f t="shared" si="275"/>
        <v>208105.5683</v>
      </c>
      <c r="AG348" s="117">
        <f t="shared" si="275"/>
        <v>212086.7996</v>
      </c>
      <c r="AH348" s="117">
        <f t="shared" si="275"/>
        <v>216145.2248</v>
      </c>
      <c r="AI348" s="117">
        <f t="shared" si="275"/>
        <v>229570.2634</v>
      </c>
      <c r="AJ348" s="117">
        <f t="shared" si="275"/>
        <v>236975.0039</v>
      </c>
      <c r="AK348" s="117">
        <f t="shared" si="275"/>
        <v>243568.8888</v>
      </c>
      <c r="AL348" s="117">
        <f t="shared" si="275"/>
        <v>250973.5328</v>
      </c>
      <c r="AM348" s="117">
        <f t="shared" si="275"/>
        <v>168313.8241</v>
      </c>
      <c r="AN348" s="117">
        <f t="shared" si="275"/>
        <v>204326.4983</v>
      </c>
      <c r="AO348" s="117">
        <f t="shared" si="275"/>
        <v>206757.0483</v>
      </c>
      <c r="AP348" s="117">
        <f t="shared" si="275"/>
        <v>209217.7386</v>
      </c>
      <c r="AQ348" s="117">
        <f t="shared" si="275"/>
        <v>211708.9493</v>
      </c>
      <c r="AR348" s="117">
        <f t="shared" si="275"/>
        <v>214231.0655</v>
      </c>
      <c r="AS348" s="117">
        <f t="shared" si="275"/>
        <v>216784.4769</v>
      </c>
      <c r="AT348" s="117">
        <f t="shared" si="275"/>
        <v>219369.5785</v>
      </c>
      <c r="AU348" s="117">
        <f t="shared" si="275"/>
        <v>221986.7702</v>
      </c>
      <c r="AV348" s="117">
        <f t="shared" si="275"/>
        <v>224636.4569</v>
      </c>
      <c r="AW348" s="117">
        <f t="shared" si="275"/>
        <v>227319.049</v>
      </c>
      <c r="AX348" s="117">
        <f t="shared" si="275"/>
        <v>230034.9618</v>
      </c>
      <c r="AY348" s="117">
        <f t="shared" si="275"/>
        <v>232797.0517</v>
      </c>
      <c r="AZ348" s="117">
        <f t="shared" si="275"/>
        <v>235495.4347</v>
      </c>
      <c r="BA348" s="117">
        <f t="shared" si="275"/>
        <v>238225.8525</v>
      </c>
      <c r="BB348" s="117">
        <f t="shared" si="275"/>
        <v>240988.6885</v>
      </c>
      <c r="BC348" s="117">
        <f t="shared" si="275"/>
        <v>243784.331</v>
      </c>
      <c r="BD348" s="117">
        <f t="shared" si="275"/>
        <v>246613.1725</v>
      </c>
      <c r="BE348" s="117">
        <f t="shared" si="275"/>
        <v>249475.6105</v>
      </c>
      <c r="BF348" s="117">
        <f t="shared" si="275"/>
        <v>252372.0473</v>
      </c>
      <c r="BG348" s="117">
        <f t="shared" si="275"/>
        <v>255302.8898</v>
      </c>
      <c r="BH348" s="117">
        <f t="shared" si="275"/>
        <v>258268.5499</v>
      </c>
      <c r="BI348" s="117">
        <f t="shared" si="275"/>
        <v>261269.4446</v>
      </c>
      <c r="BJ348" s="117">
        <f t="shared" si="275"/>
        <v>264305.9957</v>
      </c>
      <c r="BK348" s="117">
        <f t="shared" si="275"/>
        <v>269743.8763</v>
      </c>
      <c r="BL348" s="117">
        <f t="shared" si="275"/>
        <v>273735.2518</v>
      </c>
      <c r="BM348" s="117">
        <f t="shared" si="275"/>
        <v>255177.893</v>
      </c>
      <c r="BN348" s="117">
        <f t="shared" si="275"/>
        <v>259049.2526</v>
      </c>
      <c r="BO348" s="117">
        <f t="shared" si="275"/>
        <v>262996.0484</v>
      </c>
      <c r="BP348" s="117">
        <f t="shared" si="275"/>
        <v>267020.1394</v>
      </c>
      <c r="BQ348" s="117">
        <f t="shared" si="275"/>
        <v>271123.4382</v>
      </c>
      <c r="BR348" s="117">
        <f t="shared" si="275"/>
        <v>275307.9123</v>
      </c>
      <c r="BS348" s="117">
        <f t="shared" si="275"/>
        <v>279575.5861</v>
      </c>
      <c r="BT348" s="117">
        <f t="shared" si="275"/>
        <v>283928.5423</v>
      </c>
      <c r="BU348" s="117">
        <f t="shared" si="275"/>
        <v>288368.9243</v>
      </c>
      <c r="BV348" s="117">
        <f t="shared" si="275"/>
        <v>292898.9374</v>
      </c>
      <c r="BW348" s="117">
        <f t="shared" si="275"/>
        <v>303555.408</v>
      </c>
      <c r="BX348" s="117">
        <f t="shared" si="275"/>
        <v>304564.405</v>
      </c>
      <c r="BY348" s="117">
        <f t="shared" si="275"/>
        <v>282197.6552</v>
      </c>
      <c r="BZ348" s="117">
        <f t="shared" si="275"/>
        <v>283079.6478</v>
      </c>
      <c r="CA348" s="117">
        <f t="shared" si="275"/>
        <v>284034.5556</v>
      </c>
      <c r="CB348" s="117">
        <f t="shared" si="275"/>
        <v>285061.6175</v>
      </c>
      <c r="CC348" s="117">
        <f t="shared" si="275"/>
        <v>286160.1061</v>
      </c>
      <c r="CD348" s="117">
        <f t="shared" si="275"/>
        <v>287329.3271</v>
      </c>
      <c r="CE348" s="117">
        <f t="shared" si="275"/>
        <v>288568.6181</v>
      </c>
      <c r="CF348" s="117">
        <f t="shared" si="275"/>
        <v>289877.3484</v>
      </c>
      <c r="CG348" s="117">
        <f t="shared" si="275"/>
        <v>291254.9181</v>
      </c>
      <c r="CH348" s="117">
        <f t="shared" si="275"/>
        <v>292700.7575</v>
      </c>
    </row>
    <row r="349" ht="15.75" customHeight="1">
      <c r="A349" s="1" t="s">
        <v>785</v>
      </c>
      <c r="S349" s="198">
        <f t="shared" ref="S349:CH349" si="276">S339*S340+S324</f>
        <v>126075</v>
      </c>
      <c r="T349" s="198">
        <f t="shared" si="276"/>
        <v>126075</v>
      </c>
      <c r="U349" s="198">
        <f t="shared" si="276"/>
        <v>126075</v>
      </c>
      <c r="V349" s="198">
        <f t="shared" si="276"/>
        <v>126075</v>
      </c>
      <c r="W349" s="198">
        <f t="shared" si="276"/>
        <v>378225</v>
      </c>
      <c r="X349" s="198">
        <f t="shared" si="276"/>
        <v>126075</v>
      </c>
      <c r="Y349" s="198">
        <f t="shared" si="276"/>
        <v>210875</v>
      </c>
      <c r="Z349" s="198">
        <f t="shared" si="276"/>
        <v>295675</v>
      </c>
      <c r="AA349" s="198">
        <f t="shared" si="276"/>
        <v>295675</v>
      </c>
      <c r="AB349" s="198">
        <f t="shared" si="276"/>
        <v>295675</v>
      </c>
      <c r="AC349" s="198">
        <f t="shared" si="276"/>
        <v>295675</v>
      </c>
      <c r="AD349" s="198">
        <f t="shared" si="276"/>
        <v>295675</v>
      </c>
      <c r="AE349" s="198">
        <f t="shared" si="276"/>
        <v>295675</v>
      </c>
      <c r="AF349" s="198">
        <f t="shared" si="276"/>
        <v>295675</v>
      </c>
      <c r="AG349" s="198">
        <f t="shared" si="276"/>
        <v>295675</v>
      </c>
      <c r="AH349" s="198">
        <f t="shared" si="276"/>
        <v>295675</v>
      </c>
      <c r="AI349" s="198">
        <f t="shared" si="276"/>
        <v>295675</v>
      </c>
      <c r="AJ349" s="198">
        <f t="shared" si="276"/>
        <v>295675</v>
      </c>
      <c r="AK349" s="198">
        <f t="shared" si="276"/>
        <v>295675</v>
      </c>
      <c r="AL349" s="198">
        <f t="shared" si="276"/>
        <v>295675</v>
      </c>
      <c r="AM349" s="198">
        <f t="shared" si="276"/>
        <v>295675</v>
      </c>
      <c r="AN349" s="198">
        <f t="shared" si="276"/>
        <v>295675</v>
      </c>
      <c r="AO349" s="198">
        <f t="shared" si="276"/>
        <v>295675</v>
      </c>
      <c r="AP349" s="198">
        <f t="shared" si="276"/>
        <v>295675</v>
      </c>
      <c r="AQ349" s="198">
        <f t="shared" si="276"/>
        <v>295675</v>
      </c>
      <c r="AR349" s="198">
        <f t="shared" si="276"/>
        <v>295675</v>
      </c>
      <c r="AS349" s="198">
        <f t="shared" si="276"/>
        <v>295675</v>
      </c>
      <c r="AT349" s="198">
        <f t="shared" si="276"/>
        <v>295675</v>
      </c>
      <c r="AU349" s="198">
        <f t="shared" si="276"/>
        <v>295675</v>
      </c>
      <c r="AV349" s="198">
        <f t="shared" si="276"/>
        <v>295675</v>
      </c>
      <c r="AW349" s="198">
        <f t="shared" si="276"/>
        <v>295675</v>
      </c>
      <c r="AX349" s="198">
        <f t="shared" si="276"/>
        <v>295675</v>
      </c>
      <c r="AY349" s="198">
        <f t="shared" si="276"/>
        <v>295675</v>
      </c>
      <c r="AZ349" s="198">
        <f t="shared" si="276"/>
        <v>295675</v>
      </c>
      <c r="BA349" s="198">
        <f t="shared" si="276"/>
        <v>295675</v>
      </c>
      <c r="BB349" s="198">
        <f t="shared" si="276"/>
        <v>295675</v>
      </c>
      <c r="BC349" s="198">
        <f t="shared" si="276"/>
        <v>295675</v>
      </c>
      <c r="BD349" s="198">
        <f t="shared" si="276"/>
        <v>295675</v>
      </c>
      <c r="BE349" s="198">
        <f t="shared" si="276"/>
        <v>295675</v>
      </c>
      <c r="BF349" s="198">
        <f t="shared" si="276"/>
        <v>295675</v>
      </c>
      <c r="BG349" s="198">
        <f t="shared" si="276"/>
        <v>295675</v>
      </c>
      <c r="BH349" s="198">
        <f t="shared" si="276"/>
        <v>295675</v>
      </c>
      <c r="BI349" s="198">
        <f t="shared" si="276"/>
        <v>295675</v>
      </c>
      <c r="BJ349" s="198">
        <f t="shared" si="276"/>
        <v>295675</v>
      </c>
      <c r="BK349" s="198">
        <f t="shared" si="276"/>
        <v>295675</v>
      </c>
      <c r="BL349" s="198">
        <f t="shared" si="276"/>
        <v>295675</v>
      </c>
      <c r="BM349" s="198">
        <f t="shared" si="276"/>
        <v>295675</v>
      </c>
      <c r="BN349" s="198">
        <f t="shared" si="276"/>
        <v>295675</v>
      </c>
      <c r="BO349" s="198">
        <f t="shared" si="276"/>
        <v>295675</v>
      </c>
      <c r="BP349" s="198">
        <f t="shared" si="276"/>
        <v>295675</v>
      </c>
      <c r="BQ349" s="198">
        <f t="shared" si="276"/>
        <v>295675</v>
      </c>
      <c r="BR349" s="198">
        <f t="shared" si="276"/>
        <v>295675</v>
      </c>
      <c r="BS349" s="198">
        <f t="shared" si="276"/>
        <v>295675</v>
      </c>
      <c r="BT349" s="198">
        <f t="shared" si="276"/>
        <v>295675</v>
      </c>
      <c r="BU349" s="198">
        <f t="shared" si="276"/>
        <v>295675</v>
      </c>
      <c r="BV349" s="198">
        <f t="shared" si="276"/>
        <v>295675</v>
      </c>
      <c r="BW349" s="198">
        <f t="shared" si="276"/>
        <v>295675</v>
      </c>
      <c r="BX349" s="198">
        <f t="shared" si="276"/>
        <v>295675</v>
      </c>
      <c r="BY349" s="198">
        <f t="shared" si="276"/>
        <v>295675</v>
      </c>
      <c r="BZ349" s="198">
        <f t="shared" si="276"/>
        <v>295675</v>
      </c>
      <c r="CA349" s="198">
        <f t="shared" si="276"/>
        <v>295675</v>
      </c>
      <c r="CB349" s="198">
        <f t="shared" si="276"/>
        <v>295675</v>
      </c>
      <c r="CC349" s="198">
        <f t="shared" si="276"/>
        <v>295675</v>
      </c>
      <c r="CD349" s="198">
        <f t="shared" si="276"/>
        <v>295675</v>
      </c>
      <c r="CE349" s="198">
        <f t="shared" si="276"/>
        <v>295675</v>
      </c>
      <c r="CF349" s="198">
        <f t="shared" si="276"/>
        <v>295675</v>
      </c>
      <c r="CG349" s="198">
        <f t="shared" si="276"/>
        <v>295675</v>
      </c>
      <c r="CH349" s="198">
        <f t="shared" si="276"/>
        <v>295675</v>
      </c>
    </row>
    <row r="350" ht="15.75" customHeight="1">
      <c r="A350" s="124" t="s">
        <v>786</v>
      </c>
      <c r="B350" s="124"/>
      <c r="C350" s="124"/>
      <c r="D350" s="124"/>
      <c r="E350" s="124"/>
      <c r="F350" s="124"/>
      <c r="G350" s="124"/>
      <c r="H350" s="124"/>
      <c r="I350" s="124"/>
      <c r="J350" s="124"/>
      <c r="K350" s="124"/>
      <c r="L350" s="124"/>
      <c r="M350" s="124"/>
      <c r="N350" s="124"/>
      <c r="O350" s="124"/>
      <c r="P350" s="124"/>
      <c r="Q350" s="124"/>
      <c r="R350" s="124"/>
      <c r="S350" s="504">
        <f t="shared" ref="S350:CH350" si="277">S348/S349</f>
        <v>0</v>
      </c>
      <c r="T350" s="504">
        <f t="shared" si="277"/>
        <v>0</v>
      </c>
      <c r="U350" s="504">
        <f t="shared" si="277"/>
        <v>0</v>
      </c>
      <c r="V350" s="504">
        <f t="shared" si="277"/>
        <v>1.830391632</v>
      </c>
      <c r="W350" s="504">
        <f t="shared" si="277"/>
        <v>0.2924845661</v>
      </c>
      <c r="X350" s="504">
        <f t="shared" si="277"/>
        <v>0.8699440809</v>
      </c>
      <c r="Y350" s="504">
        <f t="shared" si="277"/>
        <v>0.6565586995</v>
      </c>
      <c r="Z350" s="504">
        <f t="shared" si="277"/>
        <v>0.3540014181</v>
      </c>
      <c r="AA350" s="504">
        <f t="shared" si="277"/>
        <v>0.3826734739</v>
      </c>
      <c r="AB350" s="504">
        <f t="shared" si="277"/>
        <v>0.4639950289</v>
      </c>
      <c r="AC350" s="504">
        <f t="shared" si="277"/>
        <v>0.5755462468</v>
      </c>
      <c r="AD350" s="504">
        <f t="shared" si="277"/>
        <v>0.6621535962</v>
      </c>
      <c r="AE350" s="504">
        <f t="shared" si="277"/>
        <v>0.6906233082</v>
      </c>
      <c r="AF350" s="504">
        <f t="shared" si="277"/>
        <v>0.7038321411</v>
      </c>
      <c r="AG350" s="504">
        <f t="shared" si="277"/>
        <v>0.7172970309</v>
      </c>
      <c r="AH350" s="504">
        <f t="shared" si="277"/>
        <v>0.7310229976</v>
      </c>
      <c r="AI350" s="504">
        <f t="shared" si="277"/>
        <v>0.7764277109</v>
      </c>
      <c r="AJ350" s="504">
        <f t="shared" si="277"/>
        <v>0.8014712233</v>
      </c>
      <c r="AK350" s="504">
        <f t="shared" si="277"/>
        <v>0.8237723472</v>
      </c>
      <c r="AL350" s="504">
        <f t="shared" si="277"/>
        <v>0.8488155331</v>
      </c>
      <c r="AM350" s="504">
        <f t="shared" si="277"/>
        <v>0.5692528084</v>
      </c>
      <c r="AN350" s="504">
        <f t="shared" si="277"/>
        <v>0.6910509792</v>
      </c>
      <c r="AO350" s="504">
        <f t="shared" si="277"/>
        <v>0.6992713226</v>
      </c>
      <c r="AP350" s="504">
        <f t="shared" si="277"/>
        <v>0.7075936032</v>
      </c>
      <c r="AQ350" s="504">
        <f t="shared" si="277"/>
        <v>0.7160191066</v>
      </c>
      <c r="AR350" s="504">
        <f t="shared" si="277"/>
        <v>0.7245491349</v>
      </c>
      <c r="AS350" s="504">
        <f t="shared" si="277"/>
        <v>0.7331850068</v>
      </c>
      <c r="AT350" s="504">
        <f t="shared" si="277"/>
        <v>0.7419280578</v>
      </c>
      <c r="AU350" s="504">
        <f t="shared" si="277"/>
        <v>0.7507796404</v>
      </c>
      <c r="AV350" s="504">
        <f t="shared" si="277"/>
        <v>0.7597411243</v>
      </c>
      <c r="AW350" s="504">
        <f t="shared" si="277"/>
        <v>0.768813897</v>
      </c>
      <c r="AX350" s="504">
        <f t="shared" si="277"/>
        <v>0.7779993634</v>
      </c>
      <c r="AY350" s="504">
        <f t="shared" si="277"/>
        <v>0.7873410052</v>
      </c>
      <c r="AZ350" s="504">
        <f t="shared" si="277"/>
        <v>0.7964671841</v>
      </c>
      <c r="BA350" s="504">
        <f t="shared" si="277"/>
        <v>0.8057017078</v>
      </c>
      <c r="BB350" s="504">
        <f t="shared" si="277"/>
        <v>0.8150458731</v>
      </c>
      <c r="BC350" s="504">
        <f t="shared" si="277"/>
        <v>0.8245009926</v>
      </c>
      <c r="BD350" s="504">
        <f t="shared" si="277"/>
        <v>0.8340683943</v>
      </c>
      <c r="BE350" s="504">
        <f t="shared" si="277"/>
        <v>0.8437494226</v>
      </c>
      <c r="BF350" s="504">
        <f t="shared" si="277"/>
        <v>0.8535454376</v>
      </c>
      <c r="BG350" s="504">
        <f t="shared" si="277"/>
        <v>0.863457816</v>
      </c>
      <c r="BH350" s="504">
        <f t="shared" si="277"/>
        <v>0.873487951</v>
      </c>
      <c r="BI350" s="504">
        <f t="shared" si="277"/>
        <v>0.8836372523</v>
      </c>
      <c r="BJ350" s="504">
        <f t="shared" si="277"/>
        <v>0.8939071469</v>
      </c>
      <c r="BK350" s="504">
        <f t="shared" si="277"/>
        <v>0.9122985584</v>
      </c>
      <c r="BL350" s="504">
        <f t="shared" si="277"/>
        <v>0.9257977569</v>
      </c>
      <c r="BM350" s="504">
        <f t="shared" si="277"/>
        <v>0.8630350654</v>
      </c>
      <c r="BN350" s="504">
        <f t="shared" si="277"/>
        <v>0.8761283591</v>
      </c>
      <c r="BO350" s="504">
        <f t="shared" si="277"/>
        <v>0.8894767849</v>
      </c>
      <c r="BP350" s="504">
        <f t="shared" si="277"/>
        <v>0.9030866304</v>
      </c>
      <c r="BQ350" s="504">
        <f t="shared" si="277"/>
        <v>0.9169643637</v>
      </c>
      <c r="BR350" s="504">
        <f t="shared" si="277"/>
        <v>0.9311166393</v>
      </c>
      <c r="BS350" s="504">
        <f t="shared" si="277"/>
        <v>0.9455503037</v>
      </c>
      <c r="BT350" s="504">
        <f t="shared" si="277"/>
        <v>0.9602724014</v>
      </c>
      <c r="BU350" s="504">
        <f t="shared" si="277"/>
        <v>0.975290181</v>
      </c>
      <c r="BV350" s="504">
        <f t="shared" si="277"/>
        <v>0.9906111014</v>
      </c>
      <c r="BW350" s="504">
        <f t="shared" si="277"/>
        <v>1.026652263</v>
      </c>
      <c r="BX350" s="504">
        <f t="shared" si="277"/>
        <v>1.030064784</v>
      </c>
      <c r="BY350" s="504">
        <f t="shared" si="277"/>
        <v>0.9544183822</v>
      </c>
      <c r="BZ350" s="504">
        <f t="shared" si="277"/>
        <v>0.9574013625</v>
      </c>
      <c r="CA350" s="504">
        <f t="shared" si="277"/>
        <v>0.9606309482</v>
      </c>
      <c r="CB350" s="504">
        <f t="shared" si="277"/>
        <v>0.9641045657</v>
      </c>
      <c r="CC350" s="504">
        <f t="shared" si="277"/>
        <v>0.9678197553</v>
      </c>
      <c r="CD350" s="504">
        <f t="shared" si="277"/>
        <v>0.971774168</v>
      </c>
      <c r="CE350" s="504">
        <f t="shared" si="277"/>
        <v>0.975965564</v>
      </c>
      <c r="CF350" s="504">
        <f t="shared" si="277"/>
        <v>0.98039181</v>
      </c>
      <c r="CG350" s="504">
        <f t="shared" si="277"/>
        <v>0.9850508771</v>
      </c>
      <c r="CH350" s="504">
        <f t="shared" si="277"/>
        <v>0.9899408386</v>
      </c>
    </row>
    <row r="351" ht="15.75" customHeight="1">
      <c r="A351" s="431"/>
      <c r="S351" s="431"/>
      <c r="T351" s="431"/>
      <c r="U351" s="431"/>
      <c r="V351" s="431"/>
      <c r="W351" s="431"/>
      <c r="X351" s="431"/>
      <c r="Y351" s="431"/>
      <c r="Z351" s="431"/>
      <c r="AA351" s="431"/>
      <c r="AB351" s="431"/>
      <c r="AC351" s="431"/>
      <c r="AD351" s="431"/>
      <c r="AE351" s="431"/>
      <c r="AF351" s="431"/>
      <c r="AG351" s="431"/>
      <c r="AH351" s="431"/>
      <c r="AI351" s="431"/>
      <c r="AJ351" s="431"/>
      <c r="AK351" s="431"/>
      <c r="AL351" s="431"/>
      <c r="AM351" s="431"/>
      <c r="AN351" s="431"/>
      <c r="AO351" s="431"/>
      <c r="AP351" s="431"/>
      <c r="AQ351" s="431"/>
      <c r="AR351" s="431"/>
      <c r="AS351" s="431"/>
      <c r="AT351" s="431"/>
      <c r="AU351" s="431"/>
      <c r="AV351" s="431"/>
      <c r="AW351" s="431"/>
      <c r="AX351" s="431"/>
      <c r="AY351" s="431"/>
      <c r="AZ351" s="431"/>
      <c r="BA351" s="431"/>
      <c r="BB351" s="431"/>
      <c r="BC351" s="431"/>
      <c r="BD351" s="431"/>
      <c r="BE351" s="431"/>
      <c r="BF351" s="431"/>
      <c r="BG351" s="431"/>
      <c r="BH351" s="431"/>
      <c r="BI351" s="431"/>
      <c r="BJ351" s="431"/>
      <c r="BK351" s="431"/>
      <c r="BL351" s="431"/>
      <c r="BM351" s="431"/>
      <c r="BN351" s="431"/>
      <c r="BO351" s="431"/>
      <c r="BP351" s="431"/>
      <c r="BQ351" s="431"/>
      <c r="BR351" s="431"/>
      <c r="BS351" s="431"/>
      <c r="BT351" s="431"/>
      <c r="BU351" s="431"/>
      <c r="BV351" s="431"/>
      <c r="BW351" s="431"/>
      <c r="BX351" s="431"/>
      <c r="BY351" s="431"/>
      <c r="BZ351" s="431"/>
      <c r="CA351" s="431"/>
      <c r="CB351" s="431"/>
      <c r="CC351" s="431"/>
      <c r="CD351" s="431"/>
      <c r="CE351" s="431"/>
      <c r="CF351" s="431"/>
      <c r="CG351" s="431"/>
      <c r="CH351" s="431"/>
    </row>
    <row r="352" ht="15.75" customHeight="1">
      <c r="A352" s="4" t="s">
        <v>787</v>
      </c>
      <c r="S352" s="507">
        <f t="shared" ref="S352:CH352" si="278">S348+S335</f>
        <v>0</v>
      </c>
      <c r="T352" s="507">
        <f t="shared" si="278"/>
        <v>0</v>
      </c>
      <c r="U352" s="507">
        <f t="shared" si="278"/>
        <v>0</v>
      </c>
      <c r="V352" s="460">
        <f t="shared" si="278"/>
        <v>324000</v>
      </c>
      <c r="W352" s="460">
        <f t="shared" si="278"/>
        <v>181250</v>
      </c>
      <c r="X352" s="460">
        <f t="shared" si="278"/>
        <v>175679.5</v>
      </c>
      <c r="Y352" s="460">
        <f t="shared" si="278"/>
        <v>217020.8509</v>
      </c>
      <c r="Z352" s="460">
        <f t="shared" si="278"/>
        <v>136426.866</v>
      </c>
      <c r="AA352" s="460">
        <f t="shared" si="278"/>
        <v>148856.4008</v>
      </c>
      <c r="AB352" s="460">
        <f t="shared" si="278"/>
        <v>182590.866</v>
      </c>
      <c r="AC352" s="460">
        <f t="shared" si="278"/>
        <v>227547.3413</v>
      </c>
      <c r="AD352" s="460">
        <f t="shared" si="278"/>
        <v>262447.377</v>
      </c>
      <c r="AE352" s="460">
        <f t="shared" si="278"/>
        <v>274159.8484</v>
      </c>
      <c r="AF352" s="460">
        <f t="shared" si="278"/>
        <v>279473.4123</v>
      </c>
      <c r="AG352" s="460">
        <f t="shared" si="278"/>
        <v>284891.2175</v>
      </c>
      <c r="AH352" s="460">
        <f t="shared" si="278"/>
        <v>290415.3297</v>
      </c>
      <c r="AI352" s="460">
        <f t="shared" si="278"/>
        <v>308900.2275</v>
      </c>
      <c r="AJ352" s="460">
        <f t="shared" si="278"/>
        <v>319147.8008</v>
      </c>
      <c r="AK352" s="460">
        <f t="shared" si="278"/>
        <v>327596.7685</v>
      </c>
      <c r="AL352" s="460">
        <f t="shared" si="278"/>
        <v>336969.1406</v>
      </c>
      <c r="AM352" s="460">
        <f t="shared" si="278"/>
        <v>230332.4073</v>
      </c>
      <c r="AN352" s="460">
        <f t="shared" si="278"/>
        <v>279360.8364</v>
      </c>
      <c r="AO352" s="460">
        <f t="shared" si="278"/>
        <v>282593.9622</v>
      </c>
      <c r="AP352" s="460">
        <f t="shared" si="278"/>
        <v>285866.6883</v>
      </c>
      <c r="AQ352" s="460">
        <f t="shared" si="278"/>
        <v>289179.5098</v>
      </c>
      <c r="AR352" s="460">
        <f t="shared" si="278"/>
        <v>292532.9278</v>
      </c>
      <c r="AS352" s="460">
        <f t="shared" si="278"/>
        <v>295927.4499</v>
      </c>
      <c r="AT352" s="460">
        <f t="shared" si="278"/>
        <v>299363.5902</v>
      </c>
      <c r="AU352" s="460">
        <f t="shared" si="278"/>
        <v>302841.869</v>
      </c>
      <c r="AV352" s="460">
        <f t="shared" si="278"/>
        <v>306362.8134</v>
      </c>
      <c r="AW352" s="460">
        <f t="shared" si="278"/>
        <v>309926.9571</v>
      </c>
      <c r="AX352" s="460">
        <f t="shared" si="278"/>
        <v>313534.8408</v>
      </c>
      <c r="AY352" s="460">
        <f t="shared" si="278"/>
        <v>317211.883</v>
      </c>
      <c r="AZ352" s="460">
        <f t="shared" si="278"/>
        <v>320825.0946</v>
      </c>
      <c r="BA352" s="460">
        <f t="shared" si="278"/>
        <v>324480.9376</v>
      </c>
      <c r="BB352" s="460">
        <f t="shared" si="278"/>
        <v>328179.9211</v>
      </c>
      <c r="BC352" s="460">
        <f t="shared" si="278"/>
        <v>331922.5606</v>
      </c>
      <c r="BD352" s="460">
        <f t="shared" si="278"/>
        <v>335709.3775</v>
      </c>
      <c r="BE352" s="460">
        <f t="shared" si="278"/>
        <v>339540.8996</v>
      </c>
      <c r="BF352" s="460">
        <f t="shared" si="278"/>
        <v>343417.661</v>
      </c>
      <c r="BG352" s="460">
        <f t="shared" si="278"/>
        <v>347340.2023</v>
      </c>
      <c r="BH352" s="460">
        <f t="shared" si="278"/>
        <v>351309.0703</v>
      </c>
      <c r="BI352" s="460">
        <f t="shared" si="278"/>
        <v>355324.8188</v>
      </c>
      <c r="BJ352" s="460">
        <f t="shared" si="278"/>
        <v>359388.0078</v>
      </c>
      <c r="BK352" s="460">
        <f t="shared" si="278"/>
        <v>364939.7548</v>
      </c>
      <c r="BL352" s="460">
        <f t="shared" si="278"/>
        <v>370075.0289</v>
      </c>
      <c r="BM352" s="460">
        <f t="shared" si="278"/>
        <v>344451.1438</v>
      </c>
      <c r="BN352" s="460">
        <f t="shared" si="278"/>
        <v>349400.66</v>
      </c>
      <c r="BO352" s="460">
        <f t="shared" si="278"/>
        <v>354441.4458</v>
      </c>
      <c r="BP352" s="460">
        <f t="shared" si="278"/>
        <v>359575.6551</v>
      </c>
      <c r="BQ352" s="460">
        <f t="shared" si="278"/>
        <v>364805.5022</v>
      </c>
      <c r="BR352" s="460">
        <f t="shared" si="278"/>
        <v>370133.2636</v>
      </c>
      <c r="BS352" s="460">
        <f t="shared" si="278"/>
        <v>375561.28</v>
      </c>
      <c r="BT352" s="460">
        <f t="shared" si="278"/>
        <v>381091.9583</v>
      </c>
      <c r="BU352" s="460">
        <f t="shared" si="278"/>
        <v>386727.7733</v>
      </c>
      <c r="BV352" s="460">
        <f t="shared" si="278"/>
        <v>392471.2703</v>
      </c>
      <c r="BW352" s="460">
        <f t="shared" si="278"/>
        <v>405019.2073</v>
      </c>
      <c r="BX352" s="460">
        <f t="shared" si="278"/>
        <v>406855.9375</v>
      </c>
      <c r="BY352" s="460">
        <f t="shared" si="278"/>
        <v>376805.2818</v>
      </c>
      <c r="BZ352" s="460">
        <f t="shared" si="278"/>
        <v>378446.4169</v>
      </c>
      <c r="CA352" s="460">
        <f t="shared" si="278"/>
        <v>380176.218</v>
      </c>
      <c r="CB352" s="460">
        <f t="shared" si="278"/>
        <v>381993.9309</v>
      </c>
      <c r="CC352" s="460">
        <f t="shared" si="278"/>
        <v>383898.8394</v>
      </c>
      <c r="CD352" s="460">
        <f t="shared" si="278"/>
        <v>385890.2652</v>
      </c>
      <c r="CE352" s="460">
        <f t="shared" si="278"/>
        <v>387967.5667</v>
      </c>
      <c r="CF352" s="460">
        <f t="shared" si="278"/>
        <v>390130.1387</v>
      </c>
      <c r="CG352" s="460">
        <f t="shared" si="278"/>
        <v>392377.4112</v>
      </c>
      <c r="CH352" s="460">
        <f t="shared" si="278"/>
        <v>394708.849</v>
      </c>
    </row>
    <row r="353" ht="15.75" customHeight="1">
      <c r="A353" s="4" t="s">
        <v>788</v>
      </c>
      <c r="S353" s="460">
        <f t="shared" ref="S353:CH353" si="279">S349+S336</f>
        <v>584250</v>
      </c>
      <c r="T353" s="460">
        <f t="shared" si="279"/>
        <v>584250</v>
      </c>
      <c r="U353" s="460">
        <f t="shared" si="279"/>
        <v>584250</v>
      </c>
      <c r="V353" s="460">
        <f t="shared" si="279"/>
        <v>584250</v>
      </c>
      <c r="W353" s="460">
        <f t="shared" si="279"/>
        <v>1088550</v>
      </c>
      <c r="X353" s="460">
        <f t="shared" si="279"/>
        <v>584250</v>
      </c>
      <c r="Y353" s="460">
        <f t="shared" si="279"/>
        <v>669050</v>
      </c>
      <c r="Z353" s="460">
        <f t="shared" si="279"/>
        <v>753850</v>
      </c>
      <c r="AA353" s="460">
        <f t="shared" si="279"/>
        <v>753850</v>
      </c>
      <c r="AB353" s="460">
        <f t="shared" si="279"/>
        <v>753850</v>
      </c>
      <c r="AC353" s="460">
        <f t="shared" si="279"/>
        <v>753850</v>
      </c>
      <c r="AD353" s="460">
        <f t="shared" si="279"/>
        <v>753850</v>
      </c>
      <c r="AE353" s="460">
        <f t="shared" si="279"/>
        <v>753850</v>
      </c>
      <c r="AF353" s="460">
        <f t="shared" si="279"/>
        <v>753850</v>
      </c>
      <c r="AG353" s="460">
        <f t="shared" si="279"/>
        <v>753850</v>
      </c>
      <c r="AH353" s="460">
        <f t="shared" si="279"/>
        <v>753850</v>
      </c>
      <c r="AI353" s="460">
        <f t="shared" si="279"/>
        <v>753850</v>
      </c>
      <c r="AJ353" s="460">
        <f t="shared" si="279"/>
        <v>753850</v>
      </c>
      <c r="AK353" s="460">
        <f t="shared" si="279"/>
        <v>753850</v>
      </c>
      <c r="AL353" s="460">
        <f t="shared" si="279"/>
        <v>753850</v>
      </c>
      <c r="AM353" s="460">
        <f t="shared" si="279"/>
        <v>753850</v>
      </c>
      <c r="AN353" s="460">
        <f t="shared" si="279"/>
        <v>753850</v>
      </c>
      <c r="AO353" s="460">
        <f t="shared" si="279"/>
        <v>753850</v>
      </c>
      <c r="AP353" s="460">
        <f t="shared" si="279"/>
        <v>753850</v>
      </c>
      <c r="AQ353" s="460">
        <f t="shared" si="279"/>
        <v>753850</v>
      </c>
      <c r="AR353" s="460">
        <f t="shared" si="279"/>
        <v>753850</v>
      </c>
      <c r="AS353" s="460">
        <f t="shared" si="279"/>
        <v>753850</v>
      </c>
      <c r="AT353" s="460">
        <f t="shared" si="279"/>
        <v>753850</v>
      </c>
      <c r="AU353" s="460">
        <f t="shared" si="279"/>
        <v>753850</v>
      </c>
      <c r="AV353" s="460">
        <f t="shared" si="279"/>
        <v>753850</v>
      </c>
      <c r="AW353" s="460">
        <f t="shared" si="279"/>
        <v>753850</v>
      </c>
      <c r="AX353" s="460">
        <f t="shared" si="279"/>
        <v>753850</v>
      </c>
      <c r="AY353" s="460">
        <f t="shared" si="279"/>
        <v>753850</v>
      </c>
      <c r="AZ353" s="460">
        <f t="shared" si="279"/>
        <v>753850</v>
      </c>
      <c r="BA353" s="460">
        <f t="shared" si="279"/>
        <v>753850</v>
      </c>
      <c r="BB353" s="460">
        <f t="shared" si="279"/>
        <v>753850</v>
      </c>
      <c r="BC353" s="460">
        <f t="shared" si="279"/>
        <v>753850</v>
      </c>
      <c r="BD353" s="460">
        <f t="shared" si="279"/>
        <v>753850</v>
      </c>
      <c r="BE353" s="460">
        <f t="shared" si="279"/>
        <v>753850</v>
      </c>
      <c r="BF353" s="460">
        <f t="shared" si="279"/>
        <v>753850</v>
      </c>
      <c r="BG353" s="460">
        <f t="shared" si="279"/>
        <v>753850</v>
      </c>
      <c r="BH353" s="460">
        <f t="shared" si="279"/>
        <v>753850</v>
      </c>
      <c r="BI353" s="460">
        <f t="shared" si="279"/>
        <v>753850</v>
      </c>
      <c r="BJ353" s="460">
        <f t="shared" si="279"/>
        <v>753850</v>
      </c>
      <c r="BK353" s="460">
        <f t="shared" si="279"/>
        <v>753850</v>
      </c>
      <c r="BL353" s="460">
        <f t="shared" si="279"/>
        <v>753850</v>
      </c>
      <c r="BM353" s="460">
        <f t="shared" si="279"/>
        <v>753850</v>
      </c>
      <c r="BN353" s="460">
        <f t="shared" si="279"/>
        <v>753850</v>
      </c>
      <c r="BO353" s="460">
        <f t="shared" si="279"/>
        <v>753850</v>
      </c>
      <c r="BP353" s="460">
        <f t="shared" si="279"/>
        <v>753850</v>
      </c>
      <c r="BQ353" s="460">
        <f t="shared" si="279"/>
        <v>753850</v>
      </c>
      <c r="BR353" s="460">
        <f t="shared" si="279"/>
        <v>753850</v>
      </c>
      <c r="BS353" s="460">
        <f t="shared" si="279"/>
        <v>753850</v>
      </c>
      <c r="BT353" s="460">
        <f t="shared" si="279"/>
        <v>753850</v>
      </c>
      <c r="BU353" s="460">
        <f t="shared" si="279"/>
        <v>753850</v>
      </c>
      <c r="BV353" s="460">
        <f t="shared" si="279"/>
        <v>753850</v>
      </c>
      <c r="BW353" s="460">
        <f t="shared" si="279"/>
        <v>753850</v>
      </c>
      <c r="BX353" s="460">
        <f t="shared" si="279"/>
        <v>753850</v>
      </c>
      <c r="BY353" s="460">
        <f t="shared" si="279"/>
        <v>753850</v>
      </c>
      <c r="BZ353" s="460">
        <f t="shared" si="279"/>
        <v>753850</v>
      </c>
      <c r="CA353" s="460">
        <f t="shared" si="279"/>
        <v>753850</v>
      </c>
      <c r="CB353" s="460">
        <f t="shared" si="279"/>
        <v>753850</v>
      </c>
      <c r="CC353" s="460">
        <f t="shared" si="279"/>
        <v>753850</v>
      </c>
      <c r="CD353" s="460">
        <f t="shared" si="279"/>
        <v>753850</v>
      </c>
      <c r="CE353" s="460">
        <f t="shared" si="279"/>
        <v>753850</v>
      </c>
      <c r="CF353" s="460">
        <f t="shared" si="279"/>
        <v>753850</v>
      </c>
      <c r="CG353" s="460">
        <f t="shared" si="279"/>
        <v>753850</v>
      </c>
      <c r="CH353" s="460">
        <f t="shared" si="279"/>
        <v>753850</v>
      </c>
    </row>
    <row r="354" ht="15.75" customHeight="1">
      <c r="A354" s="119" t="s">
        <v>789</v>
      </c>
      <c r="B354" s="124"/>
      <c r="C354" s="124"/>
      <c r="D354" s="124"/>
      <c r="E354" s="124"/>
      <c r="F354" s="124"/>
      <c r="G354" s="124"/>
      <c r="H354" s="124"/>
      <c r="I354" s="124"/>
      <c r="J354" s="124"/>
      <c r="K354" s="124"/>
      <c r="L354" s="124"/>
      <c r="M354" s="124"/>
      <c r="N354" s="124"/>
      <c r="O354" s="124"/>
      <c r="P354" s="124"/>
      <c r="Q354" s="124"/>
      <c r="R354" s="124"/>
      <c r="S354" s="508">
        <f t="shared" ref="S354:CH354" si="280">S352/S353</f>
        <v>0</v>
      </c>
      <c r="T354" s="508">
        <f t="shared" si="280"/>
        <v>0</v>
      </c>
      <c r="U354" s="508">
        <f t="shared" si="280"/>
        <v>0</v>
      </c>
      <c r="V354" s="508">
        <f t="shared" si="280"/>
        <v>0.5545571245</v>
      </c>
      <c r="W354" s="508">
        <f t="shared" si="280"/>
        <v>0.1665059023</v>
      </c>
      <c r="X354" s="508">
        <f t="shared" si="280"/>
        <v>0.3006923406</v>
      </c>
      <c r="Y354" s="508">
        <f t="shared" si="280"/>
        <v>0.3243716476</v>
      </c>
      <c r="Z354" s="508">
        <f t="shared" si="280"/>
        <v>0.1809734907</v>
      </c>
      <c r="AA354" s="508">
        <f t="shared" si="280"/>
        <v>0.197461565</v>
      </c>
      <c r="AB354" s="508">
        <f t="shared" si="280"/>
        <v>0.2422111375</v>
      </c>
      <c r="AC354" s="508">
        <f t="shared" si="280"/>
        <v>0.301846974</v>
      </c>
      <c r="AD354" s="508">
        <f t="shared" si="280"/>
        <v>0.3481427034</v>
      </c>
      <c r="AE354" s="508">
        <f t="shared" si="280"/>
        <v>0.363679576</v>
      </c>
      <c r="AF354" s="508">
        <f t="shared" si="280"/>
        <v>0.3707281453</v>
      </c>
      <c r="AG354" s="508">
        <f t="shared" si="280"/>
        <v>0.3779149931</v>
      </c>
      <c r="AH354" s="508">
        <f t="shared" si="280"/>
        <v>0.3852428596</v>
      </c>
      <c r="AI354" s="508">
        <f t="shared" si="280"/>
        <v>0.4097635173</v>
      </c>
      <c r="AJ354" s="508">
        <f t="shared" si="280"/>
        <v>0.4233571676</v>
      </c>
      <c r="AK354" s="508">
        <f t="shared" si="280"/>
        <v>0.4345649248</v>
      </c>
      <c r="AL354" s="508">
        <f t="shared" si="280"/>
        <v>0.4469975998</v>
      </c>
      <c r="AM354" s="508">
        <f t="shared" si="280"/>
        <v>0.3055414303</v>
      </c>
      <c r="AN354" s="508">
        <f t="shared" si="280"/>
        <v>0.3705788107</v>
      </c>
      <c r="AO354" s="508">
        <f t="shared" si="280"/>
        <v>0.3748676291</v>
      </c>
      <c r="AP354" s="508">
        <f t="shared" si="280"/>
        <v>0.3792089783</v>
      </c>
      <c r="AQ354" s="508">
        <f t="shared" si="280"/>
        <v>0.383603515</v>
      </c>
      <c r="AR354" s="508">
        <f t="shared" si="280"/>
        <v>0.388051904</v>
      </c>
      <c r="AS354" s="508">
        <f t="shared" si="280"/>
        <v>0.3925548185</v>
      </c>
      <c r="AT354" s="508">
        <f t="shared" si="280"/>
        <v>0.3971129405</v>
      </c>
      <c r="AU354" s="508">
        <f t="shared" si="280"/>
        <v>0.4017269602</v>
      </c>
      <c r="AV354" s="508">
        <f t="shared" si="280"/>
        <v>0.4063975769</v>
      </c>
      <c r="AW354" s="508">
        <f t="shared" si="280"/>
        <v>0.4111254986</v>
      </c>
      <c r="AX354" s="508">
        <f t="shared" si="280"/>
        <v>0.4159114423</v>
      </c>
      <c r="AY354" s="508">
        <f t="shared" si="280"/>
        <v>0.4207891265</v>
      </c>
      <c r="AZ354" s="508">
        <f t="shared" si="280"/>
        <v>0.4255821379</v>
      </c>
      <c r="BA354" s="508">
        <f t="shared" si="280"/>
        <v>0.4304317007</v>
      </c>
      <c r="BB354" s="508">
        <f t="shared" si="280"/>
        <v>0.4353384906</v>
      </c>
      <c r="BC354" s="508">
        <f t="shared" si="280"/>
        <v>0.4403031911</v>
      </c>
      <c r="BD354" s="508">
        <f t="shared" si="280"/>
        <v>0.445326494</v>
      </c>
      <c r="BE354" s="508">
        <f t="shared" si="280"/>
        <v>0.4504090994</v>
      </c>
      <c r="BF354" s="508">
        <f t="shared" si="280"/>
        <v>0.4555517159</v>
      </c>
      <c r="BG354" s="508">
        <f t="shared" si="280"/>
        <v>0.4607550604</v>
      </c>
      <c r="BH354" s="508">
        <f t="shared" si="280"/>
        <v>0.4660198585</v>
      </c>
      <c r="BI354" s="508">
        <f t="shared" si="280"/>
        <v>0.4713468446</v>
      </c>
      <c r="BJ354" s="508">
        <f t="shared" si="280"/>
        <v>0.4767367617</v>
      </c>
      <c r="BK354" s="508">
        <f t="shared" si="280"/>
        <v>0.4841012865</v>
      </c>
      <c r="BL354" s="508">
        <f t="shared" si="280"/>
        <v>0.49091335</v>
      </c>
      <c r="BM354" s="508">
        <f t="shared" si="280"/>
        <v>0.4569226554</v>
      </c>
      <c r="BN354" s="508">
        <f t="shared" si="280"/>
        <v>0.4634883066</v>
      </c>
      <c r="BO354" s="508">
        <f t="shared" si="280"/>
        <v>0.4701750292</v>
      </c>
      <c r="BP354" s="508">
        <f t="shared" si="280"/>
        <v>0.4769856803</v>
      </c>
      <c r="BQ354" s="508">
        <f t="shared" si="280"/>
        <v>0.4839231972</v>
      </c>
      <c r="BR354" s="508">
        <f t="shared" si="280"/>
        <v>0.4909905998</v>
      </c>
      <c r="BS354" s="508">
        <f t="shared" si="280"/>
        <v>0.498190993</v>
      </c>
      <c r="BT354" s="508">
        <f t="shared" si="280"/>
        <v>0.5055275695</v>
      </c>
      <c r="BU354" s="508">
        <f t="shared" si="280"/>
        <v>0.5130036125</v>
      </c>
      <c r="BV354" s="508">
        <f t="shared" si="280"/>
        <v>0.5206224982</v>
      </c>
      <c r="BW354" s="508">
        <f t="shared" si="280"/>
        <v>0.5372676359</v>
      </c>
      <c r="BX354" s="508">
        <f t="shared" si="280"/>
        <v>0.5397041023</v>
      </c>
      <c r="BY354" s="508">
        <f t="shared" si="280"/>
        <v>0.499841191</v>
      </c>
      <c r="BZ354" s="508">
        <f t="shared" si="280"/>
        <v>0.5020181958</v>
      </c>
      <c r="CA354" s="508">
        <f t="shared" si="280"/>
        <v>0.5043128183</v>
      </c>
      <c r="CB354" s="508">
        <f t="shared" si="280"/>
        <v>0.5067240577</v>
      </c>
      <c r="CC354" s="508">
        <f t="shared" si="280"/>
        <v>0.5092509642</v>
      </c>
      <c r="CD354" s="508">
        <f t="shared" si="280"/>
        <v>0.511892638</v>
      </c>
      <c r="CE354" s="508">
        <f t="shared" si="280"/>
        <v>0.514648228</v>
      </c>
      <c r="CF354" s="508">
        <f t="shared" si="280"/>
        <v>0.5175169313</v>
      </c>
      <c r="CG354" s="508">
        <f t="shared" si="280"/>
        <v>0.5204979919</v>
      </c>
      <c r="CH354" s="508">
        <f t="shared" si="280"/>
        <v>0.5235906998</v>
      </c>
    </row>
    <row r="355" ht="15.75" customHeight="1">
      <c r="A355" s="91"/>
      <c r="B355" s="305"/>
      <c r="O355" s="5"/>
      <c r="P355" s="5"/>
      <c r="Q355" s="5"/>
      <c r="R355" s="5"/>
      <c r="S355" s="5"/>
      <c r="T355" s="5"/>
    </row>
    <row r="356" ht="15.75" customHeight="1">
      <c r="A356" s="91"/>
      <c r="B356" s="305"/>
      <c r="O356" s="5"/>
      <c r="P356" s="5"/>
      <c r="Q356" s="5"/>
      <c r="R356" s="5"/>
      <c r="S356" s="5"/>
      <c r="T356" s="5"/>
    </row>
    <row r="357" ht="15.75" customHeight="1">
      <c r="A357" s="1"/>
      <c r="B357" s="221" t="s">
        <v>790</v>
      </c>
      <c r="O357" s="5"/>
      <c r="P357" s="5"/>
      <c r="Q357" s="5"/>
      <c r="R357" s="5"/>
      <c r="S357" s="8"/>
      <c r="T357" s="8"/>
      <c r="U357" s="8"/>
      <c r="V357" s="8"/>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row>
    <row r="358" ht="15.75" customHeight="1">
      <c r="A358" s="1" t="s">
        <v>791</v>
      </c>
      <c r="B358" s="283">
        <v>0.8</v>
      </c>
      <c r="O358" s="5"/>
      <c r="P358" s="5"/>
      <c r="Q358" s="5"/>
      <c r="R358" s="5"/>
      <c r="S358" s="8"/>
      <c r="T358" s="8"/>
      <c r="U358" s="8"/>
      <c r="V358" s="8"/>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row>
    <row r="359" ht="15.75" customHeight="1">
      <c r="A359" s="1" t="s">
        <v>792</v>
      </c>
      <c r="B359" s="283">
        <v>0.266667</v>
      </c>
      <c r="O359" s="5"/>
      <c r="P359" s="5"/>
      <c r="Q359" s="5"/>
      <c r="R359" s="5"/>
      <c r="S359" s="8"/>
      <c r="T359" s="8"/>
      <c r="U359" s="8"/>
      <c r="V359" s="8"/>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row>
    <row r="360" ht="15.75" customHeight="1">
      <c r="A360" s="1" t="s">
        <v>793</v>
      </c>
      <c r="B360" s="283">
        <v>0.8</v>
      </c>
      <c r="O360" s="5"/>
      <c r="P360" s="5"/>
      <c r="Q360" s="5"/>
      <c r="R360" s="5"/>
      <c r="S360" s="8"/>
      <c r="T360" s="8"/>
      <c r="U360" s="8"/>
      <c r="V360" s="8"/>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row>
    <row r="361" ht="15.75" customHeight="1">
      <c r="A361" s="1" t="s">
        <v>632</v>
      </c>
      <c r="B361" s="283">
        <v>0.1</v>
      </c>
      <c r="O361" s="5"/>
      <c r="P361" s="5"/>
      <c r="Q361" s="5"/>
      <c r="R361" s="5"/>
      <c r="S361" s="8"/>
      <c r="T361" s="8"/>
      <c r="U361" s="8"/>
      <c r="V361" s="8"/>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row>
    <row r="362" ht="15.75" customHeight="1">
      <c r="A362" s="1" t="s">
        <v>638</v>
      </c>
      <c r="B362" s="283">
        <v>0.5</v>
      </c>
      <c r="O362" s="5"/>
      <c r="P362" s="5"/>
      <c r="Q362" s="5"/>
      <c r="R362" s="5"/>
      <c r="S362" s="8"/>
      <c r="T362" s="8"/>
      <c r="U362" s="8"/>
      <c r="V362" s="8"/>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row>
    <row r="363" ht="15.75" customHeight="1">
      <c r="A363" s="1" t="s">
        <v>794</v>
      </c>
      <c r="B363" s="283">
        <v>0.5</v>
      </c>
      <c r="O363" s="5"/>
      <c r="P363" s="5"/>
      <c r="Q363" s="5"/>
      <c r="R363" s="5"/>
      <c r="S363" s="8"/>
      <c r="T363" s="8"/>
      <c r="U363" s="8"/>
      <c r="V363" s="8"/>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row>
    <row r="364" ht="15.75" customHeight="1">
      <c r="A364" s="91"/>
      <c r="B364" s="305"/>
      <c r="O364" s="5"/>
      <c r="P364" s="5"/>
      <c r="Q364" s="5"/>
      <c r="R364" s="5"/>
      <c r="S364" s="8"/>
      <c r="T364" s="8"/>
      <c r="U364" s="8"/>
      <c r="V364" s="8"/>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row>
    <row r="365" ht="15.75" customHeight="1">
      <c r="A365" s="91"/>
      <c r="B365" s="221" t="s">
        <v>795</v>
      </c>
      <c r="O365" s="5"/>
      <c r="P365" s="5"/>
      <c r="Q365" s="5"/>
      <c r="R365" s="5"/>
      <c r="S365" s="8"/>
      <c r="T365" s="8"/>
      <c r="U365" s="8"/>
      <c r="V365" s="8"/>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row>
    <row r="366" ht="15.75" customHeight="1">
      <c r="A366" s="1" t="s">
        <v>791</v>
      </c>
      <c r="B366" s="282">
        <f t="shared" ref="B366:B371" si="281">1-B358</f>
        <v>0.2</v>
      </c>
      <c r="O366" s="5"/>
      <c r="P366" s="5"/>
      <c r="Q366" s="5"/>
      <c r="R366" s="5"/>
      <c r="S366" s="8"/>
      <c r="T366" s="8"/>
      <c r="U366" s="8"/>
      <c r="V366" s="8"/>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row>
    <row r="367" ht="15.75" customHeight="1">
      <c r="A367" s="1" t="s">
        <v>792</v>
      </c>
      <c r="B367" s="282">
        <f t="shared" si="281"/>
        <v>0.733333</v>
      </c>
      <c r="O367" s="5"/>
      <c r="P367" s="5"/>
      <c r="Q367" s="5"/>
      <c r="R367" s="5"/>
      <c r="S367" s="8"/>
      <c r="T367" s="8"/>
      <c r="U367" s="8"/>
      <c r="V367" s="8"/>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row>
    <row r="368" ht="15.75" customHeight="1">
      <c r="A368" s="1" t="s">
        <v>793</v>
      </c>
      <c r="B368" s="282">
        <f t="shared" si="281"/>
        <v>0.2</v>
      </c>
      <c r="O368" s="5"/>
      <c r="P368" s="5"/>
      <c r="Q368" s="5"/>
      <c r="R368" s="5"/>
      <c r="S368" s="8"/>
      <c r="T368" s="8"/>
      <c r="U368" s="8"/>
      <c r="V368" s="8"/>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row>
    <row r="369" ht="15.75" customHeight="1">
      <c r="A369" s="1" t="s">
        <v>632</v>
      </c>
      <c r="B369" s="282">
        <f t="shared" si="281"/>
        <v>0.9</v>
      </c>
      <c r="O369" s="5"/>
      <c r="P369" s="5"/>
      <c r="Q369" s="5"/>
      <c r="R369" s="5"/>
      <c r="S369" s="8"/>
      <c r="T369" s="8"/>
      <c r="U369" s="8"/>
      <c r="V369" s="8"/>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row>
    <row r="370" ht="15.75" customHeight="1">
      <c r="A370" s="1" t="s">
        <v>638</v>
      </c>
      <c r="B370" s="282">
        <f t="shared" si="281"/>
        <v>0.5</v>
      </c>
      <c r="O370" s="5"/>
      <c r="P370" s="5"/>
      <c r="Q370" s="5"/>
      <c r="R370" s="5"/>
      <c r="S370" s="8"/>
      <c r="T370" s="8"/>
      <c r="U370" s="8"/>
      <c r="V370" s="8"/>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row>
    <row r="371" ht="15.75" customHeight="1">
      <c r="A371" s="1" t="s">
        <v>794</v>
      </c>
      <c r="B371" s="282">
        <f t="shared" si="281"/>
        <v>0.5</v>
      </c>
      <c r="O371" s="5"/>
      <c r="P371" s="5"/>
      <c r="Q371" s="5"/>
      <c r="R371" s="5"/>
      <c r="S371" s="8"/>
      <c r="T371" s="8"/>
      <c r="U371" s="8"/>
      <c r="V371" s="8"/>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row>
    <row r="372" ht="15.75" customHeight="1">
      <c r="A372" s="91"/>
      <c r="B372" s="305"/>
      <c r="O372" s="5"/>
      <c r="P372" s="5"/>
      <c r="Q372" s="5"/>
      <c r="R372" s="5"/>
      <c r="S372" s="8"/>
      <c r="T372" s="8"/>
      <c r="U372" s="8"/>
      <c r="V372" s="8"/>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row>
    <row r="373" ht="15.75" customHeight="1">
      <c r="A373" s="91" t="s">
        <v>796</v>
      </c>
      <c r="B373" s="305"/>
      <c r="O373" s="5"/>
      <c r="P373" s="5"/>
      <c r="Q373" s="5"/>
      <c r="R373" s="5"/>
      <c r="S373" s="1">
        <f t="shared" ref="S373:CH373" si="282">S320+S326+S339</f>
        <v>3</v>
      </c>
      <c r="T373" s="1">
        <f t="shared" si="282"/>
        <v>3</v>
      </c>
      <c r="U373" s="1">
        <f t="shared" si="282"/>
        <v>3</v>
      </c>
      <c r="V373" s="1">
        <f t="shared" si="282"/>
        <v>3</v>
      </c>
      <c r="W373" s="5">
        <f t="shared" si="282"/>
        <v>5</v>
      </c>
      <c r="X373" s="5">
        <f t="shared" si="282"/>
        <v>3</v>
      </c>
      <c r="Y373" s="5">
        <f t="shared" si="282"/>
        <v>4</v>
      </c>
      <c r="Z373" s="1">
        <f t="shared" si="282"/>
        <v>5</v>
      </c>
      <c r="AA373" s="1">
        <f t="shared" si="282"/>
        <v>5</v>
      </c>
      <c r="AB373" s="1">
        <f t="shared" si="282"/>
        <v>5</v>
      </c>
      <c r="AC373" s="1">
        <f t="shared" si="282"/>
        <v>5</v>
      </c>
      <c r="AD373" s="1">
        <f t="shared" si="282"/>
        <v>5</v>
      </c>
      <c r="AE373" s="1">
        <f t="shared" si="282"/>
        <v>5</v>
      </c>
      <c r="AF373" s="1">
        <f t="shared" si="282"/>
        <v>5</v>
      </c>
      <c r="AG373" s="1">
        <f t="shared" si="282"/>
        <v>5</v>
      </c>
      <c r="AH373" s="1">
        <f t="shared" si="282"/>
        <v>5</v>
      </c>
      <c r="AI373" s="1">
        <f t="shared" si="282"/>
        <v>5</v>
      </c>
      <c r="AJ373" s="1">
        <f t="shared" si="282"/>
        <v>5</v>
      </c>
      <c r="AK373" s="1">
        <f t="shared" si="282"/>
        <v>5</v>
      </c>
      <c r="AL373" s="1">
        <f t="shared" si="282"/>
        <v>5</v>
      </c>
      <c r="AM373" s="1">
        <f t="shared" si="282"/>
        <v>5</v>
      </c>
      <c r="AN373" s="1">
        <f t="shared" si="282"/>
        <v>5</v>
      </c>
      <c r="AO373" s="1">
        <f t="shared" si="282"/>
        <v>5</v>
      </c>
      <c r="AP373" s="1">
        <f t="shared" si="282"/>
        <v>5</v>
      </c>
      <c r="AQ373" s="1">
        <f t="shared" si="282"/>
        <v>5</v>
      </c>
      <c r="AR373" s="1">
        <f t="shared" si="282"/>
        <v>5</v>
      </c>
      <c r="AS373" s="1">
        <f t="shared" si="282"/>
        <v>5</v>
      </c>
      <c r="AT373" s="1">
        <f t="shared" si="282"/>
        <v>5</v>
      </c>
      <c r="AU373" s="1">
        <f t="shared" si="282"/>
        <v>5</v>
      </c>
      <c r="AV373" s="1">
        <f t="shared" si="282"/>
        <v>5</v>
      </c>
      <c r="AW373" s="1">
        <f t="shared" si="282"/>
        <v>5</v>
      </c>
      <c r="AX373" s="1">
        <f t="shared" si="282"/>
        <v>5</v>
      </c>
      <c r="AY373" s="1">
        <f t="shared" si="282"/>
        <v>5</v>
      </c>
      <c r="AZ373" s="1">
        <f t="shared" si="282"/>
        <v>5</v>
      </c>
      <c r="BA373" s="1">
        <f t="shared" si="282"/>
        <v>5</v>
      </c>
      <c r="BB373" s="1">
        <f t="shared" si="282"/>
        <v>5</v>
      </c>
      <c r="BC373" s="1">
        <f t="shared" si="282"/>
        <v>5</v>
      </c>
      <c r="BD373" s="1">
        <f t="shared" si="282"/>
        <v>5</v>
      </c>
      <c r="BE373" s="1">
        <f t="shared" si="282"/>
        <v>5</v>
      </c>
      <c r="BF373" s="1">
        <f t="shared" si="282"/>
        <v>5</v>
      </c>
      <c r="BG373" s="1">
        <f t="shared" si="282"/>
        <v>5</v>
      </c>
      <c r="BH373" s="1">
        <f t="shared" si="282"/>
        <v>5</v>
      </c>
      <c r="BI373" s="1">
        <f t="shared" si="282"/>
        <v>5</v>
      </c>
      <c r="BJ373" s="1">
        <f t="shared" si="282"/>
        <v>5</v>
      </c>
      <c r="BK373" s="1">
        <f t="shared" si="282"/>
        <v>5</v>
      </c>
      <c r="BL373" s="1">
        <f t="shared" si="282"/>
        <v>5</v>
      </c>
      <c r="BM373" s="1">
        <f t="shared" si="282"/>
        <v>5</v>
      </c>
      <c r="BN373" s="1">
        <f t="shared" si="282"/>
        <v>5</v>
      </c>
      <c r="BO373" s="1">
        <f t="shared" si="282"/>
        <v>5</v>
      </c>
      <c r="BP373" s="1">
        <f t="shared" si="282"/>
        <v>5</v>
      </c>
      <c r="BQ373" s="1">
        <f t="shared" si="282"/>
        <v>5</v>
      </c>
      <c r="BR373" s="1">
        <f t="shared" si="282"/>
        <v>5</v>
      </c>
      <c r="BS373" s="1">
        <f t="shared" si="282"/>
        <v>5</v>
      </c>
      <c r="BT373" s="1">
        <f t="shared" si="282"/>
        <v>5</v>
      </c>
      <c r="BU373" s="1">
        <f t="shared" si="282"/>
        <v>5</v>
      </c>
      <c r="BV373" s="1">
        <f t="shared" si="282"/>
        <v>5</v>
      </c>
      <c r="BW373" s="1">
        <f t="shared" si="282"/>
        <v>5</v>
      </c>
      <c r="BX373" s="1">
        <f t="shared" si="282"/>
        <v>5</v>
      </c>
      <c r="BY373" s="1">
        <f t="shared" si="282"/>
        <v>5</v>
      </c>
      <c r="BZ373" s="1">
        <f t="shared" si="282"/>
        <v>5</v>
      </c>
      <c r="CA373" s="1">
        <f t="shared" si="282"/>
        <v>5</v>
      </c>
      <c r="CB373" s="1">
        <f t="shared" si="282"/>
        <v>5</v>
      </c>
      <c r="CC373" s="1">
        <f t="shared" si="282"/>
        <v>5</v>
      </c>
      <c r="CD373" s="1">
        <f t="shared" si="282"/>
        <v>5</v>
      </c>
      <c r="CE373" s="1">
        <f t="shared" si="282"/>
        <v>5</v>
      </c>
      <c r="CF373" s="1">
        <f t="shared" si="282"/>
        <v>5</v>
      </c>
      <c r="CG373" s="1">
        <f t="shared" si="282"/>
        <v>5</v>
      </c>
      <c r="CH373" s="1">
        <f t="shared" si="282"/>
        <v>5</v>
      </c>
    </row>
    <row r="374" ht="15.75" customHeight="1">
      <c r="A374" s="91"/>
      <c r="B374" s="305"/>
      <c r="O374" s="5"/>
      <c r="P374" s="5"/>
      <c r="Q374" s="5"/>
      <c r="R374" s="5"/>
      <c r="S374" s="5"/>
      <c r="T374" s="5"/>
    </row>
    <row r="375" ht="15.75" customHeight="1">
      <c r="A375" s="91"/>
      <c r="B375" s="305"/>
      <c r="O375" s="5"/>
      <c r="P375" s="5"/>
      <c r="Q375" s="5"/>
      <c r="R375" s="5"/>
      <c r="S375" s="5"/>
      <c r="T375" s="5"/>
    </row>
    <row r="376" ht="15.75" customHeight="1">
      <c r="A376" s="243" t="s">
        <v>797</v>
      </c>
      <c r="B376" s="487"/>
      <c r="C376" s="119"/>
      <c r="D376" s="119"/>
      <c r="E376" s="119"/>
      <c r="F376" s="119"/>
      <c r="G376" s="119"/>
      <c r="H376" s="119"/>
      <c r="I376" s="119"/>
      <c r="J376" s="119"/>
      <c r="K376" s="119"/>
      <c r="L376" s="119"/>
      <c r="M376" s="119"/>
      <c r="N376" s="119"/>
      <c r="O376" s="509">
        <f>Headcount!H19</f>
        <v>8</v>
      </c>
      <c r="P376" s="509">
        <f>Headcount!I19</f>
        <v>8</v>
      </c>
      <c r="Q376" s="509">
        <f>Headcount!J19</f>
        <v>8</v>
      </c>
      <c r="R376" s="509">
        <f t="shared" ref="R376:CH376" si="283">SUM(R306)</f>
        <v>5</v>
      </c>
      <c r="S376" s="509">
        <f t="shared" si="283"/>
        <v>5</v>
      </c>
      <c r="T376" s="509">
        <f t="shared" si="283"/>
        <v>6</v>
      </c>
      <c r="U376" s="509">
        <f t="shared" si="283"/>
        <v>6</v>
      </c>
      <c r="V376" s="509">
        <f t="shared" si="283"/>
        <v>8</v>
      </c>
      <c r="W376" s="509">
        <f t="shared" si="283"/>
        <v>10</v>
      </c>
      <c r="X376" s="509">
        <f t="shared" si="283"/>
        <v>12</v>
      </c>
      <c r="Y376" s="509">
        <f t="shared" si="283"/>
        <v>14</v>
      </c>
      <c r="Z376" s="488">
        <f t="shared" si="283"/>
        <v>17</v>
      </c>
      <c r="AA376" s="488">
        <f t="shared" si="283"/>
        <v>17</v>
      </c>
      <c r="AB376" s="488">
        <f t="shared" si="283"/>
        <v>18</v>
      </c>
      <c r="AC376" s="488">
        <f t="shared" si="283"/>
        <v>19</v>
      </c>
      <c r="AD376" s="488">
        <f t="shared" si="283"/>
        <v>20</v>
      </c>
      <c r="AE376" s="488">
        <f t="shared" si="283"/>
        <v>20</v>
      </c>
      <c r="AF376" s="488">
        <f t="shared" si="283"/>
        <v>20</v>
      </c>
      <c r="AG376" s="488">
        <f t="shared" si="283"/>
        <v>20</v>
      </c>
      <c r="AH376" s="488">
        <f t="shared" si="283"/>
        <v>20</v>
      </c>
      <c r="AI376" s="488">
        <f t="shared" si="283"/>
        <v>20</v>
      </c>
      <c r="AJ376" s="488">
        <f t="shared" si="283"/>
        <v>20</v>
      </c>
      <c r="AK376" s="488">
        <f t="shared" si="283"/>
        <v>20</v>
      </c>
      <c r="AL376" s="488">
        <f t="shared" si="283"/>
        <v>20</v>
      </c>
      <c r="AM376" s="488">
        <f t="shared" si="283"/>
        <v>20</v>
      </c>
      <c r="AN376" s="488">
        <f t="shared" si="283"/>
        <v>20</v>
      </c>
      <c r="AO376" s="488">
        <f t="shared" si="283"/>
        <v>20</v>
      </c>
      <c r="AP376" s="488">
        <f t="shared" si="283"/>
        <v>20</v>
      </c>
      <c r="AQ376" s="488">
        <f t="shared" si="283"/>
        <v>20</v>
      </c>
      <c r="AR376" s="488">
        <f t="shared" si="283"/>
        <v>20</v>
      </c>
      <c r="AS376" s="488">
        <f t="shared" si="283"/>
        <v>20</v>
      </c>
      <c r="AT376" s="488">
        <f t="shared" si="283"/>
        <v>20</v>
      </c>
      <c r="AU376" s="488">
        <f t="shared" si="283"/>
        <v>20</v>
      </c>
      <c r="AV376" s="488">
        <f t="shared" si="283"/>
        <v>20</v>
      </c>
      <c r="AW376" s="488">
        <f t="shared" si="283"/>
        <v>20</v>
      </c>
      <c r="AX376" s="488">
        <f t="shared" si="283"/>
        <v>20</v>
      </c>
      <c r="AY376" s="488">
        <f t="shared" si="283"/>
        <v>20</v>
      </c>
      <c r="AZ376" s="488">
        <f t="shared" si="283"/>
        <v>20</v>
      </c>
      <c r="BA376" s="488">
        <f t="shared" si="283"/>
        <v>20</v>
      </c>
      <c r="BB376" s="488">
        <f t="shared" si="283"/>
        <v>20</v>
      </c>
      <c r="BC376" s="488">
        <f t="shared" si="283"/>
        <v>20</v>
      </c>
      <c r="BD376" s="488">
        <f t="shared" si="283"/>
        <v>20</v>
      </c>
      <c r="BE376" s="488">
        <f t="shared" si="283"/>
        <v>20</v>
      </c>
      <c r="BF376" s="488">
        <f t="shared" si="283"/>
        <v>20</v>
      </c>
      <c r="BG376" s="488">
        <f t="shared" si="283"/>
        <v>20</v>
      </c>
      <c r="BH376" s="488">
        <f t="shared" si="283"/>
        <v>20</v>
      </c>
      <c r="BI376" s="488">
        <f t="shared" si="283"/>
        <v>20</v>
      </c>
      <c r="BJ376" s="488">
        <f t="shared" si="283"/>
        <v>20</v>
      </c>
      <c r="BK376" s="488">
        <f t="shared" si="283"/>
        <v>20</v>
      </c>
      <c r="BL376" s="488">
        <f t="shared" si="283"/>
        <v>20</v>
      </c>
      <c r="BM376" s="488">
        <f t="shared" si="283"/>
        <v>20</v>
      </c>
      <c r="BN376" s="488">
        <f t="shared" si="283"/>
        <v>20</v>
      </c>
      <c r="BO376" s="488">
        <f t="shared" si="283"/>
        <v>20</v>
      </c>
      <c r="BP376" s="488">
        <f t="shared" si="283"/>
        <v>20</v>
      </c>
      <c r="BQ376" s="488">
        <f t="shared" si="283"/>
        <v>20</v>
      </c>
      <c r="BR376" s="488">
        <f t="shared" si="283"/>
        <v>20</v>
      </c>
      <c r="BS376" s="488">
        <f t="shared" si="283"/>
        <v>20</v>
      </c>
      <c r="BT376" s="488">
        <f t="shared" si="283"/>
        <v>20</v>
      </c>
      <c r="BU376" s="488">
        <f t="shared" si="283"/>
        <v>20</v>
      </c>
      <c r="BV376" s="488">
        <f t="shared" si="283"/>
        <v>20</v>
      </c>
      <c r="BW376" s="488">
        <f t="shared" si="283"/>
        <v>20</v>
      </c>
      <c r="BX376" s="488">
        <f t="shared" si="283"/>
        <v>20</v>
      </c>
      <c r="BY376" s="488">
        <f t="shared" si="283"/>
        <v>20</v>
      </c>
      <c r="BZ376" s="488">
        <f t="shared" si="283"/>
        <v>20</v>
      </c>
      <c r="CA376" s="488">
        <f t="shared" si="283"/>
        <v>20</v>
      </c>
      <c r="CB376" s="488">
        <f t="shared" si="283"/>
        <v>20</v>
      </c>
      <c r="CC376" s="488">
        <f t="shared" si="283"/>
        <v>20</v>
      </c>
      <c r="CD376" s="488">
        <f t="shared" si="283"/>
        <v>20</v>
      </c>
      <c r="CE376" s="488">
        <f t="shared" si="283"/>
        <v>20</v>
      </c>
      <c r="CF376" s="488">
        <f t="shared" si="283"/>
        <v>20</v>
      </c>
      <c r="CG376" s="488">
        <f t="shared" si="283"/>
        <v>20</v>
      </c>
      <c r="CH376" s="488">
        <f t="shared" si="283"/>
        <v>20</v>
      </c>
    </row>
    <row r="377" ht="15.75" customHeight="1">
      <c r="A377" s="91" t="s">
        <v>798</v>
      </c>
      <c r="B377" s="305"/>
      <c r="U377" s="146">
        <f t="shared" ref="U377:V377" si="284">T376-U376</f>
        <v>0</v>
      </c>
      <c r="V377" s="146">
        <f t="shared" si="284"/>
        <v>-2</v>
      </c>
      <c r="W377" s="146">
        <f t="shared" ref="W377:CG377" si="285">X376-W376</f>
        <v>2</v>
      </c>
      <c r="X377" s="146">
        <f t="shared" si="285"/>
        <v>2</v>
      </c>
      <c r="Y377" s="146">
        <f t="shared" si="285"/>
        <v>3</v>
      </c>
      <c r="Z377" s="146">
        <f t="shared" si="285"/>
        <v>0</v>
      </c>
      <c r="AA377" s="146">
        <f t="shared" si="285"/>
        <v>1</v>
      </c>
      <c r="AB377" s="146">
        <f t="shared" si="285"/>
        <v>1</v>
      </c>
      <c r="AC377" s="146">
        <f t="shared" si="285"/>
        <v>1</v>
      </c>
      <c r="AD377" s="146">
        <f t="shared" si="285"/>
        <v>0</v>
      </c>
      <c r="AE377" s="146">
        <f t="shared" si="285"/>
        <v>0</v>
      </c>
      <c r="AF377" s="146">
        <f t="shared" si="285"/>
        <v>0</v>
      </c>
      <c r="AG377" s="146">
        <f t="shared" si="285"/>
        <v>0</v>
      </c>
      <c r="AH377" s="146">
        <f t="shared" si="285"/>
        <v>0</v>
      </c>
      <c r="AI377" s="146">
        <f t="shared" si="285"/>
        <v>0</v>
      </c>
      <c r="AJ377" s="146">
        <f t="shared" si="285"/>
        <v>0</v>
      </c>
      <c r="AK377" s="146">
        <f t="shared" si="285"/>
        <v>0</v>
      </c>
      <c r="AL377" s="146">
        <f t="shared" si="285"/>
        <v>0</v>
      </c>
      <c r="AM377" s="146">
        <f t="shared" si="285"/>
        <v>0</v>
      </c>
      <c r="AN377" s="146">
        <f t="shared" si="285"/>
        <v>0</v>
      </c>
      <c r="AO377" s="146">
        <f t="shared" si="285"/>
        <v>0</v>
      </c>
      <c r="AP377" s="146">
        <f t="shared" si="285"/>
        <v>0</v>
      </c>
      <c r="AQ377" s="146">
        <f t="shared" si="285"/>
        <v>0</v>
      </c>
      <c r="AR377" s="146">
        <f t="shared" si="285"/>
        <v>0</v>
      </c>
      <c r="AS377" s="146">
        <f t="shared" si="285"/>
        <v>0</v>
      </c>
      <c r="AT377" s="146">
        <f t="shared" si="285"/>
        <v>0</v>
      </c>
      <c r="AU377" s="146">
        <f t="shared" si="285"/>
        <v>0</v>
      </c>
      <c r="AV377" s="146">
        <f t="shared" si="285"/>
        <v>0</v>
      </c>
      <c r="AW377" s="146">
        <f t="shared" si="285"/>
        <v>0</v>
      </c>
      <c r="AX377" s="146">
        <f t="shared" si="285"/>
        <v>0</v>
      </c>
      <c r="AY377" s="146">
        <f t="shared" si="285"/>
        <v>0</v>
      </c>
      <c r="AZ377" s="146">
        <f t="shared" si="285"/>
        <v>0</v>
      </c>
      <c r="BA377" s="146">
        <f t="shared" si="285"/>
        <v>0</v>
      </c>
      <c r="BB377" s="146">
        <f t="shared" si="285"/>
        <v>0</v>
      </c>
      <c r="BC377" s="146">
        <f t="shared" si="285"/>
        <v>0</v>
      </c>
      <c r="BD377" s="146">
        <f t="shared" si="285"/>
        <v>0</v>
      </c>
      <c r="BE377" s="146">
        <f t="shared" si="285"/>
        <v>0</v>
      </c>
      <c r="BF377" s="146">
        <f t="shared" si="285"/>
        <v>0</v>
      </c>
      <c r="BG377" s="146">
        <f t="shared" si="285"/>
        <v>0</v>
      </c>
      <c r="BH377" s="146">
        <f t="shared" si="285"/>
        <v>0</v>
      </c>
      <c r="BI377" s="146">
        <f t="shared" si="285"/>
        <v>0</v>
      </c>
      <c r="BJ377" s="146">
        <f t="shared" si="285"/>
        <v>0</v>
      </c>
      <c r="BK377" s="146">
        <f t="shared" si="285"/>
        <v>0</v>
      </c>
      <c r="BL377" s="146">
        <f t="shared" si="285"/>
        <v>0</v>
      </c>
      <c r="BM377" s="146">
        <f t="shared" si="285"/>
        <v>0</v>
      </c>
      <c r="BN377" s="146">
        <f t="shared" si="285"/>
        <v>0</v>
      </c>
      <c r="BO377" s="146">
        <f t="shared" si="285"/>
        <v>0</v>
      </c>
      <c r="BP377" s="146">
        <f t="shared" si="285"/>
        <v>0</v>
      </c>
      <c r="BQ377" s="146">
        <f t="shared" si="285"/>
        <v>0</v>
      </c>
      <c r="BR377" s="146">
        <f t="shared" si="285"/>
        <v>0</v>
      </c>
      <c r="BS377" s="146">
        <f t="shared" si="285"/>
        <v>0</v>
      </c>
      <c r="BT377" s="146">
        <f t="shared" si="285"/>
        <v>0</v>
      </c>
      <c r="BU377" s="146">
        <f t="shared" si="285"/>
        <v>0</v>
      </c>
      <c r="BV377" s="146">
        <f t="shared" si="285"/>
        <v>0</v>
      </c>
      <c r="BW377" s="146">
        <f t="shared" si="285"/>
        <v>0</v>
      </c>
      <c r="BX377" s="146">
        <f t="shared" si="285"/>
        <v>0</v>
      </c>
      <c r="BY377" s="146">
        <f t="shared" si="285"/>
        <v>0</v>
      </c>
      <c r="BZ377" s="146">
        <f t="shared" si="285"/>
        <v>0</v>
      </c>
      <c r="CA377" s="146">
        <f t="shared" si="285"/>
        <v>0</v>
      </c>
      <c r="CB377" s="146">
        <f t="shared" si="285"/>
        <v>0</v>
      </c>
      <c r="CC377" s="146">
        <f t="shared" si="285"/>
        <v>0</v>
      </c>
      <c r="CD377" s="146">
        <f t="shared" si="285"/>
        <v>0</v>
      </c>
      <c r="CE377" s="146">
        <f t="shared" si="285"/>
        <v>0</v>
      </c>
      <c r="CF377" s="146">
        <f t="shared" si="285"/>
        <v>0</v>
      </c>
      <c r="CG377" s="146">
        <f t="shared" si="285"/>
        <v>0</v>
      </c>
      <c r="CH377" s="1">
        <v>0.0</v>
      </c>
    </row>
    <row r="378" ht="15.75" customHeight="1">
      <c r="A378" s="91"/>
      <c r="B378" s="137"/>
    </row>
    <row r="379" ht="15.75" customHeight="1">
      <c r="A379" s="91"/>
      <c r="B379" s="137"/>
    </row>
    <row r="380" ht="15.75" customHeight="1">
      <c r="A380" s="91"/>
      <c r="B380" s="137"/>
    </row>
    <row r="381" ht="15.75" customHeight="1">
      <c r="A381" s="91"/>
      <c r="B381" s="137"/>
    </row>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2" outlineLevelRow="1"/>
  <cols>
    <col customWidth="1" min="1" max="1" width="33.57"/>
    <col customWidth="1" min="2" max="2" width="16.29"/>
    <col customWidth="1" min="3" max="3" width="46.29"/>
    <col customWidth="1" min="4" max="15" width="12.57" outlineLevel="2"/>
    <col customWidth="1" min="16" max="63" width="12.0" outlineLevel="1"/>
    <col customWidth="1" min="64" max="87" width="12.0"/>
    <col customWidth="1" min="88" max="89" width="8.71"/>
    <col customWidth="1" min="90" max="94" width="12.0"/>
    <col customWidth="1" min="95" max="95" width="13.0"/>
  </cols>
  <sheetData>
    <row r="1" ht="15.0" hidden="1" customHeight="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ht="15.0" hidden="1" customHeight="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ht="15.0" hidden="1" customHeight="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ht="26.25" customHeight="1">
      <c r="A4" s="91"/>
      <c r="B4" s="91"/>
      <c r="C4" s="91"/>
      <c r="D4" s="241">
        <v>44197.0</v>
      </c>
      <c r="E4" s="241">
        <v>44228.0</v>
      </c>
      <c r="F4" s="241">
        <v>44256.0</v>
      </c>
      <c r="G4" s="241">
        <v>44287.0</v>
      </c>
      <c r="H4" s="241">
        <v>44317.0</v>
      </c>
      <c r="I4" s="241">
        <v>44348.0</v>
      </c>
      <c r="J4" s="241">
        <v>44378.0</v>
      </c>
      <c r="K4" s="241">
        <v>44409.0</v>
      </c>
      <c r="L4" s="241">
        <v>44440.0</v>
      </c>
      <c r="M4" s="241">
        <v>44470.0</v>
      </c>
      <c r="N4" s="241">
        <v>44501.0</v>
      </c>
      <c r="O4" s="241">
        <v>44531.0</v>
      </c>
      <c r="P4" s="92">
        <v>44562.0</v>
      </c>
      <c r="Q4" s="93">
        <v>44593.0</v>
      </c>
      <c r="R4" s="93">
        <v>44621.0</v>
      </c>
      <c r="S4" s="93">
        <v>44652.0</v>
      </c>
      <c r="T4" s="93">
        <v>44682.0</v>
      </c>
      <c r="U4" s="93">
        <v>44713.0</v>
      </c>
      <c r="V4" s="93">
        <v>44743.0</v>
      </c>
      <c r="W4" s="93">
        <v>44774.0</v>
      </c>
      <c r="X4" s="95">
        <v>44805.0</v>
      </c>
      <c r="Y4" s="95">
        <v>44835.0</v>
      </c>
      <c r="Z4" s="95">
        <v>44866.0</v>
      </c>
      <c r="AA4" s="95">
        <v>44896.0</v>
      </c>
      <c r="AB4" s="150">
        <v>44927.0</v>
      </c>
      <c r="AC4" s="97">
        <v>44958.0</v>
      </c>
      <c r="AD4" s="97">
        <v>44986.0</v>
      </c>
      <c r="AE4" s="97">
        <v>45017.0</v>
      </c>
      <c r="AF4" s="98">
        <v>45047.0</v>
      </c>
      <c r="AG4" s="98">
        <v>45078.0</v>
      </c>
      <c r="AH4" s="98">
        <v>45108.0</v>
      </c>
      <c r="AI4" s="98">
        <v>45139.0</v>
      </c>
      <c r="AJ4" s="98">
        <v>45170.0</v>
      </c>
      <c r="AK4" s="98">
        <v>45200.0</v>
      </c>
      <c r="AL4" s="98">
        <v>45231.0</v>
      </c>
      <c r="AM4" s="99">
        <v>45261.0</v>
      </c>
      <c r="AN4" s="100">
        <v>45292.0</v>
      </c>
      <c r="AO4" s="98">
        <v>45323.0</v>
      </c>
      <c r="AP4" s="98">
        <v>45352.0</v>
      </c>
      <c r="AQ4" s="98">
        <v>45383.0</v>
      </c>
      <c r="AR4" s="98">
        <v>45413.0</v>
      </c>
      <c r="AS4" s="98">
        <v>45444.0</v>
      </c>
      <c r="AT4" s="98">
        <v>45474.0</v>
      </c>
      <c r="AU4" s="98">
        <v>45505.0</v>
      </c>
      <c r="AV4" s="98">
        <v>45536.0</v>
      </c>
      <c r="AW4" s="98">
        <v>45566.0</v>
      </c>
      <c r="AX4" s="98">
        <v>45597.0</v>
      </c>
      <c r="AY4" s="99">
        <v>45627.0</v>
      </c>
      <c r="AZ4" s="100">
        <v>45658.0</v>
      </c>
      <c r="BA4" s="98">
        <v>45689.0</v>
      </c>
      <c r="BB4" s="98">
        <v>45717.0</v>
      </c>
      <c r="BC4" s="98">
        <v>45748.0</v>
      </c>
      <c r="BD4" s="98">
        <v>45778.0</v>
      </c>
      <c r="BE4" s="98">
        <v>45809.0</v>
      </c>
      <c r="BF4" s="98">
        <v>45839.0</v>
      </c>
      <c r="BG4" s="98">
        <v>45870.0</v>
      </c>
      <c r="BH4" s="98">
        <v>45901.0</v>
      </c>
      <c r="BI4" s="98">
        <v>45931.0</v>
      </c>
      <c r="BJ4" s="98">
        <v>45962.0</v>
      </c>
      <c r="BK4" s="99">
        <v>45992.0</v>
      </c>
      <c r="BL4" s="100">
        <v>46023.0</v>
      </c>
      <c r="BM4" s="98">
        <v>46054.0</v>
      </c>
      <c r="BN4" s="98">
        <v>46082.0</v>
      </c>
      <c r="BO4" s="98">
        <v>46113.0</v>
      </c>
      <c r="BP4" s="98">
        <v>46143.0</v>
      </c>
      <c r="BQ4" s="98">
        <v>46174.0</v>
      </c>
      <c r="BR4" s="98">
        <v>46204.0</v>
      </c>
      <c r="BS4" s="98">
        <v>46235.0</v>
      </c>
      <c r="BT4" s="98">
        <v>46266.0</v>
      </c>
      <c r="BU4" s="98">
        <v>46296.0</v>
      </c>
      <c r="BV4" s="98">
        <v>46327.0</v>
      </c>
      <c r="BW4" s="99">
        <v>46357.0</v>
      </c>
      <c r="BX4" s="100">
        <v>46388.0</v>
      </c>
      <c r="BY4" s="98">
        <v>46419.0</v>
      </c>
      <c r="BZ4" s="98">
        <v>46447.0</v>
      </c>
      <c r="CA4" s="98">
        <v>46478.0</v>
      </c>
      <c r="CB4" s="98">
        <v>46508.0</v>
      </c>
      <c r="CC4" s="100">
        <v>46539.0</v>
      </c>
      <c r="CD4" s="98">
        <v>46569.0</v>
      </c>
      <c r="CE4" s="98">
        <v>46600.0</v>
      </c>
      <c r="CF4" s="98">
        <v>46631.0</v>
      </c>
      <c r="CG4" s="98">
        <v>46661.0</v>
      </c>
      <c r="CH4" s="98">
        <v>46692.0</v>
      </c>
      <c r="CI4" s="98">
        <v>46722.0</v>
      </c>
      <c r="CL4" s="109" t="s">
        <v>142</v>
      </c>
      <c r="CM4" s="109" t="s">
        <v>143</v>
      </c>
      <c r="CN4" s="109" t="s">
        <v>144</v>
      </c>
      <c r="CO4" s="510" t="s">
        <v>52</v>
      </c>
      <c r="CP4" s="112" t="s">
        <v>53</v>
      </c>
      <c r="CQ4" s="112" t="s">
        <v>48</v>
      </c>
    </row>
    <row r="5">
      <c r="A5" s="1" t="s">
        <v>164</v>
      </c>
      <c r="B5" s="1" t="s">
        <v>165</v>
      </c>
      <c r="C5" s="4" t="s">
        <v>98</v>
      </c>
      <c r="D5" s="247">
        <f>Revenue!C13</f>
        <v>773152</v>
      </c>
      <c r="E5" s="247">
        <f>Revenue!D13</f>
        <v>941422</v>
      </c>
      <c r="F5" s="247">
        <f>Revenue!E13</f>
        <v>893486</v>
      </c>
      <c r="G5" s="247">
        <f>Revenue!F13</f>
        <v>1051449</v>
      </c>
      <c r="H5" s="247">
        <f>Revenue!G13</f>
        <v>895176</v>
      </c>
      <c r="I5" s="247">
        <f>Revenue!H13</f>
        <v>971666</v>
      </c>
      <c r="J5" s="247">
        <f>Revenue!I13</f>
        <v>809898</v>
      </c>
      <c r="K5" s="247">
        <f>Revenue!J13</f>
        <v>777794</v>
      </c>
      <c r="L5" s="247">
        <f>Revenue!K13</f>
        <v>839691</v>
      </c>
      <c r="M5" s="247">
        <f>Revenue!L13</f>
        <v>896666</v>
      </c>
      <c r="N5" s="247">
        <f>Revenue!M13</f>
        <v>872418</v>
      </c>
      <c r="O5" s="247">
        <f>Revenue!N13</f>
        <v>1004888</v>
      </c>
      <c r="P5" s="247">
        <f>Revenue!O13</f>
        <v>1129075</v>
      </c>
      <c r="Q5" s="247">
        <f>Revenue!P13</f>
        <v>972065</v>
      </c>
      <c r="R5" s="247">
        <f>Revenue!Q13</f>
        <v>1065202</v>
      </c>
      <c r="S5" s="247">
        <f>Revenue!R13</f>
        <v>1164976</v>
      </c>
      <c r="T5" s="247">
        <f>Revenue!S13</f>
        <v>1141215</v>
      </c>
      <c r="U5" s="247">
        <f>Revenue!T13</f>
        <v>1026384</v>
      </c>
      <c r="V5" s="247">
        <f>Revenue!U13</f>
        <v>1084442</v>
      </c>
      <c r="W5" s="247">
        <f>Revenue!V13</f>
        <v>1281940</v>
      </c>
      <c r="X5" s="247">
        <f>Revenue!W13</f>
        <v>1204294</v>
      </c>
      <c r="Y5" s="247">
        <f>Revenue!X13</f>
        <v>1076142</v>
      </c>
      <c r="Z5" s="511">
        <f>Revenue!Y13</f>
        <v>1079035</v>
      </c>
      <c r="AA5" s="511">
        <f>Revenue!Z13</f>
        <v>1415790.631</v>
      </c>
      <c r="AB5" s="511">
        <f>Revenue!AA13</f>
        <v>1667456.392</v>
      </c>
      <c r="AC5" s="511">
        <f>Revenue!AB13</f>
        <v>1916164.307</v>
      </c>
      <c r="AD5" s="511">
        <f>Revenue!AC13</f>
        <v>2143927.895</v>
      </c>
      <c r="AE5" s="511">
        <f>Revenue!AD13</f>
        <v>2362030.523</v>
      </c>
      <c r="AF5" s="511">
        <f>Revenue!AE13</f>
        <v>2578733.721</v>
      </c>
      <c r="AG5" s="511">
        <f>Revenue!AF13</f>
        <v>2796714.82</v>
      </c>
      <c r="AH5" s="511">
        <f>Revenue!AG13</f>
        <v>2993212.987</v>
      </c>
      <c r="AI5" s="511">
        <f>Revenue!AH13</f>
        <v>3185918.325</v>
      </c>
      <c r="AJ5" s="511">
        <f>Revenue!AI13</f>
        <v>3374588.725</v>
      </c>
      <c r="AK5" s="511">
        <f>Revenue!AJ13</f>
        <v>3549978.171</v>
      </c>
      <c r="AL5" s="511">
        <f>Revenue!AK13</f>
        <v>3723674.445</v>
      </c>
      <c r="AM5" s="511">
        <f>Revenue!AL13</f>
        <v>3899557.769</v>
      </c>
      <c r="AN5" s="511">
        <f>Revenue!AM13</f>
        <v>4073318.095</v>
      </c>
      <c r="AO5" s="511">
        <f>Revenue!AN13</f>
        <v>4104264.349</v>
      </c>
      <c r="AP5" s="511">
        <f>Revenue!AO13</f>
        <v>4147652.518</v>
      </c>
      <c r="AQ5" s="511">
        <f>Revenue!AP13</f>
        <v>4203892.505</v>
      </c>
      <c r="AR5" s="511">
        <f>Revenue!AQ13</f>
        <v>4263598.691</v>
      </c>
      <c r="AS5" s="511">
        <f>Revenue!AR13</f>
        <v>4325695.573</v>
      </c>
      <c r="AT5" s="511">
        <f>Revenue!AS13</f>
        <v>4387113.817</v>
      </c>
      <c r="AU5" s="511">
        <f>Revenue!AT13</f>
        <v>4461262.247</v>
      </c>
      <c r="AV5" s="511">
        <f>Revenue!AU13</f>
        <v>4521109.201</v>
      </c>
      <c r="AW5" s="511">
        <f>Revenue!AV13</f>
        <v>4580106.491</v>
      </c>
      <c r="AX5" s="511">
        <f>Revenue!AW13</f>
        <v>4638288.148</v>
      </c>
      <c r="AY5" s="511">
        <f>Revenue!AX13</f>
        <v>4695693.717</v>
      </c>
      <c r="AZ5" s="511">
        <f>Revenue!AY13</f>
        <v>4820732.602</v>
      </c>
      <c r="BA5" s="511">
        <f>Revenue!AZ13</f>
        <v>4914856.216</v>
      </c>
      <c r="BB5" s="511">
        <f>Revenue!BA13</f>
        <v>5006077.918</v>
      </c>
      <c r="BC5" s="511">
        <f>Revenue!BB13</f>
        <v>5094952.155</v>
      </c>
      <c r="BD5" s="511">
        <f>Revenue!BC13</f>
        <v>5181837.409</v>
      </c>
      <c r="BE5" s="511">
        <f>Revenue!BD13</f>
        <v>5266964.562</v>
      </c>
      <c r="BF5" s="511">
        <f>Revenue!BE13</f>
        <v>5350509.62</v>
      </c>
      <c r="BG5" s="511">
        <f>Revenue!BF13</f>
        <v>5432616.125</v>
      </c>
      <c r="BH5" s="511">
        <f>Revenue!BG13</f>
        <v>5513405.239</v>
      </c>
      <c r="BI5" s="511">
        <f>Revenue!BH13</f>
        <v>5592981.632</v>
      </c>
      <c r="BJ5" s="511">
        <f>Revenue!BI13</f>
        <v>5671437.41</v>
      </c>
      <c r="BK5" s="511">
        <f>Revenue!BJ13</f>
        <v>5748854.893</v>
      </c>
      <c r="BL5" s="511">
        <f>Revenue!BK13</f>
        <v>5860742.345</v>
      </c>
      <c r="BM5" s="511">
        <f>Revenue!BL13</f>
        <v>5947592.72</v>
      </c>
      <c r="BN5" s="511">
        <f>Revenue!BM13</f>
        <v>6026248.645</v>
      </c>
      <c r="BO5" s="511">
        <f>Revenue!BN13</f>
        <v>6103350.145</v>
      </c>
      <c r="BP5" s="511">
        <f>Revenue!BO13</f>
        <v>6180069.871</v>
      </c>
      <c r="BQ5" s="511">
        <f>Revenue!BP13</f>
        <v>6256437.323</v>
      </c>
      <c r="BR5" s="511">
        <f>Revenue!BQ13</f>
        <v>6332503.361</v>
      </c>
      <c r="BS5" s="511">
        <f>Revenue!BR13</f>
        <v>6408317.12</v>
      </c>
      <c r="BT5" s="511">
        <f>Revenue!BS13</f>
        <v>6483925.121</v>
      </c>
      <c r="BU5" s="511">
        <f>Revenue!BT13</f>
        <v>6559372.097</v>
      </c>
      <c r="BV5" s="511">
        <f>Revenue!BU13</f>
        <v>6634701.496</v>
      </c>
      <c r="BW5" s="511">
        <f>Revenue!BV13</f>
        <v>6709955.734</v>
      </c>
      <c r="BX5" s="511">
        <f>Revenue!BW13</f>
        <v>6812868.679</v>
      </c>
      <c r="BY5" s="511">
        <f>Revenue!BX13</f>
        <v>6860970.95</v>
      </c>
      <c r="BZ5" s="511">
        <f>Revenue!BY13</f>
        <v>6906949.871</v>
      </c>
      <c r="CA5" s="511">
        <f>Revenue!BZ13</f>
        <v>6955328.654</v>
      </c>
      <c r="CB5" s="511">
        <f>Revenue!CA13</f>
        <v>7005105.221</v>
      </c>
      <c r="CC5" s="511">
        <f>Revenue!CB13</f>
        <v>7055526.11</v>
      </c>
      <c r="CD5" s="511">
        <f>Revenue!CC13</f>
        <v>7106276.176</v>
      </c>
      <c r="CE5" s="511">
        <f>Revenue!CD13</f>
        <v>7157194.211</v>
      </c>
      <c r="CF5" s="511">
        <f>Revenue!CE13</f>
        <v>7208189.201</v>
      </c>
      <c r="CG5" s="511">
        <f>Revenue!CF13</f>
        <v>7259209.016</v>
      </c>
      <c r="CH5" s="511">
        <f>Revenue!CG13</f>
        <v>7310225.906</v>
      </c>
      <c r="CI5" s="511">
        <f>Revenue!CH13</f>
        <v>7361228.504</v>
      </c>
      <c r="CJ5" s="512"/>
      <c r="CK5" s="512"/>
      <c r="CL5" s="511">
        <f>SUM(D5:G5)</f>
        <v>3659509</v>
      </c>
      <c r="CM5" s="511">
        <f>SUM(H5:K5)</f>
        <v>3454534</v>
      </c>
      <c r="CN5" s="511">
        <f>SUM(L5:O5)</f>
        <v>3613663</v>
      </c>
      <c r="CO5" s="511">
        <f>SUM(P5:S5)</f>
        <v>4331318</v>
      </c>
      <c r="CP5" s="511">
        <f>SUM(T5:W5)</f>
        <v>4533981</v>
      </c>
      <c r="CQ5" s="511">
        <f>SUM(X5:AA5)</f>
        <v>4775261.631</v>
      </c>
    </row>
    <row r="6">
      <c r="C6" s="115" t="s">
        <v>47</v>
      </c>
      <c r="Q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outlineLevel="1">
      <c r="C7" s="129"/>
      <c r="Q7" s="1"/>
      <c r="R7" s="1"/>
      <c r="Y7" s="1">
        <v>-977845.0</v>
      </c>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outlineLevel="1">
      <c r="C8" s="257" t="s">
        <v>59</v>
      </c>
      <c r="D8" s="247">
        <f>Revenue!C6</f>
        <v>145221</v>
      </c>
      <c r="E8" s="247">
        <f>Revenue!D6</f>
        <v>268153</v>
      </c>
      <c r="F8" s="247">
        <f>Revenue!E6</f>
        <v>202602</v>
      </c>
      <c r="G8" s="247">
        <f>Revenue!F6</f>
        <v>249435</v>
      </c>
      <c r="H8" s="247">
        <f>Revenue!G6</f>
        <v>251204</v>
      </c>
      <c r="I8" s="247">
        <f>Revenue!H6</f>
        <v>175735</v>
      </c>
      <c r="J8" s="247">
        <f>Revenue!I6</f>
        <v>173627</v>
      </c>
      <c r="K8" s="247">
        <f>Revenue!J6</f>
        <v>163316</v>
      </c>
      <c r="L8" s="247">
        <f>Revenue!K6</f>
        <v>214926</v>
      </c>
      <c r="M8" s="247">
        <f>Revenue!L6</f>
        <v>242871</v>
      </c>
      <c r="N8" s="247">
        <f>Revenue!M6</f>
        <v>234725</v>
      </c>
      <c r="O8" s="247">
        <f>Revenue!N6</f>
        <v>201170</v>
      </c>
      <c r="P8" s="247">
        <f>Revenue!O6</f>
        <v>225168</v>
      </c>
      <c r="Q8" s="247">
        <f>Revenue!P6</f>
        <v>202984</v>
      </c>
      <c r="R8" s="247">
        <f>Revenue!Q6</f>
        <v>230137</v>
      </c>
      <c r="S8" s="247">
        <f>Revenue!R6</f>
        <v>215710</v>
      </c>
      <c r="T8" s="247">
        <f>Revenue!S6</f>
        <v>275885</v>
      </c>
      <c r="U8" s="247">
        <f>Revenue!T6</f>
        <v>196349</v>
      </c>
      <c r="V8" s="247">
        <f>Revenue!U6</f>
        <v>274969</v>
      </c>
      <c r="W8" s="247">
        <v>1046775.0</v>
      </c>
      <c r="X8" s="247">
        <v>1017032.33</v>
      </c>
      <c r="Y8" s="247">
        <v>1028576.31</v>
      </c>
      <c r="Z8" s="247">
        <v>1100382.0</v>
      </c>
      <c r="AA8" s="117">
        <f>Revenue!Z6</f>
        <v>424038.3587</v>
      </c>
      <c r="AB8" s="117">
        <f>Revenue!AA6</f>
        <v>504241.5363</v>
      </c>
      <c r="AC8" s="117">
        <f>Revenue!AB6</f>
        <v>582808.2623</v>
      </c>
      <c r="AD8" s="117">
        <f>Revenue!AC6</f>
        <v>656219.2844</v>
      </c>
      <c r="AE8" s="117">
        <f>Revenue!AD6</f>
        <v>729298.1637</v>
      </c>
      <c r="AF8" s="117">
        <f>Revenue!AE6</f>
        <v>810916.7567</v>
      </c>
      <c r="AG8" s="117">
        <f>Revenue!AF6</f>
        <v>888901.9038</v>
      </c>
      <c r="AH8" s="117">
        <f>Revenue!AG6</f>
        <v>964562.3903</v>
      </c>
      <c r="AI8" s="117">
        <f>Revenue!AH6</f>
        <v>1039304.834</v>
      </c>
      <c r="AJ8" s="117">
        <f>Revenue!AI6</f>
        <v>1116079.352</v>
      </c>
      <c r="AK8" s="117">
        <f>Revenue!AJ6</f>
        <v>1187157.271</v>
      </c>
      <c r="AL8" s="117">
        <f>Revenue!AK6</f>
        <v>1262204.801</v>
      </c>
      <c r="AM8" s="117">
        <f>Revenue!AL6</f>
        <v>1340193.399</v>
      </c>
      <c r="AN8" s="117">
        <f>Revenue!AM6</f>
        <v>1400947.54</v>
      </c>
      <c r="AO8" s="117">
        <f>Revenue!AN6</f>
        <v>1412547.753</v>
      </c>
      <c r="AP8" s="117">
        <f>Revenue!AO6</f>
        <v>1435663.774</v>
      </c>
      <c r="AQ8" s="117">
        <f>Revenue!AP6</f>
        <v>1463030.47</v>
      </c>
      <c r="AR8" s="117">
        <f>Revenue!AQ6</f>
        <v>1490534.739</v>
      </c>
      <c r="AS8" s="117">
        <f>Revenue!AR6</f>
        <v>1518058.964</v>
      </c>
      <c r="AT8" s="117">
        <f>Revenue!AS6</f>
        <v>1544868.694</v>
      </c>
      <c r="AU8" s="117">
        <f>Revenue!AT6</f>
        <v>1584805.768</v>
      </c>
      <c r="AV8" s="117">
        <f>Revenue!AU6</f>
        <v>1610842.016</v>
      </c>
      <c r="AW8" s="117">
        <f>Revenue!AV6</f>
        <v>1636433.352</v>
      </c>
      <c r="AX8" s="117">
        <f>Revenue!AW6</f>
        <v>1661609.333</v>
      </c>
      <c r="AY8" s="117">
        <f>Revenue!AX6</f>
        <v>1686397.772</v>
      </c>
      <c r="AZ8" s="117">
        <f>Revenue!AY6</f>
        <v>1739238.992</v>
      </c>
      <c r="BA8" s="117">
        <f>Revenue!AZ6</f>
        <v>1777119.667</v>
      </c>
      <c r="BB8" s="117">
        <f>Revenue!BA6</f>
        <v>1814093.164</v>
      </c>
      <c r="BC8" s="117">
        <f>Revenue!BB6</f>
        <v>1850394.164</v>
      </c>
      <c r="BD8" s="117">
        <f>Revenue!BC6</f>
        <v>1886085.975</v>
      </c>
      <c r="BE8" s="117">
        <f>Revenue!BD6</f>
        <v>1921205.146</v>
      </c>
      <c r="BF8" s="117">
        <f>Revenue!BE6</f>
        <v>1955783.201</v>
      </c>
      <c r="BG8" s="117">
        <f>Revenue!BF6</f>
        <v>1989849.94</v>
      </c>
      <c r="BH8" s="117">
        <f>Revenue!BG6</f>
        <v>2023433.974</v>
      </c>
      <c r="BI8" s="117">
        <f>Revenue!BH6</f>
        <v>2056562.845</v>
      </c>
      <c r="BJ8" s="117">
        <f>Revenue!BI6</f>
        <v>2089263.077</v>
      </c>
      <c r="BK8" s="117">
        <f>Revenue!BJ6</f>
        <v>2121560.221</v>
      </c>
      <c r="BL8" s="117">
        <f>Revenue!BK6</f>
        <v>2177703.884</v>
      </c>
      <c r="BM8" s="117">
        <f>Revenue!BL6</f>
        <v>2210505.931</v>
      </c>
      <c r="BN8" s="117">
        <f>Revenue!BM6</f>
        <v>2240108.088</v>
      </c>
      <c r="BO8" s="117">
        <f>Revenue!BN6</f>
        <v>2269833.804</v>
      </c>
      <c r="BP8" s="117">
        <f>Revenue!BO6</f>
        <v>2299513.652</v>
      </c>
      <c r="BQ8" s="117">
        <f>Revenue!BP6</f>
        <v>2329137.542</v>
      </c>
      <c r="BR8" s="117">
        <f>Revenue!BQ6</f>
        <v>2358718.982</v>
      </c>
      <c r="BS8" s="117">
        <f>Revenue!BR6</f>
        <v>2388274.732</v>
      </c>
      <c r="BT8" s="117">
        <f>Revenue!BS6</f>
        <v>2417821.78</v>
      </c>
      <c r="BU8" s="117">
        <f>Revenue!BT6</f>
        <v>2447376.898</v>
      </c>
      <c r="BV8" s="117">
        <f>Revenue!BU6</f>
        <v>2476956.595</v>
      </c>
      <c r="BW8" s="117">
        <f>Revenue!BV6</f>
        <v>2506577.134</v>
      </c>
      <c r="BX8" s="117">
        <f>Revenue!BW6</f>
        <v>2561373.418</v>
      </c>
      <c r="BY8" s="117">
        <f>Revenue!BX6</f>
        <v>2582415.164</v>
      </c>
      <c r="BZ8" s="117">
        <f>Revenue!BY6</f>
        <v>2603208.601</v>
      </c>
      <c r="CA8" s="117">
        <f>Revenue!BZ6</f>
        <v>2624466.562</v>
      </c>
      <c r="CB8" s="117">
        <f>Revenue!CA6</f>
        <v>2645601.904</v>
      </c>
      <c r="CC8" s="117">
        <f>Revenue!CB6</f>
        <v>2666545.797</v>
      </c>
      <c r="CD8" s="117">
        <f>Revenue!CC6</f>
        <v>2687306.365</v>
      </c>
      <c r="CE8" s="117">
        <f>Revenue!CD6</f>
        <v>2707902.517</v>
      </c>
      <c r="CF8" s="117">
        <f>Revenue!CE6</f>
        <v>2728354.052</v>
      </c>
      <c r="CG8" s="117">
        <f>Revenue!CF6</f>
        <v>2748680.209</v>
      </c>
      <c r="CH8" s="117">
        <f>Revenue!CG6</f>
        <v>2768899.477</v>
      </c>
      <c r="CI8" s="117">
        <f>Revenue!CH6</f>
        <v>2789029.597</v>
      </c>
      <c r="CL8" s="117">
        <f>SUM(D8:G8)</f>
        <v>865411</v>
      </c>
      <c r="CM8" s="117">
        <f>SUM(H8:K8)</f>
        <v>763882</v>
      </c>
      <c r="CN8" s="117">
        <f>SUM(L8:O8)</f>
        <v>893692</v>
      </c>
      <c r="CO8" s="117">
        <f>SUM(P8:S8)</f>
        <v>873999</v>
      </c>
      <c r="CP8" s="117">
        <f>SUM(T8:W8)</f>
        <v>1793978</v>
      </c>
      <c r="CQ8" s="117">
        <f>SUM(X8:AA8)</f>
        <v>3570028.999</v>
      </c>
    </row>
    <row r="9" outlineLevel="1">
      <c r="C9" s="257" t="s">
        <v>799</v>
      </c>
      <c r="D9" s="513">
        <f t="shared" ref="D9:CI9" si="1">D8/D$5</f>
        <v>0.1878298187</v>
      </c>
      <c r="E9" s="513">
        <f t="shared" si="1"/>
        <v>0.2848382553</v>
      </c>
      <c r="F9" s="513">
        <f t="shared" si="1"/>
        <v>0.2267545322</v>
      </c>
      <c r="G9" s="513">
        <f t="shared" si="1"/>
        <v>0.2372297658</v>
      </c>
      <c r="H9" s="513">
        <f t="shared" si="1"/>
        <v>0.280619677</v>
      </c>
      <c r="I9" s="513">
        <f t="shared" si="1"/>
        <v>0.1808594723</v>
      </c>
      <c r="J9" s="513">
        <f t="shared" si="1"/>
        <v>0.2143813172</v>
      </c>
      <c r="K9" s="513">
        <f t="shared" si="1"/>
        <v>0.2099733348</v>
      </c>
      <c r="L9" s="513">
        <f t="shared" si="1"/>
        <v>0.2559584419</v>
      </c>
      <c r="M9" s="513">
        <f t="shared" si="1"/>
        <v>0.2708600527</v>
      </c>
      <c r="N9" s="513">
        <f t="shared" si="1"/>
        <v>0.2690510741</v>
      </c>
      <c r="O9" s="513">
        <f t="shared" si="1"/>
        <v>0.2001914641</v>
      </c>
      <c r="P9" s="513">
        <f t="shared" si="1"/>
        <v>0.1994269646</v>
      </c>
      <c r="Q9" s="513">
        <f t="shared" si="1"/>
        <v>0.2088173116</v>
      </c>
      <c r="R9" s="513">
        <f t="shared" si="1"/>
        <v>0.2160501013</v>
      </c>
      <c r="S9" s="513">
        <f t="shared" si="1"/>
        <v>0.1851626128</v>
      </c>
      <c r="T9" s="513">
        <f t="shared" si="1"/>
        <v>0.2417467348</v>
      </c>
      <c r="U9" s="513">
        <f t="shared" si="1"/>
        <v>0.1913016961</v>
      </c>
      <c r="V9" s="513">
        <f t="shared" si="1"/>
        <v>0.2535580511</v>
      </c>
      <c r="W9" s="513">
        <f t="shared" si="1"/>
        <v>0.816555377</v>
      </c>
      <c r="X9" s="513">
        <f t="shared" si="1"/>
        <v>0.8445050212</v>
      </c>
      <c r="Y9" s="513">
        <f t="shared" si="1"/>
        <v>0.9557998015</v>
      </c>
      <c r="Z9" s="513">
        <f t="shared" si="1"/>
        <v>1.019783418</v>
      </c>
      <c r="AA9" s="130">
        <f t="shared" si="1"/>
        <v>0.2995064026</v>
      </c>
      <c r="AB9" s="130">
        <f t="shared" si="1"/>
        <v>0.3024016333</v>
      </c>
      <c r="AC9" s="130">
        <f t="shared" si="1"/>
        <v>0.3041535949</v>
      </c>
      <c r="AD9" s="130">
        <f t="shared" si="1"/>
        <v>0.3060827213</v>
      </c>
      <c r="AE9" s="130">
        <f t="shared" si="1"/>
        <v>0.3087589921</v>
      </c>
      <c r="AF9" s="130">
        <f t="shared" si="1"/>
        <v>0.3144631608</v>
      </c>
      <c r="AG9" s="130">
        <f t="shared" si="1"/>
        <v>0.317837878</v>
      </c>
      <c r="AH9" s="130">
        <f t="shared" si="1"/>
        <v>0.3222498347</v>
      </c>
      <c r="AI9" s="130">
        <f t="shared" si="1"/>
        <v>0.326218292</v>
      </c>
      <c r="AJ9" s="130">
        <f t="shared" si="1"/>
        <v>0.3307304808</v>
      </c>
      <c r="AK9" s="130">
        <f t="shared" si="1"/>
        <v>0.3344125552</v>
      </c>
      <c r="AL9" s="130">
        <f t="shared" si="1"/>
        <v>0.3389675494</v>
      </c>
      <c r="AM9" s="130">
        <f t="shared" si="1"/>
        <v>0.3436783037</v>
      </c>
      <c r="AN9" s="130">
        <f t="shared" si="1"/>
        <v>0.3439327613</v>
      </c>
      <c r="AO9" s="130">
        <f t="shared" si="1"/>
        <v>0.3441658804</v>
      </c>
      <c r="AP9" s="130">
        <f t="shared" si="1"/>
        <v>0.3461388745</v>
      </c>
      <c r="AQ9" s="130">
        <f t="shared" si="1"/>
        <v>0.3480180495</v>
      </c>
      <c r="AR9" s="130">
        <f t="shared" si="1"/>
        <v>0.3495954584</v>
      </c>
      <c r="AS9" s="130">
        <f t="shared" si="1"/>
        <v>0.3509398521</v>
      </c>
      <c r="AT9" s="130">
        <f t="shared" si="1"/>
        <v>0.3521378197</v>
      </c>
      <c r="AU9" s="130">
        <f t="shared" si="1"/>
        <v>0.3552370786</v>
      </c>
      <c r="AV9" s="130">
        <f t="shared" si="1"/>
        <v>0.3562935431</v>
      </c>
      <c r="AW9" s="130">
        <f t="shared" si="1"/>
        <v>0.357291551</v>
      </c>
      <c r="AX9" s="130">
        <f t="shared" si="1"/>
        <v>0.3582376256</v>
      </c>
      <c r="AY9" s="130">
        <f t="shared" si="1"/>
        <v>0.3591370889</v>
      </c>
      <c r="AZ9" s="130">
        <f t="shared" si="1"/>
        <v>0.360783129</v>
      </c>
      <c r="BA9" s="130">
        <f t="shared" si="1"/>
        <v>0.3615812118</v>
      </c>
      <c r="BB9" s="130">
        <f t="shared" si="1"/>
        <v>0.3623781319</v>
      </c>
      <c r="BC9" s="130">
        <f t="shared" si="1"/>
        <v>0.363181853</v>
      </c>
      <c r="BD9" s="130">
        <f t="shared" si="1"/>
        <v>0.3639801535</v>
      </c>
      <c r="BE9" s="130">
        <f t="shared" si="1"/>
        <v>0.3647651553</v>
      </c>
      <c r="BF9" s="130">
        <f t="shared" si="1"/>
        <v>0.3655321343</v>
      </c>
      <c r="BG9" s="130">
        <f t="shared" si="1"/>
        <v>0.3662783996</v>
      </c>
      <c r="BH9" s="130">
        <f t="shared" si="1"/>
        <v>0.3670025849</v>
      </c>
      <c r="BI9" s="130">
        <f t="shared" si="1"/>
        <v>0.3677042015</v>
      </c>
      <c r="BJ9" s="130">
        <f t="shared" si="1"/>
        <v>0.3683833437</v>
      </c>
      <c r="BK9" s="130">
        <f t="shared" si="1"/>
        <v>0.369040489</v>
      </c>
      <c r="BL9" s="130">
        <f t="shared" si="1"/>
        <v>0.3715747521</v>
      </c>
      <c r="BM9" s="130">
        <f t="shared" si="1"/>
        <v>0.3716639715</v>
      </c>
      <c r="BN9" s="130">
        <f t="shared" si="1"/>
        <v>0.3717251345</v>
      </c>
      <c r="BO9" s="130">
        <f t="shared" si="1"/>
        <v>0.3718996535</v>
      </c>
      <c r="BP9" s="130">
        <f t="shared" si="1"/>
        <v>0.372085381</v>
      </c>
      <c r="BQ9" s="130">
        <f t="shared" si="1"/>
        <v>0.3722785704</v>
      </c>
      <c r="BR9" s="130">
        <f t="shared" si="1"/>
        <v>0.3724781255</v>
      </c>
      <c r="BS9" s="130">
        <f t="shared" si="1"/>
        <v>0.3726836059</v>
      </c>
      <c r="BT9" s="130">
        <f t="shared" si="1"/>
        <v>0.3728947721</v>
      </c>
      <c r="BU9" s="130">
        <f t="shared" si="1"/>
        <v>0.3731114597</v>
      </c>
      <c r="BV9" s="130">
        <f t="shared" si="1"/>
        <v>0.3733335399</v>
      </c>
      <c r="BW9" s="130">
        <f t="shared" si="1"/>
        <v>0.3735609046</v>
      </c>
      <c r="BX9" s="130">
        <f t="shared" si="1"/>
        <v>0.3759610728</v>
      </c>
      <c r="BY9" s="130">
        <f t="shared" si="1"/>
        <v>0.3763920855</v>
      </c>
      <c r="BZ9" s="130">
        <f t="shared" si="1"/>
        <v>0.3768969878</v>
      </c>
      <c r="CA9" s="130">
        <f t="shared" si="1"/>
        <v>0.377331783</v>
      </c>
      <c r="CB9" s="130">
        <f t="shared" si="1"/>
        <v>0.3776676896</v>
      </c>
      <c r="CC9" s="130">
        <f t="shared" si="1"/>
        <v>0.3779372021</v>
      </c>
      <c r="CD9" s="130">
        <f t="shared" si="1"/>
        <v>0.3781595732</v>
      </c>
      <c r="CE9" s="130">
        <f t="shared" si="1"/>
        <v>0.3783469384</v>
      </c>
      <c r="CF9" s="130">
        <f t="shared" si="1"/>
        <v>0.3785075524</v>
      </c>
      <c r="CG9" s="130">
        <f t="shared" si="1"/>
        <v>0.3786473434</v>
      </c>
      <c r="CH9" s="130">
        <f t="shared" si="1"/>
        <v>0.3787707128</v>
      </c>
      <c r="CI9" s="130">
        <f t="shared" si="1"/>
        <v>0.3788809973</v>
      </c>
      <c r="CL9" s="130">
        <f t="shared" ref="CL9:CQ9" si="2">CL8/CL$5</f>
        <v>0.2364828178</v>
      </c>
      <c r="CM9" s="130">
        <f t="shared" si="2"/>
        <v>0.22112447</v>
      </c>
      <c r="CN9" s="130">
        <f t="shared" si="2"/>
        <v>0.2473091708</v>
      </c>
      <c r="CO9" s="130">
        <f t="shared" si="2"/>
        <v>0.2017859229</v>
      </c>
      <c r="CP9" s="130">
        <f t="shared" si="2"/>
        <v>0.3956739122</v>
      </c>
      <c r="CQ9" s="130">
        <f t="shared" si="2"/>
        <v>0.7476090892</v>
      </c>
    </row>
    <row r="10" outlineLevel="1">
      <c r="C10" s="257"/>
      <c r="D10" s="247"/>
      <c r="E10" s="247"/>
      <c r="F10" s="247"/>
      <c r="G10" s="247"/>
      <c r="H10" s="247"/>
      <c r="I10" s="247"/>
      <c r="J10" s="247"/>
      <c r="K10" s="247"/>
      <c r="L10" s="247"/>
      <c r="M10" s="247"/>
      <c r="N10" s="247"/>
      <c r="O10" s="24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7"/>
      <c r="BU10" s="117"/>
      <c r="BV10" s="117"/>
      <c r="BW10" s="117"/>
      <c r="BX10" s="117"/>
      <c r="BY10" s="117"/>
      <c r="BZ10" s="117"/>
      <c r="CA10" s="117"/>
      <c r="CB10" s="117"/>
      <c r="CC10" s="117"/>
      <c r="CD10" s="117"/>
      <c r="CE10" s="117"/>
      <c r="CF10" s="117"/>
      <c r="CG10" s="117"/>
      <c r="CH10" s="117"/>
      <c r="CI10" s="117"/>
      <c r="CL10" s="117"/>
      <c r="CM10" s="117"/>
      <c r="CN10" s="117"/>
      <c r="CO10" s="117"/>
      <c r="CP10" s="117"/>
      <c r="CQ10" s="117"/>
    </row>
    <row r="11" outlineLevel="1">
      <c r="A11" s="1" t="s">
        <v>47</v>
      </c>
      <c r="B11" s="91" t="s">
        <v>63</v>
      </c>
      <c r="C11" s="132" t="s">
        <v>206</v>
      </c>
      <c r="D11" s="247">
        <f t="shared" ref="D11:Z11" si="3">RANDBETWEEN(0,5000)</f>
        <v>2257</v>
      </c>
      <c r="E11" s="247">
        <f t="shared" si="3"/>
        <v>1400</v>
      </c>
      <c r="F11" s="247">
        <f t="shared" si="3"/>
        <v>1084</v>
      </c>
      <c r="G11" s="247">
        <f t="shared" si="3"/>
        <v>3232</v>
      </c>
      <c r="H11" s="247">
        <f t="shared" si="3"/>
        <v>3505</v>
      </c>
      <c r="I11" s="247">
        <f t="shared" si="3"/>
        <v>1637</v>
      </c>
      <c r="J11" s="247">
        <f t="shared" si="3"/>
        <v>3118</v>
      </c>
      <c r="K11" s="247">
        <f t="shared" si="3"/>
        <v>607</v>
      </c>
      <c r="L11" s="247">
        <f t="shared" si="3"/>
        <v>2021</v>
      </c>
      <c r="M11" s="247">
        <f t="shared" si="3"/>
        <v>1969</v>
      </c>
      <c r="N11" s="247">
        <f t="shared" si="3"/>
        <v>915</v>
      </c>
      <c r="O11" s="247">
        <f t="shared" si="3"/>
        <v>2254</v>
      </c>
      <c r="P11" s="247">
        <f t="shared" si="3"/>
        <v>2107</v>
      </c>
      <c r="Q11" s="247">
        <f t="shared" si="3"/>
        <v>1743</v>
      </c>
      <c r="R11" s="247">
        <f t="shared" si="3"/>
        <v>2492</v>
      </c>
      <c r="S11" s="247">
        <f t="shared" si="3"/>
        <v>1126</v>
      </c>
      <c r="T11" s="247">
        <f t="shared" si="3"/>
        <v>3178</v>
      </c>
      <c r="U11" s="247">
        <f t="shared" si="3"/>
        <v>2091</v>
      </c>
      <c r="V11" s="247">
        <f t="shared" si="3"/>
        <v>830</v>
      </c>
      <c r="W11" s="247">
        <f t="shared" si="3"/>
        <v>430</v>
      </c>
      <c r="X11" s="247">
        <f t="shared" si="3"/>
        <v>3159</v>
      </c>
      <c r="Y11" s="247">
        <f t="shared" si="3"/>
        <v>3926</v>
      </c>
      <c r="Z11" s="247">
        <f t="shared" si="3"/>
        <v>2252</v>
      </c>
      <c r="AA11" s="116">
        <f>Headcount!S78</f>
        <v>57252</v>
      </c>
      <c r="AB11" s="116">
        <f>Headcount!T78</f>
        <v>80628.34</v>
      </c>
      <c r="AC11" s="116">
        <f>Headcount!U78</f>
        <v>85828.34</v>
      </c>
      <c r="AD11" s="116">
        <f>Headcount!V78</f>
        <v>91028.34</v>
      </c>
      <c r="AE11" s="116">
        <f>Headcount!W78</f>
        <v>91028.34</v>
      </c>
      <c r="AF11" s="116">
        <f>Headcount!X78</f>
        <v>95124.6153</v>
      </c>
      <c r="AG11" s="116">
        <f>Headcount!Y78</f>
        <v>95124.6153</v>
      </c>
      <c r="AH11" s="116">
        <f>Headcount!Z78</f>
        <v>95124.6153</v>
      </c>
      <c r="AI11" s="116">
        <f>Headcount!AA78</f>
        <v>95124.6153</v>
      </c>
      <c r="AJ11" s="116">
        <f>Headcount!AB78</f>
        <v>99405.22299</v>
      </c>
      <c r="AK11" s="116">
        <f>Headcount!AC78</f>
        <v>99405.22299</v>
      </c>
      <c r="AL11" s="116">
        <f>Headcount!AD78</f>
        <v>99405.22299</v>
      </c>
      <c r="AM11" s="116">
        <f>Headcount!AE78</f>
        <v>110221.223</v>
      </c>
      <c r="AN11" s="116">
        <f>Headcount!AF78</f>
        <v>125878.7119</v>
      </c>
      <c r="AO11" s="116">
        <f>Headcount!AG78</f>
        <v>148375.9919</v>
      </c>
      <c r="AP11" s="116">
        <f>Headcount!AH78</f>
        <v>159624.6319</v>
      </c>
      <c r="AQ11" s="116">
        <f>Headcount!AI78</f>
        <v>159624.6319</v>
      </c>
      <c r="AR11" s="116">
        <f>Headcount!AJ78</f>
        <v>177258.2572</v>
      </c>
      <c r="AS11" s="116">
        <f>Headcount!AK78</f>
        <v>177258.2572</v>
      </c>
      <c r="AT11" s="116">
        <f>Headcount!AL78</f>
        <v>188956.8428</v>
      </c>
      <c r="AU11" s="116">
        <f>Headcount!AM78</f>
        <v>206504.7212</v>
      </c>
      <c r="AV11" s="116">
        <f>Headcount!AN78</f>
        <v>226463.4956</v>
      </c>
      <c r="AW11" s="116">
        <f>Headcount!AO78</f>
        <v>238162.0812</v>
      </c>
      <c r="AX11" s="116">
        <f>Headcount!AP78</f>
        <v>255709.9596</v>
      </c>
      <c r="AY11" s="116">
        <f>Headcount!AQ78</f>
        <v>255709.9596</v>
      </c>
      <c r="AZ11" s="116">
        <f>Headcount!AR78</f>
        <v>265938.358</v>
      </c>
      <c r="BA11" s="116">
        <f>Headcount!AS78</f>
        <v>290271.4161</v>
      </c>
      <c r="BB11" s="116">
        <f>Headcount!AT78</f>
        <v>308521.2096</v>
      </c>
      <c r="BC11" s="116">
        <f>Headcount!AU78</f>
        <v>338937.5322</v>
      </c>
      <c r="BD11" s="116">
        <f>Headcount!AV78</f>
        <v>352495.0334</v>
      </c>
      <c r="BE11" s="116">
        <f>Headcount!AW78</f>
        <v>364661.5625</v>
      </c>
      <c r="BF11" s="116">
        <f>Headcount!AX78</f>
        <v>383641.3477</v>
      </c>
      <c r="BG11" s="116">
        <f>Headcount!AY78</f>
        <v>383641.3477</v>
      </c>
      <c r="BH11" s="116">
        <f>Headcount!AZ78</f>
        <v>411640.1918</v>
      </c>
      <c r="BI11" s="116">
        <f>Headcount!BA78</f>
        <v>430619.9771</v>
      </c>
      <c r="BJ11" s="116">
        <f>Headcount!BB78</f>
        <v>430619.9771</v>
      </c>
      <c r="BK11" s="116">
        <f>Headcount!BC78</f>
        <v>443273.1673</v>
      </c>
      <c r="BL11" s="116">
        <f>Headcount!BD78</f>
        <v>480743.0707</v>
      </c>
      <c r="BM11" s="116">
        <f>Headcount!BE78</f>
        <v>480743.0707</v>
      </c>
      <c r="BN11" s="116">
        <f>Headcount!BF78</f>
        <v>493902.3885</v>
      </c>
      <c r="BO11" s="116">
        <f>Headcount!BG78</f>
        <v>493902.3885</v>
      </c>
      <c r="BP11" s="116">
        <f>Headcount!BH78</f>
        <v>526817.8018</v>
      </c>
      <c r="BQ11" s="116">
        <f>Headcount!BI78</f>
        <v>533397.4607</v>
      </c>
      <c r="BR11" s="116">
        <f>Headcount!BJ78</f>
        <v>547083.1512</v>
      </c>
      <c r="BS11" s="116">
        <f>Headcount!BK78</f>
        <v>547083.1512</v>
      </c>
      <c r="BT11" s="116">
        <f>Headcount!BL78</f>
        <v>582652.1678</v>
      </c>
      <c r="BU11" s="116">
        <f>Headcount!BM78</f>
        <v>589495.013</v>
      </c>
      <c r="BV11" s="116">
        <f>Headcount!BN78</f>
        <v>603180.7035</v>
      </c>
      <c r="BW11" s="116">
        <f>Headcount!BO78</f>
        <v>603180.7035</v>
      </c>
      <c r="BX11" s="116">
        <f>Headcount!BP78</f>
        <v>641541.0498</v>
      </c>
      <c r="BY11" s="116">
        <f>Headcount!BQ78</f>
        <v>677123.8451</v>
      </c>
      <c r="BZ11" s="116">
        <f>Headcount!BR78</f>
        <v>691356.9632</v>
      </c>
      <c r="CA11" s="116">
        <f>Headcount!BS78</f>
        <v>712706.6404</v>
      </c>
      <c r="CB11" s="116">
        <f>Headcount!BT78</f>
        <v>741214.906</v>
      </c>
      <c r="CC11" s="116">
        <f>Headcount!BU78</f>
        <v>755448.0241</v>
      </c>
      <c r="CD11" s="116">
        <f>Headcount!BV78</f>
        <v>762564.5832</v>
      </c>
      <c r="CE11" s="116">
        <f>Headcount!BW78</f>
        <v>762564.5832</v>
      </c>
      <c r="CF11" s="116">
        <f>Headcount!BX78</f>
        <v>807300.2847</v>
      </c>
      <c r="CG11" s="116">
        <f>Headcount!BY78</f>
        <v>807300.2847</v>
      </c>
      <c r="CH11" s="116">
        <f>Headcount!BZ78</f>
        <v>821533.4028</v>
      </c>
      <c r="CI11" s="116">
        <f>Headcount!CA78</f>
        <v>842883.08</v>
      </c>
      <c r="CL11" s="117">
        <f t="shared" ref="CL11:CL17" si="5">SUM(D11:G11)</f>
        <v>7973</v>
      </c>
      <c r="CM11" s="117">
        <f t="shared" ref="CM11:CM17" si="6">SUM(H11:K11)</f>
        <v>8867</v>
      </c>
      <c r="CN11" s="117">
        <f t="shared" ref="CN11:CN17" si="7">SUM(L11:O11)</f>
        <v>7159</v>
      </c>
      <c r="CO11" s="117">
        <f t="shared" ref="CO11:CO17" si="8">SUM(P11:S11)</f>
        <v>7468</v>
      </c>
      <c r="CP11" s="117">
        <f t="shared" ref="CP11:CP17" si="9">SUM(T11:W11)</f>
        <v>6529</v>
      </c>
      <c r="CQ11" s="117">
        <f t="shared" ref="CQ11:CQ17" si="10">SUM(X11:AA11)</f>
        <v>66589</v>
      </c>
    </row>
    <row r="12" outlineLevel="1">
      <c r="A12" s="1" t="s">
        <v>47</v>
      </c>
      <c r="B12" s="91" t="s">
        <v>63</v>
      </c>
      <c r="C12" s="132" t="s">
        <v>207</v>
      </c>
      <c r="D12" s="247">
        <f t="shared" ref="D12:Z12" si="4">RANDBETWEEN(0,5000)</f>
        <v>4613</v>
      </c>
      <c r="E12" s="247">
        <f t="shared" si="4"/>
        <v>4507</v>
      </c>
      <c r="F12" s="247">
        <f t="shared" si="4"/>
        <v>3834</v>
      </c>
      <c r="G12" s="247">
        <f t="shared" si="4"/>
        <v>858</v>
      </c>
      <c r="H12" s="247">
        <f t="shared" si="4"/>
        <v>561</v>
      </c>
      <c r="I12" s="247">
        <f t="shared" si="4"/>
        <v>997</v>
      </c>
      <c r="J12" s="247">
        <f t="shared" si="4"/>
        <v>2979</v>
      </c>
      <c r="K12" s="247">
        <f t="shared" si="4"/>
        <v>3601</v>
      </c>
      <c r="L12" s="247">
        <f t="shared" si="4"/>
        <v>3159</v>
      </c>
      <c r="M12" s="247">
        <f t="shared" si="4"/>
        <v>1282</v>
      </c>
      <c r="N12" s="247">
        <f t="shared" si="4"/>
        <v>3412</v>
      </c>
      <c r="O12" s="247">
        <f t="shared" si="4"/>
        <v>2463</v>
      </c>
      <c r="P12" s="247">
        <f t="shared" si="4"/>
        <v>4570</v>
      </c>
      <c r="Q12" s="247">
        <f t="shared" si="4"/>
        <v>4022</v>
      </c>
      <c r="R12" s="247">
        <f t="shared" si="4"/>
        <v>3346</v>
      </c>
      <c r="S12" s="247">
        <f t="shared" si="4"/>
        <v>4053</v>
      </c>
      <c r="T12" s="247">
        <f t="shared" si="4"/>
        <v>4689</v>
      </c>
      <c r="U12" s="247">
        <f t="shared" si="4"/>
        <v>2300</v>
      </c>
      <c r="V12" s="247">
        <f t="shared" si="4"/>
        <v>4001</v>
      </c>
      <c r="W12" s="247">
        <f t="shared" si="4"/>
        <v>1726</v>
      </c>
      <c r="X12" s="247">
        <f t="shared" si="4"/>
        <v>3221</v>
      </c>
      <c r="Y12" s="247">
        <f t="shared" si="4"/>
        <v>3265</v>
      </c>
      <c r="Z12" s="247">
        <f t="shared" si="4"/>
        <v>3998</v>
      </c>
      <c r="AA12" s="117">
        <f>Headcount!S161</f>
        <v>15000</v>
      </c>
      <c r="AB12" s="117">
        <f>Headcount!T161</f>
        <v>15000</v>
      </c>
      <c r="AC12" s="117">
        <f>Headcount!U161</f>
        <v>15000</v>
      </c>
      <c r="AD12" s="117">
        <f>Headcount!V161</f>
        <v>15000</v>
      </c>
      <c r="AE12" s="117">
        <f>Headcount!W161</f>
        <v>15000</v>
      </c>
      <c r="AF12" s="117">
        <f>Headcount!X161</f>
        <v>15000</v>
      </c>
      <c r="AG12" s="117">
        <f>Headcount!Y161</f>
        <v>15000</v>
      </c>
      <c r="AH12" s="117">
        <f>Headcount!Z161</f>
        <v>20000</v>
      </c>
      <c r="AI12" s="117">
        <f>Headcount!AA161</f>
        <v>20000</v>
      </c>
      <c r="AJ12" s="117">
        <f>Headcount!AB161</f>
        <v>20000</v>
      </c>
      <c r="AK12" s="117">
        <f>Headcount!AC161</f>
        <v>20000</v>
      </c>
      <c r="AL12" s="117">
        <f>Headcount!AD161</f>
        <v>20000</v>
      </c>
      <c r="AM12" s="117">
        <f>Headcount!AE161</f>
        <v>20000</v>
      </c>
      <c r="AN12" s="117">
        <f>Headcount!AF161</f>
        <v>25000</v>
      </c>
      <c r="AO12" s="117">
        <f>Headcount!AG161</f>
        <v>25000</v>
      </c>
      <c r="AP12" s="117">
        <f>Headcount!AH161</f>
        <v>25000</v>
      </c>
      <c r="AQ12" s="117">
        <f>Headcount!AI161</f>
        <v>25000</v>
      </c>
      <c r="AR12" s="117">
        <f>Headcount!AJ161</f>
        <v>25000</v>
      </c>
      <c r="AS12" s="117">
        <f>Headcount!AK161</f>
        <v>25000</v>
      </c>
      <c r="AT12" s="117">
        <f>Headcount!AL161</f>
        <v>30000</v>
      </c>
      <c r="AU12" s="117">
        <f>Headcount!AM161</f>
        <v>30000</v>
      </c>
      <c r="AV12" s="117">
        <f>Headcount!AN161</f>
        <v>30000</v>
      </c>
      <c r="AW12" s="117">
        <f>Headcount!AO161</f>
        <v>30000</v>
      </c>
      <c r="AX12" s="117">
        <f>Headcount!AP161</f>
        <v>30000</v>
      </c>
      <c r="AY12" s="117">
        <f>Headcount!AQ161</f>
        <v>30000</v>
      </c>
      <c r="AZ12" s="117">
        <f>Headcount!AR161</f>
        <v>30000</v>
      </c>
      <c r="BA12" s="117">
        <f>Headcount!AS161</f>
        <v>30000</v>
      </c>
      <c r="BB12" s="117">
        <f>Headcount!AT161</f>
        <v>30000</v>
      </c>
      <c r="BC12" s="117">
        <f>Headcount!AU161</f>
        <v>30000</v>
      </c>
      <c r="BD12" s="117">
        <f>Headcount!AV161</f>
        <v>30000</v>
      </c>
      <c r="BE12" s="117">
        <f>Headcount!AW161</f>
        <v>30000</v>
      </c>
      <c r="BF12" s="117">
        <f>Headcount!AX161</f>
        <v>30000</v>
      </c>
      <c r="BG12" s="117">
        <f>Headcount!AY161</f>
        <v>30000</v>
      </c>
      <c r="BH12" s="117">
        <f>Headcount!AZ161</f>
        <v>30000</v>
      </c>
      <c r="BI12" s="117">
        <f>Headcount!BA161</f>
        <v>30000</v>
      </c>
      <c r="BJ12" s="117">
        <f>Headcount!BB161</f>
        <v>30000</v>
      </c>
      <c r="BK12" s="117">
        <f>Headcount!BC161</f>
        <v>30000</v>
      </c>
      <c r="BL12" s="117">
        <f>Headcount!BD161</f>
        <v>30000</v>
      </c>
      <c r="BM12" s="117">
        <f>Headcount!BE161</f>
        <v>30000</v>
      </c>
      <c r="BN12" s="117">
        <f>Headcount!BF161</f>
        <v>30000</v>
      </c>
      <c r="BO12" s="117">
        <f>Headcount!BG161</f>
        <v>30000</v>
      </c>
      <c r="BP12" s="117">
        <f>Headcount!BH161</f>
        <v>30000</v>
      </c>
      <c r="BQ12" s="117">
        <f>Headcount!BI161</f>
        <v>30000</v>
      </c>
      <c r="BR12" s="117">
        <f>Headcount!BJ161</f>
        <v>30000</v>
      </c>
      <c r="BS12" s="117">
        <f>Headcount!BK161</f>
        <v>30000</v>
      </c>
      <c r="BT12" s="117">
        <f>Headcount!BL161</f>
        <v>30000</v>
      </c>
      <c r="BU12" s="117">
        <f>Headcount!BM161</f>
        <v>30000</v>
      </c>
      <c r="BV12" s="117">
        <f>Headcount!BN161</f>
        <v>30000</v>
      </c>
      <c r="BW12" s="117">
        <f>Headcount!BO161</f>
        <v>30000</v>
      </c>
      <c r="BX12" s="117">
        <f>Headcount!BP161</f>
        <v>30000</v>
      </c>
      <c r="BY12" s="117">
        <f>Headcount!BQ161</f>
        <v>30000</v>
      </c>
      <c r="BZ12" s="117">
        <f>Headcount!BR161</f>
        <v>30000</v>
      </c>
      <c r="CA12" s="117">
        <f>Headcount!BS161</f>
        <v>30000</v>
      </c>
      <c r="CB12" s="117">
        <f>Headcount!BT161</f>
        <v>30000</v>
      </c>
      <c r="CC12" s="117">
        <f>Headcount!BU161</f>
        <v>30000</v>
      </c>
      <c r="CD12" s="117">
        <f>Headcount!BV161</f>
        <v>30000</v>
      </c>
      <c r="CE12" s="117">
        <f>Headcount!BW161</f>
        <v>30000</v>
      </c>
      <c r="CF12" s="117">
        <f>Headcount!BX161</f>
        <v>30000</v>
      </c>
      <c r="CG12" s="117">
        <f>Headcount!BY161</f>
        <v>30000</v>
      </c>
      <c r="CH12" s="117">
        <f>Headcount!BZ161</f>
        <v>30000</v>
      </c>
      <c r="CI12" s="117">
        <f>Headcount!CA161</f>
        <v>30000</v>
      </c>
      <c r="CL12" s="117">
        <f t="shared" si="5"/>
        <v>13812</v>
      </c>
      <c r="CM12" s="117">
        <f t="shared" si="6"/>
        <v>8138</v>
      </c>
      <c r="CN12" s="117">
        <f t="shared" si="7"/>
        <v>10316</v>
      </c>
      <c r="CO12" s="117">
        <f t="shared" si="8"/>
        <v>15991</v>
      </c>
      <c r="CP12" s="117">
        <f t="shared" si="9"/>
        <v>12716</v>
      </c>
      <c r="CQ12" s="117">
        <f t="shared" si="10"/>
        <v>25484</v>
      </c>
    </row>
    <row r="13" outlineLevel="1">
      <c r="B13" s="91"/>
      <c r="C13" s="132" t="s">
        <v>208</v>
      </c>
      <c r="D13" s="514">
        <f t="shared" ref="D13:CI13" si="11">(D11)+(D12)</f>
        <v>6870</v>
      </c>
      <c r="E13" s="514">
        <f t="shared" si="11"/>
        <v>5907</v>
      </c>
      <c r="F13" s="514">
        <f t="shared" si="11"/>
        <v>4918</v>
      </c>
      <c r="G13" s="514">
        <f t="shared" si="11"/>
        <v>4090</v>
      </c>
      <c r="H13" s="514">
        <f t="shared" si="11"/>
        <v>4066</v>
      </c>
      <c r="I13" s="514">
        <f t="shared" si="11"/>
        <v>2634</v>
      </c>
      <c r="J13" s="514">
        <f t="shared" si="11"/>
        <v>6097</v>
      </c>
      <c r="K13" s="514">
        <f t="shared" si="11"/>
        <v>4208</v>
      </c>
      <c r="L13" s="514">
        <f t="shared" si="11"/>
        <v>5180</v>
      </c>
      <c r="M13" s="514">
        <f t="shared" si="11"/>
        <v>3251</v>
      </c>
      <c r="N13" s="514">
        <f t="shared" si="11"/>
        <v>4327</v>
      </c>
      <c r="O13" s="514">
        <f t="shared" si="11"/>
        <v>4717</v>
      </c>
      <c r="P13" s="514">
        <f t="shared" si="11"/>
        <v>6677</v>
      </c>
      <c r="Q13" s="514">
        <f t="shared" si="11"/>
        <v>5765</v>
      </c>
      <c r="R13" s="514">
        <f t="shared" si="11"/>
        <v>5838</v>
      </c>
      <c r="S13" s="514">
        <f t="shared" si="11"/>
        <v>5179</v>
      </c>
      <c r="T13" s="514">
        <f t="shared" si="11"/>
        <v>7867</v>
      </c>
      <c r="U13" s="514">
        <f t="shared" si="11"/>
        <v>4391</v>
      </c>
      <c r="V13" s="514">
        <f t="shared" si="11"/>
        <v>4831</v>
      </c>
      <c r="W13" s="514">
        <f t="shared" si="11"/>
        <v>2156</v>
      </c>
      <c r="X13" s="514">
        <f t="shared" si="11"/>
        <v>6380</v>
      </c>
      <c r="Y13" s="514">
        <f t="shared" si="11"/>
        <v>7191</v>
      </c>
      <c r="Z13" s="514">
        <f t="shared" si="11"/>
        <v>6250</v>
      </c>
      <c r="AA13" s="514">
        <f t="shared" si="11"/>
        <v>72252</v>
      </c>
      <c r="AB13" s="514">
        <f t="shared" si="11"/>
        <v>95628.34</v>
      </c>
      <c r="AC13" s="514">
        <f t="shared" si="11"/>
        <v>100828.34</v>
      </c>
      <c r="AD13" s="514">
        <f t="shared" si="11"/>
        <v>106028.34</v>
      </c>
      <c r="AE13" s="514">
        <f t="shared" si="11"/>
        <v>106028.34</v>
      </c>
      <c r="AF13" s="514">
        <f t="shared" si="11"/>
        <v>110124.6153</v>
      </c>
      <c r="AG13" s="514">
        <f t="shared" si="11"/>
        <v>110124.6153</v>
      </c>
      <c r="AH13" s="514">
        <f t="shared" si="11"/>
        <v>115124.6153</v>
      </c>
      <c r="AI13" s="514">
        <f t="shared" si="11"/>
        <v>115124.6153</v>
      </c>
      <c r="AJ13" s="514">
        <f t="shared" si="11"/>
        <v>119405.223</v>
      </c>
      <c r="AK13" s="514">
        <f t="shared" si="11"/>
        <v>119405.223</v>
      </c>
      <c r="AL13" s="514">
        <f t="shared" si="11"/>
        <v>119405.223</v>
      </c>
      <c r="AM13" s="514">
        <f t="shared" si="11"/>
        <v>130221.223</v>
      </c>
      <c r="AN13" s="514">
        <f t="shared" si="11"/>
        <v>150878.7119</v>
      </c>
      <c r="AO13" s="514">
        <f t="shared" si="11"/>
        <v>173375.9919</v>
      </c>
      <c r="AP13" s="514">
        <f t="shared" si="11"/>
        <v>184624.6319</v>
      </c>
      <c r="AQ13" s="514">
        <f t="shared" si="11"/>
        <v>184624.6319</v>
      </c>
      <c r="AR13" s="514">
        <f t="shared" si="11"/>
        <v>202258.2572</v>
      </c>
      <c r="AS13" s="514">
        <f t="shared" si="11"/>
        <v>202258.2572</v>
      </c>
      <c r="AT13" s="514">
        <f t="shared" si="11"/>
        <v>218956.8428</v>
      </c>
      <c r="AU13" s="514">
        <f t="shared" si="11"/>
        <v>236504.7212</v>
      </c>
      <c r="AV13" s="514">
        <f t="shared" si="11"/>
        <v>256463.4956</v>
      </c>
      <c r="AW13" s="514">
        <f t="shared" si="11"/>
        <v>268162.0812</v>
      </c>
      <c r="AX13" s="514">
        <f t="shared" si="11"/>
        <v>285709.9596</v>
      </c>
      <c r="AY13" s="514">
        <f t="shared" si="11"/>
        <v>285709.9596</v>
      </c>
      <c r="AZ13" s="514">
        <f t="shared" si="11"/>
        <v>295938.358</v>
      </c>
      <c r="BA13" s="514">
        <f t="shared" si="11"/>
        <v>320271.4161</v>
      </c>
      <c r="BB13" s="514">
        <f t="shared" si="11"/>
        <v>338521.2096</v>
      </c>
      <c r="BC13" s="514">
        <f t="shared" si="11"/>
        <v>368937.5322</v>
      </c>
      <c r="BD13" s="514">
        <f t="shared" si="11"/>
        <v>382495.0334</v>
      </c>
      <c r="BE13" s="514">
        <f t="shared" si="11"/>
        <v>394661.5625</v>
      </c>
      <c r="BF13" s="514">
        <f t="shared" si="11"/>
        <v>413641.3477</v>
      </c>
      <c r="BG13" s="514">
        <f t="shared" si="11"/>
        <v>413641.3477</v>
      </c>
      <c r="BH13" s="514">
        <f t="shared" si="11"/>
        <v>441640.1918</v>
      </c>
      <c r="BI13" s="514">
        <f t="shared" si="11"/>
        <v>460619.9771</v>
      </c>
      <c r="BJ13" s="514">
        <f t="shared" si="11"/>
        <v>460619.9771</v>
      </c>
      <c r="BK13" s="514">
        <f t="shared" si="11"/>
        <v>473273.1673</v>
      </c>
      <c r="BL13" s="514">
        <f t="shared" si="11"/>
        <v>510743.0707</v>
      </c>
      <c r="BM13" s="514">
        <f t="shared" si="11"/>
        <v>510743.0707</v>
      </c>
      <c r="BN13" s="514">
        <f t="shared" si="11"/>
        <v>523902.3885</v>
      </c>
      <c r="BO13" s="514">
        <f t="shared" si="11"/>
        <v>523902.3885</v>
      </c>
      <c r="BP13" s="514">
        <f t="shared" si="11"/>
        <v>556817.8018</v>
      </c>
      <c r="BQ13" s="514">
        <f t="shared" si="11"/>
        <v>563397.4607</v>
      </c>
      <c r="BR13" s="514">
        <f t="shared" si="11"/>
        <v>577083.1512</v>
      </c>
      <c r="BS13" s="514">
        <f t="shared" si="11"/>
        <v>577083.1512</v>
      </c>
      <c r="BT13" s="514">
        <f t="shared" si="11"/>
        <v>612652.1678</v>
      </c>
      <c r="BU13" s="514">
        <f t="shared" si="11"/>
        <v>619495.013</v>
      </c>
      <c r="BV13" s="514">
        <f t="shared" si="11"/>
        <v>633180.7035</v>
      </c>
      <c r="BW13" s="514">
        <f t="shared" si="11"/>
        <v>633180.7035</v>
      </c>
      <c r="BX13" s="514">
        <f t="shared" si="11"/>
        <v>671541.0498</v>
      </c>
      <c r="BY13" s="514">
        <f t="shared" si="11"/>
        <v>707123.8451</v>
      </c>
      <c r="BZ13" s="514">
        <f t="shared" si="11"/>
        <v>721356.9632</v>
      </c>
      <c r="CA13" s="514">
        <f t="shared" si="11"/>
        <v>742706.6404</v>
      </c>
      <c r="CB13" s="514">
        <f t="shared" si="11"/>
        <v>771214.906</v>
      </c>
      <c r="CC13" s="514">
        <f t="shared" si="11"/>
        <v>785448.0241</v>
      </c>
      <c r="CD13" s="514">
        <f t="shared" si="11"/>
        <v>792564.5832</v>
      </c>
      <c r="CE13" s="514">
        <f t="shared" si="11"/>
        <v>792564.5832</v>
      </c>
      <c r="CF13" s="514">
        <f t="shared" si="11"/>
        <v>837300.2847</v>
      </c>
      <c r="CG13" s="514">
        <f t="shared" si="11"/>
        <v>837300.2847</v>
      </c>
      <c r="CH13" s="514">
        <f t="shared" si="11"/>
        <v>851533.4028</v>
      </c>
      <c r="CI13" s="514">
        <f t="shared" si="11"/>
        <v>872883.08</v>
      </c>
      <c r="CL13" s="514">
        <f t="shared" si="5"/>
        <v>21785</v>
      </c>
      <c r="CM13" s="514">
        <f t="shared" si="6"/>
        <v>17005</v>
      </c>
      <c r="CN13" s="514">
        <f t="shared" si="7"/>
        <v>17475</v>
      </c>
      <c r="CO13" s="514">
        <f t="shared" si="8"/>
        <v>23459</v>
      </c>
      <c r="CP13" s="514">
        <f t="shared" si="9"/>
        <v>19245</v>
      </c>
      <c r="CQ13" s="514">
        <f t="shared" si="10"/>
        <v>92073</v>
      </c>
    </row>
    <row r="14" outlineLevel="1">
      <c r="A14" s="1" t="s">
        <v>47</v>
      </c>
      <c r="B14" s="91" t="s">
        <v>63</v>
      </c>
      <c r="C14" s="132" t="s">
        <v>209</v>
      </c>
      <c r="D14" s="247">
        <f t="shared" ref="D14:Z14" si="12">RANDBETWEEN(0,5000)</f>
        <v>2342</v>
      </c>
      <c r="E14" s="247">
        <f t="shared" si="12"/>
        <v>1258</v>
      </c>
      <c r="F14" s="247">
        <f t="shared" si="12"/>
        <v>1760</v>
      </c>
      <c r="G14" s="247">
        <f t="shared" si="12"/>
        <v>2703</v>
      </c>
      <c r="H14" s="247">
        <f t="shared" si="12"/>
        <v>121</v>
      </c>
      <c r="I14" s="247">
        <f t="shared" si="12"/>
        <v>2861</v>
      </c>
      <c r="J14" s="247">
        <f t="shared" si="12"/>
        <v>1130</v>
      </c>
      <c r="K14" s="247">
        <f t="shared" si="12"/>
        <v>4382</v>
      </c>
      <c r="L14" s="247">
        <f t="shared" si="12"/>
        <v>1206</v>
      </c>
      <c r="M14" s="247">
        <f t="shared" si="12"/>
        <v>168</v>
      </c>
      <c r="N14" s="247">
        <f t="shared" si="12"/>
        <v>1752</v>
      </c>
      <c r="O14" s="247">
        <f t="shared" si="12"/>
        <v>2846</v>
      </c>
      <c r="P14" s="247">
        <f t="shared" si="12"/>
        <v>1444</v>
      </c>
      <c r="Q14" s="247">
        <f t="shared" si="12"/>
        <v>491</v>
      </c>
      <c r="R14" s="247">
        <f t="shared" si="12"/>
        <v>1038</v>
      </c>
      <c r="S14" s="247">
        <f t="shared" si="12"/>
        <v>1145</v>
      </c>
      <c r="T14" s="247">
        <f t="shared" si="12"/>
        <v>3201</v>
      </c>
      <c r="U14" s="247">
        <f t="shared" si="12"/>
        <v>3586</v>
      </c>
      <c r="V14" s="247">
        <f t="shared" si="12"/>
        <v>4857</v>
      </c>
      <c r="W14" s="247">
        <f t="shared" si="12"/>
        <v>1872</v>
      </c>
      <c r="X14" s="247">
        <f t="shared" si="12"/>
        <v>4551</v>
      </c>
      <c r="Y14" s="247">
        <f t="shared" si="12"/>
        <v>1160</v>
      </c>
      <c r="Z14" s="247">
        <f t="shared" si="12"/>
        <v>2342</v>
      </c>
      <c r="AA14" s="511">
        <f>AA13*Headcount!S100</f>
        <v>7225.2</v>
      </c>
      <c r="AB14" s="511">
        <f>AB13*Headcount!T100</f>
        <v>9562.834</v>
      </c>
      <c r="AC14" s="511">
        <f>AC13*Headcount!U100</f>
        <v>10082.834</v>
      </c>
      <c r="AD14" s="511">
        <f>AD13*Headcount!V100</f>
        <v>10602.834</v>
      </c>
      <c r="AE14" s="511">
        <f>AE13*Headcount!W100</f>
        <v>10602.834</v>
      </c>
      <c r="AF14" s="511">
        <f>AF13*Headcount!X100</f>
        <v>11012.46153</v>
      </c>
      <c r="AG14" s="511">
        <f>AG13*Headcount!Y100</f>
        <v>11012.46153</v>
      </c>
      <c r="AH14" s="511">
        <f>AH13*Headcount!Z100</f>
        <v>11512.46153</v>
      </c>
      <c r="AI14" s="511">
        <f>AI13*Headcount!AA100</f>
        <v>11512.46153</v>
      </c>
      <c r="AJ14" s="511">
        <f>AJ13*Headcount!AB100</f>
        <v>11940.5223</v>
      </c>
      <c r="AK14" s="511">
        <f>AK13*Headcount!AC100</f>
        <v>11940.5223</v>
      </c>
      <c r="AL14" s="511">
        <f>AL13*Headcount!AD100</f>
        <v>11940.5223</v>
      </c>
      <c r="AM14" s="511">
        <f>AM13*Headcount!AE100</f>
        <v>13022.1223</v>
      </c>
      <c r="AN14" s="511">
        <f>AN13*Headcount!AF100</f>
        <v>15087.87119</v>
      </c>
      <c r="AO14" s="511">
        <f>AO13*Headcount!AG100</f>
        <v>17337.59919</v>
      </c>
      <c r="AP14" s="511">
        <f>AP13*Headcount!AH100</f>
        <v>18462.46319</v>
      </c>
      <c r="AQ14" s="511">
        <f>AQ13*Headcount!AI100</f>
        <v>18462.46319</v>
      </c>
      <c r="AR14" s="511">
        <f>AR13*Headcount!AJ100</f>
        <v>20225.82572</v>
      </c>
      <c r="AS14" s="511">
        <f>AS13*Headcount!AK100</f>
        <v>20225.82572</v>
      </c>
      <c r="AT14" s="511">
        <f>AT13*Headcount!AL100</f>
        <v>21895.68428</v>
      </c>
      <c r="AU14" s="511">
        <f>AU13*Headcount!AM100</f>
        <v>23650.47212</v>
      </c>
      <c r="AV14" s="511">
        <f>AV13*Headcount!AN100</f>
        <v>25646.34956</v>
      </c>
      <c r="AW14" s="511">
        <f>AW13*Headcount!AO100</f>
        <v>26816.20812</v>
      </c>
      <c r="AX14" s="511">
        <f>AX13*Headcount!AP100</f>
        <v>28570.99596</v>
      </c>
      <c r="AY14" s="511">
        <f>AY13*Headcount!AQ100</f>
        <v>28570.99596</v>
      </c>
      <c r="AZ14" s="511">
        <f>AZ13*Headcount!AR100</f>
        <v>29593.8358</v>
      </c>
      <c r="BA14" s="511">
        <f>BA13*Headcount!AS100</f>
        <v>32027.14161</v>
      </c>
      <c r="BB14" s="511">
        <f>BB13*Headcount!AT100</f>
        <v>33852.12096</v>
      </c>
      <c r="BC14" s="511">
        <f>BC13*Headcount!AU100</f>
        <v>36893.75322</v>
      </c>
      <c r="BD14" s="511">
        <f>BD13*Headcount!AV100</f>
        <v>38249.50334</v>
      </c>
      <c r="BE14" s="511">
        <f>BE13*Headcount!AW100</f>
        <v>39466.15625</v>
      </c>
      <c r="BF14" s="511">
        <f>BF13*Headcount!AX100</f>
        <v>41364.13477</v>
      </c>
      <c r="BG14" s="511">
        <f>BG13*Headcount!AY100</f>
        <v>41364.13477</v>
      </c>
      <c r="BH14" s="511">
        <f>BH13*Headcount!AZ100</f>
        <v>44164.01918</v>
      </c>
      <c r="BI14" s="511">
        <f>BI13*Headcount!BA100</f>
        <v>46061.99771</v>
      </c>
      <c r="BJ14" s="511">
        <f>BJ13*Headcount!BB100</f>
        <v>46061.99771</v>
      </c>
      <c r="BK14" s="511">
        <f>BK13*Headcount!BC100</f>
        <v>47327.31673</v>
      </c>
      <c r="BL14" s="511">
        <f>BL13*Headcount!BD100</f>
        <v>51074.30707</v>
      </c>
      <c r="BM14" s="511">
        <f>BM13*Headcount!BE100</f>
        <v>51074.30707</v>
      </c>
      <c r="BN14" s="511">
        <f>BN13*Headcount!BF100</f>
        <v>52390.23885</v>
      </c>
      <c r="BO14" s="511">
        <f>BO13*Headcount!BG100</f>
        <v>52390.23885</v>
      </c>
      <c r="BP14" s="511">
        <f>BP13*Headcount!BH100</f>
        <v>55681.78018</v>
      </c>
      <c r="BQ14" s="511">
        <f>BQ13*Headcount!BI100</f>
        <v>56339.74607</v>
      </c>
      <c r="BR14" s="511">
        <f>BR13*Headcount!BJ100</f>
        <v>57708.31512</v>
      </c>
      <c r="BS14" s="511">
        <f>BS13*Headcount!BK100</f>
        <v>57708.31512</v>
      </c>
      <c r="BT14" s="511">
        <f>BT13*Headcount!BL100</f>
        <v>61265.21678</v>
      </c>
      <c r="BU14" s="511">
        <f>BU13*Headcount!BM100</f>
        <v>61949.5013</v>
      </c>
      <c r="BV14" s="511">
        <f>BV13*Headcount!BN100</f>
        <v>63318.07035</v>
      </c>
      <c r="BW14" s="511">
        <f>BW13*Headcount!BO100</f>
        <v>63318.07035</v>
      </c>
      <c r="BX14" s="511">
        <f>BX13*Headcount!BP100</f>
        <v>67154.10498</v>
      </c>
      <c r="BY14" s="511">
        <f>BY13*Headcount!BQ100</f>
        <v>70712.38451</v>
      </c>
      <c r="BZ14" s="511">
        <f>BZ13*Headcount!BR100</f>
        <v>72135.69632</v>
      </c>
      <c r="CA14" s="511">
        <f>CA13*Headcount!BS100</f>
        <v>74270.66404</v>
      </c>
      <c r="CB14" s="511">
        <f>CB13*Headcount!BT100</f>
        <v>77121.4906</v>
      </c>
      <c r="CC14" s="511">
        <f>CC13*Headcount!BU100</f>
        <v>78544.80241</v>
      </c>
      <c r="CD14" s="511">
        <f>CD13*Headcount!BV100</f>
        <v>79256.45832</v>
      </c>
      <c r="CE14" s="511">
        <f>CE13*Headcount!BW100</f>
        <v>79256.45832</v>
      </c>
      <c r="CF14" s="511">
        <f>CF13*Headcount!BX100</f>
        <v>83730.02847</v>
      </c>
      <c r="CG14" s="511">
        <f>CG13*Headcount!BY100</f>
        <v>83730.02847</v>
      </c>
      <c r="CH14" s="511">
        <f>CH13*Headcount!BZ100</f>
        <v>85153.34028</v>
      </c>
      <c r="CI14" s="511">
        <f>CI13*Headcount!CA100</f>
        <v>87288.308</v>
      </c>
      <c r="CL14" s="117">
        <f t="shared" si="5"/>
        <v>8063</v>
      </c>
      <c r="CM14" s="117">
        <f t="shared" si="6"/>
        <v>8494</v>
      </c>
      <c r="CN14" s="117">
        <f t="shared" si="7"/>
        <v>5972</v>
      </c>
      <c r="CO14" s="117">
        <f t="shared" si="8"/>
        <v>4118</v>
      </c>
      <c r="CP14" s="117">
        <f t="shared" si="9"/>
        <v>13516</v>
      </c>
      <c r="CQ14" s="117">
        <f t="shared" si="10"/>
        <v>15278.2</v>
      </c>
    </row>
    <row r="15" outlineLevel="1">
      <c r="A15" s="1" t="s">
        <v>47</v>
      </c>
      <c r="B15" s="91" t="s">
        <v>63</v>
      </c>
      <c r="C15" s="132" t="s">
        <v>210</v>
      </c>
      <c r="D15" s="247">
        <f t="shared" ref="D15:Z15" si="13">RANDBETWEEN(0,5000)</f>
        <v>1993</v>
      </c>
      <c r="E15" s="247">
        <f t="shared" si="13"/>
        <v>2505</v>
      </c>
      <c r="F15" s="247">
        <f t="shared" si="13"/>
        <v>105</v>
      </c>
      <c r="G15" s="247">
        <f t="shared" si="13"/>
        <v>3626</v>
      </c>
      <c r="H15" s="247">
        <f t="shared" si="13"/>
        <v>2406</v>
      </c>
      <c r="I15" s="247">
        <f t="shared" si="13"/>
        <v>2742</v>
      </c>
      <c r="J15" s="247">
        <f t="shared" si="13"/>
        <v>695</v>
      </c>
      <c r="K15" s="247">
        <f t="shared" si="13"/>
        <v>1011</v>
      </c>
      <c r="L15" s="247">
        <f t="shared" si="13"/>
        <v>3064</v>
      </c>
      <c r="M15" s="247">
        <f t="shared" si="13"/>
        <v>1059</v>
      </c>
      <c r="N15" s="247">
        <f t="shared" si="13"/>
        <v>1949</v>
      </c>
      <c r="O15" s="247">
        <f t="shared" si="13"/>
        <v>751</v>
      </c>
      <c r="P15" s="247">
        <f t="shared" si="13"/>
        <v>4248</v>
      </c>
      <c r="Q15" s="247">
        <f t="shared" si="13"/>
        <v>260</v>
      </c>
      <c r="R15" s="247">
        <f t="shared" si="13"/>
        <v>965</v>
      </c>
      <c r="S15" s="247">
        <f t="shared" si="13"/>
        <v>4943</v>
      </c>
      <c r="T15" s="247">
        <f t="shared" si="13"/>
        <v>3935</v>
      </c>
      <c r="U15" s="247">
        <f t="shared" si="13"/>
        <v>1505</v>
      </c>
      <c r="V15" s="247">
        <f t="shared" si="13"/>
        <v>2068</v>
      </c>
      <c r="W15" s="247">
        <f t="shared" si="13"/>
        <v>4982</v>
      </c>
      <c r="X15" s="247">
        <f t="shared" si="13"/>
        <v>4673</v>
      </c>
      <c r="Y15" s="247">
        <f t="shared" si="13"/>
        <v>4003</v>
      </c>
      <c r="Z15" s="247">
        <f t="shared" si="13"/>
        <v>4311</v>
      </c>
      <c r="AA15" s="511">
        <f>AA$13*Headcount!S$101</f>
        <v>10837.8</v>
      </c>
      <c r="AB15" s="511">
        <f>AB$13*Headcount!T$101</f>
        <v>14344.251</v>
      </c>
      <c r="AC15" s="511">
        <f>AC$13*Headcount!U$101</f>
        <v>15124.251</v>
      </c>
      <c r="AD15" s="511">
        <f>AD$13*Headcount!V$101</f>
        <v>15904.251</v>
      </c>
      <c r="AE15" s="511">
        <f>AE$13*Headcount!W$101</f>
        <v>15904.251</v>
      </c>
      <c r="AF15" s="511">
        <f>AF$13*Headcount!X$101</f>
        <v>16518.6923</v>
      </c>
      <c r="AG15" s="511">
        <f>AG$13*Headcount!Y$101</f>
        <v>16518.6923</v>
      </c>
      <c r="AH15" s="511">
        <f>AH$13*Headcount!Z$101</f>
        <v>17268.6923</v>
      </c>
      <c r="AI15" s="511">
        <f>AI$13*Headcount!AA$101</f>
        <v>17268.6923</v>
      </c>
      <c r="AJ15" s="511">
        <f>AJ$13*Headcount!AB$101</f>
        <v>17910.78345</v>
      </c>
      <c r="AK15" s="511">
        <f>AK$13*Headcount!AC$101</f>
        <v>17910.78345</v>
      </c>
      <c r="AL15" s="511">
        <f>AL$13*Headcount!AD$101</f>
        <v>17910.78345</v>
      </c>
      <c r="AM15" s="511">
        <f>AM$13*Headcount!AE$101</f>
        <v>19533.18345</v>
      </c>
      <c r="AN15" s="511">
        <f>AN$13*Headcount!AF$101</f>
        <v>9957.994986</v>
      </c>
      <c r="AO15" s="511">
        <f>AO$13*Headcount!AG$101</f>
        <v>11442.81547</v>
      </c>
      <c r="AP15" s="511">
        <f>AP$13*Headcount!AH$101</f>
        <v>12185.22571</v>
      </c>
      <c r="AQ15" s="511">
        <f>AQ$13*Headcount!AI$101</f>
        <v>12185.22571</v>
      </c>
      <c r="AR15" s="511">
        <f>AR$13*Headcount!AJ$101</f>
        <v>13349.04497</v>
      </c>
      <c r="AS15" s="511">
        <f>AS$13*Headcount!AK$101</f>
        <v>13349.04497</v>
      </c>
      <c r="AT15" s="511">
        <f>AT$13*Headcount!AL$101</f>
        <v>14451.15162</v>
      </c>
      <c r="AU15" s="511">
        <f>AU$13*Headcount!AM$101</f>
        <v>15609.3116</v>
      </c>
      <c r="AV15" s="511">
        <f>AV$13*Headcount!AN$101</f>
        <v>16926.59071</v>
      </c>
      <c r="AW15" s="511">
        <f>AW$13*Headcount!AO$101</f>
        <v>17698.69736</v>
      </c>
      <c r="AX15" s="511">
        <f>AX$13*Headcount!AP$101</f>
        <v>18856.85734</v>
      </c>
      <c r="AY15" s="511">
        <f>AY$13*Headcount!AQ$101</f>
        <v>18856.85734</v>
      </c>
      <c r="AZ15" s="511">
        <f>AZ$13*Headcount!AR$101</f>
        <v>20123.80835</v>
      </c>
      <c r="BA15" s="511">
        <f>BA$13*Headcount!AS$101</f>
        <v>21778.45629</v>
      </c>
      <c r="BB15" s="511">
        <f>BB$13*Headcount!AT$101</f>
        <v>23019.44225</v>
      </c>
      <c r="BC15" s="511">
        <f>BC$13*Headcount!AU$101</f>
        <v>25087.75219</v>
      </c>
      <c r="BD15" s="511">
        <f>BD$13*Headcount!AV$101</f>
        <v>26009.66227</v>
      </c>
      <c r="BE15" s="511">
        <f>BE$13*Headcount!AW$101</f>
        <v>26836.98625</v>
      </c>
      <c r="BF15" s="511">
        <f>BF$13*Headcount!AX$101</f>
        <v>28127.61165</v>
      </c>
      <c r="BG15" s="511">
        <f>BG$13*Headcount!AY$101</f>
        <v>28127.61165</v>
      </c>
      <c r="BH15" s="511">
        <f>BH$13*Headcount!AZ$101</f>
        <v>30031.53305</v>
      </c>
      <c r="BI15" s="511">
        <f>BI$13*Headcount!BA$101</f>
        <v>31322.15844</v>
      </c>
      <c r="BJ15" s="511">
        <f>BJ$13*Headcount!BB$101</f>
        <v>31322.15844</v>
      </c>
      <c r="BK15" s="511">
        <f>BK$13*Headcount!BC$101</f>
        <v>32182.57538</v>
      </c>
      <c r="BL15" s="511">
        <f>BL$13*Headcount!BD$101</f>
        <v>35752.01495</v>
      </c>
      <c r="BM15" s="511">
        <f>BM$13*Headcount!BE$101</f>
        <v>35752.01495</v>
      </c>
      <c r="BN15" s="511">
        <f>BN$13*Headcount!BF$101</f>
        <v>36673.16719</v>
      </c>
      <c r="BO15" s="511">
        <f>BO$13*Headcount!BG$101</f>
        <v>36673.16719</v>
      </c>
      <c r="BP15" s="511">
        <f>BP$13*Headcount!BH$101</f>
        <v>38977.24613</v>
      </c>
      <c r="BQ15" s="511">
        <f>BQ$13*Headcount!BI$101</f>
        <v>39437.82225</v>
      </c>
      <c r="BR15" s="511">
        <f>BR$13*Headcount!BJ$101</f>
        <v>40395.82058</v>
      </c>
      <c r="BS15" s="511">
        <f>BS$13*Headcount!BK$101</f>
        <v>40395.82058</v>
      </c>
      <c r="BT15" s="511">
        <f>BT$13*Headcount!BL$101</f>
        <v>42885.65174</v>
      </c>
      <c r="BU15" s="511">
        <f>BU$13*Headcount!BM$101</f>
        <v>43364.65091</v>
      </c>
      <c r="BV15" s="511">
        <f>BV$13*Headcount!BN$101</f>
        <v>44322.64925</v>
      </c>
      <c r="BW15" s="511">
        <f>BW$13*Headcount!BO$101</f>
        <v>44322.64925</v>
      </c>
      <c r="BX15" s="511">
        <f>BX$13*Headcount!BP$101</f>
        <v>47007.87348</v>
      </c>
      <c r="BY15" s="511">
        <f>BY$13*Headcount!BQ$101</f>
        <v>49498.66916</v>
      </c>
      <c r="BZ15" s="511">
        <f>BZ$13*Headcount!BR$101</f>
        <v>50494.98743</v>
      </c>
      <c r="CA15" s="511">
        <f>CA$13*Headcount!BS$101</f>
        <v>51989.46483</v>
      </c>
      <c r="CB15" s="511">
        <f>CB$13*Headcount!BT$101</f>
        <v>53985.04342</v>
      </c>
      <c r="CC15" s="511">
        <f>CC$13*Headcount!BU$101</f>
        <v>54981.36169</v>
      </c>
      <c r="CD15" s="511">
        <f>CD$13*Headcount!BV$101</f>
        <v>55479.52082</v>
      </c>
      <c r="CE15" s="511">
        <f>CE$13*Headcount!BW$101</f>
        <v>55479.52082</v>
      </c>
      <c r="CF15" s="511">
        <f>CF$13*Headcount!BX$101</f>
        <v>58611.01993</v>
      </c>
      <c r="CG15" s="511">
        <f>CG$13*Headcount!BY$101</f>
        <v>58611.01993</v>
      </c>
      <c r="CH15" s="511">
        <f>CH$13*Headcount!BZ$101</f>
        <v>59607.33819</v>
      </c>
      <c r="CI15" s="511">
        <f>CI$13*Headcount!CA$101</f>
        <v>61101.8156</v>
      </c>
      <c r="CL15" s="117">
        <f t="shared" si="5"/>
        <v>8229</v>
      </c>
      <c r="CM15" s="117">
        <f t="shared" si="6"/>
        <v>6854</v>
      </c>
      <c r="CN15" s="117">
        <f t="shared" si="7"/>
        <v>6823</v>
      </c>
      <c r="CO15" s="117">
        <f t="shared" si="8"/>
        <v>10416</v>
      </c>
      <c r="CP15" s="117">
        <f t="shared" si="9"/>
        <v>12490</v>
      </c>
      <c r="CQ15" s="117">
        <f t="shared" si="10"/>
        <v>23824.8</v>
      </c>
    </row>
    <row r="16" outlineLevel="1">
      <c r="A16" s="1" t="s">
        <v>47</v>
      </c>
      <c r="B16" s="91" t="s">
        <v>63</v>
      </c>
      <c r="C16" s="132" t="s">
        <v>211</v>
      </c>
      <c r="D16" s="247">
        <f t="shared" ref="D16:Z16" si="14">RANDBETWEEN(0,5000)</f>
        <v>4600</v>
      </c>
      <c r="E16" s="247">
        <f t="shared" si="14"/>
        <v>255</v>
      </c>
      <c r="F16" s="247">
        <f t="shared" si="14"/>
        <v>1101</v>
      </c>
      <c r="G16" s="247">
        <f t="shared" si="14"/>
        <v>1045</v>
      </c>
      <c r="H16" s="247">
        <f t="shared" si="14"/>
        <v>3802</v>
      </c>
      <c r="I16" s="247">
        <f t="shared" si="14"/>
        <v>3688</v>
      </c>
      <c r="J16" s="247">
        <f t="shared" si="14"/>
        <v>3311</v>
      </c>
      <c r="K16" s="247">
        <f t="shared" si="14"/>
        <v>2398</v>
      </c>
      <c r="L16" s="247">
        <f t="shared" si="14"/>
        <v>3252</v>
      </c>
      <c r="M16" s="247">
        <f t="shared" si="14"/>
        <v>4571</v>
      </c>
      <c r="N16" s="247">
        <f t="shared" si="14"/>
        <v>1619</v>
      </c>
      <c r="O16" s="247">
        <f t="shared" si="14"/>
        <v>1991</v>
      </c>
      <c r="P16" s="247">
        <f t="shared" si="14"/>
        <v>2457</v>
      </c>
      <c r="Q16" s="247">
        <f t="shared" si="14"/>
        <v>3621</v>
      </c>
      <c r="R16" s="247">
        <f t="shared" si="14"/>
        <v>385</v>
      </c>
      <c r="S16" s="247">
        <f t="shared" si="14"/>
        <v>2469</v>
      </c>
      <c r="T16" s="247">
        <f t="shared" si="14"/>
        <v>442</v>
      </c>
      <c r="U16" s="247">
        <f t="shared" si="14"/>
        <v>4050</v>
      </c>
      <c r="V16" s="247">
        <f t="shared" si="14"/>
        <v>774</v>
      </c>
      <c r="W16" s="247">
        <f t="shared" si="14"/>
        <v>3915</v>
      </c>
      <c r="X16" s="247">
        <f t="shared" si="14"/>
        <v>641</v>
      </c>
      <c r="Y16" s="247">
        <f t="shared" si="14"/>
        <v>1772</v>
      </c>
      <c r="Z16" s="247">
        <f t="shared" si="14"/>
        <v>1270</v>
      </c>
      <c r="AA16" s="511">
        <f>AA$13*Headcount!S$102</f>
        <v>1445.04</v>
      </c>
      <c r="AB16" s="511">
        <f>AB$13*Headcount!T$102</f>
        <v>1912.5668</v>
      </c>
      <c r="AC16" s="511">
        <f>AC$13*Headcount!U$102</f>
        <v>2016.5668</v>
      </c>
      <c r="AD16" s="511">
        <f>AD$13*Headcount!V$102</f>
        <v>2120.5668</v>
      </c>
      <c r="AE16" s="511">
        <f>AE$13*Headcount!W$102</f>
        <v>2120.5668</v>
      </c>
      <c r="AF16" s="511">
        <f>AF$13*Headcount!X$102</f>
        <v>2202.492306</v>
      </c>
      <c r="AG16" s="511">
        <f>AG$13*Headcount!Y$102</f>
        <v>2202.492306</v>
      </c>
      <c r="AH16" s="511">
        <f>AH$13*Headcount!Z$102</f>
        <v>2302.492306</v>
      </c>
      <c r="AI16" s="511">
        <f>AI$13*Headcount!AA$102</f>
        <v>2302.492306</v>
      </c>
      <c r="AJ16" s="511">
        <f>AJ$13*Headcount!AB$102</f>
        <v>2388.10446</v>
      </c>
      <c r="AK16" s="511">
        <f>AK$13*Headcount!AC$102</f>
        <v>2388.10446</v>
      </c>
      <c r="AL16" s="511">
        <f>AL$13*Headcount!AD$102</f>
        <v>2388.10446</v>
      </c>
      <c r="AM16" s="511">
        <f>AM$13*Headcount!AE$102</f>
        <v>2604.42446</v>
      </c>
      <c r="AN16" s="511">
        <f>AN$13*Headcount!AF$102</f>
        <v>3017.574238</v>
      </c>
      <c r="AO16" s="511">
        <f>AO$13*Headcount!AG$102</f>
        <v>3467.519838</v>
      </c>
      <c r="AP16" s="511">
        <f>AP$13*Headcount!AH$102</f>
        <v>3692.492638</v>
      </c>
      <c r="AQ16" s="511">
        <f>AQ$13*Headcount!AI$102</f>
        <v>3692.492638</v>
      </c>
      <c r="AR16" s="511">
        <f>AR$13*Headcount!AJ$102</f>
        <v>4045.165144</v>
      </c>
      <c r="AS16" s="511">
        <f>AS$13*Headcount!AK$102</f>
        <v>4045.165144</v>
      </c>
      <c r="AT16" s="511">
        <f>AT$13*Headcount!AL$102</f>
        <v>4379.136856</v>
      </c>
      <c r="AU16" s="511">
        <f>AU$13*Headcount!AM$102</f>
        <v>4730.094424</v>
      </c>
      <c r="AV16" s="511">
        <f>AV$13*Headcount!AN$102</f>
        <v>5129.269913</v>
      </c>
      <c r="AW16" s="511">
        <f>AW$13*Headcount!AO$102</f>
        <v>5363.241625</v>
      </c>
      <c r="AX16" s="511">
        <f>AX$13*Headcount!AP$102</f>
        <v>5714.199193</v>
      </c>
      <c r="AY16" s="511">
        <f>AY$13*Headcount!AQ$102</f>
        <v>5714.199193</v>
      </c>
      <c r="AZ16" s="511">
        <f>AZ$13*Headcount!AR$102</f>
        <v>5918.76716</v>
      </c>
      <c r="BA16" s="511">
        <f>BA$13*Headcount!AS$102</f>
        <v>6405.428321</v>
      </c>
      <c r="BB16" s="511">
        <f>BB$13*Headcount!AT$102</f>
        <v>6770.424192</v>
      </c>
      <c r="BC16" s="511">
        <f>BC$13*Headcount!AU$102</f>
        <v>7378.750643</v>
      </c>
      <c r="BD16" s="511">
        <f>BD$13*Headcount!AV$102</f>
        <v>7649.900669</v>
      </c>
      <c r="BE16" s="511">
        <f>BE$13*Headcount!AW$102</f>
        <v>7893.231249</v>
      </c>
      <c r="BF16" s="511">
        <f>BF$13*Headcount!AX$102</f>
        <v>8272.826955</v>
      </c>
      <c r="BG16" s="511">
        <f>BG$13*Headcount!AY$102</f>
        <v>8272.826955</v>
      </c>
      <c r="BH16" s="511">
        <f>BH$13*Headcount!AZ$102</f>
        <v>8832.803837</v>
      </c>
      <c r="BI16" s="511">
        <f>BI$13*Headcount!BA$102</f>
        <v>9212.399542</v>
      </c>
      <c r="BJ16" s="511">
        <f>BJ$13*Headcount!BB$102</f>
        <v>9212.399542</v>
      </c>
      <c r="BK16" s="511">
        <f>BK$13*Headcount!BC$102</f>
        <v>9465.463346</v>
      </c>
      <c r="BL16" s="511">
        <f>BL$13*Headcount!BD$102</f>
        <v>10214.86141</v>
      </c>
      <c r="BM16" s="511">
        <f>BM$13*Headcount!BE$102</f>
        <v>10214.86141</v>
      </c>
      <c r="BN16" s="511">
        <f>BN$13*Headcount!BF$102</f>
        <v>10478.04777</v>
      </c>
      <c r="BO16" s="511">
        <f>BO$13*Headcount!BG$102</f>
        <v>10478.04777</v>
      </c>
      <c r="BP16" s="511">
        <f>BP$13*Headcount!BH$102</f>
        <v>11136.35604</v>
      </c>
      <c r="BQ16" s="511">
        <f>BQ$13*Headcount!BI$102</f>
        <v>11267.94921</v>
      </c>
      <c r="BR16" s="511">
        <f>BR$13*Headcount!BJ$102</f>
        <v>11541.66302</v>
      </c>
      <c r="BS16" s="511">
        <f>BS$13*Headcount!BK$102</f>
        <v>11541.66302</v>
      </c>
      <c r="BT16" s="511">
        <f>BT$13*Headcount!BL$102</f>
        <v>12253.04336</v>
      </c>
      <c r="BU16" s="511">
        <f>BU$13*Headcount!BM$102</f>
        <v>12389.90026</v>
      </c>
      <c r="BV16" s="511">
        <f>BV$13*Headcount!BN$102</f>
        <v>12663.61407</v>
      </c>
      <c r="BW16" s="511">
        <f>BW$13*Headcount!BO$102</f>
        <v>12663.61407</v>
      </c>
      <c r="BX16" s="511">
        <f>BX$13*Headcount!BP$102</f>
        <v>13430.821</v>
      </c>
      <c r="BY16" s="511">
        <f>BY$13*Headcount!BQ$102</f>
        <v>14142.4769</v>
      </c>
      <c r="BZ16" s="511">
        <f>BZ$13*Headcount!BR$102</f>
        <v>14427.13926</v>
      </c>
      <c r="CA16" s="511">
        <f>CA$13*Headcount!BS$102</f>
        <v>14854.13281</v>
      </c>
      <c r="CB16" s="511">
        <f>CB$13*Headcount!BT$102</f>
        <v>15424.29812</v>
      </c>
      <c r="CC16" s="511">
        <f>CC$13*Headcount!BU$102</f>
        <v>15708.96048</v>
      </c>
      <c r="CD16" s="511">
        <f>CD$13*Headcount!BV$102</f>
        <v>15851.29166</v>
      </c>
      <c r="CE16" s="511">
        <f>CE$13*Headcount!BW$102</f>
        <v>15851.29166</v>
      </c>
      <c r="CF16" s="511">
        <f>CF$13*Headcount!BX$102</f>
        <v>16746.00569</v>
      </c>
      <c r="CG16" s="511">
        <f>CG$13*Headcount!BY$102</f>
        <v>16746.00569</v>
      </c>
      <c r="CH16" s="511">
        <f>CH$13*Headcount!BZ$102</f>
        <v>17030.66806</v>
      </c>
      <c r="CI16" s="511">
        <f>CI$13*Headcount!CA$102</f>
        <v>17457.6616</v>
      </c>
      <c r="CL16" s="117">
        <f t="shared" si="5"/>
        <v>7001</v>
      </c>
      <c r="CM16" s="117">
        <f t="shared" si="6"/>
        <v>13199</v>
      </c>
      <c r="CN16" s="117">
        <f t="shared" si="7"/>
        <v>11433</v>
      </c>
      <c r="CO16" s="117">
        <f t="shared" si="8"/>
        <v>8932</v>
      </c>
      <c r="CP16" s="117">
        <f t="shared" si="9"/>
        <v>9181</v>
      </c>
      <c r="CQ16" s="117">
        <f t="shared" si="10"/>
        <v>5128.04</v>
      </c>
    </row>
    <row r="17" outlineLevel="1">
      <c r="A17" s="1" t="s">
        <v>47</v>
      </c>
      <c r="B17" s="91" t="s">
        <v>63</v>
      </c>
      <c r="C17" s="132" t="s">
        <v>212</v>
      </c>
      <c r="D17" s="247">
        <f t="shared" ref="D17:Z17" si="15">RANDBETWEEN(0,5000)</f>
        <v>628</v>
      </c>
      <c r="E17" s="247">
        <f t="shared" si="15"/>
        <v>493</v>
      </c>
      <c r="F17" s="247">
        <f t="shared" si="15"/>
        <v>2052</v>
      </c>
      <c r="G17" s="247">
        <f t="shared" si="15"/>
        <v>2916</v>
      </c>
      <c r="H17" s="247">
        <f t="shared" si="15"/>
        <v>3267</v>
      </c>
      <c r="I17" s="247">
        <f t="shared" si="15"/>
        <v>4023</v>
      </c>
      <c r="J17" s="247">
        <f t="shared" si="15"/>
        <v>2763</v>
      </c>
      <c r="K17" s="247">
        <f t="shared" si="15"/>
        <v>2423</v>
      </c>
      <c r="L17" s="247">
        <f t="shared" si="15"/>
        <v>4027</v>
      </c>
      <c r="M17" s="247">
        <f t="shared" si="15"/>
        <v>984</v>
      </c>
      <c r="N17" s="247">
        <f t="shared" si="15"/>
        <v>3716</v>
      </c>
      <c r="O17" s="247">
        <f t="shared" si="15"/>
        <v>4627</v>
      </c>
      <c r="P17" s="247">
        <f t="shared" si="15"/>
        <v>4702</v>
      </c>
      <c r="Q17" s="247">
        <f t="shared" si="15"/>
        <v>4234</v>
      </c>
      <c r="R17" s="247">
        <f t="shared" si="15"/>
        <v>1468</v>
      </c>
      <c r="S17" s="247">
        <f t="shared" si="15"/>
        <v>4170</v>
      </c>
      <c r="T17" s="247">
        <f t="shared" si="15"/>
        <v>383</v>
      </c>
      <c r="U17" s="247">
        <f t="shared" si="15"/>
        <v>921</v>
      </c>
      <c r="V17" s="247">
        <f t="shared" si="15"/>
        <v>2326</v>
      </c>
      <c r="W17" s="247">
        <f t="shared" si="15"/>
        <v>344</v>
      </c>
      <c r="X17" s="247">
        <f t="shared" si="15"/>
        <v>176</v>
      </c>
      <c r="Y17" s="247">
        <f t="shared" si="15"/>
        <v>1020</v>
      </c>
      <c r="Z17" s="247">
        <f t="shared" si="15"/>
        <v>3677</v>
      </c>
      <c r="AA17" s="511">
        <v>5305.44929</v>
      </c>
      <c r="AB17" s="511">
        <v>5596.795673</v>
      </c>
      <c r="AC17" s="511">
        <v>5657.963682</v>
      </c>
      <c r="AD17" s="511">
        <v>5905.302341</v>
      </c>
      <c r="AE17" s="511">
        <v>6081.160133</v>
      </c>
      <c r="AF17" s="511">
        <v>6361.572645</v>
      </c>
      <c r="AG17" s="511">
        <v>6613.67973</v>
      </c>
      <c r="AH17" s="511">
        <v>6850.134095</v>
      </c>
      <c r="AI17" s="511">
        <v>7119.59514</v>
      </c>
      <c r="AJ17" s="511">
        <v>7396.524099</v>
      </c>
      <c r="AK17" s="511">
        <v>7677.455985</v>
      </c>
      <c r="AL17" s="511">
        <v>7966.889628</v>
      </c>
      <c r="AM17" s="511">
        <v>8259.960046</v>
      </c>
      <c r="AN17" s="511">
        <v>8341.826432</v>
      </c>
      <c r="AO17" s="511">
        <v>8402.307946</v>
      </c>
      <c r="AP17" s="511">
        <v>8485.761406</v>
      </c>
      <c r="AQ17" s="511">
        <v>8589.097611</v>
      </c>
      <c r="AR17" s="511">
        <v>8696.372886</v>
      </c>
      <c r="AS17" s="511">
        <v>8806.986569</v>
      </c>
      <c r="AT17" s="511">
        <v>8918.151952</v>
      </c>
      <c r="AU17" s="511">
        <v>9099.230577</v>
      </c>
      <c r="AV17" s="511">
        <v>9213.312567</v>
      </c>
      <c r="AW17" s="511">
        <v>9328.821614</v>
      </c>
      <c r="AX17" s="511">
        <v>9445.830344</v>
      </c>
      <c r="AY17" s="511">
        <v>9564.410233</v>
      </c>
      <c r="AZ17" s="511">
        <v>9769.240126</v>
      </c>
      <c r="BA17" s="511">
        <v>9877.981531</v>
      </c>
      <c r="BB17" s="511">
        <v>9994.444987</v>
      </c>
      <c r="BC17" s="511">
        <v>10108.79564</v>
      </c>
      <c r="BD17" s="511">
        <v>10221.25474</v>
      </c>
      <c r="BE17" s="511">
        <v>10331.94475</v>
      </c>
      <c r="BF17" s="511">
        <v>10440.96966</v>
      </c>
      <c r="BG17" s="511">
        <v>10548.42718</v>
      </c>
      <c r="BH17" s="511">
        <v>10654.41073</v>
      </c>
      <c r="BI17" s="511">
        <v>10759.00991</v>
      </c>
      <c r="BJ17" s="511">
        <v>10862.31071</v>
      </c>
      <c r="BK17" s="511">
        <v>10964.39565</v>
      </c>
      <c r="BL17" s="511">
        <v>11160.00742</v>
      </c>
      <c r="BM17" s="511">
        <v>11270.89139</v>
      </c>
      <c r="BN17" s="511">
        <v>11367.4088</v>
      </c>
      <c r="BO17" s="511">
        <v>11464.49921</v>
      </c>
      <c r="BP17" s="511">
        <v>11561.54147</v>
      </c>
      <c r="BQ17" s="511">
        <v>11658.50249</v>
      </c>
      <c r="BR17" s="511">
        <v>11755.4358</v>
      </c>
      <c r="BS17" s="511">
        <v>11852.40651</v>
      </c>
      <c r="BT17" s="511">
        <v>11949.48012</v>
      </c>
      <c r="BU17" s="511">
        <v>12046.72099</v>
      </c>
      <c r="BV17" s="511">
        <v>12144.19216</v>
      </c>
      <c r="BW17" s="511">
        <v>12241.95548</v>
      </c>
      <c r="BX17" s="511">
        <v>12439.78835</v>
      </c>
      <c r="BY17" s="511">
        <v>12495.48736</v>
      </c>
      <c r="BZ17" s="511">
        <v>12559.29728</v>
      </c>
      <c r="CA17" s="511">
        <v>12624.54153</v>
      </c>
      <c r="CB17" s="511">
        <v>12689.0696</v>
      </c>
      <c r="CC17" s="511">
        <v>12752.64432</v>
      </c>
      <c r="CD17" s="511">
        <v>12815.31149</v>
      </c>
      <c r="CE17" s="511">
        <v>12877.15549</v>
      </c>
      <c r="CF17" s="511">
        <v>12938.26284</v>
      </c>
      <c r="CG17" s="511">
        <v>12998.71686</v>
      </c>
      <c r="CH17" s="511">
        <v>13058.59705</v>
      </c>
      <c r="CI17" s="511">
        <v>13117.97915</v>
      </c>
      <c r="CL17" s="117">
        <f t="shared" si="5"/>
        <v>6089</v>
      </c>
      <c r="CM17" s="117">
        <f t="shared" si="6"/>
        <v>12476</v>
      </c>
      <c r="CN17" s="117">
        <f t="shared" si="7"/>
        <v>13354</v>
      </c>
      <c r="CO17" s="117">
        <f t="shared" si="8"/>
        <v>14574</v>
      </c>
      <c r="CP17" s="117">
        <f t="shared" si="9"/>
        <v>3974</v>
      </c>
      <c r="CQ17" s="117">
        <f t="shared" si="10"/>
        <v>10178.44929</v>
      </c>
    </row>
    <row r="18" outlineLevel="1">
      <c r="A18" s="1" t="s">
        <v>47</v>
      </c>
      <c r="B18" s="91" t="s">
        <v>63</v>
      </c>
      <c r="C18" s="132" t="s">
        <v>213</v>
      </c>
      <c r="D18" s="247">
        <f t="shared" ref="D18:Z18" si="16">RANDBETWEEN(0,5000)</f>
        <v>3371</v>
      </c>
      <c r="E18" s="247">
        <f t="shared" si="16"/>
        <v>4130</v>
      </c>
      <c r="F18" s="247">
        <f t="shared" si="16"/>
        <v>2639</v>
      </c>
      <c r="G18" s="247">
        <f t="shared" si="16"/>
        <v>3027</v>
      </c>
      <c r="H18" s="247">
        <f t="shared" si="16"/>
        <v>186</v>
      </c>
      <c r="I18" s="247">
        <f t="shared" si="16"/>
        <v>516</v>
      </c>
      <c r="J18" s="247">
        <f t="shared" si="16"/>
        <v>1133</v>
      </c>
      <c r="K18" s="247">
        <f t="shared" si="16"/>
        <v>4599</v>
      </c>
      <c r="L18" s="247">
        <f t="shared" si="16"/>
        <v>2458</v>
      </c>
      <c r="M18" s="247">
        <f t="shared" si="16"/>
        <v>2164</v>
      </c>
      <c r="N18" s="247">
        <f t="shared" si="16"/>
        <v>3156</v>
      </c>
      <c r="O18" s="247">
        <f t="shared" si="16"/>
        <v>4166</v>
      </c>
      <c r="P18" s="247">
        <f t="shared" si="16"/>
        <v>50</v>
      </c>
      <c r="Q18" s="247">
        <f t="shared" si="16"/>
        <v>2687</v>
      </c>
      <c r="R18" s="247">
        <f t="shared" si="16"/>
        <v>1749</v>
      </c>
      <c r="S18" s="247">
        <f t="shared" si="16"/>
        <v>2405</v>
      </c>
      <c r="T18" s="247">
        <f t="shared" si="16"/>
        <v>3240</v>
      </c>
      <c r="U18" s="247">
        <f t="shared" si="16"/>
        <v>3954</v>
      </c>
      <c r="V18" s="247">
        <f t="shared" si="16"/>
        <v>3635</v>
      </c>
      <c r="W18" s="247">
        <f t="shared" si="16"/>
        <v>1668</v>
      </c>
      <c r="X18" s="247">
        <f t="shared" si="16"/>
        <v>4559</v>
      </c>
      <c r="Y18" s="247">
        <f t="shared" si="16"/>
        <v>3242</v>
      </c>
      <c r="Z18" s="247">
        <f t="shared" si="16"/>
        <v>1677</v>
      </c>
      <c r="AA18" s="511">
        <v>8648.911901</v>
      </c>
      <c r="AB18" s="511">
        <v>9123.863042</v>
      </c>
      <c r="AC18" s="511">
        <v>9223.578766</v>
      </c>
      <c r="AD18" s="511">
        <v>9626.788779</v>
      </c>
      <c r="AE18" s="511">
        <v>9913.471106</v>
      </c>
      <c r="AF18" s="511">
        <v>10370.59792</v>
      </c>
      <c r="AG18" s="511">
        <v>10781.58139</v>
      </c>
      <c r="AH18" s="511">
        <v>11167.04789</v>
      </c>
      <c r="AI18" s="511">
        <v>11606.32168</v>
      </c>
      <c r="AJ18" s="511">
        <v>12057.76963</v>
      </c>
      <c r="AK18" s="511">
        <v>12515.74312</v>
      </c>
      <c r="AL18" s="511">
        <v>12987.57612</v>
      </c>
      <c r="AM18" s="511">
        <v>13465.33778</v>
      </c>
      <c r="AN18" s="511">
        <v>18832.85697</v>
      </c>
      <c r="AO18" s="511">
        <v>18969.40257</v>
      </c>
      <c r="AP18" s="511">
        <v>19157.8106</v>
      </c>
      <c r="AQ18" s="511">
        <v>19391.10675</v>
      </c>
      <c r="AR18" s="511">
        <v>19633.2959</v>
      </c>
      <c r="AS18" s="511">
        <v>19883.02199</v>
      </c>
      <c r="AT18" s="511">
        <v>20133.99362</v>
      </c>
      <c r="AU18" s="511">
        <v>20542.80431</v>
      </c>
      <c r="AV18" s="511">
        <v>20800.36059</v>
      </c>
      <c r="AW18" s="511">
        <v>21061.13866</v>
      </c>
      <c r="AX18" s="511">
        <v>21325.30247</v>
      </c>
      <c r="AY18" s="511">
        <v>21593.0134</v>
      </c>
      <c r="AZ18" s="511">
        <v>25063.00676</v>
      </c>
      <c r="BA18" s="511">
        <v>25341.98307</v>
      </c>
      <c r="BB18" s="511">
        <v>25640.77032</v>
      </c>
      <c r="BC18" s="511">
        <v>25934.13716</v>
      </c>
      <c r="BD18" s="511">
        <v>26222.65123</v>
      </c>
      <c r="BE18" s="511">
        <v>26506.6267</v>
      </c>
      <c r="BF18" s="511">
        <v>26786.33035</v>
      </c>
      <c r="BG18" s="511">
        <v>27062.01283</v>
      </c>
      <c r="BH18" s="511">
        <v>27333.91386</v>
      </c>
      <c r="BI18" s="511">
        <v>27602.26329</v>
      </c>
      <c r="BJ18" s="511">
        <v>27867.28171</v>
      </c>
      <c r="BK18" s="511">
        <v>28129.18084</v>
      </c>
      <c r="BL18" s="511">
        <v>32066.74608</v>
      </c>
      <c r="BM18" s="511">
        <v>32385.3559</v>
      </c>
      <c r="BN18" s="511">
        <v>32662.6854</v>
      </c>
      <c r="BO18" s="511">
        <v>32941.66133</v>
      </c>
      <c r="BP18" s="511">
        <v>33220.49893</v>
      </c>
      <c r="BQ18" s="511">
        <v>33499.10307</v>
      </c>
      <c r="BR18" s="511">
        <v>33777.62761</v>
      </c>
      <c r="BS18" s="511">
        <v>34056.2596</v>
      </c>
      <c r="BT18" s="511">
        <v>34335.18727</v>
      </c>
      <c r="BU18" s="511">
        <v>34614.59552</v>
      </c>
      <c r="BV18" s="511">
        <v>34894.66552</v>
      </c>
      <c r="BW18" s="511">
        <v>35175.57499</v>
      </c>
      <c r="BX18" s="511">
        <v>35744.0205</v>
      </c>
      <c r="BY18" s="511">
        <v>38468.63995</v>
      </c>
      <c r="BZ18" s="511">
        <v>38665.08534</v>
      </c>
      <c r="CA18" s="511">
        <v>38865.94646</v>
      </c>
      <c r="CB18" s="511">
        <v>39064.60274</v>
      </c>
      <c r="CC18" s="511">
        <v>39260.32404</v>
      </c>
      <c r="CD18" s="511">
        <v>39453.25134</v>
      </c>
      <c r="CE18" s="511">
        <v>39643.64446</v>
      </c>
      <c r="CF18" s="511">
        <v>39831.76971</v>
      </c>
      <c r="CG18" s="511">
        <v>40017.8836</v>
      </c>
      <c r="CH18" s="511">
        <v>40202.2309</v>
      </c>
      <c r="CI18" s="511">
        <v>40385.04481</v>
      </c>
      <c r="CJ18" s="1"/>
      <c r="CK18" s="1"/>
      <c r="CL18" s="117"/>
      <c r="CM18" s="117"/>
      <c r="CN18" s="117"/>
      <c r="CO18" s="117"/>
      <c r="CP18" s="117"/>
      <c r="CQ18" s="117"/>
    </row>
    <row r="19" outlineLevel="1">
      <c r="A19" s="1" t="s">
        <v>47</v>
      </c>
      <c r="B19" s="91" t="s">
        <v>63</v>
      </c>
      <c r="C19" s="132" t="s">
        <v>214</v>
      </c>
      <c r="D19" s="247">
        <f t="shared" ref="D19:Z19" si="17">RANDBETWEEN(0,5000)</f>
        <v>1841</v>
      </c>
      <c r="E19" s="247">
        <f t="shared" si="17"/>
        <v>1364</v>
      </c>
      <c r="F19" s="247">
        <f t="shared" si="17"/>
        <v>210</v>
      </c>
      <c r="G19" s="247">
        <f t="shared" si="17"/>
        <v>4762</v>
      </c>
      <c r="H19" s="247">
        <f t="shared" si="17"/>
        <v>282</v>
      </c>
      <c r="I19" s="247">
        <f t="shared" si="17"/>
        <v>2538</v>
      </c>
      <c r="J19" s="247">
        <f t="shared" si="17"/>
        <v>4245</v>
      </c>
      <c r="K19" s="247">
        <f t="shared" si="17"/>
        <v>1674</v>
      </c>
      <c r="L19" s="247">
        <f t="shared" si="17"/>
        <v>3003</v>
      </c>
      <c r="M19" s="247">
        <f t="shared" si="17"/>
        <v>1231</v>
      </c>
      <c r="N19" s="247">
        <f t="shared" si="17"/>
        <v>764</v>
      </c>
      <c r="O19" s="247">
        <f t="shared" si="17"/>
        <v>2966</v>
      </c>
      <c r="P19" s="247">
        <f t="shared" si="17"/>
        <v>2301</v>
      </c>
      <c r="Q19" s="247">
        <f t="shared" si="17"/>
        <v>862</v>
      </c>
      <c r="R19" s="247">
        <f t="shared" si="17"/>
        <v>388</v>
      </c>
      <c r="S19" s="247">
        <f t="shared" si="17"/>
        <v>2098</v>
      </c>
      <c r="T19" s="247">
        <f t="shared" si="17"/>
        <v>913</v>
      </c>
      <c r="U19" s="247">
        <f t="shared" si="17"/>
        <v>1927</v>
      </c>
      <c r="V19" s="247">
        <f t="shared" si="17"/>
        <v>3165</v>
      </c>
      <c r="W19" s="247">
        <f t="shared" si="17"/>
        <v>1</v>
      </c>
      <c r="X19" s="247">
        <f t="shared" si="17"/>
        <v>2798</v>
      </c>
      <c r="Y19" s="247">
        <f t="shared" si="17"/>
        <v>601</v>
      </c>
      <c r="Z19" s="247">
        <f t="shared" si="17"/>
        <v>4974</v>
      </c>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7"/>
      <c r="BU19" s="117"/>
      <c r="BV19" s="117"/>
      <c r="BW19" s="117"/>
      <c r="BX19" s="117"/>
      <c r="BY19" s="117"/>
      <c r="BZ19" s="117"/>
      <c r="CA19" s="117"/>
      <c r="CB19" s="117"/>
      <c r="CC19" s="117"/>
      <c r="CD19" s="117"/>
      <c r="CE19" s="117"/>
      <c r="CF19" s="117"/>
      <c r="CG19" s="117"/>
      <c r="CH19" s="117"/>
      <c r="CI19" s="117"/>
      <c r="CJ19" s="1"/>
      <c r="CK19" s="1"/>
      <c r="CL19" s="117"/>
      <c r="CM19" s="117"/>
      <c r="CN19" s="117"/>
      <c r="CO19" s="117"/>
      <c r="CP19" s="117"/>
      <c r="CQ19" s="117"/>
    </row>
    <row r="20" outlineLevel="1">
      <c r="A20" s="1" t="s">
        <v>47</v>
      </c>
      <c r="B20" s="91" t="s">
        <v>65</v>
      </c>
      <c r="C20" s="132" t="s">
        <v>215</v>
      </c>
      <c r="D20" s="247">
        <f t="shared" ref="D20:Z20" si="18">RANDBETWEEN(0,5000)</f>
        <v>714</v>
      </c>
      <c r="E20" s="247">
        <f t="shared" si="18"/>
        <v>409</v>
      </c>
      <c r="F20" s="247">
        <f t="shared" si="18"/>
        <v>267</v>
      </c>
      <c r="G20" s="247">
        <f t="shared" si="18"/>
        <v>237</v>
      </c>
      <c r="H20" s="247">
        <f t="shared" si="18"/>
        <v>453</v>
      </c>
      <c r="I20" s="247">
        <f t="shared" si="18"/>
        <v>646</v>
      </c>
      <c r="J20" s="247">
        <f t="shared" si="18"/>
        <v>3422</v>
      </c>
      <c r="K20" s="247">
        <f t="shared" si="18"/>
        <v>1261</v>
      </c>
      <c r="L20" s="247">
        <f t="shared" si="18"/>
        <v>3370</v>
      </c>
      <c r="M20" s="247">
        <f t="shared" si="18"/>
        <v>4712</v>
      </c>
      <c r="N20" s="247">
        <f t="shared" si="18"/>
        <v>877</v>
      </c>
      <c r="O20" s="247">
        <f t="shared" si="18"/>
        <v>3620</v>
      </c>
      <c r="P20" s="247">
        <f t="shared" si="18"/>
        <v>3187</v>
      </c>
      <c r="Q20" s="247">
        <f t="shared" si="18"/>
        <v>4807</v>
      </c>
      <c r="R20" s="247">
        <f t="shared" si="18"/>
        <v>2946</v>
      </c>
      <c r="S20" s="247">
        <f t="shared" si="18"/>
        <v>3197</v>
      </c>
      <c r="T20" s="247">
        <f t="shared" si="18"/>
        <v>2908</v>
      </c>
      <c r="U20" s="247">
        <f t="shared" si="18"/>
        <v>2933</v>
      </c>
      <c r="V20" s="247">
        <f t="shared" si="18"/>
        <v>4086</v>
      </c>
      <c r="W20" s="247">
        <f t="shared" si="18"/>
        <v>3199</v>
      </c>
      <c r="X20" s="247">
        <f t="shared" si="18"/>
        <v>4864</v>
      </c>
      <c r="Y20" s="247">
        <f t="shared" si="18"/>
        <v>1247</v>
      </c>
      <c r="Z20" s="247">
        <f t="shared" si="18"/>
        <v>3570</v>
      </c>
      <c r="AA20" s="116">
        <f>Headcount!S185</f>
        <v>799.2201641</v>
      </c>
      <c r="AB20" s="116">
        <f>Headcount!T185</f>
        <v>647.1155187</v>
      </c>
      <c r="AC20" s="116">
        <f>Headcount!U185</f>
        <v>748.8167738</v>
      </c>
      <c r="AD20" s="116">
        <f>Headcount!V185</f>
        <v>846.0515209</v>
      </c>
      <c r="AE20" s="116">
        <f>Headcount!W185</f>
        <v>943.2032263</v>
      </c>
      <c r="AF20" s="116">
        <f>Headcount!X185</f>
        <v>1614.146134</v>
      </c>
      <c r="AG20" s="116">
        <f>Headcount!Y185</f>
        <v>1772.901505</v>
      </c>
      <c r="AH20" s="116">
        <f>Headcount!Z185</f>
        <v>1927.547635</v>
      </c>
      <c r="AI20" s="116">
        <f>Headcount!AA185</f>
        <v>2080.412814</v>
      </c>
      <c r="AJ20" s="116">
        <f>Headcount!AB185</f>
        <v>2237.449035</v>
      </c>
      <c r="AK20" s="116">
        <f>Headcount!AC185</f>
        <v>2384.380298</v>
      </c>
      <c r="AL20" s="116">
        <f>Headcount!AD185</f>
        <v>2538.118301</v>
      </c>
      <c r="AM20" s="116">
        <f>Headcount!AE185</f>
        <v>2697.675187</v>
      </c>
      <c r="AN20" s="116">
        <f>Headcount!AF185</f>
        <v>2886.457535</v>
      </c>
      <c r="AO20" s="116">
        <f>Headcount!AG185</f>
        <v>2922.943028</v>
      </c>
      <c r="AP20" s="116">
        <f>Headcount!AH185</f>
        <v>2974.618779</v>
      </c>
      <c r="AQ20" s="116">
        <f>Headcount!AI185</f>
        <v>3032.293726</v>
      </c>
      <c r="AR20" s="116">
        <f>Headcount!AJ185</f>
        <v>3089.820517</v>
      </c>
      <c r="AS20" s="116">
        <f>Headcount!AK185</f>
        <v>3147.185188</v>
      </c>
      <c r="AT20" s="116">
        <f>Headcount!AL185</f>
        <v>3203.159111</v>
      </c>
      <c r="AU20" s="116">
        <f>Headcount!AM185</f>
        <v>3360.462535</v>
      </c>
      <c r="AV20" s="116">
        <f>Headcount!AN185</f>
        <v>3416.076287</v>
      </c>
      <c r="AW20" s="116">
        <f>Headcount!AO185</f>
        <v>3470.736154</v>
      </c>
      <c r="AX20" s="116">
        <f>Headcount!AP185</f>
        <v>3524.505142</v>
      </c>
      <c r="AY20" s="116">
        <f>Headcount!AQ185</f>
        <v>3577.442791</v>
      </c>
      <c r="AZ20" s="116">
        <f>Headcount!AR185</f>
        <v>3770.092701</v>
      </c>
      <c r="BA20" s="116">
        <f>Headcount!AS185</f>
        <v>3852.672645</v>
      </c>
      <c r="BB20" s="116">
        <f>Headcount!AT185</f>
        <v>3933.427123</v>
      </c>
      <c r="BC20" s="116">
        <f>Headcount!AU185</f>
        <v>4012.732032</v>
      </c>
      <c r="BD20" s="116">
        <f>Headcount!AV185</f>
        <v>4090.705312</v>
      </c>
      <c r="BE20" s="116">
        <f>Headcount!AW185</f>
        <v>4167.423904</v>
      </c>
      <c r="BF20" s="116">
        <f>Headcount!AX185</f>
        <v>4242.956383</v>
      </c>
      <c r="BG20" s="116">
        <f>Headcount!AY185</f>
        <v>4317.367942</v>
      </c>
      <c r="BH20" s="116">
        <f>Headcount!AZ185</f>
        <v>4390.721235</v>
      </c>
      <c r="BI20" s="116">
        <f>Headcount!BA185</f>
        <v>4463.076576</v>
      </c>
      <c r="BJ20" s="116">
        <f>Headcount!BB185</f>
        <v>4534.492054</v>
      </c>
      <c r="BK20" s="116">
        <f>Headcount!BC185</f>
        <v>4605.023631</v>
      </c>
      <c r="BL20" s="116">
        <f>Headcount!BD185</f>
        <v>4994.586647</v>
      </c>
      <c r="BM20" s="116">
        <f>Headcount!BE185</f>
        <v>5071.7839</v>
      </c>
      <c r="BN20" s="116">
        <f>Headcount!BF185</f>
        <v>5140.341332</v>
      </c>
      <c r="BO20" s="116">
        <f>Headcount!BG185</f>
        <v>5209.000195</v>
      </c>
      <c r="BP20" s="116">
        <f>Headcount!BH185</f>
        <v>5277.523981</v>
      </c>
      <c r="BQ20" s="116">
        <f>Headcount!BI185</f>
        <v>5345.912716</v>
      </c>
      <c r="BR20" s="116">
        <f>Headcount!BJ185</f>
        <v>5414.201201</v>
      </c>
      <c r="BS20" s="116">
        <f>Headcount!BK185</f>
        <v>5482.428797</v>
      </c>
      <c r="BT20" s="116">
        <f>Headcount!BL185</f>
        <v>5550.634936</v>
      </c>
      <c r="BU20" s="116">
        <f>Headcount!BM185</f>
        <v>5618.858484</v>
      </c>
      <c r="BV20" s="116">
        <f>Headcount!BN185</f>
        <v>5687.137695</v>
      </c>
      <c r="BW20" s="116">
        <f>Headcount!BO185</f>
        <v>5755.510238</v>
      </c>
      <c r="BX20" s="116">
        <f>Headcount!BP185</f>
        <v>6011.083675</v>
      </c>
      <c r="BY20" s="116">
        <f>Headcount!BQ185</f>
        <v>6065.647335</v>
      </c>
      <c r="BZ20" s="116">
        <f>Headcount!BR185</f>
        <v>6115.394387</v>
      </c>
      <c r="CA20" s="116">
        <f>Headcount!BS185</f>
        <v>6165.606412</v>
      </c>
      <c r="CB20" s="116">
        <f>Headcount!BT185</f>
        <v>6215.431613</v>
      </c>
      <c r="CC20" s="116">
        <f>Headcount!BU185</f>
        <v>6264.787792</v>
      </c>
      <c r="CD20" s="116">
        <f>Headcount!BV185</f>
        <v>6313.706314</v>
      </c>
      <c r="CE20" s="116">
        <f>Headcount!BW185</f>
        <v>6362.233779</v>
      </c>
      <c r="CF20" s="116">
        <f>Headcount!BX185</f>
        <v>6410.417353</v>
      </c>
      <c r="CG20" s="116">
        <f>Headcount!BY185</f>
        <v>6458.30264</v>
      </c>
      <c r="CH20" s="116">
        <f>Headcount!BZ185</f>
        <v>6505.933435</v>
      </c>
      <c r="CI20" s="116">
        <f>Headcount!CA185</f>
        <v>6553.351756</v>
      </c>
      <c r="CJ20" s="249" t="str">
        <f>Headcount!CB184</f>
        <v/>
      </c>
      <c r="CL20" s="117">
        <f t="shared" ref="CL20:CL22" si="20">SUM(D20:G20)</f>
        <v>1627</v>
      </c>
      <c r="CM20" s="117">
        <f t="shared" ref="CM20:CM22" si="21">SUM(H20:K20)</f>
        <v>5782</v>
      </c>
      <c r="CN20" s="117">
        <f t="shared" ref="CN20:CN22" si="22">SUM(L20:O20)</f>
        <v>12579</v>
      </c>
      <c r="CO20" s="117">
        <f t="shared" ref="CO20:CO22" si="23">SUM(P20:S20)</f>
        <v>14137</v>
      </c>
      <c r="CP20" s="117">
        <f t="shared" ref="CP20:CP22" si="24">SUM(T20:W20)</f>
        <v>13126</v>
      </c>
      <c r="CQ20" s="117">
        <f t="shared" ref="CQ20:CQ22" si="25">SUM(X20:AA20)</f>
        <v>10480.22016</v>
      </c>
    </row>
    <row r="21" ht="15.75" customHeight="1" outlineLevel="1">
      <c r="A21" s="1" t="s">
        <v>47</v>
      </c>
      <c r="B21" s="91" t="s">
        <v>69</v>
      </c>
      <c r="C21" s="132" t="s">
        <v>216</v>
      </c>
      <c r="D21" s="247">
        <f t="shared" ref="D21:Z21" si="19">RANDBETWEEN(0,5000)</f>
        <v>5000</v>
      </c>
      <c r="E21" s="247">
        <f t="shared" si="19"/>
        <v>1734</v>
      </c>
      <c r="F21" s="247">
        <f t="shared" si="19"/>
        <v>793</v>
      </c>
      <c r="G21" s="247">
        <f t="shared" si="19"/>
        <v>3852</v>
      </c>
      <c r="H21" s="247">
        <f t="shared" si="19"/>
        <v>2203</v>
      </c>
      <c r="I21" s="247">
        <f t="shared" si="19"/>
        <v>762</v>
      </c>
      <c r="J21" s="247">
        <f t="shared" si="19"/>
        <v>912</v>
      </c>
      <c r="K21" s="247">
        <f t="shared" si="19"/>
        <v>2861</v>
      </c>
      <c r="L21" s="247">
        <f t="shared" si="19"/>
        <v>4388</v>
      </c>
      <c r="M21" s="247">
        <f t="shared" si="19"/>
        <v>4126</v>
      </c>
      <c r="N21" s="247">
        <f t="shared" si="19"/>
        <v>3787</v>
      </c>
      <c r="O21" s="247">
        <f t="shared" si="19"/>
        <v>4955</v>
      </c>
      <c r="P21" s="247">
        <f t="shared" si="19"/>
        <v>2355</v>
      </c>
      <c r="Q21" s="247">
        <f t="shared" si="19"/>
        <v>1746</v>
      </c>
      <c r="R21" s="247">
        <f t="shared" si="19"/>
        <v>1810</v>
      </c>
      <c r="S21" s="247">
        <f t="shared" si="19"/>
        <v>715</v>
      </c>
      <c r="T21" s="247">
        <f t="shared" si="19"/>
        <v>4215</v>
      </c>
      <c r="U21" s="247">
        <f t="shared" si="19"/>
        <v>3449</v>
      </c>
      <c r="V21" s="247">
        <f t="shared" si="19"/>
        <v>1835</v>
      </c>
      <c r="W21" s="247">
        <f t="shared" si="19"/>
        <v>1693</v>
      </c>
      <c r="X21" s="247">
        <f t="shared" si="19"/>
        <v>2494</v>
      </c>
      <c r="Y21" s="247">
        <f t="shared" si="19"/>
        <v>3890</v>
      </c>
      <c r="Z21" s="247">
        <f t="shared" si="19"/>
        <v>2906</v>
      </c>
      <c r="AA21" s="511">
        <f>Expenses!T56</f>
        <v>631.864</v>
      </c>
      <c r="AB21" s="511">
        <f>Expenses!U56</f>
        <v>1391.864</v>
      </c>
      <c r="AC21" s="511">
        <f>Expenses!V56</f>
        <v>1391.864</v>
      </c>
      <c r="AD21" s="511">
        <f>Expenses!W56</f>
        <v>1391.864</v>
      </c>
      <c r="AE21" s="511">
        <f>Expenses!X56</f>
        <v>1391.864</v>
      </c>
      <c r="AF21" s="511">
        <f>Expenses!Y56</f>
        <v>2151.864</v>
      </c>
      <c r="AG21" s="511">
        <f>Expenses!Z56</f>
        <v>2151.864</v>
      </c>
      <c r="AH21" s="511">
        <f>Expenses!AA56</f>
        <v>2151.864</v>
      </c>
      <c r="AI21" s="511">
        <f>Expenses!AB56</f>
        <v>2151.864</v>
      </c>
      <c r="AJ21" s="511">
        <f>Expenses!AC56</f>
        <v>2911.864</v>
      </c>
      <c r="AK21" s="511">
        <f>Expenses!AD56</f>
        <v>2911.864</v>
      </c>
      <c r="AL21" s="511">
        <f>Expenses!AE56</f>
        <v>2911.864</v>
      </c>
      <c r="AM21" s="511">
        <f>Expenses!AF56</f>
        <v>2911.864</v>
      </c>
      <c r="AN21" s="511">
        <f>Expenses!AG56</f>
        <v>2911.864</v>
      </c>
      <c r="AO21" s="511">
        <f>Expenses!AH56</f>
        <v>2911.864</v>
      </c>
      <c r="AP21" s="511">
        <f>Expenses!AI56</f>
        <v>2911.864</v>
      </c>
      <c r="AQ21" s="511">
        <f>Expenses!AJ56</f>
        <v>2911.864</v>
      </c>
      <c r="AR21" s="511">
        <f>Expenses!AK56</f>
        <v>2911.864</v>
      </c>
      <c r="AS21" s="511">
        <f>Expenses!AL56</f>
        <v>2911.864</v>
      </c>
      <c r="AT21" s="511">
        <f>Expenses!AM56</f>
        <v>2911.864</v>
      </c>
      <c r="AU21" s="511">
        <f>Expenses!AN56</f>
        <v>2911.864</v>
      </c>
      <c r="AV21" s="511">
        <f>Expenses!AO56</f>
        <v>3519.864</v>
      </c>
      <c r="AW21" s="511">
        <f>Expenses!AP56</f>
        <v>3519.864</v>
      </c>
      <c r="AX21" s="511">
        <f>Expenses!AQ56</f>
        <v>3519.864</v>
      </c>
      <c r="AY21" s="511">
        <f>Expenses!AR56</f>
        <v>3519.864</v>
      </c>
      <c r="AZ21" s="511">
        <f>Expenses!AS56</f>
        <v>5039.864</v>
      </c>
      <c r="BA21" s="511">
        <f>Expenses!AT56</f>
        <v>5039.864</v>
      </c>
      <c r="BB21" s="511">
        <f>Expenses!AU56</f>
        <v>5039.864</v>
      </c>
      <c r="BC21" s="511">
        <f>Expenses!AV56</f>
        <v>5039.864</v>
      </c>
      <c r="BD21" s="511">
        <f>Expenses!AW56</f>
        <v>6559.864</v>
      </c>
      <c r="BE21" s="511">
        <f>Expenses!AX56</f>
        <v>6559.864</v>
      </c>
      <c r="BF21" s="511">
        <f>Expenses!AY56</f>
        <v>6559.864</v>
      </c>
      <c r="BG21" s="511">
        <f>Expenses!AZ56</f>
        <v>6559.864</v>
      </c>
      <c r="BH21" s="511">
        <f>Expenses!BA56</f>
        <v>8079.864</v>
      </c>
      <c r="BI21" s="511">
        <f>Expenses!BB56</f>
        <v>8079.864</v>
      </c>
      <c r="BJ21" s="511">
        <f>Expenses!BC56</f>
        <v>8079.864</v>
      </c>
      <c r="BK21" s="511">
        <f>Expenses!BD56</f>
        <v>8079.864</v>
      </c>
      <c r="BL21" s="511">
        <f>Expenses!BE56</f>
        <v>8110.264</v>
      </c>
      <c r="BM21" s="511">
        <f>Expenses!BF56</f>
        <v>8110.264</v>
      </c>
      <c r="BN21" s="511">
        <f>Expenses!BG56</f>
        <v>8110.264</v>
      </c>
      <c r="BO21" s="511">
        <f>Expenses!BH56</f>
        <v>8110.264</v>
      </c>
      <c r="BP21" s="511">
        <f>Expenses!BI56</f>
        <v>8140.664</v>
      </c>
      <c r="BQ21" s="511">
        <f>Expenses!BJ56</f>
        <v>8140.664</v>
      </c>
      <c r="BR21" s="511">
        <f>Expenses!BK56</f>
        <v>8140.664</v>
      </c>
      <c r="BS21" s="511">
        <f>Expenses!BL56</f>
        <v>8140.664</v>
      </c>
      <c r="BT21" s="511">
        <f>Expenses!BM56</f>
        <v>8171.064</v>
      </c>
      <c r="BU21" s="511">
        <f>Expenses!BN56</f>
        <v>8171.064</v>
      </c>
      <c r="BV21" s="511">
        <f>Expenses!BO56</f>
        <v>8171.064</v>
      </c>
      <c r="BW21" s="511">
        <f>Expenses!BP56</f>
        <v>8171.064</v>
      </c>
      <c r="BX21" s="511">
        <f>Expenses!BQ56</f>
        <v>8201.464</v>
      </c>
      <c r="BY21" s="511">
        <f>Expenses!BR56</f>
        <v>8201.464</v>
      </c>
      <c r="BZ21" s="511">
        <f>Expenses!BS56</f>
        <v>8201.464</v>
      </c>
      <c r="CA21" s="511">
        <f>Expenses!BT56</f>
        <v>8201.464</v>
      </c>
      <c r="CB21" s="511">
        <f>Expenses!BU56</f>
        <v>8231.864</v>
      </c>
      <c r="CC21" s="511">
        <f>Expenses!BV56</f>
        <v>8231.864</v>
      </c>
      <c r="CD21" s="511">
        <f>Expenses!BW56</f>
        <v>8231.864</v>
      </c>
      <c r="CE21" s="511">
        <f>Expenses!BX56</f>
        <v>8231.864</v>
      </c>
      <c r="CF21" s="511">
        <f>Expenses!BY56</f>
        <v>8611.864</v>
      </c>
      <c r="CG21" s="511">
        <f>Expenses!BZ56</f>
        <v>8611.864</v>
      </c>
      <c r="CH21" s="511">
        <f>Expenses!CA56</f>
        <v>8611.864</v>
      </c>
      <c r="CI21" s="511">
        <f>Expenses!CB56</f>
        <v>8611.864</v>
      </c>
      <c r="CL21" s="117">
        <f t="shared" si="20"/>
        <v>11379</v>
      </c>
      <c r="CM21" s="117">
        <f t="shared" si="21"/>
        <v>6738</v>
      </c>
      <c r="CN21" s="117">
        <f t="shared" si="22"/>
        <v>17256</v>
      </c>
      <c r="CO21" s="117">
        <f t="shared" si="23"/>
        <v>6626</v>
      </c>
      <c r="CP21" s="117">
        <f t="shared" si="24"/>
        <v>11192</v>
      </c>
      <c r="CQ21" s="117">
        <f t="shared" si="25"/>
        <v>9921.864</v>
      </c>
    </row>
    <row r="22" ht="15.75" customHeight="1" outlineLevel="1">
      <c r="A22" s="1" t="s">
        <v>47</v>
      </c>
      <c r="B22" s="91" t="s">
        <v>71</v>
      </c>
      <c r="C22" s="132" t="s">
        <v>217</v>
      </c>
      <c r="D22" s="247"/>
      <c r="E22" s="247"/>
      <c r="F22" s="247"/>
      <c r="G22" s="247"/>
      <c r="H22" s="247"/>
      <c r="I22" s="247"/>
      <c r="J22" s="247"/>
      <c r="K22" s="247"/>
      <c r="L22" s="247"/>
      <c r="M22" s="247"/>
      <c r="N22" s="247"/>
      <c r="O22" s="247"/>
      <c r="P22" s="247"/>
      <c r="Q22" s="247"/>
      <c r="R22" s="247"/>
      <c r="S22" s="247"/>
      <c r="T22" s="247"/>
      <c r="U22" s="247"/>
      <c r="V22" s="247"/>
      <c r="W22" s="247"/>
      <c r="X22" s="247"/>
      <c r="Y22" s="247"/>
      <c r="Z22" s="24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c r="BY22" s="117"/>
      <c r="BZ22" s="117"/>
      <c r="CA22" s="117"/>
      <c r="CB22" s="117"/>
      <c r="CC22" s="117"/>
      <c r="CD22" s="117"/>
      <c r="CE22" s="117"/>
      <c r="CF22" s="117"/>
      <c r="CG22" s="117"/>
      <c r="CH22" s="117"/>
      <c r="CI22" s="117"/>
      <c r="CL22" s="117">
        <f t="shared" si="20"/>
        <v>0</v>
      </c>
      <c r="CM22" s="117">
        <f t="shared" si="21"/>
        <v>0</v>
      </c>
      <c r="CN22" s="117">
        <f t="shared" si="22"/>
        <v>0</v>
      </c>
      <c r="CO22" s="117">
        <f t="shared" si="23"/>
        <v>0</v>
      </c>
      <c r="CP22" s="117">
        <f t="shared" si="24"/>
        <v>0</v>
      </c>
      <c r="CQ22" s="117">
        <f t="shared" si="25"/>
        <v>0</v>
      </c>
    </row>
    <row r="23" ht="15.75" customHeight="1" outlineLevel="1">
      <c r="A23" s="1" t="s">
        <v>47</v>
      </c>
      <c r="B23" s="91" t="s">
        <v>67</v>
      </c>
      <c r="C23" s="146" t="s">
        <v>218</v>
      </c>
      <c r="D23" s="247">
        <f t="shared" ref="D23:Z23" si="26">RANDBETWEEN(0,5000)</f>
        <v>2283</v>
      </c>
      <c r="E23" s="247">
        <f t="shared" si="26"/>
        <v>1241</v>
      </c>
      <c r="F23" s="247">
        <f t="shared" si="26"/>
        <v>134</v>
      </c>
      <c r="G23" s="247">
        <f t="shared" si="26"/>
        <v>1712</v>
      </c>
      <c r="H23" s="247">
        <f t="shared" si="26"/>
        <v>1880</v>
      </c>
      <c r="I23" s="247">
        <f t="shared" si="26"/>
        <v>2504</v>
      </c>
      <c r="J23" s="247">
        <f t="shared" si="26"/>
        <v>1850</v>
      </c>
      <c r="K23" s="247">
        <f t="shared" si="26"/>
        <v>3583</v>
      </c>
      <c r="L23" s="247">
        <f t="shared" si="26"/>
        <v>1956</v>
      </c>
      <c r="M23" s="247">
        <f t="shared" si="26"/>
        <v>1572</v>
      </c>
      <c r="N23" s="247">
        <f t="shared" si="26"/>
        <v>2404</v>
      </c>
      <c r="O23" s="247">
        <f t="shared" si="26"/>
        <v>2817</v>
      </c>
      <c r="P23" s="247">
        <f t="shared" si="26"/>
        <v>3973</v>
      </c>
      <c r="Q23" s="247">
        <f t="shared" si="26"/>
        <v>4848</v>
      </c>
      <c r="R23" s="247">
        <f t="shared" si="26"/>
        <v>1516</v>
      </c>
      <c r="S23" s="247">
        <f t="shared" si="26"/>
        <v>1800</v>
      </c>
      <c r="T23" s="247">
        <f t="shared" si="26"/>
        <v>2030</v>
      </c>
      <c r="U23" s="247">
        <f t="shared" si="26"/>
        <v>295</v>
      </c>
      <c r="V23" s="247">
        <f t="shared" si="26"/>
        <v>3734</v>
      </c>
      <c r="W23" s="247">
        <f t="shared" si="26"/>
        <v>870</v>
      </c>
      <c r="X23" s="247">
        <f t="shared" si="26"/>
        <v>1943</v>
      </c>
      <c r="Y23" s="247">
        <f t="shared" si="26"/>
        <v>530</v>
      </c>
      <c r="Z23" s="247">
        <f t="shared" si="26"/>
        <v>2642</v>
      </c>
      <c r="AA23" s="116">
        <f>Expenses!T102</f>
        <v>1882.2042</v>
      </c>
      <c r="AB23" s="116">
        <f>Expenses!U102</f>
        <v>2070.42462</v>
      </c>
      <c r="AC23" s="116">
        <f>Expenses!V102</f>
        <v>2091.128866</v>
      </c>
      <c r="AD23" s="116">
        <f>Expenses!W102</f>
        <v>2112.040155</v>
      </c>
      <c r="AE23" s="116">
        <f>Expenses!X102</f>
        <v>2133.160556</v>
      </c>
      <c r="AF23" s="116">
        <f>Expenses!Y102</f>
        <v>2154.492162</v>
      </c>
      <c r="AG23" s="116">
        <f>Expenses!Z102</f>
        <v>2176.037084</v>
      </c>
      <c r="AH23" s="116">
        <f>Expenses!AA102</f>
        <v>2197.797454</v>
      </c>
      <c r="AI23" s="116">
        <f>Expenses!AB102</f>
        <v>2219.775429</v>
      </c>
      <c r="AJ23" s="116">
        <f>Expenses!AC102</f>
        <v>2241.973183</v>
      </c>
      <c r="AK23" s="116">
        <f>Expenses!AD102</f>
        <v>2264.392915</v>
      </c>
      <c r="AL23" s="116">
        <f>Expenses!AE102</f>
        <v>2287.036844</v>
      </c>
      <c r="AM23" s="116">
        <f>Expenses!AF102</f>
        <v>2309.907213</v>
      </c>
      <c r="AN23" s="116">
        <f>Expenses!AG102</f>
        <v>2333.006285</v>
      </c>
      <c r="AO23" s="116">
        <f>Expenses!AH102</f>
        <v>2356.336348</v>
      </c>
      <c r="AP23" s="116">
        <f>Expenses!AI102</f>
        <v>2379.899711</v>
      </c>
      <c r="AQ23" s="116">
        <f>Expenses!AJ102</f>
        <v>2403.698708</v>
      </c>
      <c r="AR23" s="116">
        <f>Expenses!AK102</f>
        <v>2427.735695</v>
      </c>
      <c r="AS23" s="116">
        <f>Expenses!AL102</f>
        <v>2452.013052</v>
      </c>
      <c r="AT23" s="116">
        <f>Expenses!AM102</f>
        <v>2476.533183</v>
      </c>
      <c r="AU23" s="116">
        <f>Expenses!AN102</f>
        <v>2501.298515</v>
      </c>
      <c r="AV23" s="116">
        <f>Expenses!AO102</f>
        <v>2526.3115</v>
      </c>
      <c r="AW23" s="116">
        <f>Expenses!AP102</f>
        <v>2551.574615</v>
      </c>
      <c r="AX23" s="116">
        <f>Expenses!AQ102</f>
        <v>2577.090361</v>
      </c>
      <c r="AY23" s="116">
        <f>Expenses!AR102</f>
        <v>2602.861265</v>
      </c>
      <c r="AZ23" s="116">
        <f>Expenses!AS102</f>
        <v>2628.889877</v>
      </c>
      <c r="BA23" s="116">
        <f>Expenses!AT102</f>
        <v>2655.178776</v>
      </c>
      <c r="BB23" s="116">
        <f>Expenses!AU102</f>
        <v>2681.730564</v>
      </c>
      <c r="BC23" s="116">
        <f>Expenses!AV102</f>
        <v>2708.547869</v>
      </c>
      <c r="BD23" s="116">
        <f>Expenses!AW102</f>
        <v>2735.633348</v>
      </c>
      <c r="BE23" s="116">
        <f>Expenses!AX102</f>
        <v>2762.989682</v>
      </c>
      <c r="BF23" s="116">
        <f>Expenses!AY102</f>
        <v>2790.619578</v>
      </c>
      <c r="BG23" s="116">
        <f>Expenses!AZ102</f>
        <v>2818.525774</v>
      </c>
      <c r="BH23" s="116">
        <f>Expenses!BA102</f>
        <v>2846.711032</v>
      </c>
      <c r="BI23" s="116">
        <f>Expenses!BB102</f>
        <v>2875.178142</v>
      </c>
      <c r="BJ23" s="116">
        <f>Expenses!BC102</f>
        <v>2903.929924</v>
      </c>
      <c r="BK23" s="116">
        <f>Expenses!BD102</f>
        <v>2932.969223</v>
      </c>
      <c r="BL23" s="116">
        <f>Expenses!BE102</f>
        <v>2962.298915</v>
      </c>
      <c r="BM23" s="116">
        <f>Expenses!BF102</f>
        <v>2991.921904</v>
      </c>
      <c r="BN23" s="116">
        <f>Expenses!BG102</f>
        <v>3021.841123</v>
      </c>
      <c r="BO23" s="116">
        <f>Expenses!BH102</f>
        <v>3052.059535</v>
      </c>
      <c r="BP23" s="116">
        <f>Expenses!BI102</f>
        <v>3082.58013</v>
      </c>
      <c r="BQ23" s="116">
        <f>Expenses!BJ102</f>
        <v>3113.405931</v>
      </c>
      <c r="BR23" s="116">
        <f>Expenses!BK102</f>
        <v>3144.53999</v>
      </c>
      <c r="BS23" s="116">
        <f>Expenses!BL102</f>
        <v>3175.98539</v>
      </c>
      <c r="BT23" s="116">
        <f>Expenses!BM102</f>
        <v>3207.745244</v>
      </c>
      <c r="BU23" s="116">
        <f>Expenses!BN102</f>
        <v>3239.822697</v>
      </c>
      <c r="BV23" s="116">
        <f>Expenses!BO102</f>
        <v>3272.220924</v>
      </c>
      <c r="BW23" s="116">
        <f>Expenses!BP102</f>
        <v>3304.943133</v>
      </c>
      <c r="BX23" s="116">
        <f>Expenses!BQ102</f>
        <v>3337.992564</v>
      </c>
      <c r="BY23" s="116">
        <f>Expenses!BR102</f>
        <v>3371.37249</v>
      </c>
      <c r="BZ23" s="116">
        <f>Expenses!BS102</f>
        <v>3405.086215</v>
      </c>
      <c r="CA23" s="116">
        <f>Expenses!BT102</f>
        <v>3439.137077</v>
      </c>
      <c r="CB23" s="116">
        <f>Expenses!BU102</f>
        <v>3473.528448</v>
      </c>
      <c r="CC23" s="116">
        <f>Expenses!BV102</f>
        <v>3508.263732</v>
      </c>
      <c r="CD23" s="116">
        <f>Expenses!BW102</f>
        <v>3543.346369</v>
      </c>
      <c r="CE23" s="116">
        <f>Expenses!BX102</f>
        <v>3578.779833</v>
      </c>
      <c r="CF23" s="116">
        <f>Expenses!BY102</f>
        <v>3614.567632</v>
      </c>
      <c r="CG23" s="116">
        <f>Expenses!BZ102</f>
        <v>3650.713308</v>
      </c>
      <c r="CH23" s="116">
        <f>Expenses!CA102</f>
        <v>3687.220441</v>
      </c>
      <c r="CI23" s="116">
        <f>Expenses!CB102</f>
        <v>3724.092645</v>
      </c>
      <c r="CJ23" s="1"/>
      <c r="CK23" s="1"/>
      <c r="CL23" s="117"/>
      <c r="CM23" s="117"/>
      <c r="CN23" s="117"/>
      <c r="CO23" s="117"/>
      <c r="CP23" s="117"/>
      <c r="CQ23" s="117"/>
    </row>
    <row r="24" ht="15.75" customHeight="1" outlineLevel="1">
      <c r="A24" s="1" t="s">
        <v>47</v>
      </c>
      <c r="B24" s="91" t="s">
        <v>67</v>
      </c>
      <c r="C24" s="146" t="s">
        <v>219</v>
      </c>
      <c r="D24" s="247">
        <f t="shared" ref="D24:Z24" si="27">RANDBETWEEN(0,5000)</f>
        <v>1875</v>
      </c>
      <c r="E24" s="247">
        <f t="shared" si="27"/>
        <v>3761</v>
      </c>
      <c r="F24" s="247">
        <f t="shared" si="27"/>
        <v>945</v>
      </c>
      <c r="G24" s="247">
        <f t="shared" si="27"/>
        <v>2030</v>
      </c>
      <c r="H24" s="247">
        <f t="shared" si="27"/>
        <v>172</v>
      </c>
      <c r="I24" s="247">
        <f t="shared" si="27"/>
        <v>2611</v>
      </c>
      <c r="J24" s="247">
        <f t="shared" si="27"/>
        <v>2089</v>
      </c>
      <c r="K24" s="247">
        <f t="shared" si="27"/>
        <v>3668</v>
      </c>
      <c r="L24" s="247">
        <f t="shared" si="27"/>
        <v>235</v>
      </c>
      <c r="M24" s="247">
        <f t="shared" si="27"/>
        <v>3598</v>
      </c>
      <c r="N24" s="247">
        <f t="shared" si="27"/>
        <v>253</v>
      </c>
      <c r="O24" s="247">
        <f t="shared" si="27"/>
        <v>3472</v>
      </c>
      <c r="P24" s="247">
        <f t="shared" si="27"/>
        <v>4807</v>
      </c>
      <c r="Q24" s="247">
        <f t="shared" si="27"/>
        <v>700</v>
      </c>
      <c r="R24" s="247">
        <f t="shared" si="27"/>
        <v>1541</v>
      </c>
      <c r="S24" s="247">
        <f t="shared" si="27"/>
        <v>426</v>
      </c>
      <c r="T24" s="247">
        <f t="shared" si="27"/>
        <v>1745</v>
      </c>
      <c r="U24" s="247">
        <f t="shared" si="27"/>
        <v>3716</v>
      </c>
      <c r="V24" s="247">
        <f t="shared" si="27"/>
        <v>2077</v>
      </c>
      <c r="W24" s="247">
        <f t="shared" si="27"/>
        <v>4945</v>
      </c>
      <c r="X24" s="247">
        <f t="shared" si="27"/>
        <v>598</v>
      </c>
      <c r="Y24" s="247">
        <f t="shared" si="27"/>
        <v>3980</v>
      </c>
      <c r="Z24" s="247">
        <f t="shared" si="27"/>
        <v>2174</v>
      </c>
      <c r="AA24" s="116">
        <f>Expenses!T111</f>
        <v>2823.3063</v>
      </c>
      <c r="AB24" s="116">
        <f>Expenses!U111</f>
        <v>3105.63693</v>
      </c>
      <c r="AC24" s="116">
        <f>Expenses!V111</f>
        <v>3136.693299</v>
      </c>
      <c r="AD24" s="116">
        <f>Expenses!W111</f>
        <v>3168.060232</v>
      </c>
      <c r="AE24" s="116">
        <f>Expenses!X111</f>
        <v>3199.740835</v>
      </c>
      <c r="AF24" s="116">
        <f>Expenses!Y111</f>
        <v>3231.738243</v>
      </c>
      <c r="AG24" s="116">
        <f>Expenses!Z111</f>
        <v>3264.055625</v>
      </c>
      <c r="AH24" s="116">
        <f>Expenses!AA111</f>
        <v>3296.696182</v>
      </c>
      <c r="AI24" s="116">
        <f>Expenses!AB111</f>
        <v>3329.663143</v>
      </c>
      <c r="AJ24" s="116">
        <f>Expenses!AC111</f>
        <v>3362.959775</v>
      </c>
      <c r="AK24" s="116">
        <f>Expenses!AD111</f>
        <v>3396.589373</v>
      </c>
      <c r="AL24" s="116">
        <f>Expenses!AE111</f>
        <v>3430.555266</v>
      </c>
      <c r="AM24" s="116">
        <f>Expenses!AF111</f>
        <v>3464.860819</v>
      </c>
      <c r="AN24" s="116">
        <f>Expenses!AG111</f>
        <v>3499.509427</v>
      </c>
      <c r="AO24" s="116">
        <f>Expenses!AH111</f>
        <v>3534.504521</v>
      </c>
      <c r="AP24" s="116">
        <f>Expenses!AI111</f>
        <v>3569.849567</v>
      </c>
      <c r="AQ24" s="116">
        <f>Expenses!AJ111</f>
        <v>3605.548062</v>
      </c>
      <c r="AR24" s="116">
        <f>Expenses!AK111</f>
        <v>3641.603543</v>
      </c>
      <c r="AS24" s="116">
        <f>Expenses!AL111</f>
        <v>3678.019578</v>
      </c>
      <c r="AT24" s="116">
        <f>Expenses!AM111</f>
        <v>3714.799774</v>
      </c>
      <c r="AU24" s="116">
        <f>Expenses!AN111</f>
        <v>3751.947772</v>
      </c>
      <c r="AV24" s="116">
        <f>Expenses!AO111</f>
        <v>3789.46725</v>
      </c>
      <c r="AW24" s="116">
        <f>Expenses!AP111</f>
        <v>3827.361922</v>
      </c>
      <c r="AX24" s="116">
        <f>Expenses!AQ111</f>
        <v>3865.635541</v>
      </c>
      <c r="AY24" s="116">
        <f>Expenses!AR111</f>
        <v>3904.291897</v>
      </c>
      <c r="AZ24" s="116">
        <f>Expenses!AS111</f>
        <v>3943.334816</v>
      </c>
      <c r="BA24" s="116">
        <f>Expenses!AT111</f>
        <v>3982.768164</v>
      </c>
      <c r="BB24" s="116">
        <f>Expenses!AU111</f>
        <v>4022.595846</v>
      </c>
      <c r="BC24" s="116">
        <f>Expenses!AV111</f>
        <v>4062.821804</v>
      </c>
      <c r="BD24" s="116">
        <f>Expenses!AW111</f>
        <v>4103.450022</v>
      </c>
      <c r="BE24" s="116">
        <f>Expenses!AX111</f>
        <v>4144.484522</v>
      </c>
      <c r="BF24" s="116">
        <f>Expenses!AY111</f>
        <v>4185.929368</v>
      </c>
      <c r="BG24" s="116">
        <f>Expenses!AZ111</f>
        <v>4227.788661</v>
      </c>
      <c r="BH24" s="116">
        <f>Expenses!BA111</f>
        <v>4270.066548</v>
      </c>
      <c r="BI24" s="116">
        <f>Expenses!BB111</f>
        <v>4312.767213</v>
      </c>
      <c r="BJ24" s="116">
        <f>Expenses!BC111</f>
        <v>4355.894885</v>
      </c>
      <c r="BK24" s="116">
        <f>Expenses!BD111</f>
        <v>4399.453834</v>
      </c>
      <c r="BL24" s="116">
        <f>Expenses!BE111</f>
        <v>4443.448373</v>
      </c>
      <c r="BM24" s="116">
        <f>Expenses!BF111</f>
        <v>4487.882856</v>
      </c>
      <c r="BN24" s="116">
        <f>Expenses!BG111</f>
        <v>4532.761685</v>
      </c>
      <c r="BO24" s="116">
        <f>Expenses!BH111</f>
        <v>4578.089302</v>
      </c>
      <c r="BP24" s="116">
        <f>Expenses!BI111</f>
        <v>4623.870195</v>
      </c>
      <c r="BQ24" s="116">
        <f>Expenses!BJ111</f>
        <v>4670.108897</v>
      </c>
      <c r="BR24" s="116">
        <f>Expenses!BK111</f>
        <v>4716.809986</v>
      </c>
      <c r="BS24" s="116">
        <f>Expenses!BL111</f>
        <v>4763.978086</v>
      </c>
      <c r="BT24" s="116">
        <f>Expenses!BM111</f>
        <v>4811.617866</v>
      </c>
      <c r="BU24" s="116">
        <f>Expenses!BN111</f>
        <v>4859.734045</v>
      </c>
      <c r="BV24" s="116">
        <f>Expenses!BO111</f>
        <v>4908.331386</v>
      </c>
      <c r="BW24" s="116">
        <f>Expenses!BP111</f>
        <v>4957.414699</v>
      </c>
      <c r="BX24" s="116">
        <f>Expenses!BQ111</f>
        <v>5006.988846</v>
      </c>
      <c r="BY24" s="116">
        <f>Expenses!BR111</f>
        <v>5057.058735</v>
      </c>
      <c r="BZ24" s="116">
        <f>Expenses!BS111</f>
        <v>5107.629322</v>
      </c>
      <c r="CA24" s="116">
        <f>Expenses!BT111</f>
        <v>5158.705615</v>
      </c>
      <c r="CB24" s="116">
        <f>Expenses!BU111</f>
        <v>5210.292672</v>
      </c>
      <c r="CC24" s="116">
        <f>Expenses!BV111</f>
        <v>5262.395598</v>
      </c>
      <c r="CD24" s="116">
        <f>Expenses!BW111</f>
        <v>5315.019554</v>
      </c>
      <c r="CE24" s="116">
        <f>Expenses!BX111</f>
        <v>5368.16975</v>
      </c>
      <c r="CF24" s="116">
        <f>Expenses!BY111</f>
        <v>5421.851447</v>
      </c>
      <c r="CG24" s="116">
        <f>Expenses!BZ111</f>
        <v>5476.069962</v>
      </c>
      <c r="CH24" s="116">
        <f>Expenses!CA111</f>
        <v>5530.830661</v>
      </c>
      <c r="CI24" s="116">
        <f>Expenses!CB111</f>
        <v>5586.138968</v>
      </c>
      <c r="CJ24" s="1"/>
      <c r="CK24" s="1"/>
      <c r="CL24" s="117"/>
      <c r="CM24" s="117"/>
      <c r="CN24" s="117"/>
      <c r="CO24" s="117"/>
      <c r="CP24" s="117"/>
      <c r="CQ24" s="117"/>
    </row>
    <row r="25" ht="15.75" customHeight="1" outlineLevel="1">
      <c r="A25" s="1" t="s">
        <v>47</v>
      </c>
      <c r="B25" s="91" t="s">
        <v>67</v>
      </c>
      <c r="C25" s="146" t="s">
        <v>220</v>
      </c>
      <c r="D25" s="247">
        <f t="shared" ref="D25:Z25" si="28">RANDBETWEEN(0,5000)</f>
        <v>4684</v>
      </c>
      <c r="E25" s="247">
        <f t="shared" si="28"/>
        <v>4306</v>
      </c>
      <c r="F25" s="247">
        <f t="shared" si="28"/>
        <v>4705</v>
      </c>
      <c r="G25" s="247">
        <f t="shared" si="28"/>
        <v>4148</v>
      </c>
      <c r="H25" s="247">
        <f t="shared" si="28"/>
        <v>2000</v>
      </c>
      <c r="I25" s="247">
        <f t="shared" si="28"/>
        <v>953</v>
      </c>
      <c r="J25" s="247">
        <f t="shared" si="28"/>
        <v>1644</v>
      </c>
      <c r="K25" s="247">
        <f t="shared" si="28"/>
        <v>3734</v>
      </c>
      <c r="L25" s="247">
        <f t="shared" si="28"/>
        <v>4440</v>
      </c>
      <c r="M25" s="247">
        <f t="shared" si="28"/>
        <v>190</v>
      </c>
      <c r="N25" s="247">
        <f t="shared" si="28"/>
        <v>668</v>
      </c>
      <c r="O25" s="247">
        <f t="shared" si="28"/>
        <v>4144</v>
      </c>
      <c r="P25" s="247">
        <f t="shared" si="28"/>
        <v>1048</v>
      </c>
      <c r="Q25" s="247">
        <f t="shared" si="28"/>
        <v>2384</v>
      </c>
      <c r="R25" s="247">
        <f t="shared" si="28"/>
        <v>2767</v>
      </c>
      <c r="S25" s="247">
        <f t="shared" si="28"/>
        <v>1954</v>
      </c>
      <c r="T25" s="247">
        <f t="shared" si="28"/>
        <v>1195</v>
      </c>
      <c r="U25" s="247">
        <f t="shared" si="28"/>
        <v>4199</v>
      </c>
      <c r="V25" s="247">
        <f t="shared" si="28"/>
        <v>3795</v>
      </c>
      <c r="W25" s="247">
        <f t="shared" si="28"/>
        <v>4561</v>
      </c>
      <c r="X25" s="247">
        <f t="shared" si="28"/>
        <v>1500</v>
      </c>
      <c r="Y25" s="247">
        <f t="shared" si="28"/>
        <v>3997</v>
      </c>
      <c r="Z25" s="247">
        <f t="shared" si="28"/>
        <v>1353</v>
      </c>
      <c r="AA25" s="116">
        <f>Expenses!T120</f>
        <v>1568.5035</v>
      </c>
      <c r="AB25" s="116">
        <f>Expenses!U120</f>
        <v>1725.35385</v>
      </c>
      <c r="AC25" s="116">
        <f>Expenses!V120</f>
        <v>1742.607389</v>
      </c>
      <c r="AD25" s="116">
        <f>Expenses!W120</f>
        <v>1760.033462</v>
      </c>
      <c r="AE25" s="116">
        <f>Expenses!X120</f>
        <v>1777.633797</v>
      </c>
      <c r="AF25" s="116">
        <f>Expenses!Y120</f>
        <v>1795.410135</v>
      </c>
      <c r="AG25" s="116">
        <f>Expenses!Z120</f>
        <v>1813.364236</v>
      </c>
      <c r="AH25" s="116">
        <f>Expenses!AA120</f>
        <v>1831.497879</v>
      </c>
      <c r="AI25" s="116">
        <f>Expenses!AB120</f>
        <v>1849.812857</v>
      </c>
      <c r="AJ25" s="116">
        <f>Expenses!AC120</f>
        <v>1868.310986</v>
      </c>
      <c r="AK25" s="116">
        <f>Expenses!AD120</f>
        <v>1886.994096</v>
      </c>
      <c r="AL25" s="116">
        <f>Expenses!AE120</f>
        <v>1905.864037</v>
      </c>
      <c r="AM25" s="116">
        <f>Expenses!AF120</f>
        <v>1924.922677</v>
      </c>
      <c r="AN25" s="116">
        <f>Expenses!AG120</f>
        <v>1944.171904</v>
      </c>
      <c r="AO25" s="116">
        <f>Expenses!AH120</f>
        <v>1963.613623</v>
      </c>
      <c r="AP25" s="116">
        <f>Expenses!AI120</f>
        <v>1983.249759</v>
      </c>
      <c r="AQ25" s="116">
        <f>Expenses!AJ120</f>
        <v>2003.082257</v>
      </c>
      <c r="AR25" s="116">
        <f>Expenses!AK120</f>
        <v>2023.113079</v>
      </c>
      <c r="AS25" s="116">
        <f>Expenses!AL120</f>
        <v>2043.34421</v>
      </c>
      <c r="AT25" s="116">
        <f>Expenses!AM120</f>
        <v>2063.777652</v>
      </c>
      <c r="AU25" s="116">
        <f>Expenses!AN120</f>
        <v>2084.415429</v>
      </c>
      <c r="AV25" s="116">
        <f>Expenses!AO120</f>
        <v>2105.259583</v>
      </c>
      <c r="AW25" s="116">
        <f>Expenses!AP120</f>
        <v>2126.312179</v>
      </c>
      <c r="AX25" s="116">
        <f>Expenses!AQ120</f>
        <v>2147.575301</v>
      </c>
      <c r="AY25" s="116">
        <f>Expenses!AR120</f>
        <v>2169.051054</v>
      </c>
      <c r="AZ25" s="116">
        <f>Expenses!AS120</f>
        <v>2190.741564</v>
      </c>
      <c r="BA25" s="116">
        <f>Expenses!AT120</f>
        <v>2212.64898</v>
      </c>
      <c r="BB25" s="116">
        <f>Expenses!AU120</f>
        <v>2234.77547</v>
      </c>
      <c r="BC25" s="116">
        <f>Expenses!AV120</f>
        <v>2257.123224</v>
      </c>
      <c r="BD25" s="116">
        <f>Expenses!AW120</f>
        <v>2279.694457</v>
      </c>
      <c r="BE25" s="116">
        <f>Expenses!AX120</f>
        <v>2302.491401</v>
      </c>
      <c r="BF25" s="116">
        <f>Expenses!AY120</f>
        <v>2325.516315</v>
      </c>
      <c r="BG25" s="116">
        <f>Expenses!AZ120</f>
        <v>2348.771478</v>
      </c>
      <c r="BH25" s="116">
        <f>Expenses!BA120</f>
        <v>2372.259193</v>
      </c>
      <c r="BI25" s="116">
        <f>Expenses!BB120</f>
        <v>2395.981785</v>
      </c>
      <c r="BJ25" s="116">
        <f>Expenses!BC120</f>
        <v>2419.941603</v>
      </c>
      <c r="BK25" s="116">
        <f>Expenses!BD120</f>
        <v>2444.141019</v>
      </c>
      <c r="BL25" s="116">
        <f>Expenses!BE120</f>
        <v>2468.582429</v>
      </c>
      <c r="BM25" s="116">
        <f>Expenses!BF120</f>
        <v>2493.268254</v>
      </c>
      <c r="BN25" s="116">
        <f>Expenses!BG120</f>
        <v>2518.200936</v>
      </c>
      <c r="BO25" s="116">
        <f>Expenses!BH120</f>
        <v>2543.382945</v>
      </c>
      <c r="BP25" s="116">
        <f>Expenses!BI120</f>
        <v>2568.816775</v>
      </c>
      <c r="BQ25" s="116">
        <f>Expenses!BJ120</f>
        <v>2594.504943</v>
      </c>
      <c r="BR25" s="116">
        <f>Expenses!BK120</f>
        <v>2620.449992</v>
      </c>
      <c r="BS25" s="116">
        <f>Expenses!BL120</f>
        <v>2646.654492</v>
      </c>
      <c r="BT25" s="116">
        <f>Expenses!BM120</f>
        <v>2673.121037</v>
      </c>
      <c r="BU25" s="116">
        <f>Expenses!BN120</f>
        <v>2699.852247</v>
      </c>
      <c r="BV25" s="116">
        <f>Expenses!BO120</f>
        <v>2726.85077</v>
      </c>
      <c r="BW25" s="116">
        <f>Expenses!BP120</f>
        <v>2754.119277</v>
      </c>
      <c r="BX25" s="116">
        <f>Expenses!BQ120</f>
        <v>2781.66047</v>
      </c>
      <c r="BY25" s="116">
        <f>Expenses!BR120</f>
        <v>2809.477075</v>
      </c>
      <c r="BZ25" s="116">
        <f>Expenses!BS120</f>
        <v>2837.571846</v>
      </c>
      <c r="CA25" s="116">
        <f>Expenses!BT120</f>
        <v>2865.947564</v>
      </c>
      <c r="CB25" s="116">
        <f>Expenses!BU120</f>
        <v>2894.60704</v>
      </c>
      <c r="CC25" s="116">
        <f>Expenses!BV120</f>
        <v>2923.55311</v>
      </c>
      <c r="CD25" s="116">
        <f>Expenses!BW120</f>
        <v>2952.788641</v>
      </c>
      <c r="CE25" s="116">
        <f>Expenses!BX120</f>
        <v>2982.316528</v>
      </c>
      <c r="CF25" s="116">
        <f>Expenses!BY120</f>
        <v>3012.139693</v>
      </c>
      <c r="CG25" s="116">
        <f>Expenses!BZ120</f>
        <v>3042.26109</v>
      </c>
      <c r="CH25" s="116">
        <f>Expenses!CA120</f>
        <v>3072.683701</v>
      </c>
      <c r="CI25" s="116">
        <f>Expenses!CB120</f>
        <v>3103.410538</v>
      </c>
      <c r="CJ25" s="1"/>
      <c r="CK25" s="1"/>
      <c r="CL25" s="117"/>
      <c r="CM25" s="117"/>
      <c r="CN25" s="117"/>
      <c r="CO25" s="117"/>
      <c r="CP25" s="117"/>
      <c r="CQ25" s="117"/>
    </row>
    <row r="26" ht="15.75" customHeight="1" outlineLevel="1">
      <c r="B26" s="91"/>
      <c r="C26" s="257" t="s">
        <v>221</v>
      </c>
      <c r="D26" s="514">
        <f t="shared" ref="D26:CI26" si="29">SUM(D13:D25)</f>
        <v>36201</v>
      </c>
      <c r="E26" s="514">
        <f t="shared" si="29"/>
        <v>27363</v>
      </c>
      <c r="F26" s="514">
        <f t="shared" si="29"/>
        <v>19629</v>
      </c>
      <c r="G26" s="514">
        <f t="shared" si="29"/>
        <v>34148</v>
      </c>
      <c r="H26" s="514">
        <f t="shared" si="29"/>
        <v>20838</v>
      </c>
      <c r="I26" s="514">
        <f t="shared" si="29"/>
        <v>26478</v>
      </c>
      <c r="J26" s="514">
        <f t="shared" si="29"/>
        <v>29291</v>
      </c>
      <c r="K26" s="514">
        <f t="shared" si="29"/>
        <v>35802</v>
      </c>
      <c r="L26" s="514">
        <f t="shared" si="29"/>
        <v>36579</v>
      </c>
      <c r="M26" s="514">
        <f t="shared" si="29"/>
        <v>27626</v>
      </c>
      <c r="N26" s="514">
        <f t="shared" si="29"/>
        <v>25272</v>
      </c>
      <c r="O26" s="514">
        <f t="shared" si="29"/>
        <v>41072</v>
      </c>
      <c r="P26" s="514">
        <f t="shared" si="29"/>
        <v>37249</v>
      </c>
      <c r="Q26" s="514">
        <f t="shared" si="29"/>
        <v>32405</v>
      </c>
      <c r="R26" s="514">
        <f t="shared" si="29"/>
        <v>22411</v>
      </c>
      <c r="S26" s="514">
        <f t="shared" si="29"/>
        <v>30501</v>
      </c>
      <c r="T26" s="514">
        <f t="shared" si="29"/>
        <v>32074</v>
      </c>
      <c r="U26" s="514">
        <f t="shared" si="29"/>
        <v>34926</v>
      </c>
      <c r="V26" s="514">
        <f t="shared" si="29"/>
        <v>37183</v>
      </c>
      <c r="W26" s="514">
        <f t="shared" si="29"/>
        <v>30206</v>
      </c>
      <c r="X26" s="514">
        <f t="shared" si="29"/>
        <v>35177</v>
      </c>
      <c r="Y26" s="514">
        <f t="shared" si="29"/>
        <v>32633</v>
      </c>
      <c r="Z26" s="514">
        <f t="shared" si="29"/>
        <v>37146</v>
      </c>
      <c r="AA26" s="514">
        <f t="shared" si="29"/>
        <v>113419.4994</v>
      </c>
      <c r="AB26" s="514">
        <f t="shared" si="29"/>
        <v>145109.0454</v>
      </c>
      <c r="AC26" s="514">
        <f t="shared" si="29"/>
        <v>152044.6446</v>
      </c>
      <c r="AD26" s="514">
        <f t="shared" si="29"/>
        <v>159466.1323</v>
      </c>
      <c r="AE26" s="514">
        <f t="shared" si="29"/>
        <v>160096.2255</v>
      </c>
      <c r="AF26" s="514">
        <f t="shared" si="29"/>
        <v>167538.0827</v>
      </c>
      <c r="AG26" s="514">
        <f t="shared" si="29"/>
        <v>168431.745</v>
      </c>
      <c r="AH26" s="514">
        <f t="shared" si="29"/>
        <v>175630.8466</v>
      </c>
      <c r="AI26" s="514">
        <f t="shared" si="29"/>
        <v>176565.7065</v>
      </c>
      <c r="AJ26" s="514">
        <f t="shared" si="29"/>
        <v>183721.4839</v>
      </c>
      <c r="AK26" s="514">
        <f t="shared" si="29"/>
        <v>184682.053</v>
      </c>
      <c r="AL26" s="514">
        <f t="shared" si="29"/>
        <v>185672.5374</v>
      </c>
      <c r="AM26" s="514">
        <f t="shared" si="29"/>
        <v>200415.4809</v>
      </c>
      <c r="AN26" s="514">
        <f t="shared" si="29"/>
        <v>219691.8449</v>
      </c>
      <c r="AO26" s="514">
        <f t="shared" si="29"/>
        <v>246684.8984</v>
      </c>
      <c r="AP26" s="514">
        <f t="shared" si="29"/>
        <v>260427.8673</v>
      </c>
      <c r="AQ26" s="514">
        <f t="shared" si="29"/>
        <v>260901.5046</v>
      </c>
      <c r="AR26" s="514">
        <f t="shared" si="29"/>
        <v>282302.0986</v>
      </c>
      <c r="AS26" s="514">
        <f t="shared" si="29"/>
        <v>282800.7276</v>
      </c>
      <c r="AT26" s="514">
        <f t="shared" si="29"/>
        <v>303105.0948</v>
      </c>
      <c r="AU26" s="514">
        <f t="shared" si="29"/>
        <v>324746.6225</v>
      </c>
      <c r="AV26" s="514">
        <f t="shared" si="29"/>
        <v>349536.3576</v>
      </c>
      <c r="AW26" s="514">
        <f t="shared" si="29"/>
        <v>363926.0375</v>
      </c>
      <c r="AX26" s="514">
        <f t="shared" si="29"/>
        <v>385257.8153</v>
      </c>
      <c r="AY26" s="514">
        <f t="shared" si="29"/>
        <v>385782.9468</v>
      </c>
      <c r="AZ26" s="514">
        <f t="shared" si="29"/>
        <v>403979.9392</v>
      </c>
      <c r="BA26" s="514">
        <f t="shared" si="29"/>
        <v>433445.5395</v>
      </c>
      <c r="BB26" s="514">
        <f t="shared" si="29"/>
        <v>455710.8053</v>
      </c>
      <c r="BC26" s="514">
        <f t="shared" si="29"/>
        <v>492421.8099</v>
      </c>
      <c r="BD26" s="514">
        <f t="shared" si="29"/>
        <v>510617.3528</v>
      </c>
      <c r="BE26" s="514">
        <f t="shared" si="29"/>
        <v>525633.7612</v>
      </c>
      <c r="BF26" s="514">
        <f t="shared" si="29"/>
        <v>548738.1068</v>
      </c>
      <c r="BG26" s="514">
        <f t="shared" si="29"/>
        <v>549288.679</v>
      </c>
      <c r="BH26" s="514">
        <f t="shared" si="29"/>
        <v>584616.4945</v>
      </c>
      <c r="BI26" s="514">
        <f t="shared" si="29"/>
        <v>607704.6737</v>
      </c>
      <c r="BJ26" s="514">
        <f t="shared" si="29"/>
        <v>608240.2477</v>
      </c>
      <c r="BK26" s="514">
        <f t="shared" si="29"/>
        <v>623803.551</v>
      </c>
      <c r="BL26" s="514">
        <f t="shared" si="29"/>
        <v>673990.188</v>
      </c>
      <c r="BM26" s="514">
        <f t="shared" si="29"/>
        <v>674595.6223</v>
      </c>
      <c r="BN26" s="514">
        <f t="shared" si="29"/>
        <v>690797.3456</v>
      </c>
      <c r="BO26" s="514">
        <f t="shared" si="29"/>
        <v>691342.7988</v>
      </c>
      <c r="BP26" s="514">
        <f t="shared" si="29"/>
        <v>731088.6796</v>
      </c>
      <c r="BQ26" s="514">
        <f t="shared" si="29"/>
        <v>739465.1803</v>
      </c>
      <c r="BR26" s="514">
        <f t="shared" si="29"/>
        <v>756298.6785</v>
      </c>
      <c r="BS26" s="514">
        <f t="shared" si="29"/>
        <v>756847.3268</v>
      </c>
      <c r="BT26" s="514">
        <f t="shared" si="29"/>
        <v>799754.9301</v>
      </c>
      <c r="BU26" s="514">
        <f t="shared" si="29"/>
        <v>808449.7135</v>
      </c>
      <c r="BV26" s="514">
        <f t="shared" si="29"/>
        <v>825289.4996</v>
      </c>
      <c r="BW26" s="514">
        <f t="shared" si="29"/>
        <v>825845.619</v>
      </c>
      <c r="BX26" s="514">
        <f t="shared" si="29"/>
        <v>872656.8476</v>
      </c>
      <c r="BY26" s="514">
        <f t="shared" si="29"/>
        <v>917946.5226</v>
      </c>
      <c r="BZ26" s="514">
        <f t="shared" si="29"/>
        <v>935306.3146</v>
      </c>
      <c r="CA26" s="514">
        <f t="shared" si="29"/>
        <v>961142.2507</v>
      </c>
      <c r="CB26" s="514">
        <f t="shared" si="29"/>
        <v>995525.1343</v>
      </c>
      <c r="CC26" s="514">
        <f t="shared" si="29"/>
        <v>1012886.981</v>
      </c>
      <c r="CD26" s="514">
        <f t="shared" si="29"/>
        <v>1021777.142</v>
      </c>
      <c r="CE26" s="514">
        <f t="shared" si="29"/>
        <v>1022196.018</v>
      </c>
      <c r="CF26" s="514">
        <f t="shared" si="29"/>
        <v>1076228.211</v>
      </c>
      <c r="CG26" s="514">
        <f t="shared" si="29"/>
        <v>1076643.15</v>
      </c>
      <c r="CH26" s="514">
        <f t="shared" si="29"/>
        <v>1093994.11</v>
      </c>
      <c r="CI26" s="514">
        <f t="shared" si="29"/>
        <v>1119812.747</v>
      </c>
      <c r="CL26" s="514">
        <f>SUM(D26:G26)</f>
        <v>117341</v>
      </c>
      <c r="CM26" s="514">
        <f>SUM(H26:K26)</f>
        <v>112409</v>
      </c>
      <c r="CN26" s="514">
        <f>SUM(L26:O26)</f>
        <v>130549</v>
      </c>
      <c r="CO26" s="514">
        <f>SUM(P26:S26)</f>
        <v>122566</v>
      </c>
      <c r="CP26" s="514">
        <f>SUM(T26:W26)</f>
        <v>134389</v>
      </c>
      <c r="CQ26" s="514">
        <f>SUM(X26:AA26)</f>
        <v>218375.4994</v>
      </c>
    </row>
    <row r="27" ht="15.75" customHeight="1" outlineLevel="1">
      <c r="A27" s="122"/>
      <c r="B27" s="122"/>
      <c r="C27" s="515" t="s">
        <v>800</v>
      </c>
      <c r="D27" s="122">
        <f t="shared" ref="D27:CI27" si="30">D26/D$284</f>
        <v>2.051280598</v>
      </c>
      <c r="E27" s="122">
        <f t="shared" si="30"/>
        <v>1.57748184</v>
      </c>
      <c r="F27" s="122">
        <f t="shared" si="30"/>
        <v>1.298042587</v>
      </c>
      <c r="G27" s="122">
        <f t="shared" si="30"/>
        <v>2.103745688</v>
      </c>
      <c r="H27" s="122">
        <f t="shared" si="30"/>
        <v>1.152353039</v>
      </c>
      <c r="I27" s="122">
        <f t="shared" si="30"/>
        <v>1.609604863</v>
      </c>
      <c r="J27" s="122">
        <f t="shared" si="30"/>
        <v>1.706238714</v>
      </c>
      <c r="K27" s="122">
        <f t="shared" si="30"/>
        <v>1.921429721</v>
      </c>
      <c r="L27" s="122">
        <f t="shared" si="30"/>
        <v>1.963235294</v>
      </c>
      <c r="M27" s="122">
        <f t="shared" si="30"/>
        <v>1.599930503</v>
      </c>
      <c r="N27" s="122">
        <f t="shared" si="30"/>
        <v>1.29779695</v>
      </c>
      <c r="O27" s="122">
        <f t="shared" si="30"/>
        <v>2.399766287</v>
      </c>
      <c r="P27" s="122">
        <f t="shared" si="30"/>
        <v>1.641142001</v>
      </c>
      <c r="Q27" s="122">
        <f t="shared" si="30"/>
        <v>1.388924607</v>
      </c>
      <c r="R27" s="122">
        <f t="shared" si="30"/>
        <v>0.8749511986</v>
      </c>
      <c r="S27" s="122">
        <f t="shared" si="30"/>
        <v>1.268654854</v>
      </c>
      <c r="T27" s="122">
        <f t="shared" si="30"/>
        <v>1.387884033</v>
      </c>
      <c r="U27" s="122">
        <f t="shared" si="30"/>
        <v>1.676474824</v>
      </c>
      <c r="V27" s="122">
        <f t="shared" si="30"/>
        <v>1.500766871</v>
      </c>
      <c r="W27" s="122">
        <f t="shared" si="30"/>
        <v>1.447479394</v>
      </c>
      <c r="X27" s="122">
        <f t="shared" si="30"/>
        <v>1.38874852</v>
      </c>
      <c r="Y27" s="122">
        <f t="shared" si="30"/>
        <v>1.329950687</v>
      </c>
      <c r="Z27" s="122">
        <f t="shared" si="30"/>
        <v>1.737499415</v>
      </c>
      <c r="AA27" s="122">
        <f t="shared" si="30"/>
        <v>0.6090001356</v>
      </c>
      <c r="AB27" s="122">
        <f t="shared" si="30"/>
        <v>0.7372205268</v>
      </c>
      <c r="AC27" s="122">
        <f t="shared" si="30"/>
        <v>0.7189562757</v>
      </c>
      <c r="AD27" s="122">
        <f t="shared" si="30"/>
        <v>0.7055243346</v>
      </c>
      <c r="AE27" s="122">
        <f t="shared" si="30"/>
        <v>0.6844250253</v>
      </c>
      <c r="AF27" s="122">
        <f t="shared" si="30"/>
        <v>0.6864041024</v>
      </c>
      <c r="AG27" s="122">
        <f t="shared" si="30"/>
        <v>0.6866547403</v>
      </c>
      <c r="AH27" s="122">
        <f t="shared" si="30"/>
        <v>0.6552764864</v>
      </c>
      <c r="AI27" s="122">
        <f t="shared" si="30"/>
        <v>0.6403101414</v>
      </c>
      <c r="AJ27" s="122">
        <f t="shared" si="30"/>
        <v>0.6263344586</v>
      </c>
      <c r="AK27" s="122">
        <f t="shared" si="30"/>
        <v>0.5961582347</v>
      </c>
      <c r="AL27" s="122">
        <f t="shared" si="30"/>
        <v>0.5849506853</v>
      </c>
      <c r="AM27" s="122">
        <f t="shared" si="30"/>
        <v>0.5915635108</v>
      </c>
      <c r="AN27" s="122">
        <f t="shared" si="30"/>
        <v>0.5326306596</v>
      </c>
      <c r="AO27" s="122">
        <f t="shared" si="30"/>
        <v>0.5607025351</v>
      </c>
      <c r="AP27" s="122">
        <f t="shared" si="30"/>
        <v>0.5733711234</v>
      </c>
      <c r="AQ27" s="122">
        <f t="shared" si="30"/>
        <v>0.5730298665</v>
      </c>
      <c r="AR27" s="122">
        <f t="shared" si="30"/>
        <v>0.5869988883</v>
      </c>
      <c r="AS27" s="122">
        <f t="shared" si="30"/>
        <v>0.5788785203</v>
      </c>
      <c r="AT27" s="122">
        <f t="shared" si="30"/>
        <v>0.5788971155</v>
      </c>
      <c r="AU27" s="122">
        <f t="shared" si="30"/>
        <v>0.5949527289</v>
      </c>
      <c r="AV27" s="122">
        <f t="shared" si="30"/>
        <v>0.6066021786</v>
      </c>
      <c r="AW27" s="122">
        <f t="shared" si="30"/>
        <v>0.6155294002</v>
      </c>
      <c r="AX27" s="122">
        <f t="shared" si="30"/>
        <v>0.6282878829</v>
      </c>
      <c r="AY27" s="122">
        <f t="shared" si="30"/>
        <v>0.6279937103</v>
      </c>
      <c r="AZ27" s="122">
        <f t="shared" si="30"/>
        <v>0.614066459</v>
      </c>
      <c r="BA27" s="122">
        <f t="shared" si="30"/>
        <v>0.6163952608</v>
      </c>
      <c r="BB27" s="122">
        <f t="shared" si="30"/>
        <v>0.6270255002</v>
      </c>
      <c r="BC27" s="122">
        <f t="shared" si="30"/>
        <v>0.6361644037</v>
      </c>
      <c r="BD27" s="122">
        <f t="shared" si="30"/>
        <v>0.6370802196</v>
      </c>
      <c r="BE27" s="122">
        <f t="shared" si="30"/>
        <v>0.6427797707</v>
      </c>
      <c r="BF27" s="122">
        <f t="shared" si="30"/>
        <v>0.6516515939</v>
      </c>
      <c r="BG27" s="122">
        <f t="shared" si="30"/>
        <v>0.6454252288</v>
      </c>
      <c r="BH27" s="122">
        <f t="shared" si="30"/>
        <v>0.652430521</v>
      </c>
      <c r="BI27" s="122">
        <f t="shared" si="30"/>
        <v>0.6603228131</v>
      </c>
      <c r="BJ27" s="122">
        <f t="shared" si="30"/>
        <v>0.6596943302</v>
      </c>
      <c r="BK27" s="122">
        <f t="shared" si="30"/>
        <v>0.6491423871</v>
      </c>
      <c r="BL27" s="122">
        <f t="shared" si="30"/>
        <v>0.6318001087</v>
      </c>
      <c r="BM27" s="122">
        <f t="shared" si="30"/>
        <v>0.5172796826</v>
      </c>
      <c r="BN27" s="122">
        <f t="shared" si="30"/>
        <v>0.4905928555</v>
      </c>
      <c r="BO27" s="122">
        <f t="shared" si="30"/>
        <v>0.484107117</v>
      </c>
      <c r="BP27" s="122">
        <f t="shared" si="30"/>
        <v>0.4904182766</v>
      </c>
      <c r="BQ27" s="122">
        <f t="shared" si="30"/>
        <v>0.4927545535</v>
      </c>
      <c r="BR27" s="122">
        <f t="shared" si="30"/>
        <v>0.4925927939</v>
      </c>
      <c r="BS27" s="122">
        <f t="shared" si="30"/>
        <v>0.4845807732</v>
      </c>
      <c r="BT27" s="122">
        <f t="shared" si="30"/>
        <v>0.4906053561</v>
      </c>
      <c r="BU27" s="122">
        <f t="shared" si="30"/>
        <v>0.492847822</v>
      </c>
      <c r="BV27" s="122">
        <f t="shared" si="30"/>
        <v>0.4879610247</v>
      </c>
      <c r="BW27" s="122">
        <f t="shared" si="30"/>
        <v>0.4876900052</v>
      </c>
      <c r="BX27" s="122">
        <f t="shared" si="30"/>
        <v>0.4868613795</v>
      </c>
      <c r="BY27" s="122">
        <f t="shared" si="30"/>
        <v>0.4982340834</v>
      </c>
      <c r="BZ27" s="122">
        <f t="shared" si="30"/>
        <v>0.502799517</v>
      </c>
      <c r="CA27" s="122">
        <f t="shared" si="30"/>
        <v>0.5094294835</v>
      </c>
      <c r="CB27" s="122">
        <f t="shared" si="30"/>
        <v>0.5107691809</v>
      </c>
      <c r="CC27" s="122">
        <f t="shared" si="30"/>
        <v>0.5104386124</v>
      </c>
      <c r="CD27" s="122">
        <f t="shared" si="30"/>
        <v>0.5101813534</v>
      </c>
      <c r="CE27" s="122">
        <f t="shared" si="30"/>
        <v>0.5099949819</v>
      </c>
      <c r="CF27" s="122">
        <f t="shared" si="30"/>
        <v>0.5151029987</v>
      </c>
      <c r="CG27" s="122">
        <f t="shared" si="30"/>
        <v>0.5148979371</v>
      </c>
      <c r="CH27" s="122">
        <f t="shared" si="30"/>
        <v>0.5144516957</v>
      </c>
      <c r="CI27" s="122">
        <f t="shared" si="30"/>
        <v>0.5199680106</v>
      </c>
      <c r="CJ27" s="122"/>
      <c r="CK27" s="122"/>
      <c r="CL27" s="122">
        <f t="shared" ref="CL27:CQ27" si="31">CL26/CL$284</f>
        <v>1.768568759</v>
      </c>
      <c r="CM27" s="122">
        <f t="shared" si="31"/>
        <v>1.598239802</v>
      </c>
      <c r="CN27" s="122">
        <f t="shared" si="31"/>
        <v>1.8009988</v>
      </c>
      <c r="CO27" s="122">
        <f t="shared" si="31"/>
        <v>1.280945613</v>
      </c>
      <c r="CP27" s="122">
        <f t="shared" si="31"/>
        <v>1.50009488</v>
      </c>
      <c r="CQ27" s="122">
        <f t="shared" si="31"/>
        <v>0.848110012</v>
      </c>
    </row>
    <row r="28" ht="15.75" customHeight="1" outlineLevel="1">
      <c r="C28" s="257"/>
      <c r="D28" s="247"/>
      <c r="E28" s="247"/>
      <c r="F28" s="247"/>
      <c r="G28" s="247"/>
      <c r="H28" s="247"/>
      <c r="I28" s="247"/>
      <c r="J28" s="247"/>
      <c r="K28" s="247"/>
      <c r="L28" s="247"/>
      <c r="M28" s="247"/>
      <c r="N28" s="247"/>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7"/>
      <c r="CI28" s="117"/>
      <c r="CL28" s="117"/>
      <c r="CM28" s="117"/>
      <c r="CN28" s="117"/>
      <c r="CO28" s="117"/>
      <c r="CP28" s="117"/>
      <c r="CQ28" s="117"/>
    </row>
    <row r="29" ht="15.75" customHeight="1" outlineLevel="1">
      <c r="C29" s="257" t="s">
        <v>74</v>
      </c>
      <c r="D29" s="117">
        <f t="shared" ref="D29:CI29" si="32">D8-D26</f>
        <v>109020</v>
      </c>
      <c r="E29" s="117">
        <f t="shared" si="32"/>
        <v>240790</v>
      </c>
      <c r="F29" s="117">
        <f t="shared" si="32"/>
        <v>182973</v>
      </c>
      <c r="G29" s="117">
        <f t="shared" si="32"/>
        <v>215287</v>
      </c>
      <c r="H29" s="117">
        <f t="shared" si="32"/>
        <v>230366</v>
      </c>
      <c r="I29" s="117">
        <f t="shared" si="32"/>
        <v>149257</v>
      </c>
      <c r="J29" s="117">
        <f t="shared" si="32"/>
        <v>144336</v>
      </c>
      <c r="K29" s="117">
        <f t="shared" si="32"/>
        <v>127514</v>
      </c>
      <c r="L29" s="117">
        <f t="shared" si="32"/>
        <v>178347</v>
      </c>
      <c r="M29" s="117">
        <f t="shared" si="32"/>
        <v>215245</v>
      </c>
      <c r="N29" s="117">
        <f t="shared" si="32"/>
        <v>209453</v>
      </c>
      <c r="O29" s="117">
        <f t="shared" si="32"/>
        <v>160098</v>
      </c>
      <c r="P29" s="117">
        <f t="shared" si="32"/>
        <v>187919</v>
      </c>
      <c r="Q29" s="117">
        <f t="shared" si="32"/>
        <v>170579</v>
      </c>
      <c r="R29" s="117">
        <f t="shared" si="32"/>
        <v>207726</v>
      </c>
      <c r="S29" s="117">
        <f t="shared" si="32"/>
        <v>185209</v>
      </c>
      <c r="T29" s="117">
        <f t="shared" si="32"/>
        <v>243811</v>
      </c>
      <c r="U29" s="117">
        <f t="shared" si="32"/>
        <v>161423</v>
      </c>
      <c r="V29" s="117">
        <f t="shared" si="32"/>
        <v>237786</v>
      </c>
      <c r="W29" s="117">
        <f t="shared" si="32"/>
        <v>1016569</v>
      </c>
      <c r="X29" s="117">
        <f t="shared" si="32"/>
        <v>981855.33</v>
      </c>
      <c r="Y29" s="117">
        <f t="shared" si="32"/>
        <v>995943.31</v>
      </c>
      <c r="Z29" s="117">
        <f t="shared" si="32"/>
        <v>1063236</v>
      </c>
      <c r="AA29" s="117">
        <f t="shared" si="32"/>
        <v>310618.8593</v>
      </c>
      <c r="AB29" s="117">
        <f t="shared" si="32"/>
        <v>359132.4909</v>
      </c>
      <c r="AC29" s="117">
        <f t="shared" si="32"/>
        <v>430763.6177</v>
      </c>
      <c r="AD29" s="117">
        <f t="shared" si="32"/>
        <v>496753.1521</v>
      </c>
      <c r="AE29" s="117">
        <f t="shared" si="32"/>
        <v>569201.9382</v>
      </c>
      <c r="AF29" s="117">
        <f t="shared" si="32"/>
        <v>643378.674</v>
      </c>
      <c r="AG29" s="117">
        <f t="shared" si="32"/>
        <v>720470.1588</v>
      </c>
      <c r="AH29" s="117">
        <f t="shared" si="32"/>
        <v>788931.5437</v>
      </c>
      <c r="AI29" s="117">
        <f t="shared" si="32"/>
        <v>862739.1277</v>
      </c>
      <c r="AJ29" s="117">
        <f t="shared" si="32"/>
        <v>932357.8677</v>
      </c>
      <c r="AK29" s="117">
        <f t="shared" si="32"/>
        <v>1002475.218</v>
      </c>
      <c r="AL29" s="117">
        <f t="shared" si="32"/>
        <v>1076532.264</v>
      </c>
      <c r="AM29" s="117">
        <f t="shared" si="32"/>
        <v>1139777.918</v>
      </c>
      <c r="AN29" s="117">
        <f t="shared" si="32"/>
        <v>1181255.695</v>
      </c>
      <c r="AO29" s="117">
        <f t="shared" si="32"/>
        <v>1165862.854</v>
      </c>
      <c r="AP29" s="117">
        <f t="shared" si="32"/>
        <v>1175235.907</v>
      </c>
      <c r="AQ29" s="117">
        <f t="shared" si="32"/>
        <v>1202128.965</v>
      </c>
      <c r="AR29" s="117">
        <f t="shared" si="32"/>
        <v>1208232.64</v>
      </c>
      <c r="AS29" s="117">
        <f t="shared" si="32"/>
        <v>1235258.237</v>
      </c>
      <c r="AT29" s="117">
        <f t="shared" si="32"/>
        <v>1241763.6</v>
      </c>
      <c r="AU29" s="117">
        <f t="shared" si="32"/>
        <v>1260059.145</v>
      </c>
      <c r="AV29" s="117">
        <f t="shared" si="32"/>
        <v>1261305.659</v>
      </c>
      <c r="AW29" s="117">
        <f t="shared" si="32"/>
        <v>1272507.314</v>
      </c>
      <c r="AX29" s="117">
        <f t="shared" si="32"/>
        <v>1276351.518</v>
      </c>
      <c r="AY29" s="117">
        <f t="shared" si="32"/>
        <v>1300614.825</v>
      </c>
      <c r="AZ29" s="117">
        <f t="shared" si="32"/>
        <v>1335259.053</v>
      </c>
      <c r="BA29" s="117">
        <f t="shared" si="32"/>
        <v>1343674.127</v>
      </c>
      <c r="BB29" s="117">
        <f t="shared" si="32"/>
        <v>1358382.359</v>
      </c>
      <c r="BC29" s="117">
        <f t="shared" si="32"/>
        <v>1357972.354</v>
      </c>
      <c r="BD29" s="117">
        <f t="shared" si="32"/>
        <v>1375468.622</v>
      </c>
      <c r="BE29" s="117">
        <f t="shared" si="32"/>
        <v>1395571.385</v>
      </c>
      <c r="BF29" s="117">
        <f t="shared" si="32"/>
        <v>1407045.094</v>
      </c>
      <c r="BG29" s="117">
        <f t="shared" si="32"/>
        <v>1440561.261</v>
      </c>
      <c r="BH29" s="117">
        <f t="shared" si="32"/>
        <v>1438817.48</v>
      </c>
      <c r="BI29" s="117">
        <f t="shared" si="32"/>
        <v>1448858.171</v>
      </c>
      <c r="BJ29" s="117">
        <f t="shared" si="32"/>
        <v>1481022.829</v>
      </c>
      <c r="BK29" s="117">
        <f t="shared" si="32"/>
        <v>1497756.67</v>
      </c>
      <c r="BL29" s="117">
        <f t="shared" si="32"/>
        <v>1503713.696</v>
      </c>
      <c r="BM29" s="117">
        <f t="shared" si="32"/>
        <v>1535910.309</v>
      </c>
      <c r="BN29" s="117">
        <f t="shared" si="32"/>
        <v>1549310.742</v>
      </c>
      <c r="BO29" s="117">
        <f t="shared" si="32"/>
        <v>1578491.005</v>
      </c>
      <c r="BP29" s="117">
        <f t="shared" si="32"/>
        <v>1568424.973</v>
      </c>
      <c r="BQ29" s="117">
        <f t="shared" si="32"/>
        <v>1589672.362</v>
      </c>
      <c r="BR29" s="117">
        <f t="shared" si="32"/>
        <v>1602420.303</v>
      </c>
      <c r="BS29" s="117">
        <f t="shared" si="32"/>
        <v>1631427.405</v>
      </c>
      <c r="BT29" s="117">
        <f t="shared" si="32"/>
        <v>1618066.85</v>
      </c>
      <c r="BU29" s="117">
        <f t="shared" si="32"/>
        <v>1638927.184</v>
      </c>
      <c r="BV29" s="117">
        <f t="shared" si="32"/>
        <v>1651667.096</v>
      </c>
      <c r="BW29" s="117">
        <f t="shared" si="32"/>
        <v>1680731.515</v>
      </c>
      <c r="BX29" s="117">
        <f t="shared" si="32"/>
        <v>1688716.57</v>
      </c>
      <c r="BY29" s="117">
        <f t="shared" si="32"/>
        <v>1664468.642</v>
      </c>
      <c r="BZ29" s="117">
        <f t="shared" si="32"/>
        <v>1667902.287</v>
      </c>
      <c r="CA29" s="117">
        <f t="shared" si="32"/>
        <v>1663324.312</v>
      </c>
      <c r="CB29" s="117">
        <f t="shared" si="32"/>
        <v>1650076.77</v>
      </c>
      <c r="CC29" s="117">
        <f t="shared" si="32"/>
        <v>1653658.816</v>
      </c>
      <c r="CD29" s="117">
        <f t="shared" si="32"/>
        <v>1665529.224</v>
      </c>
      <c r="CE29" s="117">
        <f t="shared" si="32"/>
        <v>1685706.499</v>
      </c>
      <c r="CF29" s="117">
        <f t="shared" si="32"/>
        <v>1652125.841</v>
      </c>
      <c r="CG29" s="117">
        <f t="shared" si="32"/>
        <v>1672037.059</v>
      </c>
      <c r="CH29" s="117">
        <f t="shared" si="32"/>
        <v>1674905.367</v>
      </c>
      <c r="CI29" s="117">
        <f t="shared" si="32"/>
        <v>1669216.85</v>
      </c>
      <c r="CL29" s="117">
        <f>SUM(D29:G29)</f>
        <v>748070</v>
      </c>
      <c r="CM29" s="117">
        <f>SUM(H29:K29)</f>
        <v>651473</v>
      </c>
      <c r="CN29" s="117">
        <f>SUM(L29:O29)</f>
        <v>763143</v>
      </c>
      <c r="CO29" s="117">
        <f>SUM(P29:S29)</f>
        <v>751433</v>
      </c>
      <c r="CP29" s="117">
        <f>SUM(T29:W29)</f>
        <v>1659589</v>
      </c>
      <c r="CQ29" s="117">
        <f>SUM(X29:AA29)</f>
        <v>3351653.499</v>
      </c>
    </row>
    <row r="30" ht="15.75" customHeight="1" outlineLevel="1">
      <c r="A30" s="128"/>
      <c r="B30" s="128"/>
      <c r="C30" s="516" t="s">
        <v>101</v>
      </c>
      <c r="D30" s="128">
        <f t="shared" ref="D30:CI30" si="33">D29/D8</f>
        <v>0.7507178714</v>
      </c>
      <c r="E30" s="128">
        <f t="shared" si="33"/>
        <v>0.8979575093</v>
      </c>
      <c r="F30" s="128">
        <f t="shared" si="33"/>
        <v>0.9031154678</v>
      </c>
      <c r="G30" s="128">
        <f t="shared" si="33"/>
        <v>0.8630986028</v>
      </c>
      <c r="H30" s="128">
        <f t="shared" si="33"/>
        <v>0.9170474992</v>
      </c>
      <c r="I30" s="128">
        <f t="shared" si="33"/>
        <v>0.849329957</v>
      </c>
      <c r="J30" s="128">
        <f t="shared" si="33"/>
        <v>0.8312992795</v>
      </c>
      <c r="K30" s="128">
        <f t="shared" si="33"/>
        <v>0.7807808176</v>
      </c>
      <c r="L30" s="128">
        <f t="shared" si="33"/>
        <v>0.8298065381</v>
      </c>
      <c r="M30" s="128">
        <f t="shared" si="33"/>
        <v>0.8862523727</v>
      </c>
      <c r="N30" s="128">
        <f t="shared" si="33"/>
        <v>0.8923335819</v>
      </c>
      <c r="O30" s="128">
        <f t="shared" si="33"/>
        <v>0.7958343689</v>
      </c>
      <c r="P30" s="128">
        <f t="shared" si="33"/>
        <v>0.8345724082</v>
      </c>
      <c r="Q30" s="128">
        <f t="shared" si="33"/>
        <v>0.8403568754</v>
      </c>
      <c r="R30" s="128">
        <f t="shared" si="33"/>
        <v>0.9026188748</v>
      </c>
      <c r="S30" s="128">
        <f t="shared" si="33"/>
        <v>0.8586018265</v>
      </c>
      <c r="T30" s="128">
        <f t="shared" si="33"/>
        <v>0.883741414</v>
      </c>
      <c r="U30" s="128">
        <f t="shared" si="33"/>
        <v>0.8221228527</v>
      </c>
      <c r="V30" s="128">
        <f t="shared" si="33"/>
        <v>0.8647738472</v>
      </c>
      <c r="W30" s="128">
        <f t="shared" si="33"/>
        <v>0.971143751</v>
      </c>
      <c r="X30" s="128">
        <f t="shared" si="33"/>
        <v>0.9654121123</v>
      </c>
      <c r="Y30" s="167">
        <f t="shared" si="33"/>
        <v>0.9682736228</v>
      </c>
      <c r="Z30" s="128">
        <f t="shared" si="33"/>
        <v>0.9662426321</v>
      </c>
      <c r="AA30" s="128">
        <f t="shared" si="33"/>
        <v>0.7325253788</v>
      </c>
      <c r="AB30" s="128">
        <f t="shared" si="33"/>
        <v>0.7122231411</v>
      </c>
      <c r="AC30" s="128">
        <f t="shared" si="33"/>
        <v>0.7391172116</v>
      </c>
      <c r="AD30" s="128">
        <f t="shared" si="33"/>
        <v>0.756992615</v>
      </c>
      <c r="AE30" s="128">
        <f t="shared" si="33"/>
        <v>0.7804790504</v>
      </c>
      <c r="AF30" s="128">
        <f t="shared" si="33"/>
        <v>0.7933966942</v>
      </c>
      <c r="AG30" s="128">
        <f t="shared" si="33"/>
        <v>0.8105170612</v>
      </c>
      <c r="AH30" s="128">
        <f t="shared" si="33"/>
        <v>0.8179165512</v>
      </c>
      <c r="AI30" s="128">
        <f t="shared" si="33"/>
        <v>0.830111724</v>
      </c>
      <c r="AJ30" s="128">
        <f t="shared" si="33"/>
        <v>0.835386719</v>
      </c>
      <c r="AK30" s="128">
        <f t="shared" si="33"/>
        <v>0.8444333725</v>
      </c>
      <c r="AL30" s="128">
        <f t="shared" si="33"/>
        <v>0.8528982482</v>
      </c>
      <c r="AM30" s="128">
        <f t="shared" si="33"/>
        <v>0.8504577914</v>
      </c>
      <c r="AN30" s="128">
        <f t="shared" si="33"/>
        <v>0.8431833894</v>
      </c>
      <c r="AO30" s="128">
        <f t="shared" si="33"/>
        <v>0.8253617282</v>
      </c>
      <c r="AP30" s="128">
        <f t="shared" si="33"/>
        <v>0.8186010736</v>
      </c>
      <c r="AQ30" s="128">
        <f t="shared" si="33"/>
        <v>0.8216704915</v>
      </c>
      <c r="AR30" s="128">
        <f t="shared" si="33"/>
        <v>0.8106034759</v>
      </c>
      <c r="AS30" s="128">
        <f t="shared" si="33"/>
        <v>0.8137089966</v>
      </c>
      <c r="AT30" s="128">
        <f t="shared" si="33"/>
        <v>0.803798798</v>
      </c>
      <c r="AU30" s="128">
        <f t="shared" si="33"/>
        <v>0.7950874302</v>
      </c>
      <c r="AV30" s="128">
        <f t="shared" si="33"/>
        <v>0.7830101561</v>
      </c>
      <c r="AW30" s="128">
        <f t="shared" si="33"/>
        <v>0.7776102296</v>
      </c>
      <c r="AX30" s="128">
        <f t="shared" si="33"/>
        <v>0.7681417602</v>
      </c>
      <c r="AY30" s="128">
        <f t="shared" si="33"/>
        <v>0.7712384627</v>
      </c>
      <c r="AZ30" s="128">
        <f t="shared" si="33"/>
        <v>0.7677260337</v>
      </c>
      <c r="BA30" s="128">
        <f t="shared" si="33"/>
        <v>0.756096594</v>
      </c>
      <c r="BB30" s="128">
        <f t="shared" si="33"/>
        <v>0.7487941555</v>
      </c>
      <c r="BC30" s="128">
        <f t="shared" si="33"/>
        <v>0.7338827481</v>
      </c>
      <c r="BD30" s="128">
        <f t="shared" si="33"/>
        <v>0.7292714333</v>
      </c>
      <c r="BE30" s="128">
        <f t="shared" si="33"/>
        <v>0.7264041468</v>
      </c>
      <c r="BF30" s="128">
        <f t="shared" si="33"/>
        <v>0.7194279476</v>
      </c>
      <c r="BG30" s="128">
        <f t="shared" si="33"/>
        <v>0.7239547224</v>
      </c>
      <c r="BH30" s="128">
        <f t="shared" si="33"/>
        <v>0.7110770591</v>
      </c>
      <c r="BI30" s="128">
        <f t="shared" si="33"/>
        <v>0.7045046908</v>
      </c>
      <c r="BJ30" s="128">
        <f t="shared" si="33"/>
        <v>0.7088733083</v>
      </c>
      <c r="BK30" s="128">
        <f t="shared" si="33"/>
        <v>0.7059694348</v>
      </c>
      <c r="BL30" s="128">
        <f t="shared" si="33"/>
        <v>0.6905042082</v>
      </c>
      <c r="BM30" s="128">
        <f t="shared" si="33"/>
        <v>0.6948229757</v>
      </c>
      <c r="BN30" s="128">
        <f t="shared" si="33"/>
        <v>0.6916232081</v>
      </c>
      <c r="BO30" s="128">
        <f t="shared" si="33"/>
        <v>0.6954214015</v>
      </c>
      <c r="BP30" s="128">
        <f t="shared" si="33"/>
        <v>0.6820681282</v>
      </c>
      <c r="BQ30" s="128">
        <f t="shared" si="33"/>
        <v>0.6825154518</v>
      </c>
      <c r="BR30" s="128">
        <f t="shared" si="33"/>
        <v>0.6793604137</v>
      </c>
      <c r="BS30" s="128">
        <f t="shared" si="33"/>
        <v>0.683098717</v>
      </c>
      <c r="BT30" s="128">
        <f t="shared" si="33"/>
        <v>0.6692250286</v>
      </c>
      <c r="BU30" s="128">
        <f t="shared" si="33"/>
        <v>0.6696668526</v>
      </c>
      <c r="BV30" s="128">
        <f t="shared" si="33"/>
        <v>0.6668130959</v>
      </c>
      <c r="BW30" s="128">
        <f t="shared" si="33"/>
        <v>0.6705285435</v>
      </c>
      <c r="BX30" s="128">
        <f t="shared" si="33"/>
        <v>0.6593012008</v>
      </c>
      <c r="BY30" s="128">
        <f t="shared" si="33"/>
        <v>0.6445395244</v>
      </c>
      <c r="BZ30" s="128">
        <f t="shared" si="33"/>
        <v>0.6407101935</v>
      </c>
      <c r="CA30" s="128">
        <f t="shared" si="33"/>
        <v>0.6337761492</v>
      </c>
      <c r="CB30" s="128">
        <f t="shared" si="33"/>
        <v>0.6237056178</v>
      </c>
      <c r="CC30" s="128">
        <f t="shared" si="33"/>
        <v>0.6201501649</v>
      </c>
      <c r="CD30" s="128">
        <f t="shared" si="33"/>
        <v>0.6197764591</v>
      </c>
      <c r="CE30" s="128">
        <f t="shared" si="33"/>
        <v>0.622513731</v>
      </c>
      <c r="CF30" s="128">
        <f t="shared" si="33"/>
        <v>0.6055393872</v>
      </c>
      <c r="CG30" s="128">
        <f t="shared" si="33"/>
        <v>0.6083054163</v>
      </c>
      <c r="CH30" s="128">
        <f t="shared" si="33"/>
        <v>0.6048993044</v>
      </c>
      <c r="CI30" s="128">
        <f t="shared" si="33"/>
        <v>0.5984937743</v>
      </c>
      <c r="CJ30" s="128"/>
      <c r="CK30" s="128"/>
      <c r="CL30" s="128">
        <f t="shared" ref="CL30:CQ30" si="34">CL29/CL8</f>
        <v>0.8644100895</v>
      </c>
      <c r="CM30" s="128">
        <f t="shared" si="34"/>
        <v>0.8528450729</v>
      </c>
      <c r="CN30" s="128">
        <f t="shared" si="34"/>
        <v>0.853921709</v>
      </c>
      <c r="CO30" s="128">
        <f t="shared" si="34"/>
        <v>0.8597641416</v>
      </c>
      <c r="CP30" s="128">
        <f t="shared" si="34"/>
        <v>0.9250888249</v>
      </c>
      <c r="CQ30" s="128">
        <f t="shared" si="34"/>
        <v>0.9388308892</v>
      </c>
    </row>
    <row r="31" ht="15.75" customHeight="1" outlineLevel="1">
      <c r="D31" s="247"/>
      <c r="E31" s="247"/>
      <c r="F31" s="247"/>
      <c r="G31" s="247"/>
      <c r="H31" s="247"/>
      <c r="I31" s="247"/>
      <c r="J31" s="247"/>
      <c r="K31" s="125" t="str">
        <f>SUM(#REF!)/SUM(#REF!)</f>
        <v>#REF!</v>
      </c>
      <c r="L31" s="125">
        <f t="shared" ref="L31:X31" si="35">SUM(A29:L29)/SUM(A8:L8)</f>
        <v>0.8555871076</v>
      </c>
      <c r="M31" s="125">
        <f t="shared" si="35"/>
        <v>0.8591555707</v>
      </c>
      <c r="N31" s="125">
        <f t="shared" si="35"/>
        <v>0.8625097176</v>
      </c>
      <c r="O31" s="125">
        <f t="shared" si="35"/>
        <v>0.8571933642</v>
      </c>
      <c r="P31" s="125">
        <f t="shared" si="35"/>
        <v>0.8611769343</v>
      </c>
      <c r="Q31" s="125">
        <f t="shared" si="35"/>
        <v>0.8556252101</v>
      </c>
      <c r="R31" s="125">
        <f t="shared" si="35"/>
        <v>0.8560904035</v>
      </c>
      <c r="S31" s="125">
        <f t="shared" si="35"/>
        <v>0.8556138812</v>
      </c>
      <c r="T31" s="125">
        <f t="shared" si="35"/>
        <v>0.8526124556</v>
      </c>
      <c r="U31" s="125">
        <f t="shared" si="35"/>
        <v>0.8505131035</v>
      </c>
      <c r="V31" s="125">
        <f t="shared" si="35"/>
        <v>0.8532228615</v>
      </c>
      <c r="W31" s="125">
        <f t="shared" si="35"/>
        <v>0.8912015687</v>
      </c>
      <c r="X31" s="125">
        <f t="shared" si="35"/>
        <v>0.9115211094</v>
      </c>
      <c r="Y31" s="125">
        <f>SUM(P29:Y29)/SUM(P8:Y8)</f>
        <v>0.9311002229</v>
      </c>
      <c r="Z31" s="125">
        <f>SUM(O29:Z29)/SUM(O8:Z8)</f>
        <v>0.9330051906</v>
      </c>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c r="BR31" s="117"/>
      <c r="BS31" s="117"/>
      <c r="BT31" s="117"/>
      <c r="BU31" s="117"/>
      <c r="BV31" s="117"/>
      <c r="BW31" s="117"/>
      <c r="BX31" s="117"/>
      <c r="BY31" s="117"/>
      <c r="BZ31" s="117"/>
      <c r="CA31" s="117"/>
      <c r="CB31" s="117"/>
      <c r="CC31" s="117"/>
      <c r="CD31" s="117"/>
      <c r="CE31" s="117"/>
      <c r="CF31" s="117"/>
      <c r="CG31" s="117"/>
      <c r="CH31" s="117"/>
      <c r="CI31" s="117"/>
      <c r="CL31" s="117"/>
      <c r="CM31" s="117"/>
      <c r="CN31" s="117"/>
      <c r="CO31" s="117"/>
      <c r="CP31" s="117"/>
      <c r="CQ31" s="117"/>
    </row>
    <row r="32" ht="15.75" customHeight="1" outlineLevel="1">
      <c r="C32" s="257" t="s">
        <v>174</v>
      </c>
      <c r="D32" s="117">
        <f>'Opex Departments'!D185*'Opex Departments'!D$169</f>
        <v>10621.01848</v>
      </c>
      <c r="E32" s="117">
        <f>'Opex Departments'!E185*'Opex Departments'!E$169</f>
        <v>15176.93797</v>
      </c>
      <c r="F32" s="117">
        <f>'Opex Departments'!F185*'Opex Departments'!F$169</f>
        <v>12825.68536</v>
      </c>
      <c r="G32" s="117">
        <f>'Opex Departments'!G185*'Opex Departments'!G$169</f>
        <v>13512.54533</v>
      </c>
      <c r="H32" s="117">
        <f>'Opex Departments'!H185*'Opex Departments'!H$169</f>
        <v>16353.63638</v>
      </c>
      <c r="I32" s="117">
        <f>'Opex Departments'!I185*'Opex Departments'!I$169</f>
        <v>9666.156998</v>
      </c>
      <c r="J32" s="117">
        <f>'Opex Departments'!J185*'Opex Departments'!J$169</f>
        <v>10565.35077</v>
      </c>
      <c r="K32" s="117">
        <f>'Opex Departments'!K185*'Opex Departments'!K$169</f>
        <v>12003.16353</v>
      </c>
      <c r="L32" s="117">
        <f>'Opex Departments'!L185*'Opex Departments'!L$169</f>
        <v>14528.55406</v>
      </c>
      <c r="M32" s="117">
        <f>'Opex Departments'!M185*'Opex Departments'!M$169</f>
        <v>15486.65283</v>
      </c>
      <c r="N32" s="117">
        <f>'Opex Departments'!N185*'Opex Departments'!N$169</f>
        <v>15481.68913</v>
      </c>
      <c r="O32" s="117">
        <f>'Opex Departments'!O185*'Opex Departments'!O$169</f>
        <v>12600.67365</v>
      </c>
      <c r="P32" s="117">
        <f>'Opex Departments'!P185*'Opex Departments'!P$169</f>
        <v>11284.7711</v>
      </c>
      <c r="Q32" s="117">
        <f>'Opex Departments'!Q185*'Opex Departments'!Q$169</f>
        <v>12737.67014</v>
      </c>
      <c r="R32" s="117">
        <f>'Opex Departments'!R185*'Opex Departments'!R$169</f>
        <v>12196.64664</v>
      </c>
      <c r="S32" s="117">
        <f>'Opex Departments'!S185*'Opex Departments'!S$169</f>
        <v>11741.69798</v>
      </c>
      <c r="T32" s="117">
        <f>'Opex Departments'!T185*'Opex Departments'!T$169</f>
        <v>14700.46668</v>
      </c>
      <c r="U32" s="117">
        <f>'Opex Departments'!U185*'Opex Departments'!U$169</f>
        <v>11668.02132</v>
      </c>
      <c r="V32" s="117">
        <f>'Opex Departments'!V185*'Opex Departments'!V$169</f>
        <v>14751.29412</v>
      </c>
      <c r="W32" s="117">
        <f>'Opex Departments'!W185*'Opex Departments'!W$169</f>
        <v>11819.22807</v>
      </c>
      <c r="X32" s="117">
        <f>'Opex Departments'!X185*'Opex Departments'!X$169</f>
        <v>12339.02218</v>
      </c>
      <c r="Y32" s="117">
        <f>'Opex Departments'!Y185*'Opex Departments'!Y$169</f>
        <v>10338.64238</v>
      </c>
      <c r="Z32" s="117">
        <f>'Opex Departments'!Z185*'Opex Departments'!Z$169</f>
        <v>16565.41937</v>
      </c>
      <c r="AA32" s="117">
        <f>'Opex Departments'!AA185*'Opex Departments'!AA$169</f>
        <v>73398.48005</v>
      </c>
      <c r="AB32" s="117">
        <f>'Opex Departments'!AB185*'Opex Departments'!AB$169</f>
        <v>95734.41639</v>
      </c>
      <c r="AC32" s="117">
        <f>'Opex Departments'!AC185*'Opex Departments'!AC$169</f>
        <v>131943.8473</v>
      </c>
      <c r="AD32" s="117">
        <f>'Opex Departments'!AD185*'Opex Departments'!AD$169</f>
        <v>105269.3806</v>
      </c>
      <c r="AE32" s="117">
        <f>'Opex Departments'!AE185*'Opex Departments'!AE$169</f>
        <v>112753.4746</v>
      </c>
      <c r="AF32" s="117">
        <f>'Opex Departments'!AF185*'Opex Departments'!AF$169</f>
        <v>154920.3572</v>
      </c>
      <c r="AG32" s="117">
        <f>'Opex Departments'!AG185*'Opex Departments'!AG$169</f>
        <v>125022.2565</v>
      </c>
      <c r="AH32" s="117">
        <f>'Opex Departments'!AH185*'Opex Departments'!AH$169</f>
        <v>168823.6124</v>
      </c>
      <c r="AI32" s="117">
        <f>'Opex Departments'!AI185*'Opex Departments'!AI$169</f>
        <v>143115.1346</v>
      </c>
      <c r="AJ32" s="117">
        <f>'Opex Departments'!AJ185*'Opex Departments'!AJ$169</f>
        <v>191350.2432</v>
      </c>
      <c r="AK32" s="117">
        <f>'Opex Departments'!AK185*'Opex Departments'!AK$169</f>
        <v>162396.5783</v>
      </c>
      <c r="AL32" s="117">
        <f>'Opex Departments'!AL185*'Opex Departments'!AL$169</f>
        <v>172723.7079</v>
      </c>
      <c r="AM32" s="117">
        <f>'Opex Departments'!AM185*'Opex Departments'!AM$169</f>
        <v>181141.2172</v>
      </c>
      <c r="AN32" s="117">
        <f>'Opex Departments'!AN185*'Opex Departments'!AN$169</f>
        <v>275660.9395</v>
      </c>
      <c r="AO32" s="117">
        <f>'Opex Departments'!AO185*'Opex Departments'!AO$169</f>
        <v>190785.7684</v>
      </c>
      <c r="AP32" s="117">
        <f>'Opex Departments'!AP185*'Opex Departments'!AP$169</f>
        <v>191663.7524</v>
      </c>
      <c r="AQ32" s="117">
        <f>'Opex Departments'!AQ185*'Opex Departments'!AQ$169</f>
        <v>193193.6497</v>
      </c>
      <c r="AR32" s="117">
        <f>'Opex Departments'!AR185*'Opex Departments'!AR$169</f>
        <v>244586.756</v>
      </c>
      <c r="AS32" s="117">
        <f>'Opex Departments'!AS185*'Opex Departments'!AS$169</f>
        <v>200904.8132</v>
      </c>
      <c r="AT32" s="117">
        <f>'Opex Departments'!AT185*'Opex Departments'!AT$169</f>
        <v>241255.2162</v>
      </c>
      <c r="AU32" s="117">
        <f>'Opex Departments'!AU185*'Opex Departments'!AU$169</f>
        <v>207391.2579</v>
      </c>
      <c r="AV32" s="117">
        <f>'Opex Departments'!AV185*'Opex Departments'!AV$169</f>
        <v>261649.1531</v>
      </c>
      <c r="AW32" s="117">
        <f>'Opex Departments'!AW185*'Opex Departments'!AW$169</f>
        <v>215764.7235</v>
      </c>
      <c r="AX32" s="117">
        <f>'Opex Departments'!AX185*'Opex Departments'!AX$169</f>
        <v>216865.9036</v>
      </c>
      <c r="AY32" s="117">
        <f>'Opex Departments'!AY185*'Opex Departments'!AY$169</f>
        <v>217940.0193</v>
      </c>
      <c r="AZ32" s="117">
        <f>'Opex Departments'!AZ185*'Opex Departments'!AZ$169</f>
        <v>324701.8113</v>
      </c>
      <c r="BA32" s="117">
        <f>'Opex Departments'!BA185*'Opex Departments'!BA$169</f>
        <v>235778.9207</v>
      </c>
      <c r="BB32" s="117">
        <f>'Opex Departments'!BB185*'Opex Departments'!BB$169</f>
        <v>238851.4115</v>
      </c>
      <c r="BC32" s="117">
        <f>'Opex Departments'!BC185*'Opex Departments'!BC$169</f>
        <v>241929.4841</v>
      </c>
      <c r="BD32" s="117">
        <f>'Opex Departments'!BD185*'Opex Departments'!BD$169</f>
        <v>310043.6382</v>
      </c>
      <c r="BE32" s="117">
        <f>'Opex Departments'!BE185*'Opex Departments'!BE$169</f>
        <v>261816.8836</v>
      </c>
      <c r="BF32" s="117">
        <f>'Opex Departments'!BF185*'Opex Departments'!BF$169</f>
        <v>316173.6559</v>
      </c>
      <c r="BG32" s="117">
        <f>'Opex Departments'!BG185*'Opex Departments'!BG$169</f>
        <v>278084.2494</v>
      </c>
      <c r="BH32" s="117">
        <f>'Opex Departments'!BH185*'Opex Departments'!BH$169</f>
        <v>343272.1728</v>
      </c>
      <c r="BI32" s="117">
        <f>'Opex Departments'!BI185*'Opex Departments'!BI$169</f>
        <v>299321.7528</v>
      </c>
      <c r="BJ32" s="117">
        <f>'Opex Departments'!BJ185*'Opex Departments'!BJ$169</f>
        <v>302420.9651</v>
      </c>
      <c r="BK32" s="117">
        <f>'Opex Departments'!BK185*'Opex Departments'!BK$169</f>
        <v>305508.375</v>
      </c>
      <c r="BL32" s="117">
        <f>'Opex Departments'!CJ185*'Opex Departments'!CJ$169</f>
        <v>0</v>
      </c>
      <c r="BM32" s="117">
        <f>'Opex Departments'!CK185*'Opex Departments'!CK$169</f>
        <v>0</v>
      </c>
      <c r="BN32" s="117">
        <f>'Opex Departments'!CL185*'Opex Departments'!CL$169</f>
        <v>0</v>
      </c>
      <c r="BO32" s="117">
        <f>'Opex Departments'!CM185*'Opex Departments'!CM$169</f>
        <v>0</v>
      </c>
      <c r="BP32" s="117">
        <f>'Opex Departments'!CN185*'Opex Departments'!CN$169</f>
        <v>0</v>
      </c>
      <c r="BQ32" s="117">
        <f>'Opex Departments'!CO185*'Opex Departments'!CO$169</f>
        <v>0</v>
      </c>
      <c r="BR32" s="117">
        <f>'Opex Departments'!CP185*'Opex Departments'!CP$169</f>
        <v>0</v>
      </c>
      <c r="BS32" s="117">
        <f>'Opex Departments'!CQ185*'Opex Departments'!CQ$169</f>
        <v>0</v>
      </c>
      <c r="BT32" s="117">
        <f>'Opex Departments'!CR185*'Opex Departments'!CR$169</f>
        <v>0</v>
      </c>
      <c r="BU32" s="117">
        <f>'Opex Departments'!CS185*'Opex Departments'!CS$169</f>
        <v>0</v>
      </c>
      <c r="BV32" s="117">
        <f>'Opex Departments'!CT185*'Opex Departments'!CT$169</f>
        <v>0</v>
      </c>
      <c r="BW32" s="117">
        <f>'Opex Departments'!CU185*'Opex Departments'!CU$169</f>
        <v>0</v>
      </c>
      <c r="BX32" s="117">
        <f>'Opex Departments'!CV185*'Opex Departments'!CV$169</f>
        <v>0</v>
      </c>
      <c r="BY32" s="117">
        <f>'Opex Departments'!CW185*'Opex Departments'!CW$169</f>
        <v>0</v>
      </c>
      <c r="BZ32" s="117">
        <f>'Opex Departments'!CX185*'Opex Departments'!CX$169</f>
        <v>0</v>
      </c>
      <c r="CA32" s="117">
        <f>'Opex Departments'!CY185*'Opex Departments'!CY$169</f>
        <v>0</v>
      </c>
      <c r="CB32" s="117">
        <f>'Opex Departments'!CZ185*'Opex Departments'!CZ$169</f>
        <v>0</v>
      </c>
      <c r="CC32" s="117">
        <f>'Opex Departments'!DA185*'Opex Departments'!DA$169</f>
        <v>0</v>
      </c>
      <c r="CD32" s="117">
        <f>'Opex Departments'!DB185*'Opex Departments'!DB$169</f>
        <v>0</v>
      </c>
      <c r="CE32" s="117">
        <f>'Opex Departments'!DC185*'Opex Departments'!DC$169</f>
        <v>0</v>
      </c>
      <c r="CF32" s="117">
        <f>'Opex Departments'!DD185*'Opex Departments'!DD$169</f>
        <v>0</v>
      </c>
      <c r="CG32" s="117">
        <f>'Opex Departments'!DE185*'Opex Departments'!DE$169</f>
        <v>0</v>
      </c>
      <c r="CH32" s="117">
        <f>'Opex Departments'!DF185*'Opex Departments'!DF$169</f>
        <v>0</v>
      </c>
      <c r="CI32" s="117">
        <f>'Opex Departments'!DG185*'Opex Departments'!DG$169</f>
        <v>0</v>
      </c>
      <c r="CL32" s="117">
        <f>SUM(D32:G32)</f>
        <v>52136.18714</v>
      </c>
      <c r="CM32" s="117">
        <f>SUM(H32:K32)</f>
        <v>48588.30768</v>
      </c>
      <c r="CN32" s="117">
        <f>SUM(L32:O32)</f>
        <v>58097.56967</v>
      </c>
      <c r="CO32" s="117">
        <f>SUM(P32:S32)</f>
        <v>47960.78587</v>
      </c>
      <c r="CP32" s="117">
        <f>SUM(T32:W32)</f>
        <v>52939.01019</v>
      </c>
      <c r="CQ32" s="117">
        <f>SUM(X32:AA32)</f>
        <v>112641.564</v>
      </c>
    </row>
    <row r="33" ht="15.75" customHeight="1" outlineLevel="1">
      <c r="C33" s="5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7"/>
      <c r="CG33" s="117"/>
      <c r="CH33" s="117"/>
      <c r="CI33" s="117"/>
      <c r="CL33" s="117"/>
      <c r="CM33" s="117"/>
      <c r="CN33" s="117"/>
      <c r="CO33" s="117"/>
      <c r="CP33" s="117"/>
      <c r="CQ33" s="117"/>
    </row>
    <row r="34" ht="15.75" customHeight="1">
      <c r="A34" s="117"/>
      <c r="B34" s="117"/>
      <c r="C34" s="518" t="s">
        <v>801</v>
      </c>
      <c r="D34" s="117">
        <f t="shared" ref="D34:CI34" si="36">D29-D32</f>
        <v>98398.98152</v>
      </c>
      <c r="E34" s="117">
        <f t="shared" si="36"/>
        <v>225613.062</v>
      </c>
      <c r="F34" s="117">
        <f t="shared" si="36"/>
        <v>170147.3146</v>
      </c>
      <c r="G34" s="117">
        <f t="shared" si="36"/>
        <v>201774.4547</v>
      </c>
      <c r="H34" s="117">
        <f t="shared" si="36"/>
        <v>214012.3636</v>
      </c>
      <c r="I34" s="117">
        <f t="shared" si="36"/>
        <v>139590.843</v>
      </c>
      <c r="J34" s="117">
        <f t="shared" si="36"/>
        <v>133770.6492</v>
      </c>
      <c r="K34" s="117">
        <f t="shared" si="36"/>
        <v>115510.8365</v>
      </c>
      <c r="L34" s="117">
        <f t="shared" si="36"/>
        <v>163818.4459</v>
      </c>
      <c r="M34" s="117">
        <f t="shared" si="36"/>
        <v>199758.3472</v>
      </c>
      <c r="N34" s="117">
        <f t="shared" si="36"/>
        <v>193971.3109</v>
      </c>
      <c r="O34" s="117">
        <f t="shared" si="36"/>
        <v>147497.3264</v>
      </c>
      <c r="P34" s="117">
        <f t="shared" si="36"/>
        <v>176634.2289</v>
      </c>
      <c r="Q34" s="117">
        <f t="shared" si="36"/>
        <v>157841.3299</v>
      </c>
      <c r="R34" s="117">
        <f t="shared" si="36"/>
        <v>195529.3534</v>
      </c>
      <c r="S34" s="117">
        <f t="shared" si="36"/>
        <v>173467.302</v>
      </c>
      <c r="T34" s="117">
        <f t="shared" si="36"/>
        <v>229110.5333</v>
      </c>
      <c r="U34" s="117">
        <f t="shared" si="36"/>
        <v>149754.9787</v>
      </c>
      <c r="V34" s="117">
        <f t="shared" si="36"/>
        <v>223034.7059</v>
      </c>
      <c r="W34" s="117">
        <f t="shared" si="36"/>
        <v>1004749.772</v>
      </c>
      <c r="X34" s="117">
        <f t="shared" si="36"/>
        <v>969516.3078</v>
      </c>
      <c r="Y34" s="117">
        <f t="shared" si="36"/>
        <v>985604.6676</v>
      </c>
      <c r="Z34" s="117">
        <f t="shared" si="36"/>
        <v>1046670.581</v>
      </c>
      <c r="AA34" s="117">
        <f t="shared" si="36"/>
        <v>237220.3793</v>
      </c>
      <c r="AB34" s="117">
        <f t="shared" si="36"/>
        <v>263398.0745</v>
      </c>
      <c r="AC34" s="117">
        <f t="shared" si="36"/>
        <v>298819.7704</v>
      </c>
      <c r="AD34" s="117">
        <f t="shared" si="36"/>
        <v>391483.7715</v>
      </c>
      <c r="AE34" s="117">
        <f t="shared" si="36"/>
        <v>456448.4637</v>
      </c>
      <c r="AF34" s="117">
        <f t="shared" si="36"/>
        <v>488458.3169</v>
      </c>
      <c r="AG34" s="117">
        <f t="shared" si="36"/>
        <v>595447.9023</v>
      </c>
      <c r="AH34" s="117">
        <f t="shared" si="36"/>
        <v>620107.9313</v>
      </c>
      <c r="AI34" s="117">
        <f t="shared" si="36"/>
        <v>719623.9931</v>
      </c>
      <c r="AJ34" s="117">
        <f t="shared" si="36"/>
        <v>741007.6245</v>
      </c>
      <c r="AK34" s="117">
        <f t="shared" si="36"/>
        <v>840078.6398</v>
      </c>
      <c r="AL34" s="117">
        <f t="shared" si="36"/>
        <v>903808.5558</v>
      </c>
      <c r="AM34" s="117">
        <f t="shared" si="36"/>
        <v>958636.7012</v>
      </c>
      <c r="AN34" s="117">
        <f t="shared" si="36"/>
        <v>905594.7556</v>
      </c>
      <c r="AO34" s="117">
        <f t="shared" si="36"/>
        <v>975077.0861</v>
      </c>
      <c r="AP34" s="117">
        <f t="shared" si="36"/>
        <v>983572.1544</v>
      </c>
      <c r="AQ34" s="117">
        <f t="shared" si="36"/>
        <v>1008935.316</v>
      </c>
      <c r="AR34" s="117">
        <f t="shared" si="36"/>
        <v>963645.8841</v>
      </c>
      <c r="AS34" s="117">
        <f t="shared" si="36"/>
        <v>1034353.423</v>
      </c>
      <c r="AT34" s="117">
        <f t="shared" si="36"/>
        <v>1000508.383</v>
      </c>
      <c r="AU34" s="117">
        <f t="shared" si="36"/>
        <v>1052667.887</v>
      </c>
      <c r="AV34" s="117">
        <f t="shared" si="36"/>
        <v>999656.5055</v>
      </c>
      <c r="AW34" s="117">
        <f t="shared" si="36"/>
        <v>1056742.591</v>
      </c>
      <c r="AX34" s="117">
        <f t="shared" si="36"/>
        <v>1059485.614</v>
      </c>
      <c r="AY34" s="117">
        <f t="shared" si="36"/>
        <v>1082674.806</v>
      </c>
      <c r="AZ34" s="117">
        <f t="shared" si="36"/>
        <v>1010557.242</v>
      </c>
      <c r="BA34" s="117">
        <f t="shared" si="36"/>
        <v>1107895.206</v>
      </c>
      <c r="BB34" s="117">
        <f t="shared" si="36"/>
        <v>1119530.947</v>
      </c>
      <c r="BC34" s="117">
        <f t="shared" si="36"/>
        <v>1116042.87</v>
      </c>
      <c r="BD34" s="117">
        <f t="shared" si="36"/>
        <v>1065424.984</v>
      </c>
      <c r="BE34" s="117">
        <f t="shared" si="36"/>
        <v>1133754.501</v>
      </c>
      <c r="BF34" s="117">
        <f t="shared" si="36"/>
        <v>1090871.438</v>
      </c>
      <c r="BG34" s="117">
        <f t="shared" si="36"/>
        <v>1162477.011</v>
      </c>
      <c r="BH34" s="117">
        <f t="shared" si="36"/>
        <v>1095545.307</v>
      </c>
      <c r="BI34" s="117">
        <f t="shared" si="36"/>
        <v>1149536.419</v>
      </c>
      <c r="BJ34" s="117">
        <f t="shared" si="36"/>
        <v>1178601.864</v>
      </c>
      <c r="BK34" s="117">
        <f t="shared" si="36"/>
        <v>1192248.295</v>
      </c>
      <c r="BL34" s="117">
        <f t="shared" si="36"/>
        <v>1503713.696</v>
      </c>
      <c r="BM34" s="117">
        <f t="shared" si="36"/>
        <v>1535910.309</v>
      </c>
      <c r="BN34" s="117">
        <f t="shared" si="36"/>
        <v>1549310.742</v>
      </c>
      <c r="BO34" s="117">
        <f t="shared" si="36"/>
        <v>1578491.005</v>
      </c>
      <c r="BP34" s="117">
        <f t="shared" si="36"/>
        <v>1568424.973</v>
      </c>
      <c r="BQ34" s="117">
        <f t="shared" si="36"/>
        <v>1589672.362</v>
      </c>
      <c r="BR34" s="117">
        <f t="shared" si="36"/>
        <v>1602420.303</v>
      </c>
      <c r="BS34" s="117">
        <f t="shared" si="36"/>
        <v>1631427.405</v>
      </c>
      <c r="BT34" s="117">
        <f t="shared" si="36"/>
        <v>1618066.85</v>
      </c>
      <c r="BU34" s="117">
        <f t="shared" si="36"/>
        <v>1638927.184</v>
      </c>
      <c r="BV34" s="117">
        <f t="shared" si="36"/>
        <v>1651667.096</v>
      </c>
      <c r="BW34" s="117">
        <f t="shared" si="36"/>
        <v>1680731.515</v>
      </c>
      <c r="BX34" s="117">
        <f t="shared" si="36"/>
        <v>1688716.57</v>
      </c>
      <c r="BY34" s="117">
        <f t="shared" si="36"/>
        <v>1664468.642</v>
      </c>
      <c r="BZ34" s="117">
        <f t="shared" si="36"/>
        <v>1667902.287</v>
      </c>
      <c r="CA34" s="117">
        <f t="shared" si="36"/>
        <v>1663324.312</v>
      </c>
      <c r="CB34" s="117">
        <f t="shared" si="36"/>
        <v>1650076.77</v>
      </c>
      <c r="CC34" s="117">
        <f t="shared" si="36"/>
        <v>1653658.816</v>
      </c>
      <c r="CD34" s="117">
        <f t="shared" si="36"/>
        <v>1665529.224</v>
      </c>
      <c r="CE34" s="117">
        <f t="shared" si="36"/>
        <v>1685706.499</v>
      </c>
      <c r="CF34" s="117">
        <f t="shared" si="36"/>
        <v>1652125.841</v>
      </c>
      <c r="CG34" s="117">
        <f t="shared" si="36"/>
        <v>1672037.059</v>
      </c>
      <c r="CH34" s="117">
        <f t="shared" si="36"/>
        <v>1674905.367</v>
      </c>
      <c r="CI34" s="117">
        <f t="shared" si="36"/>
        <v>1669216.85</v>
      </c>
      <c r="CJ34" s="117"/>
      <c r="CK34" s="117"/>
      <c r="CL34" s="117">
        <f>SUM(D34:G34)</f>
        <v>695933.8129</v>
      </c>
      <c r="CM34" s="117">
        <f>SUM(H34:K34)</f>
        <v>602884.6923</v>
      </c>
      <c r="CN34" s="117">
        <f>SUM(L34:O34)</f>
        <v>705045.4303</v>
      </c>
      <c r="CO34" s="117">
        <f>SUM(P34:S34)</f>
        <v>703472.2141</v>
      </c>
      <c r="CP34" s="117">
        <f>SUM(T34:W34)</f>
        <v>1606649.99</v>
      </c>
      <c r="CQ34" s="117">
        <f>SUM(X34:AA34)</f>
        <v>3239011.935</v>
      </c>
    </row>
    <row r="35" ht="15.75" customHeight="1">
      <c r="A35" s="122"/>
      <c r="B35" s="122"/>
      <c r="C35" s="516" t="s">
        <v>115</v>
      </c>
      <c r="D35" s="128">
        <f t="shared" ref="D35:CI35" si="37">D34/D8</f>
        <v>0.6775809388</v>
      </c>
      <c r="E35" s="128">
        <f t="shared" si="37"/>
        <v>0.8413594554</v>
      </c>
      <c r="F35" s="128">
        <f t="shared" si="37"/>
        <v>0.8398106368</v>
      </c>
      <c r="G35" s="128">
        <f t="shared" si="37"/>
        <v>0.8089259914</v>
      </c>
      <c r="H35" s="128">
        <f t="shared" si="37"/>
        <v>0.8519464802</v>
      </c>
      <c r="I35" s="128">
        <f t="shared" si="37"/>
        <v>0.7943257917</v>
      </c>
      <c r="J35" s="128">
        <f t="shared" si="37"/>
        <v>0.7704484281</v>
      </c>
      <c r="K35" s="128">
        <f t="shared" si="37"/>
        <v>0.7072842616</v>
      </c>
      <c r="L35" s="128">
        <f t="shared" si="37"/>
        <v>0.7622086017</v>
      </c>
      <c r="M35" s="128">
        <f t="shared" si="37"/>
        <v>0.8224874405</v>
      </c>
      <c r="N35" s="128">
        <f t="shared" si="37"/>
        <v>0.8263768702</v>
      </c>
      <c r="O35" s="128">
        <f t="shared" si="37"/>
        <v>0.7331974268</v>
      </c>
      <c r="P35" s="128">
        <f t="shared" si="37"/>
        <v>0.7844552907</v>
      </c>
      <c r="Q35" s="128">
        <f t="shared" si="37"/>
        <v>0.7776047859</v>
      </c>
      <c r="R35" s="128">
        <f t="shared" si="37"/>
        <v>0.8496215444</v>
      </c>
      <c r="S35" s="128">
        <f t="shared" si="37"/>
        <v>0.8041690326</v>
      </c>
      <c r="T35" s="128">
        <f t="shared" si="37"/>
        <v>0.8304566516</v>
      </c>
      <c r="U35" s="128">
        <f t="shared" si="37"/>
        <v>0.7626979444</v>
      </c>
      <c r="V35" s="128">
        <f t="shared" si="37"/>
        <v>0.8111267302</v>
      </c>
      <c r="W35" s="128">
        <f t="shared" si="37"/>
        <v>0.9598526636</v>
      </c>
      <c r="X35" s="128">
        <f t="shared" si="37"/>
        <v>0.9532797328</v>
      </c>
      <c r="Y35" s="128">
        <f t="shared" si="37"/>
        <v>0.9582222126</v>
      </c>
      <c r="Z35" s="128">
        <f t="shared" si="37"/>
        <v>0.9511883879</v>
      </c>
      <c r="AA35" s="128">
        <f t="shared" si="37"/>
        <v>0.5594314156</v>
      </c>
      <c r="AB35" s="128">
        <f t="shared" si="37"/>
        <v>0.5223648897</v>
      </c>
      <c r="AC35" s="128">
        <f t="shared" si="37"/>
        <v>0.5127239776</v>
      </c>
      <c r="AD35" s="128">
        <f t="shared" si="37"/>
        <v>0.5965746219</v>
      </c>
      <c r="AE35" s="128">
        <f t="shared" si="37"/>
        <v>0.6258735952</v>
      </c>
      <c r="AF35" s="128">
        <f t="shared" si="37"/>
        <v>0.6023532167</v>
      </c>
      <c r="AG35" s="128">
        <f t="shared" si="37"/>
        <v>0.669869082</v>
      </c>
      <c r="AH35" s="128">
        <f t="shared" si="37"/>
        <v>0.6428904315</v>
      </c>
      <c r="AI35" s="128">
        <f t="shared" si="37"/>
        <v>0.6924089732</v>
      </c>
      <c r="AJ35" s="128">
        <f t="shared" si="37"/>
        <v>0.6639381182</v>
      </c>
      <c r="AK35" s="128">
        <f t="shared" si="37"/>
        <v>0.7076388784</v>
      </c>
      <c r="AL35" s="128">
        <f t="shared" si="37"/>
        <v>0.7160553937</v>
      </c>
      <c r="AM35" s="128">
        <f t="shared" si="37"/>
        <v>0.715297286</v>
      </c>
      <c r="AN35" s="128">
        <f t="shared" si="37"/>
        <v>0.6464158933</v>
      </c>
      <c r="AO35" s="128">
        <f t="shared" si="37"/>
        <v>0.6902967238</v>
      </c>
      <c r="AP35" s="128">
        <f t="shared" si="37"/>
        <v>0.6850992357</v>
      </c>
      <c r="AQ35" s="128">
        <f t="shared" si="37"/>
        <v>0.6896201661</v>
      </c>
      <c r="AR35" s="128">
        <f t="shared" si="37"/>
        <v>0.6465101812</v>
      </c>
      <c r="AS35" s="128">
        <f t="shared" si="37"/>
        <v>0.6813657755</v>
      </c>
      <c r="AT35" s="128">
        <f t="shared" si="37"/>
        <v>0.6476332824</v>
      </c>
      <c r="AU35" s="128">
        <f t="shared" si="37"/>
        <v>0.6642251743</v>
      </c>
      <c r="AV35" s="128">
        <f t="shared" si="37"/>
        <v>0.6205801037</v>
      </c>
      <c r="AW35" s="128">
        <f t="shared" si="37"/>
        <v>0.645759627</v>
      </c>
      <c r="AX35" s="128">
        <f t="shared" si="37"/>
        <v>0.6376261815</v>
      </c>
      <c r="AY35" s="128">
        <f t="shared" si="37"/>
        <v>0.6420044096</v>
      </c>
      <c r="AZ35" s="128">
        <f t="shared" si="37"/>
        <v>0.5810341456</v>
      </c>
      <c r="BA35" s="128">
        <f t="shared" si="37"/>
        <v>0.6234218366</v>
      </c>
      <c r="BB35" s="128">
        <f t="shared" si="37"/>
        <v>0.6171297977</v>
      </c>
      <c r="BC35" s="128">
        <f t="shared" si="37"/>
        <v>0.6031379107</v>
      </c>
      <c r="BD35" s="128">
        <f t="shared" si="37"/>
        <v>0.5648867539</v>
      </c>
      <c r="BE35" s="128">
        <f t="shared" si="37"/>
        <v>0.5901267252</v>
      </c>
      <c r="BF35" s="128">
        <f t="shared" si="37"/>
        <v>0.5577670561</v>
      </c>
      <c r="BG35" s="128">
        <f t="shared" si="37"/>
        <v>0.5842033553</v>
      </c>
      <c r="BH35" s="128">
        <f t="shared" si="37"/>
        <v>0.5414287399</v>
      </c>
      <c r="BI35" s="128">
        <f t="shared" si="37"/>
        <v>0.5589600246</v>
      </c>
      <c r="BJ35" s="128">
        <f t="shared" si="37"/>
        <v>0.5641232438</v>
      </c>
      <c r="BK35" s="128">
        <f t="shared" si="37"/>
        <v>0.5619676893</v>
      </c>
      <c r="BL35" s="128">
        <f t="shared" si="37"/>
        <v>0.6905042082</v>
      </c>
      <c r="BM35" s="128">
        <f t="shared" si="37"/>
        <v>0.6948229757</v>
      </c>
      <c r="BN35" s="128">
        <f t="shared" si="37"/>
        <v>0.6916232081</v>
      </c>
      <c r="BO35" s="128">
        <f t="shared" si="37"/>
        <v>0.6954214015</v>
      </c>
      <c r="BP35" s="128">
        <f t="shared" si="37"/>
        <v>0.6820681282</v>
      </c>
      <c r="BQ35" s="128">
        <f t="shared" si="37"/>
        <v>0.6825154518</v>
      </c>
      <c r="BR35" s="128">
        <f t="shared" si="37"/>
        <v>0.6793604137</v>
      </c>
      <c r="BS35" s="128">
        <f t="shared" si="37"/>
        <v>0.683098717</v>
      </c>
      <c r="BT35" s="128">
        <f t="shared" si="37"/>
        <v>0.6692250286</v>
      </c>
      <c r="BU35" s="128">
        <f t="shared" si="37"/>
        <v>0.6696668526</v>
      </c>
      <c r="BV35" s="128">
        <f t="shared" si="37"/>
        <v>0.6668130959</v>
      </c>
      <c r="BW35" s="128">
        <f t="shared" si="37"/>
        <v>0.6705285435</v>
      </c>
      <c r="BX35" s="128">
        <f t="shared" si="37"/>
        <v>0.6593012008</v>
      </c>
      <c r="BY35" s="128">
        <f t="shared" si="37"/>
        <v>0.6445395244</v>
      </c>
      <c r="BZ35" s="128">
        <f t="shared" si="37"/>
        <v>0.6407101935</v>
      </c>
      <c r="CA35" s="128">
        <f t="shared" si="37"/>
        <v>0.6337761492</v>
      </c>
      <c r="CB35" s="128">
        <f t="shared" si="37"/>
        <v>0.6237056178</v>
      </c>
      <c r="CC35" s="128">
        <f t="shared" si="37"/>
        <v>0.6201501649</v>
      </c>
      <c r="CD35" s="128">
        <f t="shared" si="37"/>
        <v>0.6197764591</v>
      </c>
      <c r="CE35" s="128">
        <f t="shared" si="37"/>
        <v>0.622513731</v>
      </c>
      <c r="CF35" s="128">
        <f t="shared" si="37"/>
        <v>0.6055393872</v>
      </c>
      <c r="CG35" s="128">
        <f t="shared" si="37"/>
        <v>0.6083054163</v>
      </c>
      <c r="CH35" s="128">
        <f t="shared" si="37"/>
        <v>0.6048993044</v>
      </c>
      <c r="CI35" s="128">
        <f t="shared" si="37"/>
        <v>0.5984937743</v>
      </c>
      <c r="CJ35" s="122"/>
      <c r="CK35" s="122"/>
      <c r="CL35" s="128">
        <f t="shared" ref="CL35:CQ35" si="38">CL34/CL8</f>
        <v>0.8041656656</v>
      </c>
      <c r="CM35" s="128">
        <f t="shared" si="38"/>
        <v>0.7892379874</v>
      </c>
      <c r="CN35" s="128">
        <f t="shared" si="38"/>
        <v>0.7889132166</v>
      </c>
      <c r="CO35" s="128">
        <f t="shared" si="38"/>
        <v>0.8048890378</v>
      </c>
      <c r="CP35" s="128">
        <f t="shared" si="38"/>
        <v>0.8955795388</v>
      </c>
      <c r="CQ35" s="128">
        <f t="shared" si="38"/>
        <v>0.9072788867</v>
      </c>
    </row>
    <row r="36" ht="15.75" customHeight="1">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7"/>
      <c r="BU36" s="117"/>
      <c r="BV36" s="117"/>
      <c r="BW36" s="117"/>
      <c r="BX36" s="117"/>
      <c r="BY36" s="117"/>
      <c r="BZ36" s="117"/>
      <c r="CA36" s="117"/>
      <c r="CB36" s="117"/>
      <c r="CC36" s="117"/>
      <c r="CD36" s="117"/>
      <c r="CE36" s="117"/>
      <c r="CF36" s="117"/>
      <c r="CG36" s="117"/>
      <c r="CH36" s="117"/>
      <c r="CI36" s="117"/>
      <c r="CJ36" s="117"/>
      <c r="CK36" s="117"/>
      <c r="CL36" s="117"/>
      <c r="CM36" s="117"/>
      <c r="CN36" s="117"/>
      <c r="CO36" s="117"/>
      <c r="CP36" s="117"/>
      <c r="CQ36" s="117"/>
    </row>
    <row r="37" ht="15.75" customHeight="1">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c r="BR37" s="117"/>
      <c r="BS37" s="117"/>
      <c r="BT37" s="117"/>
      <c r="BU37" s="117"/>
      <c r="BV37" s="117"/>
      <c r="BW37" s="117"/>
      <c r="BX37" s="117"/>
      <c r="BY37" s="117"/>
      <c r="BZ37" s="117"/>
      <c r="CA37" s="117"/>
      <c r="CB37" s="117"/>
      <c r="CC37" s="117"/>
      <c r="CD37" s="117"/>
      <c r="CE37" s="117"/>
      <c r="CF37" s="117"/>
      <c r="CG37" s="117"/>
      <c r="CH37" s="117"/>
      <c r="CI37" s="117"/>
      <c r="CJ37" s="117"/>
      <c r="CK37" s="117"/>
      <c r="CL37" s="117"/>
      <c r="CM37" s="117"/>
      <c r="CN37" s="117"/>
      <c r="CO37" s="117"/>
      <c r="CP37" s="117"/>
      <c r="CQ37" s="117"/>
    </row>
    <row r="38" ht="15.75" customHeight="1">
      <c r="C38" s="115" t="s">
        <v>85</v>
      </c>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ht="15.75" customHeight="1" outlineLevel="1">
      <c r="C39" s="129"/>
      <c r="D39" s="247"/>
      <c r="E39" s="247"/>
      <c r="F39" s="247"/>
      <c r="G39" s="247"/>
      <c r="H39" s="247"/>
      <c r="I39" s="247"/>
      <c r="J39" s="247"/>
      <c r="K39" s="247"/>
      <c r="L39" s="247"/>
      <c r="M39" s="247"/>
      <c r="N39" s="24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7"/>
      <c r="BU39" s="117"/>
      <c r="BV39" s="117"/>
      <c r="BW39" s="117"/>
      <c r="BX39" s="117"/>
      <c r="BY39" s="117"/>
      <c r="BZ39" s="117"/>
      <c r="CA39" s="117"/>
      <c r="CB39" s="117"/>
      <c r="CC39" s="117"/>
      <c r="CD39" s="117"/>
      <c r="CE39" s="117"/>
      <c r="CF39" s="117"/>
      <c r="CG39" s="117"/>
      <c r="CH39" s="117"/>
      <c r="CI39" s="117"/>
    </row>
    <row r="40" ht="15.75" customHeight="1" outlineLevel="1">
      <c r="C40" s="257" t="s">
        <v>802</v>
      </c>
      <c r="D40" s="247">
        <f>Revenue!C7</f>
        <v>157989</v>
      </c>
      <c r="E40" s="247">
        <f>Revenue!D7</f>
        <v>262015</v>
      </c>
      <c r="F40" s="247">
        <f>Revenue!E7</f>
        <v>239919</v>
      </c>
      <c r="G40" s="247">
        <f>Revenue!F7</f>
        <v>246852</v>
      </c>
      <c r="H40" s="247">
        <f>Revenue!G7</f>
        <v>168753</v>
      </c>
      <c r="I40" s="247">
        <f>Revenue!H7</f>
        <v>219427</v>
      </c>
      <c r="J40" s="247">
        <f>Revenue!I7</f>
        <v>179883</v>
      </c>
      <c r="K40" s="247">
        <f>Revenue!J7</f>
        <v>165543</v>
      </c>
      <c r="L40" s="247">
        <f>Revenue!K7</f>
        <v>227180</v>
      </c>
      <c r="M40" s="247">
        <f>Revenue!L7</f>
        <v>259006</v>
      </c>
      <c r="N40" s="247">
        <f>Revenue!M7</f>
        <v>234471</v>
      </c>
      <c r="O40" s="247">
        <f>Revenue!N7</f>
        <v>265758</v>
      </c>
      <c r="P40" s="247">
        <f>Revenue!O7</f>
        <v>231341</v>
      </c>
      <c r="Q40" s="247">
        <f>Revenue!P7</f>
        <v>219777</v>
      </c>
      <c r="R40" s="247">
        <f>Revenue!Q7</f>
        <v>140531</v>
      </c>
      <c r="S40" s="247">
        <f>Revenue!R7</f>
        <v>172522</v>
      </c>
      <c r="T40" s="247">
        <f>Revenue!S7</f>
        <v>167953</v>
      </c>
      <c r="U40" s="247">
        <f>Revenue!T7</f>
        <v>183441</v>
      </c>
      <c r="V40" s="247">
        <f>Revenue!U7</f>
        <v>128542</v>
      </c>
      <c r="W40" s="247">
        <v>533767.0</v>
      </c>
      <c r="X40" s="247">
        <v>531367.0</v>
      </c>
      <c r="Y40" s="247">
        <v>525342.0</v>
      </c>
      <c r="Z40" s="247">
        <f>Revenue!Y7</f>
        <v>185698</v>
      </c>
      <c r="AA40" s="117">
        <f>Revenue!Z7</f>
        <v>273479.9044</v>
      </c>
      <c r="AB40" s="117">
        <f>Revenue!AA7</f>
        <v>333775.5366</v>
      </c>
      <c r="AC40" s="117">
        <f>Revenue!AB7</f>
        <v>396850.6096</v>
      </c>
      <c r="AD40" s="117">
        <f>Revenue!AC7</f>
        <v>456755.2775</v>
      </c>
      <c r="AE40" s="117">
        <f>Revenue!AD7</f>
        <v>516926.4202</v>
      </c>
      <c r="AF40" s="117">
        <f>Revenue!AE7</f>
        <v>576580.2861</v>
      </c>
      <c r="AG40" s="117">
        <f>Revenue!AF7</f>
        <v>635351.6453</v>
      </c>
      <c r="AH40" s="117">
        <f>Revenue!AG7</f>
        <v>689760.3533</v>
      </c>
      <c r="AI40" s="117">
        <f>Revenue!AH7</f>
        <v>741903.5395</v>
      </c>
      <c r="AJ40" s="117">
        <f>Revenue!AI7</f>
        <v>792652.34</v>
      </c>
      <c r="AK40" s="117">
        <f>Revenue!AJ7</f>
        <v>837160.0566</v>
      </c>
      <c r="AL40" s="117">
        <f>Revenue!AK7</f>
        <v>883691.7047</v>
      </c>
      <c r="AM40" s="117">
        <f>Revenue!AL7</f>
        <v>930090.3147</v>
      </c>
      <c r="AN40" s="117">
        <f>Revenue!AM7</f>
        <v>963108.0723</v>
      </c>
      <c r="AO40" s="117">
        <f>Revenue!AN7</f>
        <v>969388.3742</v>
      </c>
      <c r="AP40" s="117">
        <f>Revenue!AO7</f>
        <v>984545.4786</v>
      </c>
      <c r="AQ40" s="117">
        <f>Revenue!AP7</f>
        <v>1002925.257</v>
      </c>
      <c r="AR40" s="117">
        <f>Revenue!AQ7</f>
        <v>1021443.071</v>
      </c>
      <c r="AS40" s="117">
        <f>Revenue!AR7</f>
        <v>1039992.013</v>
      </c>
      <c r="AT40" s="117">
        <f>Revenue!AS7</f>
        <v>1058038.469</v>
      </c>
      <c r="AU40" s="117">
        <f>Revenue!AT7</f>
        <v>1075720.438</v>
      </c>
      <c r="AV40" s="117">
        <f>Revenue!AU7</f>
        <v>1093077.647</v>
      </c>
      <c r="AW40" s="117">
        <f>Revenue!AV7</f>
        <v>1110134.187</v>
      </c>
      <c r="AX40" s="117">
        <f>Revenue!AW7</f>
        <v>1126910.942</v>
      </c>
      <c r="AY40" s="117">
        <f>Revenue!AX7</f>
        <v>1143427.508</v>
      </c>
      <c r="AZ40" s="117">
        <f>Revenue!AY7</f>
        <v>1169957.427</v>
      </c>
      <c r="BA40" s="117">
        <f>Revenue!AZ7</f>
        <v>1196178.47</v>
      </c>
      <c r="BB40" s="117">
        <f>Revenue!BA7</f>
        <v>1221737.596</v>
      </c>
      <c r="BC40" s="117">
        <f>Revenue!BB7</f>
        <v>1246810.15</v>
      </c>
      <c r="BD40" s="117">
        <f>Revenue!BC7</f>
        <v>1271442.998</v>
      </c>
      <c r="BE40" s="117">
        <f>Revenue!BD7</f>
        <v>1295662.943</v>
      </c>
      <c r="BF40" s="117">
        <f>Revenue!BE7</f>
        <v>1319493.015</v>
      </c>
      <c r="BG40" s="117">
        <f>Revenue!BF7</f>
        <v>1342954.951</v>
      </c>
      <c r="BH40" s="117">
        <f>Revenue!BG7</f>
        <v>1366069.598</v>
      </c>
      <c r="BI40" s="117">
        <f>Revenue!BH7</f>
        <v>1388856.997</v>
      </c>
      <c r="BJ40" s="117">
        <f>Revenue!BI7</f>
        <v>1411336.429</v>
      </c>
      <c r="BK40" s="117">
        <f>Revenue!BJ7</f>
        <v>1433526.447</v>
      </c>
      <c r="BL40" s="117">
        <f>Revenue!BK7</f>
        <v>1459305.982</v>
      </c>
      <c r="BM40" s="117">
        <f>Revenue!BL7</f>
        <v>1481460.363</v>
      </c>
      <c r="BN40" s="117">
        <f>Revenue!BM7</f>
        <v>1501419.466</v>
      </c>
      <c r="BO40" s="117">
        <f>Revenue!BN7</f>
        <v>1521478.331</v>
      </c>
      <c r="BP40" s="117">
        <f>Revenue!BO7</f>
        <v>1541509.029</v>
      </c>
      <c r="BQ40" s="117">
        <f>Revenue!BP7</f>
        <v>1561503.092</v>
      </c>
      <c r="BR40" s="117">
        <f>Revenue!BQ7</f>
        <v>1581469.747</v>
      </c>
      <c r="BS40" s="117">
        <f>Revenue!BR7</f>
        <v>1601420.673</v>
      </c>
      <c r="BT40" s="117">
        <f>Revenue!BS7</f>
        <v>1621367.72</v>
      </c>
      <c r="BU40" s="117">
        <f>Revenue!BT7</f>
        <v>1641322.582</v>
      </c>
      <c r="BV40" s="117">
        <f>Revenue!BU7</f>
        <v>1661296.766</v>
      </c>
      <c r="BW40" s="117">
        <f>Revenue!BV7</f>
        <v>1681301.595</v>
      </c>
      <c r="BX40" s="117">
        <f>Revenue!BW7</f>
        <v>1703656.174</v>
      </c>
      <c r="BY40" s="117">
        <f>Revenue!BX7</f>
        <v>1717395.503</v>
      </c>
      <c r="BZ40" s="117">
        <f>Revenue!BY7</f>
        <v>1731196.241</v>
      </c>
      <c r="CA40" s="117">
        <f>Revenue!BZ7</f>
        <v>1745358.099</v>
      </c>
      <c r="CB40" s="117">
        <f>Revenue!CA7</f>
        <v>1759439.834</v>
      </c>
      <c r="CC40" s="117">
        <f>Revenue!CB7</f>
        <v>1773388.798</v>
      </c>
      <c r="CD40" s="117">
        <f>Revenue!CC7</f>
        <v>1787210.066</v>
      </c>
      <c r="CE40" s="117">
        <f>Revenue!CD7</f>
        <v>1800916.819</v>
      </c>
      <c r="CF40" s="117">
        <f>Revenue!CE7</f>
        <v>1814522.936</v>
      </c>
      <c r="CG40" s="117">
        <f>Revenue!CF7</f>
        <v>1828041.899</v>
      </c>
      <c r="CH40" s="117">
        <f>Revenue!CG7</f>
        <v>1841486.653</v>
      </c>
      <c r="CI40" s="117">
        <f>Revenue!CH7</f>
        <v>1854869.607</v>
      </c>
      <c r="CL40" s="117">
        <f>SUM(D40:G40)</f>
        <v>906775</v>
      </c>
      <c r="CM40" s="117">
        <f>SUM(H40:K40)</f>
        <v>733606</v>
      </c>
      <c r="CN40" s="117">
        <f>SUM(L40:O40)</f>
        <v>986415</v>
      </c>
      <c r="CO40" s="117">
        <f>SUM(P40:S40)</f>
        <v>764171</v>
      </c>
      <c r="CP40" s="117">
        <f>SUM(T40:W40)</f>
        <v>1013703</v>
      </c>
      <c r="CQ40" s="117">
        <f>SUM(X40:AA40)</f>
        <v>1515886.904</v>
      </c>
    </row>
    <row r="41" ht="15.75" customHeight="1" outlineLevel="1">
      <c r="A41" s="122"/>
      <c r="B41" s="122"/>
      <c r="C41" s="515" t="s">
        <v>799</v>
      </c>
      <c r="D41" s="260">
        <f t="shared" ref="D41:CI41" si="39">D40/D$5</f>
        <v>0.2043440358</v>
      </c>
      <c r="E41" s="260">
        <f t="shared" si="39"/>
        <v>0.2783183312</v>
      </c>
      <c r="F41" s="260">
        <f t="shared" si="39"/>
        <v>0.2685201559</v>
      </c>
      <c r="G41" s="260">
        <f t="shared" si="39"/>
        <v>0.2347731559</v>
      </c>
      <c r="H41" s="260">
        <f t="shared" si="39"/>
        <v>0.1885137671</v>
      </c>
      <c r="I41" s="260">
        <f t="shared" si="39"/>
        <v>0.2258255409</v>
      </c>
      <c r="J41" s="260">
        <f t="shared" si="39"/>
        <v>0.2221057466</v>
      </c>
      <c r="K41" s="260">
        <f t="shared" si="39"/>
        <v>0.2128365608</v>
      </c>
      <c r="L41" s="260">
        <f t="shared" si="39"/>
        <v>0.2705519054</v>
      </c>
      <c r="M41" s="260">
        <f t="shared" si="39"/>
        <v>0.2888544899</v>
      </c>
      <c r="N41" s="260">
        <f t="shared" si="39"/>
        <v>0.2687599293</v>
      </c>
      <c r="O41" s="260">
        <f t="shared" si="39"/>
        <v>0.2644652936</v>
      </c>
      <c r="P41" s="260">
        <f t="shared" si="39"/>
        <v>0.2048942719</v>
      </c>
      <c r="Q41" s="260">
        <f t="shared" si="39"/>
        <v>0.2260929053</v>
      </c>
      <c r="R41" s="260">
        <f t="shared" si="39"/>
        <v>0.1319289675</v>
      </c>
      <c r="S41" s="260">
        <f t="shared" si="39"/>
        <v>0.1480906044</v>
      </c>
      <c r="T41" s="260">
        <f t="shared" si="39"/>
        <v>0.1471703404</v>
      </c>
      <c r="U41" s="260">
        <f t="shared" si="39"/>
        <v>0.1787255062</v>
      </c>
      <c r="V41" s="260">
        <f t="shared" si="39"/>
        <v>0.1185328492</v>
      </c>
      <c r="W41" s="260">
        <f t="shared" si="39"/>
        <v>0.4163744013</v>
      </c>
      <c r="X41" s="260">
        <f t="shared" si="39"/>
        <v>0.4412269761</v>
      </c>
      <c r="Y41" s="260">
        <f t="shared" si="39"/>
        <v>0.4881716353</v>
      </c>
      <c r="Z41" s="260">
        <f t="shared" si="39"/>
        <v>0.1720963639</v>
      </c>
      <c r="AA41" s="122">
        <f t="shared" si="39"/>
        <v>0.1931640869</v>
      </c>
      <c r="AB41" s="122">
        <f t="shared" si="39"/>
        <v>0.2001704741</v>
      </c>
      <c r="AC41" s="122">
        <f t="shared" si="39"/>
        <v>0.2071067748</v>
      </c>
      <c r="AD41" s="122">
        <f t="shared" si="39"/>
        <v>0.2130460071</v>
      </c>
      <c r="AE41" s="122">
        <f t="shared" si="39"/>
        <v>0.2188483236</v>
      </c>
      <c r="AF41" s="122">
        <f t="shared" si="39"/>
        <v>0.2235904706</v>
      </c>
      <c r="AG41" s="122">
        <f t="shared" si="39"/>
        <v>0.2271778448</v>
      </c>
      <c r="AH41" s="122">
        <f t="shared" si="39"/>
        <v>0.2304414541</v>
      </c>
      <c r="AI41" s="122">
        <f t="shared" si="39"/>
        <v>0.2328696043</v>
      </c>
      <c r="AJ41" s="122">
        <f t="shared" si="39"/>
        <v>0.2348885759</v>
      </c>
      <c r="AK41" s="122">
        <f t="shared" si="39"/>
        <v>0.2358211843</v>
      </c>
      <c r="AL41" s="122">
        <f t="shared" si="39"/>
        <v>0.2373171226</v>
      </c>
      <c r="AM41" s="122">
        <f t="shared" si="39"/>
        <v>0.2385117415</v>
      </c>
      <c r="AN41" s="122">
        <f t="shared" si="39"/>
        <v>0.2364431282</v>
      </c>
      <c r="AO41" s="122">
        <f t="shared" si="39"/>
        <v>0.2361905306</v>
      </c>
      <c r="AP41" s="122">
        <f t="shared" si="39"/>
        <v>0.237374147</v>
      </c>
      <c r="AQ41" s="122">
        <f t="shared" si="39"/>
        <v>0.2385706238</v>
      </c>
      <c r="AR41" s="122">
        <f t="shared" si="39"/>
        <v>0.2395729863</v>
      </c>
      <c r="AS41" s="122">
        <f t="shared" si="39"/>
        <v>0.240421915</v>
      </c>
      <c r="AT41" s="122">
        <f t="shared" si="39"/>
        <v>0.2411695966</v>
      </c>
      <c r="AU41" s="122">
        <f t="shared" si="39"/>
        <v>0.2411246813</v>
      </c>
      <c r="AV41" s="122">
        <f t="shared" si="39"/>
        <v>0.2417720074</v>
      </c>
      <c r="AW41" s="122">
        <f t="shared" si="39"/>
        <v>0.2423817413</v>
      </c>
      <c r="AX41" s="122">
        <f t="shared" si="39"/>
        <v>0.2429583731</v>
      </c>
      <c r="AY41" s="122">
        <f t="shared" si="39"/>
        <v>0.2435055557</v>
      </c>
      <c r="AZ41" s="122">
        <f t="shared" si="39"/>
        <v>0.2426928692</v>
      </c>
      <c r="BA41" s="122">
        <f t="shared" si="39"/>
        <v>0.2433801555</v>
      </c>
      <c r="BB41" s="122">
        <f t="shared" si="39"/>
        <v>0.244050855</v>
      </c>
      <c r="BC41" s="122">
        <f t="shared" si="39"/>
        <v>0.2447147907</v>
      </c>
      <c r="BD41" s="122">
        <f t="shared" si="39"/>
        <v>0.2453652822</v>
      </c>
      <c r="BE41" s="122">
        <f t="shared" si="39"/>
        <v>0.2459980369</v>
      </c>
      <c r="BF41" s="122">
        <f t="shared" si="39"/>
        <v>0.2466107172</v>
      </c>
      <c r="BG41" s="122">
        <f t="shared" si="39"/>
        <v>0.247202254</v>
      </c>
      <c r="BH41" s="122">
        <f t="shared" si="39"/>
        <v>0.2477723909</v>
      </c>
      <c r="BI41" s="122">
        <f t="shared" si="39"/>
        <v>0.2483213943</v>
      </c>
      <c r="BJ41" s="122">
        <f t="shared" si="39"/>
        <v>0.2488498642</v>
      </c>
      <c r="BK41" s="122">
        <f t="shared" si="39"/>
        <v>0.2493586068</v>
      </c>
      <c r="BL41" s="122">
        <f t="shared" si="39"/>
        <v>0.2489967817</v>
      </c>
      <c r="BM41" s="122">
        <f t="shared" si="39"/>
        <v>0.2490857112</v>
      </c>
      <c r="BN41" s="122">
        <f t="shared" si="39"/>
        <v>0.2491466175</v>
      </c>
      <c r="BO41" s="122">
        <f t="shared" si="39"/>
        <v>0.2492857685</v>
      </c>
      <c r="BP41" s="122">
        <f t="shared" si="39"/>
        <v>0.2494322979</v>
      </c>
      <c r="BQ41" s="122">
        <f t="shared" si="39"/>
        <v>0.2495834308</v>
      </c>
      <c r="BR41" s="122">
        <f t="shared" si="39"/>
        <v>0.2497384774</v>
      </c>
      <c r="BS41" s="122">
        <f t="shared" si="39"/>
        <v>0.2498972263</v>
      </c>
      <c r="BT41" s="122">
        <f t="shared" si="39"/>
        <v>0.2500595996</v>
      </c>
      <c r="BU41" s="122">
        <f t="shared" si="39"/>
        <v>0.2502255639</v>
      </c>
      <c r="BV41" s="122">
        <f t="shared" si="39"/>
        <v>0.2503951033</v>
      </c>
      <c r="BW41" s="122">
        <f t="shared" si="39"/>
        <v>0.2505682096</v>
      </c>
      <c r="BX41" s="122">
        <f t="shared" si="39"/>
        <v>0.2500644374</v>
      </c>
      <c r="BY41" s="122">
        <f t="shared" si="39"/>
        <v>0.2503137699</v>
      </c>
      <c r="BZ41" s="122">
        <f t="shared" si="39"/>
        <v>0.2506455487</v>
      </c>
      <c r="CA41" s="122">
        <f t="shared" si="39"/>
        <v>0.2509382641</v>
      </c>
      <c r="CB41" s="122">
        <f t="shared" si="39"/>
        <v>0.2511653684</v>
      </c>
      <c r="CC41" s="122">
        <f t="shared" si="39"/>
        <v>0.2513474928</v>
      </c>
      <c r="CD41" s="122">
        <f t="shared" si="39"/>
        <v>0.2514974118</v>
      </c>
      <c r="CE41" s="122">
        <f t="shared" si="39"/>
        <v>0.251623299</v>
      </c>
      <c r="CF41" s="122">
        <f t="shared" si="39"/>
        <v>0.2517307586</v>
      </c>
      <c r="CG41" s="122">
        <f t="shared" si="39"/>
        <v>0.2518238412</v>
      </c>
      <c r="CH41" s="122">
        <f t="shared" si="39"/>
        <v>0.251905574</v>
      </c>
      <c r="CI41" s="122">
        <f t="shared" si="39"/>
        <v>0.2519782678</v>
      </c>
      <c r="CJ41" s="122"/>
      <c r="CK41" s="122"/>
      <c r="CL41" s="122">
        <f t="shared" ref="CL41:CQ41" si="40">CL40/CL$5</f>
        <v>0.2477859735</v>
      </c>
      <c r="CM41" s="122">
        <f t="shared" si="40"/>
        <v>0.2123603357</v>
      </c>
      <c r="CN41" s="122">
        <f t="shared" si="40"/>
        <v>0.2729681766</v>
      </c>
      <c r="CO41" s="122">
        <f t="shared" si="40"/>
        <v>0.176429207</v>
      </c>
      <c r="CP41" s="122">
        <f t="shared" si="40"/>
        <v>0.2235790137</v>
      </c>
      <c r="CQ41" s="122">
        <f t="shared" si="40"/>
        <v>0.3174458326</v>
      </c>
    </row>
    <row r="42" ht="15.75" customHeight="1" outlineLevel="1">
      <c r="C42" s="129"/>
      <c r="D42" s="247"/>
      <c r="E42" s="247"/>
      <c r="F42" s="247"/>
      <c r="G42" s="247"/>
      <c r="H42" s="247"/>
      <c r="I42" s="247"/>
      <c r="J42" s="247"/>
      <c r="K42" s="247"/>
      <c r="L42" s="247"/>
      <c r="M42" s="247"/>
      <c r="N42" s="247"/>
      <c r="O42" s="24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117"/>
      <c r="BS42" s="117"/>
      <c r="BT42" s="117"/>
      <c r="BU42" s="117"/>
      <c r="BV42" s="117"/>
      <c r="BW42" s="117"/>
      <c r="BX42" s="117"/>
      <c r="BY42" s="117"/>
      <c r="BZ42" s="117"/>
      <c r="CA42" s="117"/>
      <c r="CB42" s="117"/>
      <c r="CC42" s="117"/>
      <c r="CD42" s="117"/>
      <c r="CE42" s="117"/>
      <c r="CF42" s="117"/>
      <c r="CG42" s="117"/>
      <c r="CH42" s="117"/>
      <c r="CI42" s="117"/>
      <c r="CL42" s="117"/>
      <c r="CM42" s="117"/>
      <c r="CN42" s="117"/>
      <c r="CO42" s="117"/>
      <c r="CP42" s="117"/>
      <c r="CQ42" s="117"/>
    </row>
    <row r="43" ht="15.75" customHeight="1" outlineLevel="1">
      <c r="A43" s="1" t="s">
        <v>85</v>
      </c>
      <c r="B43" s="91" t="s">
        <v>63</v>
      </c>
      <c r="C43" s="132" t="s">
        <v>206</v>
      </c>
      <c r="D43" s="247">
        <f t="shared" ref="D43:Z43" si="41">RANDBETWEEN(0,5000)</f>
        <v>195</v>
      </c>
      <c r="E43" s="247">
        <f t="shared" si="41"/>
        <v>1138</v>
      </c>
      <c r="F43" s="247">
        <f t="shared" si="41"/>
        <v>1732</v>
      </c>
      <c r="G43" s="247">
        <f t="shared" si="41"/>
        <v>230</v>
      </c>
      <c r="H43" s="247">
        <f t="shared" si="41"/>
        <v>2524</v>
      </c>
      <c r="I43" s="247">
        <f t="shared" si="41"/>
        <v>1813</v>
      </c>
      <c r="J43" s="247">
        <f t="shared" si="41"/>
        <v>389</v>
      </c>
      <c r="K43" s="247">
        <f t="shared" si="41"/>
        <v>2689</v>
      </c>
      <c r="L43" s="247">
        <f t="shared" si="41"/>
        <v>4746</v>
      </c>
      <c r="M43" s="247">
        <f t="shared" si="41"/>
        <v>128</v>
      </c>
      <c r="N43" s="247">
        <f t="shared" si="41"/>
        <v>1994</v>
      </c>
      <c r="O43" s="247">
        <f t="shared" si="41"/>
        <v>3772</v>
      </c>
      <c r="P43" s="247">
        <f t="shared" si="41"/>
        <v>550</v>
      </c>
      <c r="Q43" s="247">
        <f t="shared" si="41"/>
        <v>3303</v>
      </c>
      <c r="R43" s="247">
        <f t="shared" si="41"/>
        <v>4674</v>
      </c>
      <c r="S43" s="247">
        <f t="shared" si="41"/>
        <v>2186</v>
      </c>
      <c r="T43" s="247">
        <f t="shared" si="41"/>
        <v>1026</v>
      </c>
      <c r="U43" s="247">
        <f t="shared" si="41"/>
        <v>3227</v>
      </c>
      <c r="V43" s="247">
        <f t="shared" si="41"/>
        <v>4391</v>
      </c>
      <c r="W43" s="247">
        <f t="shared" si="41"/>
        <v>2432</v>
      </c>
      <c r="X43" s="247">
        <f t="shared" si="41"/>
        <v>4058</v>
      </c>
      <c r="Y43" s="247">
        <f t="shared" si="41"/>
        <v>3430</v>
      </c>
      <c r="Z43" s="247">
        <f t="shared" si="41"/>
        <v>219</v>
      </c>
      <c r="AA43" s="116">
        <f>Headcount!S79</f>
        <v>15219</v>
      </c>
      <c r="AB43" s="116">
        <f>Headcount!T79</f>
        <v>36703.855</v>
      </c>
      <c r="AC43" s="116">
        <f>Headcount!U79</f>
        <v>41903.855</v>
      </c>
      <c r="AD43" s="116">
        <f>Headcount!V79</f>
        <v>47103.855</v>
      </c>
      <c r="AE43" s="116">
        <f>Headcount!W79</f>
        <v>52303.855</v>
      </c>
      <c r="AF43" s="116">
        <f>Headcount!X79</f>
        <v>54657.52848</v>
      </c>
      <c r="AG43" s="116">
        <f>Headcount!Y79</f>
        <v>54657.52848</v>
      </c>
      <c r="AH43" s="116">
        <f>Headcount!Z79</f>
        <v>54657.52848</v>
      </c>
      <c r="AI43" s="116">
        <f>Headcount!AA79</f>
        <v>54657.52848</v>
      </c>
      <c r="AJ43" s="116">
        <f>Headcount!AB79</f>
        <v>57117.11726</v>
      </c>
      <c r="AK43" s="116">
        <f>Headcount!AC79</f>
        <v>57117.11726</v>
      </c>
      <c r="AL43" s="116">
        <f>Headcount!AD79</f>
        <v>57117.11726</v>
      </c>
      <c r="AM43" s="116">
        <f>Headcount!AE79</f>
        <v>57117.11726</v>
      </c>
      <c r="AN43" s="116">
        <f>Headcount!AF79</f>
        <v>59401.80195</v>
      </c>
      <c r="AO43" s="116">
        <f>Headcount!AG79</f>
        <v>59401.80195</v>
      </c>
      <c r="AP43" s="116">
        <f>Headcount!AH79</f>
        <v>59401.80195</v>
      </c>
      <c r="AQ43" s="116">
        <f>Headcount!AI79</f>
        <v>59401.80195</v>
      </c>
      <c r="AR43" s="116">
        <f>Headcount!AJ79</f>
        <v>61777.87402</v>
      </c>
      <c r="AS43" s="116">
        <f>Headcount!AK79</f>
        <v>61777.87402</v>
      </c>
      <c r="AT43" s="116">
        <f>Headcount!AL79</f>
        <v>61777.87402</v>
      </c>
      <c r="AU43" s="116">
        <f>Headcount!AM79</f>
        <v>61777.87402</v>
      </c>
      <c r="AV43" s="116">
        <f>Headcount!AN79</f>
        <v>64248.98899</v>
      </c>
      <c r="AW43" s="116">
        <f>Headcount!AO79</f>
        <v>64248.98899</v>
      </c>
      <c r="AX43" s="116">
        <f>Headcount!AP79</f>
        <v>64248.98899</v>
      </c>
      <c r="AY43" s="116">
        <f>Headcount!AQ79</f>
        <v>64248.98899</v>
      </c>
      <c r="AZ43" s="116">
        <f>Headcount!AR79</f>
        <v>66818.94854</v>
      </c>
      <c r="BA43" s="116">
        <f>Headcount!AS79</f>
        <v>66818.94854</v>
      </c>
      <c r="BB43" s="116">
        <f>Headcount!AT79</f>
        <v>66818.94854</v>
      </c>
      <c r="BC43" s="116">
        <f>Headcount!AU79</f>
        <v>66818.94854</v>
      </c>
      <c r="BD43" s="116">
        <f>Headcount!AV79</f>
        <v>69491.70649</v>
      </c>
      <c r="BE43" s="116">
        <f>Headcount!AW79</f>
        <v>69491.70649</v>
      </c>
      <c r="BF43" s="116">
        <f>Headcount!AX79</f>
        <v>69491.70649</v>
      </c>
      <c r="BG43" s="116">
        <f>Headcount!AY79</f>
        <v>69491.70649</v>
      </c>
      <c r="BH43" s="116">
        <f>Headcount!AZ79</f>
        <v>72271.37475</v>
      </c>
      <c r="BI43" s="116">
        <f>Headcount!BA79</f>
        <v>72271.37475</v>
      </c>
      <c r="BJ43" s="116">
        <f>Headcount!BB79</f>
        <v>72271.37475</v>
      </c>
      <c r="BK43" s="116">
        <f>Headcount!BC79</f>
        <v>84924.56493</v>
      </c>
      <c r="BL43" s="116">
        <f>Headcount!BD79</f>
        <v>88321.54753</v>
      </c>
      <c r="BM43" s="116">
        <f>Headcount!BE79</f>
        <v>127799.5009</v>
      </c>
      <c r="BN43" s="116">
        <f>Headcount!BF79</f>
        <v>147538.4776</v>
      </c>
      <c r="BO43" s="116">
        <f>Headcount!BG79</f>
        <v>154118.1365</v>
      </c>
      <c r="BP43" s="116">
        <f>Headcount!BH79</f>
        <v>160282.8619</v>
      </c>
      <c r="BQ43" s="116">
        <f>Headcount!BI79</f>
        <v>160282.8619</v>
      </c>
      <c r="BR43" s="116">
        <f>Headcount!BJ79</f>
        <v>173968.5525</v>
      </c>
      <c r="BS43" s="116">
        <f>Headcount!BK79</f>
        <v>194497.0882</v>
      </c>
      <c r="BT43" s="116">
        <f>Headcount!BL79</f>
        <v>202276.9717</v>
      </c>
      <c r="BU43" s="116">
        <f>Headcount!BM79</f>
        <v>202276.9717</v>
      </c>
      <c r="BV43" s="116">
        <f>Headcount!BN79</f>
        <v>215962.6622</v>
      </c>
      <c r="BW43" s="116">
        <f>Headcount!BO79</f>
        <v>215962.6622</v>
      </c>
      <c r="BX43" s="116">
        <f>Headcount!BP79</f>
        <v>224601.1687</v>
      </c>
      <c r="BY43" s="116">
        <f>Headcount!BQ79</f>
        <v>224601.1687</v>
      </c>
      <c r="BZ43" s="116">
        <f>Headcount!BR79</f>
        <v>224601.1687</v>
      </c>
      <c r="CA43" s="116">
        <f>Headcount!BS79</f>
        <v>224601.1687</v>
      </c>
      <c r="CB43" s="116">
        <f>Headcount!BT79</f>
        <v>233585.2155</v>
      </c>
      <c r="CC43" s="116">
        <f>Headcount!BU79</f>
        <v>247818.3336</v>
      </c>
      <c r="CD43" s="116">
        <f>Headcount!BV79</f>
        <v>254934.8927</v>
      </c>
      <c r="CE43" s="116">
        <f>Headcount!BW79</f>
        <v>254934.8927</v>
      </c>
      <c r="CF43" s="116">
        <f>Headcount!BX79</f>
        <v>265132.2884</v>
      </c>
      <c r="CG43" s="116">
        <f>Headcount!BY79</f>
        <v>265132.2884</v>
      </c>
      <c r="CH43" s="116">
        <f>Headcount!BZ79</f>
        <v>279365.4065</v>
      </c>
      <c r="CI43" s="116">
        <f>Headcount!CA79</f>
        <v>279365.4065</v>
      </c>
      <c r="CL43" s="117">
        <f t="shared" ref="CL43:CL54" si="43">SUM(D43:G43)</f>
        <v>3295</v>
      </c>
      <c r="CM43" s="117">
        <f t="shared" ref="CM43:CM54" si="44">SUM(H43:K43)</f>
        <v>7415</v>
      </c>
      <c r="CN43" s="117">
        <f t="shared" ref="CN43:CN54" si="45">SUM(L43:O43)</f>
        <v>10640</v>
      </c>
      <c r="CO43" s="117">
        <f t="shared" ref="CO43:CO54" si="46">SUM(P43:S43)</f>
        <v>10713</v>
      </c>
      <c r="CP43" s="117">
        <f t="shared" ref="CP43:CP54" si="47">SUM(T43:W43)</f>
        <v>11076</v>
      </c>
      <c r="CQ43" s="117">
        <f t="shared" ref="CQ43:CQ54" si="48">SUM(X43:AA43)</f>
        <v>22926</v>
      </c>
    </row>
    <row r="44" ht="15.75" customHeight="1" outlineLevel="1">
      <c r="A44" s="1" t="s">
        <v>85</v>
      </c>
      <c r="B44" s="91" t="s">
        <v>63</v>
      </c>
      <c r="C44" s="132" t="s">
        <v>207</v>
      </c>
      <c r="D44" s="247">
        <f t="shared" ref="D44:Z44" si="42">RANDBETWEEN(0,5000)</f>
        <v>1998</v>
      </c>
      <c r="E44" s="247">
        <f t="shared" si="42"/>
        <v>333</v>
      </c>
      <c r="F44" s="247">
        <f t="shared" si="42"/>
        <v>2581</v>
      </c>
      <c r="G44" s="247">
        <f t="shared" si="42"/>
        <v>55</v>
      </c>
      <c r="H44" s="247">
        <f t="shared" si="42"/>
        <v>3208</v>
      </c>
      <c r="I44" s="247">
        <f t="shared" si="42"/>
        <v>1445</v>
      </c>
      <c r="J44" s="247">
        <f t="shared" si="42"/>
        <v>2518</v>
      </c>
      <c r="K44" s="247">
        <f t="shared" si="42"/>
        <v>3384</v>
      </c>
      <c r="L44" s="247">
        <f t="shared" si="42"/>
        <v>3706</v>
      </c>
      <c r="M44" s="247">
        <f t="shared" si="42"/>
        <v>3150</v>
      </c>
      <c r="N44" s="247">
        <f t="shared" si="42"/>
        <v>3802</v>
      </c>
      <c r="O44" s="247">
        <f t="shared" si="42"/>
        <v>301</v>
      </c>
      <c r="P44" s="247">
        <f t="shared" si="42"/>
        <v>1088</v>
      </c>
      <c r="Q44" s="247">
        <f t="shared" si="42"/>
        <v>1696</v>
      </c>
      <c r="R44" s="247">
        <f t="shared" si="42"/>
        <v>2804</v>
      </c>
      <c r="S44" s="247">
        <f t="shared" si="42"/>
        <v>242</v>
      </c>
      <c r="T44" s="247">
        <f t="shared" si="42"/>
        <v>2789</v>
      </c>
      <c r="U44" s="247">
        <f t="shared" si="42"/>
        <v>1343</v>
      </c>
      <c r="V44" s="247">
        <f t="shared" si="42"/>
        <v>160</v>
      </c>
      <c r="W44" s="247">
        <f t="shared" si="42"/>
        <v>3699</v>
      </c>
      <c r="X44" s="247">
        <f t="shared" si="42"/>
        <v>409</v>
      </c>
      <c r="Y44" s="247">
        <f t="shared" si="42"/>
        <v>318</v>
      </c>
      <c r="Z44" s="247">
        <f t="shared" si="42"/>
        <v>4531</v>
      </c>
      <c r="AA44" s="117">
        <f>Headcount!S162</f>
        <v>10000</v>
      </c>
      <c r="AB44" s="117">
        <f>Headcount!T162</f>
        <v>15000</v>
      </c>
      <c r="AC44" s="117">
        <f>Headcount!U162</f>
        <v>15000</v>
      </c>
      <c r="AD44" s="117">
        <f>Headcount!V162</f>
        <v>15000</v>
      </c>
      <c r="AE44" s="117">
        <f>Headcount!W162</f>
        <v>15000</v>
      </c>
      <c r="AF44" s="117">
        <f>Headcount!X162</f>
        <v>15000</v>
      </c>
      <c r="AG44" s="117">
        <f>Headcount!Y162</f>
        <v>15000</v>
      </c>
      <c r="AH44" s="117">
        <f>Headcount!Z162</f>
        <v>20000</v>
      </c>
      <c r="AI44" s="117">
        <f>Headcount!AA162</f>
        <v>20000</v>
      </c>
      <c r="AJ44" s="117">
        <f>Headcount!AB162</f>
        <v>20000</v>
      </c>
      <c r="AK44" s="117">
        <f>Headcount!AC162</f>
        <v>20000</v>
      </c>
      <c r="AL44" s="117">
        <f>Headcount!AD162</f>
        <v>20000</v>
      </c>
      <c r="AM44" s="117">
        <f>Headcount!AE162</f>
        <v>20000</v>
      </c>
      <c r="AN44" s="117">
        <f>Headcount!AF162</f>
        <v>25000</v>
      </c>
      <c r="AO44" s="117">
        <f>Headcount!AG162</f>
        <v>25000</v>
      </c>
      <c r="AP44" s="117">
        <f>Headcount!AH162</f>
        <v>25000</v>
      </c>
      <c r="AQ44" s="117">
        <f>Headcount!AI162</f>
        <v>25000</v>
      </c>
      <c r="AR44" s="117">
        <f>Headcount!AJ162</f>
        <v>25000</v>
      </c>
      <c r="AS44" s="117">
        <f>Headcount!AK162</f>
        <v>25000</v>
      </c>
      <c r="AT44" s="117">
        <f>Headcount!AL162</f>
        <v>30000</v>
      </c>
      <c r="AU44" s="117">
        <f>Headcount!AM162</f>
        <v>30000</v>
      </c>
      <c r="AV44" s="117">
        <f>Headcount!AN162</f>
        <v>30000</v>
      </c>
      <c r="AW44" s="117">
        <f>Headcount!AO162</f>
        <v>30000</v>
      </c>
      <c r="AX44" s="117">
        <f>Headcount!AP162</f>
        <v>30000</v>
      </c>
      <c r="AY44" s="117">
        <f>Headcount!AQ162</f>
        <v>30000</v>
      </c>
      <c r="AZ44" s="117">
        <f>Headcount!AR162</f>
        <v>30000</v>
      </c>
      <c r="BA44" s="117">
        <f>Headcount!AS162</f>
        <v>30000</v>
      </c>
      <c r="BB44" s="117">
        <f>Headcount!AT162</f>
        <v>30000</v>
      </c>
      <c r="BC44" s="117">
        <f>Headcount!AU162</f>
        <v>30000</v>
      </c>
      <c r="BD44" s="117">
        <f>Headcount!AV162</f>
        <v>30000</v>
      </c>
      <c r="BE44" s="117">
        <f>Headcount!AW162</f>
        <v>30000</v>
      </c>
      <c r="BF44" s="117">
        <f>Headcount!AX162</f>
        <v>30000</v>
      </c>
      <c r="BG44" s="117">
        <f>Headcount!AY162</f>
        <v>30000</v>
      </c>
      <c r="BH44" s="117">
        <f>Headcount!AZ162</f>
        <v>30000</v>
      </c>
      <c r="BI44" s="117">
        <f>Headcount!BA162</f>
        <v>30000</v>
      </c>
      <c r="BJ44" s="117">
        <f>Headcount!BB162</f>
        <v>30000</v>
      </c>
      <c r="BK44" s="117">
        <f>Headcount!BC162</f>
        <v>30000</v>
      </c>
      <c r="BL44" s="117">
        <f>Headcount!BD162</f>
        <v>30000</v>
      </c>
      <c r="BM44" s="117">
        <f>Headcount!BE162</f>
        <v>30000</v>
      </c>
      <c r="BN44" s="117">
        <f>Headcount!BF162</f>
        <v>30000</v>
      </c>
      <c r="BO44" s="117">
        <f>Headcount!BG162</f>
        <v>30000</v>
      </c>
      <c r="BP44" s="117">
        <f>Headcount!BH162</f>
        <v>30000</v>
      </c>
      <c r="BQ44" s="117">
        <f>Headcount!BI162</f>
        <v>30000</v>
      </c>
      <c r="BR44" s="117">
        <f>Headcount!BJ162</f>
        <v>30000</v>
      </c>
      <c r="BS44" s="117">
        <f>Headcount!BK162</f>
        <v>30000</v>
      </c>
      <c r="BT44" s="117">
        <f>Headcount!BL162</f>
        <v>30000</v>
      </c>
      <c r="BU44" s="117">
        <f>Headcount!BM162</f>
        <v>30000</v>
      </c>
      <c r="BV44" s="117">
        <f>Headcount!BN162</f>
        <v>30000</v>
      </c>
      <c r="BW44" s="117">
        <f>Headcount!BO162</f>
        <v>30000</v>
      </c>
      <c r="BX44" s="117">
        <f>Headcount!BP162</f>
        <v>30000</v>
      </c>
      <c r="BY44" s="117">
        <f>Headcount!BQ162</f>
        <v>30000</v>
      </c>
      <c r="BZ44" s="117">
        <f>Headcount!BR162</f>
        <v>30000</v>
      </c>
      <c r="CA44" s="117">
        <f>Headcount!BS162</f>
        <v>30000</v>
      </c>
      <c r="CB44" s="117">
        <f>Headcount!BT162</f>
        <v>30000</v>
      </c>
      <c r="CC44" s="117">
        <f>Headcount!BU162</f>
        <v>30000</v>
      </c>
      <c r="CD44" s="117">
        <f>Headcount!BV162</f>
        <v>30000</v>
      </c>
      <c r="CE44" s="117">
        <f>Headcount!BW162</f>
        <v>30000</v>
      </c>
      <c r="CF44" s="117">
        <f>Headcount!BX162</f>
        <v>30000</v>
      </c>
      <c r="CG44" s="117">
        <f>Headcount!BY162</f>
        <v>30000</v>
      </c>
      <c r="CH44" s="117">
        <f>Headcount!BZ162</f>
        <v>30000</v>
      </c>
      <c r="CI44" s="117">
        <f>Headcount!CA162</f>
        <v>30000</v>
      </c>
      <c r="CL44" s="117">
        <f t="shared" si="43"/>
        <v>4967</v>
      </c>
      <c r="CM44" s="117">
        <f t="shared" si="44"/>
        <v>10555</v>
      </c>
      <c r="CN44" s="117">
        <f t="shared" si="45"/>
        <v>10959</v>
      </c>
      <c r="CO44" s="117">
        <f t="shared" si="46"/>
        <v>5830</v>
      </c>
      <c r="CP44" s="117">
        <f t="shared" si="47"/>
        <v>7991</v>
      </c>
      <c r="CQ44" s="117">
        <f t="shared" si="48"/>
        <v>15258</v>
      </c>
    </row>
    <row r="45" ht="15.75" customHeight="1" outlineLevel="1">
      <c r="B45" s="91"/>
      <c r="C45" s="132" t="s">
        <v>208</v>
      </c>
      <c r="D45" s="514">
        <f t="shared" ref="D45:CI45" si="49">(D43)+(D44)</f>
        <v>2193</v>
      </c>
      <c r="E45" s="514">
        <f t="shared" si="49"/>
        <v>1471</v>
      </c>
      <c r="F45" s="514">
        <f t="shared" si="49"/>
        <v>4313</v>
      </c>
      <c r="G45" s="514">
        <f t="shared" si="49"/>
        <v>285</v>
      </c>
      <c r="H45" s="514">
        <f t="shared" si="49"/>
        <v>5732</v>
      </c>
      <c r="I45" s="514">
        <f t="shared" si="49"/>
        <v>3258</v>
      </c>
      <c r="J45" s="514">
        <f t="shared" si="49"/>
        <v>2907</v>
      </c>
      <c r="K45" s="514">
        <f t="shared" si="49"/>
        <v>6073</v>
      </c>
      <c r="L45" s="514">
        <f t="shared" si="49"/>
        <v>8452</v>
      </c>
      <c r="M45" s="514">
        <f t="shared" si="49"/>
        <v>3278</v>
      </c>
      <c r="N45" s="514">
        <f t="shared" si="49"/>
        <v>5796</v>
      </c>
      <c r="O45" s="514">
        <f t="shared" si="49"/>
        <v>4073</v>
      </c>
      <c r="P45" s="514">
        <f t="shared" si="49"/>
        <v>1638</v>
      </c>
      <c r="Q45" s="514">
        <f t="shared" si="49"/>
        <v>4999</v>
      </c>
      <c r="R45" s="514">
        <f t="shared" si="49"/>
        <v>7478</v>
      </c>
      <c r="S45" s="514">
        <f t="shared" si="49"/>
        <v>2428</v>
      </c>
      <c r="T45" s="514">
        <f t="shared" si="49"/>
        <v>3815</v>
      </c>
      <c r="U45" s="514">
        <f t="shared" si="49"/>
        <v>4570</v>
      </c>
      <c r="V45" s="514">
        <f t="shared" si="49"/>
        <v>4551</v>
      </c>
      <c r="W45" s="514">
        <f t="shared" si="49"/>
        <v>6131</v>
      </c>
      <c r="X45" s="514">
        <f t="shared" si="49"/>
        <v>4467</v>
      </c>
      <c r="Y45" s="514">
        <f t="shared" si="49"/>
        <v>3748</v>
      </c>
      <c r="Z45" s="514">
        <f t="shared" si="49"/>
        <v>4750</v>
      </c>
      <c r="AA45" s="514">
        <f t="shared" si="49"/>
        <v>25219</v>
      </c>
      <c r="AB45" s="514">
        <f t="shared" si="49"/>
        <v>51703.855</v>
      </c>
      <c r="AC45" s="514">
        <f t="shared" si="49"/>
        <v>56903.855</v>
      </c>
      <c r="AD45" s="514">
        <f t="shared" si="49"/>
        <v>62103.855</v>
      </c>
      <c r="AE45" s="514">
        <f t="shared" si="49"/>
        <v>67303.855</v>
      </c>
      <c r="AF45" s="514">
        <f t="shared" si="49"/>
        <v>69657.52848</v>
      </c>
      <c r="AG45" s="514">
        <f t="shared" si="49"/>
        <v>69657.52848</v>
      </c>
      <c r="AH45" s="514">
        <f t="shared" si="49"/>
        <v>74657.52848</v>
      </c>
      <c r="AI45" s="514">
        <f t="shared" si="49"/>
        <v>74657.52848</v>
      </c>
      <c r="AJ45" s="514">
        <f t="shared" si="49"/>
        <v>77117.11726</v>
      </c>
      <c r="AK45" s="514">
        <f t="shared" si="49"/>
        <v>77117.11726</v>
      </c>
      <c r="AL45" s="514">
        <f t="shared" si="49"/>
        <v>77117.11726</v>
      </c>
      <c r="AM45" s="514">
        <f t="shared" si="49"/>
        <v>77117.11726</v>
      </c>
      <c r="AN45" s="514">
        <f t="shared" si="49"/>
        <v>84401.80195</v>
      </c>
      <c r="AO45" s="514">
        <f t="shared" si="49"/>
        <v>84401.80195</v>
      </c>
      <c r="AP45" s="514">
        <f t="shared" si="49"/>
        <v>84401.80195</v>
      </c>
      <c r="AQ45" s="514">
        <f t="shared" si="49"/>
        <v>84401.80195</v>
      </c>
      <c r="AR45" s="514">
        <f t="shared" si="49"/>
        <v>86777.87402</v>
      </c>
      <c r="AS45" s="514">
        <f t="shared" si="49"/>
        <v>86777.87402</v>
      </c>
      <c r="AT45" s="514">
        <f t="shared" si="49"/>
        <v>91777.87402</v>
      </c>
      <c r="AU45" s="514">
        <f t="shared" si="49"/>
        <v>91777.87402</v>
      </c>
      <c r="AV45" s="514">
        <f t="shared" si="49"/>
        <v>94248.98899</v>
      </c>
      <c r="AW45" s="514">
        <f t="shared" si="49"/>
        <v>94248.98899</v>
      </c>
      <c r="AX45" s="514">
        <f t="shared" si="49"/>
        <v>94248.98899</v>
      </c>
      <c r="AY45" s="514">
        <f t="shared" si="49"/>
        <v>94248.98899</v>
      </c>
      <c r="AZ45" s="514">
        <f t="shared" si="49"/>
        <v>96818.94854</v>
      </c>
      <c r="BA45" s="514">
        <f t="shared" si="49"/>
        <v>96818.94854</v>
      </c>
      <c r="BB45" s="514">
        <f t="shared" si="49"/>
        <v>96818.94854</v>
      </c>
      <c r="BC45" s="514">
        <f t="shared" si="49"/>
        <v>96818.94854</v>
      </c>
      <c r="BD45" s="514">
        <f t="shared" si="49"/>
        <v>99491.70649</v>
      </c>
      <c r="BE45" s="514">
        <f t="shared" si="49"/>
        <v>99491.70649</v>
      </c>
      <c r="BF45" s="514">
        <f t="shared" si="49"/>
        <v>99491.70649</v>
      </c>
      <c r="BG45" s="514">
        <f t="shared" si="49"/>
        <v>99491.70649</v>
      </c>
      <c r="BH45" s="514">
        <f t="shared" si="49"/>
        <v>102271.3747</v>
      </c>
      <c r="BI45" s="514">
        <f t="shared" si="49"/>
        <v>102271.3747</v>
      </c>
      <c r="BJ45" s="514">
        <f t="shared" si="49"/>
        <v>102271.3747</v>
      </c>
      <c r="BK45" s="514">
        <f t="shared" si="49"/>
        <v>114924.5649</v>
      </c>
      <c r="BL45" s="514">
        <f t="shared" si="49"/>
        <v>118321.5475</v>
      </c>
      <c r="BM45" s="514">
        <f t="shared" si="49"/>
        <v>157799.5009</v>
      </c>
      <c r="BN45" s="514">
        <f t="shared" si="49"/>
        <v>177538.4776</v>
      </c>
      <c r="BO45" s="514">
        <f t="shared" si="49"/>
        <v>184118.1365</v>
      </c>
      <c r="BP45" s="514">
        <f t="shared" si="49"/>
        <v>190282.8619</v>
      </c>
      <c r="BQ45" s="514">
        <f t="shared" si="49"/>
        <v>190282.8619</v>
      </c>
      <c r="BR45" s="514">
        <f t="shared" si="49"/>
        <v>203968.5525</v>
      </c>
      <c r="BS45" s="514">
        <f t="shared" si="49"/>
        <v>224497.0882</v>
      </c>
      <c r="BT45" s="514">
        <f t="shared" si="49"/>
        <v>232276.9717</v>
      </c>
      <c r="BU45" s="514">
        <f t="shared" si="49"/>
        <v>232276.9717</v>
      </c>
      <c r="BV45" s="514">
        <f t="shared" si="49"/>
        <v>245962.6622</v>
      </c>
      <c r="BW45" s="514">
        <f t="shared" si="49"/>
        <v>245962.6622</v>
      </c>
      <c r="BX45" s="514">
        <f t="shared" si="49"/>
        <v>254601.1687</v>
      </c>
      <c r="BY45" s="514">
        <f t="shared" si="49"/>
        <v>254601.1687</v>
      </c>
      <c r="BZ45" s="514">
        <f t="shared" si="49"/>
        <v>254601.1687</v>
      </c>
      <c r="CA45" s="514">
        <f t="shared" si="49"/>
        <v>254601.1687</v>
      </c>
      <c r="CB45" s="514">
        <f t="shared" si="49"/>
        <v>263585.2155</v>
      </c>
      <c r="CC45" s="514">
        <f t="shared" si="49"/>
        <v>277818.3336</v>
      </c>
      <c r="CD45" s="514">
        <f t="shared" si="49"/>
        <v>284934.8927</v>
      </c>
      <c r="CE45" s="514">
        <f t="shared" si="49"/>
        <v>284934.8927</v>
      </c>
      <c r="CF45" s="514">
        <f t="shared" si="49"/>
        <v>295132.2884</v>
      </c>
      <c r="CG45" s="514">
        <f t="shared" si="49"/>
        <v>295132.2884</v>
      </c>
      <c r="CH45" s="514">
        <f t="shared" si="49"/>
        <v>309365.4065</v>
      </c>
      <c r="CI45" s="514">
        <f t="shared" si="49"/>
        <v>309365.4065</v>
      </c>
      <c r="CL45" s="514">
        <f t="shared" si="43"/>
        <v>8262</v>
      </c>
      <c r="CM45" s="514">
        <f t="shared" si="44"/>
        <v>17970</v>
      </c>
      <c r="CN45" s="514">
        <f t="shared" si="45"/>
        <v>21599</v>
      </c>
      <c r="CO45" s="514">
        <f t="shared" si="46"/>
        <v>16543</v>
      </c>
      <c r="CP45" s="514">
        <f t="shared" si="47"/>
        <v>19067</v>
      </c>
      <c r="CQ45" s="514">
        <f t="shared" si="48"/>
        <v>38184</v>
      </c>
    </row>
    <row r="46" ht="15.75" customHeight="1" outlineLevel="1">
      <c r="A46" s="1" t="s">
        <v>85</v>
      </c>
      <c r="B46" s="91" t="s">
        <v>63</v>
      </c>
      <c r="C46" s="132" t="s">
        <v>209</v>
      </c>
      <c r="D46" s="247">
        <f t="shared" ref="D46:Z46" si="50">RANDBETWEEN(0,5000)</f>
        <v>716</v>
      </c>
      <c r="E46" s="247">
        <f t="shared" si="50"/>
        <v>4247</v>
      </c>
      <c r="F46" s="247">
        <f t="shared" si="50"/>
        <v>3916</v>
      </c>
      <c r="G46" s="247">
        <f t="shared" si="50"/>
        <v>1660</v>
      </c>
      <c r="H46" s="247">
        <f t="shared" si="50"/>
        <v>4999</v>
      </c>
      <c r="I46" s="247">
        <f t="shared" si="50"/>
        <v>2523</v>
      </c>
      <c r="J46" s="247">
        <f t="shared" si="50"/>
        <v>370</v>
      </c>
      <c r="K46" s="247">
        <f t="shared" si="50"/>
        <v>935</v>
      </c>
      <c r="L46" s="247">
        <f t="shared" si="50"/>
        <v>1344</v>
      </c>
      <c r="M46" s="247">
        <f t="shared" si="50"/>
        <v>468</v>
      </c>
      <c r="N46" s="247">
        <f t="shared" si="50"/>
        <v>4480</v>
      </c>
      <c r="O46" s="247">
        <f t="shared" si="50"/>
        <v>2241</v>
      </c>
      <c r="P46" s="247">
        <f t="shared" si="50"/>
        <v>3027</v>
      </c>
      <c r="Q46" s="247">
        <f t="shared" si="50"/>
        <v>361</v>
      </c>
      <c r="R46" s="247">
        <f t="shared" si="50"/>
        <v>1989</v>
      </c>
      <c r="S46" s="247">
        <f t="shared" si="50"/>
        <v>2235</v>
      </c>
      <c r="T46" s="247">
        <f t="shared" si="50"/>
        <v>4300</v>
      </c>
      <c r="U46" s="247">
        <f t="shared" si="50"/>
        <v>1228</v>
      </c>
      <c r="V46" s="247">
        <f t="shared" si="50"/>
        <v>604</v>
      </c>
      <c r="W46" s="247">
        <f t="shared" si="50"/>
        <v>4206</v>
      </c>
      <c r="X46" s="247">
        <f t="shared" si="50"/>
        <v>169</v>
      </c>
      <c r="Y46" s="247">
        <f t="shared" si="50"/>
        <v>1421</v>
      </c>
      <c r="Z46" s="247">
        <f t="shared" si="50"/>
        <v>389</v>
      </c>
      <c r="AA46" s="511">
        <f>AA$45*Headcount!S$100</f>
        <v>2521.9</v>
      </c>
      <c r="AB46" s="511">
        <f>AB$45*Headcount!T$100</f>
        <v>5170.3855</v>
      </c>
      <c r="AC46" s="511">
        <f>AC$45*Headcount!U$100</f>
        <v>5690.3855</v>
      </c>
      <c r="AD46" s="511">
        <f>AD$45*Headcount!V$100</f>
        <v>6210.3855</v>
      </c>
      <c r="AE46" s="511">
        <f>AE$45*Headcount!W$100</f>
        <v>6730.3855</v>
      </c>
      <c r="AF46" s="511">
        <f>AF$45*Headcount!X$100</f>
        <v>6965.752848</v>
      </c>
      <c r="AG46" s="511">
        <f>AG$45*Headcount!Y$100</f>
        <v>6965.752848</v>
      </c>
      <c r="AH46" s="511">
        <f>AH$45*Headcount!Z$100</f>
        <v>7465.752848</v>
      </c>
      <c r="AI46" s="511">
        <f>AI$45*Headcount!AA$100</f>
        <v>7465.752848</v>
      </c>
      <c r="AJ46" s="511">
        <f>AJ$45*Headcount!AB$100</f>
        <v>7711.711726</v>
      </c>
      <c r="AK46" s="511">
        <f>AK$45*Headcount!AC$100</f>
        <v>7711.711726</v>
      </c>
      <c r="AL46" s="511">
        <f>AL$45*Headcount!AD$100</f>
        <v>7711.711726</v>
      </c>
      <c r="AM46" s="511">
        <f>AM$45*Headcount!AE$100</f>
        <v>7711.711726</v>
      </c>
      <c r="AN46" s="511">
        <f>AN$45*Headcount!AF$100</f>
        <v>8440.180195</v>
      </c>
      <c r="AO46" s="511">
        <f>AO$45*Headcount!AG$100</f>
        <v>8440.180195</v>
      </c>
      <c r="AP46" s="511">
        <f>AP$45*Headcount!AH$100</f>
        <v>8440.180195</v>
      </c>
      <c r="AQ46" s="511">
        <f>AQ$45*Headcount!AI$100</f>
        <v>8440.180195</v>
      </c>
      <c r="AR46" s="511">
        <f>AR$45*Headcount!AJ$100</f>
        <v>8677.787402</v>
      </c>
      <c r="AS46" s="511">
        <f>AS$45*Headcount!AK$100</f>
        <v>8677.787402</v>
      </c>
      <c r="AT46" s="511">
        <f>AT$45*Headcount!AL$100</f>
        <v>9177.787402</v>
      </c>
      <c r="AU46" s="511">
        <f>AU$45*Headcount!AM$100</f>
        <v>9177.787402</v>
      </c>
      <c r="AV46" s="511">
        <f>AV$45*Headcount!AN$100</f>
        <v>9424.898899</v>
      </c>
      <c r="AW46" s="511">
        <f>AW$45*Headcount!AO$100</f>
        <v>9424.898899</v>
      </c>
      <c r="AX46" s="511">
        <f>AX$45*Headcount!AP$100</f>
        <v>9424.898899</v>
      </c>
      <c r="AY46" s="511">
        <f>AY$45*Headcount!AQ$100</f>
        <v>9424.898899</v>
      </c>
      <c r="AZ46" s="511">
        <f>AZ$45*Headcount!AR$100</f>
        <v>9681.894854</v>
      </c>
      <c r="BA46" s="511">
        <f>BA$45*Headcount!AS$100</f>
        <v>9681.894854</v>
      </c>
      <c r="BB46" s="511">
        <f>BB$45*Headcount!AT$100</f>
        <v>9681.894854</v>
      </c>
      <c r="BC46" s="511">
        <f>BC$45*Headcount!AU$100</f>
        <v>9681.894854</v>
      </c>
      <c r="BD46" s="511">
        <f>BD$45*Headcount!AV$100</f>
        <v>9949.170649</v>
      </c>
      <c r="BE46" s="511">
        <f>BE$45*Headcount!AW$100</f>
        <v>9949.170649</v>
      </c>
      <c r="BF46" s="511">
        <f>BF$45*Headcount!AX$100</f>
        <v>9949.170649</v>
      </c>
      <c r="BG46" s="511">
        <f>BG$45*Headcount!AY$100</f>
        <v>9949.170649</v>
      </c>
      <c r="BH46" s="511">
        <f>BH$45*Headcount!AZ$100</f>
        <v>10227.13747</v>
      </c>
      <c r="BI46" s="511">
        <f>BI$45*Headcount!BA$100</f>
        <v>10227.13747</v>
      </c>
      <c r="BJ46" s="511">
        <f>BJ$45*Headcount!BB$100</f>
        <v>10227.13747</v>
      </c>
      <c r="BK46" s="511">
        <f>BK$45*Headcount!BC$100</f>
        <v>11492.45649</v>
      </c>
      <c r="BL46" s="511">
        <f>BL$45*Headcount!BD$100</f>
        <v>11832.15475</v>
      </c>
      <c r="BM46" s="511">
        <f>BM$45*Headcount!BE$100</f>
        <v>15779.95009</v>
      </c>
      <c r="BN46" s="511">
        <f>BN$45*Headcount!BF$100</f>
        <v>17753.84776</v>
      </c>
      <c r="BO46" s="511">
        <f>BO$45*Headcount!BG$100</f>
        <v>18411.81365</v>
      </c>
      <c r="BP46" s="511">
        <f>BP$45*Headcount!BH$100</f>
        <v>19028.28619</v>
      </c>
      <c r="BQ46" s="511">
        <f>BQ$45*Headcount!BI$100</f>
        <v>19028.28619</v>
      </c>
      <c r="BR46" s="511">
        <f>BR$45*Headcount!BJ$100</f>
        <v>20396.85525</v>
      </c>
      <c r="BS46" s="511">
        <f>BS$45*Headcount!BK$100</f>
        <v>22449.70882</v>
      </c>
      <c r="BT46" s="511">
        <f>BT$45*Headcount!BL$100</f>
        <v>23227.69717</v>
      </c>
      <c r="BU46" s="511">
        <f>BU$45*Headcount!BM$100</f>
        <v>23227.69717</v>
      </c>
      <c r="BV46" s="511">
        <f>BV$45*Headcount!BN$100</f>
        <v>24596.26622</v>
      </c>
      <c r="BW46" s="511">
        <f>BW$45*Headcount!BO$100</f>
        <v>24596.26622</v>
      </c>
      <c r="BX46" s="511">
        <f>BX$45*Headcount!BP$100</f>
        <v>25460.11687</v>
      </c>
      <c r="BY46" s="511">
        <f>BY$45*Headcount!BQ$100</f>
        <v>25460.11687</v>
      </c>
      <c r="BZ46" s="511">
        <f>BZ$45*Headcount!BR$100</f>
        <v>25460.11687</v>
      </c>
      <c r="CA46" s="511">
        <f>CA$45*Headcount!BS$100</f>
        <v>25460.11687</v>
      </c>
      <c r="CB46" s="511">
        <f>CB$45*Headcount!BT$100</f>
        <v>26358.52155</v>
      </c>
      <c r="CC46" s="511">
        <f>CC$45*Headcount!BU$100</f>
        <v>27781.83336</v>
      </c>
      <c r="CD46" s="511">
        <f>CD$45*Headcount!BV$100</f>
        <v>28493.48927</v>
      </c>
      <c r="CE46" s="511">
        <f>CE$45*Headcount!BW$100</f>
        <v>28493.48927</v>
      </c>
      <c r="CF46" s="511">
        <f>CF$45*Headcount!BX$100</f>
        <v>29513.22884</v>
      </c>
      <c r="CG46" s="511">
        <f>CG$45*Headcount!BY$100</f>
        <v>29513.22884</v>
      </c>
      <c r="CH46" s="511">
        <f>CH$45*Headcount!BZ$100</f>
        <v>30936.54065</v>
      </c>
      <c r="CI46" s="511">
        <f>CI$45*Headcount!CA$100</f>
        <v>30936.54065</v>
      </c>
      <c r="CL46" s="117">
        <f t="shared" si="43"/>
        <v>10539</v>
      </c>
      <c r="CM46" s="117">
        <f t="shared" si="44"/>
        <v>8827</v>
      </c>
      <c r="CN46" s="117">
        <f t="shared" si="45"/>
        <v>8533</v>
      </c>
      <c r="CO46" s="117">
        <f t="shared" si="46"/>
        <v>7612</v>
      </c>
      <c r="CP46" s="117">
        <f t="shared" si="47"/>
        <v>10338</v>
      </c>
      <c r="CQ46" s="117">
        <f t="shared" si="48"/>
        <v>4500.9</v>
      </c>
    </row>
    <row r="47" ht="15.75" customHeight="1" outlineLevel="1">
      <c r="A47" s="1" t="s">
        <v>85</v>
      </c>
      <c r="B47" s="91" t="s">
        <v>63</v>
      </c>
      <c r="C47" s="132" t="s">
        <v>210</v>
      </c>
      <c r="D47" s="247">
        <f t="shared" ref="D47:Z47" si="51">RANDBETWEEN(0,5000)</f>
        <v>1097</v>
      </c>
      <c r="E47" s="247">
        <f t="shared" si="51"/>
        <v>766</v>
      </c>
      <c r="F47" s="247">
        <f t="shared" si="51"/>
        <v>3050</v>
      </c>
      <c r="G47" s="247">
        <f t="shared" si="51"/>
        <v>3861</v>
      </c>
      <c r="H47" s="247">
        <f t="shared" si="51"/>
        <v>2229</v>
      </c>
      <c r="I47" s="247">
        <f t="shared" si="51"/>
        <v>2652</v>
      </c>
      <c r="J47" s="247">
        <f t="shared" si="51"/>
        <v>4279</v>
      </c>
      <c r="K47" s="247">
        <f t="shared" si="51"/>
        <v>249</v>
      </c>
      <c r="L47" s="247">
        <f t="shared" si="51"/>
        <v>1735</v>
      </c>
      <c r="M47" s="247">
        <f t="shared" si="51"/>
        <v>2463</v>
      </c>
      <c r="N47" s="247">
        <f t="shared" si="51"/>
        <v>808</v>
      </c>
      <c r="O47" s="247">
        <f t="shared" si="51"/>
        <v>2718</v>
      </c>
      <c r="P47" s="247">
        <f t="shared" si="51"/>
        <v>49</v>
      </c>
      <c r="Q47" s="247">
        <f t="shared" si="51"/>
        <v>106</v>
      </c>
      <c r="R47" s="247">
        <f t="shared" si="51"/>
        <v>3420</v>
      </c>
      <c r="S47" s="247">
        <f t="shared" si="51"/>
        <v>3094</v>
      </c>
      <c r="T47" s="247">
        <f t="shared" si="51"/>
        <v>245</v>
      </c>
      <c r="U47" s="247">
        <f t="shared" si="51"/>
        <v>1357</v>
      </c>
      <c r="V47" s="247">
        <f t="shared" si="51"/>
        <v>4577</v>
      </c>
      <c r="W47" s="247">
        <f t="shared" si="51"/>
        <v>3279</v>
      </c>
      <c r="X47" s="247">
        <f t="shared" si="51"/>
        <v>1434</v>
      </c>
      <c r="Y47" s="247">
        <f t="shared" si="51"/>
        <v>1578</v>
      </c>
      <c r="Z47" s="247">
        <f t="shared" si="51"/>
        <v>2452</v>
      </c>
      <c r="AA47" s="511">
        <f>AA$45*Headcount!S$101</f>
        <v>3782.85</v>
      </c>
      <c r="AB47" s="511">
        <f>AB$45*Headcount!T$101</f>
        <v>7755.57825</v>
      </c>
      <c r="AC47" s="511">
        <f>AC$45*Headcount!U$101</f>
        <v>8535.57825</v>
      </c>
      <c r="AD47" s="511">
        <f>AD$45*Headcount!V$101</f>
        <v>9315.57825</v>
      </c>
      <c r="AE47" s="511">
        <f>AE$45*Headcount!W$101</f>
        <v>10095.57825</v>
      </c>
      <c r="AF47" s="511">
        <f>AF$45*Headcount!X$101</f>
        <v>10448.62927</v>
      </c>
      <c r="AG47" s="511">
        <f>AG$45*Headcount!Y$101</f>
        <v>10448.62927</v>
      </c>
      <c r="AH47" s="511">
        <f>AH$45*Headcount!Z$101</f>
        <v>11198.62927</v>
      </c>
      <c r="AI47" s="511">
        <f>AI$45*Headcount!AA$101</f>
        <v>11198.62927</v>
      </c>
      <c r="AJ47" s="511">
        <f>AJ$45*Headcount!AB$101</f>
        <v>11567.56759</v>
      </c>
      <c r="AK47" s="511">
        <f>AK$45*Headcount!AC$101</f>
        <v>11567.56759</v>
      </c>
      <c r="AL47" s="511">
        <f>AL$45*Headcount!AD$101</f>
        <v>11567.56759</v>
      </c>
      <c r="AM47" s="511">
        <f>AM$45*Headcount!AE$101</f>
        <v>11567.56759</v>
      </c>
      <c r="AN47" s="511">
        <f>AN$45*Headcount!AF$101</f>
        <v>5570.518928</v>
      </c>
      <c r="AO47" s="511">
        <f>AO$45*Headcount!AG$101</f>
        <v>5570.518928</v>
      </c>
      <c r="AP47" s="511">
        <f>AP$45*Headcount!AH$101</f>
        <v>5570.518928</v>
      </c>
      <c r="AQ47" s="511">
        <f>AQ$45*Headcount!AI$101</f>
        <v>5570.518928</v>
      </c>
      <c r="AR47" s="511">
        <f>AR$45*Headcount!AJ$101</f>
        <v>5727.339686</v>
      </c>
      <c r="AS47" s="511">
        <f>AS$45*Headcount!AK$101</f>
        <v>5727.339686</v>
      </c>
      <c r="AT47" s="511">
        <f>AT$45*Headcount!AL$101</f>
        <v>6057.339686</v>
      </c>
      <c r="AU47" s="511">
        <f>AU$45*Headcount!AM$101</f>
        <v>6057.339686</v>
      </c>
      <c r="AV47" s="511">
        <f>AV$45*Headcount!AN$101</f>
        <v>6220.433273</v>
      </c>
      <c r="AW47" s="511">
        <f>AW$45*Headcount!AO$101</f>
        <v>6220.433273</v>
      </c>
      <c r="AX47" s="511">
        <f>AX$45*Headcount!AP$101</f>
        <v>6220.433273</v>
      </c>
      <c r="AY47" s="511">
        <f>AY$45*Headcount!AQ$101</f>
        <v>6220.433273</v>
      </c>
      <c r="AZ47" s="511">
        <f>AZ$45*Headcount!AR$101</f>
        <v>6583.688501</v>
      </c>
      <c r="BA47" s="511">
        <f>BA$45*Headcount!AS$101</f>
        <v>6583.688501</v>
      </c>
      <c r="BB47" s="511">
        <f>BB$45*Headcount!AT$101</f>
        <v>6583.688501</v>
      </c>
      <c r="BC47" s="511">
        <f>BC$45*Headcount!AU$101</f>
        <v>6583.688501</v>
      </c>
      <c r="BD47" s="511">
        <f>BD$45*Headcount!AV$101</f>
        <v>6765.436041</v>
      </c>
      <c r="BE47" s="511">
        <f>BE$45*Headcount!AW$101</f>
        <v>6765.436041</v>
      </c>
      <c r="BF47" s="511">
        <f>BF$45*Headcount!AX$101</f>
        <v>6765.436041</v>
      </c>
      <c r="BG47" s="511">
        <f>BG$45*Headcount!AY$101</f>
        <v>6765.436041</v>
      </c>
      <c r="BH47" s="511">
        <f>BH$45*Headcount!AZ$101</f>
        <v>6954.453483</v>
      </c>
      <c r="BI47" s="511">
        <f>BI$45*Headcount!BA$101</f>
        <v>6954.453483</v>
      </c>
      <c r="BJ47" s="511">
        <f>BJ$45*Headcount!BB$101</f>
        <v>6954.453483</v>
      </c>
      <c r="BK47" s="511">
        <f>BK$45*Headcount!BC$101</f>
        <v>7814.870415</v>
      </c>
      <c r="BL47" s="511">
        <f>BL$45*Headcount!BD$101</f>
        <v>8282.508327</v>
      </c>
      <c r="BM47" s="511">
        <f>BM$45*Headcount!BE$101</f>
        <v>11045.96506</v>
      </c>
      <c r="BN47" s="511">
        <f>BN$45*Headcount!BF$101</f>
        <v>12427.69343</v>
      </c>
      <c r="BO47" s="511">
        <f>BO$45*Headcount!BG$101</f>
        <v>12888.26955</v>
      </c>
      <c r="BP47" s="511">
        <f>BP$45*Headcount!BH$101</f>
        <v>13319.80034</v>
      </c>
      <c r="BQ47" s="511">
        <f>BQ$45*Headcount!BI$101</f>
        <v>13319.80034</v>
      </c>
      <c r="BR47" s="511">
        <f>BR$45*Headcount!BJ$101</f>
        <v>14277.79867</v>
      </c>
      <c r="BS47" s="511">
        <f>BS$45*Headcount!BK$101</f>
        <v>15714.79617</v>
      </c>
      <c r="BT47" s="511">
        <f>BT$45*Headcount!BL$101</f>
        <v>16259.38802</v>
      </c>
      <c r="BU47" s="511">
        <f>BU$45*Headcount!BM$101</f>
        <v>16259.38802</v>
      </c>
      <c r="BV47" s="511">
        <f>BV$45*Headcount!BN$101</f>
        <v>17217.38636</v>
      </c>
      <c r="BW47" s="511">
        <f>BW$45*Headcount!BO$101</f>
        <v>17217.38636</v>
      </c>
      <c r="BX47" s="511">
        <f>BX$45*Headcount!BP$101</f>
        <v>17822.08181</v>
      </c>
      <c r="BY47" s="511">
        <f>BY$45*Headcount!BQ$101</f>
        <v>17822.08181</v>
      </c>
      <c r="BZ47" s="511">
        <f>BZ$45*Headcount!BR$101</f>
        <v>17822.08181</v>
      </c>
      <c r="CA47" s="511">
        <f>CA$45*Headcount!BS$101</f>
        <v>17822.08181</v>
      </c>
      <c r="CB47" s="511">
        <f>CB$45*Headcount!BT$101</f>
        <v>18450.96508</v>
      </c>
      <c r="CC47" s="511">
        <f>CC$45*Headcount!BU$101</f>
        <v>19447.28335</v>
      </c>
      <c r="CD47" s="511">
        <f>CD$45*Headcount!BV$101</f>
        <v>19945.44249</v>
      </c>
      <c r="CE47" s="511">
        <f>CE$45*Headcount!BW$101</f>
        <v>19945.44249</v>
      </c>
      <c r="CF47" s="511">
        <f>CF$45*Headcount!BX$101</f>
        <v>20659.26019</v>
      </c>
      <c r="CG47" s="511">
        <f>CG$45*Headcount!BY$101</f>
        <v>20659.26019</v>
      </c>
      <c r="CH47" s="511">
        <f>CH$45*Headcount!BZ$101</f>
        <v>21655.57845</v>
      </c>
      <c r="CI47" s="511">
        <f>CI$45*Headcount!CA$101</f>
        <v>21655.57845</v>
      </c>
      <c r="CL47" s="117">
        <f t="shared" si="43"/>
        <v>8774</v>
      </c>
      <c r="CM47" s="117">
        <f t="shared" si="44"/>
        <v>9409</v>
      </c>
      <c r="CN47" s="117">
        <f t="shared" si="45"/>
        <v>7724</v>
      </c>
      <c r="CO47" s="117">
        <f t="shared" si="46"/>
        <v>6669</v>
      </c>
      <c r="CP47" s="117">
        <f t="shared" si="47"/>
        <v>9458</v>
      </c>
      <c r="CQ47" s="117">
        <f t="shared" si="48"/>
        <v>9246.85</v>
      </c>
    </row>
    <row r="48" ht="15.75" customHeight="1" outlineLevel="1">
      <c r="A48" s="1" t="s">
        <v>85</v>
      </c>
      <c r="B48" s="91" t="s">
        <v>63</v>
      </c>
      <c r="C48" s="132" t="s">
        <v>211</v>
      </c>
      <c r="D48" s="247">
        <f t="shared" ref="D48:Z48" si="52">RANDBETWEEN(0,5000)</f>
        <v>93</v>
      </c>
      <c r="E48" s="247">
        <f t="shared" si="52"/>
        <v>3377</v>
      </c>
      <c r="F48" s="247">
        <f t="shared" si="52"/>
        <v>3947</v>
      </c>
      <c r="G48" s="247">
        <f t="shared" si="52"/>
        <v>2015</v>
      </c>
      <c r="H48" s="247">
        <f t="shared" si="52"/>
        <v>2534</v>
      </c>
      <c r="I48" s="247">
        <f t="shared" si="52"/>
        <v>4050</v>
      </c>
      <c r="J48" s="247">
        <f t="shared" si="52"/>
        <v>2166</v>
      </c>
      <c r="K48" s="247">
        <f t="shared" si="52"/>
        <v>4203</v>
      </c>
      <c r="L48" s="247">
        <f t="shared" si="52"/>
        <v>2875</v>
      </c>
      <c r="M48" s="247">
        <f t="shared" si="52"/>
        <v>3091</v>
      </c>
      <c r="N48" s="247">
        <f t="shared" si="52"/>
        <v>2181</v>
      </c>
      <c r="O48" s="247">
        <f t="shared" si="52"/>
        <v>151</v>
      </c>
      <c r="P48" s="247">
        <f t="shared" si="52"/>
        <v>2795</v>
      </c>
      <c r="Q48" s="247">
        <f t="shared" si="52"/>
        <v>1738</v>
      </c>
      <c r="R48" s="247">
        <f t="shared" si="52"/>
        <v>1748</v>
      </c>
      <c r="S48" s="247">
        <f t="shared" si="52"/>
        <v>1904</v>
      </c>
      <c r="T48" s="247">
        <f t="shared" si="52"/>
        <v>3438</v>
      </c>
      <c r="U48" s="247">
        <f t="shared" si="52"/>
        <v>3350</v>
      </c>
      <c r="V48" s="247">
        <f t="shared" si="52"/>
        <v>4111</v>
      </c>
      <c r="W48" s="247">
        <f t="shared" si="52"/>
        <v>1053</v>
      </c>
      <c r="X48" s="247">
        <f t="shared" si="52"/>
        <v>262</v>
      </c>
      <c r="Y48" s="247">
        <f t="shared" si="52"/>
        <v>1071</v>
      </c>
      <c r="Z48" s="247">
        <f t="shared" si="52"/>
        <v>3469</v>
      </c>
      <c r="AA48" s="511">
        <f>AA$45*Headcount!S$102</f>
        <v>504.38</v>
      </c>
      <c r="AB48" s="511">
        <f>AB$45*Headcount!T$102</f>
        <v>1034.0771</v>
      </c>
      <c r="AC48" s="511">
        <f>AC$45*Headcount!U$102</f>
        <v>1138.0771</v>
      </c>
      <c r="AD48" s="511">
        <f>AD$45*Headcount!V$102</f>
        <v>1242.0771</v>
      </c>
      <c r="AE48" s="511">
        <f>AE$45*Headcount!W$102</f>
        <v>1346.0771</v>
      </c>
      <c r="AF48" s="511">
        <f>AF$45*Headcount!X$102</f>
        <v>1393.15057</v>
      </c>
      <c r="AG48" s="511">
        <f>AG$45*Headcount!Y$102</f>
        <v>1393.15057</v>
      </c>
      <c r="AH48" s="511">
        <f>AH$45*Headcount!Z$102</f>
        <v>1493.15057</v>
      </c>
      <c r="AI48" s="511">
        <f>AI$45*Headcount!AA$102</f>
        <v>1493.15057</v>
      </c>
      <c r="AJ48" s="511">
        <f>AJ$45*Headcount!AB$102</f>
        <v>1542.342345</v>
      </c>
      <c r="AK48" s="511">
        <f>AK$45*Headcount!AC$102</f>
        <v>1542.342345</v>
      </c>
      <c r="AL48" s="511">
        <f>AL$45*Headcount!AD$102</f>
        <v>1542.342345</v>
      </c>
      <c r="AM48" s="511">
        <f>AM$45*Headcount!AE$102</f>
        <v>1542.342345</v>
      </c>
      <c r="AN48" s="511">
        <f>AN$45*Headcount!AF$102</f>
        <v>1688.036039</v>
      </c>
      <c r="AO48" s="511">
        <f>AO$45*Headcount!AG$102</f>
        <v>1688.036039</v>
      </c>
      <c r="AP48" s="511">
        <f>AP$45*Headcount!AH$102</f>
        <v>1688.036039</v>
      </c>
      <c r="AQ48" s="511">
        <f>AQ$45*Headcount!AI$102</f>
        <v>1688.036039</v>
      </c>
      <c r="AR48" s="511">
        <f>AR$45*Headcount!AJ$102</f>
        <v>1735.55748</v>
      </c>
      <c r="AS48" s="511">
        <f>AS$45*Headcount!AK$102</f>
        <v>1735.55748</v>
      </c>
      <c r="AT48" s="511">
        <f>AT$45*Headcount!AL$102</f>
        <v>1835.55748</v>
      </c>
      <c r="AU48" s="511">
        <f>AU$45*Headcount!AM$102</f>
        <v>1835.55748</v>
      </c>
      <c r="AV48" s="511">
        <f>AV$45*Headcount!AN$102</f>
        <v>1884.97978</v>
      </c>
      <c r="AW48" s="511">
        <f>AW$45*Headcount!AO$102</f>
        <v>1884.97978</v>
      </c>
      <c r="AX48" s="511">
        <f>AX$45*Headcount!AP$102</f>
        <v>1884.97978</v>
      </c>
      <c r="AY48" s="511">
        <f>AY$45*Headcount!AQ$102</f>
        <v>1884.97978</v>
      </c>
      <c r="AZ48" s="511">
        <f>AZ$45*Headcount!AR$102</f>
        <v>1936.378971</v>
      </c>
      <c r="BA48" s="511">
        <f>BA$45*Headcount!AS$102</f>
        <v>1936.378971</v>
      </c>
      <c r="BB48" s="511">
        <f>BB$45*Headcount!AT$102</f>
        <v>1936.378971</v>
      </c>
      <c r="BC48" s="511">
        <f>BC$45*Headcount!AU$102</f>
        <v>1936.378971</v>
      </c>
      <c r="BD48" s="511">
        <f>BD$45*Headcount!AV$102</f>
        <v>1989.83413</v>
      </c>
      <c r="BE48" s="511">
        <f>BE$45*Headcount!AW$102</f>
        <v>1989.83413</v>
      </c>
      <c r="BF48" s="511">
        <f>BF$45*Headcount!AX$102</f>
        <v>1989.83413</v>
      </c>
      <c r="BG48" s="511">
        <f>BG$45*Headcount!AY$102</f>
        <v>1989.83413</v>
      </c>
      <c r="BH48" s="511">
        <f>BH$45*Headcount!AZ$102</f>
        <v>2045.427495</v>
      </c>
      <c r="BI48" s="511">
        <f>BI$45*Headcount!BA$102</f>
        <v>2045.427495</v>
      </c>
      <c r="BJ48" s="511">
        <f>BJ$45*Headcount!BB$102</f>
        <v>2045.427495</v>
      </c>
      <c r="BK48" s="511">
        <f>BK$45*Headcount!BC$102</f>
        <v>2298.491299</v>
      </c>
      <c r="BL48" s="511">
        <f>BL$45*Headcount!BD$102</f>
        <v>2366.430951</v>
      </c>
      <c r="BM48" s="511">
        <f>BM$45*Headcount!BE$102</f>
        <v>3155.990018</v>
      </c>
      <c r="BN48" s="511">
        <f>BN$45*Headcount!BF$102</f>
        <v>3550.769552</v>
      </c>
      <c r="BO48" s="511">
        <f>BO$45*Headcount!BG$102</f>
        <v>3682.36273</v>
      </c>
      <c r="BP48" s="511">
        <f>BP$45*Headcount!BH$102</f>
        <v>3805.657239</v>
      </c>
      <c r="BQ48" s="511">
        <f>BQ$45*Headcount!BI$102</f>
        <v>3805.657239</v>
      </c>
      <c r="BR48" s="511">
        <f>BR$45*Headcount!BJ$102</f>
        <v>4079.371049</v>
      </c>
      <c r="BS48" s="511">
        <f>BS$45*Headcount!BK$102</f>
        <v>4489.941764</v>
      </c>
      <c r="BT48" s="511">
        <f>BT$45*Headcount!BL$102</f>
        <v>4645.539435</v>
      </c>
      <c r="BU48" s="511">
        <f>BU$45*Headcount!BM$102</f>
        <v>4645.539435</v>
      </c>
      <c r="BV48" s="511">
        <f>BV$45*Headcount!BN$102</f>
        <v>4919.253245</v>
      </c>
      <c r="BW48" s="511">
        <f>BW$45*Headcount!BO$102</f>
        <v>4919.253245</v>
      </c>
      <c r="BX48" s="511">
        <f>BX$45*Headcount!BP$102</f>
        <v>5092.023375</v>
      </c>
      <c r="BY48" s="511">
        <f>BY$45*Headcount!BQ$102</f>
        <v>5092.023375</v>
      </c>
      <c r="BZ48" s="511">
        <f>BZ$45*Headcount!BR$102</f>
        <v>5092.023375</v>
      </c>
      <c r="CA48" s="511">
        <f>CA$45*Headcount!BS$102</f>
        <v>5092.023375</v>
      </c>
      <c r="CB48" s="511">
        <f>CB$45*Headcount!BT$102</f>
        <v>5271.70431</v>
      </c>
      <c r="CC48" s="511">
        <f>CC$45*Headcount!BU$102</f>
        <v>5556.366672</v>
      </c>
      <c r="CD48" s="511">
        <f>CD$45*Headcount!BV$102</f>
        <v>5698.697853</v>
      </c>
      <c r="CE48" s="511">
        <f>CE$45*Headcount!BW$102</f>
        <v>5698.697853</v>
      </c>
      <c r="CF48" s="511">
        <f>CF$45*Headcount!BX$102</f>
        <v>5902.645767</v>
      </c>
      <c r="CG48" s="511">
        <f>CG$45*Headcount!BY$102</f>
        <v>5902.645767</v>
      </c>
      <c r="CH48" s="511">
        <f>CH$45*Headcount!BZ$102</f>
        <v>6187.30813</v>
      </c>
      <c r="CI48" s="511">
        <f>CI$45*Headcount!CA$102</f>
        <v>6187.30813</v>
      </c>
      <c r="CL48" s="117">
        <f t="shared" si="43"/>
        <v>9432</v>
      </c>
      <c r="CM48" s="117">
        <f t="shared" si="44"/>
        <v>12953</v>
      </c>
      <c r="CN48" s="117">
        <f t="shared" si="45"/>
        <v>8298</v>
      </c>
      <c r="CO48" s="117">
        <f t="shared" si="46"/>
        <v>8185</v>
      </c>
      <c r="CP48" s="117">
        <f t="shared" si="47"/>
        <v>11952</v>
      </c>
      <c r="CQ48" s="117">
        <f t="shared" si="48"/>
        <v>5306.38</v>
      </c>
    </row>
    <row r="49" ht="15.75" customHeight="1" outlineLevel="1">
      <c r="A49" s="1" t="s">
        <v>85</v>
      </c>
      <c r="B49" s="91" t="s">
        <v>63</v>
      </c>
      <c r="C49" s="132" t="s">
        <v>212</v>
      </c>
      <c r="D49" s="247">
        <f t="shared" ref="D49:Z49" si="53">RANDBETWEEN(0,5000)</f>
        <v>4930</v>
      </c>
      <c r="E49" s="247">
        <f t="shared" si="53"/>
        <v>1392</v>
      </c>
      <c r="F49" s="247">
        <f t="shared" si="53"/>
        <v>2955</v>
      </c>
      <c r="G49" s="247">
        <f t="shared" si="53"/>
        <v>392</v>
      </c>
      <c r="H49" s="247">
        <f t="shared" si="53"/>
        <v>4435</v>
      </c>
      <c r="I49" s="247">
        <f t="shared" si="53"/>
        <v>4544</v>
      </c>
      <c r="J49" s="247">
        <f t="shared" si="53"/>
        <v>3990</v>
      </c>
      <c r="K49" s="247">
        <f t="shared" si="53"/>
        <v>2353</v>
      </c>
      <c r="L49" s="247">
        <f t="shared" si="53"/>
        <v>2800</v>
      </c>
      <c r="M49" s="247">
        <f t="shared" si="53"/>
        <v>2755</v>
      </c>
      <c r="N49" s="247">
        <f t="shared" si="53"/>
        <v>2829</v>
      </c>
      <c r="O49" s="247">
        <f t="shared" si="53"/>
        <v>121</v>
      </c>
      <c r="P49" s="247">
        <f t="shared" si="53"/>
        <v>3250</v>
      </c>
      <c r="Q49" s="247">
        <f t="shared" si="53"/>
        <v>2733</v>
      </c>
      <c r="R49" s="247">
        <f t="shared" si="53"/>
        <v>1580</v>
      </c>
      <c r="S49" s="247">
        <f t="shared" si="53"/>
        <v>2203</v>
      </c>
      <c r="T49" s="247">
        <f t="shared" si="53"/>
        <v>2020</v>
      </c>
      <c r="U49" s="247">
        <f t="shared" si="53"/>
        <v>1356</v>
      </c>
      <c r="V49" s="247">
        <f t="shared" si="53"/>
        <v>3505</v>
      </c>
      <c r="W49" s="247">
        <f t="shared" si="53"/>
        <v>3073</v>
      </c>
      <c r="X49" s="247">
        <f t="shared" si="53"/>
        <v>4958</v>
      </c>
      <c r="Y49" s="247">
        <f t="shared" si="53"/>
        <v>2583</v>
      </c>
      <c r="Z49" s="247">
        <f t="shared" si="53"/>
        <v>251</v>
      </c>
      <c r="AA49" s="511">
        <v>2911.47108</v>
      </c>
      <c r="AB49" s="511">
        <v>3201.531587</v>
      </c>
      <c r="AC49" s="511">
        <v>3297.764405</v>
      </c>
      <c r="AD49" s="511">
        <v>3529.047197</v>
      </c>
      <c r="AE49" s="511">
        <v>3728.45257</v>
      </c>
      <c r="AF49" s="511">
        <v>3894.552812</v>
      </c>
      <c r="AG49" s="511">
        <v>4079.727967</v>
      </c>
      <c r="AH49" s="511">
        <v>4260.346131</v>
      </c>
      <c r="AI49" s="511">
        <v>4450.849076</v>
      </c>
      <c r="AJ49" s="511">
        <v>4633.445994</v>
      </c>
      <c r="AK49" s="511">
        <v>4809.690289</v>
      </c>
      <c r="AL49" s="511">
        <v>4984.393209</v>
      </c>
      <c r="AM49" s="511">
        <v>5163.768531</v>
      </c>
      <c r="AN49" s="511">
        <v>5229.042367</v>
      </c>
      <c r="AO49" s="511">
        <v>5284.264608</v>
      </c>
      <c r="AP49" s="511">
        <v>5348.711446</v>
      </c>
      <c r="AQ49" s="511">
        <v>5424.950731</v>
      </c>
      <c r="AR49" s="511">
        <v>5503.628056</v>
      </c>
      <c r="AS49" s="511">
        <v>5584.347083</v>
      </c>
      <c r="AT49" s="511">
        <v>5665.548793</v>
      </c>
      <c r="AU49" s="511">
        <v>5747.616331</v>
      </c>
      <c r="AV49" s="511">
        <v>5830.655203</v>
      </c>
      <c r="AW49" s="511">
        <v>5914.729441</v>
      </c>
      <c r="AX49" s="511">
        <v>5999.897092</v>
      </c>
      <c r="AY49" s="511">
        <v>6086.215592</v>
      </c>
      <c r="AZ49" s="511">
        <v>6186.613187</v>
      </c>
      <c r="BA49" s="511">
        <v>6270.760075</v>
      </c>
      <c r="BB49" s="511">
        <v>6358.518852</v>
      </c>
      <c r="BC49" s="511">
        <v>6444.37095</v>
      </c>
      <c r="BD49" s="511">
        <v>6528.476296</v>
      </c>
      <c r="BE49" s="511">
        <v>6610.935905</v>
      </c>
      <c r="BF49" s="511">
        <v>6691.838766</v>
      </c>
      <c r="BG49" s="511">
        <v>6771.269014</v>
      </c>
      <c r="BH49" s="511">
        <v>6849.307147</v>
      </c>
      <c r="BI49" s="511">
        <v>6926.030334</v>
      </c>
      <c r="BJ49" s="511">
        <v>7001.512591</v>
      </c>
      <c r="BK49" s="511">
        <v>7075.824921</v>
      </c>
      <c r="BL49" s="511">
        <v>7157.729265</v>
      </c>
      <c r="BM49" s="511">
        <v>7236.093046</v>
      </c>
      <c r="BN49" s="511">
        <v>7303.896873</v>
      </c>
      <c r="BO49" s="511">
        <v>7371.808844</v>
      </c>
      <c r="BP49" s="511">
        <v>7439.481395</v>
      </c>
      <c r="BQ49" s="511">
        <v>7506.909395</v>
      </c>
      <c r="BR49" s="511">
        <v>7574.137811</v>
      </c>
      <c r="BS49" s="511">
        <v>7641.217947</v>
      </c>
      <c r="BT49" s="511">
        <v>7708.200961</v>
      </c>
      <c r="BU49" s="511">
        <v>7775.136978</v>
      </c>
      <c r="BV49" s="511">
        <v>7842.075027</v>
      </c>
      <c r="BW49" s="511">
        <v>7909.06311</v>
      </c>
      <c r="BX49" s="511">
        <v>7985.249158</v>
      </c>
      <c r="BY49" s="511">
        <v>8028.641791</v>
      </c>
      <c r="BZ49" s="511">
        <v>8074.920279</v>
      </c>
      <c r="CA49" s="511">
        <v>8121.619599</v>
      </c>
      <c r="CB49" s="511">
        <v>8167.50945</v>
      </c>
      <c r="CC49" s="511">
        <v>8212.474049</v>
      </c>
      <c r="CD49" s="511">
        <v>8256.561525</v>
      </c>
      <c r="CE49" s="511">
        <v>8299.841476</v>
      </c>
      <c r="CF49" s="511">
        <v>8342.383755</v>
      </c>
      <c r="CG49" s="511">
        <v>8384.255425</v>
      </c>
      <c r="CH49" s="511">
        <v>8425.520432</v>
      </c>
      <c r="CI49" s="511">
        <v>8466.239689</v>
      </c>
      <c r="CL49" s="117">
        <f t="shared" si="43"/>
        <v>9669</v>
      </c>
      <c r="CM49" s="117">
        <f t="shared" si="44"/>
        <v>15322</v>
      </c>
      <c r="CN49" s="117">
        <f t="shared" si="45"/>
        <v>8505</v>
      </c>
      <c r="CO49" s="117">
        <f t="shared" si="46"/>
        <v>9766</v>
      </c>
      <c r="CP49" s="117">
        <f t="shared" si="47"/>
        <v>9954</v>
      </c>
      <c r="CQ49" s="117">
        <f t="shared" si="48"/>
        <v>10703.47108</v>
      </c>
    </row>
    <row r="50" ht="15.75" customHeight="1" outlineLevel="1">
      <c r="A50" s="1" t="s">
        <v>85</v>
      </c>
      <c r="B50" s="91" t="s">
        <v>63</v>
      </c>
      <c r="C50" s="132" t="s">
        <v>213</v>
      </c>
      <c r="D50" s="247">
        <f t="shared" ref="D50:Z50" si="54">RANDBETWEEN(0,5000)</f>
        <v>1133</v>
      </c>
      <c r="E50" s="247">
        <f t="shared" si="54"/>
        <v>3791</v>
      </c>
      <c r="F50" s="247">
        <f t="shared" si="54"/>
        <v>740</v>
      </c>
      <c r="G50" s="247">
        <f t="shared" si="54"/>
        <v>1889</v>
      </c>
      <c r="H50" s="247">
        <f t="shared" si="54"/>
        <v>1551</v>
      </c>
      <c r="I50" s="247">
        <f t="shared" si="54"/>
        <v>1852</v>
      </c>
      <c r="J50" s="247">
        <f t="shared" si="54"/>
        <v>1328</v>
      </c>
      <c r="K50" s="247">
        <f t="shared" si="54"/>
        <v>635</v>
      </c>
      <c r="L50" s="247">
        <f t="shared" si="54"/>
        <v>3485</v>
      </c>
      <c r="M50" s="247">
        <f t="shared" si="54"/>
        <v>2227</v>
      </c>
      <c r="N50" s="247">
        <f t="shared" si="54"/>
        <v>3712</v>
      </c>
      <c r="O50" s="247">
        <f t="shared" si="54"/>
        <v>2327</v>
      </c>
      <c r="P50" s="247">
        <f t="shared" si="54"/>
        <v>3351</v>
      </c>
      <c r="Q50" s="247">
        <f t="shared" si="54"/>
        <v>1025</v>
      </c>
      <c r="R50" s="247">
        <f t="shared" si="54"/>
        <v>1989</v>
      </c>
      <c r="S50" s="247">
        <f t="shared" si="54"/>
        <v>959</v>
      </c>
      <c r="T50" s="247">
        <f t="shared" si="54"/>
        <v>1813</v>
      </c>
      <c r="U50" s="247">
        <f t="shared" si="54"/>
        <v>3467</v>
      </c>
      <c r="V50" s="247">
        <f t="shared" si="54"/>
        <v>1184</v>
      </c>
      <c r="W50" s="247">
        <f t="shared" si="54"/>
        <v>223</v>
      </c>
      <c r="X50" s="247">
        <f t="shared" si="54"/>
        <v>4958</v>
      </c>
      <c r="Y50" s="247">
        <f t="shared" si="54"/>
        <v>2868</v>
      </c>
      <c r="Z50" s="247">
        <f t="shared" si="54"/>
        <v>4048</v>
      </c>
      <c r="AA50" s="511">
        <v>4746.26285</v>
      </c>
      <c r="AB50" s="511">
        <v>5219.117766</v>
      </c>
      <c r="AC50" s="511">
        <v>5375.995934</v>
      </c>
      <c r="AD50" s="511">
        <v>5753.031767</v>
      </c>
      <c r="AE50" s="511">
        <v>6078.101219</v>
      </c>
      <c r="AF50" s="511">
        <v>6348.876847</v>
      </c>
      <c r="AG50" s="511">
        <v>6650.748285</v>
      </c>
      <c r="AH50" s="511">
        <v>6945.190942</v>
      </c>
      <c r="AI50" s="511">
        <v>7255.747711</v>
      </c>
      <c r="AJ50" s="511">
        <v>7553.416122</v>
      </c>
      <c r="AK50" s="511">
        <v>7840.728524</v>
      </c>
      <c r="AL50" s="511">
        <v>8125.528185</v>
      </c>
      <c r="AM50" s="511">
        <v>8417.944769</v>
      </c>
      <c r="AN50" s="511">
        <v>11805.3052</v>
      </c>
      <c r="AO50" s="511">
        <v>11929.97725</v>
      </c>
      <c r="AP50" s="511">
        <v>12075.47513</v>
      </c>
      <c r="AQ50" s="511">
        <v>12247.59614</v>
      </c>
      <c r="AR50" s="511">
        <v>12425.22136</v>
      </c>
      <c r="AS50" s="511">
        <v>12607.45602</v>
      </c>
      <c r="AT50" s="511">
        <v>12790.7804</v>
      </c>
      <c r="AU50" s="511">
        <v>12976.05952</v>
      </c>
      <c r="AV50" s="511">
        <v>13163.53156</v>
      </c>
      <c r="AW50" s="511">
        <v>13353.34108</v>
      </c>
      <c r="AX50" s="511">
        <v>13545.61914</v>
      </c>
      <c r="AY50" s="511">
        <v>13740.4954</v>
      </c>
      <c r="AZ50" s="511">
        <v>15871.76957</v>
      </c>
      <c r="BA50" s="511">
        <v>16087.64859</v>
      </c>
      <c r="BB50" s="511">
        <v>16312.79393</v>
      </c>
      <c r="BC50" s="511">
        <v>16533.04767</v>
      </c>
      <c r="BD50" s="511">
        <v>16748.82012</v>
      </c>
      <c r="BE50" s="511">
        <v>16960.37042</v>
      </c>
      <c r="BF50" s="511">
        <v>17167.92689</v>
      </c>
      <c r="BG50" s="511">
        <v>17371.70536</v>
      </c>
      <c r="BH50" s="511">
        <v>17571.91236</v>
      </c>
      <c r="BI50" s="511">
        <v>17768.74586</v>
      </c>
      <c r="BJ50" s="511">
        <v>17962.39576</v>
      </c>
      <c r="BK50" s="511">
        <v>18153.0442</v>
      </c>
      <c r="BL50" s="511">
        <v>20566.75037</v>
      </c>
      <c r="BM50" s="511">
        <v>20791.91792</v>
      </c>
      <c r="BN50" s="511">
        <v>20986.74289</v>
      </c>
      <c r="BO50" s="511">
        <v>21181.87859</v>
      </c>
      <c r="BP50" s="511">
        <v>21376.32636</v>
      </c>
      <c r="BQ50" s="511">
        <v>21570.07144</v>
      </c>
      <c r="BR50" s="511">
        <v>21763.24304</v>
      </c>
      <c r="BS50" s="511">
        <v>21955.98859</v>
      </c>
      <c r="BT50" s="511">
        <v>22148.45506</v>
      </c>
      <c r="BU50" s="511">
        <v>22340.7865</v>
      </c>
      <c r="BV50" s="511">
        <v>22533.12378</v>
      </c>
      <c r="BW50" s="511">
        <v>22725.60482</v>
      </c>
      <c r="BX50" s="511">
        <v>22944.51495</v>
      </c>
      <c r="BY50" s="511">
        <v>24716.99754</v>
      </c>
      <c r="BZ50" s="511">
        <v>24859.47062</v>
      </c>
      <c r="CA50" s="511">
        <v>25003.23926</v>
      </c>
      <c r="CB50" s="511">
        <v>25144.51588</v>
      </c>
      <c r="CC50" s="511">
        <v>25282.94401</v>
      </c>
      <c r="CD50" s="511">
        <v>25418.67183</v>
      </c>
      <c r="CE50" s="511">
        <v>25551.9136</v>
      </c>
      <c r="CF50" s="511">
        <v>25682.88437</v>
      </c>
      <c r="CG50" s="511">
        <v>25811.7906</v>
      </c>
      <c r="CH50" s="511">
        <v>25938.82916</v>
      </c>
      <c r="CI50" s="511">
        <v>26064.18757</v>
      </c>
      <c r="CL50" s="117">
        <f t="shared" si="43"/>
        <v>7553</v>
      </c>
      <c r="CM50" s="117">
        <f t="shared" si="44"/>
        <v>5366</v>
      </c>
      <c r="CN50" s="117">
        <f t="shared" si="45"/>
        <v>11751</v>
      </c>
      <c r="CO50" s="117">
        <f t="shared" si="46"/>
        <v>7324</v>
      </c>
      <c r="CP50" s="117">
        <f t="shared" si="47"/>
        <v>6687</v>
      </c>
      <c r="CQ50" s="117">
        <f t="shared" si="48"/>
        <v>16620.26285</v>
      </c>
    </row>
    <row r="51" ht="15.75" customHeight="1" outlineLevel="1">
      <c r="A51" s="1" t="s">
        <v>85</v>
      </c>
      <c r="B51" s="91" t="s">
        <v>63</v>
      </c>
      <c r="C51" s="132" t="s">
        <v>214</v>
      </c>
      <c r="D51" s="247">
        <f t="shared" ref="D51:Z51" si="55">RANDBETWEEN(0,5000)</f>
        <v>317</v>
      </c>
      <c r="E51" s="247">
        <f t="shared" si="55"/>
        <v>951</v>
      </c>
      <c r="F51" s="247">
        <f t="shared" si="55"/>
        <v>1846</v>
      </c>
      <c r="G51" s="247">
        <f t="shared" si="55"/>
        <v>1296</v>
      </c>
      <c r="H51" s="247">
        <f t="shared" si="55"/>
        <v>1656</v>
      </c>
      <c r="I51" s="247">
        <f t="shared" si="55"/>
        <v>2901</v>
      </c>
      <c r="J51" s="247">
        <f t="shared" si="55"/>
        <v>2024</v>
      </c>
      <c r="K51" s="247">
        <f t="shared" si="55"/>
        <v>2203</v>
      </c>
      <c r="L51" s="247">
        <f t="shared" si="55"/>
        <v>1902</v>
      </c>
      <c r="M51" s="247">
        <f t="shared" si="55"/>
        <v>349</v>
      </c>
      <c r="N51" s="247">
        <f t="shared" si="55"/>
        <v>2054</v>
      </c>
      <c r="O51" s="247">
        <f t="shared" si="55"/>
        <v>4288</v>
      </c>
      <c r="P51" s="247">
        <f t="shared" si="55"/>
        <v>2720</v>
      </c>
      <c r="Q51" s="247">
        <f t="shared" si="55"/>
        <v>1618</v>
      </c>
      <c r="R51" s="247">
        <f t="shared" si="55"/>
        <v>1294</v>
      </c>
      <c r="S51" s="247">
        <f t="shared" si="55"/>
        <v>1726</v>
      </c>
      <c r="T51" s="247">
        <f t="shared" si="55"/>
        <v>2523</v>
      </c>
      <c r="U51" s="247">
        <f t="shared" si="55"/>
        <v>671</v>
      </c>
      <c r="V51" s="247">
        <f t="shared" si="55"/>
        <v>3722</v>
      </c>
      <c r="W51" s="247">
        <f t="shared" si="55"/>
        <v>2361</v>
      </c>
      <c r="X51" s="247">
        <f t="shared" si="55"/>
        <v>2521</v>
      </c>
      <c r="Y51" s="247">
        <f t="shared" si="55"/>
        <v>3482</v>
      </c>
      <c r="Z51" s="247">
        <f t="shared" si="55"/>
        <v>4614</v>
      </c>
      <c r="AA51" s="116">
        <f>Headcount!S136</f>
        <v>0</v>
      </c>
      <c r="AB51" s="116">
        <f>Headcount!T136</f>
        <v>0</v>
      </c>
      <c r="AC51" s="116">
        <f>Headcount!U136</f>
        <v>0</v>
      </c>
      <c r="AD51" s="116">
        <f>Headcount!V136</f>
        <v>0</v>
      </c>
      <c r="AE51" s="116">
        <f>Headcount!W136</f>
        <v>0</v>
      </c>
      <c r="AF51" s="116">
        <f>Headcount!X136</f>
        <v>0</v>
      </c>
      <c r="AG51" s="116">
        <f>Headcount!Y136</f>
        <v>0</v>
      </c>
      <c r="AH51" s="116">
        <f>Headcount!Z136</f>
        <v>0</v>
      </c>
      <c r="AI51" s="116">
        <f>Headcount!AA136</f>
        <v>0</v>
      </c>
      <c r="AJ51" s="116">
        <f>Headcount!AB136</f>
        <v>0</v>
      </c>
      <c r="AK51" s="116">
        <f>Headcount!AC136</f>
        <v>0</v>
      </c>
      <c r="AL51" s="116">
        <f>Headcount!AD136</f>
        <v>0</v>
      </c>
      <c r="AM51" s="116">
        <f>Headcount!AE136</f>
        <v>0</v>
      </c>
      <c r="AN51" s="116">
        <f>Headcount!AF136</f>
        <v>0</v>
      </c>
      <c r="AO51" s="116">
        <f>Headcount!AG136</f>
        <v>0</v>
      </c>
      <c r="AP51" s="116">
        <f>Headcount!AH136</f>
        <v>0</v>
      </c>
      <c r="AQ51" s="116">
        <f>Headcount!AI136</f>
        <v>0</v>
      </c>
      <c r="AR51" s="116">
        <f>Headcount!AJ136</f>
        <v>0</v>
      </c>
      <c r="AS51" s="116">
        <f>Headcount!AK136</f>
        <v>0</v>
      </c>
      <c r="AT51" s="116">
        <f>Headcount!AL136</f>
        <v>0</v>
      </c>
      <c r="AU51" s="116">
        <f>Headcount!AM136</f>
        <v>0</v>
      </c>
      <c r="AV51" s="116">
        <f>Headcount!AN136</f>
        <v>0</v>
      </c>
      <c r="AW51" s="116">
        <f>Headcount!AO136</f>
        <v>0</v>
      </c>
      <c r="AX51" s="116">
        <f>Headcount!AP136</f>
        <v>0</v>
      </c>
      <c r="AY51" s="116">
        <f>Headcount!AQ136</f>
        <v>0</v>
      </c>
      <c r="AZ51" s="116">
        <f>Headcount!AR136</f>
        <v>0</v>
      </c>
      <c r="BA51" s="116">
        <f>Headcount!AS136</f>
        <v>0</v>
      </c>
      <c r="BB51" s="116">
        <f>Headcount!AT136</f>
        <v>0</v>
      </c>
      <c r="BC51" s="116">
        <f>Headcount!AU136</f>
        <v>0</v>
      </c>
      <c r="BD51" s="116">
        <f>Headcount!AV136</f>
        <v>0</v>
      </c>
      <c r="BE51" s="116">
        <f>Headcount!AW136</f>
        <v>0</v>
      </c>
      <c r="BF51" s="116">
        <f>Headcount!AX136</f>
        <v>0</v>
      </c>
      <c r="BG51" s="116">
        <f>Headcount!AY136</f>
        <v>0</v>
      </c>
      <c r="BH51" s="116">
        <f>Headcount!AZ136</f>
        <v>0</v>
      </c>
      <c r="BI51" s="116">
        <f>Headcount!BA136</f>
        <v>0</v>
      </c>
      <c r="BJ51" s="116">
        <f>Headcount!BB136</f>
        <v>0</v>
      </c>
      <c r="BK51" s="116">
        <f>Headcount!BC136</f>
        <v>0</v>
      </c>
      <c r="BL51" s="116">
        <f>Headcount!BD136</f>
        <v>0</v>
      </c>
      <c r="BM51" s="116">
        <f>Headcount!BE136</f>
        <v>0</v>
      </c>
      <c r="BN51" s="116">
        <f>Headcount!BF136</f>
        <v>0</v>
      </c>
      <c r="BO51" s="116">
        <f>Headcount!BG136</f>
        <v>0</v>
      </c>
      <c r="BP51" s="116">
        <f>Headcount!BH136</f>
        <v>0</v>
      </c>
      <c r="BQ51" s="116">
        <f>Headcount!BI136</f>
        <v>0</v>
      </c>
      <c r="BR51" s="116">
        <f>Headcount!BJ136</f>
        <v>0</v>
      </c>
      <c r="BS51" s="116">
        <f>Headcount!BK136</f>
        <v>0</v>
      </c>
      <c r="BT51" s="116">
        <f>Headcount!BL136</f>
        <v>0</v>
      </c>
      <c r="BU51" s="116">
        <f>Headcount!BM136</f>
        <v>0</v>
      </c>
      <c r="BV51" s="116">
        <f>Headcount!BN136</f>
        <v>0</v>
      </c>
      <c r="BW51" s="116">
        <f>Headcount!BO136</f>
        <v>0</v>
      </c>
      <c r="BX51" s="116">
        <f>Headcount!BP136</f>
        <v>0</v>
      </c>
      <c r="BY51" s="116">
        <f>Headcount!BQ136</f>
        <v>0</v>
      </c>
      <c r="BZ51" s="116">
        <f>Headcount!BR136</f>
        <v>0</v>
      </c>
      <c r="CA51" s="116">
        <f>Headcount!BS136</f>
        <v>0</v>
      </c>
      <c r="CB51" s="116">
        <f>Headcount!BT136</f>
        <v>0</v>
      </c>
      <c r="CC51" s="116">
        <f>Headcount!BU136</f>
        <v>0</v>
      </c>
      <c r="CD51" s="116">
        <f>Headcount!BV136</f>
        <v>0</v>
      </c>
      <c r="CE51" s="116">
        <f>Headcount!BW136</f>
        <v>0</v>
      </c>
      <c r="CF51" s="116">
        <f>Headcount!BX136</f>
        <v>0</v>
      </c>
      <c r="CG51" s="116">
        <f>Headcount!BY136</f>
        <v>0</v>
      </c>
      <c r="CH51" s="116">
        <f>Headcount!BZ136</f>
        <v>0</v>
      </c>
      <c r="CI51" s="116">
        <f>Headcount!CA136</f>
        <v>0</v>
      </c>
      <c r="CL51" s="117">
        <f t="shared" si="43"/>
        <v>4410</v>
      </c>
      <c r="CM51" s="117">
        <f t="shared" si="44"/>
        <v>8784</v>
      </c>
      <c r="CN51" s="117">
        <f t="shared" si="45"/>
        <v>8593</v>
      </c>
      <c r="CO51" s="117">
        <f t="shared" si="46"/>
        <v>7358</v>
      </c>
      <c r="CP51" s="117">
        <f t="shared" si="47"/>
        <v>9277</v>
      </c>
      <c r="CQ51" s="117">
        <f t="shared" si="48"/>
        <v>10617</v>
      </c>
    </row>
    <row r="52" ht="15.75" customHeight="1" outlineLevel="1">
      <c r="A52" s="1" t="s">
        <v>85</v>
      </c>
      <c r="B52" s="91" t="s">
        <v>65</v>
      </c>
      <c r="C52" s="132" t="s">
        <v>215</v>
      </c>
      <c r="D52" s="247">
        <f t="shared" ref="D52:Z52" si="56">RANDBETWEEN(0,5000)</f>
        <v>1631</v>
      </c>
      <c r="E52" s="247">
        <f t="shared" si="56"/>
        <v>2490</v>
      </c>
      <c r="F52" s="247">
        <f t="shared" si="56"/>
        <v>2717</v>
      </c>
      <c r="G52" s="247">
        <f t="shared" si="56"/>
        <v>4829</v>
      </c>
      <c r="H52" s="247">
        <f t="shared" si="56"/>
        <v>3813</v>
      </c>
      <c r="I52" s="247">
        <f t="shared" si="56"/>
        <v>38</v>
      </c>
      <c r="J52" s="247">
        <f t="shared" si="56"/>
        <v>1167</v>
      </c>
      <c r="K52" s="247">
        <f t="shared" si="56"/>
        <v>265</v>
      </c>
      <c r="L52" s="247">
        <f t="shared" si="56"/>
        <v>3582</v>
      </c>
      <c r="M52" s="247">
        <f t="shared" si="56"/>
        <v>2684</v>
      </c>
      <c r="N52" s="247">
        <f t="shared" si="56"/>
        <v>1932</v>
      </c>
      <c r="O52" s="247">
        <f t="shared" si="56"/>
        <v>3476</v>
      </c>
      <c r="P52" s="247">
        <f t="shared" si="56"/>
        <v>3243</v>
      </c>
      <c r="Q52" s="247">
        <f t="shared" si="56"/>
        <v>2624</v>
      </c>
      <c r="R52" s="247">
        <f t="shared" si="56"/>
        <v>1810</v>
      </c>
      <c r="S52" s="247">
        <f t="shared" si="56"/>
        <v>1991</v>
      </c>
      <c r="T52" s="247">
        <f t="shared" si="56"/>
        <v>4873</v>
      </c>
      <c r="U52" s="247">
        <f t="shared" si="56"/>
        <v>4213</v>
      </c>
      <c r="V52" s="247">
        <f t="shared" si="56"/>
        <v>342</v>
      </c>
      <c r="W52" s="247">
        <f t="shared" si="56"/>
        <v>4878</v>
      </c>
      <c r="X52" s="247">
        <f t="shared" si="56"/>
        <v>4073</v>
      </c>
      <c r="Y52" s="247">
        <f t="shared" si="56"/>
        <v>523</v>
      </c>
      <c r="Z52" s="247">
        <f t="shared" si="56"/>
        <v>4191</v>
      </c>
      <c r="AA52" s="116">
        <f>Headcount!S186</f>
        <v>1914.359331</v>
      </c>
      <c r="AB52" s="116">
        <f>Headcount!T186</f>
        <v>834.4388414</v>
      </c>
      <c r="AC52" s="116">
        <f>Headcount!U186</f>
        <v>992.126524</v>
      </c>
      <c r="AD52" s="116">
        <f>Headcount!V186</f>
        <v>1141.888194</v>
      </c>
      <c r="AE52" s="116">
        <f>Headcount!W186</f>
        <v>1292.31605</v>
      </c>
      <c r="AF52" s="116">
        <f>Headcount!X186</f>
        <v>864.8704292</v>
      </c>
      <c r="AG52" s="116">
        <f>Headcount!Y186</f>
        <v>953.027468</v>
      </c>
      <c r="AH52" s="116">
        <f>Headcount!Z186</f>
        <v>1034.64053</v>
      </c>
      <c r="AI52" s="116">
        <f>Headcount!AA186</f>
        <v>1112.855309</v>
      </c>
      <c r="AJ52" s="116">
        <f>Headcount!AB186</f>
        <v>1188.97851</v>
      </c>
      <c r="AK52" s="116">
        <f>Headcount!AC186</f>
        <v>1255.740085</v>
      </c>
      <c r="AL52" s="116">
        <f>Headcount!AD186</f>
        <v>1325.537557</v>
      </c>
      <c r="AM52" s="116">
        <f>Headcount!AE186</f>
        <v>1395.135472</v>
      </c>
      <c r="AN52" s="116">
        <f>Headcount!AF186</f>
        <v>1444.662109</v>
      </c>
      <c r="AO52" s="116">
        <f>Headcount!AG186</f>
        <v>1454.082561</v>
      </c>
      <c r="AP52" s="116">
        <f>Headcount!AH186</f>
        <v>1476.818218</v>
      </c>
      <c r="AQ52" s="116">
        <f>Headcount!AI186</f>
        <v>1504.387886</v>
      </c>
      <c r="AR52" s="116">
        <f>Headcount!AJ186</f>
        <v>1532.164606</v>
      </c>
      <c r="AS52" s="116">
        <f>Headcount!AK186</f>
        <v>1559.98802</v>
      </c>
      <c r="AT52" s="116">
        <f>Headcount!AL186</f>
        <v>1587.057704</v>
      </c>
      <c r="AU52" s="116">
        <f>Headcount!AM186</f>
        <v>1613.580656</v>
      </c>
      <c r="AV52" s="116">
        <f>Headcount!AN186</f>
        <v>1639.616471</v>
      </c>
      <c r="AW52" s="116">
        <f>Headcount!AO186</f>
        <v>1665.20128</v>
      </c>
      <c r="AX52" s="116">
        <f>Headcount!AP186</f>
        <v>1690.366413</v>
      </c>
      <c r="AY52" s="116">
        <f>Headcount!AQ186</f>
        <v>1715.141262</v>
      </c>
      <c r="AZ52" s="116">
        <f>Headcount!AR186</f>
        <v>1754.93614</v>
      </c>
      <c r="BA52" s="116">
        <f>Headcount!AS186</f>
        <v>1794.267705</v>
      </c>
      <c r="BB52" s="116">
        <f>Headcount!AT186</f>
        <v>1832.606394</v>
      </c>
      <c r="BC52" s="116">
        <f>Headcount!AU186</f>
        <v>1870.215225</v>
      </c>
      <c r="BD52" s="116">
        <f>Headcount!AV186</f>
        <v>1907.164497</v>
      </c>
      <c r="BE52" s="116">
        <f>Headcount!AW186</f>
        <v>1943.494414</v>
      </c>
      <c r="BF52" s="116">
        <f>Headcount!AX186</f>
        <v>1979.239522</v>
      </c>
      <c r="BG52" s="116">
        <f>Headcount!AY186</f>
        <v>2014.432427</v>
      </c>
      <c r="BH52" s="116">
        <f>Headcount!AZ186</f>
        <v>2049.104397</v>
      </c>
      <c r="BI52" s="116">
        <f>Headcount!BA186</f>
        <v>2083.285495</v>
      </c>
      <c r="BJ52" s="116">
        <f>Headcount!BB186</f>
        <v>2117.004644</v>
      </c>
      <c r="BK52" s="116">
        <f>Headcount!BC186</f>
        <v>2150.289671</v>
      </c>
      <c r="BL52" s="116">
        <f>Headcount!BD186</f>
        <v>2541.484782</v>
      </c>
      <c r="BM52" s="116">
        <f>Headcount!BE186</f>
        <v>2558.20779</v>
      </c>
      <c r="BN52" s="116">
        <f>Headcount!BF186</f>
        <v>2585.551334</v>
      </c>
      <c r="BO52" s="116">
        <f>Headcount!BG186</f>
        <v>2615.079531</v>
      </c>
      <c r="BP52" s="116">
        <f>Headcount!BH186</f>
        <v>2644.888969</v>
      </c>
      <c r="BQ52" s="116">
        <f>Headcount!BI186</f>
        <v>2674.708684</v>
      </c>
      <c r="BR52" s="116">
        <f>Headcount!BJ186</f>
        <v>2704.512278</v>
      </c>
      <c r="BS52" s="116">
        <f>Headcount!BK186</f>
        <v>2734.309761</v>
      </c>
      <c r="BT52" s="116">
        <f>Headcount!BL186</f>
        <v>2764.11634</v>
      </c>
      <c r="BU52" s="116">
        <f>Headcount!BM186</f>
        <v>2793.947761</v>
      </c>
      <c r="BV52" s="116">
        <f>Headcount!BN186</f>
        <v>2823.819623</v>
      </c>
      <c r="BW52" s="116">
        <f>Headcount!BO186</f>
        <v>2853.747294</v>
      </c>
      <c r="BX52" s="116">
        <f>Headcount!BP186</f>
        <v>3175.551253</v>
      </c>
      <c r="BY52" s="116">
        <f>Headcount!BQ186</f>
        <v>3141.74391</v>
      </c>
      <c r="BZ52" s="116">
        <f>Headcount!BR186</f>
        <v>3156.585895</v>
      </c>
      <c r="CA52" s="116">
        <f>Headcount!BS186</f>
        <v>3179.260699</v>
      </c>
      <c r="CB52" s="116">
        <f>Headcount!BT186</f>
        <v>3202.923174</v>
      </c>
      <c r="CC52" s="116">
        <f>Headcount!BU186</f>
        <v>3226.566738</v>
      </c>
      <c r="CD52" s="116">
        <f>Headcount!BV186</f>
        <v>3250.059743</v>
      </c>
      <c r="CE52" s="116">
        <f>Headcount!BW186</f>
        <v>3273.400973</v>
      </c>
      <c r="CF52" s="116">
        <f>Headcount!BX186</f>
        <v>3296.607996</v>
      </c>
      <c r="CG52" s="116">
        <f>Headcount!BY186</f>
        <v>3319.700458</v>
      </c>
      <c r="CH52" s="116">
        <f>Headcount!BZ186</f>
        <v>3342.697606</v>
      </c>
      <c r="CI52" s="116">
        <f>Headcount!CA186</f>
        <v>3365.617949</v>
      </c>
      <c r="CL52" s="117">
        <f t="shared" si="43"/>
        <v>11667</v>
      </c>
      <c r="CM52" s="117">
        <f t="shared" si="44"/>
        <v>5283</v>
      </c>
      <c r="CN52" s="117">
        <f t="shared" si="45"/>
        <v>11674</v>
      </c>
      <c r="CO52" s="117">
        <f t="shared" si="46"/>
        <v>9668</v>
      </c>
      <c r="CP52" s="117">
        <f t="shared" si="47"/>
        <v>14306</v>
      </c>
      <c r="CQ52" s="117">
        <f t="shared" si="48"/>
        <v>10701.35933</v>
      </c>
    </row>
    <row r="53" ht="15.75" customHeight="1" outlineLevel="1">
      <c r="A53" s="1" t="s">
        <v>85</v>
      </c>
      <c r="B53" s="91" t="s">
        <v>69</v>
      </c>
      <c r="C53" s="132" t="s">
        <v>216</v>
      </c>
      <c r="D53" s="247">
        <f t="shared" ref="D53:Z53" si="57">RANDBETWEEN(0,5000)</f>
        <v>3901</v>
      </c>
      <c r="E53" s="247">
        <f t="shared" si="57"/>
        <v>3634</v>
      </c>
      <c r="F53" s="247">
        <f t="shared" si="57"/>
        <v>1784</v>
      </c>
      <c r="G53" s="247">
        <f t="shared" si="57"/>
        <v>3393</v>
      </c>
      <c r="H53" s="247">
        <f t="shared" si="57"/>
        <v>1762</v>
      </c>
      <c r="I53" s="247">
        <f t="shared" si="57"/>
        <v>951</v>
      </c>
      <c r="J53" s="247">
        <f t="shared" si="57"/>
        <v>4970</v>
      </c>
      <c r="K53" s="247">
        <f t="shared" si="57"/>
        <v>416</v>
      </c>
      <c r="L53" s="247">
        <f t="shared" si="57"/>
        <v>555</v>
      </c>
      <c r="M53" s="247">
        <f t="shared" si="57"/>
        <v>46</v>
      </c>
      <c r="N53" s="247">
        <f t="shared" si="57"/>
        <v>849</v>
      </c>
      <c r="O53" s="247">
        <f t="shared" si="57"/>
        <v>1013</v>
      </c>
      <c r="P53" s="247">
        <f t="shared" si="57"/>
        <v>4354</v>
      </c>
      <c r="Q53" s="247">
        <f t="shared" si="57"/>
        <v>252</v>
      </c>
      <c r="R53" s="247">
        <f t="shared" si="57"/>
        <v>4069</v>
      </c>
      <c r="S53" s="247">
        <f t="shared" si="57"/>
        <v>4894</v>
      </c>
      <c r="T53" s="247">
        <f t="shared" si="57"/>
        <v>3654</v>
      </c>
      <c r="U53" s="247">
        <f t="shared" si="57"/>
        <v>772</v>
      </c>
      <c r="V53" s="247">
        <f t="shared" si="57"/>
        <v>3916</v>
      </c>
      <c r="W53" s="247">
        <f t="shared" si="57"/>
        <v>2522</v>
      </c>
      <c r="X53" s="247">
        <f t="shared" si="57"/>
        <v>2135</v>
      </c>
      <c r="Y53" s="247">
        <f t="shared" si="57"/>
        <v>2754</v>
      </c>
      <c r="Z53" s="247">
        <f t="shared" si="57"/>
        <v>1715</v>
      </c>
      <c r="AA53" s="511">
        <f>Expenses!T57</f>
        <v>266.048</v>
      </c>
      <c r="AB53" s="511">
        <f>Expenses!U57</f>
        <v>586.048</v>
      </c>
      <c r="AC53" s="511">
        <f>Expenses!V57</f>
        <v>586.048</v>
      </c>
      <c r="AD53" s="511">
        <f>Expenses!W57</f>
        <v>586.048</v>
      </c>
      <c r="AE53" s="511">
        <f>Expenses!X57</f>
        <v>586.048</v>
      </c>
      <c r="AF53" s="511">
        <f>Expenses!Y57</f>
        <v>906.048</v>
      </c>
      <c r="AG53" s="511">
        <f>Expenses!Z57</f>
        <v>906.048</v>
      </c>
      <c r="AH53" s="511">
        <f>Expenses!AA57</f>
        <v>906.048</v>
      </c>
      <c r="AI53" s="511">
        <f>Expenses!AB57</f>
        <v>906.048</v>
      </c>
      <c r="AJ53" s="511">
        <f>Expenses!AC57</f>
        <v>1226.048</v>
      </c>
      <c r="AK53" s="511">
        <f>Expenses!AD57</f>
        <v>1226.048</v>
      </c>
      <c r="AL53" s="511">
        <f>Expenses!AE57</f>
        <v>1226.048</v>
      </c>
      <c r="AM53" s="511">
        <f>Expenses!AF57</f>
        <v>1226.048</v>
      </c>
      <c r="AN53" s="511">
        <f>Expenses!AG57</f>
        <v>1226.048</v>
      </c>
      <c r="AO53" s="511">
        <f>Expenses!AH57</f>
        <v>1226.048</v>
      </c>
      <c r="AP53" s="511">
        <f>Expenses!AI57</f>
        <v>1226.048</v>
      </c>
      <c r="AQ53" s="511">
        <f>Expenses!AJ57</f>
        <v>1226.048</v>
      </c>
      <c r="AR53" s="511">
        <f>Expenses!AK57</f>
        <v>1226.048</v>
      </c>
      <c r="AS53" s="511">
        <f>Expenses!AL57</f>
        <v>1226.048</v>
      </c>
      <c r="AT53" s="511">
        <f>Expenses!AM57</f>
        <v>1226.048</v>
      </c>
      <c r="AU53" s="511">
        <f>Expenses!AN57</f>
        <v>1226.048</v>
      </c>
      <c r="AV53" s="511">
        <f>Expenses!AO57</f>
        <v>1482.048</v>
      </c>
      <c r="AW53" s="511">
        <f>Expenses!AP57</f>
        <v>1482.048</v>
      </c>
      <c r="AX53" s="511">
        <f>Expenses!AQ57</f>
        <v>1482.048</v>
      </c>
      <c r="AY53" s="511">
        <f>Expenses!AR57</f>
        <v>1482.048</v>
      </c>
      <c r="AZ53" s="511">
        <f>Expenses!AS57</f>
        <v>2122.048</v>
      </c>
      <c r="BA53" s="511">
        <f>Expenses!AT57</f>
        <v>2122.048</v>
      </c>
      <c r="BB53" s="511">
        <f>Expenses!AU57</f>
        <v>2122.048</v>
      </c>
      <c r="BC53" s="511">
        <f>Expenses!AV57</f>
        <v>2122.048</v>
      </c>
      <c r="BD53" s="511">
        <f>Expenses!AW57</f>
        <v>2762.048</v>
      </c>
      <c r="BE53" s="511">
        <f>Expenses!AX57</f>
        <v>2762.048</v>
      </c>
      <c r="BF53" s="511">
        <f>Expenses!AY57</f>
        <v>2762.048</v>
      </c>
      <c r="BG53" s="511">
        <f>Expenses!AZ57</f>
        <v>2762.048</v>
      </c>
      <c r="BH53" s="511">
        <f>Expenses!BA57</f>
        <v>3402.048</v>
      </c>
      <c r="BI53" s="511">
        <f>Expenses!BB57</f>
        <v>3402.048</v>
      </c>
      <c r="BJ53" s="511">
        <f>Expenses!BC57</f>
        <v>3402.048</v>
      </c>
      <c r="BK53" s="511">
        <f>Expenses!BD57</f>
        <v>3402.048</v>
      </c>
      <c r="BL53" s="511">
        <f>Expenses!BE57</f>
        <v>3414.848</v>
      </c>
      <c r="BM53" s="511">
        <f>Expenses!BF57</f>
        <v>3414.848</v>
      </c>
      <c r="BN53" s="511">
        <f>Expenses!BG57</f>
        <v>3414.848</v>
      </c>
      <c r="BO53" s="511">
        <f>Expenses!BH57</f>
        <v>3414.848</v>
      </c>
      <c r="BP53" s="511">
        <f>Expenses!BI57</f>
        <v>3427.648</v>
      </c>
      <c r="BQ53" s="511">
        <f>Expenses!BJ57</f>
        <v>3427.648</v>
      </c>
      <c r="BR53" s="511">
        <f>Expenses!BK57</f>
        <v>3427.648</v>
      </c>
      <c r="BS53" s="511">
        <f>Expenses!BL57</f>
        <v>3427.648</v>
      </c>
      <c r="BT53" s="511">
        <f>Expenses!BM57</f>
        <v>3440.448</v>
      </c>
      <c r="BU53" s="511">
        <f>Expenses!BN57</f>
        <v>3440.448</v>
      </c>
      <c r="BV53" s="511">
        <f>Expenses!BO57</f>
        <v>3440.448</v>
      </c>
      <c r="BW53" s="511">
        <f>Expenses!BP57</f>
        <v>3440.448</v>
      </c>
      <c r="BX53" s="511">
        <f>Expenses!BQ57</f>
        <v>3453.248</v>
      </c>
      <c r="BY53" s="511">
        <f>Expenses!BR57</f>
        <v>3453.248</v>
      </c>
      <c r="BZ53" s="511">
        <f>Expenses!BS57</f>
        <v>3453.248</v>
      </c>
      <c r="CA53" s="511">
        <f>Expenses!BT57</f>
        <v>3453.248</v>
      </c>
      <c r="CB53" s="511">
        <f>Expenses!BU57</f>
        <v>3466.048</v>
      </c>
      <c r="CC53" s="511">
        <f>Expenses!BV57</f>
        <v>3466.048</v>
      </c>
      <c r="CD53" s="511">
        <f>Expenses!BW57</f>
        <v>3466.048</v>
      </c>
      <c r="CE53" s="511">
        <f>Expenses!BX57</f>
        <v>3466.048</v>
      </c>
      <c r="CF53" s="511">
        <f>Expenses!BY57</f>
        <v>3626.048</v>
      </c>
      <c r="CG53" s="511">
        <f>Expenses!BZ57</f>
        <v>3626.048</v>
      </c>
      <c r="CH53" s="511">
        <f>Expenses!CA57</f>
        <v>3626.048</v>
      </c>
      <c r="CI53" s="511">
        <f>Expenses!CB57</f>
        <v>3626.048</v>
      </c>
      <c r="CL53" s="117">
        <f t="shared" si="43"/>
        <v>12712</v>
      </c>
      <c r="CM53" s="117">
        <f t="shared" si="44"/>
        <v>8099</v>
      </c>
      <c r="CN53" s="117">
        <f t="shared" si="45"/>
        <v>2463</v>
      </c>
      <c r="CO53" s="117">
        <f t="shared" si="46"/>
        <v>13569</v>
      </c>
      <c r="CP53" s="117">
        <f t="shared" si="47"/>
        <v>10864</v>
      </c>
      <c r="CQ53" s="117">
        <f t="shared" si="48"/>
        <v>6870.048</v>
      </c>
    </row>
    <row r="54" ht="15.75" customHeight="1" outlineLevel="1">
      <c r="A54" s="1" t="s">
        <v>85</v>
      </c>
      <c r="B54" s="91" t="s">
        <v>71</v>
      </c>
      <c r="C54" s="132" t="s">
        <v>217</v>
      </c>
      <c r="D54" s="247"/>
      <c r="E54" s="247"/>
      <c r="F54" s="247"/>
      <c r="G54" s="247"/>
      <c r="H54" s="247"/>
      <c r="I54" s="247"/>
      <c r="J54" s="247"/>
      <c r="K54" s="247"/>
      <c r="L54" s="247"/>
      <c r="M54" s="247"/>
      <c r="N54" s="247"/>
      <c r="O54" s="247"/>
      <c r="P54" s="247"/>
      <c r="Q54" s="247"/>
      <c r="R54" s="247"/>
      <c r="S54" s="247"/>
      <c r="T54" s="247"/>
      <c r="U54" s="247"/>
      <c r="V54" s="247"/>
      <c r="W54" s="247"/>
      <c r="X54" s="247"/>
      <c r="Y54" s="247"/>
      <c r="Z54" s="247"/>
      <c r="AA54" s="117">
        <f t="shared" ref="AA54:CI54" si="58">AA260</f>
        <v>35360.56091</v>
      </c>
      <c r="AB54" s="117">
        <f t="shared" si="58"/>
        <v>41308.38657</v>
      </c>
      <c r="AC54" s="117">
        <f t="shared" si="58"/>
        <v>41599.46977</v>
      </c>
      <c r="AD54" s="117">
        <f t="shared" si="58"/>
        <v>41560.51361</v>
      </c>
      <c r="AE54" s="117">
        <f t="shared" si="58"/>
        <v>44705.69908</v>
      </c>
      <c r="AF54" s="117">
        <f t="shared" si="58"/>
        <v>49843.72355</v>
      </c>
      <c r="AG54" s="117">
        <f t="shared" si="58"/>
        <v>49423.15071</v>
      </c>
      <c r="AH54" s="117">
        <f t="shared" si="58"/>
        <v>48457.52277</v>
      </c>
      <c r="AI54" s="117">
        <f t="shared" si="58"/>
        <v>52164.02227</v>
      </c>
      <c r="AJ54" s="117">
        <f t="shared" si="58"/>
        <v>57241.39313</v>
      </c>
      <c r="AK54" s="117">
        <f t="shared" si="58"/>
        <v>60276.57531</v>
      </c>
      <c r="AL54" s="117">
        <f t="shared" si="58"/>
        <v>59054.51675</v>
      </c>
      <c r="AM54" s="117">
        <f t="shared" si="58"/>
        <v>62167.41801</v>
      </c>
      <c r="AN54" s="117">
        <f t="shared" si="58"/>
        <v>64452.62989</v>
      </c>
      <c r="AO54" s="117">
        <f t="shared" si="58"/>
        <v>62754.19926</v>
      </c>
      <c r="AP54" s="117">
        <f t="shared" si="58"/>
        <v>61513.16742</v>
      </c>
      <c r="AQ54" s="117">
        <f t="shared" si="58"/>
        <v>64457.40325</v>
      </c>
      <c r="AR54" s="117">
        <f t="shared" si="58"/>
        <v>67882.82215</v>
      </c>
      <c r="AS54" s="117">
        <f t="shared" si="58"/>
        <v>66448.54445</v>
      </c>
      <c r="AT54" s="117">
        <f t="shared" si="58"/>
        <v>64603.33662</v>
      </c>
      <c r="AU54" s="117">
        <f t="shared" si="58"/>
        <v>67372.4797</v>
      </c>
      <c r="AV54" s="117">
        <f t="shared" si="58"/>
        <v>70957.62429</v>
      </c>
      <c r="AW54" s="117">
        <f t="shared" si="58"/>
        <v>69363.99433</v>
      </c>
      <c r="AX54" s="117">
        <f t="shared" si="58"/>
        <v>67701.74937</v>
      </c>
      <c r="AY54" s="117">
        <f t="shared" si="58"/>
        <v>70807.76603</v>
      </c>
      <c r="AZ54" s="117">
        <f t="shared" si="58"/>
        <v>72748.58671</v>
      </c>
      <c r="BA54" s="117">
        <f t="shared" si="58"/>
        <v>70963.15674</v>
      </c>
      <c r="BB54" s="117">
        <f t="shared" si="58"/>
        <v>69057.45996</v>
      </c>
      <c r="BC54" s="117">
        <f t="shared" si="58"/>
        <v>72268.92522</v>
      </c>
      <c r="BD54" s="117">
        <f t="shared" si="58"/>
        <v>76801.63822</v>
      </c>
      <c r="BE54" s="117">
        <f t="shared" si="58"/>
        <v>74946.97892</v>
      </c>
      <c r="BF54" s="117">
        <f t="shared" si="58"/>
        <v>77643.72835</v>
      </c>
      <c r="BG54" s="117">
        <f t="shared" si="58"/>
        <v>81013.40564</v>
      </c>
      <c r="BH54" s="117">
        <f t="shared" si="58"/>
        <v>85826.09865</v>
      </c>
      <c r="BI54" s="117">
        <f t="shared" si="58"/>
        <v>83850.0081</v>
      </c>
      <c r="BJ54" s="117">
        <f t="shared" si="58"/>
        <v>81825.66488</v>
      </c>
      <c r="BK54" s="117">
        <f t="shared" si="58"/>
        <v>85333.90941</v>
      </c>
      <c r="BL54" s="117">
        <f t="shared" si="58"/>
        <v>89806.13813</v>
      </c>
      <c r="BM54" s="117">
        <f t="shared" si="58"/>
        <v>87604.07154</v>
      </c>
      <c r="BN54" s="117">
        <f t="shared" si="58"/>
        <v>85546.55952</v>
      </c>
      <c r="BO54" s="117">
        <f t="shared" si="58"/>
        <v>89012.72647</v>
      </c>
      <c r="BP54" s="117">
        <f t="shared" si="58"/>
        <v>93718.52664</v>
      </c>
      <c r="BQ54" s="117">
        <f t="shared" si="58"/>
        <v>93731.40699</v>
      </c>
      <c r="BR54" s="117">
        <f t="shared" si="58"/>
        <v>91551.02162</v>
      </c>
      <c r="BS54" s="117">
        <f t="shared" si="58"/>
        <v>99564.40901</v>
      </c>
      <c r="BT54" s="117">
        <f t="shared" si="58"/>
        <v>104540.8038</v>
      </c>
      <c r="BU54" s="117">
        <f t="shared" si="58"/>
        <v>102297.1833</v>
      </c>
      <c r="BV54" s="117">
        <f t="shared" si="58"/>
        <v>100054.2974</v>
      </c>
      <c r="BW54" s="117">
        <f t="shared" si="58"/>
        <v>103704.6394</v>
      </c>
      <c r="BX54" s="117">
        <f t="shared" si="58"/>
        <v>108778.1733</v>
      </c>
      <c r="BY54" s="117">
        <f t="shared" si="58"/>
        <v>106547.5493</v>
      </c>
      <c r="BZ54" s="117">
        <f t="shared" si="58"/>
        <v>104333.0213</v>
      </c>
      <c r="CA54" s="117">
        <f t="shared" si="58"/>
        <v>108026.7913</v>
      </c>
      <c r="CB54" s="117">
        <f t="shared" si="58"/>
        <v>111706.718</v>
      </c>
      <c r="CC54" s="117">
        <f t="shared" si="58"/>
        <v>111583.057</v>
      </c>
      <c r="CD54" s="117">
        <f t="shared" si="58"/>
        <v>109281.3592</v>
      </c>
      <c r="CE54" s="117">
        <f t="shared" si="58"/>
        <v>112940.9447</v>
      </c>
      <c r="CF54" s="117">
        <f t="shared" si="58"/>
        <v>116676.3976</v>
      </c>
      <c r="CG54" s="117">
        <f t="shared" si="58"/>
        <v>114330.8388</v>
      </c>
      <c r="CH54" s="117">
        <f t="shared" si="58"/>
        <v>111968.8091</v>
      </c>
      <c r="CI54" s="117">
        <f t="shared" si="58"/>
        <v>115666.0111</v>
      </c>
      <c r="CL54" s="117">
        <f t="shared" si="43"/>
        <v>0</v>
      </c>
      <c r="CM54" s="117">
        <f t="shared" si="44"/>
        <v>0</v>
      </c>
      <c r="CN54" s="117">
        <f t="shared" si="45"/>
        <v>0</v>
      </c>
      <c r="CO54" s="117">
        <f t="shared" si="46"/>
        <v>0</v>
      </c>
      <c r="CP54" s="117">
        <f t="shared" si="47"/>
        <v>0</v>
      </c>
      <c r="CQ54" s="117">
        <f t="shared" si="48"/>
        <v>35360.56091</v>
      </c>
    </row>
    <row r="55" ht="15.75" customHeight="1" outlineLevel="1">
      <c r="A55" s="1" t="s">
        <v>85</v>
      </c>
      <c r="B55" s="91" t="s">
        <v>67</v>
      </c>
      <c r="C55" s="146" t="s">
        <v>218</v>
      </c>
      <c r="D55" s="247">
        <f t="shared" ref="D55:Z55" si="59">RANDBETWEEN(0,5000)</f>
        <v>1278</v>
      </c>
      <c r="E55" s="247">
        <f t="shared" si="59"/>
        <v>720</v>
      </c>
      <c r="F55" s="247">
        <f t="shared" si="59"/>
        <v>4923</v>
      </c>
      <c r="G55" s="247">
        <f t="shared" si="59"/>
        <v>3419</v>
      </c>
      <c r="H55" s="247">
        <f t="shared" si="59"/>
        <v>1716</v>
      </c>
      <c r="I55" s="247">
        <f t="shared" si="59"/>
        <v>4674</v>
      </c>
      <c r="J55" s="247">
        <f t="shared" si="59"/>
        <v>1744</v>
      </c>
      <c r="K55" s="247">
        <f t="shared" si="59"/>
        <v>660</v>
      </c>
      <c r="L55" s="247">
        <f t="shared" si="59"/>
        <v>407</v>
      </c>
      <c r="M55" s="247">
        <f t="shared" si="59"/>
        <v>334</v>
      </c>
      <c r="N55" s="247">
        <f t="shared" si="59"/>
        <v>2767</v>
      </c>
      <c r="O55" s="247">
        <f t="shared" si="59"/>
        <v>3337</v>
      </c>
      <c r="P55" s="247">
        <f t="shared" si="59"/>
        <v>2833</v>
      </c>
      <c r="Q55" s="247">
        <f t="shared" si="59"/>
        <v>2078</v>
      </c>
      <c r="R55" s="247">
        <f t="shared" si="59"/>
        <v>3708</v>
      </c>
      <c r="S55" s="247">
        <f t="shared" si="59"/>
        <v>2075</v>
      </c>
      <c r="T55" s="247">
        <f t="shared" si="59"/>
        <v>4082</v>
      </c>
      <c r="U55" s="247">
        <f t="shared" si="59"/>
        <v>4390</v>
      </c>
      <c r="V55" s="247">
        <f t="shared" si="59"/>
        <v>1373</v>
      </c>
      <c r="W55" s="247">
        <f t="shared" si="59"/>
        <v>2514</v>
      </c>
      <c r="X55" s="247">
        <f t="shared" si="59"/>
        <v>4996</v>
      </c>
      <c r="Y55" s="247">
        <f t="shared" si="59"/>
        <v>4706</v>
      </c>
      <c r="Z55" s="247">
        <f t="shared" si="59"/>
        <v>4773</v>
      </c>
      <c r="AA55" s="116">
        <f>Expenses!T103</f>
        <v>941.1021</v>
      </c>
      <c r="AB55" s="116">
        <f>Expenses!U103</f>
        <v>1035.21231</v>
      </c>
      <c r="AC55" s="116">
        <f>Expenses!V103</f>
        <v>1045.564433</v>
      </c>
      <c r="AD55" s="116">
        <f>Expenses!W103</f>
        <v>1056.020077</v>
      </c>
      <c r="AE55" s="116">
        <f>Expenses!X103</f>
        <v>1066.580278</v>
      </c>
      <c r="AF55" s="116">
        <f>Expenses!Y103</f>
        <v>1077.246081</v>
      </c>
      <c r="AG55" s="116">
        <f>Expenses!Z103</f>
        <v>1088.018542</v>
      </c>
      <c r="AH55" s="116">
        <f>Expenses!AA103</f>
        <v>1098.898727</v>
      </c>
      <c r="AI55" s="116">
        <f>Expenses!AB103</f>
        <v>1109.887714</v>
      </c>
      <c r="AJ55" s="116">
        <f>Expenses!AC103</f>
        <v>1120.986592</v>
      </c>
      <c r="AK55" s="116">
        <f>Expenses!AD103</f>
        <v>1132.196458</v>
      </c>
      <c r="AL55" s="116">
        <f>Expenses!AE103</f>
        <v>1143.518422</v>
      </c>
      <c r="AM55" s="116">
        <f>Expenses!AF103</f>
        <v>1154.953606</v>
      </c>
      <c r="AN55" s="116">
        <f>Expenses!AG103</f>
        <v>1166.503142</v>
      </c>
      <c r="AO55" s="116">
        <f>Expenses!AH103</f>
        <v>1178.168174</v>
      </c>
      <c r="AP55" s="116">
        <f>Expenses!AI103</f>
        <v>1189.949856</v>
      </c>
      <c r="AQ55" s="116">
        <f>Expenses!AJ103</f>
        <v>1201.849354</v>
      </c>
      <c r="AR55" s="116">
        <f>Expenses!AK103</f>
        <v>1213.867848</v>
      </c>
      <c r="AS55" s="116">
        <f>Expenses!AL103</f>
        <v>1226.006526</v>
      </c>
      <c r="AT55" s="116">
        <f>Expenses!AM103</f>
        <v>1238.266591</v>
      </c>
      <c r="AU55" s="116">
        <f>Expenses!AN103</f>
        <v>1250.649257</v>
      </c>
      <c r="AV55" s="116">
        <f>Expenses!AO103</f>
        <v>1263.15575</v>
      </c>
      <c r="AW55" s="116">
        <f>Expenses!AP103</f>
        <v>1275.787307</v>
      </c>
      <c r="AX55" s="116">
        <f>Expenses!AQ103</f>
        <v>1288.54518</v>
      </c>
      <c r="AY55" s="116">
        <f>Expenses!AR103</f>
        <v>1301.430632</v>
      </c>
      <c r="AZ55" s="116">
        <f>Expenses!AS103</f>
        <v>1314.444939</v>
      </c>
      <c r="BA55" s="116">
        <f>Expenses!AT103</f>
        <v>1327.589388</v>
      </c>
      <c r="BB55" s="116">
        <f>Expenses!AU103</f>
        <v>1340.865282</v>
      </c>
      <c r="BC55" s="116">
        <f>Expenses!AV103</f>
        <v>1354.273935</v>
      </c>
      <c r="BD55" s="116">
        <f>Expenses!AW103</f>
        <v>1367.816674</v>
      </c>
      <c r="BE55" s="116">
        <f>Expenses!AX103</f>
        <v>1381.494841</v>
      </c>
      <c r="BF55" s="116">
        <f>Expenses!AY103</f>
        <v>1395.309789</v>
      </c>
      <c r="BG55" s="116">
        <f>Expenses!AZ103</f>
        <v>1409.262887</v>
      </c>
      <c r="BH55" s="116">
        <f>Expenses!BA103</f>
        <v>1423.355516</v>
      </c>
      <c r="BI55" s="116">
        <f>Expenses!BB103</f>
        <v>1437.589071</v>
      </c>
      <c r="BJ55" s="116">
        <f>Expenses!BC103</f>
        <v>1451.964962</v>
      </c>
      <c r="BK55" s="116">
        <f>Expenses!BD103</f>
        <v>1466.484611</v>
      </c>
      <c r="BL55" s="116">
        <f>Expenses!BE103</f>
        <v>1481.149458</v>
      </c>
      <c r="BM55" s="116">
        <f>Expenses!BF103</f>
        <v>1495.960952</v>
      </c>
      <c r="BN55" s="116">
        <f>Expenses!BG103</f>
        <v>1510.920562</v>
      </c>
      <c r="BO55" s="116">
        <f>Expenses!BH103</f>
        <v>1526.029767</v>
      </c>
      <c r="BP55" s="116">
        <f>Expenses!BI103</f>
        <v>1541.290065</v>
      </c>
      <c r="BQ55" s="116">
        <f>Expenses!BJ103</f>
        <v>1556.702966</v>
      </c>
      <c r="BR55" s="116">
        <f>Expenses!BK103</f>
        <v>1572.269995</v>
      </c>
      <c r="BS55" s="116">
        <f>Expenses!BL103</f>
        <v>1587.992695</v>
      </c>
      <c r="BT55" s="116">
        <f>Expenses!BM103</f>
        <v>1603.872622</v>
      </c>
      <c r="BU55" s="116">
        <f>Expenses!BN103</f>
        <v>1619.911348</v>
      </c>
      <c r="BV55" s="116">
        <f>Expenses!BO103</f>
        <v>1636.110462</v>
      </c>
      <c r="BW55" s="116">
        <f>Expenses!BP103</f>
        <v>1652.471566</v>
      </c>
      <c r="BX55" s="116">
        <f>Expenses!BQ103</f>
        <v>1668.996282</v>
      </c>
      <c r="BY55" s="116">
        <f>Expenses!BR103</f>
        <v>1685.686245</v>
      </c>
      <c r="BZ55" s="116">
        <f>Expenses!BS103</f>
        <v>1702.543107</v>
      </c>
      <c r="CA55" s="116">
        <f>Expenses!BT103</f>
        <v>1719.568538</v>
      </c>
      <c r="CB55" s="116">
        <f>Expenses!BU103</f>
        <v>1736.764224</v>
      </c>
      <c r="CC55" s="116">
        <f>Expenses!BV103</f>
        <v>1754.131866</v>
      </c>
      <c r="CD55" s="116">
        <f>Expenses!BW103</f>
        <v>1771.673185</v>
      </c>
      <c r="CE55" s="116">
        <f>Expenses!BX103</f>
        <v>1789.389917</v>
      </c>
      <c r="CF55" s="116">
        <f>Expenses!BY103</f>
        <v>1807.283816</v>
      </c>
      <c r="CG55" s="116">
        <f>Expenses!BZ103</f>
        <v>1825.356654</v>
      </c>
      <c r="CH55" s="116">
        <f>Expenses!CA103</f>
        <v>1843.61022</v>
      </c>
      <c r="CI55" s="116">
        <f>Expenses!CB103</f>
        <v>1862.046323</v>
      </c>
      <c r="CL55" s="117"/>
      <c r="CM55" s="117"/>
      <c r="CN55" s="117"/>
      <c r="CO55" s="117"/>
      <c r="CP55" s="117"/>
      <c r="CQ55" s="117"/>
    </row>
    <row r="56" ht="15.75" customHeight="1" outlineLevel="1">
      <c r="A56" s="1" t="s">
        <v>85</v>
      </c>
      <c r="B56" s="91" t="s">
        <v>67</v>
      </c>
      <c r="C56" s="146" t="s">
        <v>219</v>
      </c>
      <c r="D56" s="247">
        <f t="shared" ref="D56:Z56" si="60">RANDBETWEEN(0,5000)</f>
        <v>4589</v>
      </c>
      <c r="E56" s="247">
        <f t="shared" si="60"/>
        <v>3122</v>
      </c>
      <c r="F56" s="247">
        <f t="shared" si="60"/>
        <v>2812</v>
      </c>
      <c r="G56" s="247">
        <f t="shared" si="60"/>
        <v>4141</v>
      </c>
      <c r="H56" s="247">
        <f t="shared" si="60"/>
        <v>4040</v>
      </c>
      <c r="I56" s="247">
        <f t="shared" si="60"/>
        <v>2453</v>
      </c>
      <c r="J56" s="247">
        <f t="shared" si="60"/>
        <v>631</v>
      </c>
      <c r="K56" s="247">
        <f t="shared" si="60"/>
        <v>1171</v>
      </c>
      <c r="L56" s="247">
        <f t="shared" si="60"/>
        <v>1205</v>
      </c>
      <c r="M56" s="247">
        <f t="shared" si="60"/>
        <v>4114</v>
      </c>
      <c r="N56" s="247">
        <f t="shared" si="60"/>
        <v>4461</v>
      </c>
      <c r="O56" s="247">
        <f t="shared" si="60"/>
        <v>1612</v>
      </c>
      <c r="P56" s="247">
        <f t="shared" si="60"/>
        <v>1183</v>
      </c>
      <c r="Q56" s="247">
        <f t="shared" si="60"/>
        <v>1867</v>
      </c>
      <c r="R56" s="247">
        <f t="shared" si="60"/>
        <v>3184</v>
      </c>
      <c r="S56" s="247">
        <f t="shared" si="60"/>
        <v>1484</v>
      </c>
      <c r="T56" s="247">
        <f t="shared" si="60"/>
        <v>4349</v>
      </c>
      <c r="U56" s="247">
        <f t="shared" si="60"/>
        <v>3998</v>
      </c>
      <c r="V56" s="247">
        <f t="shared" si="60"/>
        <v>1617</v>
      </c>
      <c r="W56" s="247">
        <f t="shared" si="60"/>
        <v>1355</v>
      </c>
      <c r="X56" s="247">
        <f t="shared" si="60"/>
        <v>3256</v>
      </c>
      <c r="Y56" s="247">
        <f t="shared" si="60"/>
        <v>424</v>
      </c>
      <c r="Z56" s="247">
        <f t="shared" si="60"/>
        <v>4890</v>
      </c>
      <c r="AA56" s="116">
        <f>Expenses!T112</f>
        <v>1411.65315</v>
      </c>
      <c r="AB56" s="116">
        <f>Expenses!U112</f>
        <v>1552.818465</v>
      </c>
      <c r="AC56" s="116">
        <f>Expenses!V112</f>
        <v>1568.34665</v>
      </c>
      <c r="AD56" s="116">
        <f>Expenses!W112</f>
        <v>1584.030116</v>
      </c>
      <c r="AE56" s="116">
        <f>Expenses!X112</f>
        <v>1599.870417</v>
      </c>
      <c r="AF56" s="116">
        <f>Expenses!Y112</f>
        <v>1615.869121</v>
      </c>
      <c r="AG56" s="116">
        <f>Expenses!Z112</f>
        <v>1632.027813</v>
      </c>
      <c r="AH56" s="116">
        <f>Expenses!AA112</f>
        <v>1648.348091</v>
      </c>
      <c r="AI56" s="116">
        <f>Expenses!AB112</f>
        <v>1664.831572</v>
      </c>
      <c r="AJ56" s="116">
        <f>Expenses!AC112</f>
        <v>1681.479887</v>
      </c>
      <c r="AK56" s="116">
        <f>Expenses!AD112</f>
        <v>1698.294686</v>
      </c>
      <c r="AL56" s="116">
        <f>Expenses!AE112</f>
        <v>1715.277633</v>
      </c>
      <c r="AM56" s="116">
        <f>Expenses!AF112</f>
        <v>1732.43041</v>
      </c>
      <c r="AN56" s="116">
        <f>Expenses!AG112</f>
        <v>1749.754714</v>
      </c>
      <c r="AO56" s="116">
        <f>Expenses!AH112</f>
        <v>1767.252261</v>
      </c>
      <c r="AP56" s="116">
        <f>Expenses!AI112</f>
        <v>1784.924783</v>
      </c>
      <c r="AQ56" s="116">
        <f>Expenses!AJ112</f>
        <v>1802.774031</v>
      </c>
      <c r="AR56" s="116">
        <f>Expenses!AK112</f>
        <v>1820.801772</v>
      </c>
      <c r="AS56" s="116">
        <f>Expenses!AL112</f>
        <v>1839.009789</v>
      </c>
      <c r="AT56" s="116">
        <f>Expenses!AM112</f>
        <v>1857.399887</v>
      </c>
      <c r="AU56" s="116">
        <f>Expenses!AN112</f>
        <v>1875.973886</v>
      </c>
      <c r="AV56" s="116">
        <f>Expenses!AO112</f>
        <v>1894.733625</v>
      </c>
      <c r="AW56" s="116">
        <f>Expenses!AP112</f>
        <v>1913.680961</v>
      </c>
      <c r="AX56" s="116">
        <f>Expenses!AQ112</f>
        <v>1932.817771</v>
      </c>
      <c r="AY56" s="116">
        <f>Expenses!AR112</f>
        <v>1952.145948</v>
      </c>
      <c r="AZ56" s="116">
        <f>Expenses!AS112</f>
        <v>1971.667408</v>
      </c>
      <c r="BA56" s="116">
        <f>Expenses!AT112</f>
        <v>1991.384082</v>
      </c>
      <c r="BB56" s="116">
        <f>Expenses!AU112</f>
        <v>2011.297923</v>
      </c>
      <c r="BC56" s="116">
        <f>Expenses!AV112</f>
        <v>2031.410902</v>
      </c>
      <c r="BD56" s="116">
        <f>Expenses!AW112</f>
        <v>2051.725011</v>
      </c>
      <c r="BE56" s="116">
        <f>Expenses!AX112</f>
        <v>2072.242261</v>
      </c>
      <c r="BF56" s="116">
        <f>Expenses!AY112</f>
        <v>2092.964684</v>
      </c>
      <c r="BG56" s="116">
        <f>Expenses!AZ112</f>
        <v>2113.894331</v>
      </c>
      <c r="BH56" s="116">
        <f>Expenses!BA112</f>
        <v>2135.033274</v>
      </c>
      <c r="BI56" s="116">
        <f>Expenses!BB112</f>
        <v>2156.383607</v>
      </c>
      <c r="BJ56" s="116">
        <f>Expenses!BC112</f>
        <v>2177.947443</v>
      </c>
      <c r="BK56" s="116">
        <f>Expenses!BD112</f>
        <v>2199.726917</v>
      </c>
      <c r="BL56" s="116">
        <f>Expenses!BE112</f>
        <v>2221.724186</v>
      </c>
      <c r="BM56" s="116">
        <f>Expenses!BF112</f>
        <v>2243.941428</v>
      </c>
      <c r="BN56" s="116">
        <f>Expenses!BG112</f>
        <v>2266.380842</v>
      </c>
      <c r="BO56" s="116">
        <f>Expenses!BH112</f>
        <v>2289.044651</v>
      </c>
      <c r="BP56" s="116">
        <f>Expenses!BI112</f>
        <v>2311.935097</v>
      </c>
      <c r="BQ56" s="116">
        <f>Expenses!BJ112</f>
        <v>2335.054448</v>
      </c>
      <c r="BR56" s="116">
        <f>Expenses!BK112</f>
        <v>2358.404993</v>
      </c>
      <c r="BS56" s="116">
        <f>Expenses!BL112</f>
        <v>2381.989043</v>
      </c>
      <c r="BT56" s="116">
        <f>Expenses!BM112</f>
        <v>2405.808933</v>
      </c>
      <c r="BU56" s="116">
        <f>Expenses!BN112</f>
        <v>2429.867023</v>
      </c>
      <c r="BV56" s="116">
        <f>Expenses!BO112</f>
        <v>2454.165693</v>
      </c>
      <c r="BW56" s="116">
        <f>Expenses!BP112</f>
        <v>2478.70735</v>
      </c>
      <c r="BX56" s="116">
        <f>Expenses!BQ112</f>
        <v>2503.494423</v>
      </c>
      <c r="BY56" s="116">
        <f>Expenses!BR112</f>
        <v>2528.529367</v>
      </c>
      <c r="BZ56" s="116">
        <f>Expenses!BS112</f>
        <v>2553.814661</v>
      </c>
      <c r="CA56" s="116">
        <f>Expenses!BT112</f>
        <v>2579.352808</v>
      </c>
      <c r="CB56" s="116">
        <f>Expenses!BU112</f>
        <v>2605.146336</v>
      </c>
      <c r="CC56" s="116">
        <f>Expenses!BV112</f>
        <v>2631.197799</v>
      </c>
      <c r="CD56" s="116">
        <f>Expenses!BW112</f>
        <v>2657.509777</v>
      </c>
      <c r="CE56" s="116">
        <f>Expenses!BX112</f>
        <v>2684.084875</v>
      </c>
      <c r="CF56" s="116">
        <f>Expenses!BY112</f>
        <v>2710.925724</v>
      </c>
      <c r="CG56" s="116">
        <f>Expenses!BZ112</f>
        <v>2738.034981</v>
      </c>
      <c r="CH56" s="116">
        <f>Expenses!CA112</f>
        <v>2765.415331</v>
      </c>
      <c r="CI56" s="116">
        <f>Expenses!CB112</f>
        <v>2793.069484</v>
      </c>
      <c r="CL56" s="117"/>
      <c r="CM56" s="117"/>
      <c r="CN56" s="117"/>
      <c r="CO56" s="117"/>
      <c r="CP56" s="117"/>
      <c r="CQ56" s="117"/>
    </row>
    <row r="57" ht="15.75" customHeight="1" outlineLevel="1">
      <c r="A57" s="1" t="s">
        <v>85</v>
      </c>
      <c r="B57" s="91" t="s">
        <v>67</v>
      </c>
      <c r="C57" s="146" t="s">
        <v>220</v>
      </c>
      <c r="D57" s="247">
        <f t="shared" ref="D57:Z57" si="61">RANDBETWEEN(0,5000)</f>
        <v>2023</v>
      </c>
      <c r="E57" s="247">
        <f t="shared" si="61"/>
        <v>4705</v>
      </c>
      <c r="F57" s="247">
        <f t="shared" si="61"/>
        <v>2417</v>
      </c>
      <c r="G57" s="247">
        <f t="shared" si="61"/>
        <v>380</v>
      </c>
      <c r="H57" s="247">
        <f t="shared" si="61"/>
        <v>4972</v>
      </c>
      <c r="I57" s="247">
        <f t="shared" si="61"/>
        <v>682</v>
      </c>
      <c r="J57" s="247">
        <f t="shared" si="61"/>
        <v>884</v>
      </c>
      <c r="K57" s="247">
        <f t="shared" si="61"/>
        <v>2615</v>
      </c>
      <c r="L57" s="247">
        <f t="shared" si="61"/>
        <v>1704</v>
      </c>
      <c r="M57" s="247">
        <f t="shared" si="61"/>
        <v>3480</v>
      </c>
      <c r="N57" s="247">
        <f t="shared" si="61"/>
        <v>875</v>
      </c>
      <c r="O57" s="247">
        <f t="shared" si="61"/>
        <v>443</v>
      </c>
      <c r="P57" s="247">
        <f t="shared" si="61"/>
        <v>2081</v>
      </c>
      <c r="Q57" s="247">
        <f t="shared" si="61"/>
        <v>2598</v>
      </c>
      <c r="R57" s="247">
        <f t="shared" si="61"/>
        <v>2547</v>
      </c>
      <c r="S57" s="247">
        <f t="shared" si="61"/>
        <v>1605</v>
      </c>
      <c r="T57" s="247">
        <f t="shared" si="61"/>
        <v>1065</v>
      </c>
      <c r="U57" s="247">
        <f t="shared" si="61"/>
        <v>1324</v>
      </c>
      <c r="V57" s="247">
        <f t="shared" si="61"/>
        <v>1623</v>
      </c>
      <c r="W57" s="247">
        <f t="shared" si="61"/>
        <v>3868</v>
      </c>
      <c r="X57" s="247">
        <f t="shared" si="61"/>
        <v>115</v>
      </c>
      <c r="Y57" s="247">
        <f t="shared" si="61"/>
        <v>2685</v>
      </c>
      <c r="Z57" s="247">
        <f t="shared" si="61"/>
        <v>4828</v>
      </c>
      <c r="AA57" s="116">
        <f>Expenses!T120</f>
        <v>1568.5035</v>
      </c>
      <c r="AB57" s="116">
        <f>Expenses!U120</f>
        <v>1725.35385</v>
      </c>
      <c r="AC57" s="116">
        <f>Expenses!V120</f>
        <v>1742.607389</v>
      </c>
      <c r="AD57" s="116">
        <f>Expenses!W120</f>
        <v>1760.033462</v>
      </c>
      <c r="AE57" s="116">
        <f>Expenses!X120</f>
        <v>1777.633797</v>
      </c>
      <c r="AF57" s="116">
        <f>Expenses!Y120</f>
        <v>1795.410135</v>
      </c>
      <c r="AG57" s="116">
        <f>Expenses!Z120</f>
        <v>1813.364236</v>
      </c>
      <c r="AH57" s="116">
        <f>Expenses!AA120</f>
        <v>1831.497879</v>
      </c>
      <c r="AI57" s="116">
        <f>Expenses!AB120</f>
        <v>1849.812857</v>
      </c>
      <c r="AJ57" s="116">
        <f>Expenses!AC120</f>
        <v>1868.310986</v>
      </c>
      <c r="AK57" s="116">
        <f>Expenses!AD120</f>
        <v>1886.994096</v>
      </c>
      <c r="AL57" s="116">
        <f>Expenses!AE120</f>
        <v>1905.864037</v>
      </c>
      <c r="AM57" s="116">
        <f>Expenses!AF120</f>
        <v>1924.922677</v>
      </c>
      <c r="AN57" s="116">
        <f>Expenses!AG120</f>
        <v>1944.171904</v>
      </c>
      <c r="AO57" s="116">
        <f>Expenses!AH120</f>
        <v>1963.613623</v>
      </c>
      <c r="AP57" s="116">
        <f>Expenses!AI120</f>
        <v>1983.249759</v>
      </c>
      <c r="AQ57" s="116">
        <f>Expenses!AJ120</f>
        <v>2003.082257</v>
      </c>
      <c r="AR57" s="116">
        <f>Expenses!AK120</f>
        <v>2023.113079</v>
      </c>
      <c r="AS57" s="116">
        <f>Expenses!AL120</f>
        <v>2043.34421</v>
      </c>
      <c r="AT57" s="116">
        <f>Expenses!AM120</f>
        <v>2063.777652</v>
      </c>
      <c r="AU57" s="116">
        <f>Expenses!AN120</f>
        <v>2084.415429</v>
      </c>
      <c r="AV57" s="116">
        <f>Expenses!AO120</f>
        <v>2105.259583</v>
      </c>
      <c r="AW57" s="116">
        <f>Expenses!AP120</f>
        <v>2126.312179</v>
      </c>
      <c r="AX57" s="116">
        <f>Expenses!AQ120</f>
        <v>2147.575301</v>
      </c>
      <c r="AY57" s="116">
        <f>Expenses!AR120</f>
        <v>2169.051054</v>
      </c>
      <c r="AZ57" s="116">
        <f>Expenses!AS120</f>
        <v>2190.741564</v>
      </c>
      <c r="BA57" s="116">
        <f>Expenses!AT120</f>
        <v>2212.64898</v>
      </c>
      <c r="BB57" s="116">
        <f>Expenses!AU120</f>
        <v>2234.77547</v>
      </c>
      <c r="BC57" s="116">
        <f>Expenses!AV120</f>
        <v>2257.123224</v>
      </c>
      <c r="BD57" s="116">
        <f>Expenses!AW120</f>
        <v>2279.694457</v>
      </c>
      <c r="BE57" s="116">
        <f>Expenses!AX120</f>
        <v>2302.491401</v>
      </c>
      <c r="BF57" s="116">
        <f>Expenses!AY120</f>
        <v>2325.516315</v>
      </c>
      <c r="BG57" s="116">
        <f>Expenses!AZ120</f>
        <v>2348.771478</v>
      </c>
      <c r="BH57" s="116">
        <f>Expenses!BA120</f>
        <v>2372.259193</v>
      </c>
      <c r="BI57" s="116">
        <f>Expenses!BB120</f>
        <v>2395.981785</v>
      </c>
      <c r="BJ57" s="116">
        <f>Expenses!BC120</f>
        <v>2419.941603</v>
      </c>
      <c r="BK57" s="116">
        <f>Expenses!BD120</f>
        <v>2444.141019</v>
      </c>
      <c r="BL57" s="116">
        <f>Expenses!BE120</f>
        <v>2468.582429</v>
      </c>
      <c r="BM57" s="116">
        <f>Expenses!BF120</f>
        <v>2493.268254</v>
      </c>
      <c r="BN57" s="116">
        <f>Expenses!BG120</f>
        <v>2518.200936</v>
      </c>
      <c r="BO57" s="116">
        <f>Expenses!BH120</f>
        <v>2543.382945</v>
      </c>
      <c r="BP57" s="116">
        <f>Expenses!BI120</f>
        <v>2568.816775</v>
      </c>
      <c r="BQ57" s="116">
        <f>Expenses!BJ120</f>
        <v>2594.504943</v>
      </c>
      <c r="BR57" s="116">
        <f>Expenses!BK120</f>
        <v>2620.449992</v>
      </c>
      <c r="BS57" s="116">
        <f>Expenses!BL120</f>
        <v>2646.654492</v>
      </c>
      <c r="BT57" s="116">
        <f>Expenses!BM120</f>
        <v>2673.121037</v>
      </c>
      <c r="BU57" s="116">
        <f>Expenses!BN120</f>
        <v>2699.852247</v>
      </c>
      <c r="BV57" s="116">
        <f>Expenses!BO120</f>
        <v>2726.85077</v>
      </c>
      <c r="BW57" s="116">
        <f>Expenses!BP120</f>
        <v>2754.119277</v>
      </c>
      <c r="BX57" s="116">
        <f>Expenses!BQ120</f>
        <v>2781.66047</v>
      </c>
      <c r="BY57" s="116">
        <f>Expenses!BR120</f>
        <v>2809.477075</v>
      </c>
      <c r="BZ57" s="116">
        <f>Expenses!BS120</f>
        <v>2837.571846</v>
      </c>
      <c r="CA57" s="116">
        <f>Expenses!BT120</f>
        <v>2865.947564</v>
      </c>
      <c r="CB57" s="116">
        <f>Expenses!BU120</f>
        <v>2894.60704</v>
      </c>
      <c r="CC57" s="116">
        <f>Expenses!BV120</f>
        <v>2923.55311</v>
      </c>
      <c r="CD57" s="116">
        <f>Expenses!BW120</f>
        <v>2952.788641</v>
      </c>
      <c r="CE57" s="116">
        <f>Expenses!BX120</f>
        <v>2982.316528</v>
      </c>
      <c r="CF57" s="116">
        <f>Expenses!BY120</f>
        <v>3012.139693</v>
      </c>
      <c r="CG57" s="116">
        <f>Expenses!BZ120</f>
        <v>3042.26109</v>
      </c>
      <c r="CH57" s="116">
        <f>Expenses!CA120</f>
        <v>3072.683701</v>
      </c>
      <c r="CI57" s="116">
        <f>Expenses!CB120</f>
        <v>3103.410538</v>
      </c>
      <c r="CL57" s="117"/>
      <c r="CM57" s="117"/>
      <c r="CN57" s="117"/>
      <c r="CO57" s="117"/>
      <c r="CP57" s="117"/>
      <c r="CQ57" s="117"/>
    </row>
    <row r="58" ht="15.75" customHeight="1" outlineLevel="1">
      <c r="C58" s="257" t="s">
        <v>221</v>
      </c>
      <c r="D58" s="514">
        <f t="shared" ref="D58:CI58" si="62">SUM(D45:D57)</f>
        <v>23901</v>
      </c>
      <c r="E58" s="514">
        <f t="shared" si="62"/>
        <v>30666</v>
      </c>
      <c r="F58" s="514">
        <f t="shared" si="62"/>
        <v>35420</v>
      </c>
      <c r="G58" s="514">
        <f t="shared" si="62"/>
        <v>27560</v>
      </c>
      <c r="H58" s="514">
        <f t="shared" si="62"/>
        <v>39439</v>
      </c>
      <c r="I58" s="514">
        <f t="shared" si="62"/>
        <v>30578</v>
      </c>
      <c r="J58" s="514">
        <f t="shared" si="62"/>
        <v>26460</v>
      </c>
      <c r="K58" s="514">
        <f t="shared" si="62"/>
        <v>21778</v>
      </c>
      <c r="L58" s="514">
        <f t="shared" si="62"/>
        <v>30046</v>
      </c>
      <c r="M58" s="514">
        <f t="shared" si="62"/>
        <v>25289</v>
      </c>
      <c r="N58" s="514">
        <f t="shared" si="62"/>
        <v>32744</v>
      </c>
      <c r="O58" s="514">
        <f t="shared" si="62"/>
        <v>25800</v>
      </c>
      <c r="P58" s="514">
        <f t="shared" si="62"/>
        <v>30524</v>
      </c>
      <c r="Q58" s="514">
        <f t="shared" si="62"/>
        <v>21999</v>
      </c>
      <c r="R58" s="514">
        <f t="shared" si="62"/>
        <v>34816</v>
      </c>
      <c r="S58" s="514">
        <f t="shared" si="62"/>
        <v>26598</v>
      </c>
      <c r="T58" s="514">
        <f t="shared" si="62"/>
        <v>36177</v>
      </c>
      <c r="U58" s="514">
        <f t="shared" si="62"/>
        <v>30696</v>
      </c>
      <c r="V58" s="514">
        <f t="shared" si="62"/>
        <v>31125</v>
      </c>
      <c r="W58" s="514">
        <f t="shared" si="62"/>
        <v>35463</v>
      </c>
      <c r="X58" s="514">
        <f t="shared" si="62"/>
        <v>33344</v>
      </c>
      <c r="Y58" s="514">
        <f t="shared" si="62"/>
        <v>27843</v>
      </c>
      <c r="Z58" s="514">
        <f t="shared" si="62"/>
        <v>40370</v>
      </c>
      <c r="AA58" s="514">
        <f t="shared" si="62"/>
        <v>81148.09093</v>
      </c>
      <c r="AB58" s="514">
        <f t="shared" si="62"/>
        <v>121126.8032</v>
      </c>
      <c r="AC58" s="514">
        <f t="shared" si="62"/>
        <v>128475.819</v>
      </c>
      <c r="AD58" s="514">
        <f t="shared" si="62"/>
        <v>135842.5083</v>
      </c>
      <c r="AE58" s="514">
        <f t="shared" si="62"/>
        <v>146310.5973</v>
      </c>
      <c r="AF58" s="514">
        <f t="shared" si="62"/>
        <v>154811.6581</v>
      </c>
      <c r="AG58" s="514">
        <f t="shared" si="62"/>
        <v>155011.1742</v>
      </c>
      <c r="AH58" s="514">
        <f t="shared" si="62"/>
        <v>160997.5542</v>
      </c>
      <c r="AI58" s="514">
        <f t="shared" si="62"/>
        <v>165329.1157</v>
      </c>
      <c r="AJ58" s="514">
        <f t="shared" si="62"/>
        <v>174452.7981</v>
      </c>
      <c r="AK58" s="514">
        <f t="shared" si="62"/>
        <v>178065.0064</v>
      </c>
      <c r="AL58" s="514">
        <f t="shared" si="62"/>
        <v>177419.4227</v>
      </c>
      <c r="AM58" s="514">
        <f t="shared" si="62"/>
        <v>181121.3604</v>
      </c>
      <c r="AN58" s="514">
        <f t="shared" si="62"/>
        <v>189118.6544</v>
      </c>
      <c r="AO58" s="514">
        <f t="shared" si="62"/>
        <v>187658.1428</v>
      </c>
      <c r="AP58" s="514">
        <f t="shared" si="62"/>
        <v>186698.8817</v>
      </c>
      <c r="AQ58" s="514">
        <f t="shared" si="62"/>
        <v>189968.6288</v>
      </c>
      <c r="AR58" s="514">
        <f t="shared" si="62"/>
        <v>196546.2255</v>
      </c>
      <c r="AS58" s="514">
        <f t="shared" si="62"/>
        <v>195453.3027</v>
      </c>
      <c r="AT58" s="514">
        <f t="shared" si="62"/>
        <v>199880.7742</v>
      </c>
      <c r="AU58" s="514">
        <f t="shared" si="62"/>
        <v>202995.3814</v>
      </c>
      <c r="AV58" s="514">
        <f t="shared" si="62"/>
        <v>210115.9254</v>
      </c>
      <c r="AW58" s="514">
        <f t="shared" si="62"/>
        <v>208874.3955</v>
      </c>
      <c r="AX58" s="514">
        <f t="shared" si="62"/>
        <v>207567.9192</v>
      </c>
      <c r="AY58" s="514">
        <f t="shared" si="62"/>
        <v>211033.5949</v>
      </c>
      <c r="AZ58" s="514">
        <f t="shared" si="62"/>
        <v>219181.7184</v>
      </c>
      <c r="BA58" s="514">
        <f t="shared" si="62"/>
        <v>217790.4144</v>
      </c>
      <c r="BB58" s="514">
        <f t="shared" si="62"/>
        <v>216291.2767</v>
      </c>
      <c r="BC58" s="514">
        <f t="shared" si="62"/>
        <v>219902.326</v>
      </c>
      <c r="BD58" s="514">
        <f t="shared" si="62"/>
        <v>228643.5306</v>
      </c>
      <c r="BE58" s="514">
        <f t="shared" si="62"/>
        <v>227176.2035</v>
      </c>
      <c r="BF58" s="514">
        <f t="shared" si="62"/>
        <v>230254.7196</v>
      </c>
      <c r="BG58" s="514">
        <f t="shared" si="62"/>
        <v>234000.9364</v>
      </c>
      <c r="BH58" s="514">
        <f t="shared" si="62"/>
        <v>243127.5117</v>
      </c>
      <c r="BI58" s="514">
        <f t="shared" si="62"/>
        <v>241518.4655</v>
      </c>
      <c r="BJ58" s="514">
        <f t="shared" si="62"/>
        <v>239856.8731</v>
      </c>
      <c r="BK58" s="514">
        <f t="shared" si="62"/>
        <v>258755.8519</v>
      </c>
      <c r="BL58" s="514">
        <f t="shared" si="62"/>
        <v>270461.0482</v>
      </c>
      <c r="BM58" s="514">
        <f t="shared" si="62"/>
        <v>315619.715</v>
      </c>
      <c r="BN58" s="514">
        <f t="shared" si="62"/>
        <v>337403.8893</v>
      </c>
      <c r="BO58" s="514">
        <f t="shared" si="62"/>
        <v>349055.3812</v>
      </c>
      <c r="BP58" s="514">
        <f t="shared" si="62"/>
        <v>361465.519</v>
      </c>
      <c r="BQ58" s="514">
        <f t="shared" si="62"/>
        <v>361833.6126</v>
      </c>
      <c r="BR58" s="514">
        <f t="shared" si="62"/>
        <v>376294.2652</v>
      </c>
      <c r="BS58" s="514">
        <f t="shared" si="62"/>
        <v>409091.7445</v>
      </c>
      <c r="BT58" s="514">
        <f t="shared" si="62"/>
        <v>423694.4231</v>
      </c>
      <c r="BU58" s="514">
        <f t="shared" si="62"/>
        <v>421806.7295</v>
      </c>
      <c r="BV58" s="514">
        <f t="shared" si="62"/>
        <v>436206.4588</v>
      </c>
      <c r="BW58" s="514">
        <f t="shared" si="62"/>
        <v>440214.3688</v>
      </c>
      <c r="BX58" s="514">
        <f t="shared" si="62"/>
        <v>456266.2787</v>
      </c>
      <c r="BY58" s="514">
        <f t="shared" si="62"/>
        <v>455887.264</v>
      </c>
      <c r="BZ58" s="514">
        <f t="shared" si="62"/>
        <v>453946.5665</v>
      </c>
      <c r="CA58" s="514">
        <f t="shared" si="62"/>
        <v>457924.4186</v>
      </c>
      <c r="CB58" s="514">
        <f t="shared" si="62"/>
        <v>472590.6385</v>
      </c>
      <c r="CC58" s="514">
        <f t="shared" si="62"/>
        <v>489683.7896</v>
      </c>
      <c r="CD58" s="514">
        <f t="shared" si="62"/>
        <v>496127.1941</v>
      </c>
      <c r="CE58" s="514">
        <f t="shared" si="62"/>
        <v>500060.4624</v>
      </c>
      <c r="CF58" s="514">
        <f t="shared" si="62"/>
        <v>516362.0941</v>
      </c>
      <c r="CG58" s="514">
        <f t="shared" si="62"/>
        <v>514285.7091</v>
      </c>
      <c r="CH58" s="514">
        <f t="shared" si="62"/>
        <v>529128.4472</v>
      </c>
      <c r="CI58" s="514">
        <f t="shared" si="62"/>
        <v>533091.4644</v>
      </c>
      <c r="CL58" s="514">
        <f>SUM(D58:G58)</f>
        <v>117547</v>
      </c>
      <c r="CM58" s="514">
        <f>SUM(H58:K58)</f>
        <v>118255</v>
      </c>
      <c r="CN58" s="514">
        <f>SUM(L58:O58)</f>
        <v>113879</v>
      </c>
      <c r="CO58" s="514">
        <f>SUM(P58:S58)</f>
        <v>113937</v>
      </c>
      <c r="CP58" s="514">
        <f>SUM(T58:W58)</f>
        <v>133461</v>
      </c>
      <c r="CQ58" s="514">
        <f>SUM(X58:AA58)</f>
        <v>182705.0909</v>
      </c>
    </row>
    <row r="59" ht="15.75" customHeight="1" outlineLevel="1">
      <c r="C59" s="257" t="s">
        <v>800</v>
      </c>
      <c r="D59" s="122">
        <f t="shared" ref="D59:CI59" si="63">D58/D$284</f>
        <v>1.35431777</v>
      </c>
      <c r="E59" s="122">
        <f t="shared" si="63"/>
        <v>1.76790038</v>
      </c>
      <c r="F59" s="122">
        <f t="shared" si="63"/>
        <v>2.342282767</v>
      </c>
      <c r="G59" s="122">
        <f t="shared" si="63"/>
        <v>1.697880729</v>
      </c>
      <c r="H59" s="122">
        <f t="shared" si="63"/>
        <v>2.180998728</v>
      </c>
      <c r="I59" s="122">
        <f t="shared" si="63"/>
        <v>1.858844985</v>
      </c>
      <c r="J59" s="122">
        <f t="shared" si="63"/>
        <v>1.541329295</v>
      </c>
      <c r="K59" s="122">
        <f t="shared" si="63"/>
        <v>1.168786561</v>
      </c>
      <c r="L59" s="122">
        <f t="shared" si="63"/>
        <v>1.612601975</v>
      </c>
      <c r="M59" s="122">
        <f t="shared" si="63"/>
        <v>1.464585626</v>
      </c>
      <c r="N59" s="122">
        <f t="shared" si="63"/>
        <v>1.681507729</v>
      </c>
      <c r="O59" s="122">
        <f t="shared" si="63"/>
        <v>1.507449606</v>
      </c>
      <c r="P59" s="122">
        <f t="shared" si="63"/>
        <v>1.344847337</v>
      </c>
      <c r="Q59" s="122">
        <f t="shared" si="63"/>
        <v>0.9429085766</v>
      </c>
      <c r="R59" s="122">
        <f t="shared" si="63"/>
        <v>1.359256657</v>
      </c>
      <c r="S59" s="122">
        <f t="shared" si="63"/>
        <v>1.106313951</v>
      </c>
      <c r="T59" s="122">
        <f t="shared" si="63"/>
        <v>1.565426222</v>
      </c>
      <c r="U59" s="122">
        <f t="shared" si="63"/>
        <v>1.473431575</v>
      </c>
      <c r="V59" s="122">
        <f t="shared" si="63"/>
        <v>1.256256054</v>
      </c>
      <c r="W59" s="122">
        <f t="shared" si="63"/>
        <v>1.699396205</v>
      </c>
      <c r="X59" s="122">
        <f t="shared" si="63"/>
        <v>1.316383735</v>
      </c>
      <c r="Y59" s="122">
        <f t="shared" si="63"/>
        <v>1.134735298</v>
      </c>
      <c r="Z59" s="122">
        <f t="shared" si="63"/>
        <v>1.888301604</v>
      </c>
      <c r="AA59" s="130">
        <f t="shared" si="63"/>
        <v>0.4357204771</v>
      </c>
      <c r="AB59" s="130">
        <f t="shared" si="63"/>
        <v>0.6153797334</v>
      </c>
      <c r="AC59" s="130">
        <f t="shared" si="63"/>
        <v>0.6075090417</v>
      </c>
      <c r="AD59" s="130">
        <f t="shared" si="63"/>
        <v>0.601006583</v>
      </c>
      <c r="AE59" s="130">
        <f t="shared" si="63"/>
        <v>0.6254902884</v>
      </c>
      <c r="AF59" s="130">
        <f t="shared" si="63"/>
        <v>0.6342638972</v>
      </c>
      <c r="AG59" s="130">
        <f t="shared" si="63"/>
        <v>0.6319423785</v>
      </c>
      <c r="AH59" s="130">
        <f t="shared" si="63"/>
        <v>0.6006798562</v>
      </c>
      <c r="AI59" s="130">
        <f t="shared" si="63"/>
        <v>0.599560988</v>
      </c>
      <c r="AJ59" s="130">
        <f t="shared" si="63"/>
        <v>0.5947361003</v>
      </c>
      <c r="AK59" s="130">
        <f t="shared" si="63"/>
        <v>0.5747982446</v>
      </c>
      <c r="AL59" s="130">
        <f t="shared" si="63"/>
        <v>0.5589497206</v>
      </c>
      <c r="AM59" s="130">
        <f t="shared" si="63"/>
        <v>0.534613331</v>
      </c>
      <c r="AN59" s="130">
        <f t="shared" si="63"/>
        <v>0.4585076597</v>
      </c>
      <c r="AO59" s="130">
        <f t="shared" si="63"/>
        <v>0.4265376482</v>
      </c>
      <c r="AP59" s="130">
        <f t="shared" si="63"/>
        <v>0.4110456714</v>
      </c>
      <c r="AQ59" s="130">
        <f t="shared" si="63"/>
        <v>0.4172367582</v>
      </c>
      <c r="AR59" s="130">
        <f t="shared" si="63"/>
        <v>0.4086842301</v>
      </c>
      <c r="AS59" s="130">
        <f t="shared" si="63"/>
        <v>0.4000828414</v>
      </c>
      <c r="AT59" s="130">
        <f t="shared" si="63"/>
        <v>0.3817501112</v>
      </c>
      <c r="AU59" s="130">
        <f t="shared" si="63"/>
        <v>0.371898113</v>
      </c>
      <c r="AV59" s="130">
        <f t="shared" si="63"/>
        <v>0.3646452661</v>
      </c>
      <c r="AW59" s="130">
        <f t="shared" si="63"/>
        <v>0.3532814862</v>
      </c>
      <c r="AX59" s="130">
        <f t="shared" si="63"/>
        <v>0.3385068475</v>
      </c>
      <c r="AY59" s="130">
        <f t="shared" si="63"/>
        <v>0.3435293637</v>
      </c>
      <c r="AZ59" s="130">
        <f t="shared" si="63"/>
        <v>0.3331654091</v>
      </c>
      <c r="BA59" s="130">
        <f t="shared" si="63"/>
        <v>0.3097159091</v>
      </c>
      <c r="BB59" s="130">
        <f t="shared" si="63"/>
        <v>0.2976013392</v>
      </c>
      <c r="BC59" s="130">
        <f t="shared" si="63"/>
        <v>0.2840938993</v>
      </c>
      <c r="BD59" s="130">
        <f t="shared" si="63"/>
        <v>0.2852708978</v>
      </c>
      <c r="BE59" s="130">
        <f t="shared" si="63"/>
        <v>0.2778061052</v>
      </c>
      <c r="BF59" s="130">
        <f t="shared" si="63"/>
        <v>0.2734380084</v>
      </c>
      <c r="BG59" s="130">
        <f t="shared" si="63"/>
        <v>0.2749557996</v>
      </c>
      <c r="BH59" s="130">
        <f t="shared" si="63"/>
        <v>0.2713296847</v>
      </c>
      <c r="BI59" s="130">
        <f t="shared" si="63"/>
        <v>0.2624303538</v>
      </c>
      <c r="BJ59" s="130">
        <f t="shared" si="63"/>
        <v>0.2601475647</v>
      </c>
      <c r="BK59" s="130">
        <f t="shared" si="63"/>
        <v>0.269266488</v>
      </c>
      <c r="BL59" s="130">
        <f t="shared" si="63"/>
        <v>0.2535308714</v>
      </c>
      <c r="BM59" s="130">
        <f t="shared" si="63"/>
        <v>0.2420170849</v>
      </c>
      <c r="BN59" s="130">
        <f t="shared" si="63"/>
        <v>0.2396186647</v>
      </c>
      <c r="BO59" s="130">
        <f t="shared" si="63"/>
        <v>0.244423164</v>
      </c>
      <c r="BP59" s="130">
        <f t="shared" si="63"/>
        <v>0.242473043</v>
      </c>
      <c r="BQ59" s="130">
        <f t="shared" si="63"/>
        <v>0.2411136656</v>
      </c>
      <c r="BR59" s="130">
        <f t="shared" si="63"/>
        <v>0.2450881493</v>
      </c>
      <c r="BS59" s="130">
        <f t="shared" si="63"/>
        <v>0.2619260013</v>
      </c>
      <c r="BT59" s="130">
        <f t="shared" si="63"/>
        <v>0.2599130627</v>
      </c>
      <c r="BU59" s="130">
        <f t="shared" si="63"/>
        <v>0.2571421876</v>
      </c>
      <c r="BV59" s="130">
        <f t="shared" si="63"/>
        <v>0.2579116186</v>
      </c>
      <c r="BW59" s="130">
        <f t="shared" si="63"/>
        <v>0.2599615992</v>
      </c>
      <c r="BX59" s="130">
        <f t="shared" si="63"/>
        <v>0.2545541589</v>
      </c>
      <c r="BY59" s="130">
        <f t="shared" si="63"/>
        <v>0.2474420541</v>
      </c>
      <c r="BZ59" s="130">
        <f t="shared" si="63"/>
        <v>0.2440314054</v>
      </c>
      <c r="CA59" s="130">
        <f t="shared" si="63"/>
        <v>0.2427114195</v>
      </c>
      <c r="CB59" s="130">
        <f t="shared" si="63"/>
        <v>0.2424697529</v>
      </c>
      <c r="CC59" s="130">
        <f t="shared" si="63"/>
        <v>0.2467733505</v>
      </c>
      <c r="CD59" s="130">
        <f t="shared" si="63"/>
        <v>0.2477202053</v>
      </c>
      <c r="CE59" s="130">
        <f t="shared" si="63"/>
        <v>0.249490628</v>
      </c>
      <c r="CF59" s="130">
        <f t="shared" si="63"/>
        <v>0.2471405788</v>
      </c>
      <c r="CG59" s="130">
        <f t="shared" si="63"/>
        <v>0.2459539641</v>
      </c>
      <c r="CH59" s="130">
        <f t="shared" si="63"/>
        <v>0.2488231194</v>
      </c>
      <c r="CI59" s="130">
        <f t="shared" si="63"/>
        <v>0.2475329102</v>
      </c>
      <c r="CL59" s="130">
        <f t="shared" ref="CL59:CQ59" si="64">CL58/CL$284</f>
        <v>1.7716736</v>
      </c>
      <c r="CM59" s="130">
        <f t="shared" si="64"/>
        <v>1.681358679</v>
      </c>
      <c r="CN59" s="130">
        <f t="shared" si="64"/>
        <v>1.571026529</v>
      </c>
      <c r="CO59" s="130">
        <f t="shared" si="64"/>
        <v>1.190763346</v>
      </c>
      <c r="CP59" s="130">
        <f t="shared" si="64"/>
        <v>1.489736234</v>
      </c>
      <c r="CQ59" s="130">
        <f t="shared" si="64"/>
        <v>0.7095760162</v>
      </c>
    </row>
    <row r="60" ht="15.75" customHeight="1" outlineLevel="1">
      <c r="C60" s="25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c r="BS60" s="117"/>
      <c r="BT60" s="117"/>
      <c r="BU60" s="117"/>
      <c r="BV60" s="117"/>
      <c r="BW60" s="117"/>
      <c r="BX60" s="117"/>
      <c r="BY60" s="117"/>
      <c r="BZ60" s="117"/>
      <c r="CA60" s="117"/>
      <c r="CB60" s="117"/>
      <c r="CC60" s="117"/>
      <c r="CD60" s="117"/>
      <c r="CE60" s="117"/>
      <c r="CF60" s="117"/>
      <c r="CG60" s="117"/>
      <c r="CH60" s="117"/>
      <c r="CI60" s="117"/>
      <c r="CL60" s="117"/>
      <c r="CM60" s="117"/>
      <c r="CN60" s="117"/>
      <c r="CO60" s="117"/>
      <c r="CP60" s="117"/>
      <c r="CQ60" s="117"/>
    </row>
    <row r="61" ht="15.75" customHeight="1" outlineLevel="1">
      <c r="C61" s="257" t="s">
        <v>803</v>
      </c>
      <c r="D61" s="117">
        <f t="shared" ref="D61:CI61" si="65">D40-D58</f>
        <v>134088</v>
      </c>
      <c r="E61" s="117">
        <f t="shared" si="65"/>
        <v>231349</v>
      </c>
      <c r="F61" s="117">
        <f t="shared" si="65"/>
        <v>204499</v>
      </c>
      <c r="G61" s="117">
        <f t="shared" si="65"/>
        <v>219292</v>
      </c>
      <c r="H61" s="117">
        <f t="shared" si="65"/>
        <v>129314</v>
      </c>
      <c r="I61" s="117">
        <f t="shared" si="65"/>
        <v>188849</v>
      </c>
      <c r="J61" s="117">
        <f t="shared" si="65"/>
        <v>153423</v>
      </c>
      <c r="K61" s="117">
        <f t="shared" si="65"/>
        <v>143765</v>
      </c>
      <c r="L61" s="117">
        <f t="shared" si="65"/>
        <v>197134</v>
      </c>
      <c r="M61" s="117">
        <f t="shared" si="65"/>
        <v>233717</v>
      </c>
      <c r="N61" s="117">
        <f t="shared" si="65"/>
        <v>201727</v>
      </c>
      <c r="O61" s="117">
        <f t="shared" si="65"/>
        <v>239958</v>
      </c>
      <c r="P61" s="117">
        <f t="shared" si="65"/>
        <v>200817</v>
      </c>
      <c r="Q61" s="117">
        <f t="shared" si="65"/>
        <v>197778</v>
      </c>
      <c r="R61" s="117">
        <f t="shared" si="65"/>
        <v>105715</v>
      </c>
      <c r="S61" s="117">
        <f t="shared" si="65"/>
        <v>145924</v>
      </c>
      <c r="T61" s="117">
        <f t="shared" si="65"/>
        <v>131776</v>
      </c>
      <c r="U61" s="117">
        <f t="shared" si="65"/>
        <v>152745</v>
      </c>
      <c r="V61" s="117">
        <f t="shared" si="65"/>
        <v>97417</v>
      </c>
      <c r="W61" s="117">
        <f t="shared" si="65"/>
        <v>498304</v>
      </c>
      <c r="X61" s="117">
        <f t="shared" si="65"/>
        <v>498023</v>
      </c>
      <c r="Y61" s="117">
        <f t="shared" si="65"/>
        <v>497499</v>
      </c>
      <c r="Z61" s="117">
        <f t="shared" si="65"/>
        <v>145328</v>
      </c>
      <c r="AA61" s="117">
        <f t="shared" si="65"/>
        <v>192331.8135</v>
      </c>
      <c r="AB61" s="117">
        <f t="shared" si="65"/>
        <v>212648.7333</v>
      </c>
      <c r="AC61" s="117">
        <f t="shared" si="65"/>
        <v>268374.7906</v>
      </c>
      <c r="AD61" s="117">
        <f t="shared" si="65"/>
        <v>320912.7692</v>
      </c>
      <c r="AE61" s="117">
        <f t="shared" si="65"/>
        <v>370615.8229</v>
      </c>
      <c r="AF61" s="117">
        <f t="shared" si="65"/>
        <v>421768.628</v>
      </c>
      <c r="AG61" s="117">
        <f t="shared" si="65"/>
        <v>480340.4711</v>
      </c>
      <c r="AH61" s="117">
        <f t="shared" si="65"/>
        <v>528762.7991</v>
      </c>
      <c r="AI61" s="117">
        <f t="shared" si="65"/>
        <v>576574.4238</v>
      </c>
      <c r="AJ61" s="117">
        <f t="shared" si="65"/>
        <v>618199.5419</v>
      </c>
      <c r="AK61" s="117">
        <f t="shared" si="65"/>
        <v>659095.0503</v>
      </c>
      <c r="AL61" s="117">
        <f t="shared" si="65"/>
        <v>706272.282</v>
      </c>
      <c r="AM61" s="117">
        <f t="shared" si="65"/>
        <v>748968.9543</v>
      </c>
      <c r="AN61" s="117">
        <f t="shared" si="65"/>
        <v>773989.4179</v>
      </c>
      <c r="AO61" s="117">
        <f t="shared" si="65"/>
        <v>781730.2314</v>
      </c>
      <c r="AP61" s="117">
        <f t="shared" si="65"/>
        <v>797846.5969</v>
      </c>
      <c r="AQ61" s="117">
        <f t="shared" si="65"/>
        <v>812956.6284</v>
      </c>
      <c r="AR61" s="117">
        <f t="shared" si="65"/>
        <v>824896.8451</v>
      </c>
      <c r="AS61" s="117">
        <f t="shared" si="65"/>
        <v>844538.7107</v>
      </c>
      <c r="AT61" s="117">
        <f t="shared" si="65"/>
        <v>858157.6951</v>
      </c>
      <c r="AU61" s="117">
        <f t="shared" si="65"/>
        <v>872725.0562</v>
      </c>
      <c r="AV61" s="117">
        <f t="shared" si="65"/>
        <v>882961.722</v>
      </c>
      <c r="AW61" s="117">
        <f t="shared" si="65"/>
        <v>901259.7913</v>
      </c>
      <c r="AX61" s="117">
        <f t="shared" si="65"/>
        <v>919343.0231</v>
      </c>
      <c r="AY61" s="117">
        <f t="shared" si="65"/>
        <v>932393.9133</v>
      </c>
      <c r="AZ61" s="117">
        <f t="shared" si="65"/>
        <v>950775.7083</v>
      </c>
      <c r="BA61" s="117">
        <f t="shared" si="65"/>
        <v>978388.0558</v>
      </c>
      <c r="BB61" s="117">
        <f t="shared" si="65"/>
        <v>1005446.32</v>
      </c>
      <c r="BC61" s="117">
        <f t="shared" si="65"/>
        <v>1026907.824</v>
      </c>
      <c r="BD61" s="117">
        <f t="shared" si="65"/>
        <v>1042799.468</v>
      </c>
      <c r="BE61" s="117">
        <f t="shared" si="65"/>
        <v>1068486.739</v>
      </c>
      <c r="BF61" s="117">
        <f t="shared" si="65"/>
        <v>1089238.295</v>
      </c>
      <c r="BG61" s="117">
        <f t="shared" si="65"/>
        <v>1108954.015</v>
      </c>
      <c r="BH61" s="117">
        <f t="shared" si="65"/>
        <v>1122942.086</v>
      </c>
      <c r="BI61" s="117">
        <f t="shared" si="65"/>
        <v>1147338.532</v>
      </c>
      <c r="BJ61" s="117">
        <f t="shared" si="65"/>
        <v>1171479.556</v>
      </c>
      <c r="BK61" s="117">
        <f t="shared" si="65"/>
        <v>1174770.595</v>
      </c>
      <c r="BL61" s="117">
        <f t="shared" si="65"/>
        <v>1188844.934</v>
      </c>
      <c r="BM61" s="117">
        <f t="shared" si="65"/>
        <v>1165840.648</v>
      </c>
      <c r="BN61" s="117">
        <f t="shared" si="65"/>
        <v>1164015.577</v>
      </c>
      <c r="BO61" s="117">
        <f t="shared" si="65"/>
        <v>1172422.95</v>
      </c>
      <c r="BP61" s="117">
        <f t="shared" si="65"/>
        <v>1180043.51</v>
      </c>
      <c r="BQ61" s="117">
        <f t="shared" si="65"/>
        <v>1199669.479</v>
      </c>
      <c r="BR61" s="117">
        <f t="shared" si="65"/>
        <v>1205175.482</v>
      </c>
      <c r="BS61" s="117">
        <f t="shared" si="65"/>
        <v>1192328.929</v>
      </c>
      <c r="BT61" s="117">
        <f t="shared" si="65"/>
        <v>1197673.297</v>
      </c>
      <c r="BU61" s="117">
        <f t="shared" si="65"/>
        <v>1219515.853</v>
      </c>
      <c r="BV61" s="117">
        <f t="shared" si="65"/>
        <v>1225090.308</v>
      </c>
      <c r="BW61" s="117">
        <f t="shared" si="65"/>
        <v>1241087.226</v>
      </c>
      <c r="BX61" s="117">
        <f t="shared" si="65"/>
        <v>1247389.895</v>
      </c>
      <c r="BY61" s="117">
        <f t="shared" si="65"/>
        <v>1261508.239</v>
      </c>
      <c r="BZ61" s="117">
        <f t="shared" si="65"/>
        <v>1277249.674</v>
      </c>
      <c r="CA61" s="117">
        <f t="shared" si="65"/>
        <v>1287433.68</v>
      </c>
      <c r="CB61" s="117">
        <f t="shared" si="65"/>
        <v>1286849.195</v>
      </c>
      <c r="CC61" s="117">
        <f t="shared" si="65"/>
        <v>1283705.009</v>
      </c>
      <c r="CD61" s="117">
        <f t="shared" si="65"/>
        <v>1291082.871</v>
      </c>
      <c r="CE61" s="117">
        <f t="shared" si="65"/>
        <v>1300856.356</v>
      </c>
      <c r="CF61" s="117">
        <f t="shared" si="65"/>
        <v>1298160.842</v>
      </c>
      <c r="CG61" s="117">
        <f t="shared" si="65"/>
        <v>1313756.19</v>
      </c>
      <c r="CH61" s="117">
        <f t="shared" si="65"/>
        <v>1312358.206</v>
      </c>
      <c r="CI61" s="117">
        <f t="shared" si="65"/>
        <v>1321778.143</v>
      </c>
      <c r="CL61" s="117">
        <f>SUM(D61:G61)</f>
        <v>789228</v>
      </c>
      <c r="CM61" s="117">
        <f>SUM(H61:K61)</f>
        <v>615351</v>
      </c>
      <c r="CN61" s="117">
        <f>SUM(L61:O61)</f>
        <v>872536</v>
      </c>
      <c r="CO61" s="117">
        <f>SUM(P61:S61)</f>
        <v>650234</v>
      </c>
      <c r="CP61" s="117">
        <f>SUM(T61:W61)</f>
        <v>880242</v>
      </c>
      <c r="CQ61" s="117">
        <f>SUM(X61:AA61)</f>
        <v>1333181.814</v>
      </c>
    </row>
    <row r="62" ht="15.75" customHeight="1" outlineLevel="1">
      <c r="A62" s="136"/>
      <c r="B62" s="136"/>
      <c r="C62" s="517" t="s">
        <v>101</v>
      </c>
      <c r="D62" s="519">
        <f t="shared" ref="D62:CI62" si="66">D61/D40</f>
        <v>0.8487173158</v>
      </c>
      <c r="E62" s="519">
        <f t="shared" si="66"/>
        <v>0.8829608992</v>
      </c>
      <c r="F62" s="519">
        <f t="shared" si="66"/>
        <v>0.8523668405</v>
      </c>
      <c r="G62" s="519">
        <f t="shared" si="66"/>
        <v>0.8883541555</v>
      </c>
      <c r="H62" s="519">
        <f t="shared" si="66"/>
        <v>0.7662915622</v>
      </c>
      <c r="I62" s="519">
        <f t="shared" si="66"/>
        <v>0.8606461374</v>
      </c>
      <c r="J62" s="519">
        <f t="shared" si="66"/>
        <v>0.8529043879</v>
      </c>
      <c r="K62" s="519">
        <f t="shared" si="66"/>
        <v>0.8684450566</v>
      </c>
      <c r="L62" s="519">
        <f t="shared" si="66"/>
        <v>0.8677436394</v>
      </c>
      <c r="M62" s="519">
        <f t="shared" si="66"/>
        <v>0.9023613353</v>
      </c>
      <c r="N62" s="519">
        <f t="shared" si="66"/>
        <v>0.8603494675</v>
      </c>
      <c r="O62" s="519">
        <f t="shared" si="66"/>
        <v>0.9029191972</v>
      </c>
      <c r="P62" s="519">
        <f t="shared" si="66"/>
        <v>0.868056246</v>
      </c>
      <c r="Q62" s="519">
        <f t="shared" si="66"/>
        <v>0.8999030836</v>
      </c>
      <c r="R62" s="519">
        <f t="shared" si="66"/>
        <v>0.7522539511</v>
      </c>
      <c r="S62" s="519">
        <f t="shared" si="66"/>
        <v>0.8458283581</v>
      </c>
      <c r="T62" s="519">
        <f t="shared" si="66"/>
        <v>0.7846004537</v>
      </c>
      <c r="U62" s="519">
        <f t="shared" si="66"/>
        <v>0.8326655437</v>
      </c>
      <c r="V62" s="519">
        <f t="shared" si="66"/>
        <v>0.7578612438</v>
      </c>
      <c r="W62" s="519">
        <f t="shared" si="66"/>
        <v>0.9335608983</v>
      </c>
      <c r="X62" s="128">
        <f t="shared" si="66"/>
        <v>0.9372486436</v>
      </c>
      <c r="Y62" s="128">
        <f t="shared" si="66"/>
        <v>0.9470002398</v>
      </c>
      <c r="Z62" s="519">
        <f t="shared" si="66"/>
        <v>0.782604013</v>
      </c>
      <c r="AA62" s="519">
        <f t="shared" si="66"/>
        <v>0.7032758546</v>
      </c>
      <c r="AB62" s="519">
        <f t="shared" si="66"/>
        <v>0.6371010156</v>
      </c>
      <c r="AC62" s="519">
        <f t="shared" si="66"/>
        <v>0.6762615053</v>
      </c>
      <c r="AD62" s="519">
        <f t="shared" si="66"/>
        <v>0.7025923619</v>
      </c>
      <c r="AE62" s="519">
        <f t="shared" si="66"/>
        <v>0.7169604966</v>
      </c>
      <c r="AF62" s="519">
        <f t="shared" si="66"/>
        <v>0.7315002579</v>
      </c>
      <c r="AG62" s="519">
        <f t="shared" si="66"/>
        <v>0.7560230223</v>
      </c>
      <c r="AH62" s="519">
        <f t="shared" si="66"/>
        <v>0.7665891444</v>
      </c>
      <c r="AI62" s="519">
        <f t="shared" si="66"/>
        <v>0.7771555103</v>
      </c>
      <c r="AJ62" s="519">
        <f t="shared" si="66"/>
        <v>0.779912593</v>
      </c>
      <c r="AK62" s="519">
        <f t="shared" si="66"/>
        <v>0.787298731</v>
      </c>
      <c r="AL62" s="519">
        <f t="shared" si="66"/>
        <v>0.7992292767</v>
      </c>
      <c r="AM62" s="519">
        <f t="shared" si="66"/>
        <v>0.8052647603</v>
      </c>
      <c r="AN62" s="519">
        <f t="shared" si="66"/>
        <v>0.8036371412</v>
      </c>
      <c r="AO62" s="519">
        <f t="shared" si="66"/>
        <v>0.8064159342</v>
      </c>
      <c r="AP62" s="519">
        <f t="shared" si="66"/>
        <v>0.8103704849</v>
      </c>
      <c r="AQ62" s="519">
        <f t="shared" si="66"/>
        <v>0.8105854575</v>
      </c>
      <c r="AR62" s="519">
        <f t="shared" si="66"/>
        <v>0.8075798533</v>
      </c>
      <c r="AS62" s="519">
        <f t="shared" si="66"/>
        <v>0.8120626888</v>
      </c>
      <c r="AT62" s="519">
        <f t="shared" si="66"/>
        <v>0.811083642</v>
      </c>
      <c r="AU62" s="519">
        <f t="shared" si="66"/>
        <v>0.8112935533</v>
      </c>
      <c r="AV62" s="519">
        <f t="shared" si="66"/>
        <v>0.8077758466</v>
      </c>
      <c r="AW62" s="519">
        <f t="shared" si="66"/>
        <v>0.8118476145</v>
      </c>
      <c r="AX62" s="519">
        <f t="shared" si="66"/>
        <v>0.8158080542</v>
      </c>
      <c r="AY62" s="519">
        <f t="shared" si="66"/>
        <v>0.8154377139</v>
      </c>
      <c r="AZ62" s="519">
        <f t="shared" si="66"/>
        <v>0.8126583811</v>
      </c>
      <c r="BA62" s="519">
        <f t="shared" si="66"/>
        <v>0.8179281605</v>
      </c>
      <c r="BB62" s="519">
        <f t="shared" si="66"/>
        <v>0.8229642131</v>
      </c>
      <c r="BC62" s="519">
        <f t="shared" si="66"/>
        <v>0.8236280592</v>
      </c>
      <c r="BD62" s="519">
        <f t="shared" si="66"/>
        <v>0.8201700502</v>
      </c>
      <c r="BE62" s="519">
        <f t="shared" si="66"/>
        <v>0.824664119</v>
      </c>
      <c r="BF62" s="519">
        <f t="shared" si="66"/>
        <v>0.8254975835</v>
      </c>
      <c r="BG62" s="519">
        <f t="shared" si="66"/>
        <v>0.8257566747</v>
      </c>
      <c r="BH62" s="519">
        <f t="shared" si="66"/>
        <v>0.8220240667</v>
      </c>
      <c r="BI62" s="519">
        <f t="shared" si="66"/>
        <v>0.8261027118</v>
      </c>
      <c r="BJ62" s="519">
        <f t="shared" si="66"/>
        <v>0.830049825</v>
      </c>
      <c r="BK62" s="519">
        <f t="shared" si="66"/>
        <v>0.8194969807</v>
      </c>
      <c r="BL62" s="519">
        <f t="shared" si="66"/>
        <v>0.8146646067</v>
      </c>
      <c r="BM62" s="519">
        <f t="shared" si="66"/>
        <v>0.7869536553</v>
      </c>
      <c r="BN62" s="519">
        <f t="shared" si="66"/>
        <v>0.7752767319</v>
      </c>
      <c r="BO62" s="519">
        <f t="shared" si="66"/>
        <v>0.7705814312</v>
      </c>
      <c r="BP62" s="519">
        <f t="shared" si="66"/>
        <v>0.7655119028</v>
      </c>
      <c r="BQ62" s="519">
        <f t="shared" si="66"/>
        <v>0.7682786448</v>
      </c>
      <c r="BR62" s="519">
        <f t="shared" si="66"/>
        <v>0.7620604088</v>
      </c>
      <c r="BS62" s="519">
        <f t="shared" si="66"/>
        <v>0.744544484</v>
      </c>
      <c r="BT62" s="519">
        <f t="shared" si="66"/>
        <v>0.7386808569</v>
      </c>
      <c r="BU62" s="519">
        <f t="shared" si="66"/>
        <v>0.7430080265</v>
      </c>
      <c r="BV62" s="519">
        <f t="shared" si="66"/>
        <v>0.7374301403</v>
      </c>
      <c r="BW62" s="519">
        <f t="shared" si="66"/>
        <v>0.7381704923</v>
      </c>
      <c r="BX62" s="519">
        <f t="shared" si="66"/>
        <v>0.7321840605</v>
      </c>
      <c r="BY62" s="519">
        <f t="shared" si="66"/>
        <v>0.7345473054</v>
      </c>
      <c r="BZ62" s="519">
        <f t="shared" si="66"/>
        <v>0.7377844545</v>
      </c>
      <c r="CA62" s="519">
        <f t="shared" si="66"/>
        <v>0.7376329712</v>
      </c>
      <c r="CB62" s="519">
        <f t="shared" si="66"/>
        <v>0.7313971018</v>
      </c>
      <c r="CC62" s="519">
        <f t="shared" si="66"/>
        <v>0.7238711612</v>
      </c>
      <c r="CD62" s="519">
        <f t="shared" si="66"/>
        <v>0.7224012981</v>
      </c>
      <c r="CE62" s="519">
        <f t="shared" si="66"/>
        <v>0.7223300615</v>
      </c>
      <c r="CF62" s="519">
        <f t="shared" si="66"/>
        <v>0.7154281801</v>
      </c>
      <c r="CG62" s="519">
        <f t="shared" si="66"/>
        <v>0.718668533</v>
      </c>
      <c r="CH62" s="519">
        <f t="shared" si="66"/>
        <v>0.7126623501</v>
      </c>
      <c r="CI62" s="519">
        <f t="shared" si="66"/>
        <v>0.7125989545</v>
      </c>
      <c r="CJ62" s="136"/>
      <c r="CK62" s="136"/>
      <c r="CL62" s="519">
        <f t="shared" ref="CL62:CQ62" si="67">CL61/CL40</f>
        <v>0.8703680626</v>
      </c>
      <c r="CM62" s="519">
        <f t="shared" si="67"/>
        <v>0.8388031177</v>
      </c>
      <c r="CN62" s="519">
        <f t="shared" si="67"/>
        <v>0.8845526477</v>
      </c>
      <c r="CO62" s="519">
        <f t="shared" si="67"/>
        <v>0.8509011726</v>
      </c>
      <c r="CP62" s="519">
        <f t="shared" si="67"/>
        <v>0.8683430946</v>
      </c>
      <c r="CQ62" s="519">
        <f t="shared" si="67"/>
        <v>0.8794731385</v>
      </c>
    </row>
    <row r="63" ht="15.75" customHeight="1" outlineLevel="1">
      <c r="A63" s="136"/>
      <c r="B63" s="136"/>
      <c r="C63" s="517"/>
      <c r="D63" s="520"/>
      <c r="E63" s="520"/>
      <c r="F63" s="520"/>
      <c r="G63" s="520"/>
      <c r="H63" s="520"/>
      <c r="I63" s="520"/>
      <c r="J63" s="520"/>
      <c r="K63" s="520"/>
      <c r="L63" s="520"/>
      <c r="M63" s="125">
        <f t="shared" ref="M63:X63" si="68">SUM(B61:M61)/SUM(B40:M40)</f>
        <v>0.8630953081</v>
      </c>
      <c r="N63" s="125">
        <f t="shared" si="68"/>
        <v>0.8628226229</v>
      </c>
      <c r="O63" s="125">
        <f t="shared" si="68"/>
        <v>0.8668792704</v>
      </c>
      <c r="P63" s="125">
        <f t="shared" si="68"/>
        <v>0.8680427888</v>
      </c>
      <c r="Q63" s="125">
        <f t="shared" si="68"/>
        <v>0.8692066323</v>
      </c>
      <c r="R63" s="125">
        <f t="shared" si="68"/>
        <v>0.8643619246</v>
      </c>
      <c r="S63" s="125">
        <f t="shared" si="68"/>
        <v>0.8606907196</v>
      </c>
      <c r="T63" s="125">
        <f t="shared" si="68"/>
        <v>0.8619593685</v>
      </c>
      <c r="U63" s="125">
        <f t="shared" si="68"/>
        <v>0.8598814418</v>
      </c>
      <c r="V63" s="125">
        <f t="shared" si="68"/>
        <v>0.8549321492</v>
      </c>
      <c r="W63" s="125">
        <f t="shared" si="68"/>
        <v>0.8693056334</v>
      </c>
      <c r="X63" s="125">
        <f t="shared" si="68"/>
        <v>0.8811869475</v>
      </c>
      <c r="Y63" s="125">
        <f>SUM(P61:Y61)/SUM(P40:Y40)</f>
        <v>0.8911356626</v>
      </c>
      <c r="Z63" s="519"/>
      <c r="AA63" s="519"/>
      <c r="AB63" s="519"/>
      <c r="AC63" s="519"/>
      <c r="AD63" s="519"/>
      <c r="AE63" s="519"/>
      <c r="AF63" s="519"/>
      <c r="AG63" s="519"/>
      <c r="AH63" s="519"/>
      <c r="AI63" s="519"/>
      <c r="AJ63" s="519"/>
      <c r="AK63" s="519"/>
      <c r="AL63" s="519"/>
      <c r="AM63" s="519"/>
      <c r="AN63" s="519"/>
      <c r="AO63" s="519"/>
      <c r="AP63" s="519"/>
      <c r="AQ63" s="519"/>
      <c r="AR63" s="519"/>
      <c r="AS63" s="519"/>
      <c r="AT63" s="519"/>
      <c r="AU63" s="519"/>
      <c r="AV63" s="519"/>
      <c r="AW63" s="519"/>
      <c r="AX63" s="519"/>
      <c r="AY63" s="519"/>
      <c r="AZ63" s="519"/>
      <c r="BA63" s="519"/>
      <c r="BB63" s="519"/>
      <c r="BC63" s="519"/>
      <c r="BD63" s="519"/>
      <c r="BE63" s="519"/>
      <c r="BF63" s="519"/>
      <c r="BG63" s="519"/>
      <c r="BH63" s="519"/>
      <c r="BI63" s="519"/>
      <c r="BJ63" s="519"/>
      <c r="BK63" s="519"/>
      <c r="BL63" s="519"/>
      <c r="BM63" s="519"/>
      <c r="BN63" s="519"/>
      <c r="BO63" s="519"/>
      <c r="BP63" s="519"/>
      <c r="BQ63" s="519"/>
      <c r="BR63" s="519"/>
      <c r="BS63" s="519"/>
      <c r="BT63" s="519"/>
      <c r="BU63" s="519"/>
      <c r="BV63" s="519"/>
      <c r="BW63" s="519"/>
      <c r="BX63" s="519"/>
      <c r="BY63" s="519"/>
      <c r="BZ63" s="519"/>
      <c r="CA63" s="519"/>
      <c r="CB63" s="519"/>
      <c r="CC63" s="519"/>
      <c r="CD63" s="519"/>
      <c r="CE63" s="519"/>
      <c r="CF63" s="519"/>
      <c r="CG63" s="519"/>
      <c r="CH63" s="519"/>
      <c r="CI63" s="519"/>
      <c r="CJ63" s="136"/>
      <c r="CK63" s="136"/>
      <c r="CL63" s="136"/>
      <c r="CM63" s="136"/>
      <c r="CN63" s="136"/>
      <c r="CO63" s="136"/>
      <c r="CP63" s="136"/>
      <c r="CQ63" s="136"/>
    </row>
    <row r="64" ht="15.75" customHeight="1" outlineLevel="1">
      <c r="C64" s="257" t="s">
        <v>174</v>
      </c>
      <c r="D64" s="117">
        <f>'Opex Departments'!D186*'Opex Departments'!D$169</f>
        <v>11554.83083</v>
      </c>
      <c r="E64" s="117">
        <f>'Opex Departments'!E186*'Opex Departments'!E$169</f>
        <v>14829.53911</v>
      </c>
      <c r="F64" s="117">
        <f>'Opex Departments'!F186*'Opex Departments'!F$169</f>
        <v>15188.03173</v>
      </c>
      <c r="G64" s="117">
        <f>'Opex Departments'!G186*'Opex Departments'!G$169</f>
        <v>13372.61748</v>
      </c>
      <c r="H64" s="117">
        <f>'Opex Departments'!H186*'Opex Departments'!H$169</f>
        <v>10985.99226</v>
      </c>
      <c r="I64" s="117">
        <f>'Opex Departments'!I186*'Opex Departments'!I$169</f>
        <v>12069.39899</v>
      </c>
      <c r="J64" s="117">
        <f>'Opex Departments'!J186*'Opex Departments'!J$169</f>
        <v>10946.0337</v>
      </c>
      <c r="K64" s="117">
        <f>'Opex Departments'!K186*'Opex Departments'!K$169</f>
        <v>12166.84036</v>
      </c>
      <c r="L64" s="117">
        <f>'Opex Departments'!L186*'Opex Departments'!L$169</f>
        <v>15356.89917</v>
      </c>
      <c r="M64" s="117">
        <f>'Opex Departments'!M186*'Opex Departments'!M$169</f>
        <v>16515.50001</v>
      </c>
      <c r="N64" s="117">
        <f>'Opex Departments'!N186*'Opex Departments'!N$169</f>
        <v>15464.93613</v>
      </c>
      <c r="O64" s="117">
        <f>'Opex Departments'!O186*'Opex Departments'!O$169</f>
        <v>16646.26847</v>
      </c>
      <c r="P64" s="117">
        <f>'Opex Departments'!P186*'Opex Departments'!P$169</f>
        <v>11594.14407</v>
      </c>
      <c r="Q64" s="117">
        <f>'Opex Departments'!Q186*'Opex Departments'!Q$169</f>
        <v>13791.46598</v>
      </c>
      <c r="R64" s="117">
        <f>'Opex Departments'!R186*'Opex Departments'!R$169</f>
        <v>7447.767848</v>
      </c>
      <c r="S64" s="117">
        <f>'Opex Departments'!S186*'Opex Departments'!S$169</f>
        <v>9390.854479</v>
      </c>
      <c r="T64" s="117">
        <f>'Opex Departments'!T186*'Opex Departments'!T$169</f>
        <v>8949.335704</v>
      </c>
      <c r="U64" s="117">
        <f>'Opex Departments'!U186*'Opex Departments'!U$169</f>
        <v>10900.9646</v>
      </c>
      <c r="V64" s="117">
        <f>'Opex Departments'!V186*'Opex Departments'!V$169</f>
        <v>6895.907715</v>
      </c>
      <c r="W64" s="117">
        <f>'Opex Departments'!W186*'Opex Departments'!W$169</f>
        <v>11419.62352</v>
      </c>
      <c r="X64" s="117">
        <f>'Opex Departments'!X186*'Opex Departments'!X$169</f>
        <v>13993.06563</v>
      </c>
      <c r="Y64" s="117">
        <f>'Opex Departments'!Y186*'Opex Departments'!Y$169</f>
        <v>8945.01237</v>
      </c>
      <c r="Z64" s="117">
        <f>'Opex Departments'!Z186*'Opex Departments'!Z$169</f>
        <v>10570.61501</v>
      </c>
      <c r="AA64" s="117">
        <f>'Opex Departments'!AA186*'Opex Departments'!AA$169</f>
        <v>47337.72051</v>
      </c>
      <c r="AB64" s="117">
        <f>'Opex Departments'!AB186*'Opex Departments'!AB$169</f>
        <v>63370.03974</v>
      </c>
      <c r="AC64" s="117">
        <f>'Opex Departments'!AC186*'Opex Departments'!AC$169</f>
        <v>89844.29292</v>
      </c>
      <c r="AD64" s="117">
        <f>'Opex Departments'!AD186*'Opex Departments'!AD$169</f>
        <v>73271.76494</v>
      </c>
      <c r="AE64" s="117">
        <f>'Opex Departments'!AE186*'Opex Departments'!AE$169</f>
        <v>79919.64448</v>
      </c>
      <c r="AF64" s="117">
        <f>'Opex Departments'!AF186*'Opex Departments'!AF$169</f>
        <v>110151.9029</v>
      </c>
      <c r="AG64" s="117">
        <f>'Opex Departments'!AG186*'Opex Departments'!AG$169</f>
        <v>89360.92499</v>
      </c>
      <c r="AH64" s="117">
        <f>'Opex Departments'!AH186*'Opex Departments'!AH$169</f>
        <v>120726.0782</v>
      </c>
      <c r="AI64" s="117">
        <f>'Opex Departments'!AI186*'Opex Departments'!AI$169</f>
        <v>102162.1582</v>
      </c>
      <c r="AJ64" s="117">
        <f>'Opex Departments'!AJ186*'Opex Departments'!AJ$169</f>
        <v>135899.1346</v>
      </c>
      <c r="AK64" s="117">
        <f>'Opex Departments'!AK186*'Opex Departments'!AK$169</f>
        <v>114518.8864</v>
      </c>
      <c r="AL64" s="117">
        <f>'Opex Departments'!AL186*'Opex Departments'!AL$169</f>
        <v>120926.8953</v>
      </c>
      <c r="AM64" s="117">
        <f>'Opex Departments'!AM186*'Opex Departments'!AM$169</f>
        <v>125711.477</v>
      </c>
      <c r="AN64" s="117">
        <f>'Opex Departments'!AN186*'Opex Departments'!AN$169</f>
        <v>189508.3638</v>
      </c>
      <c r="AO64" s="117">
        <f>'Opex Departments'!AO186*'Opex Departments'!AO$169</f>
        <v>130930.445</v>
      </c>
      <c r="AP64" s="117">
        <f>'Opex Departments'!AP186*'Opex Departments'!AP$169</f>
        <v>131438.6309</v>
      </c>
      <c r="AQ64" s="117">
        <f>'Opex Departments'!AQ186*'Opex Departments'!AQ$169</f>
        <v>132436.6066</v>
      </c>
      <c r="AR64" s="117">
        <f>'Opex Departments'!AR186*'Opex Departments'!AR$169</f>
        <v>167611.9587</v>
      </c>
      <c r="AS64" s="117">
        <f>'Opex Departments'!AS186*'Opex Departments'!AS$169</f>
        <v>137635.893</v>
      </c>
      <c r="AT64" s="117">
        <f>'Opex Departments'!AT186*'Opex Departments'!AT$169</f>
        <v>165229.1231</v>
      </c>
      <c r="AU64" s="117">
        <f>'Opex Departments'!AU186*'Opex Departments'!AU$169</f>
        <v>140771.2031</v>
      </c>
      <c r="AV64" s="117">
        <f>'Opex Departments'!AV186*'Opex Departments'!AV$169</f>
        <v>177548.6595</v>
      </c>
      <c r="AW64" s="117">
        <f>'Opex Departments'!AW186*'Opex Departments'!AW$169</f>
        <v>146371.8614</v>
      </c>
      <c r="AX64" s="117">
        <f>'Opex Departments'!AX186*'Opex Departments'!AX$169</f>
        <v>147079.4337</v>
      </c>
      <c r="AY64" s="117">
        <f>'Opex Departments'!AY186*'Opex Departments'!AY$169</f>
        <v>147769.7714</v>
      </c>
      <c r="AZ64" s="117">
        <f>'Opex Departments'!AZ186*'Opex Departments'!AZ$169</f>
        <v>218421.561</v>
      </c>
      <c r="BA64" s="117">
        <f>'Opex Departments'!BA186*'Opex Departments'!BA$169</f>
        <v>158702.6884</v>
      </c>
      <c r="BB64" s="117">
        <f>'Opex Departments'!BB186*'Opex Departments'!BB$169</f>
        <v>160859.296</v>
      </c>
      <c r="BC64" s="117">
        <f>'Opex Departments'!BC186*'Opex Departments'!BC$169</f>
        <v>163013.9903</v>
      </c>
      <c r="BD64" s="117">
        <f>'Opex Departments'!BD186*'Opex Departments'!BD$169</f>
        <v>209005.7496</v>
      </c>
      <c r="BE64" s="117">
        <f>'Opex Departments'!BE186*'Opex Departments'!BE$169</f>
        <v>176569.6051</v>
      </c>
      <c r="BF64" s="117">
        <f>'Opex Departments'!BF186*'Opex Departments'!BF$169</f>
        <v>213310.4171</v>
      </c>
      <c r="BG64" s="117">
        <f>'Opex Departments'!BG186*'Opex Departments'!BG$169</f>
        <v>187679.7904</v>
      </c>
      <c r="BH64" s="117">
        <f>'Opex Departments'!BH186*'Opex Departments'!BH$169</f>
        <v>231751.4112</v>
      </c>
      <c r="BI64" s="117">
        <f>'Opex Departments'!BI186*'Opex Departments'!BI$169</f>
        <v>202140.728</v>
      </c>
      <c r="BJ64" s="117">
        <f>'Opex Departments'!BJ186*'Opex Departments'!BJ$169</f>
        <v>204291.0391</v>
      </c>
      <c r="BK64" s="117">
        <f>'Opex Departments'!BK186*'Opex Departments'!BK$169</f>
        <v>206430.3106</v>
      </c>
      <c r="BL64" s="117">
        <f>'Opex Departments'!CJ186*'Opex Departments'!CJ$169</f>
        <v>0</v>
      </c>
      <c r="BM64" s="117">
        <f>'Opex Departments'!CK186*'Opex Departments'!CK$169</f>
        <v>0</v>
      </c>
      <c r="BN64" s="117">
        <f>'Opex Departments'!CL186*'Opex Departments'!CL$169</f>
        <v>0</v>
      </c>
      <c r="BO64" s="117">
        <f>'Opex Departments'!CM186*'Opex Departments'!CM$169</f>
        <v>0</v>
      </c>
      <c r="BP64" s="117">
        <f>'Opex Departments'!CN186*'Opex Departments'!CN$169</f>
        <v>0</v>
      </c>
      <c r="BQ64" s="117">
        <f>'Opex Departments'!CO186*'Opex Departments'!CO$169</f>
        <v>0</v>
      </c>
      <c r="BR64" s="117">
        <f>'Opex Departments'!CP186*'Opex Departments'!CP$169</f>
        <v>0</v>
      </c>
      <c r="BS64" s="117">
        <f>'Opex Departments'!CQ186*'Opex Departments'!CQ$169</f>
        <v>0</v>
      </c>
      <c r="BT64" s="117">
        <f>'Opex Departments'!CR186*'Opex Departments'!CR$169</f>
        <v>0</v>
      </c>
      <c r="BU64" s="117">
        <f>'Opex Departments'!CS186*'Opex Departments'!CS$169</f>
        <v>0</v>
      </c>
      <c r="BV64" s="117">
        <f>'Opex Departments'!CT186*'Opex Departments'!CT$169</f>
        <v>0</v>
      </c>
      <c r="BW64" s="117">
        <f>'Opex Departments'!CU186*'Opex Departments'!CU$169</f>
        <v>0</v>
      </c>
      <c r="BX64" s="117">
        <f>'Opex Departments'!CV186*'Opex Departments'!CV$169</f>
        <v>0</v>
      </c>
      <c r="BY64" s="117">
        <f>'Opex Departments'!CW186*'Opex Departments'!CW$169</f>
        <v>0</v>
      </c>
      <c r="BZ64" s="117">
        <f>'Opex Departments'!CX186*'Opex Departments'!CX$169</f>
        <v>0</v>
      </c>
      <c r="CA64" s="117">
        <f>'Opex Departments'!CY186*'Opex Departments'!CY$169</f>
        <v>0</v>
      </c>
      <c r="CB64" s="117">
        <f>'Opex Departments'!CZ186*'Opex Departments'!CZ$169</f>
        <v>0</v>
      </c>
      <c r="CC64" s="117">
        <f>'Opex Departments'!DA186*'Opex Departments'!DA$169</f>
        <v>0</v>
      </c>
      <c r="CD64" s="117">
        <f>'Opex Departments'!DB186*'Opex Departments'!DB$169</f>
        <v>0</v>
      </c>
      <c r="CE64" s="117">
        <f>'Opex Departments'!DC186*'Opex Departments'!DC$169</f>
        <v>0</v>
      </c>
      <c r="CF64" s="117">
        <f>'Opex Departments'!DD186*'Opex Departments'!DD$169</f>
        <v>0</v>
      </c>
      <c r="CG64" s="117">
        <f>'Opex Departments'!DE186*'Opex Departments'!DE$169</f>
        <v>0</v>
      </c>
      <c r="CH64" s="117">
        <f>'Opex Departments'!DF186*'Opex Departments'!DF$169</f>
        <v>0</v>
      </c>
      <c r="CI64" s="117">
        <f>'Opex Departments'!DG186*'Opex Departments'!DG$169</f>
        <v>0</v>
      </c>
      <c r="CL64" s="117">
        <f>SUM(D64:G64)</f>
        <v>54945.01916</v>
      </c>
      <c r="CM64" s="117">
        <f>SUM(H64:K64)</f>
        <v>46168.26531</v>
      </c>
      <c r="CN64" s="117">
        <f>SUM(L64:O64)</f>
        <v>63983.60378</v>
      </c>
      <c r="CO64" s="117">
        <f>SUM(P64:S64)</f>
        <v>42224.23238</v>
      </c>
      <c r="CP64" s="117">
        <f>SUM(T64:W64)</f>
        <v>38165.83154</v>
      </c>
      <c r="CQ64" s="117">
        <f>SUM(X64:AA64)</f>
        <v>80846.41352</v>
      </c>
    </row>
    <row r="65" ht="15.75" customHeight="1" outlineLevel="1">
      <c r="C65" s="5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7"/>
      <c r="BO65" s="117"/>
      <c r="BP65" s="117"/>
      <c r="BQ65" s="117"/>
      <c r="BR65" s="117"/>
      <c r="BS65" s="117"/>
      <c r="BT65" s="117"/>
      <c r="BU65" s="117"/>
      <c r="BV65" s="117"/>
      <c r="BW65" s="117"/>
      <c r="BX65" s="117"/>
      <c r="BY65" s="117"/>
      <c r="BZ65" s="117"/>
      <c r="CA65" s="117"/>
      <c r="CB65" s="117"/>
      <c r="CC65" s="117"/>
      <c r="CD65" s="117"/>
      <c r="CE65" s="117"/>
      <c r="CF65" s="117"/>
      <c r="CG65" s="117"/>
      <c r="CH65" s="117"/>
      <c r="CI65" s="117"/>
      <c r="CL65" s="117"/>
      <c r="CM65" s="117"/>
      <c r="CN65" s="117"/>
      <c r="CO65" s="117"/>
      <c r="CP65" s="117"/>
      <c r="CQ65" s="117"/>
    </row>
    <row r="66" ht="15.75" customHeight="1">
      <c r="C66" s="257" t="s">
        <v>804</v>
      </c>
      <c r="D66" s="117">
        <f t="shared" ref="D66:CI66" si="69">D61-D64</f>
        <v>122533.1692</v>
      </c>
      <c r="E66" s="117">
        <f t="shared" si="69"/>
        <v>216519.4609</v>
      </c>
      <c r="F66" s="117">
        <f t="shared" si="69"/>
        <v>189310.9683</v>
      </c>
      <c r="G66" s="117">
        <f t="shared" si="69"/>
        <v>205919.3825</v>
      </c>
      <c r="H66" s="117">
        <f t="shared" si="69"/>
        <v>118328.0077</v>
      </c>
      <c r="I66" s="117">
        <f t="shared" si="69"/>
        <v>176779.601</v>
      </c>
      <c r="J66" s="117">
        <f t="shared" si="69"/>
        <v>142476.9663</v>
      </c>
      <c r="K66" s="117">
        <f t="shared" si="69"/>
        <v>131598.1596</v>
      </c>
      <c r="L66" s="117">
        <f t="shared" si="69"/>
        <v>181777.1008</v>
      </c>
      <c r="M66" s="117">
        <f t="shared" si="69"/>
        <v>217201.5</v>
      </c>
      <c r="N66" s="117">
        <f t="shared" si="69"/>
        <v>186262.0639</v>
      </c>
      <c r="O66" s="117">
        <f t="shared" si="69"/>
        <v>223311.7315</v>
      </c>
      <c r="P66" s="117">
        <f t="shared" si="69"/>
        <v>189222.8559</v>
      </c>
      <c r="Q66" s="117">
        <f t="shared" si="69"/>
        <v>183986.534</v>
      </c>
      <c r="R66" s="117">
        <f t="shared" si="69"/>
        <v>98267.23215</v>
      </c>
      <c r="S66" s="117">
        <f t="shared" si="69"/>
        <v>136533.1455</v>
      </c>
      <c r="T66" s="117">
        <f t="shared" si="69"/>
        <v>122826.6643</v>
      </c>
      <c r="U66" s="117">
        <f t="shared" si="69"/>
        <v>141844.0354</v>
      </c>
      <c r="V66" s="117">
        <f t="shared" si="69"/>
        <v>90521.09228</v>
      </c>
      <c r="W66" s="117">
        <f t="shared" si="69"/>
        <v>486884.3765</v>
      </c>
      <c r="X66" s="117">
        <f t="shared" si="69"/>
        <v>484029.9344</v>
      </c>
      <c r="Y66" s="117">
        <f t="shared" si="69"/>
        <v>488553.9876</v>
      </c>
      <c r="Z66" s="117">
        <f t="shared" si="69"/>
        <v>134757.385</v>
      </c>
      <c r="AA66" s="117">
        <f t="shared" si="69"/>
        <v>144994.093</v>
      </c>
      <c r="AB66" s="117">
        <f t="shared" si="69"/>
        <v>149278.6936</v>
      </c>
      <c r="AC66" s="117">
        <f t="shared" si="69"/>
        <v>178530.4977</v>
      </c>
      <c r="AD66" s="117">
        <f t="shared" si="69"/>
        <v>247641.0043</v>
      </c>
      <c r="AE66" s="117">
        <f t="shared" si="69"/>
        <v>290696.1784</v>
      </c>
      <c r="AF66" s="117">
        <f t="shared" si="69"/>
        <v>311616.725</v>
      </c>
      <c r="AG66" s="117">
        <f t="shared" si="69"/>
        <v>390979.5462</v>
      </c>
      <c r="AH66" s="117">
        <f t="shared" si="69"/>
        <v>408036.7209</v>
      </c>
      <c r="AI66" s="117">
        <f t="shared" si="69"/>
        <v>474412.2655</v>
      </c>
      <c r="AJ66" s="117">
        <f t="shared" si="69"/>
        <v>482300.4073</v>
      </c>
      <c r="AK66" s="117">
        <f t="shared" si="69"/>
        <v>544576.1638</v>
      </c>
      <c r="AL66" s="117">
        <f t="shared" si="69"/>
        <v>585345.3867</v>
      </c>
      <c r="AM66" s="117">
        <f t="shared" si="69"/>
        <v>623257.4773</v>
      </c>
      <c r="AN66" s="117">
        <f t="shared" si="69"/>
        <v>584481.0541</v>
      </c>
      <c r="AO66" s="117">
        <f t="shared" si="69"/>
        <v>650799.7864</v>
      </c>
      <c r="AP66" s="117">
        <f t="shared" si="69"/>
        <v>666407.966</v>
      </c>
      <c r="AQ66" s="117">
        <f t="shared" si="69"/>
        <v>680520.0218</v>
      </c>
      <c r="AR66" s="117">
        <f t="shared" si="69"/>
        <v>657284.8864</v>
      </c>
      <c r="AS66" s="117">
        <f t="shared" si="69"/>
        <v>706902.8177</v>
      </c>
      <c r="AT66" s="117">
        <f t="shared" si="69"/>
        <v>692928.5721</v>
      </c>
      <c r="AU66" s="117">
        <f t="shared" si="69"/>
        <v>731953.8531</v>
      </c>
      <c r="AV66" s="117">
        <f t="shared" si="69"/>
        <v>705413.0624</v>
      </c>
      <c r="AW66" s="117">
        <f t="shared" si="69"/>
        <v>754887.9298</v>
      </c>
      <c r="AX66" s="117">
        <f t="shared" si="69"/>
        <v>772263.5893</v>
      </c>
      <c r="AY66" s="117">
        <f t="shared" si="69"/>
        <v>784624.1419</v>
      </c>
      <c r="AZ66" s="117">
        <f t="shared" si="69"/>
        <v>732354.1473</v>
      </c>
      <c r="BA66" s="117">
        <f t="shared" si="69"/>
        <v>819685.3674</v>
      </c>
      <c r="BB66" s="117">
        <f t="shared" si="69"/>
        <v>844587.0235</v>
      </c>
      <c r="BC66" s="117">
        <f t="shared" si="69"/>
        <v>863893.8337</v>
      </c>
      <c r="BD66" s="117">
        <f t="shared" si="69"/>
        <v>833793.7181</v>
      </c>
      <c r="BE66" s="117">
        <f t="shared" si="69"/>
        <v>891917.1341</v>
      </c>
      <c r="BF66" s="117">
        <f t="shared" si="69"/>
        <v>875927.8779</v>
      </c>
      <c r="BG66" s="117">
        <f t="shared" si="69"/>
        <v>921274.2245</v>
      </c>
      <c r="BH66" s="117">
        <f t="shared" si="69"/>
        <v>891190.6751</v>
      </c>
      <c r="BI66" s="117">
        <f t="shared" si="69"/>
        <v>945197.8035</v>
      </c>
      <c r="BJ66" s="117">
        <f t="shared" si="69"/>
        <v>967188.5169</v>
      </c>
      <c r="BK66" s="117">
        <f t="shared" si="69"/>
        <v>968340.2846</v>
      </c>
      <c r="BL66" s="117">
        <f t="shared" si="69"/>
        <v>1188844.934</v>
      </c>
      <c r="BM66" s="117">
        <f t="shared" si="69"/>
        <v>1165840.648</v>
      </c>
      <c r="BN66" s="117">
        <f t="shared" si="69"/>
        <v>1164015.577</v>
      </c>
      <c r="BO66" s="117">
        <f t="shared" si="69"/>
        <v>1172422.95</v>
      </c>
      <c r="BP66" s="117">
        <f t="shared" si="69"/>
        <v>1180043.51</v>
      </c>
      <c r="BQ66" s="117">
        <f t="shared" si="69"/>
        <v>1199669.479</v>
      </c>
      <c r="BR66" s="117">
        <f t="shared" si="69"/>
        <v>1205175.482</v>
      </c>
      <c r="BS66" s="117">
        <f t="shared" si="69"/>
        <v>1192328.929</v>
      </c>
      <c r="BT66" s="117">
        <f t="shared" si="69"/>
        <v>1197673.297</v>
      </c>
      <c r="BU66" s="117">
        <f t="shared" si="69"/>
        <v>1219515.853</v>
      </c>
      <c r="BV66" s="117">
        <f t="shared" si="69"/>
        <v>1225090.308</v>
      </c>
      <c r="BW66" s="117">
        <f t="shared" si="69"/>
        <v>1241087.226</v>
      </c>
      <c r="BX66" s="117">
        <f t="shared" si="69"/>
        <v>1247389.895</v>
      </c>
      <c r="BY66" s="117">
        <f t="shared" si="69"/>
        <v>1261508.239</v>
      </c>
      <c r="BZ66" s="117">
        <f t="shared" si="69"/>
        <v>1277249.674</v>
      </c>
      <c r="CA66" s="117">
        <f t="shared" si="69"/>
        <v>1287433.68</v>
      </c>
      <c r="CB66" s="117">
        <f t="shared" si="69"/>
        <v>1286849.195</v>
      </c>
      <c r="CC66" s="117">
        <f t="shared" si="69"/>
        <v>1283705.009</v>
      </c>
      <c r="CD66" s="117">
        <f t="shared" si="69"/>
        <v>1291082.871</v>
      </c>
      <c r="CE66" s="117">
        <f t="shared" si="69"/>
        <v>1300856.356</v>
      </c>
      <c r="CF66" s="117">
        <f t="shared" si="69"/>
        <v>1298160.842</v>
      </c>
      <c r="CG66" s="117">
        <f t="shared" si="69"/>
        <v>1313756.19</v>
      </c>
      <c r="CH66" s="117">
        <f t="shared" si="69"/>
        <v>1312358.206</v>
      </c>
      <c r="CI66" s="117">
        <f t="shared" si="69"/>
        <v>1321778.143</v>
      </c>
      <c r="CL66" s="117">
        <f>SUM(D66:G66)</f>
        <v>734282.9808</v>
      </c>
      <c r="CM66" s="117">
        <f>SUM(H66:K66)</f>
        <v>569182.7347</v>
      </c>
      <c r="CN66" s="117">
        <f>SUM(L66:O66)</f>
        <v>808552.3962</v>
      </c>
      <c r="CO66" s="117">
        <f>SUM(P66:S66)</f>
        <v>608009.7676</v>
      </c>
      <c r="CP66" s="117">
        <f>SUM(T66:W66)</f>
        <v>842076.1685</v>
      </c>
      <c r="CQ66" s="117">
        <f>SUM(X66:AA66)</f>
        <v>1252335.4</v>
      </c>
    </row>
    <row r="67" ht="15.75" customHeight="1">
      <c r="C67" s="517" t="s">
        <v>115</v>
      </c>
      <c r="D67" s="519">
        <f t="shared" ref="D67:CI67" si="70">D66/D40</f>
        <v>0.7755803832</v>
      </c>
      <c r="E67" s="519">
        <f t="shared" si="70"/>
        <v>0.8263628452</v>
      </c>
      <c r="F67" s="519">
        <f t="shared" si="70"/>
        <v>0.7890620095</v>
      </c>
      <c r="G67" s="519">
        <f t="shared" si="70"/>
        <v>0.8341815441</v>
      </c>
      <c r="H67" s="519">
        <f t="shared" si="70"/>
        <v>0.7011905432</v>
      </c>
      <c r="I67" s="519">
        <f t="shared" si="70"/>
        <v>0.8056419721</v>
      </c>
      <c r="J67" s="519">
        <f t="shared" si="70"/>
        <v>0.7920535365</v>
      </c>
      <c r="K67" s="519">
        <f t="shared" si="70"/>
        <v>0.7949485006</v>
      </c>
      <c r="L67" s="519">
        <f t="shared" si="70"/>
        <v>0.8001457031</v>
      </c>
      <c r="M67" s="519">
        <f t="shared" si="70"/>
        <v>0.8385964031</v>
      </c>
      <c r="N67" s="519">
        <f t="shared" si="70"/>
        <v>0.7943927559</v>
      </c>
      <c r="O67" s="519">
        <f t="shared" si="70"/>
        <v>0.840282255</v>
      </c>
      <c r="P67" s="519">
        <f t="shared" si="70"/>
        <v>0.8179391285</v>
      </c>
      <c r="Q67" s="519">
        <f t="shared" si="70"/>
        <v>0.837150994</v>
      </c>
      <c r="R67" s="519">
        <f t="shared" si="70"/>
        <v>0.6992566206</v>
      </c>
      <c r="S67" s="519">
        <f t="shared" si="70"/>
        <v>0.7913955642</v>
      </c>
      <c r="T67" s="519">
        <f t="shared" si="70"/>
        <v>0.7313156913</v>
      </c>
      <c r="U67" s="519">
        <f t="shared" si="70"/>
        <v>0.7732406354</v>
      </c>
      <c r="V67" s="519">
        <f t="shared" si="70"/>
        <v>0.7042141268</v>
      </c>
      <c r="W67" s="519">
        <f t="shared" si="70"/>
        <v>0.9121665005</v>
      </c>
      <c r="X67" s="519">
        <f t="shared" si="70"/>
        <v>0.910914555</v>
      </c>
      <c r="Y67" s="519">
        <f t="shared" si="70"/>
        <v>0.9299732129</v>
      </c>
      <c r="Z67" s="519">
        <f t="shared" si="70"/>
        <v>0.725680325</v>
      </c>
      <c r="AA67" s="519">
        <f t="shared" si="70"/>
        <v>0.5301818914</v>
      </c>
      <c r="AB67" s="519">
        <f t="shared" si="70"/>
        <v>0.4472427642</v>
      </c>
      <c r="AC67" s="519">
        <f t="shared" si="70"/>
        <v>0.4498682713</v>
      </c>
      <c r="AD67" s="519">
        <f t="shared" si="70"/>
        <v>0.5421743688</v>
      </c>
      <c r="AE67" s="519">
        <f t="shared" si="70"/>
        <v>0.5623550414</v>
      </c>
      <c r="AF67" s="519">
        <f t="shared" si="70"/>
        <v>0.5404567803</v>
      </c>
      <c r="AG67" s="519">
        <f t="shared" si="70"/>
        <v>0.6153750431</v>
      </c>
      <c r="AH67" s="519">
        <f t="shared" si="70"/>
        <v>0.5915630247</v>
      </c>
      <c r="AI67" s="519">
        <f t="shared" si="70"/>
        <v>0.6394527594</v>
      </c>
      <c r="AJ67" s="519">
        <f t="shared" si="70"/>
        <v>0.6084639922</v>
      </c>
      <c r="AK67" s="519">
        <f t="shared" si="70"/>
        <v>0.650504237</v>
      </c>
      <c r="AL67" s="519">
        <f t="shared" si="70"/>
        <v>0.6623864222</v>
      </c>
      <c r="AM67" s="519">
        <f t="shared" si="70"/>
        <v>0.6701042549</v>
      </c>
      <c r="AN67" s="519">
        <f t="shared" si="70"/>
        <v>0.6068696451</v>
      </c>
      <c r="AO67" s="519">
        <f t="shared" si="70"/>
        <v>0.6713509298</v>
      </c>
      <c r="AP67" s="519">
        <f t="shared" si="70"/>
        <v>0.676868647</v>
      </c>
      <c r="AQ67" s="519">
        <f t="shared" si="70"/>
        <v>0.678535132</v>
      </c>
      <c r="AR67" s="519">
        <f t="shared" si="70"/>
        <v>0.6434865587</v>
      </c>
      <c r="AS67" s="519">
        <f t="shared" si="70"/>
        <v>0.6797194677</v>
      </c>
      <c r="AT67" s="519">
        <f t="shared" si="70"/>
        <v>0.6549181264</v>
      </c>
      <c r="AU67" s="519">
        <f t="shared" si="70"/>
        <v>0.6804312975</v>
      </c>
      <c r="AV67" s="519">
        <f t="shared" si="70"/>
        <v>0.6453457942</v>
      </c>
      <c r="AW67" s="519">
        <f t="shared" si="70"/>
        <v>0.6799970119</v>
      </c>
      <c r="AX67" s="519">
        <f t="shared" si="70"/>
        <v>0.6852924755</v>
      </c>
      <c r="AY67" s="519">
        <f t="shared" si="70"/>
        <v>0.6862036608</v>
      </c>
      <c r="AZ67" s="519">
        <f t="shared" si="70"/>
        <v>0.625966493</v>
      </c>
      <c r="BA67" s="519">
        <f t="shared" si="70"/>
        <v>0.6852534031</v>
      </c>
      <c r="BB67" s="519">
        <f t="shared" si="70"/>
        <v>0.6912998553</v>
      </c>
      <c r="BC67" s="519">
        <f t="shared" si="70"/>
        <v>0.6928832218</v>
      </c>
      <c r="BD67" s="519">
        <f t="shared" si="70"/>
        <v>0.6557853708</v>
      </c>
      <c r="BE67" s="519">
        <f t="shared" si="70"/>
        <v>0.6883866975</v>
      </c>
      <c r="BF67" s="519">
        <f t="shared" si="70"/>
        <v>0.663836692</v>
      </c>
      <c r="BG67" s="519">
        <f t="shared" si="70"/>
        <v>0.6860053076</v>
      </c>
      <c r="BH67" s="519">
        <f t="shared" si="70"/>
        <v>0.6523757474</v>
      </c>
      <c r="BI67" s="519">
        <f t="shared" si="70"/>
        <v>0.6805580456</v>
      </c>
      <c r="BJ67" s="519">
        <f t="shared" si="70"/>
        <v>0.6852997605</v>
      </c>
      <c r="BK67" s="519">
        <f t="shared" si="70"/>
        <v>0.6754952353</v>
      </c>
      <c r="BL67" s="519">
        <f t="shared" si="70"/>
        <v>0.8146646067</v>
      </c>
      <c r="BM67" s="519">
        <f t="shared" si="70"/>
        <v>0.7869536553</v>
      </c>
      <c r="BN67" s="519">
        <f t="shared" si="70"/>
        <v>0.7752767319</v>
      </c>
      <c r="BO67" s="519">
        <f t="shared" si="70"/>
        <v>0.7705814312</v>
      </c>
      <c r="BP67" s="519">
        <f t="shared" si="70"/>
        <v>0.7655119028</v>
      </c>
      <c r="BQ67" s="519">
        <f t="shared" si="70"/>
        <v>0.7682786448</v>
      </c>
      <c r="BR67" s="519">
        <f t="shared" si="70"/>
        <v>0.7620604088</v>
      </c>
      <c r="BS67" s="519">
        <f t="shared" si="70"/>
        <v>0.744544484</v>
      </c>
      <c r="BT67" s="519">
        <f t="shared" si="70"/>
        <v>0.7386808569</v>
      </c>
      <c r="BU67" s="519">
        <f t="shared" si="70"/>
        <v>0.7430080265</v>
      </c>
      <c r="BV67" s="519">
        <f t="shared" si="70"/>
        <v>0.7374301403</v>
      </c>
      <c r="BW67" s="519">
        <f t="shared" si="70"/>
        <v>0.7381704923</v>
      </c>
      <c r="BX67" s="519">
        <f t="shared" si="70"/>
        <v>0.7321840605</v>
      </c>
      <c r="BY67" s="519">
        <f t="shared" si="70"/>
        <v>0.7345473054</v>
      </c>
      <c r="BZ67" s="519">
        <f t="shared" si="70"/>
        <v>0.7377844545</v>
      </c>
      <c r="CA67" s="519">
        <f t="shared" si="70"/>
        <v>0.7376329712</v>
      </c>
      <c r="CB67" s="519">
        <f t="shared" si="70"/>
        <v>0.7313971018</v>
      </c>
      <c r="CC67" s="519">
        <f t="shared" si="70"/>
        <v>0.7238711612</v>
      </c>
      <c r="CD67" s="519">
        <f t="shared" si="70"/>
        <v>0.7224012981</v>
      </c>
      <c r="CE67" s="519">
        <f t="shared" si="70"/>
        <v>0.7223300615</v>
      </c>
      <c r="CF67" s="519">
        <f t="shared" si="70"/>
        <v>0.7154281801</v>
      </c>
      <c r="CG67" s="519">
        <f t="shared" si="70"/>
        <v>0.718668533</v>
      </c>
      <c r="CH67" s="519">
        <f t="shared" si="70"/>
        <v>0.7126623501</v>
      </c>
      <c r="CI67" s="519">
        <f t="shared" si="70"/>
        <v>0.7125989545</v>
      </c>
      <c r="CL67" s="519">
        <f t="shared" ref="CL67:CQ67" si="71">CL66/CL40</f>
        <v>0.8097741786</v>
      </c>
      <c r="CM67" s="519">
        <f t="shared" si="71"/>
        <v>0.7758697921</v>
      </c>
      <c r="CN67" s="519">
        <f t="shared" si="71"/>
        <v>0.8196878557</v>
      </c>
      <c r="CO67" s="519">
        <f t="shared" si="71"/>
        <v>0.79564622</v>
      </c>
      <c r="CP67" s="519">
        <f t="shared" si="71"/>
        <v>0.8306931798</v>
      </c>
      <c r="CQ67" s="519">
        <f t="shared" si="71"/>
        <v>0.826140391</v>
      </c>
    </row>
    <row r="68" ht="15.75" customHeight="1">
      <c r="A68" s="136"/>
      <c r="B68" s="136"/>
      <c r="C68" s="517"/>
      <c r="D68" s="520"/>
      <c r="E68" s="520"/>
      <c r="F68" s="520"/>
      <c r="G68" s="520"/>
      <c r="H68" s="520"/>
      <c r="I68" s="520"/>
      <c r="J68" s="520"/>
      <c r="K68" s="520"/>
      <c r="L68" s="520"/>
      <c r="M68" s="520"/>
      <c r="N68" s="520"/>
      <c r="O68" s="519"/>
      <c r="P68" s="519"/>
      <c r="Q68" s="519"/>
      <c r="R68" s="519"/>
      <c r="S68" s="519"/>
      <c r="T68" s="519"/>
      <c r="U68" s="519"/>
      <c r="V68" s="519"/>
      <c r="W68" s="519"/>
      <c r="X68" s="519"/>
      <c r="Y68" s="519"/>
      <c r="Z68" s="519"/>
      <c r="AA68" s="519"/>
      <c r="AB68" s="519"/>
      <c r="AC68" s="519"/>
      <c r="AD68" s="519"/>
      <c r="AE68" s="519"/>
      <c r="AF68" s="519"/>
      <c r="AG68" s="519"/>
      <c r="AH68" s="519"/>
      <c r="AI68" s="519"/>
      <c r="AJ68" s="519"/>
      <c r="AK68" s="519"/>
      <c r="AL68" s="519"/>
      <c r="AM68" s="519"/>
      <c r="AN68" s="519"/>
      <c r="AO68" s="519"/>
      <c r="AP68" s="519"/>
      <c r="AQ68" s="519"/>
      <c r="AR68" s="519"/>
      <c r="AS68" s="519"/>
      <c r="AT68" s="519"/>
      <c r="AU68" s="519"/>
      <c r="AV68" s="519"/>
      <c r="AW68" s="519"/>
      <c r="AX68" s="519"/>
      <c r="AY68" s="519"/>
      <c r="AZ68" s="519"/>
      <c r="BA68" s="519"/>
      <c r="BB68" s="519"/>
      <c r="BC68" s="519"/>
      <c r="BD68" s="519"/>
      <c r="BE68" s="519"/>
      <c r="BF68" s="519"/>
      <c r="BG68" s="519"/>
      <c r="BH68" s="519"/>
      <c r="BI68" s="519"/>
      <c r="BJ68" s="519"/>
      <c r="BK68" s="519"/>
      <c r="BL68" s="519"/>
      <c r="BM68" s="519"/>
      <c r="BN68" s="519"/>
      <c r="BO68" s="519"/>
      <c r="BP68" s="519"/>
      <c r="BQ68" s="519"/>
      <c r="BR68" s="519"/>
      <c r="BS68" s="519"/>
      <c r="BT68" s="519"/>
      <c r="BU68" s="519"/>
      <c r="BV68" s="519"/>
      <c r="BW68" s="519"/>
      <c r="BX68" s="519"/>
      <c r="BY68" s="519"/>
      <c r="BZ68" s="519"/>
      <c r="CA68" s="519"/>
      <c r="CB68" s="519"/>
      <c r="CC68" s="519"/>
      <c r="CD68" s="519"/>
      <c r="CE68" s="519"/>
      <c r="CF68" s="519"/>
      <c r="CG68" s="519"/>
      <c r="CH68" s="519"/>
      <c r="CI68" s="519"/>
      <c r="CJ68" s="136"/>
      <c r="CK68" s="136"/>
      <c r="CL68" s="136"/>
      <c r="CM68" s="136"/>
      <c r="CN68" s="136"/>
      <c r="CO68" s="136"/>
      <c r="CP68" s="136"/>
      <c r="CQ68" s="136"/>
    </row>
    <row r="69" ht="15.75" customHeight="1">
      <c r="D69" s="247"/>
      <c r="E69" s="247"/>
      <c r="F69" s="247"/>
      <c r="G69" s="247"/>
      <c r="H69" s="247"/>
      <c r="I69" s="247"/>
      <c r="J69" s="247"/>
      <c r="K69" s="247"/>
      <c r="L69" s="247"/>
      <c r="M69" s="247"/>
      <c r="N69" s="24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7"/>
      <c r="BQ69" s="117"/>
      <c r="BR69" s="117"/>
      <c r="BS69" s="117"/>
      <c r="BT69" s="117"/>
      <c r="BU69" s="117"/>
      <c r="BV69" s="117"/>
      <c r="BW69" s="117"/>
      <c r="BX69" s="117"/>
      <c r="BY69" s="117"/>
      <c r="BZ69" s="117"/>
      <c r="CA69" s="117"/>
      <c r="CB69" s="117"/>
      <c r="CC69" s="117"/>
      <c r="CD69" s="117"/>
      <c r="CE69" s="117"/>
      <c r="CF69" s="117"/>
      <c r="CG69" s="117"/>
      <c r="CH69" s="117"/>
      <c r="CI69" s="117"/>
    </row>
    <row r="70" ht="15.75" customHeight="1">
      <c r="C70" s="115" t="s">
        <v>87</v>
      </c>
      <c r="D70" s="247"/>
      <c r="E70" s="247"/>
      <c r="F70" s="247"/>
      <c r="G70" s="247"/>
      <c r="H70" s="247"/>
      <c r="I70" s="247"/>
      <c r="J70" s="247"/>
      <c r="K70" s="247"/>
      <c r="L70" s="247"/>
      <c r="M70" s="247"/>
      <c r="N70" s="24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7"/>
      <c r="BQ70" s="117"/>
      <c r="BR70" s="117"/>
      <c r="BS70" s="117"/>
      <c r="BT70" s="117"/>
      <c r="BU70" s="117"/>
      <c r="BV70" s="117"/>
      <c r="BW70" s="117"/>
      <c r="BX70" s="117"/>
      <c r="BY70" s="117"/>
      <c r="BZ70" s="117"/>
      <c r="CA70" s="117"/>
      <c r="CB70" s="117"/>
      <c r="CC70" s="117"/>
      <c r="CD70" s="117"/>
      <c r="CE70" s="117"/>
      <c r="CF70" s="117"/>
      <c r="CG70" s="117"/>
      <c r="CH70" s="117"/>
      <c r="CI70" s="117"/>
    </row>
    <row r="71" ht="15.75" customHeight="1" outlineLevel="1">
      <c r="C71" s="129"/>
      <c r="D71" s="247"/>
      <c r="E71" s="247"/>
      <c r="F71" s="247"/>
      <c r="G71" s="247"/>
      <c r="H71" s="247"/>
      <c r="I71" s="247"/>
      <c r="J71" s="247"/>
      <c r="K71" s="247"/>
      <c r="L71" s="247"/>
      <c r="M71" s="247"/>
      <c r="N71" s="247"/>
      <c r="O71" s="117"/>
      <c r="P71" s="117"/>
      <c r="Q71" s="117"/>
      <c r="R71" s="117"/>
      <c r="S71" s="117"/>
      <c r="T71" s="117"/>
      <c r="U71" s="117"/>
      <c r="V71" s="117"/>
      <c r="W71" s="117"/>
      <c r="X71" s="117"/>
      <c r="Y71" s="117"/>
      <c r="Z71" s="117"/>
      <c r="AA71" s="117"/>
      <c r="AB71" s="117"/>
      <c r="AC71" s="117"/>
      <c r="AD71" s="117"/>
      <c r="AE71" s="117"/>
      <c r="AF71" s="117"/>
      <c r="AG71" s="117"/>
      <c r="AH71" s="117"/>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7"/>
      <c r="BO71" s="117"/>
      <c r="BP71" s="117"/>
      <c r="BQ71" s="117"/>
      <c r="BR71" s="117"/>
      <c r="BS71" s="117"/>
      <c r="BT71" s="117"/>
      <c r="BU71" s="117"/>
      <c r="BV71" s="117"/>
      <c r="BW71" s="117"/>
      <c r="BX71" s="117"/>
      <c r="BY71" s="117"/>
      <c r="BZ71" s="117"/>
      <c r="CA71" s="117"/>
      <c r="CB71" s="117"/>
      <c r="CC71" s="117"/>
      <c r="CD71" s="117"/>
      <c r="CE71" s="117"/>
      <c r="CF71" s="117"/>
      <c r="CG71" s="117"/>
      <c r="CH71" s="117"/>
      <c r="CI71" s="117"/>
    </row>
    <row r="72" ht="15.75" customHeight="1" outlineLevel="1">
      <c r="C72" s="257" t="s">
        <v>805</v>
      </c>
      <c r="D72" s="247">
        <f>Revenue!C8</f>
        <v>203271</v>
      </c>
      <c r="E72" s="247">
        <f>Revenue!D8</f>
        <v>139789</v>
      </c>
      <c r="F72" s="247">
        <f>Revenue!E8</f>
        <v>173116</v>
      </c>
      <c r="G72" s="247">
        <f>Revenue!F8</f>
        <v>234675</v>
      </c>
      <c r="H72" s="247">
        <f>Revenue!G8</f>
        <v>268150</v>
      </c>
      <c r="I72" s="247">
        <f>Revenue!H8</f>
        <v>263187</v>
      </c>
      <c r="J72" s="247">
        <f>Revenue!I8</f>
        <v>261112</v>
      </c>
      <c r="K72" s="247">
        <f>Revenue!J8</f>
        <v>188247</v>
      </c>
      <c r="L72" s="247">
        <f>Revenue!K8</f>
        <v>181572</v>
      </c>
      <c r="M72" s="247">
        <f>Revenue!L8</f>
        <v>150133</v>
      </c>
      <c r="N72" s="247">
        <f>Revenue!M8</f>
        <v>184682</v>
      </c>
      <c r="O72" s="247">
        <f>Revenue!N8</f>
        <v>148278</v>
      </c>
      <c r="P72" s="247">
        <f>Revenue!O8</f>
        <v>193838</v>
      </c>
      <c r="Q72" s="247">
        <f>Revenue!P8</f>
        <v>193578</v>
      </c>
      <c r="R72" s="247">
        <f>Revenue!Q8</f>
        <v>203241</v>
      </c>
      <c r="S72" s="247">
        <f>Revenue!R8</f>
        <v>250416</v>
      </c>
      <c r="T72" s="247">
        <f>Revenue!S8</f>
        <v>237819</v>
      </c>
      <c r="U72" s="247">
        <f>Revenue!T8</f>
        <v>158273</v>
      </c>
      <c r="V72" s="247">
        <f>Revenue!U8</f>
        <v>191633</v>
      </c>
      <c r="W72" s="247">
        <v>259676.0</v>
      </c>
      <c r="X72" s="247">
        <v>192833.0</v>
      </c>
      <c r="Y72" s="247">
        <f>Revenue!X8</f>
        <v>258341</v>
      </c>
      <c r="Z72" s="247">
        <f>Revenue!Y8</f>
        <v>207412</v>
      </c>
      <c r="AA72" s="117">
        <f>Revenue!Z8</f>
        <v>276010.975</v>
      </c>
      <c r="AB72" s="117">
        <f>Revenue!AA8</f>
        <v>350687.0274</v>
      </c>
      <c r="AC72" s="117">
        <f>Revenue!AB8</f>
        <v>425236.3339</v>
      </c>
      <c r="AD72" s="117">
        <f>Revenue!AC8</f>
        <v>493846.1583</v>
      </c>
      <c r="AE72" s="117">
        <f>Revenue!AD8</f>
        <v>557565.2007</v>
      </c>
      <c r="AF72" s="117">
        <f>Revenue!AE8</f>
        <v>618794.0664</v>
      </c>
      <c r="AG72" s="117">
        <f>Revenue!AF8</f>
        <v>679166.8654</v>
      </c>
      <c r="AH72" s="117">
        <f>Revenue!AG8</f>
        <v>737945.7206</v>
      </c>
      <c r="AI72" s="117">
        <f>Revenue!AH8</f>
        <v>798955.3159</v>
      </c>
      <c r="AJ72" s="117">
        <f>Revenue!AI8</f>
        <v>857035.5227</v>
      </c>
      <c r="AK72" s="117">
        <f>Revenue!AJ8</f>
        <v>909223.7479</v>
      </c>
      <c r="AL72" s="117">
        <f>Revenue!AK8</f>
        <v>954796.8069</v>
      </c>
      <c r="AM72" s="117">
        <f>Revenue!AL8</f>
        <v>1000310.763</v>
      </c>
      <c r="AN72" s="117">
        <f>Revenue!AM8</f>
        <v>1045803.08</v>
      </c>
      <c r="AO72" s="117">
        <f>Revenue!AN8</f>
        <v>1060837.482</v>
      </c>
      <c r="AP72" s="117">
        <f>Revenue!AO8</f>
        <v>1066689.864</v>
      </c>
      <c r="AQ72" s="117">
        <f>Revenue!AP8</f>
        <v>1076646.148</v>
      </c>
      <c r="AR72" s="117">
        <f>Revenue!AQ8</f>
        <v>1088887.103</v>
      </c>
      <c r="AS72" s="117">
        <f>Revenue!AR8</f>
        <v>1102294.281</v>
      </c>
      <c r="AT72" s="117">
        <f>Revenue!AS8</f>
        <v>1115918.837</v>
      </c>
      <c r="AU72" s="117">
        <f>Revenue!AT8</f>
        <v>1129283.422</v>
      </c>
      <c r="AV72" s="117">
        <f>Revenue!AU8</f>
        <v>1142410.106</v>
      </c>
      <c r="AW72" s="117">
        <f>Revenue!AV8</f>
        <v>1155316.089</v>
      </c>
      <c r="AX72" s="117">
        <f>Revenue!AW8</f>
        <v>1168016.417</v>
      </c>
      <c r="AY72" s="117">
        <f>Revenue!AX8</f>
        <v>1180524.946</v>
      </c>
      <c r="AZ72" s="117">
        <f>Revenue!AY8</f>
        <v>1193131.617</v>
      </c>
      <c r="BA72" s="117">
        <f>Revenue!AZ8</f>
        <v>1215896.824</v>
      </c>
      <c r="BB72" s="117">
        <f>Revenue!BA8</f>
        <v>1238203.963</v>
      </c>
      <c r="BC72" s="117">
        <f>Revenue!BB8</f>
        <v>1259966.901</v>
      </c>
      <c r="BD72" s="117">
        <f>Revenue!BC8</f>
        <v>1281262.865</v>
      </c>
      <c r="BE72" s="117">
        <f>Revenue!BD8</f>
        <v>1302132.414</v>
      </c>
      <c r="BF72" s="117">
        <f>Revenue!BE8</f>
        <v>1322602.735</v>
      </c>
      <c r="BG72" s="117">
        <f>Revenue!BF8</f>
        <v>1342695.826</v>
      </c>
      <c r="BH72" s="117">
        <f>Revenue!BG8</f>
        <v>1362431.372</v>
      </c>
      <c r="BI72" s="117">
        <f>Revenue!BH8</f>
        <v>1381827.782</v>
      </c>
      <c r="BJ72" s="117">
        <f>Revenue!BI8</f>
        <v>1400902.562</v>
      </c>
      <c r="BK72" s="117">
        <f>Revenue!BJ8</f>
        <v>1419672.474</v>
      </c>
      <c r="BL72" s="117">
        <f>Revenue!BK8</f>
        <v>1441122.851</v>
      </c>
      <c r="BM72" s="117">
        <f>Revenue!BL8</f>
        <v>1465179.478</v>
      </c>
      <c r="BN72" s="117">
        <f>Revenue!BM8</f>
        <v>1488062.037</v>
      </c>
      <c r="BO72" s="117">
        <f>Revenue!BN8</f>
        <v>1509147.715</v>
      </c>
      <c r="BP72" s="117">
        <f>Revenue!BO8</f>
        <v>1529904.053</v>
      </c>
      <c r="BQ72" s="117">
        <f>Revenue!BP8</f>
        <v>1550377.039</v>
      </c>
      <c r="BR72" s="117">
        <f>Revenue!BQ8</f>
        <v>1570593.034</v>
      </c>
      <c r="BS72" s="117">
        <f>Revenue!BR8</f>
        <v>1590571.194</v>
      </c>
      <c r="BT72" s="117">
        <f>Revenue!BS8</f>
        <v>1610327.838</v>
      </c>
      <c r="BU72" s="117">
        <f>Revenue!BT8</f>
        <v>1629877.987</v>
      </c>
      <c r="BV72" s="117">
        <f>Revenue!BU8</f>
        <v>1649235.922</v>
      </c>
      <c r="BW72" s="117">
        <f>Revenue!BV8</f>
        <v>1668415.386</v>
      </c>
      <c r="BX72" s="117">
        <f>Revenue!BW8</f>
        <v>1687429.669</v>
      </c>
      <c r="BY72" s="117">
        <f>Revenue!BX8</f>
        <v>1701265.07</v>
      </c>
      <c r="BZ72" s="117">
        <f>Revenue!BY8</f>
        <v>1712809.028</v>
      </c>
      <c r="CA72" s="117">
        <f>Revenue!BZ8</f>
        <v>1724389.739</v>
      </c>
      <c r="CB72" s="117">
        <f>Revenue!CA8</f>
        <v>1736419.269</v>
      </c>
      <c r="CC72" s="117">
        <f>Revenue!CB8</f>
        <v>1748552.268</v>
      </c>
      <c r="CD72" s="117">
        <f>Revenue!CC8</f>
        <v>1760673.347</v>
      </c>
      <c r="CE72" s="117">
        <f>Revenue!CD8</f>
        <v>1772747.379</v>
      </c>
      <c r="CF72" s="117">
        <f>Revenue!CE8</f>
        <v>1784767.117</v>
      </c>
      <c r="CG72" s="117">
        <f>Revenue!CF8</f>
        <v>1796734.866</v>
      </c>
      <c r="CH72" s="117">
        <f>Revenue!CG8</f>
        <v>1808656.08</v>
      </c>
      <c r="CI72" s="117">
        <f>Revenue!CH8</f>
        <v>1820537.127</v>
      </c>
      <c r="CL72" s="117">
        <f>SUM(D72:G72)</f>
        <v>750851</v>
      </c>
      <c r="CM72" s="117">
        <f>SUM(H72:K72)</f>
        <v>980696</v>
      </c>
      <c r="CN72" s="117">
        <f>SUM(L72:O72)</f>
        <v>664665</v>
      </c>
      <c r="CO72" s="117">
        <f>SUM(P72:S72)</f>
        <v>841073</v>
      </c>
      <c r="CP72" s="117">
        <f>SUM(T72:W72)</f>
        <v>847401</v>
      </c>
      <c r="CQ72" s="117">
        <f>SUM(X72:AA72)</f>
        <v>934596.975</v>
      </c>
    </row>
    <row r="73" ht="15.75" customHeight="1" outlineLevel="1">
      <c r="A73" s="122"/>
      <c r="B73" s="122"/>
      <c r="C73" s="515" t="s">
        <v>799</v>
      </c>
      <c r="D73" s="260">
        <f t="shared" ref="D73:CI73" si="72">D72/D$5</f>
        <v>0.2629120794</v>
      </c>
      <c r="E73" s="260">
        <f t="shared" si="72"/>
        <v>0.1484870759</v>
      </c>
      <c r="F73" s="260">
        <f t="shared" si="72"/>
        <v>0.1937534556</v>
      </c>
      <c r="G73" s="260">
        <f t="shared" si="72"/>
        <v>0.223191995</v>
      </c>
      <c r="H73" s="260">
        <f t="shared" si="72"/>
        <v>0.2995500326</v>
      </c>
      <c r="I73" s="260">
        <f t="shared" si="72"/>
        <v>0.2708615924</v>
      </c>
      <c r="J73" s="260">
        <f t="shared" si="72"/>
        <v>0.3224010925</v>
      </c>
      <c r="K73" s="260">
        <f t="shared" si="72"/>
        <v>0.2420268092</v>
      </c>
      <c r="L73" s="260">
        <f t="shared" si="72"/>
        <v>0.2162366871</v>
      </c>
      <c r="M73" s="260">
        <f t="shared" si="72"/>
        <v>0.167434697</v>
      </c>
      <c r="N73" s="260">
        <f t="shared" si="72"/>
        <v>0.2116898092</v>
      </c>
      <c r="O73" s="260">
        <f t="shared" si="72"/>
        <v>0.1475567426</v>
      </c>
      <c r="P73" s="260">
        <f t="shared" si="72"/>
        <v>0.1716785865</v>
      </c>
      <c r="Q73" s="260">
        <f t="shared" si="72"/>
        <v>0.1991410039</v>
      </c>
      <c r="R73" s="260">
        <f t="shared" si="72"/>
        <v>0.1908004303</v>
      </c>
      <c r="S73" s="260">
        <f t="shared" si="72"/>
        <v>0.2149537845</v>
      </c>
      <c r="T73" s="260">
        <f t="shared" si="72"/>
        <v>0.2083910569</v>
      </c>
      <c r="U73" s="260">
        <f t="shared" si="72"/>
        <v>0.1542044693</v>
      </c>
      <c r="V73" s="260">
        <f t="shared" si="72"/>
        <v>0.1767111565</v>
      </c>
      <c r="W73" s="260">
        <f t="shared" si="72"/>
        <v>0.2025648626</v>
      </c>
      <c r="X73" s="260">
        <f t="shared" si="72"/>
        <v>0.1601211996</v>
      </c>
      <c r="Y73" s="260">
        <f t="shared" si="72"/>
        <v>0.2400621851</v>
      </c>
      <c r="Z73" s="260">
        <f t="shared" si="72"/>
        <v>0.1922199002</v>
      </c>
      <c r="AA73" s="122">
        <f t="shared" si="72"/>
        <v>0.1949518305</v>
      </c>
      <c r="AB73" s="122">
        <f t="shared" si="72"/>
        <v>0.210312563</v>
      </c>
      <c r="AC73" s="122">
        <f t="shared" si="72"/>
        <v>0.2219206007</v>
      </c>
      <c r="AD73" s="122">
        <f t="shared" si="72"/>
        <v>0.2303464401</v>
      </c>
      <c r="AE73" s="122">
        <f t="shared" si="72"/>
        <v>0.2360533428</v>
      </c>
      <c r="AF73" s="122">
        <f t="shared" si="72"/>
        <v>0.2399604354</v>
      </c>
      <c r="AG73" s="122">
        <f t="shared" si="72"/>
        <v>0.242844519</v>
      </c>
      <c r="AH73" s="122">
        <f t="shared" si="72"/>
        <v>0.2465396628</v>
      </c>
      <c r="AI73" s="122">
        <f t="shared" si="72"/>
        <v>0.2507770867</v>
      </c>
      <c r="AJ73" s="122">
        <f t="shared" si="72"/>
        <v>0.2539673994</v>
      </c>
      <c r="AK73" s="122">
        <f t="shared" si="72"/>
        <v>0.2561209405</v>
      </c>
      <c r="AL73" s="122">
        <f t="shared" si="72"/>
        <v>0.2564125358</v>
      </c>
      <c r="AM73" s="122">
        <f t="shared" si="72"/>
        <v>0.2565190266</v>
      </c>
      <c r="AN73" s="122">
        <f t="shared" si="72"/>
        <v>0.2567447609</v>
      </c>
      <c r="AO73" s="122">
        <f t="shared" si="72"/>
        <v>0.2584720164</v>
      </c>
      <c r="AP73" s="122">
        <f t="shared" si="72"/>
        <v>0.2571791777</v>
      </c>
      <c r="AQ73" s="122">
        <f t="shared" si="72"/>
        <v>0.2561069643</v>
      </c>
      <c r="AR73" s="122">
        <f t="shared" si="72"/>
        <v>0.2553915558</v>
      </c>
      <c r="AS73" s="122">
        <f t="shared" si="72"/>
        <v>0.2548247473</v>
      </c>
      <c r="AT73" s="122">
        <f t="shared" si="72"/>
        <v>0.2543628643</v>
      </c>
      <c r="AU73" s="122">
        <f t="shared" si="72"/>
        <v>0.2531309212</v>
      </c>
      <c r="AV73" s="122">
        <f t="shared" si="72"/>
        <v>0.2526835905</v>
      </c>
      <c r="AW73" s="122">
        <f t="shared" si="72"/>
        <v>0.2522465562</v>
      </c>
      <c r="AX73" s="122">
        <f t="shared" si="72"/>
        <v>0.2518205811</v>
      </c>
      <c r="AY73" s="122">
        <f t="shared" si="72"/>
        <v>0.2514058661</v>
      </c>
      <c r="AZ73" s="122">
        <f t="shared" si="72"/>
        <v>0.2475000618</v>
      </c>
      <c r="BA73" s="122">
        <f t="shared" si="72"/>
        <v>0.2473921456</v>
      </c>
      <c r="BB73" s="122">
        <f t="shared" si="72"/>
        <v>0.24734013</v>
      </c>
      <c r="BC73" s="122">
        <f t="shared" si="72"/>
        <v>0.2472971017</v>
      </c>
      <c r="BD73" s="122">
        <f t="shared" si="72"/>
        <v>0.2472603373</v>
      </c>
      <c r="BE73" s="122">
        <f t="shared" si="72"/>
        <v>0.2472263481</v>
      </c>
      <c r="BF73" s="122">
        <f t="shared" si="72"/>
        <v>0.247191918</v>
      </c>
      <c r="BG73" s="122">
        <f t="shared" si="72"/>
        <v>0.2471545559</v>
      </c>
      <c r="BH73" s="122">
        <f t="shared" si="72"/>
        <v>0.2471125036</v>
      </c>
      <c r="BI73" s="122">
        <f t="shared" si="72"/>
        <v>0.2470646021</v>
      </c>
      <c r="BJ73" s="122">
        <f t="shared" si="72"/>
        <v>0.2470101424</v>
      </c>
      <c r="BK73" s="122">
        <f t="shared" si="72"/>
        <v>0.2469487403</v>
      </c>
      <c r="BL73" s="122">
        <f t="shared" si="72"/>
        <v>0.2458942513</v>
      </c>
      <c r="BM73" s="122">
        <f t="shared" si="72"/>
        <v>0.2463483206</v>
      </c>
      <c r="BN73" s="122">
        <f t="shared" si="72"/>
        <v>0.2469300762</v>
      </c>
      <c r="BO73" s="122">
        <f t="shared" si="72"/>
        <v>0.2472654656</v>
      </c>
      <c r="BP73" s="122">
        <f t="shared" si="72"/>
        <v>0.2475544912</v>
      </c>
      <c r="BQ73" s="122">
        <f t="shared" si="72"/>
        <v>0.2478050941</v>
      </c>
      <c r="BR73" s="122">
        <f t="shared" si="72"/>
        <v>0.2480208765</v>
      </c>
      <c r="BS73" s="122">
        <f t="shared" si="72"/>
        <v>0.2482041953</v>
      </c>
      <c r="BT73" s="122">
        <f t="shared" si="72"/>
        <v>0.2483569455</v>
      </c>
      <c r="BU73" s="122">
        <f t="shared" si="72"/>
        <v>0.2484807941</v>
      </c>
      <c r="BV73" s="122">
        <f t="shared" si="72"/>
        <v>0.2485772605</v>
      </c>
      <c r="BW73" s="122">
        <f t="shared" si="72"/>
        <v>0.2486477485</v>
      </c>
      <c r="BX73" s="122">
        <f t="shared" si="72"/>
        <v>0.2476826942</v>
      </c>
      <c r="BY73" s="122">
        <f t="shared" si="72"/>
        <v>0.2479627275</v>
      </c>
      <c r="BZ73" s="122">
        <f t="shared" si="72"/>
        <v>0.2479834167</v>
      </c>
      <c r="CA73" s="122">
        <f t="shared" si="72"/>
        <v>0.2479235454</v>
      </c>
      <c r="CB73" s="122">
        <f t="shared" si="72"/>
        <v>0.247879113</v>
      </c>
      <c r="CC73" s="122">
        <f t="shared" si="72"/>
        <v>0.24782734</v>
      </c>
      <c r="CD73" s="122">
        <f t="shared" si="72"/>
        <v>0.2477631467</v>
      </c>
      <c r="CE73" s="122">
        <f t="shared" si="72"/>
        <v>0.2476874774</v>
      </c>
      <c r="CF73" s="122">
        <f t="shared" si="72"/>
        <v>0.2476027012</v>
      </c>
      <c r="CG73" s="122">
        <f t="shared" si="72"/>
        <v>0.2475111079</v>
      </c>
      <c r="CH73" s="122">
        <f t="shared" si="72"/>
        <v>0.2474145263</v>
      </c>
      <c r="CI73" s="122">
        <f t="shared" si="72"/>
        <v>0.2473143071</v>
      </c>
      <c r="CJ73" s="122"/>
      <c r="CK73" s="122"/>
      <c r="CL73" s="122">
        <f t="shared" ref="CL73:CQ73" si="73">CL72/CL$5</f>
        <v>0.2051780717</v>
      </c>
      <c r="CM73" s="122">
        <f t="shared" si="73"/>
        <v>0.2838866255</v>
      </c>
      <c r="CN73" s="122">
        <f t="shared" si="73"/>
        <v>0.1839310971</v>
      </c>
      <c r="CO73" s="122">
        <f t="shared" si="73"/>
        <v>0.1941840798</v>
      </c>
      <c r="CP73" s="122">
        <f t="shared" si="73"/>
        <v>0.1868999892</v>
      </c>
      <c r="CQ73" s="122">
        <f t="shared" si="73"/>
        <v>0.1957163915</v>
      </c>
    </row>
    <row r="74" ht="15.75" customHeight="1" outlineLevel="1">
      <c r="C74" s="129"/>
      <c r="D74" s="247"/>
      <c r="E74" s="247"/>
      <c r="F74" s="247"/>
      <c r="G74" s="247"/>
      <c r="H74" s="247"/>
      <c r="I74" s="247"/>
      <c r="J74" s="247"/>
      <c r="K74" s="247"/>
      <c r="L74" s="247"/>
      <c r="M74" s="247"/>
      <c r="N74" s="247"/>
      <c r="O74" s="247"/>
      <c r="P74" s="247"/>
      <c r="Q74" s="24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7"/>
      <c r="BQ74" s="117"/>
      <c r="BR74" s="117"/>
      <c r="BS74" s="117"/>
      <c r="BT74" s="117"/>
      <c r="BU74" s="117"/>
      <c r="BV74" s="117"/>
      <c r="BW74" s="117"/>
      <c r="BX74" s="117"/>
      <c r="BY74" s="117"/>
      <c r="BZ74" s="117"/>
      <c r="CA74" s="117"/>
      <c r="CB74" s="117"/>
      <c r="CC74" s="117"/>
      <c r="CD74" s="117"/>
      <c r="CE74" s="117"/>
      <c r="CF74" s="117"/>
      <c r="CG74" s="117"/>
      <c r="CH74" s="117"/>
      <c r="CI74" s="117"/>
      <c r="CL74" s="117"/>
      <c r="CM74" s="117"/>
      <c r="CN74" s="117"/>
      <c r="CO74" s="117"/>
      <c r="CP74" s="117"/>
      <c r="CQ74" s="117"/>
    </row>
    <row r="75" ht="15.75" customHeight="1" outlineLevel="1">
      <c r="A75" s="1" t="s">
        <v>87</v>
      </c>
      <c r="B75" s="91" t="s">
        <v>63</v>
      </c>
      <c r="C75" s="132" t="s">
        <v>206</v>
      </c>
      <c r="D75" s="247">
        <f t="shared" ref="D75:Z75" si="74">RANDBETWEEN(0,5000)</f>
        <v>2634</v>
      </c>
      <c r="E75" s="247">
        <f t="shared" si="74"/>
        <v>4236</v>
      </c>
      <c r="F75" s="247">
        <f t="shared" si="74"/>
        <v>4122</v>
      </c>
      <c r="G75" s="247">
        <f t="shared" si="74"/>
        <v>194</v>
      </c>
      <c r="H75" s="247">
        <f t="shared" si="74"/>
        <v>103</v>
      </c>
      <c r="I75" s="247">
        <f t="shared" si="74"/>
        <v>4237</v>
      </c>
      <c r="J75" s="247">
        <f t="shared" si="74"/>
        <v>1489</v>
      </c>
      <c r="K75" s="247">
        <f t="shared" si="74"/>
        <v>3089</v>
      </c>
      <c r="L75" s="247">
        <f t="shared" si="74"/>
        <v>3218</v>
      </c>
      <c r="M75" s="247">
        <f t="shared" si="74"/>
        <v>1693</v>
      </c>
      <c r="N75" s="247">
        <f t="shared" si="74"/>
        <v>3350</v>
      </c>
      <c r="O75" s="247">
        <f t="shared" si="74"/>
        <v>3543</v>
      </c>
      <c r="P75" s="247">
        <f t="shared" si="74"/>
        <v>726</v>
      </c>
      <c r="Q75" s="247">
        <f t="shared" si="74"/>
        <v>1702</v>
      </c>
      <c r="R75" s="247">
        <f t="shared" si="74"/>
        <v>726</v>
      </c>
      <c r="S75" s="247">
        <f t="shared" si="74"/>
        <v>354</v>
      </c>
      <c r="T75" s="247">
        <f t="shared" si="74"/>
        <v>4054</v>
      </c>
      <c r="U75" s="247">
        <f t="shared" si="74"/>
        <v>2254</v>
      </c>
      <c r="V75" s="247">
        <f t="shared" si="74"/>
        <v>290</v>
      </c>
      <c r="W75" s="247">
        <f t="shared" si="74"/>
        <v>1779</v>
      </c>
      <c r="X75" s="247">
        <f t="shared" si="74"/>
        <v>1145</v>
      </c>
      <c r="Y75" s="247">
        <f t="shared" si="74"/>
        <v>1609</v>
      </c>
      <c r="Z75" s="247">
        <f t="shared" si="74"/>
        <v>2967</v>
      </c>
      <c r="AA75" s="116">
        <f>Headcount!S80</f>
        <v>2967</v>
      </c>
      <c r="AB75" s="116">
        <f>Headcount!T80</f>
        <v>13500.515</v>
      </c>
      <c r="AC75" s="116">
        <f>Headcount!U80</f>
        <v>13500.515</v>
      </c>
      <c r="AD75" s="116">
        <f>Headcount!V80</f>
        <v>13500.515</v>
      </c>
      <c r="AE75" s="116">
        <f>Headcount!W80</f>
        <v>13500.515</v>
      </c>
      <c r="AF75" s="116">
        <f>Headcount!X80</f>
        <v>14108.03818</v>
      </c>
      <c r="AG75" s="116">
        <f>Headcount!Y80</f>
        <v>14108.03818</v>
      </c>
      <c r="AH75" s="116">
        <f>Headcount!Z80</f>
        <v>19308.03818</v>
      </c>
      <c r="AI75" s="116">
        <f>Headcount!AA80</f>
        <v>24508.03818</v>
      </c>
      <c r="AJ75" s="116">
        <f>Headcount!AB80</f>
        <v>30810.89989</v>
      </c>
      <c r="AK75" s="116">
        <f>Headcount!AC80</f>
        <v>36010.89989</v>
      </c>
      <c r="AL75" s="116">
        <f>Headcount!AD80</f>
        <v>41210.89989</v>
      </c>
      <c r="AM75" s="116">
        <f>Headcount!AE80</f>
        <v>46410.89989</v>
      </c>
      <c r="AN75" s="116">
        <f>Headcount!AF80</f>
        <v>48267.33589</v>
      </c>
      <c r="AO75" s="116">
        <f>Headcount!AG80</f>
        <v>48267.33589</v>
      </c>
      <c r="AP75" s="116">
        <f>Headcount!AH80</f>
        <v>48267.33589</v>
      </c>
      <c r="AQ75" s="116">
        <f>Headcount!AI80</f>
        <v>48267.33589</v>
      </c>
      <c r="AR75" s="116">
        <f>Headcount!AJ80</f>
        <v>50198.02932</v>
      </c>
      <c r="AS75" s="116">
        <f>Headcount!AK80</f>
        <v>55606.02932</v>
      </c>
      <c r="AT75" s="116">
        <f>Headcount!AL80</f>
        <v>55606.02932</v>
      </c>
      <c r="AU75" s="116">
        <f>Headcount!AM80</f>
        <v>55606.02932</v>
      </c>
      <c r="AV75" s="116">
        <f>Headcount!AN80</f>
        <v>57830.2705</v>
      </c>
      <c r="AW75" s="116">
        <f>Headcount!AO80</f>
        <v>57830.2705</v>
      </c>
      <c r="AX75" s="116">
        <f>Headcount!AP80</f>
        <v>57830.2705</v>
      </c>
      <c r="AY75" s="116">
        <f>Headcount!AQ80</f>
        <v>57830.2705</v>
      </c>
      <c r="AZ75" s="116">
        <f>Headcount!AR80</f>
        <v>65992.77412</v>
      </c>
      <c r="BA75" s="116">
        <f>Headcount!AS80</f>
        <v>65992.77412</v>
      </c>
      <c r="BB75" s="116">
        <f>Headcount!AT80</f>
        <v>65992.77412</v>
      </c>
      <c r="BC75" s="116">
        <f>Headcount!AU80</f>
        <v>65992.77412</v>
      </c>
      <c r="BD75" s="116">
        <f>Headcount!AV80</f>
        <v>68632.48508</v>
      </c>
      <c r="BE75" s="116">
        <f>Headcount!AW80</f>
        <v>68632.48508</v>
      </c>
      <c r="BF75" s="116">
        <f>Headcount!AX80</f>
        <v>68632.48508</v>
      </c>
      <c r="BG75" s="116">
        <f>Headcount!AY80</f>
        <v>74715.74959</v>
      </c>
      <c r="BH75" s="116">
        <f>Headcount!AZ80</f>
        <v>77704.37958</v>
      </c>
      <c r="BI75" s="116">
        <f>Headcount!BA80</f>
        <v>77704.37958</v>
      </c>
      <c r="BJ75" s="116">
        <f>Headcount!BB80</f>
        <v>77704.37958</v>
      </c>
      <c r="BK75" s="116">
        <f>Headcount!BC80</f>
        <v>83787.64409</v>
      </c>
      <c r="BL75" s="116">
        <f>Headcount!BD80</f>
        <v>93465.74495</v>
      </c>
      <c r="BM75" s="116">
        <f>Headcount!BE80</f>
        <v>93465.74495</v>
      </c>
      <c r="BN75" s="116">
        <f>Headcount!BF80</f>
        <v>93465.74495</v>
      </c>
      <c r="BO75" s="116">
        <f>Headcount!BG80</f>
        <v>93465.74495</v>
      </c>
      <c r="BP75" s="116">
        <f>Headcount!BH80</f>
        <v>97204.37474</v>
      </c>
      <c r="BQ75" s="116">
        <f>Headcount!BI80</f>
        <v>97204.37474</v>
      </c>
      <c r="BR75" s="116">
        <f>Headcount!BJ80</f>
        <v>97204.37474</v>
      </c>
      <c r="BS75" s="116">
        <f>Headcount!BK80</f>
        <v>97204.37474</v>
      </c>
      <c r="BT75" s="116">
        <f>Headcount!BL80</f>
        <v>101092.5497</v>
      </c>
      <c r="BU75" s="116">
        <f>Headcount!BM80</f>
        <v>101092.5497</v>
      </c>
      <c r="BV75" s="116">
        <f>Headcount!BN80</f>
        <v>101092.5497</v>
      </c>
      <c r="BW75" s="116">
        <f>Headcount!BO80</f>
        <v>101092.5497</v>
      </c>
      <c r="BX75" s="116">
        <f>Headcount!BP80</f>
        <v>105136.2517</v>
      </c>
      <c r="BY75" s="116">
        <f>Headcount!BQ80</f>
        <v>105136.2517</v>
      </c>
      <c r="BZ75" s="116">
        <f>Headcount!BR80</f>
        <v>105136.2517</v>
      </c>
      <c r="CA75" s="116">
        <f>Headcount!BS80</f>
        <v>105136.2517</v>
      </c>
      <c r="CB75" s="116">
        <f>Headcount!BT80</f>
        <v>109341.7018</v>
      </c>
      <c r="CC75" s="116">
        <f>Headcount!BU80</f>
        <v>109341.7018</v>
      </c>
      <c r="CD75" s="116">
        <f>Headcount!BV80</f>
        <v>109341.7018</v>
      </c>
      <c r="CE75" s="116">
        <f>Headcount!BW80</f>
        <v>109341.7018</v>
      </c>
      <c r="CF75" s="116">
        <f>Headcount!BX80</f>
        <v>113715.3699</v>
      </c>
      <c r="CG75" s="116">
        <f>Headcount!BY80</f>
        <v>113715.3699</v>
      </c>
      <c r="CH75" s="116">
        <f>Headcount!BZ80</f>
        <v>113715.3699</v>
      </c>
      <c r="CI75" s="116">
        <f>Headcount!CA80</f>
        <v>113715.3699</v>
      </c>
      <c r="CL75" s="117">
        <f t="shared" ref="CL75:CL86" si="76">SUM(D75:G75)</f>
        <v>11186</v>
      </c>
      <c r="CM75" s="117">
        <f t="shared" ref="CM75:CM86" si="77">SUM(H75:K75)</f>
        <v>8918</v>
      </c>
      <c r="CN75" s="117">
        <f t="shared" ref="CN75:CN86" si="78">SUM(L75:O75)</f>
        <v>11804</v>
      </c>
      <c r="CO75" s="117">
        <f t="shared" ref="CO75:CO86" si="79">SUM(P75:S75)</f>
        <v>3508</v>
      </c>
      <c r="CP75" s="117">
        <f t="shared" ref="CP75:CP86" si="80">SUM(T75:W75)</f>
        <v>8377</v>
      </c>
      <c r="CQ75" s="117">
        <f t="shared" ref="CQ75:CQ86" si="81">SUM(X75:AA75)</f>
        <v>8688</v>
      </c>
    </row>
    <row r="76" ht="15.75" customHeight="1" outlineLevel="1">
      <c r="A76" s="1" t="s">
        <v>87</v>
      </c>
      <c r="B76" s="91" t="s">
        <v>63</v>
      </c>
      <c r="C76" s="132" t="s">
        <v>207</v>
      </c>
      <c r="D76" s="247">
        <f t="shared" ref="D76:Z76" si="75">RANDBETWEEN(0,5000)</f>
        <v>3166</v>
      </c>
      <c r="E76" s="247">
        <f t="shared" si="75"/>
        <v>1907</v>
      </c>
      <c r="F76" s="247">
        <f t="shared" si="75"/>
        <v>3961</v>
      </c>
      <c r="G76" s="247">
        <f t="shared" si="75"/>
        <v>4359</v>
      </c>
      <c r="H76" s="247">
        <f t="shared" si="75"/>
        <v>4816</v>
      </c>
      <c r="I76" s="247">
        <f t="shared" si="75"/>
        <v>644</v>
      </c>
      <c r="J76" s="247">
        <f t="shared" si="75"/>
        <v>2</v>
      </c>
      <c r="K76" s="247">
        <f t="shared" si="75"/>
        <v>1254</v>
      </c>
      <c r="L76" s="247">
        <f t="shared" si="75"/>
        <v>2272</v>
      </c>
      <c r="M76" s="247">
        <f t="shared" si="75"/>
        <v>1042</v>
      </c>
      <c r="N76" s="247">
        <f t="shared" si="75"/>
        <v>4837</v>
      </c>
      <c r="O76" s="247">
        <f t="shared" si="75"/>
        <v>943</v>
      </c>
      <c r="P76" s="247">
        <f t="shared" si="75"/>
        <v>3038</v>
      </c>
      <c r="Q76" s="247">
        <f t="shared" si="75"/>
        <v>4314</v>
      </c>
      <c r="R76" s="247">
        <f t="shared" si="75"/>
        <v>1650</v>
      </c>
      <c r="S76" s="247">
        <f t="shared" si="75"/>
        <v>228</v>
      </c>
      <c r="T76" s="247">
        <f t="shared" si="75"/>
        <v>2790</v>
      </c>
      <c r="U76" s="247">
        <f t="shared" si="75"/>
        <v>3260</v>
      </c>
      <c r="V76" s="247">
        <f t="shared" si="75"/>
        <v>1102</v>
      </c>
      <c r="W76" s="247">
        <f t="shared" si="75"/>
        <v>1689</v>
      </c>
      <c r="X76" s="247">
        <f t="shared" si="75"/>
        <v>2213</v>
      </c>
      <c r="Y76" s="247">
        <f t="shared" si="75"/>
        <v>3635</v>
      </c>
      <c r="Z76" s="247">
        <f t="shared" si="75"/>
        <v>2452</v>
      </c>
      <c r="AA76" s="117">
        <f>Headcount!S163</f>
        <v>10000</v>
      </c>
      <c r="AB76" s="117">
        <f>Headcount!T163</f>
        <v>10000</v>
      </c>
      <c r="AC76" s="117">
        <f>Headcount!U163</f>
        <v>10000</v>
      </c>
      <c r="AD76" s="117">
        <f>Headcount!V163</f>
        <v>10000</v>
      </c>
      <c r="AE76" s="117">
        <f>Headcount!W163</f>
        <v>10000</v>
      </c>
      <c r="AF76" s="117">
        <f>Headcount!X163</f>
        <v>10000</v>
      </c>
      <c r="AG76" s="117">
        <f>Headcount!Y163</f>
        <v>10000</v>
      </c>
      <c r="AH76" s="117">
        <f>Headcount!Z163</f>
        <v>10000</v>
      </c>
      <c r="AI76" s="117">
        <f>Headcount!AA163</f>
        <v>10000</v>
      </c>
      <c r="AJ76" s="117">
        <f>Headcount!AB163</f>
        <v>10000</v>
      </c>
      <c r="AK76" s="117">
        <f>Headcount!AC163</f>
        <v>10000</v>
      </c>
      <c r="AL76" s="117">
        <f>Headcount!AD163</f>
        <v>10000</v>
      </c>
      <c r="AM76" s="117">
        <f>Headcount!AE163</f>
        <v>10000</v>
      </c>
      <c r="AN76" s="117">
        <f>Headcount!AF163</f>
        <v>15000</v>
      </c>
      <c r="AO76" s="117">
        <f>Headcount!AG163</f>
        <v>15000</v>
      </c>
      <c r="AP76" s="117">
        <f>Headcount!AH163</f>
        <v>15000</v>
      </c>
      <c r="AQ76" s="117">
        <f>Headcount!AI163</f>
        <v>15000</v>
      </c>
      <c r="AR76" s="117">
        <f>Headcount!AJ163</f>
        <v>15000</v>
      </c>
      <c r="AS76" s="117">
        <f>Headcount!AK163</f>
        <v>15000</v>
      </c>
      <c r="AT76" s="117">
        <f>Headcount!AL163</f>
        <v>20000</v>
      </c>
      <c r="AU76" s="117">
        <f>Headcount!AM163</f>
        <v>20000</v>
      </c>
      <c r="AV76" s="117">
        <f>Headcount!AN163</f>
        <v>20000</v>
      </c>
      <c r="AW76" s="117">
        <f>Headcount!AO163</f>
        <v>20000</v>
      </c>
      <c r="AX76" s="117">
        <f>Headcount!AP163</f>
        <v>20000</v>
      </c>
      <c r="AY76" s="117">
        <f>Headcount!AQ163</f>
        <v>20000</v>
      </c>
      <c r="AZ76" s="117">
        <f>Headcount!AR163</f>
        <v>20000</v>
      </c>
      <c r="BA76" s="117">
        <f>Headcount!AS163</f>
        <v>20000</v>
      </c>
      <c r="BB76" s="117">
        <f>Headcount!AT163</f>
        <v>20000</v>
      </c>
      <c r="BC76" s="117">
        <f>Headcount!AU163</f>
        <v>20000</v>
      </c>
      <c r="BD76" s="117">
        <f>Headcount!AV163</f>
        <v>20000</v>
      </c>
      <c r="BE76" s="117">
        <f>Headcount!AW163</f>
        <v>20000</v>
      </c>
      <c r="BF76" s="117">
        <f>Headcount!AX163</f>
        <v>20000</v>
      </c>
      <c r="BG76" s="117">
        <f>Headcount!AY163</f>
        <v>20000</v>
      </c>
      <c r="BH76" s="117">
        <f>Headcount!AZ163</f>
        <v>20000</v>
      </c>
      <c r="BI76" s="117">
        <f>Headcount!BA163</f>
        <v>20000</v>
      </c>
      <c r="BJ76" s="117">
        <f>Headcount!BB163</f>
        <v>20000</v>
      </c>
      <c r="BK76" s="117">
        <f>Headcount!BC163</f>
        <v>20000</v>
      </c>
      <c r="BL76" s="117">
        <f>Headcount!BD163</f>
        <v>20000</v>
      </c>
      <c r="BM76" s="117">
        <f>Headcount!BE163</f>
        <v>20000</v>
      </c>
      <c r="BN76" s="117">
        <f>Headcount!BF163</f>
        <v>20000</v>
      </c>
      <c r="BO76" s="117">
        <f>Headcount!BG163</f>
        <v>20000</v>
      </c>
      <c r="BP76" s="117">
        <f>Headcount!BH163</f>
        <v>20000</v>
      </c>
      <c r="BQ76" s="117">
        <f>Headcount!BI163</f>
        <v>20000</v>
      </c>
      <c r="BR76" s="117">
        <f>Headcount!BJ163</f>
        <v>20000</v>
      </c>
      <c r="BS76" s="117">
        <f>Headcount!BK163</f>
        <v>20000</v>
      </c>
      <c r="BT76" s="117">
        <f>Headcount!BL163</f>
        <v>20000</v>
      </c>
      <c r="BU76" s="117">
        <f>Headcount!BM163</f>
        <v>20000</v>
      </c>
      <c r="BV76" s="117">
        <f>Headcount!BN163</f>
        <v>20000</v>
      </c>
      <c r="BW76" s="117">
        <f>Headcount!BO163</f>
        <v>20000</v>
      </c>
      <c r="BX76" s="117">
        <f>Headcount!BP163</f>
        <v>20000</v>
      </c>
      <c r="BY76" s="117">
        <f>Headcount!BQ163</f>
        <v>20000</v>
      </c>
      <c r="BZ76" s="117">
        <f>Headcount!BR163</f>
        <v>20000</v>
      </c>
      <c r="CA76" s="117">
        <f>Headcount!BS163</f>
        <v>20000</v>
      </c>
      <c r="CB76" s="117">
        <f>Headcount!BT163</f>
        <v>20000</v>
      </c>
      <c r="CC76" s="117">
        <f>Headcount!BU163</f>
        <v>20000</v>
      </c>
      <c r="CD76" s="117">
        <f>Headcount!BV163</f>
        <v>20000</v>
      </c>
      <c r="CE76" s="117">
        <f>Headcount!BW163</f>
        <v>20000</v>
      </c>
      <c r="CF76" s="117">
        <f>Headcount!BX163</f>
        <v>20000</v>
      </c>
      <c r="CG76" s="117">
        <f>Headcount!BY163</f>
        <v>20000</v>
      </c>
      <c r="CH76" s="117">
        <f>Headcount!BZ163</f>
        <v>20000</v>
      </c>
      <c r="CI76" s="117">
        <f>Headcount!CA163</f>
        <v>20000</v>
      </c>
      <c r="CL76" s="117">
        <f t="shared" si="76"/>
        <v>13393</v>
      </c>
      <c r="CM76" s="117">
        <f t="shared" si="77"/>
        <v>6716</v>
      </c>
      <c r="CN76" s="117">
        <f t="shared" si="78"/>
        <v>9094</v>
      </c>
      <c r="CO76" s="117">
        <f t="shared" si="79"/>
        <v>9230</v>
      </c>
      <c r="CP76" s="117">
        <f t="shared" si="80"/>
        <v>8841</v>
      </c>
      <c r="CQ76" s="117">
        <f t="shared" si="81"/>
        <v>18300</v>
      </c>
    </row>
    <row r="77" ht="15.75" customHeight="1" outlineLevel="1">
      <c r="B77" s="91"/>
      <c r="C77" s="132" t="s">
        <v>208</v>
      </c>
      <c r="D77" s="514">
        <f t="shared" ref="D77:CI77" si="82">(D75)+(D76)</f>
        <v>5800</v>
      </c>
      <c r="E77" s="514">
        <f t="shared" si="82"/>
        <v>6143</v>
      </c>
      <c r="F77" s="514">
        <f t="shared" si="82"/>
        <v>8083</v>
      </c>
      <c r="G77" s="514">
        <f t="shared" si="82"/>
        <v>4553</v>
      </c>
      <c r="H77" s="514">
        <f t="shared" si="82"/>
        <v>4919</v>
      </c>
      <c r="I77" s="514">
        <f t="shared" si="82"/>
        <v>4881</v>
      </c>
      <c r="J77" s="514">
        <f t="shared" si="82"/>
        <v>1491</v>
      </c>
      <c r="K77" s="514">
        <f t="shared" si="82"/>
        <v>4343</v>
      </c>
      <c r="L77" s="514">
        <f t="shared" si="82"/>
        <v>5490</v>
      </c>
      <c r="M77" s="514">
        <f t="shared" si="82"/>
        <v>2735</v>
      </c>
      <c r="N77" s="514">
        <f t="shared" si="82"/>
        <v>8187</v>
      </c>
      <c r="O77" s="514">
        <f t="shared" si="82"/>
        <v>4486</v>
      </c>
      <c r="P77" s="514">
        <f t="shared" si="82"/>
        <v>3764</v>
      </c>
      <c r="Q77" s="514">
        <f t="shared" si="82"/>
        <v>6016</v>
      </c>
      <c r="R77" s="514">
        <f t="shared" si="82"/>
        <v>2376</v>
      </c>
      <c r="S77" s="514">
        <f t="shared" si="82"/>
        <v>582</v>
      </c>
      <c r="T77" s="514">
        <f t="shared" si="82"/>
        <v>6844</v>
      </c>
      <c r="U77" s="514">
        <f t="shared" si="82"/>
        <v>5514</v>
      </c>
      <c r="V77" s="514">
        <f t="shared" si="82"/>
        <v>1392</v>
      </c>
      <c r="W77" s="514">
        <f t="shared" si="82"/>
        <v>3468</v>
      </c>
      <c r="X77" s="514">
        <f t="shared" si="82"/>
        <v>3358</v>
      </c>
      <c r="Y77" s="514">
        <f t="shared" si="82"/>
        <v>5244</v>
      </c>
      <c r="Z77" s="514">
        <f t="shared" si="82"/>
        <v>5419</v>
      </c>
      <c r="AA77" s="514">
        <f t="shared" si="82"/>
        <v>12967</v>
      </c>
      <c r="AB77" s="514">
        <f t="shared" si="82"/>
        <v>23500.515</v>
      </c>
      <c r="AC77" s="514">
        <f t="shared" si="82"/>
        <v>23500.515</v>
      </c>
      <c r="AD77" s="514">
        <f t="shared" si="82"/>
        <v>23500.515</v>
      </c>
      <c r="AE77" s="514">
        <f t="shared" si="82"/>
        <v>23500.515</v>
      </c>
      <c r="AF77" s="514">
        <f t="shared" si="82"/>
        <v>24108.03818</v>
      </c>
      <c r="AG77" s="514">
        <f t="shared" si="82"/>
        <v>24108.03818</v>
      </c>
      <c r="AH77" s="514">
        <f t="shared" si="82"/>
        <v>29308.03818</v>
      </c>
      <c r="AI77" s="514">
        <f t="shared" si="82"/>
        <v>34508.03818</v>
      </c>
      <c r="AJ77" s="514">
        <f t="shared" si="82"/>
        <v>40810.89989</v>
      </c>
      <c r="AK77" s="514">
        <f t="shared" si="82"/>
        <v>46010.89989</v>
      </c>
      <c r="AL77" s="514">
        <f t="shared" si="82"/>
        <v>51210.89989</v>
      </c>
      <c r="AM77" s="514">
        <f t="shared" si="82"/>
        <v>56410.89989</v>
      </c>
      <c r="AN77" s="514">
        <f t="shared" si="82"/>
        <v>63267.33589</v>
      </c>
      <c r="AO77" s="514">
        <f t="shared" si="82"/>
        <v>63267.33589</v>
      </c>
      <c r="AP77" s="514">
        <f t="shared" si="82"/>
        <v>63267.33589</v>
      </c>
      <c r="AQ77" s="514">
        <f t="shared" si="82"/>
        <v>63267.33589</v>
      </c>
      <c r="AR77" s="514">
        <f t="shared" si="82"/>
        <v>65198.02932</v>
      </c>
      <c r="AS77" s="514">
        <f t="shared" si="82"/>
        <v>70606.02932</v>
      </c>
      <c r="AT77" s="514">
        <f t="shared" si="82"/>
        <v>75606.02932</v>
      </c>
      <c r="AU77" s="514">
        <f t="shared" si="82"/>
        <v>75606.02932</v>
      </c>
      <c r="AV77" s="514">
        <f t="shared" si="82"/>
        <v>77830.2705</v>
      </c>
      <c r="AW77" s="514">
        <f t="shared" si="82"/>
        <v>77830.2705</v>
      </c>
      <c r="AX77" s="514">
        <f t="shared" si="82"/>
        <v>77830.2705</v>
      </c>
      <c r="AY77" s="514">
        <f t="shared" si="82"/>
        <v>77830.2705</v>
      </c>
      <c r="AZ77" s="514">
        <f t="shared" si="82"/>
        <v>85992.77412</v>
      </c>
      <c r="BA77" s="514">
        <f t="shared" si="82"/>
        <v>85992.77412</v>
      </c>
      <c r="BB77" s="514">
        <f t="shared" si="82"/>
        <v>85992.77412</v>
      </c>
      <c r="BC77" s="514">
        <f t="shared" si="82"/>
        <v>85992.77412</v>
      </c>
      <c r="BD77" s="514">
        <f t="shared" si="82"/>
        <v>88632.48508</v>
      </c>
      <c r="BE77" s="514">
        <f t="shared" si="82"/>
        <v>88632.48508</v>
      </c>
      <c r="BF77" s="514">
        <f t="shared" si="82"/>
        <v>88632.48508</v>
      </c>
      <c r="BG77" s="514">
        <f t="shared" si="82"/>
        <v>94715.74959</v>
      </c>
      <c r="BH77" s="514">
        <f t="shared" si="82"/>
        <v>97704.37958</v>
      </c>
      <c r="BI77" s="514">
        <f t="shared" si="82"/>
        <v>97704.37958</v>
      </c>
      <c r="BJ77" s="514">
        <f t="shared" si="82"/>
        <v>97704.37958</v>
      </c>
      <c r="BK77" s="514">
        <f t="shared" si="82"/>
        <v>103787.6441</v>
      </c>
      <c r="BL77" s="514">
        <f t="shared" si="82"/>
        <v>113465.7449</v>
      </c>
      <c r="BM77" s="514">
        <f t="shared" si="82"/>
        <v>113465.7449</v>
      </c>
      <c r="BN77" s="514">
        <f t="shared" si="82"/>
        <v>113465.7449</v>
      </c>
      <c r="BO77" s="514">
        <f t="shared" si="82"/>
        <v>113465.7449</v>
      </c>
      <c r="BP77" s="514">
        <f t="shared" si="82"/>
        <v>117204.3747</v>
      </c>
      <c r="BQ77" s="514">
        <f t="shared" si="82"/>
        <v>117204.3747</v>
      </c>
      <c r="BR77" s="514">
        <f t="shared" si="82"/>
        <v>117204.3747</v>
      </c>
      <c r="BS77" s="514">
        <f t="shared" si="82"/>
        <v>117204.3747</v>
      </c>
      <c r="BT77" s="514">
        <f t="shared" si="82"/>
        <v>121092.5497</v>
      </c>
      <c r="BU77" s="514">
        <f t="shared" si="82"/>
        <v>121092.5497</v>
      </c>
      <c r="BV77" s="514">
        <f t="shared" si="82"/>
        <v>121092.5497</v>
      </c>
      <c r="BW77" s="514">
        <f t="shared" si="82"/>
        <v>121092.5497</v>
      </c>
      <c r="BX77" s="514">
        <f t="shared" si="82"/>
        <v>125136.2517</v>
      </c>
      <c r="BY77" s="514">
        <f t="shared" si="82"/>
        <v>125136.2517</v>
      </c>
      <c r="BZ77" s="514">
        <f t="shared" si="82"/>
        <v>125136.2517</v>
      </c>
      <c r="CA77" s="514">
        <f t="shared" si="82"/>
        <v>125136.2517</v>
      </c>
      <c r="CB77" s="514">
        <f t="shared" si="82"/>
        <v>129341.7018</v>
      </c>
      <c r="CC77" s="514">
        <f t="shared" si="82"/>
        <v>129341.7018</v>
      </c>
      <c r="CD77" s="514">
        <f t="shared" si="82"/>
        <v>129341.7018</v>
      </c>
      <c r="CE77" s="514">
        <f t="shared" si="82"/>
        <v>129341.7018</v>
      </c>
      <c r="CF77" s="514">
        <f t="shared" si="82"/>
        <v>133715.3699</v>
      </c>
      <c r="CG77" s="514">
        <f t="shared" si="82"/>
        <v>133715.3699</v>
      </c>
      <c r="CH77" s="514">
        <f t="shared" si="82"/>
        <v>133715.3699</v>
      </c>
      <c r="CI77" s="514">
        <f t="shared" si="82"/>
        <v>133715.3699</v>
      </c>
      <c r="CL77" s="514">
        <f t="shared" si="76"/>
        <v>24579</v>
      </c>
      <c r="CM77" s="514">
        <f t="shared" si="77"/>
        <v>15634</v>
      </c>
      <c r="CN77" s="514">
        <f t="shared" si="78"/>
        <v>20898</v>
      </c>
      <c r="CO77" s="514">
        <f t="shared" si="79"/>
        <v>12738</v>
      </c>
      <c r="CP77" s="514">
        <f t="shared" si="80"/>
        <v>17218</v>
      </c>
      <c r="CQ77" s="514">
        <f t="shared" si="81"/>
        <v>26988</v>
      </c>
    </row>
    <row r="78" ht="15.75" customHeight="1" outlineLevel="1">
      <c r="A78" s="1" t="s">
        <v>87</v>
      </c>
      <c r="B78" s="91" t="s">
        <v>63</v>
      </c>
      <c r="C78" s="132" t="s">
        <v>209</v>
      </c>
      <c r="D78" s="247">
        <f t="shared" ref="D78:Z78" si="83">RANDBETWEEN(0,5000)</f>
        <v>3224</v>
      </c>
      <c r="E78" s="247">
        <f t="shared" si="83"/>
        <v>1866</v>
      </c>
      <c r="F78" s="247">
        <f t="shared" si="83"/>
        <v>4320</v>
      </c>
      <c r="G78" s="247">
        <f t="shared" si="83"/>
        <v>4701</v>
      </c>
      <c r="H78" s="247">
        <f t="shared" si="83"/>
        <v>1715</v>
      </c>
      <c r="I78" s="247">
        <f t="shared" si="83"/>
        <v>4635</v>
      </c>
      <c r="J78" s="247">
        <f t="shared" si="83"/>
        <v>4256</v>
      </c>
      <c r="K78" s="247">
        <f t="shared" si="83"/>
        <v>1224</v>
      </c>
      <c r="L78" s="247">
        <f t="shared" si="83"/>
        <v>338</v>
      </c>
      <c r="M78" s="247">
        <f t="shared" si="83"/>
        <v>670</v>
      </c>
      <c r="N78" s="247">
        <f t="shared" si="83"/>
        <v>2655</v>
      </c>
      <c r="O78" s="247">
        <f t="shared" si="83"/>
        <v>4475</v>
      </c>
      <c r="P78" s="247">
        <f t="shared" si="83"/>
        <v>1382</v>
      </c>
      <c r="Q78" s="247">
        <f t="shared" si="83"/>
        <v>2801</v>
      </c>
      <c r="R78" s="247">
        <f t="shared" si="83"/>
        <v>3335</v>
      </c>
      <c r="S78" s="247">
        <f t="shared" si="83"/>
        <v>40</v>
      </c>
      <c r="T78" s="247">
        <f t="shared" si="83"/>
        <v>4575</v>
      </c>
      <c r="U78" s="247">
        <f t="shared" si="83"/>
        <v>89</v>
      </c>
      <c r="V78" s="247">
        <f t="shared" si="83"/>
        <v>3977</v>
      </c>
      <c r="W78" s="247">
        <f t="shared" si="83"/>
        <v>3832</v>
      </c>
      <c r="X78" s="247">
        <f t="shared" si="83"/>
        <v>251</v>
      </c>
      <c r="Y78" s="247">
        <f t="shared" si="83"/>
        <v>1322</v>
      </c>
      <c r="Z78" s="247">
        <f t="shared" si="83"/>
        <v>4923</v>
      </c>
      <c r="AA78" s="511">
        <f>AA$77*Headcount!S$100</f>
        <v>1296.7</v>
      </c>
      <c r="AB78" s="511">
        <f>AB$77*Headcount!T$100</f>
        <v>2350.0515</v>
      </c>
      <c r="AC78" s="511">
        <f>AC$77*Headcount!U$100</f>
        <v>2350.0515</v>
      </c>
      <c r="AD78" s="511">
        <f>AD$77*Headcount!V$100</f>
        <v>2350.0515</v>
      </c>
      <c r="AE78" s="511">
        <f>AE$77*Headcount!W$100</f>
        <v>2350.0515</v>
      </c>
      <c r="AF78" s="511">
        <f>AF$77*Headcount!X$100</f>
        <v>2410.803818</v>
      </c>
      <c r="AG78" s="511">
        <f>AG$77*Headcount!Y$100</f>
        <v>2410.803818</v>
      </c>
      <c r="AH78" s="511">
        <f>AH$77*Headcount!Z$100</f>
        <v>2930.803818</v>
      </c>
      <c r="AI78" s="511">
        <f>AI$77*Headcount!AA$100</f>
        <v>3450.803818</v>
      </c>
      <c r="AJ78" s="511">
        <f>AJ$77*Headcount!AB$100</f>
        <v>4081.089989</v>
      </c>
      <c r="AK78" s="511">
        <f>AK$77*Headcount!AC$100</f>
        <v>4601.089989</v>
      </c>
      <c r="AL78" s="511">
        <f>AL$77*Headcount!AD$100</f>
        <v>5121.089989</v>
      </c>
      <c r="AM78" s="511">
        <f>AM$77*Headcount!AE$100</f>
        <v>5641.089989</v>
      </c>
      <c r="AN78" s="511">
        <f>AN$77*Headcount!AF$100</f>
        <v>6326.733589</v>
      </c>
      <c r="AO78" s="511">
        <f>AO$77*Headcount!AG$100</f>
        <v>6326.733589</v>
      </c>
      <c r="AP78" s="511">
        <f>AP$77*Headcount!AH$100</f>
        <v>6326.733589</v>
      </c>
      <c r="AQ78" s="511">
        <f>AQ$77*Headcount!AI$100</f>
        <v>6326.733589</v>
      </c>
      <c r="AR78" s="511">
        <f>AR$77*Headcount!AJ$100</f>
        <v>6519.802932</v>
      </c>
      <c r="AS78" s="511">
        <f>AS$77*Headcount!AK$100</f>
        <v>7060.602932</v>
      </c>
      <c r="AT78" s="511">
        <f>AT$77*Headcount!AL$100</f>
        <v>7560.602932</v>
      </c>
      <c r="AU78" s="511">
        <f>AU$77*Headcount!AM$100</f>
        <v>7560.602932</v>
      </c>
      <c r="AV78" s="511">
        <f>AV$77*Headcount!AN$100</f>
        <v>7783.02705</v>
      </c>
      <c r="AW78" s="511">
        <f>AW$77*Headcount!AO$100</f>
        <v>7783.02705</v>
      </c>
      <c r="AX78" s="511">
        <f>AX$77*Headcount!AP$100</f>
        <v>7783.02705</v>
      </c>
      <c r="AY78" s="511">
        <f>AY$77*Headcount!AQ$100</f>
        <v>7783.02705</v>
      </c>
      <c r="AZ78" s="511">
        <f>AZ$77*Headcount!AR$100</f>
        <v>8599.277412</v>
      </c>
      <c r="BA78" s="511">
        <f>BA$77*Headcount!AS$100</f>
        <v>8599.277412</v>
      </c>
      <c r="BB78" s="511">
        <f>BB$77*Headcount!AT$100</f>
        <v>8599.277412</v>
      </c>
      <c r="BC78" s="511">
        <f>BC$77*Headcount!AU$100</f>
        <v>8599.277412</v>
      </c>
      <c r="BD78" s="511">
        <f>BD$77*Headcount!AV$100</f>
        <v>8863.248508</v>
      </c>
      <c r="BE78" s="511">
        <f>BE$77*Headcount!AW$100</f>
        <v>8863.248508</v>
      </c>
      <c r="BF78" s="511">
        <f>BF$77*Headcount!AX$100</f>
        <v>8863.248508</v>
      </c>
      <c r="BG78" s="511">
        <f>BG$77*Headcount!AY$100</f>
        <v>9471.574959</v>
      </c>
      <c r="BH78" s="511">
        <f>BH$77*Headcount!AZ$100</f>
        <v>9770.437958</v>
      </c>
      <c r="BI78" s="511">
        <f>BI$77*Headcount!BA$100</f>
        <v>9770.437958</v>
      </c>
      <c r="BJ78" s="511">
        <f>BJ$77*Headcount!BB$100</f>
        <v>9770.437958</v>
      </c>
      <c r="BK78" s="511">
        <f>BK$77*Headcount!BC$100</f>
        <v>10378.76441</v>
      </c>
      <c r="BL78" s="511">
        <f>BL$77*Headcount!BD$100</f>
        <v>11346.57449</v>
      </c>
      <c r="BM78" s="511">
        <f>BM$77*Headcount!BE$100</f>
        <v>11346.57449</v>
      </c>
      <c r="BN78" s="511">
        <f>BN$77*Headcount!BF$100</f>
        <v>11346.57449</v>
      </c>
      <c r="BO78" s="511">
        <f>BO$77*Headcount!BG$100</f>
        <v>11346.57449</v>
      </c>
      <c r="BP78" s="511">
        <f>BP$77*Headcount!BH$100</f>
        <v>11720.43747</v>
      </c>
      <c r="BQ78" s="511">
        <f>BQ$77*Headcount!BI$100</f>
        <v>11720.43747</v>
      </c>
      <c r="BR78" s="511">
        <f>BR$77*Headcount!BJ$100</f>
        <v>11720.43747</v>
      </c>
      <c r="BS78" s="511">
        <f>BS$77*Headcount!BK$100</f>
        <v>11720.43747</v>
      </c>
      <c r="BT78" s="511">
        <f>BT$77*Headcount!BL$100</f>
        <v>12109.25497</v>
      </c>
      <c r="BU78" s="511">
        <f>BU$77*Headcount!BM$100</f>
        <v>12109.25497</v>
      </c>
      <c r="BV78" s="511">
        <f>BV$77*Headcount!BN$100</f>
        <v>12109.25497</v>
      </c>
      <c r="BW78" s="511">
        <f>BW$77*Headcount!BO$100</f>
        <v>12109.25497</v>
      </c>
      <c r="BX78" s="511">
        <f>BX$77*Headcount!BP$100</f>
        <v>12513.62517</v>
      </c>
      <c r="BY78" s="511">
        <f>BY$77*Headcount!BQ$100</f>
        <v>12513.62517</v>
      </c>
      <c r="BZ78" s="511">
        <f>BZ$77*Headcount!BR$100</f>
        <v>12513.62517</v>
      </c>
      <c r="CA78" s="511">
        <f>CA$77*Headcount!BS$100</f>
        <v>12513.62517</v>
      </c>
      <c r="CB78" s="511">
        <f>CB$77*Headcount!BT$100</f>
        <v>12934.17018</v>
      </c>
      <c r="CC78" s="511">
        <f>CC$77*Headcount!BU$100</f>
        <v>12934.17018</v>
      </c>
      <c r="CD78" s="511">
        <f>CD$77*Headcount!BV$100</f>
        <v>12934.17018</v>
      </c>
      <c r="CE78" s="511">
        <f>CE$77*Headcount!BW$100</f>
        <v>12934.17018</v>
      </c>
      <c r="CF78" s="511">
        <f>CF$77*Headcount!BX$100</f>
        <v>13371.53699</v>
      </c>
      <c r="CG78" s="511">
        <f>CG$77*Headcount!BY$100</f>
        <v>13371.53699</v>
      </c>
      <c r="CH78" s="511">
        <f>CH$77*Headcount!BZ$100</f>
        <v>13371.53699</v>
      </c>
      <c r="CI78" s="511">
        <f>CI$77*Headcount!CA$100</f>
        <v>13371.53699</v>
      </c>
      <c r="CL78" s="117">
        <f t="shared" si="76"/>
        <v>14111</v>
      </c>
      <c r="CM78" s="117">
        <f t="shared" si="77"/>
        <v>11830</v>
      </c>
      <c r="CN78" s="117">
        <f t="shared" si="78"/>
        <v>8138</v>
      </c>
      <c r="CO78" s="117">
        <f t="shared" si="79"/>
        <v>7558</v>
      </c>
      <c r="CP78" s="117">
        <f t="shared" si="80"/>
        <v>12473</v>
      </c>
      <c r="CQ78" s="117">
        <f t="shared" si="81"/>
        <v>7792.7</v>
      </c>
    </row>
    <row r="79" ht="15.75" customHeight="1" outlineLevel="1">
      <c r="A79" s="1" t="s">
        <v>87</v>
      </c>
      <c r="B79" s="91" t="s">
        <v>63</v>
      </c>
      <c r="C79" s="132" t="s">
        <v>210</v>
      </c>
      <c r="D79" s="247">
        <f t="shared" ref="D79:Z79" si="84">RANDBETWEEN(0,5000)</f>
        <v>3259</v>
      </c>
      <c r="E79" s="247">
        <f t="shared" si="84"/>
        <v>3638</v>
      </c>
      <c r="F79" s="247">
        <f t="shared" si="84"/>
        <v>428</v>
      </c>
      <c r="G79" s="247">
        <f t="shared" si="84"/>
        <v>4131</v>
      </c>
      <c r="H79" s="247">
        <f t="shared" si="84"/>
        <v>2408</v>
      </c>
      <c r="I79" s="247">
        <f t="shared" si="84"/>
        <v>252</v>
      </c>
      <c r="J79" s="247">
        <f t="shared" si="84"/>
        <v>2952</v>
      </c>
      <c r="K79" s="247">
        <f t="shared" si="84"/>
        <v>8</v>
      </c>
      <c r="L79" s="247">
        <f t="shared" si="84"/>
        <v>4384</v>
      </c>
      <c r="M79" s="247">
        <f t="shared" si="84"/>
        <v>2745</v>
      </c>
      <c r="N79" s="247">
        <f t="shared" si="84"/>
        <v>3573</v>
      </c>
      <c r="O79" s="247">
        <f t="shared" si="84"/>
        <v>1304</v>
      </c>
      <c r="P79" s="247">
        <f t="shared" si="84"/>
        <v>891</v>
      </c>
      <c r="Q79" s="247">
        <f t="shared" si="84"/>
        <v>3417</v>
      </c>
      <c r="R79" s="247">
        <f t="shared" si="84"/>
        <v>4674</v>
      </c>
      <c r="S79" s="247">
        <f t="shared" si="84"/>
        <v>4838</v>
      </c>
      <c r="T79" s="247">
        <f t="shared" si="84"/>
        <v>3647</v>
      </c>
      <c r="U79" s="247">
        <f t="shared" si="84"/>
        <v>1712</v>
      </c>
      <c r="V79" s="247">
        <f t="shared" si="84"/>
        <v>4866</v>
      </c>
      <c r="W79" s="247">
        <f t="shared" si="84"/>
        <v>4690</v>
      </c>
      <c r="X79" s="247">
        <f t="shared" si="84"/>
        <v>4621</v>
      </c>
      <c r="Y79" s="247">
        <f t="shared" si="84"/>
        <v>2267</v>
      </c>
      <c r="Z79" s="247">
        <f t="shared" si="84"/>
        <v>4848</v>
      </c>
      <c r="AA79" s="511">
        <f>AA$77*Headcount!S$101</f>
        <v>1945.05</v>
      </c>
      <c r="AB79" s="511">
        <f>AB$77*Headcount!T$101</f>
        <v>3525.07725</v>
      </c>
      <c r="AC79" s="511">
        <f>AC$77*Headcount!U$101</f>
        <v>3525.07725</v>
      </c>
      <c r="AD79" s="511">
        <f>AD$77*Headcount!V$101</f>
        <v>3525.07725</v>
      </c>
      <c r="AE79" s="511">
        <f>AE$77*Headcount!W$101</f>
        <v>3525.07725</v>
      </c>
      <c r="AF79" s="511">
        <f>AF$77*Headcount!X$101</f>
        <v>3616.205726</v>
      </c>
      <c r="AG79" s="511">
        <f>AG$77*Headcount!Y$101</f>
        <v>3616.205726</v>
      </c>
      <c r="AH79" s="511">
        <f>AH$77*Headcount!Z$101</f>
        <v>4396.205726</v>
      </c>
      <c r="AI79" s="511">
        <f>AI$77*Headcount!AA$101</f>
        <v>5176.205726</v>
      </c>
      <c r="AJ79" s="511">
        <f>AJ$77*Headcount!AB$101</f>
        <v>6121.634984</v>
      </c>
      <c r="AK79" s="511">
        <f>AK$77*Headcount!AC$101</f>
        <v>6901.634984</v>
      </c>
      <c r="AL79" s="511">
        <f>AL$77*Headcount!AD$101</f>
        <v>7681.634984</v>
      </c>
      <c r="AM79" s="511">
        <f>AM$77*Headcount!AE$101</f>
        <v>8461.634984</v>
      </c>
      <c r="AN79" s="511">
        <f>AN$77*Headcount!AF$101</f>
        <v>4175.644169</v>
      </c>
      <c r="AO79" s="511">
        <f>AO$77*Headcount!AG$101</f>
        <v>4175.644169</v>
      </c>
      <c r="AP79" s="511">
        <f>AP$77*Headcount!AH$101</f>
        <v>4175.644169</v>
      </c>
      <c r="AQ79" s="511">
        <f>AQ$77*Headcount!AI$101</f>
        <v>4175.644169</v>
      </c>
      <c r="AR79" s="511">
        <f>AR$77*Headcount!AJ$101</f>
        <v>4303.069935</v>
      </c>
      <c r="AS79" s="511">
        <f>AS$77*Headcount!AK$101</f>
        <v>4659.997935</v>
      </c>
      <c r="AT79" s="511">
        <f>AT$77*Headcount!AL$101</f>
        <v>4989.997935</v>
      </c>
      <c r="AU79" s="511">
        <f>AU$77*Headcount!AM$101</f>
        <v>4989.997935</v>
      </c>
      <c r="AV79" s="511">
        <f>AV$77*Headcount!AN$101</f>
        <v>5136.797853</v>
      </c>
      <c r="AW79" s="511">
        <f>AW$77*Headcount!AO$101</f>
        <v>5136.797853</v>
      </c>
      <c r="AX79" s="511">
        <f>AX$77*Headcount!AP$101</f>
        <v>5136.797853</v>
      </c>
      <c r="AY79" s="511">
        <f>AY$77*Headcount!AQ$101</f>
        <v>5136.797853</v>
      </c>
      <c r="AZ79" s="511">
        <f>AZ$77*Headcount!AR$101</f>
        <v>5847.50864</v>
      </c>
      <c r="BA79" s="511">
        <f>BA$77*Headcount!AS$101</f>
        <v>5847.50864</v>
      </c>
      <c r="BB79" s="511">
        <f>BB$77*Headcount!AT$101</f>
        <v>5847.50864</v>
      </c>
      <c r="BC79" s="511">
        <f>BC$77*Headcount!AU$101</f>
        <v>5847.50864</v>
      </c>
      <c r="BD79" s="511">
        <f>BD$77*Headcount!AV$101</f>
        <v>6027.008986</v>
      </c>
      <c r="BE79" s="511">
        <f>BE$77*Headcount!AW$101</f>
        <v>6027.008986</v>
      </c>
      <c r="BF79" s="511">
        <f>BF$77*Headcount!AX$101</f>
        <v>6027.008986</v>
      </c>
      <c r="BG79" s="511">
        <f>BG$77*Headcount!AY$101</f>
        <v>6440.670972</v>
      </c>
      <c r="BH79" s="511">
        <f>BH$77*Headcount!AZ$101</f>
        <v>6643.897811</v>
      </c>
      <c r="BI79" s="511">
        <f>BI$77*Headcount!BA$101</f>
        <v>6643.897811</v>
      </c>
      <c r="BJ79" s="511">
        <f>BJ$77*Headcount!BB$101</f>
        <v>6643.897811</v>
      </c>
      <c r="BK79" s="511">
        <f>BK$77*Headcount!BC$101</f>
        <v>7057.559798</v>
      </c>
      <c r="BL79" s="511">
        <f>BL$77*Headcount!BD$101</f>
        <v>7942.602146</v>
      </c>
      <c r="BM79" s="511">
        <f>BM$77*Headcount!BE$101</f>
        <v>7942.602146</v>
      </c>
      <c r="BN79" s="511">
        <f>BN$77*Headcount!BF$101</f>
        <v>7942.602146</v>
      </c>
      <c r="BO79" s="511">
        <f>BO$77*Headcount!BG$101</f>
        <v>7942.602146</v>
      </c>
      <c r="BP79" s="511">
        <f>BP$77*Headcount!BH$101</f>
        <v>8204.306232</v>
      </c>
      <c r="BQ79" s="511">
        <f>BQ$77*Headcount!BI$101</f>
        <v>8204.306232</v>
      </c>
      <c r="BR79" s="511">
        <f>BR$77*Headcount!BJ$101</f>
        <v>8204.306232</v>
      </c>
      <c r="BS79" s="511">
        <f>BS$77*Headcount!BK$101</f>
        <v>8204.306232</v>
      </c>
      <c r="BT79" s="511">
        <f>BT$77*Headcount!BL$101</f>
        <v>8476.478481</v>
      </c>
      <c r="BU79" s="511">
        <f>BU$77*Headcount!BM$101</f>
        <v>8476.478481</v>
      </c>
      <c r="BV79" s="511">
        <f>BV$77*Headcount!BN$101</f>
        <v>8476.478481</v>
      </c>
      <c r="BW79" s="511">
        <f>BW$77*Headcount!BO$101</f>
        <v>8476.478481</v>
      </c>
      <c r="BX79" s="511">
        <f>BX$77*Headcount!BP$101</f>
        <v>8759.537621</v>
      </c>
      <c r="BY79" s="511">
        <f>BY$77*Headcount!BQ$101</f>
        <v>8759.537621</v>
      </c>
      <c r="BZ79" s="511">
        <f>BZ$77*Headcount!BR$101</f>
        <v>8759.537621</v>
      </c>
      <c r="CA79" s="511">
        <f>CA$77*Headcount!BS$101</f>
        <v>8759.537621</v>
      </c>
      <c r="CB79" s="511">
        <f>CB$77*Headcount!BT$101</f>
        <v>9053.919125</v>
      </c>
      <c r="CC79" s="511">
        <f>CC$77*Headcount!BU$101</f>
        <v>9053.919125</v>
      </c>
      <c r="CD79" s="511">
        <f>CD$77*Headcount!BV$101</f>
        <v>9053.919125</v>
      </c>
      <c r="CE79" s="511">
        <f>CE$77*Headcount!BW$101</f>
        <v>9053.919125</v>
      </c>
      <c r="CF79" s="511">
        <f>CF$77*Headcount!BX$101</f>
        <v>9360.07589</v>
      </c>
      <c r="CG79" s="511">
        <f>CG$77*Headcount!BY$101</f>
        <v>9360.07589</v>
      </c>
      <c r="CH79" s="511">
        <f>CH$77*Headcount!BZ$101</f>
        <v>9360.07589</v>
      </c>
      <c r="CI79" s="511">
        <f>CI$77*Headcount!CA$101</f>
        <v>9360.07589</v>
      </c>
      <c r="CL79" s="117">
        <f t="shared" si="76"/>
        <v>11456</v>
      </c>
      <c r="CM79" s="117">
        <f t="shared" si="77"/>
        <v>5620</v>
      </c>
      <c r="CN79" s="117">
        <f t="shared" si="78"/>
        <v>12006</v>
      </c>
      <c r="CO79" s="117">
        <f t="shared" si="79"/>
        <v>13820</v>
      </c>
      <c r="CP79" s="117">
        <f t="shared" si="80"/>
        <v>14915</v>
      </c>
      <c r="CQ79" s="117">
        <f t="shared" si="81"/>
        <v>13681.05</v>
      </c>
    </row>
    <row r="80" ht="15.75" customHeight="1" outlineLevel="1">
      <c r="A80" s="1" t="s">
        <v>87</v>
      </c>
      <c r="B80" s="91" t="s">
        <v>63</v>
      </c>
      <c r="C80" s="132" t="s">
        <v>211</v>
      </c>
      <c r="D80" s="247">
        <f t="shared" ref="D80:Z80" si="85">RANDBETWEEN(0,5000)</f>
        <v>4089</v>
      </c>
      <c r="E80" s="247">
        <f t="shared" si="85"/>
        <v>3218</v>
      </c>
      <c r="F80" s="247">
        <f t="shared" si="85"/>
        <v>1595</v>
      </c>
      <c r="G80" s="247">
        <f t="shared" si="85"/>
        <v>66</v>
      </c>
      <c r="H80" s="247">
        <f t="shared" si="85"/>
        <v>4307</v>
      </c>
      <c r="I80" s="247">
        <f t="shared" si="85"/>
        <v>1532</v>
      </c>
      <c r="J80" s="247">
        <f t="shared" si="85"/>
        <v>812</v>
      </c>
      <c r="K80" s="247">
        <f t="shared" si="85"/>
        <v>2146</v>
      </c>
      <c r="L80" s="247">
        <f t="shared" si="85"/>
        <v>734</v>
      </c>
      <c r="M80" s="247">
        <f t="shared" si="85"/>
        <v>4127</v>
      </c>
      <c r="N80" s="247">
        <f t="shared" si="85"/>
        <v>1160</v>
      </c>
      <c r="O80" s="247">
        <f t="shared" si="85"/>
        <v>2883</v>
      </c>
      <c r="P80" s="247">
        <f t="shared" si="85"/>
        <v>1856</v>
      </c>
      <c r="Q80" s="247">
        <f t="shared" si="85"/>
        <v>2553</v>
      </c>
      <c r="R80" s="247">
        <f t="shared" si="85"/>
        <v>1741</v>
      </c>
      <c r="S80" s="247">
        <f t="shared" si="85"/>
        <v>4051</v>
      </c>
      <c r="T80" s="247">
        <f t="shared" si="85"/>
        <v>4141</v>
      </c>
      <c r="U80" s="247">
        <f t="shared" si="85"/>
        <v>3140</v>
      </c>
      <c r="V80" s="247">
        <f t="shared" si="85"/>
        <v>3300</v>
      </c>
      <c r="W80" s="247">
        <f t="shared" si="85"/>
        <v>1018</v>
      </c>
      <c r="X80" s="247">
        <f t="shared" si="85"/>
        <v>4672</v>
      </c>
      <c r="Y80" s="247">
        <f t="shared" si="85"/>
        <v>4930</v>
      </c>
      <c r="Z80" s="247">
        <f t="shared" si="85"/>
        <v>1473</v>
      </c>
      <c r="AA80" s="511">
        <f>AA$77*Headcount!S$102</f>
        <v>259.34</v>
      </c>
      <c r="AB80" s="511">
        <f>AB$77*Headcount!T$102</f>
        <v>470.0103</v>
      </c>
      <c r="AC80" s="511">
        <f>AC$77*Headcount!U$102</f>
        <v>470.0103</v>
      </c>
      <c r="AD80" s="511">
        <f>AD$77*Headcount!V$102</f>
        <v>470.0103</v>
      </c>
      <c r="AE80" s="511">
        <f>AE$77*Headcount!W$102</f>
        <v>470.0103</v>
      </c>
      <c r="AF80" s="511">
        <f>AF$77*Headcount!X$102</f>
        <v>482.1607635</v>
      </c>
      <c r="AG80" s="511">
        <f>AG$77*Headcount!Y$102</f>
        <v>482.1607635</v>
      </c>
      <c r="AH80" s="511">
        <f>AH$77*Headcount!Z$102</f>
        <v>586.1607635</v>
      </c>
      <c r="AI80" s="511">
        <f>AI$77*Headcount!AA$102</f>
        <v>690.1607635</v>
      </c>
      <c r="AJ80" s="511">
        <f>AJ$77*Headcount!AB$102</f>
        <v>816.2179979</v>
      </c>
      <c r="AK80" s="511">
        <f>AK$77*Headcount!AC$102</f>
        <v>920.2179979</v>
      </c>
      <c r="AL80" s="511">
        <f>AL$77*Headcount!AD$102</f>
        <v>1024.217998</v>
      </c>
      <c r="AM80" s="511">
        <f>AM$77*Headcount!AE$102</f>
        <v>1128.217998</v>
      </c>
      <c r="AN80" s="511">
        <f>AN$77*Headcount!AF$102</f>
        <v>1265.346718</v>
      </c>
      <c r="AO80" s="511">
        <f>AO$77*Headcount!AG$102</f>
        <v>1265.346718</v>
      </c>
      <c r="AP80" s="511">
        <f>AP$77*Headcount!AH$102</f>
        <v>1265.346718</v>
      </c>
      <c r="AQ80" s="511">
        <f>AQ$77*Headcount!AI$102</f>
        <v>1265.346718</v>
      </c>
      <c r="AR80" s="511">
        <f>AR$77*Headcount!AJ$102</f>
        <v>1303.960586</v>
      </c>
      <c r="AS80" s="511">
        <f>AS$77*Headcount!AK$102</f>
        <v>1412.120586</v>
      </c>
      <c r="AT80" s="511">
        <f>AT$77*Headcount!AL$102</f>
        <v>1512.120586</v>
      </c>
      <c r="AU80" s="511">
        <f>AU$77*Headcount!AM$102</f>
        <v>1512.120586</v>
      </c>
      <c r="AV80" s="511">
        <f>AV$77*Headcount!AN$102</f>
        <v>1556.60541</v>
      </c>
      <c r="AW80" s="511">
        <f>AW$77*Headcount!AO$102</f>
        <v>1556.60541</v>
      </c>
      <c r="AX80" s="511">
        <f>AX$77*Headcount!AP$102</f>
        <v>1556.60541</v>
      </c>
      <c r="AY80" s="511">
        <f>AY$77*Headcount!AQ$102</f>
        <v>1556.60541</v>
      </c>
      <c r="AZ80" s="511">
        <f>AZ$77*Headcount!AR$102</f>
        <v>1719.855482</v>
      </c>
      <c r="BA80" s="511">
        <f>BA$77*Headcount!AS$102</f>
        <v>1719.855482</v>
      </c>
      <c r="BB80" s="511">
        <f>BB$77*Headcount!AT$102</f>
        <v>1719.855482</v>
      </c>
      <c r="BC80" s="511">
        <f>BC$77*Headcount!AU$102</f>
        <v>1719.855482</v>
      </c>
      <c r="BD80" s="511">
        <f>BD$77*Headcount!AV$102</f>
        <v>1772.649702</v>
      </c>
      <c r="BE80" s="511">
        <f>BE$77*Headcount!AW$102</f>
        <v>1772.649702</v>
      </c>
      <c r="BF80" s="511">
        <f>BF$77*Headcount!AX$102</f>
        <v>1772.649702</v>
      </c>
      <c r="BG80" s="511">
        <f>BG$77*Headcount!AY$102</f>
        <v>1894.314992</v>
      </c>
      <c r="BH80" s="511">
        <f>BH$77*Headcount!AZ$102</f>
        <v>1954.087592</v>
      </c>
      <c r="BI80" s="511">
        <f>BI$77*Headcount!BA$102</f>
        <v>1954.087592</v>
      </c>
      <c r="BJ80" s="511">
        <f>BJ$77*Headcount!BB$102</f>
        <v>1954.087592</v>
      </c>
      <c r="BK80" s="511">
        <f>BK$77*Headcount!BC$102</f>
        <v>2075.752882</v>
      </c>
      <c r="BL80" s="511">
        <f>BL$77*Headcount!BD$102</f>
        <v>2269.314899</v>
      </c>
      <c r="BM80" s="511">
        <f>BM$77*Headcount!BE$102</f>
        <v>2269.314899</v>
      </c>
      <c r="BN80" s="511">
        <f>BN$77*Headcount!BF$102</f>
        <v>2269.314899</v>
      </c>
      <c r="BO80" s="511">
        <f>BO$77*Headcount!BG$102</f>
        <v>2269.314899</v>
      </c>
      <c r="BP80" s="511">
        <f>BP$77*Headcount!BH$102</f>
        <v>2344.087495</v>
      </c>
      <c r="BQ80" s="511">
        <f>BQ$77*Headcount!BI$102</f>
        <v>2344.087495</v>
      </c>
      <c r="BR80" s="511">
        <f>BR$77*Headcount!BJ$102</f>
        <v>2344.087495</v>
      </c>
      <c r="BS80" s="511">
        <f>BS$77*Headcount!BK$102</f>
        <v>2344.087495</v>
      </c>
      <c r="BT80" s="511">
        <f>BT$77*Headcount!BL$102</f>
        <v>2421.850995</v>
      </c>
      <c r="BU80" s="511">
        <f>BU$77*Headcount!BM$102</f>
        <v>2421.850995</v>
      </c>
      <c r="BV80" s="511">
        <f>BV$77*Headcount!BN$102</f>
        <v>2421.850995</v>
      </c>
      <c r="BW80" s="511">
        <f>BW$77*Headcount!BO$102</f>
        <v>2421.850995</v>
      </c>
      <c r="BX80" s="511">
        <f>BX$77*Headcount!BP$102</f>
        <v>2502.725034</v>
      </c>
      <c r="BY80" s="511">
        <f>BY$77*Headcount!BQ$102</f>
        <v>2502.725034</v>
      </c>
      <c r="BZ80" s="511">
        <f>BZ$77*Headcount!BR$102</f>
        <v>2502.725034</v>
      </c>
      <c r="CA80" s="511">
        <f>CA$77*Headcount!BS$102</f>
        <v>2502.725034</v>
      </c>
      <c r="CB80" s="511">
        <f>CB$77*Headcount!BT$102</f>
        <v>2586.834036</v>
      </c>
      <c r="CC80" s="511">
        <f>CC$77*Headcount!BU$102</f>
        <v>2586.834036</v>
      </c>
      <c r="CD80" s="511">
        <f>CD$77*Headcount!BV$102</f>
        <v>2586.834036</v>
      </c>
      <c r="CE80" s="511">
        <f>CE$77*Headcount!BW$102</f>
        <v>2586.834036</v>
      </c>
      <c r="CF80" s="511">
        <f>CF$77*Headcount!BX$102</f>
        <v>2674.307397</v>
      </c>
      <c r="CG80" s="511">
        <f>CG$77*Headcount!BY$102</f>
        <v>2674.307397</v>
      </c>
      <c r="CH80" s="511">
        <f>CH$77*Headcount!BZ$102</f>
        <v>2674.307397</v>
      </c>
      <c r="CI80" s="511">
        <f>CI$77*Headcount!CA$102</f>
        <v>2674.307397</v>
      </c>
      <c r="CL80" s="117">
        <f t="shared" si="76"/>
        <v>8968</v>
      </c>
      <c r="CM80" s="117">
        <f t="shared" si="77"/>
        <v>8797</v>
      </c>
      <c r="CN80" s="117">
        <f t="shared" si="78"/>
        <v>8904</v>
      </c>
      <c r="CO80" s="117">
        <f t="shared" si="79"/>
        <v>10201</v>
      </c>
      <c r="CP80" s="117">
        <f t="shared" si="80"/>
        <v>11599</v>
      </c>
      <c r="CQ80" s="117">
        <f t="shared" si="81"/>
        <v>11334.34</v>
      </c>
    </row>
    <row r="81" ht="15.75" customHeight="1" outlineLevel="1">
      <c r="A81" s="1" t="s">
        <v>87</v>
      </c>
      <c r="B81" s="91" t="s">
        <v>63</v>
      </c>
      <c r="C81" s="132" t="s">
        <v>212</v>
      </c>
      <c r="D81" s="247">
        <f t="shared" ref="D81:Z81" si="86">RANDBETWEEN(0,5000)</f>
        <v>2501</v>
      </c>
      <c r="E81" s="247">
        <f t="shared" si="86"/>
        <v>479</v>
      </c>
      <c r="F81" s="247">
        <f t="shared" si="86"/>
        <v>560</v>
      </c>
      <c r="G81" s="247">
        <f t="shared" si="86"/>
        <v>1973</v>
      </c>
      <c r="H81" s="247">
        <f t="shared" si="86"/>
        <v>1000</v>
      </c>
      <c r="I81" s="247">
        <f t="shared" si="86"/>
        <v>4155</v>
      </c>
      <c r="J81" s="247">
        <f t="shared" si="86"/>
        <v>4520</v>
      </c>
      <c r="K81" s="247">
        <f t="shared" si="86"/>
        <v>4698</v>
      </c>
      <c r="L81" s="247">
        <f t="shared" si="86"/>
        <v>1086</v>
      </c>
      <c r="M81" s="247">
        <f t="shared" si="86"/>
        <v>426</v>
      </c>
      <c r="N81" s="247">
        <f t="shared" si="86"/>
        <v>836</v>
      </c>
      <c r="O81" s="247">
        <f t="shared" si="86"/>
        <v>796</v>
      </c>
      <c r="P81" s="247">
        <f t="shared" si="86"/>
        <v>769</v>
      </c>
      <c r="Q81" s="247">
        <f t="shared" si="86"/>
        <v>3439</v>
      </c>
      <c r="R81" s="247">
        <f t="shared" si="86"/>
        <v>4753</v>
      </c>
      <c r="S81" s="247">
        <f t="shared" si="86"/>
        <v>4243</v>
      </c>
      <c r="T81" s="247">
        <f t="shared" si="86"/>
        <v>4320</v>
      </c>
      <c r="U81" s="247">
        <f t="shared" si="86"/>
        <v>4498</v>
      </c>
      <c r="V81" s="247">
        <f t="shared" si="86"/>
        <v>2771</v>
      </c>
      <c r="W81" s="247">
        <f t="shared" si="86"/>
        <v>2580</v>
      </c>
      <c r="X81" s="247">
        <f t="shared" si="86"/>
        <v>82</v>
      </c>
      <c r="Y81" s="247">
        <f t="shared" si="86"/>
        <v>2695</v>
      </c>
      <c r="Z81" s="247">
        <f t="shared" si="86"/>
        <v>1099</v>
      </c>
      <c r="AA81" s="511">
        <v>949.5606039</v>
      </c>
      <c r="AB81" s="511">
        <v>1027.68726</v>
      </c>
      <c r="AC81" s="511">
        <v>1051.737306</v>
      </c>
      <c r="AD81" s="511">
        <v>1115.049062</v>
      </c>
      <c r="AE81" s="511">
        <v>1182.334374</v>
      </c>
      <c r="AF81" s="511">
        <v>1291.081317</v>
      </c>
      <c r="AG81" s="511">
        <v>1374.799492</v>
      </c>
      <c r="AH81" s="511">
        <v>1453.012338</v>
      </c>
      <c r="AI81" s="511">
        <v>1548.390004</v>
      </c>
      <c r="AJ81" s="511">
        <v>1638.53778</v>
      </c>
      <c r="AK81" s="511">
        <v>1729.70116</v>
      </c>
      <c r="AL81" s="511">
        <v>1801.85629</v>
      </c>
      <c r="AM81" s="511">
        <v>1874.901776</v>
      </c>
      <c r="AN81" s="511">
        <v>1926.476832</v>
      </c>
      <c r="AO81" s="511">
        <v>1965.333113</v>
      </c>
      <c r="AP81" s="511">
        <v>1996.844242</v>
      </c>
      <c r="AQ81" s="511">
        <v>2031.868651</v>
      </c>
      <c r="AR81" s="511">
        <v>2068.809858</v>
      </c>
      <c r="AS81" s="511">
        <v>2106.850851</v>
      </c>
      <c r="AT81" s="511">
        <v>2145.404327</v>
      </c>
      <c r="AU81" s="511">
        <v>2184.198326</v>
      </c>
      <c r="AV81" s="511">
        <v>2223.261902</v>
      </c>
      <c r="AW81" s="511">
        <v>2262.627146</v>
      </c>
      <c r="AX81" s="511">
        <v>2302.327054</v>
      </c>
      <c r="AY81" s="511">
        <v>2342.394806</v>
      </c>
      <c r="AZ81" s="511">
        <v>2384.405003</v>
      </c>
      <c r="BA81" s="511">
        <v>2426.770422</v>
      </c>
      <c r="BB81" s="511">
        <v>2469.381322</v>
      </c>
      <c r="BC81" s="511">
        <v>2510.713182</v>
      </c>
      <c r="BD81" s="511">
        <v>2550.967449</v>
      </c>
      <c r="BE81" s="511">
        <v>2590.246256</v>
      </c>
      <c r="BF81" s="511">
        <v>2628.615649</v>
      </c>
      <c r="BG81" s="511">
        <v>2666.127776</v>
      </c>
      <c r="BH81" s="511">
        <v>2702.828711</v>
      </c>
      <c r="BI81" s="511">
        <v>2738.761244</v>
      </c>
      <c r="BJ81" s="511">
        <v>2773.965911</v>
      </c>
      <c r="BK81" s="511">
        <v>2808.481402</v>
      </c>
      <c r="BL81" s="511">
        <v>2844.157967</v>
      </c>
      <c r="BM81" s="511">
        <v>2883.326736</v>
      </c>
      <c r="BN81" s="511">
        <v>2920.129531</v>
      </c>
      <c r="BO81" s="511">
        <v>2952.42148</v>
      </c>
      <c r="BP81" s="511">
        <v>2984.355581</v>
      </c>
      <c r="BQ81" s="511">
        <v>3015.981092</v>
      </c>
      <c r="BR81" s="511">
        <v>3047.334641</v>
      </c>
      <c r="BS81" s="511">
        <v>3078.447862</v>
      </c>
      <c r="BT81" s="511">
        <v>3109.3501</v>
      </c>
      <c r="BU81" s="511">
        <v>3140.069387</v>
      </c>
      <c r="BV81" s="511">
        <v>3170.632824</v>
      </c>
      <c r="BW81" s="511">
        <v>3201.066737</v>
      </c>
      <c r="BX81" s="511">
        <v>3231.396767</v>
      </c>
      <c r="BY81" s="511">
        <v>3258.586463</v>
      </c>
      <c r="BZ81" s="511">
        <v>3284.912687</v>
      </c>
      <c r="CA81" s="511">
        <v>3307.3066</v>
      </c>
      <c r="CB81" s="511">
        <v>3329.408877</v>
      </c>
      <c r="CC81" s="511">
        <v>3351.045702</v>
      </c>
      <c r="CD81" s="511">
        <v>3372.181909</v>
      </c>
      <c r="CE81" s="511">
        <v>3392.829652</v>
      </c>
      <c r="CF81" s="511">
        <v>3413.016497</v>
      </c>
      <c r="CG81" s="511">
        <v>3432.774305</v>
      </c>
      <c r="CH81" s="511">
        <v>3452.135392</v>
      </c>
      <c r="CI81" s="511">
        <v>3471.131238</v>
      </c>
      <c r="CL81" s="117">
        <f t="shared" si="76"/>
        <v>5513</v>
      </c>
      <c r="CM81" s="117">
        <f t="shared" si="77"/>
        <v>14373</v>
      </c>
      <c r="CN81" s="117">
        <f t="shared" si="78"/>
        <v>3144</v>
      </c>
      <c r="CO81" s="117">
        <f t="shared" si="79"/>
        <v>13204</v>
      </c>
      <c r="CP81" s="117">
        <f t="shared" si="80"/>
        <v>14169</v>
      </c>
      <c r="CQ81" s="117">
        <f t="shared" si="81"/>
        <v>4825.560604</v>
      </c>
    </row>
    <row r="82" ht="15.75" customHeight="1" outlineLevel="1">
      <c r="A82" s="1" t="s">
        <v>87</v>
      </c>
      <c r="B82" s="91" t="s">
        <v>63</v>
      </c>
      <c r="C82" s="132" t="s">
        <v>213</v>
      </c>
      <c r="D82" s="247">
        <f t="shared" ref="D82:Z82" si="87">RANDBETWEEN(0,5000)</f>
        <v>2521</v>
      </c>
      <c r="E82" s="247">
        <f t="shared" si="87"/>
        <v>3784</v>
      </c>
      <c r="F82" s="247">
        <f t="shared" si="87"/>
        <v>851</v>
      </c>
      <c r="G82" s="247">
        <f t="shared" si="87"/>
        <v>3510</v>
      </c>
      <c r="H82" s="247">
        <f t="shared" si="87"/>
        <v>4850</v>
      </c>
      <c r="I82" s="247">
        <f t="shared" si="87"/>
        <v>2008</v>
      </c>
      <c r="J82" s="247">
        <f t="shared" si="87"/>
        <v>449</v>
      </c>
      <c r="K82" s="247">
        <f t="shared" si="87"/>
        <v>4739</v>
      </c>
      <c r="L82" s="247">
        <f t="shared" si="87"/>
        <v>72</v>
      </c>
      <c r="M82" s="247">
        <f t="shared" si="87"/>
        <v>42</v>
      </c>
      <c r="N82" s="247">
        <f t="shared" si="87"/>
        <v>2371</v>
      </c>
      <c r="O82" s="247">
        <f t="shared" si="87"/>
        <v>614</v>
      </c>
      <c r="P82" s="247">
        <f t="shared" si="87"/>
        <v>1055</v>
      </c>
      <c r="Q82" s="247">
        <f t="shared" si="87"/>
        <v>301</v>
      </c>
      <c r="R82" s="247">
        <f t="shared" si="87"/>
        <v>294</v>
      </c>
      <c r="S82" s="247">
        <f t="shared" si="87"/>
        <v>3743</v>
      </c>
      <c r="T82" s="247">
        <f t="shared" si="87"/>
        <v>4210</v>
      </c>
      <c r="U82" s="247">
        <f t="shared" si="87"/>
        <v>1335</v>
      </c>
      <c r="V82" s="247">
        <f t="shared" si="87"/>
        <v>2945</v>
      </c>
      <c r="W82" s="247">
        <f t="shared" si="87"/>
        <v>2029</v>
      </c>
      <c r="X82" s="247">
        <f t="shared" si="87"/>
        <v>2818</v>
      </c>
      <c r="Y82" s="247">
        <f t="shared" si="87"/>
        <v>1465</v>
      </c>
      <c r="Z82" s="247">
        <f t="shared" si="87"/>
        <v>3056</v>
      </c>
      <c r="AA82" s="511">
        <v>1547.968053</v>
      </c>
      <c r="AB82" s="511">
        <v>1675.329663</v>
      </c>
      <c r="AC82" s="511">
        <v>1714.535905</v>
      </c>
      <c r="AD82" s="511">
        <v>1817.746353</v>
      </c>
      <c r="AE82" s="511">
        <v>1927.434469</v>
      </c>
      <c r="AF82" s="511">
        <v>2104.71309</v>
      </c>
      <c r="AG82" s="511">
        <v>2241.189961</v>
      </c>
      <c r="AH82" s="511">
        <v>2368.692078</v>
      </c>
      <c r="AI82" s="511">
        <v>2524.176182</v>
      </c>
      <c r="AJ82" s="511">
        <v>2671.134551</v>
      </c>
      <c r="AK82" s="511">
        <v>2819.748551</v>
      </c>
      <c r="AL82" s="511">
        <v>2937.375415</v>
      </c>
      <c r="AM82" s="511">
        <v>3056.453732</v>
      </c>
      <c r="AN82" s="511">
        <v>4349.294836</v>
      </c>
      <c r="AO82" s="511">
        <v>4437.018405</v>
      </c>
      <c r="AP82" s="511">
        <v>4508.15925</v>
      </c>
      <c r="AQ82" s="511">
        <v>4587.231825</v>
      </c>
      <c r="AR82" s="511">
        <v>4670.631842</v>
      </c>
      <c r="AS82" s="511">
        <v>4756.514781</v>
      </c>
      <c r="AT82" s="511">
        <v>4843.554726</v>
      </c>
      <c r="AU82" s="511">
        <v>4931.137684</v>
      </c>
      <c r="AV82" s="511">
        <v>5019.32925</v>
      </c>
      <c r="AW82" s="511">
        <v>5108.201875</v>
      </c>
      <c r="AX82" s="511">
        <v>5197.83005</v>
      </c>
      <c r="AY82" s="511">
        <v>5288.288687</v>
      </c>
      <c r="AZ82" s="511">
        <v>6117.196214</v>
      </c>
      <c r="BA82" s="511">
        <v>6225.884788</v>
      </c>
      <c r="BB82" s="511">
        <v>6335.203144</v>
      </c>
      <c r="BC82" s="511">
        <v>6441.240121</v>
      </c>
      <c r="BD82" s="511">
        <v>6544.51253</v>
      </c>
      <c r="BE82" s="511">
        <v>6645.282395</v>
      </c>
      <c r="BF82" s="511">
        <v>6743.719156</v>
      </c>
      <c r="BG82" s="511">
        <v>6839.9566</v>
      </c>
      <c r="BH82" s="511">
        <v>6934.112928</v>
      </c>
      <c r="BI82" s="511">
        <v>7026.29792</v>
      </c>
      <c r="BJ82" s="511">
        <v>7116.61557</v>
      </c>
      <c r="BK82" s="511">
        <v>7205.165137</v>
      </c>
      <c r="BL82" s="511">
        <v>8172.296654</v>
      </c>
      <c r="BM82" s="511">
        <v>8284.842723</v>
      </c>
      <c r="BN82" s="511">
        <v>8390.590491</v>
      </c>
      <c r="BO82" s="511">
        <v>8483.376965</v>
      </c>
      <c r="BP82" s="511">
        <v>8575.135212</v>
      </c>
      <c r="BQ82" s="511">
        <v>8666.006766</v>
      </c>
      <c r="BR82" s="511">
        <v>8756.096876</v>
      </c>
      <c r="BS82" s="511">
        <v>8845.496437</v>
      </c>
      <c r="BT82" s="511">
        <v>8934.289766</v>
      </c>
      <c r="BU82" s="511">
        <v>9022.557412</v>
      </c>
      <c r="BV82" s="511">
        <v>9110.377243</v>
      </c>
      <c r="BW82" s="511">
        <v>9197.824906</v>
      </c>
      <c r="BX82" s="511">
        <v>9284.974076</v>
      </c>
      <c r="BY82" s="511">
        <v>10031.89278</v>
      </c>
      <c r="BZ82" s="511">
        <v>10112.94076</v>
      </c>
      <c r="CA82" s="511">
        <v>10181.88272</v>
      </c>
      <c r="CB82" s="511">
        <v>10249.92685</v>
      </c>
      <c r="CC82" s="511">
        <v>10316.53803</v>
      </c>
      <c r="CD82" s="511">
        <v>10381.60801</v>
      </c>
      <c r="CE82" s="511">
        <v>10445.17421</v>
      </c>
      <c r="CF82" s="511">
        <v>10507.32148</v>
      </c>
      <c r="CG82" s="511">
        <v>10568.14792</v>
      </c>
      <c r="CH82" s="511">
        <v>10627.75302</v>
      </c>
      <c r="CI82" s="511">
        <v>10686.23368</v>
      </c>
      <c r="CL82" s="117">
        <f t="shared" si="76"/>
        <v>10666</v>
      </c>
      <c r="CM82" s="117">
        <f t="shared" si="77"/>
        <v>12046</v>
      </c>
      <c r="CN82" s="117">
        <f t="shared" si="78"/>
        <v>3099</v>
      </c>
      <c r="CO82" s="117">
        <f t="shared" si="79"/>
        <v>5393</v>
      </c>
      <c r="CP82" s="117">
        <f t="shared" si="80"/>
        <v>10519</v>
      </c>
      <c r="CQ82" s="117">
        <f t="shared" si="81"/>
        <v>8886.968053</v>
      </c>
    </row>
    <row r="83" ht="15.75" customHeight="1" outlineLevel="1">
      <c r="A83" s="1" t="s">
        <v>87</v>
      </c>
      <c r="B83" s="91" t="s">
        <v>63</v>
      </c>
      <c r="C83" s="132" t="s">
        <v>214</v>
      </c>
      <c r="D83" s="247">
        <f t="shared" ref="D83:Z83" si="88">RANDBETWEEN(0,5000)</f>
        <v>2110</v>
      </c>
      <c r="E83" s="247">
        <f t="shared" si="88"/>
        <v>2104</v>
      </c>
      <c r="F83" s="247">
        <f t="shared" si="88"/>
        <v>3</v>
      </c>
      <c r="G83" s="247">
        <f t="shared" si="88"/>
        <v>541</v>
      </c>
      <c r="H83" s="247">
        <f t="shared" si="88"/>
        <v>1354</v>
      </c>
      <c r="I83" s="247">
        <f t="shared" si="88"/>
        <v>2983</v>
      </c>
      <c r="J83" s="247">
        <f t="shared" si="88"/>
        <v>1842</v>
      </c>
      <c r="K83" s="247">
        <f t="shared" si="88"/>
        <v>4931</v>
      </c>
      <c r="L83" s="247">
        <f t="shared" si="88"/>
        <v>1285</v>
      </c>
      <c r="M83" s="247">
        <f t="shared" si="88"/>
        <v>1475</v>
      </c>
      <c r="N83" s="247">
        <f t="shared" si="88"/>
        <v>2628</v>
      </c>
      <c r="O83" s="247">
        <f t="shared" si="88"/>
        <v>2776</v>
      </c>
      <c r="P83" s="247">
        <f t="shared" si="88"/>
        <v>4538</v>
      </c>
      <c r="Q83" s="247">
        <f t="shared" si="88"/>
        <v>4401</v>
      </c>
      <c r="R83" s="247">
        <f t="shared" si="88"/>
        <v>125</v>
      </c>
      <c r="S83" s="247">
        <f t="shared" si="88"/>
        <v>42</v>
      </c>
      <c r="T83" s="247">
        <f t="shared" si="88"/>
        <v>4266</v>
      </c>
      <c r="U83" s="247">
        <f t="shared" si="88"/>
        <v>4082</v>
      </c>
      <c r="V83" s="247">
        <f t="shared" si="88"/>
        <v>2040</v>
      </c>
      <c r="W83" s="247">
        <f t="shared" si="88"/>
        <v>1523</v>
      </c>
      <c r="X83" s="247">
        <f t="shared" si="88"/>
        <v>791</v>
      </c>
      <c r="Y83" s="247">
        <f t="shared" si="88"/>
        <v>2798</v>
      </c>
      <c r="Z83" s="247">
        <f t="shared" si="88"/>
        <v>3286</v>
      </c>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17"/>
      <c r="BV83" s="117"/>
      <c r="BW83" s="117"/>
      <c r="BX83" s="117"/>
      <c r="BY83" s="117"/>
      <c r="BZ83" s="117"/>
      <c r="CA83" s="117"/>
      <c r="CB83" s="117"/>
      <c r="CC83" s="117"/>
      <c r="CD83" s="117"/>
      <c r="CE83" s="117"/>
      <c r="CF83" s="117"/>
      <c r="CG83" s="117"/>
      <c r="CH83" s="117"/>
      <c r="CI83" s="117"/>
      <c r="CL83" s="117">
        <f t="shared" si="76"/>
        <v>4758</v>
      </c>
      <c r="CM83" s="117">
        <f t="shared" si="77"/>
        <v>11110</v>
      </c>
      <c r="CN83" s="117">
        <f t="shared" si="78"/>
        <v>8164</v>
      </c>
      <c r="CO83" s="117">
        <f t="shared" si="79"/>
        <v>9106</v>
      </c>
      <c r="CP83" s="117">
        <f t="shared" si="80"/>
        <v>11911</v>
      </c>
      <c r="CQ83" s="117">
        <f t="shared" si="81"/>
        <v>6875</v>
      </c>
    </row>
    <row r="84" ht="15.75" customHeight="1" outlineLevel="1">
      <c r="A84" s="1" t="s">
        <v>87</v>
      </c>
      <c r="B84" s="91" t="s">
        <v>65</v>
      </c>
      <c r="C84" s="132" t="s">
        <v>215</v>
      </c>
      <c r="D84" s="247">
        <f t="shared" ref="D84:Z84" si="89">RANDBETWEEN(0,5000)</f>
        <v>4</v>
      </c>
      <c r="E84" s="247">
        <f t="shared" si="89"/>
        <v>4830</v>
      </c>
      <c r="F84" s="247">
        <f t="shared" si="89"/>
        <v>210</v>
      </c>
      <c r="G84" s="247">
        <f t="shared" si="89"/>
        <v>1555</v>
      </c>
      <c r="H84" s="247">
        <f t="shared" si="89"/>
        <v>3376</v>
      </c>
      <c r="I84" s="247">
        <f t="shared" si="89"/>
        <v>2232</v>
      </c>
      <c r="J84" s="247">
        <f t="shared" si="89"/>
        <v>698</v>
      </c>
      <c r="K84" s="247">
        <f t="shared" si="89"/>
        <v>3161</v>
      </c>
      <c r="L84" s="247">
        <f t="shared" si="89"/>
        <v>487</v>
      </c>
      <c r="M84" s="247">
        <f t="shared" si="89"/>
        <v>1874</v>
      </c>
      <c r="N84" s="247">
        <f t="shared" si="89"/>
        <v>3432</v>
      </c>
      <c r="O84" s="247">
        <f t="shared" si="89"/>
        <v>4286</v>
      </c>
      <c r="P84" s="247">
        <f t="shared" si="89"/>
        <v>2271</v>
      </c>
      <c r="Q84" s="247">
        <f t="shared" si="89"/>
        <v>2497</v>
      </c>
      <c r="R84" s="247">
        <f t="shared" si="89"/>
        <v>3354</v>
      </c>
      <c r="S84" s="247">
        <f t="shared" si="89"/>
        <v>742</v>
      </c>
      <c r="T84" s="247">
        <f t="shared" si="89"/>
        <v>2596</v>
      </c>
      <c r="U84" s="247">
        <f t="shared" si="89"/>
        <v>1979</v>
      </c>
      <c r="V84" s="247">
        <f t="shared" si="89"/>
        <v>3328</v>
      </c>
      <c r="W84" s="247">
        <f t="shared" si="89"/>
        <v>2623</v>
      </c>
      <c r="X84" s="247">
        <f t="shared" si="89"/>
        <v>3545</v>
      </c>
      <c r="Y84" s="247">
        <f t="shared" si="89"/>
        <v>2928</v>
      </c>
      <c r="Z84" s="247">
        <f t="shared" si="89"/>
        <v>39</v>
      </c>
      <c r="AA84" s="116">
        <f>Headcount!S187</f>
        <v>552.02195</v>
      </c>
      <c r="AB84" s="116">
        <f>Headcount!T187</f>
        <v>1402.74811</v>
      </c>
      <c r="AC84" s="116">
        <f>Headcount!U187</f>
        <v>1700.945336</v>
      </c>
      <c r="AD84" s="116">
        <f>Headcount!V187</f>
        <v>1975.384633</v>
      </c>
      <c r="AE84" s="116">
        <f>Headcount!W187</f>
        <v>2230.260803</v>
      </c>
      <c r="AF84" s="116">
        <f>Headcount!X187</f>
        <v>2475.176266</v>
      </c>
      <c r="AG84" s="116">
        <f>Headcount!Y187</f>
        <v>2716.667462</v>
      </c>
      <c r="AH84" s="116">
        <f>Headcount!Z187</f>
        <v>2951.782882</v>
      </c>
      <c r="AI84" s="116">
        <f>Headcount!AA187</f>
        <v>3195.821264</v>
      </c>
      <c r="AJ84" s="116">
        <f>Headcount!AB187</f>
        <v>3428.142091</v>
      </c>
      <c r="AK84" s="116">
        <f>Headcount!AC187</f>
        <v>3636.894992</v>
      </c>
      <c r="AL84" s="116">
        <f>Headcount!AD187</f>
        <v>3819.187228</v>
      </c>
      <c r="AM84" s="116">
        <f>Headcount!AE187</f>
        <v>4001.243052</v>
      </c>
      <c r="AN84" s="116">
        <f>Headcount!AF187</f>
        <v>9305.067003</v>
      </c>
      <c r="AO84" s="116">
        <f>Headcount!AG187</f>
        <v>9461.056658</v>
      </c>
      <c r="AP84" s="116">
        <f>Headcount!AH187</f>
        <v>9523.41483</v>
      </c>
      <c r="AQ84" s="116">
        <f>Headcount!AI187</f>
        <v>9616.179111</v>
      </c>
      <c r="AR84" s="116">
        <f>Headcount!AJ187</f>
        <v>9727.219124</v>
      </c>
      <c r="AS84" s="116">
        <f>Headcount!AK187</f>
        <v>9847.48149</v>
      </c>
      <c r="AT84" s="116">
        <f>Headcount!AL187</f>
        <v>9969.723208</v>
      </c>
      <c r="AU84" s="116">
        <f>Headcount!AM187</f>
        <v>10089.63204</v>
      </c>
      <c r="AV84" s="116">
        <f>Headcount!AN187</f>
        <v>10207.40096</v>
      </c>
      <c r="AW84" s="116">
        <f>Headcount!AO187</f>
        <v>10323.18278</v>
      </c>
      <c r="AX84" s="116">
        <f>Headcount!AP187</f>
        <v>10437.11221</v>
      </c>
      <c r="AY84" s="116">
        <f>Headcount!AQ187</f>
        <v>10549.31373</v>
      </c>
      <c r="AZ84" s="116">
        <f>Headcount!AR187</f>
        <v>15400.88293</v>
      </c>
      <c r="BA84" s="116">
        <f>Headcount!AS187</f>
        <v>15695.79809</v>
      </c>
      <c r="BB84" s="116">
        <f>Headcount!AT187</f>
        <v>15985.06741</v>
      </c>
      <c r="BC84" s="116">
        <f>Headcount!AU187</f>
        <v>16267.36847</v>
      </c>
      <c r="BD84" s="116">
        <f>Headcount!AV187</f>
        <v>16543.63427</v>
      </c>
      <c r="BE84" s="116">
        <f>Headcount!AW187</f>
        <v>16814.36724</v>
      </c>
      <c r="BF84" s="116">
        <f>Headcount!AX187</f>
        <v>17079.9121</v>
      </c>
      <c r="BG84" s="116">
        <f>Headcount!AY187</f>
        <v>17340.55177</v>
      </c>
      <c r="BH84" s="116">
        <f>Headcount!AZ187</f>
        <v>17596.54109</v>
      </c>
      <c r="BI84" s="116">
        <f>Headcount!BA187</f>
        <v>17848.11897</v>
      </c>
      <c r="BJ84" s="116">
        <f>Headcount!BB187</f>
        <v>18095.51288</v>
      </c>
      <c r="BK84" s="116">
        <f>Headcount!BC187</f>
        <v>18338.94062</v>
      </c>
      <c r="BL84" s="116">
        <f>Headcount!BD187</f>
        <v>25966.1775</v>
      </c>
      <c r="BM84" s="116">
        <f>Headcount!BE187</f>
        <v>26399.63023</v>
      </c>
      <c r="BN84" s="116">
        <f>Headcount!BF187</f>
        <v>26811.9286</v>
      </c>
      <c r="BO84" s="116">
        <f>Headcount!BG187</f>
        <v>27191.85072</v>
      </c>
      <c r="BP84" s="116">
        <f>Headcount!BH187</f>
        <v>27565.83879</v>
      </c>
      <c r="BQ84" s="116">
        <f>Headcount!BI187</f>
        <v>27934.72143</v>
      </c>
      <c r="BR84" s="116">
        <f>Headcount!BJ187</f>
        <v>28298.97359</v>
      </c>
      <c r="BS84" s="116">
        <f>Headcount!BK187</f>
        <v>28658.94043</v>
      </c>
      <c r="BT84" s="116">
        <f>Headcount!BL187</f>
        <v>29014.91599</v>
      </c>
      <c r="BU84" s="116">
        <f>Headcount!BM187</f>
        <v>29367.17094</v>
      </c>
      <c r="BV84" s="116">
        <f>Headcount!BN187</f>
        <v>29715.96256</v>
      </c>
      <c r="BW84" s="116">
        <f>Headcount!BO187</f>
        <v>30061.53848</v>
      </c>
      <c r="BX84" s="116">
        <f>Headcount!BP187</f>
        <v>41805.69001</v>
      </c>
      <c r="BY84" s="116">
        <f>Headcount!BQ187</f>
        <v>42148.45894</v>
      </c>
      <c r="BZ84" s="116">
        <f>Headcount!BR187</f>
        <v>42434.4579</v>
      </c>
      <c r="CA84" s="116">
        <f>Headcount!BS187</f>
        <v>42721.36742</v>
      </c>
      <c r="CB84" s="116">
        <f>Headcount!BT187</f>
        <v>43019.3963</v>
      </c>
      <c r="CC84" s="116">
        <f>Headcount!BU187</f>
        <v>43319.98862</v>
      </c>
      <c r="CD84" s="116">
        <f>Headcount!BV187</f>
        <v>43620.28562</v>
      </c>
      <c r="CE84" s="116">
        <f>Headcount!BW187</f>
        <v>43919.41705</v>
      </c>
      <c r="CF84" s="116">
        <f>Headcount!BX187</f>
        <v>44217.20335</v>
      </c>
      <c r="CG84" s="116">
        <f>Headcount!BY187</f>
        <v>44513.70164</v>
      </c>
      <c r="CH84" s="116">
        <f>Headcount!BZ187</f>
        <v>44809.04702</v>
      </c>
      <c r="CI84" s="116">
        <f>Headcount!CA187</f>
        <v>45103.39729</v>
      </c>
      <c r="CL84" s="117">
        <f t="shared" si="76"/>
        <v>6599</v>
      </c>
      <c r="CM84" s="117">
        <f t="shared" si="77"/>
        <v>9467</v>
      </c>
      <c r="CN84" s="117">
        <f t="shared" si="78"/>
        <v>10079</v>
      </c>
      <c r="CO84" s="117">
        <f t="shared" si="79"/>
        <v>8864</v>
      </c>
      <c r="CP84" s="117">
        <f t="shared" si="80"/>
        <v>10526</v>
      </c>
      <c r="CQ84" s="117">
        <f t="shared" si="81"/>
        <v>7064.02195</v>
      </c>
    </row>
    <row r="85" ht="15.75" customHeight="1" outlineLevel="1">
      <c r="A85" s="1" t="s">
        <v>87</v>
      </c>
      <c r="B85" s="91" t="s">
        <v>69</v>
      </c>
      <c r="C85" s="132" t="s">
        <v>216</v>
      </c>
      <c r="D85" s="247">
        <f t="shared" ref="D85:Z85" si="90">RANDBETWEEN(0,5000)</f>
        <v>4919</v>
      </c>
      <c r="E85" s="247">
        <f t="shared" si="90"/>
        <v>868</v>
      </c>
      <c r="F85" s="247">
        <f t="shared" si="90"/>
        <v>3649</v>
      </c>
      <c r="G85" s="247">
        <f t="shared" si="90"/>
        <v>4150</v>
      </c>
      <c r="H85" s="247">
        <f t="shared" si="90"/>
        <v>1446</v>
      </c>
      <c r="I85" s="247">
        <f t="shared" si="90"/>
        <v>4069</v>
      </c>
      <c r="J85" s="247">
        <f t="shared" si="90"/>
        <v>4769</v>
      </c>
      <c r="K85" s="247">
        <f t="shared" si="90"/>
        <v>2836</v>
      </c>
      <c r="L85" s="247">
        <f t="shared" si="90"/>
        <v>4315</v>
      </c>
      <c r="M85" s="247">
        <f t="shared" si="90"/>
        <v>1690</v>
      </c>
      <c r="N85" s="247">
        <f t="shared" si="90"/>
        <v>889</v>
      </c>
      <c r="O85" s="247">
        <f t="shared" si="90"/>
        <v>4662</v>
      </c>
      <c r="P85" s="247">
        <f t="shared" si="90"/>
        <v>2693</v>
      </c>
      <c r="Q85" s="247">
        <f t="shared" si="90"/>
        <v>11</v>
      </c>
      <c r="R85" s="247">
        <f t="shared" si="90"/>
        <v>1539</v>
      </c>
      <c r="S85" s="247">
        <f t="shared" si="90"/>
        <v>1852</v>
      </c>
      <c r="T85" s="247">
        <f t="shared" si="90"/>
        <v>496</v>
      </c>
      <c r="U85" s="247">
        <f t="shared" si="90"/>
        <v>4435</v>
      </c>
      <c r="V85" s="247">
        <f t="shared" si="90"/>
        <v>453</v>
      </c>
      <c r="W85" s="247">
        <f t="shared" si="90"/>
        <v>1619</v>
      </c>
      <c r="X85" s="247">
        <f t="shared" si="90"/>
        <v>3113</v>
      </c>
      <c r="Y85" s="247">
        <f t="shared" si="90"/>
        <v>4020</v>
      </c>
      <c r="Z85" s="247">
        <f t="shared" si="90"/>
        <v>2914</v>
      </c>
      <c r="AA85" s="511">
        <f>Expenses!T58</f>
        <v>199.536</v>
      </c>
      <c r="AB85" s="511">
        <f>Expenses!U58</f>
        <v>439.536</v>
      </c>
      <c r="AC85" s="511">
        <f>Expenses!V58</f>
        <v>439.536</v>
      </c>
      <c r="AD85" s="511">
        <f>Expenses!W58</f>
        <v>439.536</v>
      </c>
      <c r="AE85" s="511">
        <f>Expenses!X58</f>
        <v>439.536</v>
      </c>
      <c r="AF85" s="511">
        <f>Expenses!Y58</f>
        <v>679.536</v>
      </c>
      <c r="AG85" s="511">
        <f>Expenses!Z58</f>
        <v>679.536</v>
      </c>
      <c r="AH85" s="511">
        <f>Expenses!AA58</f>
        <v>679.536</v>
      </c>
      <c r="AI85" s="511">
        <f>Expenses!AB58</f>
        <v>679.536</v>
      </c>
      <c r="AJ85" s="511">
        <f>Expenses!AC58</f>
        <v>919.536</v>
      </c>
      <c r="AK85" s="511">
        <f>Expenses!AD58</f>
        <v>919.536</v>
      </c>
      <c r="AL85" s="511">
        <f>Expenses!AE58</f>
        <v>919.536</v>
      </c>
      <c r="AM85" s="511">
        <f>Expenses!AF58</f>
        <v>919.536</v>
      </c>
      <c r="AN85" s="511">
        <f>Expenses!AG58</f>
        <v>919.536</v>
      </c>
      <c r="AO85" s="511">
        <f>Expenses!AH58</f>
        <v>919.536</v>
      </c>
      <c r="AP85" s="511">
        <f>Expenses!AI58</f>
        <v>919.536</v>
      </c>
      <c r="AQ85" s="511">
        <f>Expenses!AJ58</f>
        <v>919.536</v>
      </c>
      <c r="AR85" s="511">
        <f>Expenses!AK58</f>
        <v>919.536</v>
      </c>
      <c r="AS85" s="511">
        <f>Expenses!AL58</f>
        <v>919.536</v>
      </c>
      <c r="AT85" s="511">
        <f>Expenses!AM58</f>
        <v>919.536</v>
      </c>
      <c r="AU85" s="511">
        <f>Expenses!AN58</f>
        <v>919.536</v>
      </c>
      <c r="AV85" s="511">
        <f>Expenses!AO58</f>
        <v>1111.536</v>
      </c>
      <c r="AW85" s="511">
        <f>Expenses!AP58</f>
        <v>1111.536</v>
      </c>
      <c r="AX85" s="511">
        <f>Expenses!AQ58</f>
        <v>1111.536</v>
      </c>
      <c r="AY85" s="511">
        <f>Expenses!AR58</f>
        <v>1111.536</v>
      </c>
      <c r="AZ85" s="511">
        <f>Expenses!AS58</f>
        <v>1591.536</v>
      </c>
      <c r="BA85" s="511">
        <f>Expenses!AT58</f>
        <v>1591.536</v>
      </c>
      <c r="BB85" s="511">
        <f>Expenses!AU58</f>
        <v>1591.536</v>
      </c>
      <c r="BC85" s="511">
        <f>Expenses!AV58</f>
        <v>1591.536</v>
      </c>
      <c r="BD85" s="511">
        <f>Expenses!AW58</f>
        <v>2071.536</v>
      </c>
      <c r="BE85" s="511">
        <f>Expenses!AX58</f>
        <v>2071.536</v>
      </c>
      <c r="BF85" s="511">
        <f>Expenses!AY58</f>
        <v>2071.536</v>
      </c>
      <c r="BG85" s="511">
        <f>Expenses!AZ58</f>
        <v>2071.536</v>
      </c>
      <c r="BH85" s="511">
        <f>Expenses!BA58</f>
        <v>2551.536</v>
      </c>
      <c r="BI85" s="511">
        <f>Expenses!BB58</f>
        <v>2551.536</v>
      </c>
      <c r="BJ85" s="511">
        <f>Expenses!BC58</f>
        <v>2551.536</v>
      </c>
      <c r="BK85" s="511">
        <f>Expenses!BD58</f>
        <v>2551.536</v>
      </c>
      <c r="BL85" s="511">
        <f>Expenses!BE58</f>
        <v>2561.136</v>
      </c>
      <c r="BM85" s="511">
        <f>Expenses!BF58</f>
        <v>2561.136</v>
      </c>
      <c r="BN85" s="511">
        <f>Expenses!BG58</f>
        <v>2561.136</v>
      </c>
      <c r="BO85" s="511">
        <f>Expenses!BH58</f>
        <v>2561.136</v>
      </c>
      <c r="BP85" s="511">
        <f>Expenses!BI58</f>
        <v>2570.736</v>
      </c>
      <c r="BQ85" s="511">
        <f>Expenses!BJ58</f>
        <v>2570.736</v>
      </c>
      <c r="BR85" s="511">
        <f>Expenses!BK58</f>
        <v>2570.736</v>
      </c>
      <c r="BS85" s="511">
        <f>Expenses!BL58</f>
        <v>2570.736</v>
      </c>
      <c r="BT85" s="511">
        <f>Expenses!BM58</f>
        <v>2580.336</v>
      </c>
      <c r="BU85" s="511">
        <f>Expenses!BN58</f>
        <v>2580.336</v>
      </c>
      <c r="BV85" s="511">
        <f>Expenses!BO58</f>
        <v>2580.336</v>
      </c>
      <c r="BW85" s="511">
        <f>Expenses!BP58</f>
        <v>2580.336</v>
      </c>
      <c r="BX85" s="511">
        <f>Expenses!BQ58</f>
        <v>2589.936</v>
      </c>
      <c r="BY85" s="511">
        <f>Expenses!BR58</f>
        <v>2589.936</v>
      </c>
      <c r="BZ85" s="511">
        <f>Expenses!BS58</f>
        <v>2589.936</v>
      </c>
      <c r="CA85" s="511">
        <f>Expenses!BT58</f>
        <v>2589.936</v>
      </c>
      <c r="CB85" s="511">
        <f>Expenses!BU58</f>
        <v>2599.536</v>
      </c>
      <c r="CC85" s="511">
        <f>Expenses!BV58</f>
        <v>2599.536</v>
      </c>
      <c r="CD85" s="511">
        <f>Expenses!BW58</f>
        <v>2599.536</v>
      </c>
      <c r="CE85" s="511">
        <f>Expenses!BX58</f>
        <v>2599.536</v>
      </c>
      <c r="CF85" s="511">
        <f>Expenses!BY58</f>
        <v>2719.536</v>
      </c>
      <c r="CG85" s="511">
        <f>Expenses!BZ58</f>
        <v>2719.536</v>
      </c>
      <c r="CH85" s="511">
        <f>Expenses!CA58</f>
        <v>2719.536</v>
      </c>
      <c r="CI85" s="511">
        <f>Expenses!CB58</f>
        <v>2719.536</v>
      </c>
      <c r="CL85" s="117">
        <f t="shared" si="76"/>
        <v>13586</v>
      </c>
      <c r="CM85" s="117">
        <f t="shared" si="77"/>
        <v>13120</v>
      </c>
      <c r="CN85" s="117">
        <f t="shared" si="78"/>
        <v>11556</v>
      </c>
      <c r="CO85" s="117">
        <f t="shared" si="79"/>
        <v>6095</v>
      </c>
      <c r="CP85" s="117">
        <f t="shared" si="80"/>
        <v>7003</v>
      </c>
      <c r="CQ85" s="117">
        <f t="shared" si="81"/>
        <v>10246.536</v>
      </c>
    </row>
    <row r="86" ht="15.75" customHeight="1" outlineLevel="1">
      <c r="A86" s="1" t="s">
        <v>87</v>
      </c>
      <c r="B86" s="91" t="s">
        <v>71</v>
      </c>
      <c r="C86" s="132" t="s">
        <v>217</v>
      </c>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117">
        <f t="shared" ref="AA86:CI86" si="91">AA261</f>
        <v>35687.82472</v>
      </c>
      <c r="AB86" s="117">
        <f t="shared" si="91"/>
        <v>43401.3692</v>
      </c>
      <c r="AC86" s="117">
        <f t="shared" si="91"/>
        <v>44574.97504</v>
      </c>
      <c r="AD86" s="117">
        <f t="shared" si="91"/>
        <v>44935.44135</v>
      </c>
      <c r="AE86" s="117">
        <f t="shared" si="91"/>
        <v>48220.29037</v>
      </c>
      <c r="AF86" s="117">
        <f t="shared" si="91"/>
        <v>53492.98463</v>
      </c>
      <c r="AG86" s="117">
        <f t="shared" si="91"/>
        <v>52831.4778</v>
      </c>
      <c r="AH86" s="117">
        <f t="shared" si="91"/>
        <v>51842.67461</v>
      </c>
      <c r="AI86" s="117">
        <f t="shared" si="91"/>
        <v>56175.393</v>
      </c>
      <c r="AJ86" s="117">
        <f t="shared" si="91"/>
        <v>61890.82502</v>
      </c>
      <c r="AK86" s="117">
        <f t="shared" si="91"/>
        <v>65465.25157</v>
      </c>
      <c r="AL86" s="117">
        <f t="shared" si="91"/>
        <v>63806.26154</v>
      </c>
      <c r="AM86" s="117">
        <f t="shared" si="91"/>
        <v>66860.96646</v>
      </c>
      <c r="AN86" s="117">
        <f t="shared" si="91"/>
        <v>69986.70326</v>
      </c>
      <c r="AO86" s="117">
        <f t="shared" si="91"/>
        <v>68674.23677</v>
      </c>
      <c r="AP86" s="117">
        <f t="shared" si="91"/>
        <v>66645.44566</v>
      </c>
      <c r="AQ86" s="117">
        <f t="shared" si="91"/>
        <v>69195.40055</v>
      </c>
      <c r="AR86" s="117">
        <f t="shared" si="91"/>
        <v>72365.00172</v>
      </c>
      <c r="AS86" s="117">
        <f t="shared" si="91"/>
        <v>70429.2433</v>
      </c>
      <c r="AT86" s="117">
        <f t="shared" si="91"/>
        <v>68137.4849</v>
      </c>
      <c r="AU86" s="117">
        <f t="shared" si="91"/>
        <v>70727.13485</v>
      </c>
      <c r="AV86" s="117">
        <f t="shared" si="91"/>
        <v>74160.06291</v>
      </c>
      <c r="AW86" s="117">
        <f t="shared" si="91"/>
        <v>72187.07398</v>
      </c>
      <c r="AX86" s="117">
        <f t="shared" si="91"/>
        <v>70171.25465</v>
      </c>
      <c r="AY86" s="117">
        <f t="shared" si="91"/>
        <v>73105.05787</v>
      </c>
      <c r="AZ86" s="117">
        <f t="shared" si="91"/>
        <v>74189.57042</v>
      </c>
      <c r="BA86" s="117">
        <f t="shared" si="91"/>
        <v>72132.94594</v>
      </c>
      <c r="BB86" s="117">
        <f t="shared" si="91"/>
        <v>69988.2044</v>
      </c>
      <c r="BC86" s="117">
        <f t="shared" si="91"/>
        <v>73031.53071</v>
      </c>
      <c r="BD86" s="117">
        <f t="shared" si="91"/>
        <v>77394.80825</v>
      </c>
      <c r="BE86" s="117">
        <f t="shared" si="91"/>
        <v>75321.20228</v>
      </c>
      <c r="BF86" s="117">
        <f t="shared" si="91"/>
        <v>77826.71555</v>
      </c>
      <c r="BG86" s="117">
        <f t="shared" si="91"/>
        <v>80997.77396</v>
      </c>
      <c r="BH86" s="117">
        <f t="shared" si="91"/>
        <v>85597.5197</v>
      </c>
      <c r="BI86" s="117">
        <f t="shared" si="91"/>
        <v>83425.63052</v>
      </c>
      <c r="BJ86" s="117">
        <f t="shared" si="91"/>
        <v>81220.73606</v>
      </c>
      <c r="BK86" s="117">
        <f t="shared" si="91"/>
        <v>84509.2203</v>
      </c>
      <c r="BL86" s="117">
        <f t="shared" si="91"/>
        <v>88687.14266</v>
      </c>
      <c r="BM86" s="117">
        <f t="shared" si="91"/>
        <v>86641.32437</v>
      </c>
      <c r="BN86" s="117">
        <f t="shared" si="91"/>
        <v>84785.49165</v>
      </c>
      <c r="BO86" s="117">
        <f t="shared" si="91"/>
        <v>88291.33481</v>
      </c>
      <c r="BP86" s="117">
        <f t="shared" si="91"/>
        <v>93012.98338</v>
      </c>
      <c r="BQ86" s="117">
        <f t="shared" si="91"/>
        <v>93063.55014</v>
      </c>
      <c r="BR86" s="117">
        <f t="shared" si="91"/>
        <v>90921.37049</v>
      </c>
      <c r="BS86" s="117">
        <f t="shared" si="91"/>
        <v>98889.86919</v>
      </c>
      <c r="BT86" s="117">
        <f t="shared" si="91"/>
        <v>103828.9861</v>
      </c>
      <c r="BU86" s="117">
        <f t="shared" si="91"/>
        <v>101583.8867</v>
      </c>
      <c r="BV86" s="117">
        <f t="shared" si="91"/>
        <v>99327.91347</v>
      </c>
      <c r="BW86" s="117">
        <f t="shared" si="91"/>
        <v>102909.803</v>
      </c>
      <c r="BX86" s="117">
        <f t="shared" si="91"/>
        <v>107742.1137</v>
      </c>
      <c r="BY86" s="117">
        <f t="shared" si="91"/>
        <v>105546.8141</v>
      </c>
      <c r="BZ86" s="117">
        <f t="shared" si="91"/>
        <v>103224.8896</v>
      </c>
      <c r="CA86" s="117">
        <f t="shared" si="91"/>
        <v>106728.9805</v>
      </c>
      <c r="CB86" s="117">
        <f t="shared" si="91"/>
        <v>110245.1439</v>
      </c>
      <c r="CC86" s="117">
        <f t="shared" si="91"/>
        <v>110020.3224</v>
      </c>
      <c r="CD86" s="117">
        <f t="shared" si="91"/>
        <v>107658.7359</v>
      </c>
      <c r="CE86" s="117">
        <f t="shared" si="91"/>
        <v>111174.3539</v>
      </c>
      <c r="CF86" s="117">
        <f t="shared" si="91"/>
        <v>114763.0563</v>
      </c>
      <c r="CG86" s="117">
        <f t="shared" si="91"/>
        <v>112372.8096</v>
      </c>
      <c r="CH86" s="117">
        <f t="shared" si="91"/>
        <v>109972.5957</v>
      </c>
      <c r="CI86" s="117">
        <f t="shared" si="91"/>
        <v>113525.1053</v>
      </c>
      <c r="CL86" s="117">
        <f t="shared" si="76"/>
        <v>0</v>
      </c>
      <c r="CM86" s="117">
        <f t="shared" si="77"/>
        <v>0</v>
      </c>
      <c r="CN86" s="117">
        <f t="shared" si="78"/>
        <v>0</v>
      </c>
      <c r="CO86" s="117">
        <f t="shared" si="79"/>
        <v>0</v>
      </c>
      <c r="CP86" s="117">
        <f t="shared" si="80"/>
        <v>0</v>
      </c>
      <c r="CQ86" s="117">
        <f t="shared" si="81"/>
        <v>35687.82472</v>
      </c>
    </row>
    <row r="87" ht="15.75" customHeight="1" outlineLevel="1">
      <c r="A87" s="1" t="s">
        <v>87</v>
      </c>
      <c r="B87" s="91" t="s">
        <v>67</v>
      </c>
      <c r="C87" s="146" t="s">
        <v>218</v>
      </c>
      <c r="D87" s="247">
        <f t="shared" ref="D87:Z87" si="92">RANDBETWEEN(0,5000)</f>
        <v>1188</v>
      </c>
      <c r="E87" s="247">
        <f t="shared" si="92"/>
        <v>3172</v>
      </c>
      <c r="F87" s="247">
        <f t="shared" si="92"/>
        <v>510</v>
      </c>
      <c r="G87" s="247">
        <f t="shared" si="92"/>
        <v>2520</v>
      </c>
      <c r="H87" s="247">
        <f t="shared" si="92"/>
        <v>1610</v>
      </c>
      <c r="I87" s="247">
        <f t="shared" si="92"/>
        <v>373</v>
      </c>
      <c r="J87" s="247">
        <f t="shared" si="92"/>
        <v>3860</v>
      </c>
      <c r="K87" s="247">
        <f t="shared" si="92"/>
        <v>3503</v>
      </c>
      <c r="L87" s="247">
        <f t="shared" si="92"/>
        <v>4217</v>
      </c>
      <c r="M87" s="247">
        <f t="shared" si="92"/>
        <v>344</v>
      </c>
      <c r="N87" s="247">
        <f t="shared" si="92"/>
        <v>1149</v>
      </c>
      <c r="O87" s="247">
        <f t="shared" si="92"/>
        <v>4291</v>
      </c>
      <c r="P87" s="247">
        <f t="shared" si="92"/>
        <v>4002</v>
      </c>
      <c r="Q87" s="247">
        <f t="shared" si="92"/>
        <v>4870</v>
      </c>
      <c r="R87" s="247">
        <f t="shared" si="92"/>
        <v>1338</v>
      </c>
      <c r="S87" s="247">
        <f t="shared" si="92"/>
        <v>4975</v>
      </c>
      <c r="T87" s="247">
        <f t="shared" si="92"/>
        <v>3982</v>
      </c>
      <c r="U87" s="247">
        <f t="shared" si="92"/>
        <v>3364</v>
      </c>
      <c r="V87" s="247">
        <f t="shared" si="92"/>
        <v>597</v>
      </c>
      <c r="W87" s="247">
        <f t="shared" si="92"/>
        <v>1369</v>
      </c>
      <c r="X87" s="247">
        <f t="shared" si="92"/>
        <v>4044</v>
      </c>
      <c r="Y87" s="247">
        <f t="shared" si="92"/>
        <v>212</v>
      </c>
      <c r="Z87" s="247">
        <f t="shared" si="92"/>
        <v>2688</v>
      </c>
      <c r="AA87" s="116">
        <f>Expenses!T104</f>
        <v>376.44084</v>
      </c>
      <c r="AB87" s="116">
        <f>Expenses!U104</f>
        <v>414.084924</v>
      </c>
      <c r="AC87" s="116">
        <f>Expenses!V104</f>
        <v>418.2257732</v>
      </c>
      <c r="AD87" s="116">
        <f>Expenses!W104</f>
        <v>422.408031</v>
      </c>
      <c r="AE87" s="116">
        <f>Expenses!X104</f>
        <v>426.6321113</v>
      </c>
      <c r="AF87" s="116">
        <f>Expenses!Y104</f>
        <v>430.8984324</v>
      </c>
      <c r="AG87" s="116">
        <f>Expenses!Z104</f>
        <v>435.2074167</v>
      </c>
      <c r="AH87" s="116">
        <f>Expenses!AA104</f>
        <v>439.5594909</v>
      </c>
      <c r="AI87" s="116">
        <f>Expenses!AB104</f>
        <v>443.9550858</v>
      </c>
      <c r="AJ87" s="116">
        <f>Expenses!AC104</f>
        <v>448.3946367</v>
      </c>
      <c r="AK87" s="116">
        <f>Expenses!AD104</f>
        <v>452.878583</v>
      </c>
      <c r="AL87" s="116">
        <f>Expenses!AE104</f>
        <v>457.4073688</v>
      </c>
      <c r="AM87" s="116">
        <f>Expenses!AF104</f>
        <v>461.9814425</v>
      </c>
      <c r="AN87" s="116">
        <f>Expenses!AG104</f>
        <v>466.601257</v>
      </c>
      <c r="AO87" s="116">
        <f>Expenses!AH104</f>
        <v>471.2672695</v>
      </c>
      <c r="AP87" s="116">
        <f>Expenses!AI104</f>
        <v>475.9799422</v>
      </c>
      <c r="AQ87" s="116">
        <f>Expenses!AJ104</f>
        <v>480.7397417</v>
      </c>
      <c r="AR87" s="116">
        <f>Expenses!AK104</f>
        <v>485.5471391</v>
      </c>
      <c r="AS87" s="116">
        <f>Expenses!AL104</f>
        <v>490.4026105</v>
      </c>
      <c r="AT87" s="116">
        <f>Expenses!AM104</f>
        <v>495.3066366</v>
      </c>
      <c r="AU87" s="116">
        <f>Expenses!AN104</f>
        <v>500.2597029</v>
      </c>
      <c r="AV87" s="116">
        <f>Expenses!AO104</f>
        <v>505.2623</v>
      </c>
      <c r="AW87" s="116">
        <f>Expenses!AP104</f>
        <v>510.314923</v>
      </c>
      <c r="AX87" s="116">
        <f>Expenses!AQ104</f>
        <v>515.4180722</v>
      </c>
      <c r="AY87" s="116">
        <f>Expenses!AR104</f>
        <v>520.5722529</v>
      </c>
      <c r="AZ87" s="116">
        <f>Expenses!AS104</f>
        <v>525.7779754</v>
      </c>
      <c r="BA87" s="116">
        <f>Expenses!AT104</f>
        <v>531.0357552</v>
      </c>
      <c r="BB87" s="116">
        <f>Expenses!AU104</f>
        <v>536.3461127</v>
      </c>
      <c r="BC87" s="116">
        <f>Expenses!AV104</f>
        <v>541.7095739</v>
      </c>
      <c r="BD87" s="116">
        <f>Expenses!AW104</f>
        <v>547.1266696</v>
      </c>
      <c r="BE87" s="116">
        <f>Expenses!AX104</f>
        <v>552.5979363</v>
      </c>
      <c r="BF87" s="116">
        <f>Expenses!AY104</f>
        <v>558.1239157</v>
      </c>
      <c r="BG87" s="116">
        <f>Expenses!AZ104</f>
        <v>563.7051548</v>
      </c>
      <c r="BH87" s="116">
        <f>Expenses!BA104</f>
        <v>569.3422064</v>
      </c>
      <c r="BI87" s="116">
        <f>Expenses!BB104</f>
        <v>575.0356284</v>
      </c>
      <c r="BJ87" s="116">
        <f>Expenses!BC104</f>
        <v>580.7859847</v>
      </c>
      <c r="BK87" s="116">
        <f>Expenses!BD104</f>
        <v>586.5938446</v>
      </c>
      <c r="BL87" s="116">
        <f>Expenses!BE104</f>
        <v>592.459783</v>
      </c>
      <c r="BM87" s="116">
        <f>Expenses!BF104</f>
        <v>598.3843808</v>
      </c>
      <c r="BN87" s="116">
        <f>Expenses!BG104</f>
        <v>604.3682247</v>
      </c>
      <c r="BO87" s="116">
        <f>Expenses!BH104</f>
        <v>610.4119069</v>
      </c>
      <c r="BP87" s="116">
        <f>Expenses!BI104</f>
        <v>616.516026</v>
      </c>
      <c r="BQ87" s="116">
        <f>Expenses!BJ104</f>
        <v>622.6811862</v>
      </c>
      <c r="BR87" s="116">
        <f>Expenses!BK104</f>
        <v>628.9079981</v>
      </c>
      <c r="BS87" s="116">
        <f>Expenses!BL104</f>
        <v>635.1970781</v>
      </c>
      <c r="BT87" s="116">
        <f>Expenses!BM104</f>
        <v>641.5490489</v>
      </c>
      <c r="BU87" s="116">
        <f>Expenses!BN104</f>
        <v>647.9645393</v>
      </c>
      <c r="BV87" s="116">
        <f>Expenses!BO104</f>
        <v>654.4441847</v>
      </c>
      <c r="BW87" s="116">
        <f>Expenses!BP104</f>
        <v>660.9886266</v>
      </c>
      <c r="BX87" s="116">
        <f>Expenses!BQ104</f>
        <v>667.5985128</v>
      </c>
      <c r="BY87" s="116">
        <f>Expenses!BR104</f>
        <v>674.274498</v>
      </c>
      <c r="BZ87" s="116">
        <f>Expenses!BS104</f>
        <v>681.017243</v>
      </c>
      <c r="CA87" s="116">
        <f>Expenses!BT104</f>
        <v>687.8274154</v>
      </c>
      <c r="CB87" s="116">
        <f>Expenses!BU104</f>
        <v>694.7056895</v>
      </c>
      <c r="CC87" s="116">
        <f>Expenses!BV104</f>
        <v>701.6527464</v>
      </c>
      <c r="CD87" s="116">
        <f>Expenses!BW104</f>
        <v>708.6692739</v>
      </c>
      <c r="CE87" s="116">
        <f>Expenses!BX104</f>
        <v>715.7559666</v>
      </c>
      <c r="CF87" s="116">
        <f>Expenses!BY104</f>
        <v>722.9135263</v>
      </c>
      <c r="CG87" s="116">
        <f>Expenses!BZ104</f>
        <v>730.1426616</v>
      </c>
      <c r="CH87" s="116">
        <f>Expenses!CA104</f>
        <v>737.4440882</v>
      </c>
      <c r="CI87" s="116">
        <f>Expenses!CB104</f>
        <v>744.8185291</v>
      </c>
      <c r="CL87" s="117"/>
      <c r="CM87" s="117"/>
      <c r="CN87" s="117"/>
      <c r="CO87" s="117"/>
      <c r="CP87" s="117"/>
      <c r="CQ87" s="117"/>
    </row>
    <row r="88" ht="15.75" customHeight="1" outlineLevel="1">
      <c r="A88" s="1" t="s">
        <v>87</v>
      </c>
      <c r="B88" s="91" t="s">
        <v>67</v>
      </c>
      <c r="C88" s="146" t="s">
        <v>219</v>
      </c>
      <c r="D88" s="247">
        <f t="shared" ref="D88:Z88" si="93">RANDBETWEEN(0,5000)</f>
        <v>878</v>
      </c>
      <c r="E88" s="247">
        <f t="shared" si="93"/>
        <v>2936</v>
      </c>
      <c r="F88" s="247">
        <f t="shared" si="93"/>
        <v>1320</v>
      </c>
      <c r="G88" s="247">
        <f t="shared" si="93"/>
        <v>13</v>
      </c>
      <c r="H88" s="247">
        <f t="shared" si="93"/>
        <v>4498</v>
      </c>
      <c r="I88" s="247">
        <f t="shared" si="93"/>
        <v>4732</v>
      </c>
      <c r="J88" s="247">
        <f t="shared" si="93"/>
        <v>1796</v>
      </c>
      <c r="K88" s="247">
        <f t="shared" si="93"/>
        <v>4521</v>
      </c>
      <c r="L88" s="247">
        <f t="shared" si="93"/>
        <v>4525</v>
      </c>
      <c r="M88" s="247">
        <f t="shared" si="93"/>
        <v>2560</v>
      </c>
      <c r="N88" s="247">
        <f t="shared" si="93"/>
        <v>4357</v>
      </c>
      <c r="O88" s="247">
        <f t="shared" si="93"/>
        <v>4357</v>
      </c>
      <c r="P88" s="247">
        <f t="shared" si="93"/>
        <v>2168</v>
      </c>
      <c r="Q88" s="247">
        <f t="shared" si="93"/>
        <v>1184</v>
      </c>
      <c r="R88" s="247">
        <f t="shared" si="93"/>
        <v>2679</v>
      </c>
      <c r="S88" s="247">
        <f t="shared" si="93"/>
        <v>2139</v>
      </c>
      <c r="T88" s="247">
        <f t="shared" si="93"/>
        <v>1738</v>
      </c>
      <c r="U88" s="247">
        <f t="shared" si="93"/>
        <v>1752</v>
      </c>
      <c r="V88" s="247">
        <f t="shared" si="93"/>
        <v>4184</v>
      </c>
      <c r="W88" s="247">
        <f t="shared" si="93"/>
        <v>2900</v>
      </c>
      <c r="X88" s="247">
        <f t="shared" si="93"/>
        <v>1825</v>
      </c>
      <c r="Y88" s="247">
        <f t="shared" si="93"/>
        <v>3483</v>
      </c>
      <c r="Z88" s="247">
        <f t="shared" si="93"/>
        <v>981</v>
      </c>
      <c r="AA88" s="116">
        <f>Expenses!T113</f>
        <v>564.66126</v>
      </c>
      <c r="AB88" s="116">
        <f>Expenses!U113</f>
        <v>621.127386</v>
      </c>
      <c r="AC88" s="116">
        <f>Expenses!V113</f>
        <v>627.3386599</v>
      </c>
      <c r="AD88" s="116">
        <f>Expenses!W113</f>
        <v>633.6120465</v>
      </c>
      <c r="AE88" s="116">
        <f>Expenses!X113</f>
        <v>639.9481669</v>
      </c>
      <c r="AF88" s="116">
        <f>Expenses!Y113</f>
        <v>646.3476486</v>
      </c>
      <c r="AG88" s="116">
        <f>Expenses!Z113</f>
        <v>652.8111251</v>
      </c>
      <c r="AH88" s="116">
        <f>Expenses!AA113</f>
        <v>659.3392363</v>
      </c>
      <c r="AI88" s="116">
        <f>Expenses!AB113</f>
        <v>665.9326287</v>
      </c>
      <c r="AJ88" s="116">
        <f>Expenses!AC113</f>
        <v>672.591955</v>
      </c>
      <c r="AK88" s="116">
        <f>Expenses!AD113</f>
        <v>679.3178745</v>
      </c>
      <c r="AL88" s="116">
        <f>Expenses!AE113</f>
        <v>686.1110533</v>
      </c>
      <c r="AM88" s="116">
        <f>Expenses!AF113</f>
        <v>692.9721638</v>
      </c>
      <c r="AN88" s="116">
        <f>Expenses!AG113</f>
        <v>699.9018854</v>
      </c>
      <c r="AO88" s="116">
        <f>Expenses!AH113</f>
        <v>706.9009043</v>
      </c>
      <c r="AP88" s="116">
        <f>Expenses!AI113</f>
        <v>713.9699133</v>
      </c>
      <c r="AQ88" s="116">
        <f>Expenses!AJ113</f>
        <v>721.1096125</v>
      </c>
      <c r="AR88" s="116">
        <f>Expenses!AK113</f>
        <v>728.3207086</v>
      </c>
      <c r="AS88" s="116">
        <f>Expenses!AL113</f>
        <v>735.6039157</v>
      </c>
      <c r="AT88" s="116">
        <f>Expenses!AM113</f>
        <v>742.9599548</v>
      </c>
      <c r="AU88" s="116">
        <f>Expenses!AN113</f>
        <v>750.3895544</v>
      </c>
      <c r="AV88" s="116">
        <f>Expenses!AO113</f>
        <v>757.8934499</v>
      </c>
      <c r="AW88" s="116">
        <f>Expenses!AP113</f>
        <v>765.4723844</v>
      </c>
      <c r="AX88" s="116">
        <f>Expenses!AQ113</f>
        <v>773.1271083</v>
      </c>
      <c r="AY88" s="116">
        <f>Expenses!AR113</f>
        <v>780.8583794</v>
      </c>
      <c r="AZ88" s="116">
        <f>Expenses!AS113</f>
        <v>788.6669632</v>
      </c>
      <c r="BA88" s="116">
        <f>Expenses!AT113</f>
        <v>796.5536328</v>
      </c>
      <c r="BB88" s="116">
        <f>Expenses!AU113</f>
        <v>804.5191691</v>
      </c>
      <c r="BC88" s="116">
        <f>Expenses!AV113</f>
        <v>812.5643608</v>
      </c>
      <c r="BD88" s="116">
        <f>Expenses!AW113</f>
        <v>820.6900044</v>
      </c>
      <c r="BE88" s="116">
        <f>Expenses!AX113</f>
        <v>828.8969045</v>
      </c>
      <c r="BF88" s="116">
        <f>Expenses!AY113</f>
        <v>837.1858735</v>
      </c>
      <c r="BG88" s="116">
        <f>Expenses!AZ113</f>
        <v>845.5577322</v>
      </c>
      <c r="BH88" s="116">
        <f>Expenses!BA113</f>
        <v>854.0133096</v>
      </c>
      <c r="BI88" s="116">
        <f>Expenses!BB113</f>
        <v>862.5534427</v>
      </c>
      <c r="BJ88" s="116">
        <f>Expenses!BC113</f>
        <v>871.1789771</v>
      </c>
      <c r="BK88" s="116">
        <f>Expenses!BD113</f>
        <v>879.8907669</v>
      </c>
      <c r="BL88" s="116">
        <f>Expenses!BE113</f>
        <v>888.6896745</v>
      </c>
      <c r="BM88" s="116">
        <f>Expenses!BF113</f>
        <v>897.5765713</v>
      </c>
      <c r="BN88" s="116">
        <f>Expenses!BG113</f>
        <v>906.552337</v>
      </c>
      <c r="BO88" s="116">
        <f>Expenses!BH113</f>
        <v>915.6178604</v>
      </c>
      <c r="BP88" s="116">
        <f>Expenses!BI113</f>
        <v>924.774039</v>
      </c>
      <c r="BQ88" s="116">
        <f>Expenses!BJ113</f>
        <v>934.0217793</v>
      </c>
      <c r="BR88" s="116">
        <f>Expenses!BK113</f>
        <v>943.3619971</v>
      </c>
      <c r="BS88" s="116">
        <f>Expenses!BL113</f>
        <v>952.7956171</v>
      </c>
      <c r="BT88" s="116">
        <f>Expenses!BM113</f>
        <v>962.3235733</v>
      </c>
      <c r="BU88" s="116">
        <f>Expenses!BN113</f>
        <v>971.946809</v>
      </c>
      <c r="BV88" s="116">
        <f>Expenses!BO113</f>
        <v>981.6662771</v>
      </c>
      <c r="BW88" s="116">
        <f>Expenses!BP113</f>
        <v>991.4829399</v>
      </c>
      <c r="BX88" s="116">
        <f>Expenses!BQ113</f>
        <v>1001.397769</v>
      </c>
      <c r="BY88" s="116">
        <f>Expenses!BR113</f>
        <v>1011.411747</v>
      </c>
      <c r="BZ88" s="116">
        <f>Expenses!BS113</f>
        <v>1021.525864</v>
      </c>
      <c r="CA88" s="116">
        <f>Expenses!BT113</f>
        <v>1031.741123</v>
      </c>
      <c r="CB88" s="116">
        <f>Expenses!BU113</f>
        <v>1042.058534</v>
      </c>
      <c r="CC88" s="116">
        <f>Expenses!BV113</f>
        <v>1052.47912</v>
      </c>
      <c r="CD88" s="116">
        <f>Expenses!BW113</f>
        <v>1063.003911</v>
      </c>
      <c r="CE88" s="116">
        <f>Expenses!BX113</f>
        <v>1073.63395</v>
      </c>
      <c r="CF88" s="116">
        <f>Expenses!BY113</f>
        <v>1084.370289</v>
      </c>
      <c r="CG88" s="116">
        <f>Expenses!BZ113</f>
        <v>1095.213992</v>
      </c>
      <c r="CH88" s="116">
        <f>Expenses!CA113</f>
        <v>1106.166132</v>
      </c>
      <c r="CI88" s="116">
        <f>Expenses!CB113</f>
        <v>1117.227794</v>
      </c>
      <c r="CL88" s="117"/>
      <c r="CM88" s="117"/>
      <c r="CN88" s="117"/>
      <c r="CO88" s="117"/>
      <c r="CP88" s="117"/>
      <c r="CQ88" s="117"/>
    </row>
    <row r="89" ht="15.75" customHeight="1" outlineLevel="1">
      <c r="A89" s="1" t="s">
        <v>87</v>
      </c>
      <c r="B89" s="91" t="s">
        <v>67</v>
      </c>
      <c r="C89" s="146" t="s">
        <v>220</v>
      </c>
      <c r="D89" s="247">
        <f t="shared" ref="D89:Z89" si="94">RANDBETWEEN(0,5000)</f>
        <v>1296</v>
      </c>
      <c r="E89" s="247">
        <f t="shared" si="94"/>
        <v>918</v>
      </c>
      <c r="F89" s="247">
        <f t="shared" si="94"/>
        <v>3770</v>
      </c>
      <c r="G89" s="247">
        <f t="shared" si="94"/>
        <v>4551</v>
      </c>
      <c r="H89" s="247">
        <f t="shared" si="94"/>
        <v>1943</v>
      </c>
      <c r="I89" s="247">
        <f t="shared" si="94"/>
        <v>4216</v>
      </c>
      <c r="J89" s="247">
        <f t="shared" si="94"/>
        <v>3678</v>
      </c>
      <c r="K89" s="247">
        <f t="shared" si="94"/>
        <v>2273</v>
      </c>
      <c r="L89" s="247">
        <f t="shared" si="94"/>
        <v>1287</v>
      </c>
      <c r="M89" s="247">
        <f t="shared" si="94"/>
        <v>4501</v>
      </c>
      <c r="N89" s="247">
        <f t="shared" si="94"/>
        <v>2234</v>
      </c>
      <c r="O89" s="247">
        <f t="shared" si="94"/>
        <v>713</v>
      </c>
      <c r="P89" s="247">
        <f t="shared" si="94"/>
        <v>2951</v>
      </c>
      <c r="Q89" s="247">
        <f t="shared" si="94"/>
        <v>536</v>
      </c>
      <c r="R89" s="247">
        <f t="shared" si="94"/>
        <v>2587</v>
      </c>
      <c r="S89" s="247">
        <f t="shared" si="94"/>
        <v>776</v>
      </c>
      <c r="T89" s="247">
        <f t="shared" si="94"/>
        <v>3199</v>
      </c>
      <c r="U89" s="247">
        <f t="shared" si="94"/>
        <v>1772</v>
      </c>
      <c r="V89" s="247">
        <f t="shared" si="94"/>
        <v>3899</v>
      </c>
      <c r="W89" s="247">
        <f t="shared" si="94"/>
        <v>1449</v>
      </c>
      <c r="X89" s="247">
        <f t="shared" si="94"/>
        <v>3698</v>
      </c>
      <c r="Y89" s="247">
        <f t="shared" si="94"/>
        <v>2853</v>
      </c>
      <c r="Z89" s="247">
        <f t="shared" si="94"/>
        <v>4599</v>
      </c>
      <c r="AA89" s="116">
        <f>Expenses!T122</f>
        <v>313.7007</v>
      </c>
      <c r="AB89" s="116">
        <f>Expenses!U122</f>
        <v>345.07077</v>
      </c>
      <c r="AC89" s="116">
        <f>Expenses!V122</f>
        <v>348.5214777</v>
      </c>
      <c r="AD89" s="116">
        <f>Expenses!W122</f>
        <v>352.0066925</v>
      </c>
      <c r="AE89" s="116">
        <f>Expenses!X122</f>
        <v>355.5267594</v>
      </c>
      <c r="AF89" s="116">
        <f>Expenses!Y122</f>
        <v>359.082027</v>
      </c>
      <c r="AG89" s="116">
        <f>Expenses!Z122</f>
        <v>362.6728473</v>
      </c>
      <c r="AH89" s="116">
        <f>Expenses!AA122</f>
        <v>366.2995757</v>
      </c>
      <c r="AI89" s="116">
        <f>Expenses!AB122</f>
        <v>369.9625715</v>
      </c>
      <c r="AJ89" s="116">
        <f>Expenses!AC122</f>
        <v>373.6621972</v>
      </c>
      <c r="AK89" s="116">
        <f>Expenses!AD122</f>
        <v>377.3988192</v>
      </c>
      <c r="AL89" s="116">
        <f>Expenses!AE122</f>
        <v>381.1728074</v>
      </c>
      <c r="AM89" s="116">
        <f>Expenses!AF122</f>
        <v>384.9845354</v>
      </c>
      <c r="AN89" s="116">
        <f>Expenses!AG122</f>
        <v>388.8343808</v>
      </c>
      <c r="AO89" s="116">
        <f>Expenses!AH122</f>
        <v>392.7227246</v>
      </c>
      <c r="AP89" s="116">
        <f>Expenses!AI122</f>
        <v>396.6499519</v>
      </c>
      <c r="AQ89" s="116">
        <f>Expenses!AJ122</f>
        <v>400.6164514</v>
      </c>
      <c r="AR89" s="116">
        <f>Expenses!AK122</f>
        <v>404.6226159</v>
      </c>
      <c r="AS89" s="116">
        <f>Expenses!AL122</f>
        <v>408.668842</v>
      </c>
      <c r="AT89" s="116">
        <f>Expenses!AM122</f>
        <v>412.7555305</v>
      </c>
      <c r="AU89" s="116">
        <f>Expenses!AN122</f>
        <v>416.8830858</v>
      </c>
      <c r="AV89" s="116">
        <f>Expenses!AO122</f>
        <v>421.0519166</v>
      </c>
      <c r="AW89" s="116">
        <f>Expenses!AP122</f>
        <v>425.2624358</v>
      </c>
      <c r="AX89" s="116">
        <f>Expenses!AQ122</f>
        <v>429.5150602</v>
      </c>
      <c r="AY89" s="116">
        <f>Expenses!AR122</f>
        <v>433.8102108</v>
      </c>
      <c r="AZ89" s="116">
        <f>Expenses!AS122</f>
        <v>438.1483129</v>
      </c>
      <c r="BA89" s="116">
        <f>Expenses!AT122</f>
        <v>442.529796</v>
      </c>
      <c r="BB89" s="116">
        <f>Expenses!AU122</f>
        <v>446.955094</v>
      </c>
      <c r="BC89" s="116">
        <f>Expenses!AV122</f>
        <v>451.4246449</v>
      </c>
      <c r="BD89" s="116">
        <f>Expenses!AW122</f>
        <v>455.9388913</v>
      </c>
      <c r="BE89" s="116">
        <f>Expenses!AX122</f>
        <v>460.4982803</v>
      </c>
      <c r="BF89" s="116">
        <f>Expenses!AY122</f>
        <v>465.1032631</v>
      </c>
      <c r="BG89" s="116">
        <f>Expenses!AZ122</f>
        <v>469.7542957</v>
      </c>
      <c r="BH89" s="116">
        <f>Expenses!BA122</f>
        <v>474.4518386</v>
      </c>
      <c r="BI89" s="116">
        <f>Expenses!BB122</f>
        <v>479.196357</v>
      </c>
      <c r="BJ89" s="116">
        <f>Expenses!BC122</f>
        <v>483.9883206</v>
      </c>
      <c r="BK89" s="116">
        <f>Expenses!BD122</f>
        <v>488.8282038</v>
      </c>
      <c r="BL89" s="116">
        <f>Expenses!BE122</f>
        <v>493.7164858</v>
      </c>
      <c r="BM89" s="116">
        <f>Expenses!BF122</f>
        <v>498.6536507</v>
      </c>
      <c r="BN89" s="116">
        <f>Expenses!BG122</f>
        <v>503.6401872</v>
      </c>
      <c r="BO89" s="116">
        <f>Expenses!BH122</f>
        <v>508.6765891</v>
      </c>
      <c r="BP89" s="116">
        <f>Expenses!BI122</f>
        <v>513.763355</v>
      </c>
      <c r="BQ89" s="116">
        <f>Expenses!BJ122</f>
        <v>518.9009885</v>
      </c>
      <c r="BR89" s="116">
        <f>Expenses!BK122</f>
        <v>524.0899984</v>
      </c>
      <c r="BS89" s="116">
        <f>Expenses!BL122</f>
        <v>529.3308984</v>
      </c>
      <c r="BT89" s="116">
        <f>Expenses!BM122</f>
        <v>534.6242074</v>
      </c>
      <c r="BU89" s="116">
        <f>Expenses!BN122</f>
        <v>539.9704495</v>
      </c>
      <c r="BV89" s="116">
        <f>Expenses!BO122</f>
        <v>545.3701539</v>
      </c>
      <c r="BW89" s="116">
        <f>Expenses!BP122</f>
        <v>550.8238555</v>
      </c>
      <c r="BX89" s="116">
        <f>Expenses!BQ122</f>
        <v>556.332094</v>
      </c>
      <c r="BY89" s="116">
        <f>Expenses!BR122</f>
        <v>561.895415</v>
      </c>
      <c r="BZ89" s="116">
        <f>Expenses!BS122</f>
        <v>567.5143691</v>
      </c>
      <c r="CA89" s="116">
        <f>Expenses!BT122</f>
        <v>573.1895128</v>
      </c>
      <c r="CB89" s="116">
        <f>Expenses!BU122</f>
        <v>578.9214079</v>
      </c>
      <c r="CC89" s="116">
        <f>Expenses!BV122</f>
        <v>584.710622</v>
      </c>
      <c r="CD89" s="116">
        <f>Expenses!BW122</f>
        <v>590.5577282</v>
      </c>
      <c r="CE89" s="116">
        <f>Expenses!BX122</f>
        <v>596.4633055</v>
      </c>
      <c r="CF89" s="116">
        <f>Expenses!BY122</f>
        <v>602.4279386</v>
      </c>
      <c r="CG89" s="116">
        <f>Expenses!BZ122</f>
        <v>608.452218</v>
      </c>
      <c r="CH89" s="116">
        <f>Expenses!CA122</f>
        <v>614.5367402</v>
      </c>
      <c r="CI89" s="116">
        <f>Expenses!CB122</f>
        <v>620.6821076</v>
      </c>
      <c r="CL89" s="117"/>
      <c r="CM89" s="117"/>
      <c r="CN89" s="117"/>
      <c r="CO89" s="117"/>
      <c r="CP89" s="117"/>
      <c r="CQ89" s="117"/>
    </row>
    <row r="90" ht="15.75" customHeight="1" outlineLevel="1">
      <c r="C90" s="257" t="s">
        <v>221</v>
      </c>
      <c r="D90" s="514">
        <f t="shared" ref="D90:CI90" si="95">SUM(D77:D89)</f>
        <v>31789</v>
      </c>
      <c r="E90" s="514">
        <f t="shared" si="95"/>
        <v>33956</v>
      </c>
      <c r="F90" s="514">
        <f t="shared" si="95"/>
        <v>25299</v>
      </c>
      <c r="G90" s="514">
        <f t="shared" si="95"/>
        <v>32264</v>
      </c>
      <c r="H90" s="514">
        <f t="shared" si="95"/>
        <v>33426</v>
      </c>
      <c r="I90" s="514">
        <f t="shared" si="95"/>
        <v>36068</v>
      </c>
      <c r="J90" s="514">
        <f t="shared" si="95"/>
        <v>31123</v>
      </c>
      <c r="K90" s="514">
        <f t="shared" si="95"/>
        <v>38383</v>
      </c>
      <c r="L90" s="514">
        <f t="shared" si="95"/>
        <v>28220</v>
      </c>
      <c r="M90" s="514">
        <f t="shared" si="95"/>
        <v>23189</v>
      </c>
      <c r="N90" s="514">
        <f t="shared" si="95"/>
        <v>33471</v>
      </c>
      <c r="O90" s="514">
        <f t="shared" si="95"/>
        <v>35643</v>
      </c>
      <c r="P90" s="514">
        <f t="shared" si="95"/>
        <v>28340</v>
      </c>
      <c r="Q90" s="514">
        <f t="shared" si="95"/>
        <v>32026</v>
      </c>
      <c r="R90" s="514">
        <f t="shared" si="95"/>
        <v>28795</v>
      </c>
      <c r="S90" s="514">
        <f t="shared" si="95"/>
        <v>28023</v>
      </c>
      <c r="T90" s="514">
        <f t="shared" si="95"/>
        <v>44014</v>
      </c>
      <c r="U90" s="514">
        <f t="shared" si="95"/>
        <v>33672</v>
      </c>
      <c r="V90" s="514">
        <f t="shared" si="95"/>
        <v>33752</v>
      </c>
      <c r="W90" s="514">
        <f t="shared" si="95"/>
        <v>29100</v>
      </c>
      <c r="X90" s="514">
        <f t="shared" si="95"/>
        <v>32818</v>
      </c>
      <c r="Y90" s="514">
        <f t="shared" si="95"/>
        <v>34217</v>
      </c>
      <c r="Z90" s="514">
        <f t="shared" si="95"/>
        <v>35325</v>
      </c>
      <c r="AA90" s="514">
        <f t="shared" si="95"/>
        <v>56659.80413</v>
      </c>
      <c r="AB90" s="514">
        <f t="shared" si="95"/>
        <v>79172.60737</v>
      </c>
      <c r="AC90" s="514">
        <f t="shared" si="95"/>
        <v>80721.46955</v>
      </c>
      <c r="AD90" s="514">
        <f t="shared" si="95"/>
        <v>81536.83822</v>
      </c>
      <c r="AE90" s="514">
        <f t="shared" si="95"/>
        <v>85267.61711</v>
      </c>
      <c r="AF90" s="514">
        <f t="shared" si="95"/>
        <v>92097.02789</v>
      </c>
      <c r="AG90" s="514">
        <f t="shared" si="95"/>
        <v>91911.57059</v>
      </c>
      <c r="AH90" s="514">
        <f t="shared" si="95"/>
        <v>97982.1047</v>
      </c>
      <c r="AI90" s="514">
        <f t="shared" si="95"/>
        <v>109428.3752</v>
      </c>
      <c r="AJ90" s="514">
        <f t="shared" si="95"/>
        <v>123872.6671</v>
      </c>
      <c r="AK90" s="514">
        <f t="shared" si="95"/>
        <v>134514.5704</v>
      </c>
      <c r="AL90" s="514">
        <f t="shared" si="95"/>
        <v>139846.7506</v>
      </c>
      <c r="AM90" s="514">
        <f t="shared" si="95"/>
        <v>149894.882</v>
      </c>
      <c r="AN90" s="514">
        <f t="shared" si="95"/>
        <v>163077.4758</v>
      </c>
      <c r="AO90" s="514">
        <f t="shared" si="95"/>
        <v>162063.1322</v>
      </c>
      <c r="AP90" s="514">
        <f t="shared" si="95"/>
        <v>160215.0601</v>
      </c>
      <c r="AQ90" s="514">
        <f t="shared" si="95"/>
        <v>162987.7423</v>
      </c>
      <c r="AR90" s="514">
        <f t="shared" si="95"/>
        <v>168694.5518</v>
      </c>
      <c r="AS90" s="514">
        <f t="shared" si="95"/>
        <v>173433.0526</v>
      </c>
      <c r="AT90" s="514">
        <f t="shared" si="95"/>
        <v>177335.4761</v>
      </c>
      <c r="AU90" s="514">
        <f t="shared" si="95"/>
        <v>180187.922</v>
      </c>
      <c r="AV90" s="514">
        <f t="shared" si="95"/>
        <v>186712.4995</v>
      </c>
      <c r="AW90" s="514">
        <f t="shared" si="95"/>
        <v>185000.3723</v>
      </c>
      <c r="AX90" s="514">
        <f t="shared" si="95"/>
        <v>183244.821</v>
      </c>
      <c r="AY90" s="514">
        <f t="shared" si="95"/>
        <v>186438.5327</v>
      </c>
      <c r="AZ90" s="514">
        <f t="shared" si="95"/>
        <v>203595.5995</v>
      </c>
      <c r="BA90" s="514">
        <f t="shared" si="95"/>
        <v>202002.4701</v>
      </c>
      <c r="BB90" s="514">
        <f t="shared" si="95"/>
        <v>200316.6283</v>
      </c>
      <c r="BC90" s="514">
        <f t="shared" si="95"/>
        <v>203807.5027</v>
      </c>
      <c r="BD90" s="514">
        <f t="shared" si="95"/>
        <v>212224.6063</v>
      </c>
      <c r="BE90" s="514">
        <f t="shared" si="95"/>
        <v>210580.0196</v>
      </c>
      <c r="BF90" s="514">
        <f t="shared" si="95"/>
        <v>213506.3038</v>
      </c>
      <c r="BG90" s="514">
        <f t="shared" si="95"/>
        <v>224317.2738</v>
      </c>
      <c r="BH90" s="514">
        <f t="shared" si="95"/>
        <v>233353.1487</v>
      </c>
      <c r="BI90" s="514">
        <f t="shared" si="95"/>
        <v>231579.933</v>
      </c>
      <c r="BJ90" s="514">
        <f t="shared" si="95"/>
        <v>229767.1226</v>
      </c>
      <c r="BK90" s="514">
        <f t="shared" si="95"/>
        <v>240668.3774</v>
      </c>
      <c r="BL90" s="514">
        <f t="shared" si="95"/>
        <v>265230.0132</v>
      </c>
      <c r="BM90" s="514">
        <f t="shared" si="95"/>
        <v>263789.1112</v>
      </c>
      <c r="BN90" s="514">
        <f t="shared" si="95"/>
        <v>262508.0735</v>
      </c>
      <c r="BO90" s="514">
        <f t="shared" si="95"/>
        <v>266539.0628</v>
      </c>
      <c r="BP90" s="514">
        <f t="shared" si="95"/>
        <v>276237.3083</v>
      </c>
      <c r="BQ90" s="514">
        <f t="shared" si="95"/>
        <v>276799.8053</v>
      </c>
      <c r="BR90" s="514">
        <f t="shared" si="95"/>
        <v>275164.0775</v>
      </c>
      <c r="BS90" s="514">
        <f t="shared" si="95"/>
        <v>283634.0195</v>
      </c>
      <c r="BT90" s="514">
        <f t="shared" si="95"/>
        <v>293706.509</v>
      </c>
      <c r="BU90" s="514">
        <f t="shared" si="95"/>
        <v>291954.0364</v>
      </c>
      <c r="BV90" s="514">
        <f t="shared" si="95"/>
        <v>290186.8369</v>
      </c>
      <c r="BW90" s="514">
        <f t="shared" si="95"/>
        <v>294253.9987</v>
      </c>
      <c r="BX90" s="514">
        <f t="shared" si="95"/>
        <v>315791.5784</v>
      </c>
      <c r="BY90" s="514">
        <f t="shared" si="95"/>
        <v>314735.4095</v>
      </c>
      <c r="BZ90" s="514">
        <f t="shared" si="95"/>
        <v>312829.334</v>
      </c>
      <c r="CA90" s="514">
        <f t="shared" si="95"/>
        <v>316734.3709</v>
      </c>
      <c r="CB90" s="514">
        <f t="shared" si="95"/>
        <v>325675.7227</v>
      </c>
      <c r="CC90" s="514">
        <f t="shared" si="95"/>
        <v>325862.8984</v>
      </c>
      <c r="CD90" s="514">
        <f t="shared" si="95"/>
        <v>323911.2034</v>
      </c>
      <c r="CE90" s="514">
        <f t="shared" si="95"/>
        <v>327833.7892</v>
      </c>
      <c r="CF90" s="514">
        <f t="shared" si="95"/>
        <v>337151.1355</v>
      </c>
      <c r="CG90" s="514">
        <f t="shared" si="95"/>
        <v>335162.0685</v>
      </c>
      <c r="CH90" s="514">
        <f t="shared" si="95"/>
        <v>333160.5043</v>
      </c>
      <c r="CI90" s="514">
        <f t="shared" si="95"/>
        <v>337109.4221</v>
      </c>
      <c r="CL90" s="514">
        <f>SUM(D90:G90)</f>
        <v>123308</v>
      </c>
      <c r="CM90" s="514">
        <f>SUM(H90:K90)</f>
        <v>139000</v>
      </c>
      <c r="CN90" s="514">
        <f>SUM(L90:O90)</f>
        <v>120523</v>
      </c>
      <c r="CO90" s="514">
        <f>SUM(P90:S90)</f>
        <v>117184</v>
      </c>
      <c r="CP90" s="514">
        <f>SUM(T90:W90)</f>
        <v>140538</v>
      </c>
      <c r="CQ90" s="514">
        <f>SUM(X90:AA90)</f>
        <v>159019.8041</v>
      </c>
    </row>
    <row r="91" ht="15.75" customHeight="1" outlineLevel="1">
      <c r="C91" s="257" t="s">
        <v>800</v>
      </c>
      <c r="D91" s="122">
        <f t="shared" ref="D91:CI91" si="96">D90/D$284</f>
        <v>1.801280598</v>
      </c>
      <c r="E91" s="122">
        <f t="shared" si="96"/>
        <v>1.957569468</v>
      </c>
      <c r="F91" s="122">
        <f t="shared" si="96"/>
        <v>1.67299299</v>
      </c>
      <c r="G91" s="122">
        <f t="shared" si="96"/>
        <v>1.987678659</v>
      </c>
      <c r="H91" s="122">
        <f t="shared" si="96"/>
        <v>1.84847647</v>
      </c>
      <c r="I91" s="122">
        <f t="shared" si="96"/>
        <v>2.192583587</v>
      </c>
      <c r="J91" s="122">
        <f t="shared" si="96"/>
        <v>1.812955088</v>
      </c>
      <c r="K91" s="122">
        <f t="shared" si="96"/>
        <v>2.059947405</v>
      </c>
      <c r="L91" s="122">
        <f t="shared" si="96"/>
        <v>1.51459854</v>
      </c>
      <c r="M91" s="122">
        <f t="shared" si="96"/>
        <v>1.342966352</v>
      </c>
      <c r="N91" s="122">
        <f t="shared" si="96"/>
        <v>1.718841473</v>
      </c>
      <c r="O91" s="122">
        <f t="shared" si="96"/>
        <v>2.082559159</v>
      </c>
      <c r="P91" s="122">
        <f t="shared" si="96"/>
        <v>1.248623166</v>
      </c>
      <c r="Q91" s="122">
        <f t="shared" si="96"/>
        <v>1.372680125</v>
      </c>
      <c r="R91" s="122">
        <f t="shared" si="96"/>
        <v>1.124189896</v>
      </c>
      <c r="S91" s="122">
        <f t="shared" si="96"/>
        <v>1.165585226</v>
      </c>
      <c r="T91" s="122">
        <f t="shared" si="96"/>
        <v>1.904543488</v>
      </c>
      <c r="U91" s="122">
        <f t="shared" si="96"/>
        <v>1.616281861</v>
      </c>
      <c r="V91" s="122">
        <f t="shared" si="96"/>
        <v>1.362286083</v>
      </c>
      <c r="W91" s="122">
        <f t="shared" si="96"/>
        <v>1.394479586</v>
      </c>
      <c r="X91" s="122">
        <f t="shared" si="96"/>
        <v>1.295617844</v>
      </c>
      <c r="Y91" s="122">
        <f t="shared" si="96"/>
        <v>1.394506256</v>
      </c>
      <c r="Z91" s="122">
        <f t="shared" si="96"/>
        <v>1.652322372</v>
      </c>
      <c r="AA91" s="130">
        <f t="shared" si="96"/>
        <v>0.3042318878</v>
      </c>
      <c r="AB91" s="130">
        <f t="shared" si="96"/>
        <v>0.4022331698</v>
      </c>
      <c r="AC91" s="130">
        <f t="shared" si="96"/>
        <v>0.3816984629</v>
      </c>
      <c r="AD91" s="130">
        <f t="shared" si="96"/>
        <v>0.3607425772</v>
      </c>
      <c r="AE91" s="130">
        <f t="shared" si="96"/>
        <v>0.3645263393</v>
      </c>
      <c r="AF91" s="130">
        <f t="shared" si="96"/>
        <v>0.3773218408</v>
      </c>
      <c r="AG91" s="130">
        <f t="shared" si="96"/>
        <v>0.3747008358</v>
      </c>
      <c r="AH91" s="130">
        <f t="shared" si="96"/>
        <v>0.3655700041</v>
      </c>
      <c r="AI91" s="130">
        <f t="shared" si="96"/>
        <v>0.3968386602</v>
      </c>
      <c r="AJ91" s="130">
        <f t="shared" si="96"/>
        <v>0.422300747</v>
      </c>
      <c r="AK91" s="130">
        <f t="shared" si="96"/>
        <v>0.4342163602</v>
      </c>
      <c r="AL91" s="130">
        <f t="shared" si="96"/>
        <v>0.4405791709</v>
      </c>
      <c r="AM91" s="130">
        <f t="shared" si="96"/>
        <v>0.4424425811</v>
      </c>
      <c r="AN91" s="130">
        <f t="shared" si="96"/>
        <v>0.3953722705</v>
      </c>
      <c r="AO91" s="130">
        <f t="shared" si="96"/>
        <v>0.3683614589</v>
      </c>
      <c r="AP91" s="130">
        <f t="shared" si="96"/>
        <v>0.3527375545</v>
      </c>
      <c r="AQ91" s="130">
        <f t="shared" si="96"/>
        <v>0.3579774075</v>
      </c>
      <c r="AR91" s="130">
        <f t="shared" si="96"/>
        <v>0.3507714425</v>
      </c>
      <c r="AS91" s="130">
        <f t="shared" si="96"/>
        <v>0.3550085238</v>
      </c>
      <c r="AT91" s="130">
        <f t="shared" si="96"/>
        <v>0.3386910921</v>
      </c>
      <c r="AU91" s="130">
        <f t="shared" si="96"/>
        <v>0.3301136594</v>
      </c>
      <c r="AV91" s="130">
        <f t="shared" si="96"/>
        <v>0.324029837</v>
      </c>
      <c r="AW91" s="130">
        <f t="shared" si="96"/>
        <v>0.3129019539</v>
      </c>
      <c r="AX91" s="130">
        <f t="shared" si="96"/>
        <v>0.2988401431</v>
      </c>
      <c r="AY91" s="130">
        <f t="shared" si="96"/>
        <v>0.3034924869</v>
      </c>
      <c r="AZ91" s="130">
        <f t="shared" si="96"/>
        <v>0.3094738543</v>
      </c>
      <c r="BA91" s="130">
        <f t="shared" si="96"/>
        <v>0.2872641517</v>
      </c>
      <c r="BB91" s="130">
        <f t="shared" si="96"/>
        <v>0.2756213647</v>
      </c>
      <c r="BC91" s="130">
        <f t="shared" si="96"/>
        <v>0.2633008446</v>
      </c>
      <c r="BD91" s="130">
        <f t="shared" si="96"/>
        <v>0.2647855543</v>
      </c>
      <c r="BE91" s="130">
        <f t="shared" si="96"/>
        <v>0.2575111925</v>
      </c>
      <c r="BF91" s="130">
        <f t="shared" si="96"/>
        <v>0.2535484987</v>
      </c>
      <c r="BG91" s="130">
        <f t="shared" si="96"/>
        <v>0.2635773015</v>
      </c>
      <c r="BH91" s="130">
        <f t="shared" si="96"/>
        <v>0.2604215205</v>
      </c>
      <c r="BI91" s="130">
        <f t="shared" si="96"/>
        <v>0.251631293</v>
      </c>
      <c r="BJ91" s="130">
        <f t="shared" si="96"/>
        <v>0.2492042719</v>
      </c>
      <c r="BK91" s="130">
        <f t="shared" si="96"/>
        <v>0.2504443022</v>
      </c>
      <c r="BL91" s="130">
        <f t="shared" si="96"/>
        <v>0.2486272859</v>
      </c>
      <c r="BM91" s="130">
        <f t="shared" si="96"/>
        <v>0.2022733964</v>
      </c>
      <c r="BN91" s="130">
        <f t="shared" si="96"/>
        <v>0.1864288944</v>
      </c>
      <c r="BO91" s="130">
        <f t="shared" si="96"/>
        <v>0.1866417897</v>
      </c>
      <c r="BP91" s="130">
        <f t="shared" si="96"/>
        <v>0.1853014941</v>
      </c>
      <c r="BQ91" s="130">
        <f t="shared" si="96"/>
        <v>0.1844500162</v>
      </c>
      <c r="BR91" s="130">
        <f t="shared" si="96"/>
        <v>0.1792199902</v>
      </c>
      <c r="BS91" s="130">
        <f t="shared" si="96"/>
        <v>0.1816001558</v>
      </c>
      <c r="BT91" s="130">
        <f t="shared" si="96"/>
        <v>0.1801726767</v>
      </c>
      <c r="BU91" s="130">
        <f t="shared" si="96"/>
        <v>0.1779812752</v>
      </c>
      <c r="BV91" s="130">
        <f t="shared" si="96"/>
        <v>0.1715759941</v>
      </c>
      <c r="BW91" s="130">
        <f t="shared" si="96"/>
        <v>0.1737670224</v>
      </c>
      <c r="BX91" s="130">
        <f t="shared" si="96"/>
        <v>0.1761823378</v>
      </c>
      <c r="BY91" s="130">
        <f t="shared" si="96"/>
        <v>0.1708290237</v>
      </c>
      <c r="BZ91" s="130">
        <f t="shared" si="96"/>
        <v>0.1681699734</v>
      </c>
      <c r="CA91" s="130">
        <f t="shared" si="96"/>
        <v>0.1678771554</v>
      </c>
      <c r="CB91" s="130">
        <f t="shared" si="96"/>
        <v>0.1670928401</v>
      </c>
      <c r="CC91" s="130">
        <f t="shared" si="96"/>
        <v>0.1642167475</v>
      </c>
      <c r="CD91" s="130">
        <f t="shared" si="96"/>
        <v>0.1617314083</v>
      </c>
      <c r="CE91" s="130">
        <f t="shared" si="96"/>
        <v>0.1635631371</v>
      </c>
      <c r="CF91" s="130">
        <f t="shared" si="96"/>
        <v>0.1613668542</v>
      </c>
      <c r="CG91" s="130">
        <f t="shared" si="96"/>
        <v>0.1602891893</v>
      </c>
      <c r="CH91" s="130">
        <f t="shared" si="96"/>
        <v>0.1566690212</v>
      </c>
      <c r="CI91" s="130">
        <f t="shared" si="96"/>
        <v>0.1565316309</v>
      </c>
      <c r="CL91" s="130">
        <f t="shared" ref="CL91:CQ91" si="97">CL90/CL$284</f>
        <v>1.858503647</v>
      </c>
      <c r="CM91" s="130">
        <f t="shared" si="97"/>
        <v>1.976312684</v>
      </c>
      <c r="CN91" s="130">
        <f t="shared" si="97"/>
        <v>1.662684343</v>
      </c>
      <c r="CO91" s="130">
        <f t="shared" si="97"/>
        <v>1.224697964</v>
      </c>
      <c r="CP91" s="130">
        <f t="shared" si="97"/>
        <v>1.568732071</v>
      </c>
      <c r="CQ91" s="130">
        <f t="shared" si="97"/>
        <v>0.6175889163</v>
      </c>
    </row>
    <row r="92" ht="15.75" customHeight="1" outlineLevel="1">
      <c r="C92" s="25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7"/>
      <c r="BO92" s="117"/>
      <c r="BP92" s="117"/>
      <c r="BQ92" s="117"/>
      <c r="BR92" s="117"/>
      <c r="BS92" s="117"/>
      <c r="BT92" s="117"/>
      <c r="BU92" s="117"/>
      <c r="BV92" s="117"/>
      <c r="BW92" s="117"/>
      <c r="BX92" s="117"/>
      <c r="BY92" s="117"/>
      <c r="BZ92" s="117"/>
      <c r="CA92" s="117"/>
      <c r="CB92" s="117"/>
      <c r="CC92" s="117"/>
      <c r="CD92" s="117"/>
      <c r="CE92" s="117"/>
      <c r="CF92" s="117"/>
      <c r="CG92" s="117"/>
      <c r="CH92" s="117"/>
      <c r="CI92" s="117"/>
      <c r="CL92" s="117"/>
      <c r="CM92" s="117"/>
      <c r="CN92" s="117"/>
      <c r="CO92" s="117"/>
      <c r="CP92" s="117"/>
      <c r="CQ92" s="117"/>
    </row>
    <row r="93" ht="15.75" customHeight="1" outlineLevel="1">
      <c r="C93" s="257" t="s">
        <v>806</v>
      </c>
      <c r="D93" s="117">
        <f t="shared" ref="D93:CI93" si="98">D72-D90</f>
        <v>171482</v>
      </c>
      <c r="E93" s="117">
        <f t="shared" si="98"/>
        <v>105833</v>
      </c>
      <c r="F93" s="117">
        <f t="shared" si="98"/>
        <v>147817</v>
      </c>
      <c r="G93" s="117">
        <f t="shared" si="98"/>
        <v>202411</v>
      </c>
      <c r="H93" s="117">
        <f t="shared" si="98"/>
        <v>234724</v>
      </c>
      <c r="I93" s="117">
        <f t="shared" si="98"/>
        <v>227119</v>
      </c>
      <c r="J93" s="117">
        <f t="shared" si="98"/>
        <v>229989</v>
      </c>
      <c r="K93" s="117">
        <f t="shared" si="98"/>
        <v>149864</v>
      </c>
      <c r="L93" s="117">
        <f t="shared" si="98"/>
        <v>153352</v>
      </c>
      <c r="M93" s="117">
        <f t="shared" si="98"/>
        <v>126944</v>
      </c>
      <c r="N93" s="117">
        <f t="shared" si="98"/>
        <v>151211</v>
      </c>
      <c r="O93" s="117">
        <f t="shared" si="98"/>
        <v>112635</v>
      </c>
      <c r="P93" s="117">
        <f t="shared" si="98"/>
        <v>165498</v>
      </c>
      <c r="Q93" s="117">
        <f t="shared" si="98"/>
        <v>161552</v>
      </c>
      <c r="R93" s="117">
        <f t="shared" si="98"/>
        <v>174446</v>
      </c>
      <c r="S93" s="117">
        <f t="shared" si="98"/>
        <v>222393</v>
      </c>
      <c r="T93" s="117">
        <f t="shared" si="98"/>
        <v>193805</v>
      </c>
      <c r="U93" s="117">
        <f t="shared" si="98"/>
        <v>124601</v>
      </c>
      <c r="V93" s="117">
        <f t="shared" si="98"/>
        <v>157881</v>
      </c>
      <c r="W93" s="117">
        <f t="shared" si="98"/>
        <v>230576</v>
      </c>
      <c r="X93" s="117">
        <f t="shared" si="98"/>
        <v>160015</v>
      </c>
      <c r="Y93" s="117">
        <f t="shared" si="98"/>
        <v>224124</v>
      </c>
      <c r="Z93" s="117">
        <f t="shared" si="98"/>
        <v>172087</v>
      </c>
      <c r="AA93" s="117">
        <f t="shared" si="98"/>
        <v>219351.1709</v>
      </c>
      <c r="AB93" s="117">
        <f t="shared" si="98"/>
        <v>271514.4201</v>
      </c>
      <c r="AC93" s="117">
        <f t="shared" si="98"/>
        <v>344514.8643</v>
      </c>
      <c r="AD93" s="117">
        <f t="shared" si="98"/>
        <v>412309.3201</v>
      </c>
      <c r="AE93" s="117">
        <f t="shared" si="98"/>
        <v>472297.5836</v>
      </c>
      <c r="AF93" s="117">
        <f t="shared" si="98"/>
        <v>526697.0385</v>
      </c>
      <c r="AG93" s="117">
        <f t="shared" si="98"/>
        <v>587255.2948</v>
      </c>
      <c r="AH93" s="117">
        <f t="shared" si="98"/>
        <v>639963.6159</v>
      </c>
      <c r="AI93" s="117">
        <f t="shared" si="98"/>
        <v>689526.9407</v>
      </c>
      <c r="AJ93" s="117">
        <f t="shared" si="98"/>
        <v>733162.8556</v>
      </c>
      <c r="AK93" s="117">
        <f t="shared" si="98"/>
        <v>774709.1775</v>
      </c>
      <c r="AL93" s="117">
        <f t="shared" si="98"/>
        <v>814950.0564</v>
      </c>
      <c r="AM93" s="117">
        <f t="shared" si="98"/>
        <v>850415.8809</v>
      </c>
      <c r="AN93" s="117">
        <f t="shared" si="98"/>
        <v>882725.6045</v>
      </c>
      <c r="AO93" s="117">
        <f t="shared" si="98"/>
        <v>898774.3499</v>
      </c>
      <c r="AP93" s="117">
        <f t="shared" si="98"/>
        <v>906474.8039</v>
      </c>
      <c r="AQ93" s="117">
        <f t="shared" si="98"/>
        <v>913658.4053</v>
      </c>
      <c r="AR93" s="117">
        <f t="shared" si="98"/>
        <v>920192.5513</v>
      </c>
      <c r="AS93" s="117">
        <f t="shared" si="98"/>
        <v>928861.2286</v>
      </c>
      <c r="AT93" s="117">
        <f t="shared" si="98"/>
        <v>938583.3605</v>
      </c>
      <c r="AU93" s="117">
        <f t="shared" si="98"/>
        <v>949095.5004</v>
      </c>
      <c r="AV93" s="117">
        <f t="shared" si="98"/>
        <v>955697.6066</v>
      </c>
      <c r="AW93" s="117">
        <f t="shared" si="98"/>
        <v>970315.717</v>
      </c>
      <c r="AX93" s="117">
        <f t="shared" si="98"/>
        <v>984771.5956</v>
      </c>
      <c r="AY93" s="117">
        <f t="shared" si="98"/>
        <v>994086.4131</v>
      </c>
      <c r="AZ93" s="117">
        <f t="shared" si="98"/>
        <v>989536.0174</v>
      </c>
      <c r="BA93" s="117">
        <f t="shared" si="98"/>
        <v>1013894.354</v>
      </c>
      <c r="BB93" s="117">
        <f t="shared" si="98"/>
        <v>1037887.335</v>
      </c>
      <c r="BC93" s="117">
        <f t="shared" si="98"/>
        <v>1056159.398</v>
      </c>
      <c r="BD93" s="117">
        <f t="shared" si="98"/>
        <v>1069038.259</v>
      </c>
      <c r="BE93" s="117">
        <f t="shared" si="98"/>
        <v>1091552.395</v>
      </c>
      <c r="BF93" s="117">
        <f t="shared" si="98"/>
        <v>1109096.432</v>
      </c>
      <c r="BG93" s="117">
        <f t="shared" si="98"/>
        <v>1118378.552</v>
      </c>
      <c r="BH93" s="117">
        <f t="shared" si="98"/>
        <v>1129078.223</v>
      </c>
      <c r="BI93" s="117">
        <f t="shared" si="98"/>
        <v>1150247.848</v>
      </c>
      <c r="BJ93" s="117">
        <f t="shared" si="98"/>
        <v>1171135.44</v>
      </c>
      <c r="BK93" s="117">
        <f t="shared" si="98"/>
        <v>1179004.097</v>
      </c>
      <c r="BL93" s="117">
        <f t="shared" si="98"/>
        <v>1175892.838</v>
      </c>
      <c r="BM93" s="117">
        <f t="shared" si="98"/>
        <v>1201390.367</v>
      </c>
      <c r="BN93" s="117">
        <f t="shared" si="98"/>
        <v>1225553.964</v>
      </c>
      <c r="BO93" s="117">
        <f t="shared" si="98"/>
        <v>1242608.652</v>
      </c>
      <c r="BP93" s="117">
        <f t="shared" si="98"/>
        <v>1253666.744</v>
      </c>
      <c r="BQ93" s="117">
        <f t="shared" si="98"/>
        <v>1273577.234</v>
      </c>
      <c r="BR93" s="117">
        <f t="shared" si="98"/>
        <v>1295428.957</v>
      </c>
      <c r="BS93" s="117">
        <f t="shared" si="98"/>
        <v>1306937.174</v>
      </c>
      <c r="BT93" s="117">
        <f t="shared" si="98"/>
        <v>1316621.329</v>
      </c>
      <c r="BU93" s="117">
        <f t="shared" si="98"/>
        <v>1337923.951</v>
      </c>
      <c r="BV93" s="117">
        <f t="shared" si="98"/>
        <v>1359049.085</v>
      </c>
      <c r="BW93" s="117">
        <f t="shared" si="98"/>
        <v>1374161.387</v>
      </c>
      <c r="BX93" s="117">
        <f t="shared" si="98"/>
        <v>1371638.091</v>
      </c>
      <c r="BY93" s="117">
        <f t="shared" si="98"/>
        <v>1386529.66</v>
      </c>
      <c r="BZ93" s="117">
        <f t="shared" si="98"/>
        <v>1399979.694</v>
      </c>
      <c r="CA93" s="117">
        <f t="shared" si="98"/>
        <v>1407655.369</v>
      </c>
      <c r="CB93" s="117">
        <f t="shared" si="98"/>
        <v>1410743.546</v>
      </c>
      <c r="CC93" s="117">
        <f t="shared" si="98"/>
        <v>1422689.369</v>
      </c>
      <c r="CD93" s="117">
        <f t="shared" si="98"/>
        <v>1436762.143</v>
      </c>
      <c r="CE93" s="117">
        <f t="shared" si="98"/>
        <v>1444913.59</v>
      </c>
      <c r="CF93" s="117">
        <f t="shared" si="98"/>
        <v>1447615.982</v>
      </c>
      <c r="CG93" s="117">
        <f t="shared" si="98"/>
        <v>1461572.798</v>
      </c>
      <c r="CH93" s="117">
        <f t="shared" si="98"/>
        <v>1475495.575</v>
      </c>
      <c r="CI93" s="117">
        <f t="shared" si="98"/>
        <v>1483427.705</v>
      </c>
      <c r="CL93" s="117">
        <f>SUM(D93:G93)</f>
        <v>627543</v>
      </c>
      <c r="CM93" s="117">
        <f>SUM(H93:K93)</f>
        <v>841696</v>
      </c>
      <c r="CN93" s="117">
        <f>SUM(L93:O93)</f>
        <v>544142</v>
      </c>
      <c r="CO93" s="117">
        <f>SUM(P93:S93)</f>
        <v>723889</v>
      </c>
      <c r="CP93" s="117">
        <f>SUM(T93:W93)</f>
        <v>706863</v>
      </c>
      <c r="CQ93" s="117">
        <f>SUM(X93:AA93)</f>
        <v>775577.1709</v>
      </c>
    </row>
    <row r="94" ht="15.75" customHeight="1" outlineLevel="1">
      <c r="A94" s="136"/>
      <c r="B94" s="136"/>
      <c r="C94" s="517" t="s">
        <v>101</v>
      </c>
      <c r="D94" s="519">
        <f t="shared" ref="D94:CI94" si="99">D93/D72</f>
        <v>0.8436127141</v>
      </c>
      <c r="E94" s="519">
        <f t="shared" si="99"/>
        <v>0.7570910444</v>
      </c>
      <c r="F94" s="519">
        <f t="shared" si="99"/>
        <v>0.8538609949</v>
      </c>
      <c r="G94" s="519">
        <f t="shared" si="99"/>
        <v>0.8625162459</v>
      </c>
      <c r="H94" s="519">
        <f t="shared" si="99"/>
        <v>0.8753458885</v>
      </c>
      <c r="I94" s="519">
        <f t="shared" si="99"/>
        <v>0.862956757</v>
      </c>
      <c r="J94" s="519">
        <f t="shared" si="99"/>
        <v>0.8808059377</v>
      </c>
      <c r="K94" s="519">
        <f t="shared" si="99"/>
        <v>0.7961029923</v>
      </c>
      <c r="L94" s="519">
        <f t="shared" si="99"/>
        <v>0.8445795607</v>
      </c>
      <c r="M94" s="519">
        <f t="shared" si="99"/>
        <v>0.845543618</v>
      </c>
      <c r="N94" s="519">
        <f t="shared" si="99"/>
        <v>0.8187641459</v>
      </c>
      <c r="O94" s="519">
        <f t="shared" si="99"/>
        <v>0.7596204427</v>
      </c>
      <c r="P94" s="519">
        <f t="shared" si="99"/>
        <v>0.8537954374</v>
      </c>
      <c r="Q94" s="519">
        <f t="shared" si="99"/>
        <v>0.834557646</v>
      </c>
      <c r="R94" s="519">
        <f t="shared" si="99"/>
        <v>0.8583209097</v>
      </c>
      <c r="S94" s="519">
        <f t="shared" si="99"/>
        <v>0.8880942112</v>
      </c>
      <c r="T94" s="519">
        <f t="shared" si="99"/>
        <v>0.8149264777</v>
      </c>
      <c r="U94" s="519">
        <f t="shared" si="99"/>
        <v>0.7872536693</v>
      </c>
      <c r="V94" s="519">
        <f t="shared" si="99"/>
        <v>0.8238716714</v>
      </c>
      <c r="W94" s="519">
        <f t="shared" si="99"/>
        <v>0.8879372757</v>
      </c>
      <c r="X94" s="519">
        <f t="shared" si="99"/>
        <v>0.8298112875</v>
      </c>
      <c r="Y94" s="128">
        <f t="shared" si="99"/>
        <v>0.8675510275</v>
      </c>
      <c r="Z94" s="519">
        <f t="shared" si="99"/>
        <v>0.8296868069</v>
      </c>
      <c r="AA94" s="519">
        <f t="shared" si="99"/>
        <v>0.7947190175</v>
      </c>
      <c r="AB94" s="519">
        <f t="shared" si="99"/>
        <v>0.7742357111</v>
      </c>
      <c r="AC94" s="519">
        <f t="shared" si="99"/>
        <v>0.8101726896</v>
      </c>
      <c r="AD94" s="519">
        <f t="shared" si="99"/>
        <v>0.8348942543</v>
      </c>
      <c r="AE94" s="519">
        <f t="shared" si="99"/>
        <v>0.8470714869</v>
      </c>
      <c r="AF94" s="519">
        <f t="shared" si="99"/>
        <v>0.8511669182</v>
      </c>
      <c r="AG94" s="519">
        <f t="shared" si="99"/>
        <v>0.8646701197</v>
      </c>
      <c r="AH94" s="519">
        <f t="shared" si="99"/>
        <v>0.8672231548</v>
      </c>
      <c r="AI94" s="519">
        <f t="shared" si="99"/>
        <v>0.8630356754</v>
      </c>
      <c r="AJ94" s="519">
        <f t="shared" si="99"/>
        <v>0.8554637891</v>
      </c>
      <c r="AK94" s="519">
        <f t="shared" si="99"/>
        <v>0.8520555906</v>
      </c>
      <c r="AL94" s="519">
        <f t="shared" si="99"/>
        <v>0.8535324484</v>
      </c>
      <c r="AM94" s="519">
        <f t="shared" si="99"/>
        <v>0.8501516853</v>
      </c>
      <c r="AN94" s="519">
        <f t="shared" si="99"/>
        <v>0.8440648351</v>
      </c>
      <c r="AO94" s="519">
        <f t="shared" si="99"/>
        <v>0.847230952</v>
      </c>
      <c r="AP94" s="519">
        <f t="shared" si="99"/>
        <v>0.8498016476</v>
      </c>
      <c r="AQ94" s="519">
        <f t="shared" si="99"/>
        <v>0.8486153109</v>
      </c>
      <c r="AR94" s="519">
        <f t="shared" si="99"/>
        <v>0.845076178</v>
      </c>
      <c r="AS94" s="519">
        <f t="shared" si="99"/>
        <v>0.8426617506</v>
      </c>
      <c r="AT94" s="519">
        <f t="shared" si="99"/>
        <v>0.8410856863</v>
      </c>
      <c r="AU94" s="519">
        <f t="shared" si="99"/>
        <v>0.8404404789</v>
      </c>
      <c r="AV94" s="519">
        <f t="shared" si="99"/>
        <v>0.8365626332</v>
      </c>
      <c r="AW94" s="519">
        <f t="shared" si="99"/>
        <v>0.8398703402</v>
      </c>
      <c r="AX94" s="519">
        <f t="shared" si="99"/>
        <v>0.8431145158</v>
      </c>
      <c r="AY94" s="519">
        <f t="shared" si="99"/>
        <v>0.842071501</v>
      </c>
      <c r="AZ94" s="519">
        <f t="shared" si="99"/>
        <v>0.8293603182</v>
      </c>
      <c r="BA94" s="519">
        <f t="shared" si="99"/>
        <v>0.8338654514</v>
      </c>
      <c r="BB94" s="519">
        <f t="shared" si="99"/>
        <v>0.8382200071</v>
      </c>
      <c r="BC94" s="519">
        <f t="shared" si="99"/>
        <v>0.8382437645</v>
      </c>
      <c r="BD94" s="519">
        <f t="shared" si="99"/>
        <v>0.8343629461</v>
      </c>
      <c r="BE94" s="519">
        <f t="shared" si="99"/>
        <v>0.8382806408</v>
      </c>
      <c r="BF94" s="519">
        <f t="shared" si="99"/>
        <v>0.8385711007</v>
      </c>
      <c r="BG94" s="519">
        <f t="shared" si="99"/>
        <v>0.8329351522</v>
      </c>
      <c r="BH94" s="519">
        <f t="shared" si="99"/>
        <v>0.8287230069</v>
      </c>
      <c r="BI94" s="519">
        <f t="shared" si="99"/>
        <v>0.8324104233</v>
      </c>
      <c r="BJ94" s="519">
        <f t="shared" si="99"/>
        <v>0.8359863642</v>
      </c>
      <c r="BK94" s="519">
        <f t="shared" si="99"/>
        <v>0.8304761262</v>
      </c>
      <c r="BL94" s="519">
        <f t="shared" si="99"/>
        <v>0.8159560005</v>
      </c>
      <c r="BM94" s="519">
        <f t="shared" si="99"/>
        <v>0.8199612299</v>
      </c>
      <c r="BN94" s="519">
        <f t="shared" si="99"/>
        <v>0.8235906387</v>
      </c>
      <c r="BO94" s="519">
        <f t="shared" si="99"/>
        <v>0.8233843777</v>
      </c>
      <c r="BP94" s="519">
        <f t="shared" si="99"/>
        <v>0.8194414167</v>
      </c>
      <c r="BQ94" s="519">
        <f t="shared" si="99"/>
        <v>0.8214629098</v>
      </c>
      <c r="BR94" s="519">
        <f t="shared" si="99"/>
        <v>0.8248024335</v>
      </c>
      <c r="BS94" s="519">
        <f t="shared" si="99"/>
        <v>0.8216778849</v>
      </c>
      <c r="BT94" s="519">
        <f t="shared" si="99"/>
        <v>0.8176107361</v>
      </c>
      <c r="BU94" s="519">
        <f t="shared" si="99"/>
        <v>0.8208736859</v>
      </c>
      <c r="BV94" s="519">
        <f t="shared" si="99"/>
        <v>0.8240477102</v>
      </c>
      <c r="BW94" s="519">
        <f t="shared" si="99"/>
        <v>0.8236326509</v>
      </c>
      <c r="BX94" s="519">
        <f t="shared" si="99"/>
        <v>0.8128564502</v>
      </c>
      <c r="BY94" s="519">
        <f t="shared" si="99"/>
        <v>0.8149991938</v>
      </c>
      <c r="BZ94" s="519">
        <f t="shared" si="99"/>
        <v>0.8173588947</v>
      </c>
      <c r="CA94" s="519">
        <f t="shared" si="99"/>
        <v>0.816320891</v>
      </c>
      <c r="CB94" s="519">
        <f t="shared" si="99"/>
        <v>0.8124440747</v>
      </c>
      <c r="CC94" s="519">
        <f t="shared" si="99"/>
        <v>0.8136384571</v>
      </c>
      <c r="CD94" s="519">
        <f t="shared" si="99"/>
        <v>0.8160299274</v>
      </c>
      <c r="CE94" s="519">
        <f t="shared" si="99"/>
        <v>0.8150702164</v>
      </c>
      <c r="CF94" s="519">
        <f t="shared" si="99"/>
        <v>0.8110951663</v>
      </c>
      <c r="CG94" s="519">
        <f t="shared" si="99"/>
        <v>0.813460475</v>
      </c>
      <c r="CH94" s="519">
        <f t="shared" si="99"/>
        <v>0.8157966526</v>
      </c>
      <c r="CI94" s="519">
        <f t="shared" si="99"/>
        <v>0.8148296911</v>
      </c>
      <c r="CJ94" s="136"/>
      <c r="CK94" s="136"/>
      <c r="CL94" s="519">
        <f t="shared" ref="CL94:CQ94" si="100">CL93/CL72</f>
        <v>0.8357756732</v>
      </c>
      <c r="CM94" s="519">
        <f t="shared" si="100"/>
        <v>0.8582639268</v>
      </c>
      <c r="CN94" s="519">
        <f t="shared" si="100"/>
        <v>0.8186710599</v>
      </c>
      <c r="CO94" s="519">
        <f t="shared" si="100"/>
        <v>0.8606732115</v>
      </c>
      <c r="CP94" s="519">
        <f t="shared" si="100"/>
        <v>0.8341540782</v>
      </c>
      <c r="CQ94" s="519">
        <f t="shared" si="100"/>
        <v>0.8298520021</v>
      </c>
    </row>
    <row r="95" ht="15.75" customHeight="1" outlineLevel="1">
      <c r="D95" s="247"/>
      <c r="E95" s="247"/>
      <c r="F95" s="247"/>
      <c r="G95" s="247"/>
      <c r="H95" s="247"/>
      <c r="I95" s="247"/>
      <c r="J95" s="247"/>
      <c r="K95" s="125"/>
      <c r="L95" s="125"/>
      <c r="M95" s="125"/>
      <c r="N95" s="125"/>
      <c r="O95" s="125"/>
      <c r="P95" s="125"/>
      <c r="Q95" s="125"/>
      <c r="R95" s="125"/>
      <c r="S95" s="125"/>
      <c r="T95" s="125"/>
      <c r="U95" s="125"/>
      <c r="V95" s="125"/>
      <c r="W95" s="125"/>
      <c r="X95" s="125"/>
      <c r="Y95" s="125"/>
      <c r="Z95" s="125">
        <f>SUM(P93:Y93)/SUM(P72:Y72)</f>
        <v>0.8482194267</v>
      </c>
      <c r="AA95" s="117"/>
      <c r="AB95" s="117"/>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7"/>
      <c r="BO95" s="117"/>
      <c r="BP95" s="117"/>
      <c r="BQ95" s="117"/>
      <c r="BR95" s="117"/>
      <c r="BS95" s="117"/>
      <c r="BT95" s="117"/>
      <c r="BU95" s="117"/>
      <c r="BV95" s="117"/>
      <c r="BW95" s="117"/>
      <c r="BX95" s="117"/>
      <c r="BY95" s="117"/>
      <c r="BZ95" s="117"/>
      <c r="CA95" s="117"/>
      <c r="CB95" s="117"/>
      <c r="CC95" s="117"/>
      <c r="CD95" s="117"/>
      <c r="CE95" s="117"/>
      <c r="CF95" s="117"/>
      <c r="CG95" s="117"/>
      <c r="CH95" s="117"/>
      <c r="CI95" s="117"/>
    </row>
    <row r="96" ht="15.75" customHeight="1" outlineLevel="1">
      <c r="C96" s="257" t="s">
        <v>174</v>
      </c>
      <c r="D96" s="117">
        <f>'Opex Departments'!D187*'Opex Departments'!D$169</f>
        <v>14866.61741</v>
      </c>
      <c r="E96" s="117">
        <f>'Opex Departments'!E187*'Opex Departments'!E$169</f>
        <v>7911.785367</v>
      </c>
      <c r="F96" s="117">
        <f>'Opex Departments'!F187*'Opex Departments'!F$169</f>
        <v>10959.07911</v>
      </c>
      <c r="G96" s="117">
        <f>'Opex Departments'!G187*'Opex Departments'!G$169</f>
        <v>12712.95759</v>
      </c>
      <c r="H96" s="117">
        <f>'Opex Departments'!H187*'Opex Departments'!H$169</f>
        <v>17456.83825</v>
      </c>
      <c r="I96" s="117">
        <f>'Opex Departments'!I187*'Opex Departments'!I$169</f>
        <v>14476.38127</v>
      </c>
      <c r="J96" s="117">
        <f>'Opex Departments'!J187*'Opex Departments'!J$169</f>
        <v>15888.8875</v>
      </c>
      <c r="K96" s="117">
        <f>'Opex Departments'!K187*'Opex Departments'!K$169</f>
        <v>13835.50617</v>
      </c>
      <c r="L96" s="117">
        <f>'Opex Departments'!L187*'Opex Departments'!L$169</f>
        <v>12273.89249</v>
      </c>
      <c r="M96" s="117">
        <f>'Opex Departments'!M187*'Opex Departments'!M$169</f>
        <v>9573.220555</v>
      </c>
      <c r="N96" s="117">
        <f>'Opex Departments'!N187*'Opex Departments'!N$169</f>
        <v>12181.01741</v>
      </c>
      <c r="O96" s="117">
        <f>'Opex Departments'!O187*'Opex Departments'!O$169</f>
        <v>9287.680505</v>
      </c>
      <c r="P96" s="117">
        <f>'Opex Departments'!P187*'Opex Departments'!P$169</f>
        <v>9714.601814</v>
      </c>
      <c r="Q96" s="117">
        <f>'Opex Departments'!Q187*'Opex Departments'!Q$169</f>
        <v>12147.42399</v>
      </c>
      <c r="R96" s="117">
        <f>'Opex Departments'!R187*'Opex Departments'!R$169</f>
        <v>10771.23044</v>
      </c>
      <c r="S96" s="117">
        <f>'Opex Departments'!S187*'Opex Departments'!S$169</f>
        <v>13630.84253</v>
      </c>
      <c r="T96" s="117">
        <f>'Opex Departments'!T187*'Opex Departments'!T$169</f>
        <v>12672.12892</v>
      </c>
      <c r="U96" s="117">
        <f>'Opex Departments'!U187*'Opex Departments'!U$169</f>
        <v>9405.358512</v>
      </c>
      <c r="V96" s="117">
        <f>'Opex Departments'!V187*'Opex Departments'!V$169</f>
        <v>10280.55797</v>
      </c>
      <c r="W96" s="117">
        <f>'Opex Departments'!W187*'Opex Departments'!W$169</f>
        <v>10090.01506</v>
      </c>
      <c r="X96" s="117">
        <f>'Opex Departments'!X187*'Opex Departments'!X$169</f>
        <v>12650.49889</v>
      </c>
      <c r="Y96" s="117">
        <f>'Opex Departments'!Y187*'Opex Departments'!Y$169</f>
        <v>13670.18907</v>
      </c>
      <c r="Z96" s="117">
        <f>'Opex Departments'!Z187*'Opex Departments'!Z$169</f>
        <v>11806.65598</v>
      </c>
      <c r="AA96" s="117">
        <f>'Opex Departments'!AA187*'Opex Departments'!AA$169</f>
        <v>47775.83355</v>
      </c>
      <c r="AB96" s="117">
        <f>'Opex Departments'!AB187*'Opex Departments'!AB$169</f>
        <v>66580.82583</v>
      </c>
      <c r="AC96" s="117">
        <f>'Opex Departments'!AC187*'Opex Departments'!AC$169</f>
        <v>96270.62884</v>
      </c>
      <c r="AD96" s="117">
        <f>'Opex Departments'!AD187*'Opex Departments'!AD$169</f>
        <v>79221.80961</v>
      </c>
      <c r="AE96" s="117">
        <f>'Opex Departments'!AE187*'Opex Departments'!AE$169</f>
        <v>86202.62164</v>
      </c>
      <c r="AF96" s="117">
        <f>'Opex Departments'!AF187*'Opex Departments'!AF$169</f>
        <v>118216.5703</v>
      </c>
      <c r="AG96" s="117">
        <f>'Opex Departments'!AG187*'Opex Departments'!AG$169</f>
        <v>95523.44715</v>
      </c>
      <c r="AH96" s="117">
        <f>'Opex Departments'!AH187*'Opex Departments'!AH$169</f>
        <v>129159.776</v>
      </c>
      <c r="AI96" s="117">
        <f>'Opex Departments'!AI187*'Opex Departments'!AI$169</f>
        <v>110018.3448</v>
      </c>
      <c r="AJ96" s="117">
        <f>'Opex Departments'!AJ187*'Opex Departments'!AJ$169</f>
        <v>146937.5412</v>
      </c>
      <c r="AK96" s="117">
        <f>'Opex Departments'!AK187*'Opex Departments'!AK$169</f>
        <v>124376.8026</v>
      </c>
      <c r="AL96" s="117">
        <f>'Opex Departments'!AL187*'Opex Departments'!AL$169</f>
        <v>130657.1205</v>
      </c>
      <c r="AM96" s="117">
        <f>'Opex Departments'!AM187*'Opex Departments'!AM$169</f>
        <v>135202.5083</v>
      </c>
      <c r="AN96" s="117">
        <f>'Opex Departments'!AN187*'Opex Departments'!AN$169</f>
        <v>205780.0535</v>
      </c>
      <c r="AO96" s="117">
        <f>'Opex Departments'!AO187*'Opex Departments'!AO$169</f>
        <v>143282.0192</v>
      </c>
      <c r="AP96" s="117">
        <f>'Opex Departments'!AP187*'Opex Departments'!AP$169</f>
        <v>142405.0573</v>
      </c>
      <c r="AQ96" s="117">
        <f>'Opex Departments'!AQ187*'Opex Departments'!AQ$169</f>
        <v>142171.4742</v>
      </c>
      <c r="AR96" s="117">
        <f>'Opex Departments'!AR187*'Opex Departments'!AR$169</f>
        <v>178679.0722</v>
      </c>
      <c r="AS96" s="117">
        <f>'Opex Departments'!AS187*'Opex Departments'!AS$169</f>
        <v>145881.1758</v>
      </c>
      <c r="AT96" s="117">
        <f>'Opex Departments'!AT187*'Opex Departments'!AT$169</f>
        <v>174268.0405</v>
      </c>
      <c r="AU96" s="117">
        <f>'Opex Departments'!AU187*'Opex Departments'!AU$169</f>
        <v>147780.5762</v>
      </c>
      <c r="AV96" s="117">
        <f>'Opex Departments'!AV187*'Opex Departments'!AV$169</f>
        <v>185561.7334</v>
      </c>
      <c r="AW96" s="117">
        <f>'Opex Departments'!AW187*'Opex Departments'!AW$169</f>
        <v>152329.1225</v>
      </c>
      <c r="AX96" s="117">
        <f>'Opex Departments'!AX187*'Opex Departments'!AX$169</f>
        <v>152444.3385</v>
      </c>
      <c r="AY96" s="117">
        <f>'Opex Departments'!AY187*'Opex Departments'!AY$169</f>
        <v>152564.0236</v>
      </c>
      <c r="AZ96" s="117">
        <f>'Opex Departments'!AZ187*'Opex Departments'!AZ$169</f>
        <v>222747.9943</v>
      </c>
      <c r="BA96" s="117">
        <f>'Opex Departments'!BA187*'Opex Departments'!BA$169</f>
        <v>161318.8163</v>
      </c>
      <c r="BB96" s="117">
        <f>'Opex Departments'!BB187*'Opex Departments'!BB$169</f>
        <v>163027.3297</v>
      </c>
      <c r="BC96" s="117">
        <f>'Opex Departments'!BC187*'Opex Departments'!BC$169</f>
        <v>164734.1676</v>
      </c>
      <c r="BD96" s="117">
        <f>'Opex Departments'!BD187*'Opex Departments'!BD$169</f>
        <v>210619.9853</v>
      </c>
      <c r="BE96" s="117">
        <f>'Opex Departments'!BE187*'Opex Departments'!BE$169</f>
        <v>177451.2479</v>
      </c>
      <c r="BF96" s="117">
        <f>'Opex Departments'!BF187*'Opex Departments'!BF$169</f>
        <v>213813.1373</v>
      </c>
      <c r="BG96" s="117">
        <f>'Opex Departments'!BG187*'Opex Departments'!BG$169</f>
        <v>187643.5772</v>
      </c>
      <c r="BH96" s="117">
        <f>'Opex Departments'!BH187*'Opex Departments'!BH$169</f>
        <v>231134.1923</v>
      </c>
      <c r="BI96" s="117">
        <f>'Opex Departments'!BI187*'Opex Departments'!BI$169</f>
        <v>201117.6632</v>
      </c>
      <c r="BJ96" s="117">
        <f>'Opex Departments'!BJ187*'Opex Departments'!BJ$169</f>
        <v>202780.7363</v>
      </c>
      <c r="BK96" s="117">
        <f>'Opex Departments'!BK187*'Opex Departments'!BK$169</f>
        <v>204435.3143</v>
      </c>
      <c r="BL96" s="117">
        <f>'Opex Departments'!CJ187*'Opex Departments'!CJ$169</f>
        <v>0</v>
      </c>
      <c r="BM96" s="117">
        <f>'Opex Departments'!CK187*'Opex Departments'!CK$169</f>
        <v>0</v>
      </c>
      <c r="BN96" s="117">
        <f>'Opex Departments'!CL187*'Opex Departments'!CL$169</f>
        <v>0</v>
      </c>
      <c r="BO96" s="117">
        <f>'Opex Departments'!CM187*'Opex Departments'!CM$169</f>
        <v>0</v>
      </c>
      <c r="BP96" s="117">
        <f>'Opex Departments'!CN187*'Opex Departments'!CN$169</f>
        <v>0</v>
      </c>
      <c r="BQ96" s="117">
        <f>'Opex Departments'!CO187*'Opex Departments'!CO$169</f>
        <v>0</v>
      </c>
      <c r="BR96" s="117">
        <f>'Opex Departments'!CP187*'Opex Departments'!CP$169</f>
        <v>0</v>
      </c>
      <c r="BS96" s="117">
        <f>'Opex Departments'!CQ187*'Opex Departments'!CQ$169</f>
        <v>0</v>
      </c>
      <c r="BT96" s="117">
        <f>'Opex Departments'!CR187*'Opex Departments'!CR$169</f>
        <v>0</v>
      </c>
      <c r="BU96" s="117">
        <f>'Opex Departments'!CS187*'Opex Departments'!CS$169</f>
        <v>0</v>
      </c>
      <c r="BV96" s="117">
        <f>'Opex Departments'!CT187*'Opex Departments'!CT$169</f>
        <v>0</v>
      </c>
      <c r="BW96" s="117">
        <f>'Opex Departments'!CU187*'Opex Departments'!CU$169</f>
        <v>0</v>
      </c>
      <c r="BX96" s="117">
        <f>'Opex Departments'!CV187*'Opex Departments'!CV$169</f>
        <v>0</v>
      </c>
      <c r="BY96" s="117">
        <f>'Opex Departments'!CW187*'Opex Departments'!CW$169</f>
        <v>0</v>
      </c>
      <c r="BZ96" s="117">
        <f>'Opex Departments'!CX187*'Opex Departments'!CX$169</f>
        <v>0</v>
      </c>
      <c r="CA96" s="117">
        <f>'Opex Departments'!CY187*'Opex Departments'!CY$169</f>
        <v>0</v>
      </c>
      <c r="CB96" s="117">
        <f>'Opex Departments'!CZ187*'Opex Departments'!CZ$169</f>
        <v>0</v>
      </c>
      <c r="CC96" s="117">
        <f>'Opex Departments'!DA187*'Opex Departments'!DA$169</f>
        <v>0</v>
      </c>
      <c r="CD96" s="117">
        <f>'Opex Departments'!DB187*'Opex Departments'!DB$169</f>
        <v>0</v>
      </c>
      <c r="CE96" s="117">
        <f>'Opex Departments'!DC187*'Opex Departments'!DC$169</f>
        <v>0</v>
      </c>
      <c r="CF96" s="117">
        <f>'Opex Departments'!DD187*'Opex Departments'!DD$169</f>
        <v>0</v>
      </c>
      <c r="CG96" s="117">
        <f>'Opex Departments'!DE187*'Opex Departments'!DE$169</f>
        <v>0</v>
      </c>
      <c r="CH96" s="117">
        <f>'Opex Departments'!DF187*'Opex Departments'!DF$169</f>
        <v>0</v>
      </c>
      <c r="CI96" s="117">
        <f>'Opex Departments'!DG187*'Opex Departments'!DG$169</f>
        <v>0</v>
      </c>
      <c r="CL96" s="117">
        <f>SUM(D96:G96)</f>
        <v>46450.43948</v>
      </c>
      <c r="CM96" s="117">
        <f>SUM(H96:K96)</f>
        <v>61657.61318</v>
      </c>
      <c r="CN96" s="117">
        <f>SUM(L96:O96)</f>
        <v>43315.81097</v>
      </c>
      <c r="CO96" s="117">
        <f>SUM(P96:S96)</f>
        <v>46264.09878</v>
      </c>
      <c r="CP96" s="117">
        <f>SUM(T96:W96)</f>
        <v>42448.06046</v>
      </c>
      <c r="CQ96" s="117">
        <f>SUM(X96:AA96)</f>
        <v>85903.17748</v>
      </c>
    </row>
    <row r="97" ht="15.75" customHeight="1" outlineLevel="1">
      <c r="C97" s="5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7"/>
      <c r="CC97" s="117"/>
      <c r="CD97" s="117"/>
      <c r="CE97" s="117"/>
      <c r="CF97" s="117"/>
      <c r="CG97" s="117"/>
      <c r="CH97" s="117"/>
      <c r="CI97" s="117"/>
      <c r="CL97" s="117"/>
      <c r="CM97" s="117"/>
      <c r="CN97" s="117"/>
      <c r="CO97" s="117"/>
      <c r="CP97" s="117"/>
      <c r="CQ97" s="117"/>
    </row>
    <row r="98" ht="15.75" customHeight="1">
      <c r="C98" s="257" t="s">
        <v>807</v>
      </c>
      <c r="D98" s="117">
        <f t="shared" ref="D98:CI98" si="101">D93-D96</f>
        <v>156615.3826</v>
      </c>
      <c r="E98" s="117">
        <f t="shared" si="101"/>
        <v>97921.21463</v>
      </c>
      <c r="F98" s="117">
        <f t="shared" si="101"/>
        <v>136857.9209</v>
      </c>
      <c r="G98" s="117">
        <f t="shared" si="101"/>
        <v>189698.0424</v>
      </c>
      <c r="H98" s="117">
        <f t="shared" si="101"/>
        <v>217267.1618</v>
      </c>
      <c r="I98" s="117">
        <f t="shared" si="101"/>
        <v>212642.6187</v>
      </c>
      <c r="J98" s="117">
        <f t="shared" si="101"/>
        <v>214100.1125</v>
      </c>
      <c r="K98" s="117">
        <f t="shared" si="101"/>
        <v>136028.4938</v>
      </c>
      <c r="L98" s="117">
        <f t="shared" si="101"/>
        <v>141078.1075</v>
      </c>
      <c r="M98" s="117">
        <f t="shared" si="101"/>
        <v>117370.7794</v>
      </c>
      <c r="N98" s="117">
        <f t="shared" si="101"/>
        <v>139029.9826</v>
      </c>
      <c r="O98" s="117">
        <f t="shared" si="101"/>
        <v>103347.3195</v>
      </c>
      <c r="P98" s="117">
        <f t="shared" si="101"/>
        <v>155783.3982</v>
      </c>
      <c r="Q98" s="117">
        <f t="shared" si="101"/>
        <v>149404.576</v>
      </c>
      <c r="R98" s="117">
        <f t="shared" si="101"/>
        <v>163674.7696</v>
      </c>
      <c r="S98" s="117">
        <f t="shared" si="101"/>
        <v>208762.1575</v>
      </c>
      <c r="T98" s="117">
        <f t="shared" si="101"/>
        <v>181132.8711</v>
      </c>
      <c r="U98" s="117">
        <f t="shared" si="101"/>
        <v>115195.6415</v>
      </c>
      <c r="V98" s="117">
        <f t="shared" si="101"/>
        <v>147600.442</v>
      </c>
      <c r="W98" s="117">
        <f t="shared" si="101"/>
        <v>220485.9849</v>
      </c>
      <c r="X98" s="117">
        <f t="shared" si="101"/>
        <v>147364.5011</v>
      </c>
      <c r="Y98" s="117">
        <f t="shared" si="101"/>
        <v>210453.8109</v>
      </c>
      <c r="Z98" s="117">
        <f t="shared" si="101"/>
        <v>160280.344</v>
      </c>
      <c r="AA98" s="117">
        <f t="shared" si="101"/>
        <v>171575.3373</v>
      </c>
      <c r="AB98" s="117">
        <f t="shared" si="101"/>
        <v>204933.5942</v>
      </c>
      <c r="AC98" s="117">
        <f t="shared" si="101"/>
        <v>248244.2355</v>
      </c>
      <c r="AD98" s="117">
        <f t="shared" si="101"/>
        <v>333087.5105</v>
      </c>
      <c r="AE98" s="117">
        <f t="shared" si="101"/>
        <v>386094.962</v>
      </c>
      <c r="AF98" s="117">
        <f t="shared" si="101"/>
        <v>408480.4682</v>
      </c>
      <c r="AG98" s="117">
        <f t="shared" si="101"/>
        <v>491731.8477</v>
      </c>
      <c r="AH98" s="117">
        <f t="shared" si="101"/>
        <v>510803.8399</v>
      </c>
      <c r="AI98" s="117">
        <f t="shared" si="101"/>
        <v>579508.5959</v>
      </c>
      <c r="AJ98" s="117">
        <f t="shared" si="101"/>
        <v>586225.3144</v>
      </c>
      <c r="AK98" s="117">
        <f t="shared" si="101"/>
        <v>650332.3749</v>
      </c>
      <c r="AL98" s="117">
        <f t="shared" si="101"/>
        <v>684292.9359</v>
      </c>
      <c r="AM98" s="117">
        <f t="shared" si="101"/>
        <v>715213.3726</v>
      </c>
      <c r="AN98" s="117">
        <f t="shared" si="101"/>
        <v>676945.551</v>
      </c>
      <c r="AO98" s="117">
        <f t="shared" si="101"/>
        <v>755492.3308</v>
      </c>
      <c r="AP98" s="117">
        <f t="shared" si="101"/>
        <v>764069.7466</v>
      </c>
      <c r="AQ98" s="117">
        <f t="shared" si="101"/>
        <v>771486.9311</v>
      </c>
      <c r="AR98" s="117">
        <f t="shared" si="101"/>
        <v>741513.4791</v>
      </c>
      <c r="AS98" s="117">
        <f t="shared" si="101"/>
        <v>782980.0528</v>
      </c>
      <c r="AT98" s="117">
        <f t="shared" si="101"/>
        <v>764315.32</v>
      </c>
      <c r="AU98" s="117">
        <f t="shared" si="101"/>
        <v>801314.9242</v>
      </c>
      <c r="AV98" s="117">
        <f t="shared" si="101"/>
        <v>770135.8732</v>
      </c>
      <c r="AW98" s="117">
        <f t="shared" si="101"/>
        <v>817986.5945</v>
      </c>
      <c r="AX98" s="117">
        <f t="shared" si="101"/>
        <v>832327.2571</v>
      </c>
      <c r="AY98" s="117">
        <f t="shared" si="101"/>
        <v>841522.3895</v>
      </c>
      <c r="AZ98" s="117">
        <f t="shared" si="101"/>
        <v>766788.0231</v>
      </c>
      <c r="BA98" s="117">
        <f t="shared" si="101"/>
        <v>852575.5381</v>
      </c>
      <c r="BB98" s="117">
        <f t="shared" si="101"/>
        <v>874860.0051</v>
      </c>
      <c r="BC98" s="117">
        <f t="shared" si="101"/>
        <v>891425.2307</v>
      </c>
      <c r="BD98" s="117">
        <f t="shared" si="101"/>
        <v>858418.2738</v>
      </c>
      <c r="BE98" s="117">
        <f t="shared" si="101"/>
        <v>914101.1466</v>
      </c>
      <c r="BF98" s="117">
        <f t="shared" si="101"/>
        <v>895283.2944</v>
      </c>
      <c r="BG98" s="117">
        <f t="shared" si="101"/>
        <v>930734.9747</v>
      </c>
      <c r="BH98" s="117">
        <f t="shared" si="101"/>
        <v>897944.0309</v>
      </c>
      <c r="BI98" s="117">
        <f t="shared" si="101"/>
        <v>949130.1853</v>
      </c>
      <c r="BJ98" s="117">
        <f t="shared" si="101"/>
        <v>968354.7035</v>
      </c>
      <c r="BK98" s="117">
        <f t="shared" si="101"/>
        <v>974568.7826</v>
      </c>
      <c r="BL98" s="117">
        <f t="shared" si="101"/>
        <v>1175892.838</v>
      </c>
      <c r="BM98" s="117">
        <f t="shared" si="101"/>
        <v>1201390.367</v>
      </c>
      <c r="BN98" s="117">
        <f t="shared" si="101"/>
        <v>1225553.964</v>
      </c>
      <c r="BO98" s="117">
        <f t="shared" si="101"/>
        <v>1242608.652</v>
      </c>
      <c r="BP98" s="117">
        <f t="shared" si="101"/>
        <v>1253666.744</v>
      </c>
      <c r="BQ98" s="117">
        <f t="shared" si="101"/>
        <v>1273577.234</v>
      </c>
      <c r="BR98" s="117">
        <f t="shared" si="101"/>
        <v>1295428.957</v>
      </c>
      <c r="BS98" s="117">
        <f t="shared" si="101"/>
        <v>1306937.174</v>
      </c>
      <c r="BT98" s="117">
        <f t="shared" si="101"/>
        <v>1316621.329</v>
      </c>
      <c r="BU98" s="117">
        <f t="shared" si="101"/>
        <v>1337923.951</v>
      </c>
      <c r="BV98" s="117">
        <f t="shared" si="101"/>
        <v>1359049.085</v>
      </c>
      <c r="BW98" s="117">
        <f t="shared" si="101"/>
        <v>1374161.387</v>
      </c>
      <c r="BX98" s="117">
        <f t="shared" si="101"/>
        <v>1371638.091</v>
      </c>
      <c r="BY98" s="117">
        <f t="shared" si="101"/>
        <v>1386529.66</v>
      </c>
      <c r="BZ98" s="117">
        <f t="shared" si="101"/>
        <v>1399979.694</v>
      </c>
      <c r="CA98" s="117">
        <f t="shared" si="101"/>
        <v>1407655.369</v>
      </c>
      <c r="CB98" s="117">
        <f t="shared" si="101"/>
        <v>1410743.546</v>
      </c>
      <c r="CC98" s="117">
        <f t="shared" si="101"/>
        <v>1422689.369</v>
      </c>
      <c r="CD98" s="117">
        <f t="shared" si="101"/>
        <v>1436762.143</v>
      </c>
      <c r="CE98" s="117">
        <f t="shared" si="101"/>
        <v>1444913.59</v>
      </c>
      <c r="CF98" s="117">
        <f t="shared" si="101"/>
        <v>1447615.982</v>
      </c>
      <c r="CG98" s="117">
        <f t="shared" si="101"/>
        <v>1461572.798</v>
      </c>
      <c r="CH98" s="117">
        <f t="shared" si="101"/>
        <v>1475495.575</v>
      </c>
      <c r="CI98" s="117">
        <f t="shared" si="101"/>
        <v>1483427.705</v>
      </c>
      <c r="CL98" s="117">
        <f>SUM(D98:G98)</f>
        <v>581092.5605</v>
      </c>
      <c r="CM98" s="117">
        <f>SUM(H98:K98)</f>
        <v>780038.3868</v>
      </c>
      <c r="CN98" s="117">
        <f>SUM(L98:O98)</f>
        <v>500826.189</v>
      </c>
      <c r="CO98" s="117">
        <f>SUM(P98:S98)</f>
        <v>677624.9012</v>
      </c>
      <c r="CP98" s="117">
        <f>SUM(T98:W98)</f>
        <v>664414.9395</v>
      </c>
      <c r="CQ98" s="117">
        <f>SUM(X98:AA98)</f>
        <v>689673.9934</v>
      </c>
    </row>
    <row r="99" ht="15.75" customHeight="1">
      <c r="C99" s="517" t="s">
        <v>115</v>
      </c>
      <c r="D99" s="519">
        <f t="shared" ref="D99:CI99" si="102">D98/D72</f>
        <v>0.7704757815</v>
      </c>
      <c r="E99" s="519">
        <f t="shared" si="102"/>
        <v>0.7004929904</v>
      </c>
      <c r="F99" s="519">
        <f t="shared" si="102"/>
        <v>0.790556164</v>
      </c>
      <c r="G99" s="519">
        <f t="shared" si="102"/>
        <v>0.8083436344</v>
      </c>
      <c r="H99" s="519">
        <f t="shared" si="102"/>
        <v>0.8102448695</v>
      </c>
      <c r="I99" s="519">
        <f t="shared" si="102"/>
        <v>0.8079525916</v>
      </c>
      <c r="J99" s="519">
        <f t="shared" si="102"/>
        <v>0.8199550863</v>
      </c>
      <c r="K99" s="519">
        <f t="shared" si="102"/>
        <v>0.7226064364</v>
      </c>
      <c r="L99" s="519">
        <f t="shared" si="102"/>
        <v>0.7769816244</v>
      </c>
      <c r="M99" s="519">
        <f t="shared" si="102"/>
        <v>0.7817786859</v>
      </c>
      <c r="N99" s="519">
        <f t="shared" si="102"/>
        <v>0.7528074343</v>
      </c>
      <c r="O99" s="519">
        <f t="shared" si="102"/>
        <v>0.6969835006</v>
      </c>
      <c r="P99" s="519">
        <f t="shared" si="102"/>
        <v>0.80367832</v>
      </c>
      <c r="Q99" s="519">
        <f t="shared" si="102"/>
        <v>0.7718055565</v>
      </c>
      <c r="R99" s="519">
        <f t="shared" si="102"/>
        <v>0.8053235792</v>
      </c>
      <c r="S99" s="519">
        <f t="shared" si="102"/>
        <v>0.8336614173</v>
      </c>
      <c r="T99" s="519">
        <f t="shared" si="102"/>
        <v>0.7616417153</v>
      </c>
      <c r="U99" s="519">
        <f t="shared" si="102"/>
        <v>0.727828761</v>
      </c>
      <c r="V99" s="519">
        <f t="shared" si="102"/>
        <v>0.7702245544</v>
      </c>
      <c r="W99" s="519">
        <f t="shared" si="102"/>
        <v>0.8490811047</v>
      </c>
      <c r="X99" s="519">
        <f t="shared" si="102"/>
        <v>0.7642078955</v>
      </c>
      <c r="Y99" s="519">
        <f t="shared" si="102"/>
        <v>0.814635737</v>
      </c>
      <c r="Z99" s="519">
        <f t="shared" si="102"/>
        <v>0.7727631189</v>
      </c>
      <c r="AA99" s="519">
        <f t="shared" si="102"/>
        <v>0.6216250543</v>
      </c>
      <c r="AB99" s="519">
        <f t="shared" si="102"/>
        <v>0.5843774597</v>
      </c>
      <c r="AC99" s="519">
        <f t="shared" si="102"/>
        <v>0.5837794556</v>
      </c>
      <c r="AD99" s="519">
        <f t="shared" si="102"/>
        <v>0.6744762613</v>
      </c>
      <c r="AE99" s="519">
        <f t="shared" si="102"/>
        <v>0.6924660317</v>
      </c>
      <c r="AF99" s="519">
        <f t="shared" si="102"/>
        <v>0.6601234407</v>
      </c>
      <c r="AG99" s="519">
        <f t="shared" si="102"/>
        <v>0.7240221405</v>
      </c>
      <c r="AH99" s="519">
        <f t="shared" si="102"/>
        <v>0.6921970351</v>
      </c>
      <c r="AI99" s="519">
        <f t="shared" si="102"/>
        <v>0.7253329246</v>
      </c>
      <c r="AJ99" s="519">
        <f t="shared" si="102"/>
        <v>0.6840151883</v>
      </c>
      <c r="AK99" s="519">
        <f t="shared" si="102"/>
        <v>0.7152610965</v>
      </c>
      <c r="AL99" s="519">
        <f t="shared" si="102"/>
        <v>0.716689594</v>
      </c>
      <c r="AM99" s="519">
        <f t="shared" si="102"/>
        <v>0.7149911799</v>
      </c>
      <c r="AN99" s="519">
        <f t="shared" si="102"/>
        <v>0.647297339</v>
      </c>
      <c r="AO99" s="519">
        <f t="shared" si="102"/>
        <v>0.7121659477</v>
      </c>
      <c r="AP99" s="519">
        <f t="shared" si="102"/>
        <v>0.7162998097</v>
      </c>
      <c r="AQ99" s="519">
        <f t="shared" si="102"/>
        <v>0.7165649854</v>
      </c>
      <c r="AR99" s="519">
        <f t="shared" si="102"/>
        <v>0.6809828833</v>
      </c>
      <c r="AS99" s="519">
        <f t="shared" si="102"/>
        <v>0.7103185294</v>
      </c>
      <c r="AT99" s="519">
        <f t="shared" si="102"/>
        <v>0.6849201707</v>
      </c>
      <c r="AU99" s="519">
        <f t="shared" si="102"/>
        <v>0.7095782231</v>
      </c>
      <c r="AV99" s="519">
        <f t="shared" si="102"/>
        <v>0.6741325809</v>
      </c>
      <c r="AW99" s="519">
        <f t="shared" si="102"/>
        <v>0.7080197377</v>
      </c>
      <c r="AX99" s="519">
        <f t="shared" si="102"/>
        <v>0.7125989372</v>
      </c>
      <c r="AY99" s="519">
        <f t="shared" si="102"/>
        <v>0.7128374478</v>
      </c>
      <c r="AZ99" s="519">
        <f t="shared" si="102"/>
        <v>0.6426684301</v>
      </c>
      <c r="BA99" s="519">
        <f t="shared" si="102"/>
        <v>0.7011906939</v>
      </c>
      <c r="BB99" s="519">
        <f t="shared" si="102"/>
        <v>0.7065556493</v>
      </c>
      <c r="BC99" s="519">
        <f t="shared" si="102"/>
        <v>0.7074989272</v>
      </c>
      <c r="BD99" s="519">
        <f t="shared" si="102"/>
        <v>0.6699782667</v>
      </c>
      <c r="BE99" s="519">
        <f t="shared" si="102"/>
        <v>0.7020032193</v>
      </c>
      <c r="BF99" s="519">
        <f t="shared" si="102"/>
        <v>0.6769102092</v>
      </c>
      <c r="BG99" s="519">
        <f t="shared" si="102"/>
        <v>0.6931837851</v>
      </c>
      <c r="BH99" s="519">
        <f t="shared" si="102"/>
        <v>0.6590746877</v>
      </c>
      <c r="BI99" s="519">
        <f t="shared" si="102"/>
        <v>0.6868657571</v>
      </c>
      <c r="BJ99" s="519">
        <f t="shared" si="102"/>
        <v>0.6912362997</v>
      </c>
      <c r="BK99" s="519">
        <f t="shared" si="102"/>
        <v>0.6864743807</v>
      </c>
      <c r="BL99" s="519">
        <f t="shared" si="102"/>
        <v>0.8159560005</v>
      </c>
      <c r="BM99" s="519">
        <f t="shared" si="102"/>
        <v>0.8199612299</v>
      </c>
      <c r="BN99" s="519">
        <f t="shared" si="102"/>
        <v>0.8235906387</v>
      </c>
      <c r="BO99" s="519">
        <f t="shared" si="102"/>
        <v>0.8233843777</v>
      </c>
      <c r="BP99" s="519">
        <f t="shared" si="102"/>
        <v>0.8194414167</v>
      </c>
      <c r="BQ99" s="519">
        <f t="shared" si="102"/>
        <v>0.8214629098</v>
      </c>
      <c r="BR99" s="519">
        <f t="shared" si="102"/>
        <v>0.8248024335</v>
      </c>
      <c r="BS99" s="519">
        <f t="shared" si="102"/>
        <v>0.8216778849</v>
      </c>
      <c r="BT99" s="519">
        <f t="shared" si="102"/>
        <v>0.8176107361</v>
      </c>
      <c r="BU99" s="519">
        <f t="shared" si="102"/>
        <v>0.8208736859</v>
      </c>
      <c r="BV99" s="519">
        <f t="shared" si="102"/>
        <v>0.8240477102</v>
      </c>
      <c r="BW99" s="519">
        <f t="shared" si="102"/>
        <v>0.8236326509</v>
      </c>
      <c r="BX99" s="519">
        <f t="shared" si="102"/>
        <v>0.8128564502</v>
      </c>
      <c r="BY99" s="519">
        <f t="shared" si="102"/>
        <v>0.8149991938</v>
      </c>
      <c r="BZ99" s="519">
        <f t="shared" si="102"/>
        <v>0.8173588947</v>
      </c>
      <c r="CA99" s="519">
        <f t="shared" si="102"/>
        <v>0.816320891</v>
      </c>
      <c r="CB99" s="519">
        <f t="shared" si="102"/>
        <v>0.8124440747</v>
      </c>
      <c r="CC99" s="519">
        <f t="shared" si="102"/>
        <v>0.8136384571</v>
      </c>
      <c r="CD99" s="519">
        <f t="shared" si="102"/>
        <v>0.8160299274</v>
      </c>
      <c r="CE99" s="519">
        <f t="shared" si="102"/>
        <v>0.8150702164</v>
      </c>
      <c r="CF99" s="519">
        <f t="shared" si="102"/>
        <v>0.8110951663</v>
      </c>
      <c r="CG99" s="519">
        <f t="shared" si="102"/>
        <v>0.813460475</v>
      </c>
      <c r="CH99" s="519">
        <f t="shared" si="102"/>
        <v>0.8157966526</v>
      </c>
      <c r="CI99" s="519">
        <f t="shared" si="102"/>
        <v>0.8148296911</v>
      </c>
      <c r="CL99" s="519">
        <f t="shared" ref="CL99:CQ99" si="103">CL98/CL72</f>
        <v>0.7739119486</v>
      </c>
      <c r="CM99" s="519">
        <f t="shared" si="103"/>
        <v>0.7953926465</v>
      </c>
      <c r="CN99" s="519">
        <f t="shared" si="103"/>
        <v>0.7535016723</v>
      </c>
      <c r="CO99" s="519">
        <f t="shared" si="103"/>
        <v>0.8056671671</v>
      </c>
      <c r="CP99" s="519">
        <f t="shared" si="103"/>
        <v>0.7840620197</v>
      </c>
      <c r="CQ99" s="519">
        <f t="shared" si="103"/>
        <v>0.7379373268</v>
      </c>
    </row>
    <row r="100" ht="15.75" customHeight="1">
      <c r="D100" s="247"/>
      <c r="E100" s="247"/>
      <c r="F100" s="247"/>
      <c r="G100" s="247"/>
      <c r="H100" s="247"/>
      <c r="I100" s="247"/>
      <c r="J100" s="247"/>
      <c r="K100" s="247"/>
      <c r="L100" s="247"/>
      <c r="M100" s="247"/>
      <c r="N100" s="24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row>
    <row r="101" ht="15.75" customHeight="1">
      <c r="D101" s="247"/>
      <c r="E101" s="247"/>
      <c r="F101" s="247"/>
      <c r="G101" s="247"/>
      <c r="H101" s="247"/>
      <c r="I101" s="247"/>
      <c r="J101" s="247"/>
      <c r="K101" s="247"/>
      <c r="L101" s="247"/>
      <c r="M101" s="247"/>
      <c r="N101" s="24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row>
    <row r="102" ht="15.75" customHeight="1">
      <c r="C102" s="115" t="s">
        <v>89</v>
      </c>
      <c r="D102" s="247"/>
      <c r="E102" s="247"/>
      <c r="F102" s="247"/>
      <c r="G102" s="247"/>
      <c r="H102" s="247"/>
      <c r="I102" s="247"/>
      <c r="J102" s="247"/>
      <c r="K102" s="247"/>
      <c r="L102" s="247"/>
      <c r="M102" s="247"/>
      <c r="N102" s="24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7"/>
      <c r="CH102" s="117"/>
      <c r="CI102" s="117"/>
    </row>
    <row r="103" ht="15.75" customHeight="1" outlineLevel="1">
      <c r="C103" s="129"/>
      <c r="D103" s="247"/>
      <c r="E103" s="247"/>
      <c r="F103" s="247"/>
      <c r="G103" s="247"/>
      <c r="H103" s="247"/>
      <c r="I103" s="247"/>
      <c r="J103" s="247"/>
      <c r="K103" s="247"/>
      <c r="L103" s="247"/>
      <c r="M103" s="247"/>
      <c r="N103" s="24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7"/>
      <c r="BO103" s="117"/>
      <c r="BP103" s="117"/>
      <c r="BQ103" s="117"/>
      <c r="BR103" s="117"/>
      <c r="BS103" s="117"/>
      <c r="BT103" s="117"/>
      <c r="BU103" s="117"/>
      <c r="BV103" s="117"/>
      <c r="BW103" s="117"/>
      <c r="BX103" s="117"/>
      <c r="BY103" s="117"/>
      <c r="BZ103" s="117"/>
      <c r="CA103" s="117"/>
      <c r="CB103" s="117"/>
      <c r="CC103" s="117"/>
      <c r="CD103" s="117"/>
      <c r="CE103" s="117"/>
      <c r="CF103" s="117"/>
      <c r="CG103" s="117"/>
      <c r="CH103" s="117"/>
      <c r="CI103" s="117"/>
    </row>
    <row r="104" ht="15.75" customHeight="1" outlineLevel="1">
      <c r="C104" s="257" t="s">
        <v>808</v>
      </c>
      <c r="D104" s="247">
        <f>Revenue!C9</f>
        <v>195725</v>
      </c>
      <c r="E104" s="247">
        <f>Revenue!D9</f>
        <v>214613</v>
      </c>
      <c r="F104" s="247">
        <f>Revenue!E9</f>
        <v>197392</v>
      </c>
      <c r="G104" s="247">
        <f>Revenue!F9</f>
        <v>258277</v>
      </c>
      <c r="H104" s="247">
        <f>Revenue!G9</f>
        <v>139422</v>
      </c>
      <c r="I104" s="247">
        <f>Revenue!H9</f>
        <v>247130</v>
      </c>
      <c r="J104" s="247">
        <f>Revenue!I9</f>
        <v>139486</v>
      </c>
      <c r="K104" s="247">
        <f>Revenue!J9</f>
        <v>196567</v>
      </c>
      <c r="L104" s="247">
        <f>Revenue!K9</f>
        <v>153247</v>
      </c>
      <c r="M104" s="247">
        <f>Revenue!L9</f>
        <v>181294</v>
      </c>
      <c r="N104" s="247">
        <f>Revenue!M9</f>
        <v>169975</v>
      </c>
      <c r="O104" s="247">
        <f>Revenue!N9</f>
        <v>190504</v>
      </c>
      <c r="P104" s="247">
        <f>Revenue!O9</f>
        <v>266809</v>
      </c>
      <c r="Q104" s="247">
        <f>Revenue!P9</f>
        <v>171318</v>
      </c>
      <c r="R104" s="247">
        <f>Revenue!Q9</f>
        <v>241762</v>
      </c>
      <c r="S104" s="247">
        <f>Revenue!R9</f>
        <v>255611</v>
      </c>
      <c r="T104" s="247">
        <f>Revenue!S9</f>
        <v>205241</v>
      </c>
      <c r="U104" s="247">
        <f>Revenue!T9</f>
        <v>271510</v>
      </c>
      <c r="V104" s="247">
        <f>Revenue!U9</f>
        <v>256363</v>
      </c>
      <c r="W104" s="247">
        <v>76757.0</v>
      </c>
      <c r="X104" s="247">
        <v>67231.0</v>
      </c>
      <c r="Y104" s="247">
        <f>Revenue!X9</f>
        <v>208832</v>
      </c>
      <c r="Z104" s="117">
        <f>Revenue!Y9</f>
        <v>145395</v>
      </c>
      <c r="AA104" s="117">
        <f>Revenue!Z9</f>
        <v>163491.3524</v>
      </c>
      <c r="AB104" s="117">
        <f>Revenue!AA9</f>
        <v>183044.7388</v>
      </c>
      <c r="AC104" s="117">
        <f>Revenue!AB9</f>
        <v>200459.0335</v>
      </c>
      <c r="AD104" s="117">
        <f>Revenue!AC9</f>
        <v>213223.6562</v>
      </c>
      <c r="AE104" s="117">
        <f>Revenue!AD9</f>
        <v>222673.5289</v>
      </c>
      <c r="AF104" s="117">
        <f>Revenue!AE9</f>
        <v>230681.7352</v>
      </c>
      <c r="AG104" s="117">
        <f>Revenue!AF9</f>
        <v>236383.8968</v>
      </c>
      <c r="AH104" s="117">
        <f>Revenue!AG9</f>
        <v>240530.91</v>
      </c>
      <c r="AI104" s="117">
        <f>Revenue!AH9</f>
        <v>242301.9064</v>
      </c>
      <c r="AJ104" s="117">
        <f>Revenue!AI9</f>
        <v>241385.1234</v>
      </c>
      <c r="AK104" s="117">
        <f>Revenue!AJ9</f>
        <v>244331.6618</v>
      </c>
      <c r="AL104" s="117">
        <f>Revenue!AK9</f>
        <v>246786.6721</v>
      </c>
      <c r="AM104" s="117">
        <f>Revenue!AL9</f>
        <v>249026.6499</v>
      </c>
      <c r="AN104" s="117">
        <f>Revenue!AM9</f>
        <v>256165.6355</v>
      </c>
      <c r="AO104" s="117">
        <f>Revenue!AN9</f>
        <v>250965.6349</v>
      </c>
      <c r="AP104" s="117">
        <f>Revenue!AO9</f>
        <v>246100.6974</v>
      </c>
      <c r="AQ104" s="117">
        <f>Revenue!AP9</f>
        <v>242961.5661</v>
      </c>
      <c r="AR104" s="117">
        <f>Revenue!AQ9</f>
        <v>241063.1936</v>
      </c>
      <c r="AS104" s="117">
        <f>Revenue!AR9</f>
        <v>240318.7559</v>
      </c>
      <c r="AT104" s="117">
        <f>Revenue!AS9</f>
        <v>240144.3862</v>
      </c>
      <c r="AU104" s="117">
        <f>Revenue!AT9</f>
        <v>240381.0082</v>
      </c>
      <c r="AV104" s="117">
        <f>Revenue!AU9</f>
        <v>240914.4205</v>
      </c>
      <c r="AW104" s="117">
        <f>Revenue!AV9</f>
        <v>241662.6428</v>
      </c>
      <c r="AX104" s="117">
        <f>Revenue!AW9</f>
        <v>242566.8292</v>
      </c>
      <c r="AY104" s="117">
        <f>Revenue!AX9</f>
        <v>243584.7447</v>
      </c>
      <c r="AZ104" s="117">
        <f>Revenue!AY9</f>
        <v>248268.4075</v>
      </c>
      <c r="BA104" s="117">
        <f>Revenue!AZ9</f>
        <v>252237.2445</v>
      </c>
      <c r="BB104" s="117">
        <f>Revenue!BA9</f>
        <v>255538.7403</v>
      </c>
      <c r="BC104" s="117">
        <f>Revenue!BB9</f>
        <v>258348.16</v>
      </c>
      <c r="BD104" s="117">
        <f>Revenue!BC9</f>
        <v>260795.2157</v>
      </c>
      <c r="BE104" s="117">
        <f>Revenue!BD9</f>
        <v>262975.9103</v>
      </c>
      <c r="BF104" s="117">
        <f>Revenue!BE9</f>
        <v>264961.3019</v>
      </c>
      <c r="BG104" s="117">
        <f>Revenue!BF9</f>
        <v>266803.9899</v>
      </c>
      <c r="BH104" s="117">
        <f>Revenue!BG9</f>
        <v>268542.9142</v>
      </c>
      <c r="BI104" s="117">
        <f>Revenue!BH9</f>
        <v>270206.9072</v>
      </c>
      <c r="BJ104" s="117">
        <f>Revenue!BI9</f>
        <v>271817.3215</v>
      </c>
      <c r="BK104" s="117">
        <f>Revenue!BJ9</f>
        <v>273389.9749</v>
      </c>
      <c r="BL104" s="117">
        <f>Revenue!BK9</f>
        <v>277845.5494</v>
      </c>
      <c r="BM104" s="117">
        <f>Revenue!BL9</f>
        <v>281710.394</v>
      </c>
      <c r="BN104" s="117">
        <f>Revenue!BM9</f>
        <v>284656.6556</v>
      </c>
      <c r="BO104" s="117">
        <f>Revenue!BN9</f>
        <v>287637.3694</v>
      </c>
      <c r="BP104" s="117">
        <f>Revenue!BO9</f>
        <v>290646.5361</v>
      </c>
      <c r="BQ104" s="117">
        <f>Revenue!BP9</f>
        <v>293679.7702</v>
      </c>
      <c r="BR104" s="117">
        <f>Revenue!BQ9</f>
        <v>296733.8826</v>
      </c>
      <c r="BS104" s="117">
        <f>Revenue!BR9</f>
        <v>299806.5706</v>
      </c>
      <c r="BT104" s="117">
        <f>Revenue!BS9</f>
        <v>302896.1889</v>
      </c>
      <c r="BU104" s="117">
        <f>Revenue!BT9</f>
        <v>306001.5806</v>
      </c>
      <c r="BV104" s="117">
        <f>Revenue!BU9</f>
        <v>309121.9515</v>
      </c>
      <c r="BW104" s="117">
        <f>Revenue!BV9</f>
        <v>312256.7776</v>
      </c>
      <c r="BX104" s="117">
        <f>Revenue!BW9</f>
        <v>315560.6213</v>
      </c>
      <c r="BY104" s="117">
        <f>Revenue!BX9</f>
        <v>315249.591</v>
      </c>
      <c r="BZ104" s="117">
        <f>Revenue!BY9</f>
        <v>314993.7907</v>
      </c>
      <c r="CA104" s="117">
        <f>Revenue!BZ9</f>
        <v>315519.1105</v>
      </c>
      <c r="CB104" s="117">
        <f>Revenue!CA9</f>
        <v>316625.3067</v>
      </c>
      <c r="CC104" s="117">
        <f>Revenue!CB9</f>
        <v>318164.1851</v>
      </c>
      <c r="CD104" s="117">
        <f>Revenue!CC9</f>
        <v>320026.0694</v>
      </c>
      <c r="CE104" s="117">
        <f>Revenue!CD9</f>
        <v>322129.7871</v>
      </c>
      <c r="CF104" s="117">
        <f>Revenue!CE9</f>
        <v>324415.2595</v>
      </c>
      <c r="CG104" s="117">
        <f>Revenue!CF9</f>
        <v>326838.0183</v>
      </c>
      <c r="CH104" s="117">
        <f>Revenue!CG9</f>
        <v>329365.1476</v>
      </c>
      <c r="CI104" s="117">
        <f>Revenue!CH9</f>
        <v>331972.281</v>
      </c>
      <c r="CL104" s="117">
        <f>SUM(D104:G104)</f>
        <v>866007</v>
      </c>
      <c r="CM104" s="117">
        <f>SUM(H104:K104)</f>
        <v>722605</v>
      </c>
      <c r="CN104" s="117">
        <f>SUM(L104:O104)</f>
        <v>695020</v>
      </c>
      <c r="CO104" s="117">
        <f>SUM(P104:S104)</f>
        <v>935500</v>
      </c>
      <c r="CP104" s="117">
        <f>SUM(T104:W104)</f>
        <v>809871</v>
      </c>
      <c r="CQ104" s="117">
        <f>SUM(X104:AA104)</f>
        <v>584949.3524</v>
      </c>
    </row>
    <row r="105" ht="15.75" customHeight="1" outlineLevel="1">
      <c r="C105" s="257" t="s">
        <v>799</v>
      </c>
      <c r="D105" s="513">
        <f t="shared" ref="D105:CI105" si="104">D104/D$5</f>
        <v>0.2531520322</v>
      </c>
      <c r="E105" s="513">
        <f t="shared" si="104"/>
        <v>0.2279668417</v>
      </c>
      <c r="F105" s="513">
        <f t="shared" si="104"/>
        <v>0.2209234392</v>
      </c>
      <c r="G105" s="513">
        <f t="shared" si="104"/>
        <v>0.2456391133</v>
      </c>
      <c r="H105" s="513">
        <f t="shared" si="104"/>
        <v>0.1557481434</v>
      </c>
      <c r="I105" s="513">
        <f t="shared" si="104"/>
        <v>0.2543363666</v>
      </c>
      <c r="J105" s="513">
        <f t="shared" si="104"/>
        <v>0.1722266261</v>
      </c>
      <c r="K105" s="513">
        <f t="shared" si="104"/>
        <v>0.2527237289</v>
      </c>
      <c r="L105" s="513">
        <f t="shared" si="104"/>
        <v>0.1825040402</v>
      </c>
      <c r="M105" s="513">
        <f t="shared" si="104"/>
        <v>0.2021867674</v>
      </c>
      <c r="N105" s="513">
        <f t="shared" si="104"/>
        <v>0.1948320644</v>
      </c>
      <c r="O105" s="513">
        <f t="shared" si="104"/>
        <v>0.1895773459</v>
      </c>
      <c r="P105" s="513">
        <f t="shared" si="104"/>
        <v>0.2363075969</v>
      </c>
      <c r="Q105" s="513">
        <f t="shared" si="104"/>
        <v>0.1762413007</v>
      </c>
      <c r="R105" s="513">
        <f t="shared" si="104"/>
        <v>0.2269635243</v>
      </c>
      <c r="S105" s="513">
        <f t="shared" si="104"/>
        <v>0.2194131038</v>
      </c>
      <c r="T105" s="513">
        <f t="shared" si="104"/>
        <v>0.1798442888</v>
      </c>
      <c r="U105" s="513">
        <f t="shared" si="104"/>
        <v>0.264530624</v>
      </c>
      <c r="V105" s="513">
        <f t="shared" si="104"/>
        <v>0.2364008402</v>
      </c>
      <c r="W105" s="513">
        <f t="shared" si="104"/>
        <v>0.05987565721</v>
      </c>
      <c r="X105" s="513">
        <f t="shared" si="104"/>
        <v>0.05582606905</v>
      </c>
      <c r="Y105" s="513">
        <f t="shared" si="104"/>
        <v>0.1940561747</v>
      </c>
      <c r="Z105" s="513">
        <f t="shared" si="104"/>
        <v>0.1347453975</v>
      </c>
      <c r="AA105" s="130">
        <f t="shared" si="104"/>
        <v>0.115477069</v>
      </c>
      <c r="AB105" s="130">
        <f t="shared" si="104"/>
        <v>0.1097748281</v>
      </c>
      <c r="AC105" s="130">
        <f t="shared" si="104"/>
        <v>0.1046147414</v>
      </c>
      <c r="AD105" s="130">
        <f t="shared" si="104"/>
        <v>0.09945467699</v>
      </c>
      <c r="AE105" s="130">
        <f t="shared" si="104"/>
        <v>0.09427207937</v>
      </c>
      <c r="AF105" s="130">
        <f t="shared" si="104"/>
        <v>0.08945543051</v>
      </c>
      <c r="AG105" s="130">
        <f t="shared" si="104"/>
        <v>0.08452198813</v>
      </c>
      <c r="AH105" s="130">
        <f t="shared" si="104"/>
        <v>0.08035876868</v>
      </c>
      <c r="AI105" s="130">
        <f t="shared" si="104"/>
        <v>0.07605402326</v>
      </c>
      <c r="AJ105" s="130">
        <f t="shared" si="104"/>
        <v>0.07153023467</v>
      </c>
      <c r="AK105" s="130">
        <f t="shared" si="104"/>
        <v>0.06882624345</v>
      </c>
      <c r="AL105" s="130">
        <f t="shared" si="104"/>
        <v>0.06627503983</v>
      </c>
      <c r="AM105" s="130">
        <f t="shared" si="104"/>
        <v>0.06386022842</v>
      </c>
      <c r="AN105" s="130">
        <f t="shared" si="104"/>
        <v>0.06288868915</v>
      </c>
      <c r="AO105" s="130">
        <f t="shared" si="104"/>
        <v>0.06114753183</v>
      </c>
      <c r="AP105" s="130">
        <f t="shared" si="104"/>
        <v>0.05933493617</v>
      </c>
      <c r="AQ105" s="130">
        <f t="shared" si="104"/>
        <v>0.05779442881</v>
      </c>
      <c r="AR105" s="130">
        <f t="shared" si="104"/>
        <v>0.05653984137</v>
      </c>
      <c r="AS105" s="130">
        <f t="shared" si="104"/>
        <v>0.0555560954</v>
      </c>
      <c r="AT105" s="130">
        <f t="shared" si="104"/>
        <v>0.05473858127</v>
      </c>
      <c r="AU105" s="130">
        <f t="shared" si="104"/>
        <v>0.05388183766</v>
      </c>
      <c r="AV105" s="130">
        <f t="shared" si="104"/>
        <v>0.05328657411</v>
      </c>
      <c r="AW105" s="130">
        <f t="shared" si="104"/>
        <v>0.05276354235</v>
      </c>
      <c r="AX105" s="130">
        <f t="shared" si="104"/>
        <v>0.05229662787</v>
      </c>
      <c r="AY105" s="130">
        <f t="shared" si="104"/>
        <v>0.05187407003</v>
      </c>
      <c r="AZ105" s="130">
        <f t="shared" si="104"/>
        <v>0.05150014075</v>
      </c>
      <c r="BA105" s="130">
        <f t="shared" si="104"/>
        <v>0.05132138834</v>
      </c>
      <c r="BB105" s="130">
        <f t="shared" si="104"/>
        <v>0.05104569774</v>
      </c>
      <c r="BC105" s="130">
        <f t="shared" si="104"/>
        <v>0.0507066901</v>
      </c>
      <c r="BD105" s="130">
        <f t="shared" si="104"/>
        <v>0.05032871454</v>
      </c>
      <c r="BE105" s="130">
        <f t="shared" si="104"/>
        <v>0.04992931075</v>
      </c>
      <c r="BF105" s="130">
        <f t="shared" si="104"/>
        <v>0.04952075983</v>
      </c>
      <c r="BG105" s="130">
        <f t="shared" si="104"/>
        <v>0.0491115116</v>
      </c>
      <c r="BH105" s="130">
        <f t="shared" si="104"/>
        <v>0.04870726939</v>
      </c>
      <c r="BI105" s="130">
        <f t="shared" si="104"/>
        <v>0.04831178162</v>
      </c>
      <c r="BJ105" s="130">
        <f t="shared" si="104"/>
        <v>0.04792741272</v>
      </c>
      <c r="BK105" s="130">
        <f t="shared" si="104"/>
        <v>0.04755555324</v>
      </c>
      <c r="BL105" s="130">
        <f t="shared" si="104"/>
        <v>0.04740791065</v>
      </c>
      <c r="BM105" s="130">
        <f t="shared" si="104"/>
        <v>0.04736544804</v>
      </c>
      <c r="BN105" s="130">
        <f t="shared" si="104"/>
        <v>0.04723612853</v>
      </c>
      <c r="BO105" s="130">
        <f t="shared" si="104"/>
        <v>0.04712778435</v>
      </c>
      <c r="BP105" s="130">
        <f t="shared" si="104"/>
        <v>0.04702965212</v>
      </c>
      <c r="BQ105" s="130">
        <f t="shared" si="104"/>
        <v>0.04694041594</v>
      </c>
      <c r="BR105" s="130">
        <f t="shared" si="104"/>
        <v>0.04685885908</v>
      </c>
      <c r="BS105" s="130">
        <f t="shared" si="104"/>
        <v>0.04678397854</v>
      </c>
      <c r="BT105" s="130">
        <f t="shared" si="104"/>
        <v>0.04671494246</v>
      </c>
      <c r="BU105" s="130">
        <f t="shared" si="104"/>
        <v>0.04665104771</v>
      </c>
      <c r="BV105" s="130">
        <f t="shared" si="104"/>
        <v>0.04659168942</v>
      </c>
      <c r="BW105" s="130">
        <f t="shared" si="104"/>
        <v>0.04653633943</v>
      </c>
      <c r="BX105" s="130">
        <f t="shared" si="104"/>
        <v>0.04631831849</v>
      </c>
      <c r="BY105" s="130">
        <f t="shared" si="104"/>
        <v>0.04594824746</v>
      </c>
      <c r="BZ105" s="130">
        <f t="shared" si="104"/>
        <v>0.04560533906</v>
      </c>
      <c r="CA105" s="130">
        <f t="shared" si="104"/>
        <v>0.04536365228</v>
      </c>
      <c r="CB105" s="130">
        <f t="shared" si="104"/>
        <v>0.04519922209</v>
      </c>
      <c r="CC105" s="130">
        <f t="shared" si="104"/>
        <v>0.04509432467</v>
      </c>
      <c r="CD105" s="130">
        <f t="shared" si="104"/>
        <v>0.0450342854</v>
      </c>
      <c r="CE105" s="130">
        <f t="shared" si="104"/>
        <v>0.04500783095</v>
      </c>
      <c r="CF105" s="130">
        <f t="shared" si="104"/>
        <v>0.04500648505</v>
      </c>
      <c r="CG105" s="130">
        <f t="shared" si="104"/>
        <v>0.04502391619</v>
      </c>
      <c r="CH105" s="130">
        <f t="shared" si="104"/>
        <v>0.04505539935</v>
      </c>
      <c r="CI105" s="130">
        <f t="shared" si="104"/>
        <v>0.04509740199</v>
      </c>
      <c r="CL105" s="130">
        <f t="shared" ref="CL105:CQ105" si="105">CL104/CL$5</f>
        <v>0.2366456812</v>
      </c>
      <c r="CM105" s="130">
        <f t="shared" si="105"/>
        <v>0.2091758252</v>
      </c>
      <c r="CN105" s="130">
        <f t="shared" si="105"/>
        <v>0.1923311609</v>
      </c>
      <c r="CO105" s="130">
        <f t="shared" si="105"/>
        <v>0.2159850651</v>
      </c>
      <c r="CP105" s="130">
        <f t="shared" si="105"/>
        <v>0.1786224953</v>
      </c>
      <c r="CQ105" s="130">
        <f t="shared" si="105"/>
        <v>0.1224957704</v>
      </c>
    </row>
    <row r="106" ht="15.75" customHeight="1" outlineLevel="1">
      <c r="C106" s="129"/>
      <c r="D106" s="247"/>
      <c r="E106" s="247"/>
      <c r="F106" s="247"/>
      <c r="G106" s="247"/>
      <c r="H106" s="247"/>
      <c r="I106" s="247"/>
      <c r="J106" s="247"/>
      <c r="K106" s="247"/>
      <c r="L106" s="247"/>
      <c r="M106" s="247"/>
      <c r="N106" s="247"/>
      <c r="O106" s="247"/>
      <c r="P106" s="247"/>
      <c r="Q106" s="247"/>
      <c r="R106" s="117"/>
      <c r="S106" s="117"/>
      <c r="T106" s="117"/>
      <c r="U106" s="117"/>
      <c r="V106" s="117"/>
      <c r="W106" s="117"/>
      <c r="X106" s="117"/>
      <c r="Y106" s="117"/>
      <c r="Z106" s="125" t="str">
        <f>SUM(P101:Y101)/SUM(P100:Y100)</f>
        <v>#DIV/0!</v>
      </c>
      <c r="AA106" s="117"/>
      <c r="AB106" s="117"/>
      <c r="AC106" s="117"/>
      <c r="AD106" s="117"/>
      <c r="AE106" s="117"/>
      <c r="AF106" s="117"/>
      <c r="AG106" s="117"/>
      <c r="AH106" s="117"/>
      <c r="AI106" s="117"/>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7"/>
      <c r="BO106" s="117"/>
      <c r="BP106" s="117"/>
      <c r="BQ106" s="117"/>
      <c r="BR106" s="117"/>
      <c r="BS106" s="117"/>
      <c r="BT106" s="117"/>
      <c r="BU106" s="117"/>
      <c r="BV106" s="117"/>
      <c r="BW106" s="117"/>
      <c r="BX106" s="117"/>
      <c r="BY106" s="117"/>
      <c r="BZ106" s="117"/>
      <c r="CA106" s="117"/>
      <c r="CB106" s="117"/>
      <c r="CC106" s="117"/>
      <c r="CD106" s="117"/>
      <c r="CE106" s="117"/>
      <c r="CF106" s="117"/>
      <c r="CG106" s="117"/>
      <c r="CH106" s="117"/>
      <c r="CI106" s="117"/>
      <c r="CL106" s="117"/>
      <c r="CM106" s="117"/>
      <c r="CN106" s="117"/>
      <c r="CO106" s="117"/>
      <c r="CP106" s="117"/>
      <c r="CQ106" s="117"/>
    </row>
    <row r="107" ht="15.75" customHeight="1" outlineLevel="1">
      <c r="A107" s="1" t="s">
        <v>89</v>
      </c>
      <c r="B107" s="91" t="s">
        <v>63</v>
      </c>
      <c r="C107" s="132" t="s">
        <v>206</v>
      </c>
      <c r="D107" s="247">
        <f t="shared" ref="D107:Z107" si="106">RANDBETWEEN(0,5000)</f>
        <v>2037</v>
      </c>
      <c r="E107" s="247">
        <f t="shared" si="106"/>
        <v>400</v>
      </c>
      <c r="F107" s="247">
        <f t="shared" si="106"/>
        <v>327</v>
      </c>
      <c r="G107" s="247">
        <f t="shared" si="106"/>
        <v>4453</v>
      </c>
      <c r="H107" s="247">
        <f t="shared" si="106"/>
        <v>1416</v>
      </c>
      <c r="I107" s="247">
        <f t="shared" si="106"/>
        <v>1963</v>
      </c>
      <c r="J107" s="247">
        <f t="shared" si="106"/>
        <v>866</v>
      </c>
      <c r="K107" s="247">
        <f t="shared" si="106"/>
        <v>1139</v>
      </c>
      <c r="L107" s="247">
        <f t="shared" si="106"/>
        <v>4019</v>
      </c>
      <c r="M107" s="247">
        <f t="shared" si="106"/>
        <v>4508</v>
      </c>
      <c r="N107" s="247">
        <f t="shared" si="106"/>
        <v>36</v>
      </c>
      <c r="O107" s="247">
        <f t="shared" si="106"/>
        <v>2894</v>
      </c>
      <c r="P107" s="247">
        <f t="shared" si="106"/>
        <v>2918</v>
      </c>
      <c r="Q107" s="247">
        <f t="shared" si="106"/>
        <v>2014</v>
      </c>
      <c r="R107" s="247">
        <f t="shared" si="106"/>
        <v>3962</v>
      </c>
      <c r="S107" s="247">
        <f t="shared" si="106"/>
        <v>842</v>
      </c>
      <c r="T107" s="247">
        <f t="shared" si="106"/>
        <v>3950</v>
      </c>
      <c r="U107" s="247">
        <f t="shared" si="106"/>
        <v>4177</v>
      </c>
      <c r="V107" s="247">
        <f t="shared" si="106"/>
        <v>2263</v>
      </c>
      <c r="W107" s="247">
        <f t="shared" si="106"/>
        <v>2702</v>
      </c>
      <c r="X107" s="247">
        <f t="shared" si="106"/>
        <v>4265</v>
      </c>
      <c r="Y107" s="247">
        <f t="shared" si="106"/>
        <v>2441</v>
      </c>
      <c r="Z107" s="247">
        <f t="shared" si="106"/>
        <v>2531</v>
      </c>
      <c r="AA107" s="116">
        <f>Headcount!S81</f>
        <v>2531</v>
      </c>
      <c r="AB107" s="116">
        <f>Headcount!T81</f>
        <v>2644.895</v>
      </c>
      <c r="AC107" s="116">
        <f>Headcount!U81</f>
        <v>2644.895</v>
      </c>
      <c r="AD107" s="116">
        <f>Headcount!V81</f>
        <v>2644.895</v>
      </c>
      <c r="AE107" s="116">
        <f>Headcount!W81</f>
        <v>2644.895</v>
      </c>
      <c r="AF107" s="116">
        <f>Headcount!X81</f>
        <v>2763.915275</v>
      </c>
      <c r="AG107" s="116">
        <f>Headcount!Y81</f>
        <v>2763.915275</v>
      </c>
      <c r="AH107" s="116">
        <f>Headcount!Z81</f>
        <v>2763.915275</v>
      </c>
      <c r="AI107" s="116">
        <f>Headcount!AA81</f>
        <v>2763.915275</v>
      </c>
      <c r="AJ107" s="116">
        <f>Headcount!AB81</f>
        <v>2888.291462</v>
      </c>
      <c r="AK107" s="116">
        <f>Headcount!AC81</f>
        <v>2888.291462</v>
      </c>
      <c r="AL107" s="116">
        <f>Headcount!AD81</f>
        <v>2888.291462</v>
      </c>
      <c r="AM107" s="116">
        <f>Headcount!AE81</f>
        <v>2888.291462</v>
      </c>
      <c r="AN107" s="116">
        <f>Headcount!AF81</f>
        <v>3003.823121</v>
      </c>
      <c r="AO107" s="116">
        <f>Headcount!AG81</f>
        <v>3003.823121</v>
      </c>
      <c r="AP107" s="116">
        <f>Headcount!AH81</f>
        <v>3003.823121</v>
      </c>
      <c r="AQ107" s="116">
        <f>Headcount!AI81</f>
        <v>3003.823121</v>
      </c>
      <c r="AR107" s="116">
        <f>Headcount!AJ81</f>
        <v>3123.976046</v>
      </c>
      <c r="AS107" s="116">
        <f>Headcount!AK81</f>
        <v>3123.976046</v>
      </c>
      <c r="AT107" s="116">
        <f>Headcount!AL81</f>
        <v>3123.976046</v>
      </c>
      <c r="AU107" s="116">
        <f>Headcount!AM81</f>
        <v>3123.976046</v>
      </c>
      <c r="AV107" s="116">
        <f>Headcount!AN81</f>
        <v>3248.935088</v>
      </c>
      <c r="AW107" s="116">
        <f>Headcount!AO81</f>
        <v>3248.935088</v>
      </c>
      <c r="AX107" s="116">
        <f>Headcount!AP81</f>
        <v>3248.935088</v>
      </c>
      <c r="AY107" s="116">
        <f>Headcount!AQ81</f>
        <v>3248.935088</v>
      </c>
      <c r="AZ107" s="116">
        <f>Headcount!AR81</f>
        <v>3378.892491</v>
      </c>
      <c r="BA107" s="116">
        <f>Headcount!AS81</f>
        <v>3378.892491</v>
      </c>
      <c r="BB107" s="116">
        <f>Headcount!AT81</f>
        <v>3378.892491</v>
      </c>
      <c r="BC107" s="116">
        <f>Headcount!AU81</f>
        <v>3378.892491</v>
      </c>
      <c r="BD107" s="116">
        <f>Headcount!AV81</f>
        <v>3514.048191</v>
      </c>
      <c r="BE107" s="116">
        <f>Headcount!AW81</f>
        <v>3514.048191</v>
      </c>
      <c r="BF107" s="116">
        <f>Headcount!AX81</f>
        <v>3514.048191</v>
      </c>
      <c r="BG107" s="116">
        <f>Headcount!AY81</f>
        <v>3514.048191</v>
      </c>
      <c r="BH107" s="116">
        <f>Headcount!AZ81</f>
        <v>3654.610118</v>
      </c>
      <c r="BI107" s="116">
        <f>Headcount!BA81</f>
        <v>3654.610118</v>
      </c>
      <c r="BJ107" s="116">
        <f>Headcount!BB81</f>
        <v>3654.610118</v>
      </c>
      <c r="BK107" s="116">
        <f>Headcount!BC81</f>
        <v>3654.610118</v>
      </c>
      <c r="BL107" s="116">
        <f>Headcount!BD81</f>
        <v>3800.794523</v>
      </c>
      <c r="BM107" s="116">
        <f>Headcount!BE81</f>
        <v>3800.794523</v>
      </c>
      <c r="BN107" s="116">
        <f>Headcount!BF81</f>
        <v>3800.794523</v>
      </c>
      <c r="BO107" s="116">
        <f>Headcount!BG81</f>
        <v>3800.794523</v>
      </c>
      <c r="BP107" s="116">
        <f>Headcount!BH81</f>
        <v>3952.826304</v>
      </c>
      <c r="BQ107" s="116">
        <f>Headcount!BI81</f>
        <v>3952.826304</v>
      </c>
      <c r="BR107" s="116">
        <f>Headcount!BJ81</f>
        <v>3952.826304</v>
      </c>
      <c r="BS107" s="116">
        <f>Headcount!BK81</f>
        <v>3952.826304</v>
      </c>
      <c r="BT107" s="116">
        <f>Headcount!BL81</f>
        <v>4110.939356</v>
      </c>
      <c r="BU107" s="116">
        <f>Headcount!BM81</f>
        <v>4110.939356</v>
      </c>
      <c r="BV107" s="116">
        <f>Headcount!BN81</f>
        <v>4110.939356</v>
      </c>
      <c r="BW107" s="116">
        <f>Headcount!BO81</f>
        <v>4110.939356</v>
      </c>
      <c r="BX107" s="116">
        <f>Headcount!BP81</f>
        <v>4275.37693</v>
      </c>
      <c r="BY107" s="116">
        <f>Headcount!BQ81</f>
        <v>4275.37693</v>
      </c>
      <c r="BZ107" s="116">
        <f>Headcount!BR81</f>
        <v>4275.37693</v>
      </c>
      <c r="CA107" s="116">
        <f>Headcount!BS81</f>
        <v>4275.37693</v>
      </c>
      <c r="CB107" s="116">
        <f>Headcount!BT81</f>
        <v>4446.392008</v>
      </c>
      <c r="CC107" s="116">
        <f>Headcount!BU81</f>
        <v>4446.392008</v>
      </c>
      <c r="CD107" s="116">
        <f>Headcount!BV81</f>
        <v>4446.392008</v>
      </c>
      <c r="CE107" s="116">
        <f>Headcount!BW81</f>
        <v>4446.392008</v>
      </c>
      <c r="CF107" s="116">
        <f>Headcount!BX81</f>
        <v>4624.247688</v>
      </c>
      <c r="CG107" s="116">
        <f>Headcount!BY81</f>
        <v>4624.247688</v>
      </c>
      <c r="CH107" s="116">
        <f>Headcount!BZ81</f>
        <v>4624.247688</v>
      </c>
      <c r="CI107" s="116">
        <f>Headcount!CA81</f>
        <v>4624.247688</v>
      </c>
      <c r="CL107" s="117">
        <f t="shared" ref="CL107:CL118" si="108">SUM(D107:G107)</f>
        <v>7217</v>
      </c>
      <c r="CM107" s="117">
        <f t="shared" ref="CM107:CM118" si="109">SUM(H107:K107)</f>
        <v>5384</v>
      </c>
      <c r="CN107" s="117">
        <f t="shared" ref="CN107:CN118" si="110">SUM(L107:O107)</f>
        <v>11457</v>
      </c>
      <c r="CO107" s="117">
        <f t="shared" ref="CO107:CO118" si="111">SUM(P107:S107)</f>
        <v>9736</v>
      </c>
      <c r="CP107" s="117">
        <f t="shared" ref="CP107:CP118" si="112">SUM(T107:W107)</f>
        <v>13092</v>
      </c>
      <c r="CQ107" s="117">
        <f t="shared" ref="CQ107:CQ118" si="113">SUM(X107:AA107)</f>
        <v>11768</v>
      </c>
    </row>
    <row r="108" ht="15.75" customHeight="1" outlineLevel="1">
      <c r="A108" s="1" t="s">
        <v>89</v>
      </c>
      <c r="B108" s="91" t="s">
        <v>63</v>
      </c>
      <c r="C108" s="132" t="s">
        <v>207</v>
      </c>
      <c r="D108" s="247">
        <f t="shared" ref="D108:Z108" si="107">RANDBETWEEN(0,5000)</f>
        <v>162</v>
      </c>
      <c r="E108" s="247">
        <f t="shared" si="107"/>
        <v>1159</v>
      </c>
      <c r="F108" s="247">
        <f t="shared" si="107"/>
        <v>794</v>
      </c>
      <c r="G108" s="247">
        <f t="shared" si="107"/>
        <v>2096</v>
      </c>
      <c r="H108" s="247">
        <f t="shared" si="107"/>
        <v>27</v>
      </c>
      <c r="I108" s="247">
        <f t="shared" si="107"/>
        <v>401</v>
      </c>
      <c r="J108" s="247">
        <f t="shared" si="107"/>
        <v>233</v>
      </c>
      <c r="K108" s="247">
        <f t="shared" si="107"/>
        <v>2658</v>
      </c>
      <c r="L108" s="247">
        <f t="shared" si="107"/>
        <v>3999</v>
      </c>
      <c r="M108" s="247">
        <f t="shared" si="107"/>
        <v>2554</v>
      </c>
      <c r="N108" s="247">
        <f t="shared" si="107"/>
        <v>3606</v>
      </c>
      <c r="O108" s="247">
        <f t="shared" si="107"/>
        <v>3449</v>
      </c>
      <c r="P108" s="247">
        <f t="shared" si="107"/>
        <v>3756</v>
      </c>
      <c r="Q108" s="247">
        <f t="shared" si="107"/>
        <v>696</v>
      </c>
      <c r="R108" s="247">
        <f t="shared" si="107"/>
        <v>4105</v>
      </c>
      <c r="S108" s="247">
        <f t="shared" si="107"/>
        <v>3951</v>
      </c>
      <c r="T108" s="247">
        <f t="shared" si="107"/>
        <v>4005</v>
      </c>
      <c r="U108" s="247">
        <f t="shared" si="107"/>
        <v>3144</v>
      </c>
      <c r="V108" s="247">
        <f t="shared" si="107"/>
        <v>4129</v>
      </c>
      <c r="W108" s="247">
        <f t="shared" si="107"/>
        <v>4158</v>
      </c>
      <c r="X108" s="247">
        <f t="shared" si="107"/>
        <v>3333</v>
      </c>
      <c r="Y108" s="247">
        <f t="shared" si="107"/>
        <v>1463</v>
      </c>
      <c r="Z108" s="247">
        <f t="shared" si="107"/>
        <v>4197</v>
      </c>
      <c r="AA108" s="117">
        <f>Headcount!S164</f>
        <v>5000</v>
      </c>
      <c r="AB108" s="117">
        <f>Headcount!T164</f>
        <v>5000</v>
      </c>
      <c r="AC108" s="117">
        <f>Headcount!U164</f>
        <v>5000</v>
      </c>
      <c r="AD108" s="117">
        <f>Headcount!V164</f>
        <v>5000</v>
      </c>
      <c r="AE108" s="117">
        <f>Headcount!W164</f>
        <v>5000</v>
      </c>
      <c r="AF108" s="117">
        <f>Headcount!X164</f>
        <v>5000</v>
      </c>
      <c r="AG108" s="117">
        <f>Headcount!Y164</f>
        <v>5000</v>
      </c>
      <c r="AH108" s="117">
        <f>Headcount!Z164</f>
        <v>10000</v>
      </c>
      <c r="AI108" s="117">
        <f>Headcount!AA164</f>
        <v>10000</v>
      </c>
      <c r="AJ108" s="117">
        <f>Headcount!AB164</f>
        <v>10000</v>
      </c>
      <c r="AK108" s="117">
        <f>Headcount!AC164</f>
        <v>10000</v>
      </c>
      <c r="AL108" s="117">
        <f>Headcount!AD164</f>
        <v>10000</v>
      </c>
      <c r="AM108" s="117">
        <f>Headcount!AE164</f>
        <v>10000</v>
      </c>
      <c r="AN108" s="117">
        <f>Headcount!AF164</f>
        <v>15000</v>
      </c>
      <c r="AO108" s="117">
        <f>Headcount!AG164</f>
        <v>15000</v>
      </c>
      <c r="AP108" s="117">
        <f>Headcount!AH164</f>
        <v>15000</v>
      </c>
      <c r="AQ108" s="117">
        <f>Headcount!AI164</f>
        <v>15000</v>
      </c>
      <c r="AR108" s="117">
        <f>Headcount!AJ164</f>
        <v>15000</v>
      </c>
      <c r="AS108" s="117">
        <f>Headcount!AK164</f>
        <v>15000</v>
      </c>
      <c r="AT108" s="117">
        <f>Headcount!AL164</f>
        <v>20000</v>
      </c>
      <c r="AU108" s="117">
        <f>Headcount!AM164</f>
        <v>20000</v>
      </c>
      <c r="AV108" s="117">
        <f>Headcount!AN164</f>
        <v>20000</v>
      </c>
      <c r="AW108" s="117">
        <f>Headcount!AO164</f>
        <v>20000</v>
      </c>
      <c r="AX108" s="117">
        <f>Headcount!AP164</f>
        <v>20000</v>
      </c>
      <c r="AY108" s="117">
        <f>Headcount!AQ164</f>
        <v>20000</v>
      </c>
      <c r="AZ108" s="117">
        <f>Headcount!AR164</f>
        <v>20000</v>
      </c>
      <c r="BA108" s="117">
        <f>Headcount!AS164</f>
        <v>20000</v>
      </c>
      <c r="BB108" s="117">
        <f>Headcount!AT164</f>
        <v>20000</v>
      </c>
      <c r="BC108" s="117">
        <f>Headcount!AU164</f>
        <v>20000</v>
      </c>
      <c r="BD108" s="117">
        <f>Headcount!AV164</f>
        <v>20000</v>
      </c>
      <c r="BE108" s="117">
        <f>Headcount!AW164</f>
        <v>20000</v>
      </c>
      <c r="BF108" s="117">
        <f>Headcount!AX164</f>
        <v>20000</v>
      </c>
      <c r="BG108" s="117">
        <f>Headcount!AY164</f>
        <v>20000</v>
      </c>
      <c r="BH108" s="117">
        <f>Headcount!AZ164</f>
        <v>20000</v>
      </c>
      <c r="BI108" s="117">
        <f>Headcount!BA164</f>
        <v>20000</v>
      </c>
      <c r="BJ108" s="117">
        <f>Headcount!BB164</f>
        <v>20000</v>
      </c>
      <c r="BK108" s="117">
        <f>Headcount!BC164</f>
        <v>20000</v>
      </c>
      <c r="BL108" s="117">
        <f>Headcount!BD164</f>
        <v>20000</v>
      </c>
      <c r="BM108" s="117">
        <f>Headcount!BE164</f>
        <v>20000</v>
      </c>
      <c r="BN108" s="117">
        <f>Headcount!BF164</f>
        <v>20000</v>
      </c>
      <c r="BO108" s="117">
        <f>Headcount!BG164</f>
        <v>20000</v>
      </c>
      <c r="BP108" s="117">
        <f>Headcount!BH164</f>
        <v>20000</v>
      </c>
      <c r="BQ108" s="117">
        <f>Headcount!BI164</f>
        <v>20000</v>
      </c>
      <c r="BR108" s="117">
        <f>Headcount!BJ164</f>
        <v>20000</v>
      </c>
      <c r="BS108" s="117">
        <f>Headcount!BK164</f>
        <v>20000</v>
      </c>
      <c r="BT108" s="117">
        <f>Headcount!BL164</f>
        <v>20000</v>
      </c>
      <c r="BU108" s="117">
        <f>Headcount!BM164</f>
        <v>20000</v>
      </c>
      <c r="BV108" s="117">
        <f>Headcount!BN164</f>
        <v>20000</v>
      </c>
      <c r="BW108" s="117">
        <f>Headcount!BO164</f>
        <v>20000</v>
      </c>
      <c r="BX108" s="117">
        <f>Headcount!BP164</f>
        <v>20000</v>
      </c>
      <c r="BY108" s="117">
        <f>Headcount!BQ164</f>
        <v>20000</v>
      </c>
      <c r="BZ108" s="117">
        <f>Headcount!BR164</f>
        <v>20000</v>
      </c>
      <c r="CA108" s="117">
        <f>Headcount!BS164</f>
        <v>20000</v>
      </c>
      <c r="CB108" s="117">
        <f>Headcount!BT164</f>
        <v>20000</v>
      </c>
      <c r="CC108" s="117">
        <f>Headcount!BU164</f>
        <v>20000</v>
      </c>
      <c r="CD108" s="117">
        <f>Headcount!BV164</f>
        <v>20000</v>
      </c>
      <c r="CE108" s="117">
        <f>Headcount!BW164</f>
        <v>20000</v>
      </c>
      <c r="CF108" s="117">
        <f>Headcount!BX164</f>
        <v>20000</v>
      </c>
      <c r="CG108" s="117">
        <f>Headcount!BY164</f>
        <v>20000</v>
      </c>
      <c r="CH108" s="117">
        <f>Headcount!BZ164</f>
        <v>20000</v>
      </c>
      <c r="CI108" s="117">
        <f>Headcount!CA164</f>
        <v>20000</v>
      </c>
      <c r="CL108" s="117">
        <f t="shared" si="108"/>
        <v>4211</v>
      </c>
      <c r="CM108" s="117">
        <f t="shared" si="109"/>
        <v>3319</v>
      </c>
      <c r="CN108" s="117">
        <f t="shared" si="110"/>
        <v>13608</v>
      </c>
      <c r="CO108" s="117">
        <f t="shared" si="111"/>
        <v>12508</v>
      </c>
      <c r="CP108" s="117">
        <f t="shared" si="112"/>
        <v>15436</v>
      </c>
      <c r="CQ108" s="117">
        <f t="shared" si="113"/>
        <v>13993</v>
      </c>
    </row>
    <row r="109" ht="15.75" customHeight="1" outlineLevel="1">
      <c r="B109" s="91"/>
      <c r="C109" s="132" t="s">
        <v>208</v>
      </c>
      <c r="D109" s="514">
        <f t="shared" ref="D109:CI109" si="114">(D107)+(D108)</f>
        <v>2199</v>
      </c>
      <c r="E109" s="514">
        <f t="shared" si="114"/>
        <v>1559</v>
      </c>
      <c r="F109" s="514">
        <f t="shared" si="114"/>
        <v>1121</v>
      </c>
      <c r="G109" s="514">
        <f t="shared" si="114"/>
        <v>6549</v>
      </c>
      <c r="H109" s="514">
        <f t="shared" si="114"/>
        <v>1443</v>
      </c>
      <c r="I109" s="514">
        <f t="shared" si="114"/>
        <v>2364</v>
      </c>
      <c r="J109" s="514">
        <f t="shared" si="114"/>
        <v>1099</v>
      </c>
      <c r="K109" s="514">
        <f t="shared" si="114"/>
        <v>3797</v>
      </c>
      <c r="L109" s="514">
        <f t="shared" si="114"/>
        <v>8018</v>
      </c>
      <c r="M109" s="514">
        <f t="shared" si="114"/>
        <v>7062</v>
      </c>
      <c r="N109" s="514">
        <f t="shared" si="114"/>
        <v>3642</v>
      </c>
      <c r="O109" s="514">
        <f t="shared" si="114"/>
        <v>6343</v>
      </c>
      <c r="P109" s="514">
        <f t="shared" si="114"/>
        <v>6674</v>
      </c>
      <c r="Q109" s="514">
        <f t="shared" si="114"/>
        <v>2710</v>
      </c>
      <c r="R109" s="514">
        <f t="shared" si="114"/>
        <v>8067</v>
      </c>
      <c r="S109" s="514">
        <f t="shared" si="114"/>
        <v>4793</v>
      </c>
      <c r="T109" s="514">
        <f t="shared" si="114"/>
        <v>7955</v>
      </c>
      <c r="U109" s="514">
        <f t="shared" si="114"/>
        <v>7321</v>
      </c>
      <c r="V109" s="514">
        <f t="shared" si="114"/>
        <v>6392</v>
      </c>
      <c r="W109" s="514">
        <f t="shared" si="114"/>
        <v>6860</v>
      </c>
      <c r="X109" s="514">
        <f t="shared" si="114"/>
        <v>7598</v>
      </c>
      <c r="Y109" s="514">
        <f t="shared" si="114"/>
        <v>3904</v>
      </c>
      <c r="Z109" s="514">
        <f t="shared" si="114"/>
        <v>6728</v>
      </c>
      <c r="AA109" s="514">
        <f t="shared" si="114"/>
        <v>7531</v>
      </c>
      <c r="AB109" s="514">
        <f t="shared" si="114"/>
        <v>7644.895</v>
      </c>
      <c r="AC109" s="514">
        <f t="shared" si="114"/>
        <v>7644.895</v>
      </c>
      <c r="AD109" s="514">
        <f t="shared" si="114"/>
        <v>7644.895</v>
      </c>
      <c r="AE109" s="514">
        <f t="shared" si="114"/>
        <v>7644.895</v>
      </c>
      <c r="AF109" s="514">
        <f t="shared" si="114"/>
        <v>7763.915275</v>
      </c>
      <c r="AG109" s="514">
        <f t="shared" si="114"/>
        <v>7763.915275</v>
      </c>
      <c r="AH109" s="514">
        <f t="shared" si="114"/>
        <v>12763.91528</v>
      </c>
      <c r="AI109" s="514">
        <f t="shared" si="114"/>
        <v>12763.91528</v>
      </c>
      <c r="AJ109" s="514">
        <f t="shared" si="114"/>
        <v>12888.29146</v>
      </c>
      <c r="AK109" s="514">
        <f t="shared" si="114"/>
        <v>12888.29146</v>
      </c>
      <c r="AL109" s="514">
        <f t="shared" si="114"/>
        <v>12888.29146</v>
      </c>
      <c r="AM109" s="514">
        <f t="shared" si="114"/>
        <v>12888.29146</v>
      </c>
      <c r="AN109" s="514">
        <f t="shared" si="114"/>
        <v>18003.82312</v>
      </c>
      <c r="AO109" s="514">
        <f t="shared" si="114"/>
        <v>18003.82312</v>
      </c>
      <c r="AP109" s="514">
        <f t="shared" si="114"/>
        <v>18003.82312</v>
      </c>
      <c r="AQ109" s="514">
        <f t="shared" si="114"/>
        <v>18003.82312</v>
      </c>
      <c r="AR109" s="514">
        <f t="shared" si="114"/>
        <v>18123.97605</v>
      </c>
      <c r="AS109" s="514">
        <f t="shared" si="114"/>
        <v>18123.97605</v>
      </c>
      <c r="AT109" s="514">
        <f t="shared" si="114"/>
        <v>23123.97605</v>
      </c>
      <c r="AU109" s="514">
        <f t="shared" si="114"/>
        <v>23123.97605</v>
      </c>
      <c r="AV109" s="514">
        <f t="shared" si="114"/>
        <v>23248.93509</v>
      </c>
      <c r="AW109" s="514">
        <f t="shared" si="114"/>
        <v>23248.93509</v>
      </c>
      <c r="AX109" s="514">
        <f t="shared" si="114"/>
        <v>23248.93509</v>
      </c>
      <c r="AY109" s="514">
        <f t="shared" si="114"/>
        <v>23248.93509</v>
      </c>
      <c r="AZ109" s="514">
        <f t="shared" si="114"/>
        <v>23378.89249</v>
      </c>
      <c r="BA109" s="514">
        <f t="shared" si="114"/>
        <v>23378.89249</v>
      </c>
      <c r="BB109" s="514">
        <f t="shared" si="114"/>
        <v>23378.89249</v>
      </c>
      <c r="BC109" s="514">
        <f t="shared" si="114"/>
        <v>23378.89249</v>
      </c>
      <c r="BD109" s="514">
        <f t="shared" si="114"/>
        <v>23514.04819</v>
      </c>
      <c r="BE109" s="514">
        <f t="shared" si="114"/>
        <v>23514.04819</v>
      </c>
      <c r="BF109" s="514">
        <f t="shared" si="114"/>
        <v>23514.04819</v>
      </c>
      <c r="BG109" s="514">
        <f t="shared" si="114"/>
        <v>23514.04819</v>
      </c>
      <c r="BH109" s="514">
        <f t="shared" si="114"/>
        <v>23654.61012</v>
      </c>
      <c r="BI109" s="514">
        <f t="shared" si="114"/>
        <v>23654.61012</v>
      </c>
      <c r="BJ109" s="514">
        <f t="shared" si="114"/>
        <v>23654.61012</v>
      </c>
      <c r="BK109" s="514">
        <f t="shared" si="114"/>
        <v>23654.61012</v>
      </c>
      <c r="BL109" s="514">
        <f t="shared" si="114"/>
        <v>23800.79452</v>
      </c>
      <c r="BM109" s="514">
        <f t="shared" si="114"/>
        <v>23800.79452</v>
      </c>
      <c r="BN109" s="514">
        <f t="shared" si="114"/>
        <v>23800.79452</v>
      </c>
      <c r="BO109" s="514">
        <f t="shared" si="114"/>
        <v>23800.79452</v>
      </c>
      <c r="BP109" s="514">
        <f t="shared" si="114"/>
        <v>23952.8263</v>
      </c>
      <c r="BQ109" s="514">
        <f t="shared" si="114"/>
        <v>23952.8263</v>
      </c>
      <c r="BR109" s="514">
        <f t="shared" si="114"/>
        <v>23952.8263</v>
      </c>
      <c r="BS109" s="514">
        <f t="shared" si="114"/>
        <v>23952.8263</v>
      </c>
      <c r="BT109" s="514">
        <f t="shared" si="114"/>
        <v>24110.93936</v>
      </c>
      <c r="BU109" s="514">
        <f t="shared" si="114"/>
        <v>24110.93936</v>
      </c>
      <c r="BV109" s="514">
        <f t="shared" si="114"/>
        <v>24110.93936</v>
      </c>
      <c r="BW109" s="514">
        <f t="shared" si="114"/>
        <v>24110.93936</v>
      </c>
      <c r="BX109" s="514">
        <f t="shared" si="114"/>
        <v>24275.37693</v>
      </c>
      <c r="BY109" s="514">
        <f t="shared" si="114"/>
        <v>24275.37693</v>
      </c>
      <c r="BZ109" s="514">
        <f t="shared" si="114"/>
        <v>24275.37693</v>
      </c>
      <c r="CA109" s="514">
        <f t="shared" si="114"/>
        <v>24275.37693</v>
      </c>
      <c r="CB109" s="514">
        <f t="shared" si="114"/>
        <v>24446.39201</v>
      </c>
      <c r="CC109" s="514">
        <f t="shared" si="114"/>
        <v>24446.39201</v>
      </c>
      <c r="CD109" s="514">
        <f t="shared" si="114"/>
        <v>24446.39201</v>
      </c>
      <c r="CE109" s="514">
        <f t="shared" si="114"/>
        <v>24446.39201</v>
      </c>
      <c r="CF109" s="514">
        <f t="shared" si="114"/>
        <v>24624.24769</v>
      </c>
      <c r="CG109" s="514">
        <f t="shared" si="114"/>
        <v>24624.24769</v>
      </c>
      <c r="CH109" s="514">
        <f t="shared" si="114"/>
        <v>24624.24769</v>
      </c>
      <c r="CI109" s="514">
        <f t="shared" si="114"/>
        <v>24624.24769</v>
      </c>
      <c r="CL109" s="514">
        <f t="shared" si="108"/>
        <v>11428</v>
      </c>
      <c r="CM109" s="514">
        <f t="shared" si="109"/>
        <v>8703</v>
      </c>
      <c r="CN109" s="514">
        <f t="shared" si="110"/>
        <v>25065</v>
      </c>
      <c r="CO109" s="514">
        <f t="shared" si="111"/>
        <v>22244</v>
      </c>
      <c r="CP109" s="514">
        <f t="shared" si="112"/>
        <v>28528</v>
      </c>
      <c r="CQ109" s="514">
        <f t="shared" si="113"/>
        <v>25761</v>
      </c>
    </row>
    <row r="110" ht="15.75" customHeight="1" outlineLevel="1">
      <c r="A110" s="1" t="s">
        <v>89</v>
      </c>
      <c r="B110" s="91" t="s">
        <v>63</v>
      </c>
      <c r="C110" s="132" t="s">
        <v>209</v>
      </c>
      <c r="D110" s="247">
        <f t="shared" ref="D110:Z110" si="115">RANDBETWEEN(0,5000)</f>
        <v>1676</v>
      </c>
      <c r="E110" s="247">
        <f t="shared" si="115"/>
        <v>4130</v>
      </c>
      <c r="F110" s="247">
        <f t="shared" si="115"/>
        <v>4504</v>
      </c>
      <c r="G110" s="247">
        <f t="shared" si="115"/>
        <v>2173</v>
      </c>
      <c r="H110" s="247">
        <f t="shared" si="115"/>
        <v>1214</v>
      </c>
      <c r="I110" s="247">
        <f t="shared" si="115"/>
        <v>276</v>
      </c>
      <c r="J110" s="247">
        <f t="shared" si="115"/>
        <v>1022</v>
      </c>
      <c r="K110" s="247">
        <f t="shared" si="115"/>
        <v>4846</v>
      </c>
      <c r="L110" s="247">
        <f t="shared" si="115"/>
        <v>3815</v>
      </c>
      <c r="M110" s="247">
        <f t="shared" si="115"/>
        <v>3062</v>
      </c>
      <c r="N110" s="247">
        <f t="shared" si="115"/>
        <v>3057</v>
      </c>
      <c r="O110" s="247">
        <f t="shared" si="115"/>
        <v>1494</v>
      </c>
      <c r="P110" s="247">
        <f t="shared" si="115"/>
        <v>736</v>
      </c>
      <c r="Q110" s="247">
        <f t="shared" si="115"/>
        <v>3016</v>
      </c>
      <c r="R110" s="247">
        <f t="shared" si="115"/>
        <v>1873</v>
      </c>
      <c r="S110" s="247">
        <f t="shared" si="115"/>
        <v>4516</v>
      </c>
      <c r="T110" s="247">
        <f t="shared" si="115"/>
        <v>1067</v>
      </c>
      <c r="U110" s="247">
        <f t="shared" si="115"/>
        <v>2915</v>
      </c>
      <c r="V110" s="247">
        <f t="shared" si="115"/>
        <v>3603</v>
      </c>
      <c r="W110" s="247">
        <f t="shared" si="115"/>
        <v>1986</v>
      </c>
      <c r="X110" s="247">
        <f t="shared" si="115"/>
        <v>3604</v>
      </c>
      <c r="Y110" s="247">
        <f t="shared" si="115"/>
        <v>2468</v>
      </c>
      <c r="Z110" s="247">
        <f t="shared" si="115"/>
        <v>1740</v>
      </c>
      <c r="AA110" s="511">
        <f>AA$109*Headcount!S$100</f>
        <v>753.1</v>
      </c>
      <c r="AB110" s="511">
        <f>AB$109*Headcount!T$100</f>
        <v>764.4895</v>
      </c>
      <c r="AC110" s="511">
        <f>AC$109*Headcount!U$100</f>
        <v>764.4895</v>
      </c>
      <c r="AD110" s="511">
        <f>AD$109*Headcount!V$100</f>
        <v>764.4895</v>
      </c>
      <c r="AE110" s="511">
        <f>AE$109*Headcount!W$100</f>
        <v>764.4895</v>
      </c>
      <c r="AF110" s="511">
        <f>AF$109*Headcount!X$100</f>
        <v>776.3915275</v>
      </c>
      <c r="AG110" s="511">
        <f>AG$109*Headcount!Y$100</f>
        <v>776.3915275</v>
      </c>
      <c r="AH110" s="511">
        <f>AH$109*Headcount!Z$100</f>
        <v>1276.391528</v>
      </c>
      <c r="AI110" s="511">
        <f>AI$109*Headcount!AA$100</f>
        <v>1276.391528</v>
      </c>
      <c r="AJ110" s="511">
        <f>AJ$109*Headcount!AB$100</f>
        <v>1288.829146</v>
      </c>
      <c r="AK110" s="511">
        <f>AK$109*Headcount!AC$100</f>
        <v>1288.829146</v>
      </c>
      <c r="AL110" s="511">
        <f>AL$109*Headcount!AD$100</f>
        <v>1288.829146</v>
      </c>
      <c r="AM110" s="511">
        <f>AM$109*Headcount!AE$100</f>
        <v>1288.829146</v>
      </c>
      <c r="AN110" s="511">
        <f>AN$109*Headcount!AF$100</f>
        <v>1800.382312</v>
      </c>
      <c r="AO110" s="511">
        <f>AO$109*Headcount!AG$100</f>
        <v>1800.382312</v>
      </c>
      <c r="AP110" s="511">
        <f>AP$109*Headcount!AH$100</f>
        <v>1800.382312</v>
      </c>
      <c r="AQ110" s="511">
        <f>AQ$109*Headcount!AI$100</f>
        <v>1800.382312</v>
      </c>
      <c r="AR110" s="511">
        <f>AR$109*Headcount!AJ$100</f>
        <v>1812.397605</v>
      </c>
      <c r="AS110" s="511">
        <f>AS$109*Headcount!AK$100</f>
        <v>1812.397605</v>
      </c>
      <c r="AT110" s="511">
        <f>AT$109*Headcount!AL$100</f>
        <v>2312.397605</v>
      </c>
      <c r="AU110" s="511">
        <f>AU$109*Headcount!AM$100</f>
        <v>2312.397605</v>
      </c>
      <c r="AV110" s="511">
        <f>AV$109*Headcount!AN$100</f>
        <v>2324.893509</v>
      </c>
      <c r="AW110" s="511">
        <f>AW$109*Headcount!AO$100</f>
        <v>2324.893509</v>
      </c>
      <c r="AX110" s="511">
        <f>AX$109*Headcount!AP$100</f>
        <v>2324.893509</v>
      </c>
      <c r="AY110" s="511">
        <f>AY$109*Headcount!AQ$100</f>
        <v>2324.893509</v>
      </c>
      <c r="AZ110" s="511">
        <f>AZ$109*Headcount!AR$100</f>
        <v>2337.889249</v>
      </c>
      <c r="BA110" s="511">
        <f>BA$109*Headcount!AS$100</f>
        <v>2337.889249</v>
      </c>
      <c r="BB110" s="511">
        <f>BB$109*Headcount!AT$100</f>
        <v>2337.889249</v>
      </c>
      <c r="BC110" s="511">
        <f>BC$109*Headcount!AU$100</f>
        <v>2337.889249</v>
      </c>
      <c r="BD110" s="511">
        <f>BD$109*Headcount!AV$100</f>
        <v>2351.404819</v>
      </c>
      <c r="BE110" s="511">
        <f>BE$109*Headcount!AW$100</f>
        <v>2351.404819</v>
      </c>
      <c r="BF110" s="511">
        <f>BF$109*Headcount!AX$100</f>
        <v>2351.404819</v>
      </c>
      <c r="BG110" s="511">
        <f>BG$109*Headcount!AY$100</f>
        <v>2351.404819</v>
      </c>
      <c r="BH110" s="511">
        <f>BH$109*Headcount!AZ$100</f>
        <v>2365.461012</v>
      </c>
      <c r="BI110" s="511">
        <f>BI$109*Headcount!BA$100</f>
        <v>2365.461012</v>
      </c>
      <c r="BJ110" s="511">
        <f>BJ$109*Headcount!BB$100</f>
        <v>2365.461012</v>
      </c>
      <c r="BK110" s="511">
        <f>BK$109*Headcount!BC$100</f>
        <v>2365.461012</v>
      </c>
      <c r="BL110" s="511">
        <f>BL$109*Headcount!BD$100</f>
        <v>2380.079452</v>
      </c>
      <c r="BM110" s="511">
        <f>BM$109*Headcount!BE$100</f>
        <v>2380.079452</v>
      </c>
      <c r="BN110" s="511">
        <f>BN$109*Headcount!BF$100</f>
        <v>2380.079452</v>
      </c>
      <c r="BO110" s="511">
        <f>BO$109*Headcount!BG$100</f>
        <v>2380.079452</v>
      </c>
      <c r="BP110" s="511">
        <f>BP$109*Headcount!BH$100</f>
        <v>2395.28263</v>
      </c>
      <c r="BQ110" s="511">
        <f>BQ$109*Headcount!BI$100</f>
        <v>2395.28263</v>
      </c>
      <c r="BR110" s="511">
        <f>BR$109*Headcount!BJ$100</f>
        <v>2395.28263</v>
      </c>
      <c r="BS110" s="511">
        <f>BS$109*Headcount!BK$100</f>
        <v>2395.28263</v>
      </c>
      <c r="BT110" s="511">
        <f>BT$109*Headcount!BL$100</f>
        <v>2411.093936</v>
      </c>
      <c r="BU110" s="511">
        <f>BU$109*Headcount!BM$100</f>
        <v>2411.093936</v>
      </c>
      <c r="BV110" s="511">
        <f>BV$109*Headcount!BN$100</f>
        <v>2411.093936</v>
      </c>
      <c r="BW110" s="511">
        <f>BW$109*Headcount!BO$100</f>
        <v>2411.093936</v>
      </c>
      <c r="BX110" s="511">
        <f>BX$109*Headcount!BP$100</f>
        <v>2427.537693</v>
      </c>
      <c r="BY110" s="511">
        <f>BY$109*Headcount!BQ$100</f>
        <v>2427.537693</v>
      </c>
      <c r="BZ110" s="511">
        <f>BZ$109*Headcount!BR$100</f>
        <v>2427.537693</v>
      </c>
      <c r="CA110" s="511">
        <f>CA$109*Headcount!BS$100</f>
        <v>2427.537693</v>
      </c>
      <c r="CB110" s="511">
        <f>CB$109*Headcount!BT$100</f>
        <v>2444.639201</v>
      </c>
      <c r="CC110" s="511">
        <f>CC$109*Headcount!BU$100</f>
        <v>2444.639201</v>
      </c>
      <c r="CD110" s="511">
        <f>CD$109*Headcount!BV$100</f>
        <v>2444.639201</v>
      </c>
      <c r="CE110" s="511">
        <f>CE$109*Headcount!BW$100</f>
        <v>2444.639201</v>
      </c>
      <c r="CF110" s="511">
        <f>CF$109*Headcount!BX$100</f>
        <v>2462.424769</v>
      </c>
      <c r="CG110" s="511">
        <f>CG$109*Headcount!BY$100</f>
        <v>2462.424769</v>
      </c>
      <c r="CH110" s="511">
        <f>CH$109*Headcount!BZ$100</f>
        <v>2462.424769</v>
      </c>
      <c r="CI110" s="511">
        <f>CI$109*Headcount!CA$100</f>
        <v>2462.424769</v>
      </c>
      <c r="CL110" s="117">
        <f t="shared" si="108"/>
        <v>12483</v>
      </c>
      <c r="CM110" s="117">
        <f t="shared" si="109"/>
        <v>7358</v>
      </c>
      <c r="CN110" s="117">
        <f t="shared" si="110"/>
        <v>11428</v>
      </c>
      <c r="CO110" s="117">
        <f t="shared" si="111"/>
        <v>10141</v>
      </c>
      <c r="CP110" s="117">
        <f t="shared" si="112"/>
        <v>9571</v>
      </c>
      <c r="CQ110" s="117">
        <f t="shared" si="113"/>
        <v>8565.1</v>
      </c>
    </row>
    <row r="111" ht="15.75" customHeight="1" outlineLevel="1">
      <c r="A111" s="1" t="s">
        <v>89</v>
      </c>
      <c r="B111" s="91" t="s">
        <v>63</v>
      </c>
      <c r="C111" s="132" t="s">
        <v>210</v>
      </c>
      <c r="D111" s="247">
        <f t="shared" ref="D111:Z111" si="116">RANDBETWEEN(0,5000)</f>
        <v>186</v>
      </c>
      <c r="E111" s="247">
        <f t="shared" si="116"/>
        <v>4019</v>
      </c>
      <c r="F111" s="247">
        <f t="shared" si="116"/>
        <v>389</v>
      </c>
      <c r="G111" s="247">
        <f t="shared" si="116"/>
        <v>40</v>
      </c>
      <c r="H111" s="247">
        <f t="shared" si="116"/>
        <v>4842</v>
      </c>
      <c r="I111" s="247">
        <f t="shared" si="116"/>
        <v>1500</v>
      </c>
      <c r="J111" s="247">
        <f t="shared" si="116"/>
        <v>1872</v>
      </c>
      <c r="K111" s="247">
        <f t="shared" si="116"/>
        <v>4083</v>
      </c>
      <c r="L111" s="247">
        <f t="shared" si="116"/>
        <v>4974</v>
      </c>
      <c r="M111" s="247">
        <f t="shared" si="116"/>
        <v>595</v>
      </c>
      <c r="N111" s="247">
        <f t="shared" si="116"/>
        <v>2745</v>
      </c>
      <c r="O111" s="247">
        <f t="shared" si="116"/>
        <v>773</v>
      </c>
      <c r="P111" s="247">
        <f t="shared" si="116"/>
        <v>4174</v>
      </c>
      <c r="Q111" s="247">
        <f t="shared" si="116"/>
        <v>2660</v>
      </c>
      <c r="R111" s="247">
        <f t="shared" si="116"/>
        <v>1749</v>
      </c>
      <c r="S111" s="247">
        <f t="shared" si="116"/>
        <v>3073</v>
      </c>
      <c r="T111" s="247">
        <f t="shared" si="116"/>
        <v>4905</v>
      </c>
      <c r="U111" s="247">
        <f t="shared" si="116"/>
        <v>4653</v>
      </c>
      <c r="V111" s="247">
        <f t="shared" si="116"/>
        <v>1292</v>
      </c>
      <c r="W111" s="247">
        <f t="shared" si="116"/>
        <v>1989</v>
      </c>
      <c r="X111" s="247">
        <f t="shared" si="116"/>
        <v>3393</v>
      </c>
      <c r="Y111" s="247">
        <f t="shared" si="116"/>
        <v>4338</v>
      </c>
      <c r="Z111" s="247">
        <f t="shared" si="116"/>
        <v>2954</v>
      </c>
      <c r="AA111" s="511">
        <f>AA$109*Headcount!S$101</f>
        <v>1129.65</v>
      </c>
      <c r="AB111" s="511">
        <f>AB$109*Headcount!T$101</f>
        <v>1146.73425</v>
      </c>
      <c r="AC111" s="511">
        <f>AC$109*Headcount!U$101</f>
        <v>1146.73425</v>
      </c>
      <c r="AD111" s="511">
        <f>AD$109*Headcount!V$101</f>
        <v>1146.73425</v>
      </c>
      <c r="AE111" s="511">
        <f>AE$109*Headcount!W$101</f>
        <v>1146.73425</v>
      </c>
      <c r="AF111" s="511">
        <f>AF$109*Headcount!X$101</f>
        <v>1164.587291</v>
      </c>
      <c r="AG111" s="511">
        <f>AG$109*Headcount!Y$101</f>
        <v>1164.587291</v>
      </c>
      <c r="AH111" s="511">
        <f>AH$109*Headcount!Z$101</f>
        <v>1914.587291</v>
      </c>
      <c r="AI111" s="511">
        <f>AI$109*Headcount!AA$101</f>
        <v>1914.587291</v>
      </c>
      <c r="AJ111" s="511">
        <f>AJ$109*Headcount!AB$101</f>
        <v>1933.243719</v>
      </c>
      <c r="AK111" s="511">
        <f>AK$109*Headcount!AC$101</f>
        <v>1933.243719</v>
      </c>
      <c r="AL111" s="511">
        <f>AL$109*Headcount!AD$101</f>
        <v>1933.243719</v>
      </c>
      <c r="AM111" s="511">
        <f>AM$109*Headcount!AE$101</f>
        <v>1933.243719</v>
      </c>
      <c r="AN111" s="511">
        <f>AN$109*Headcount!AF$101</f>
        <v>1188.252326</v>
      </c>
      <c r="AO111" s="511">
        <f>AO$109*Headcount!AG$101</f>
        <v>1188.252326</v>
      </c>
      <c r="AP111" s="511">
        <f>AP$109*Headcount!AH$101</f>
        <v>1188.252326</v>
      </c>
      <c r="AQ111" s="511">
        <f>AQ$109*Headcount!AI$101</f>
        <v>1188.252326</v>
      </c>
      <c r="AR111" s="511">
        <f>AR$109*Headcount!AJ$101</f>
        <v>1196.182419</v>
      </c>
      <c r="AS111" s="511">
        <f>AS$109*Headcount!AK$101</f>
        <v>1196.182419</v>
      </c>
      <c r="AT111" s="511">
        <f>AT$109*Headcount!AL$101</f>
        <v>1526.182419</v>
      </c>
      <c r="AU111" s="511">
        <f>AU$109*Headcount!AM$101</f>
        <v>1526.182419</v>
      </c>
      <c r="AV111" s="511">
        <f>AV$109*Headcount!AN$101</f>
        <v>1534.429716</v>
      </c>
      <c r="AW111" s="511">
        <f>AW$109*Headcount!AO$101</f>
        <v>1534.429716</v>
      </c>
      <c r="AX111" s="511">
        <f>AX$109*Headcount!AP$101</f>
        <v>1534.429716</v>
      </c>
      <c r="AY111" s="511">
        <f>AY$109*Headcount!AQ$101</f>
        <v>1534.429716</v>
      </c>
      <c r="AZ111" s="511">
        <f>AZ$109*Headcount!AR$101</f>
        <v>1589.764689</v>
      </c>
      <c r="BA111" s="511">
        <f>BA$109*Headcount!AS$101</f>
        <v>1589.764689</v>
      </c>
      <c r="BB111" s="511">
        <f>BB$109*Headcount!AT$101</f>
        <v>1589.764689</v>
      </c>
      <c r="BC111" s="511">
        <f>BC$109*Headcount!AU$101</f>
        <v>1589.764689</v>
      </c>
      <c r="BD111" s="511">
        <f>BD$109*Headcount!AV$101</f>
        <v>1598.955277</v>
      </c>
      <c r="BE111" s="511">
        <f>BE$109*Headcount!AW$101</f>
        <v>1598.955277</v>
      </c>
      <c r="BF111" s="511">
        <f>BF$109*Headcount!AX$101</f>
        <v>1598.955277</v>
      </c>
      <c r="BG111" s="511">
        <f>BG$109*Headcount!AY$101</f>
        <v>1598.955277</v>
      </c>
      <c r="BH111" s="511">
        <f>BH$109*Headcount!AZ$101</f>
        <v>1608.513488</v>
      </c>
      <c r="BI111" s="511">
        <f>BI$109*Headcount!BA$101</f>
        <v>1608.513488</v>
      </c>
      <c r="BJ111" s="511">
        <f>BJ$109*Headcount!BB$101</f>
        <v>1608.513488</v>
      </c>
      <c r="BK111" s="511">
        <f>BK$109*Headcount!BC$101</f>
        <v>1608.513488</v>
      </c>
      <c r="BL111" s="511">
        <f>BL$109*Headcount!BD$101</f>
        <v>1666.055617</v>
      </c>
      <c r="BM111" s="511">
        <f>BM$109*Headcount!BE$101</f>
        <v>1666.055617</v>
      </c>
      <c r="BN111" s="511">
        <f>BN$109*Headcount!BF$101</f>
        <v>1666.055617</v>
      </c>
      <c r="BO111" s="511">
        <f>BO$109*Headcount!BG$101</f>
        <v>1666.055617</v>
      </c>
      <c r="BP111" s="511">
        <f>BP$109*Headcount!BH$101</f>
        <v>1676.697841</v>
      </c>
      <c r="BQ111" s="511">
        <f>BQ$109*Headcount!BI$101</f>
        <v>1676.697841</v>
      </c>
      <c r="BR111" s="511">
        <f>BR$109*Headcount!BJ$101</f>
        <v>1676.697841</v>
      </c>
      <c r="BS111" s="511">
        <f>BS$109*Headcount!BK$101</f>
        <v>1676.697841</v>
      </c>
      <c r="BT111" s="511">
        <f>BT$109*Headcount!BL$101</f>
        <v>1687.765755</v>
      </c>
      <c r="BU111" s="511">
        <f>BU$109*Headcount!BM$101</f>
        <v>1687.765755</v>
      </c>
      <c r="BV111" s="511">
        <f>BV$109*Headcount!BN$101</f>
        <v>1687.765755</v>
      </c>
      <c r="BW111" s="511">
        <f>BW$109*Headcount!BO$101</f>
        <v>1687.765755</v>
      </c>
      <c r="BX111" s="511">
        <f>BX$109*Headcount!BP$101</f>
        <v>1699.276385</v>
      </c>
      <c r="BY111" s="511">
        <f>BY$109*Headcount!BQ$101</f>
        <v>1699.276385</v>
      </c>
      <c r="BZ111" s="511">
        <f>BZ$109*Headcount!BR$101</f>
        <v>1699.276385</v>
      </c>
      <c r="CA111" s="511">
        <f>CA$109*Headcount!BS$101</f>
        <v>1699.276385</v>
      </c>
      <c r="CB111" s="511">
        <f>CB$109*Headcount!BT$101</f>
        <v>1711.247441</v>
      </c>
      <c r="CC111" s="511">
        <f>CC$109*Headcount!BU$101</f>
        <v>1711.247441</v>
      </c>
      <c r="CD111" s="511">
        <f>CD$109*Headcount!BV$101</f>
        <v>1711.247441</v>
      </c>
      <c r="CE111" s="511">
        <f>CE$109*Headcount!BW$101</f>
        <v>1711.247441</v>
      </c>
      <c r="CF111" s="511">
        <f>CF$109*Headcount!BX$101</f>
        <v>1723.697338</v>
      </c>
      <c r="CG111" s="511">
        <f>CG$109*Headcount!BY$101</f>
        <v>1723.697338</v>
      </c>
      <c r="CH111" s="511">
        <f>CH$109*Headcount!BZ$101</f>
        <v>1723.697338</v>
      </c>
      <c r="CI111" s="511">
        <f>CI$109*Headcount!CA$101</f>
        <v>1723.697338</v>
      </c>
      <c r="CL111" s="117">
        <f t="shared" si="108"/>
        <v>4634</v>
      </c>
      <c r="CM111" s="117">
        <f t="shared" si="109"/>
        <v>12297</v>
      </c>
      <c r="CN111" s="117">
        <f t="shared" si="110"/>
        <v>9087</v>
      </c>
      <c r="CO111" s="117">
        <f t="shared" si="111"/>
        <v>11656</v>
      </c>
      <c r="CP111" s="117">
        <f t="shared" si="112"/>
        <v>12839</v>
      </c>
      <c r="CQ111" s="117">
        <f t="shared" si="113"/>
        <v>11814.65</v>
      </c>
    </row>
    <row r="112" ht="15.75" customHeight="1" outlineLevel="1">
      <c r="A112" s="1" t="s">
        <v>89</v>
      </c>
      <c r="B112" s="91" t="s">
        <v>63</v>
      </c>
      <c r="C112" s="132" t="s">
        <v>211</v>
      </c>
      <c r="D112" s="247">
        <f t="shared" ref="D112:Z112" si="117">RANDBETWEEN(0,5000)</f>
        <v>1946</v>
      </c>
      <c r="E112" s="247">
        <f t="shared" si="117"/>
        <v>4228</v>
      </c>
      <c r="F112" s="247">
        <f t="shared" si="117"/>
        <v>3068</v>
      </c>
      <c r="G112" s="247">
        <f t="shared" si="117"/>
        <v>3105</v>
      </c>
      <c r="H112" s="247">
        <f t="shared" si="117"/>
        <v>3259</v>
      </c>
      <c r="I112" s="247">
        <f t="shared" si="117"/>
        <v>4514</v>
      </c>
      <c r="J112" s="247">
        <f t="shared" si="117"/>
        <v>2629</v>
      </c>
      <c r="K112" s="247">
        <f t="shared" si="117"/>
        <v>811</v>
      </c>
      <c r="L112" s="247">
        <f t="shared" si="117"/>
        <v>3621</v>
      </c>
      <c r="M112" s="247">
        <f t="shared" si="117"/>
        <v>4616</v>
      </c>
      <c r="N112" s="247">
        <f t="shared" si="117"/>
        <v>1524</v>
      </c>
      <c r="O112" s="247">
        <f t="shared" si="117"/>
        <v>3945</v>
      </c>
      <c r="P112" s="247">
        <f t="shared" si="117"/>
        <v>4862</v>
      </c>
      <c r="Q112" s="247">
        <f t="shared" si="117"/>
        <v>3474</v>
      </c>
      <c r="R112" s="247">
        <f t="shared" si="117"/>
        <v>3135</v>
      </c>
      <c r="S112" s="247">
        <f t="shared" si="117"/>
        <v>4396</v>
      </c>
      <c r="T112" s="247">
        <f t="shared" si="117"/>
        <v>4437</v>
      </c>
      <c r="U112" s="247">
        <f t="shared" si="117"/>
        <v>402</v>
      </c>
      <c r="V112" s="247">
        <f t="shared" si="117"/>
        <v>417</v>
      </c>
      <c r="W112" s="247">
        <f t="shared" si="117"/>
        <v>2279</v>
      </c>
      <c r="X112" s="247">
        <f t="shared" si="117"/>
        <v>1131</v>
      </c>
      <c r="Y112" s="247">
        <f t="shared" si="117"/>
        <v>3607</v>
      </c>
      <c r="Z112" s="247">
        <f t="shared" si="117"/>
        <v>2230</v>
      </c>
      <c r="AA112" s="511">
        <f>AA$109*Headcount!S$102</f>
        <v>150.62</v>
      </c>
      <c r="AB112" s="511">
        <f>AB$109*Headcount!T$102</f>
        <v>152.8979</v>
      </c>
      <c r="AC112" s="511">
        <f>AC$109*Headcount!U$102</f>
        <v>152.8979</v>
      </c>
      <c r="AD112" s="511">
        <f>AD$109*Headcount!V$102</f>
        <v>152.8979</v>
      </c>
      <c r="AE112" s="511">
        <f>AE$109*Headcount!W$102</f>
        <v>152.8979</v>
      </c>
      <c r="AF112" s="511">
        <f>AF$109*Headcount!X$102</f>
        <v>155.2783055</v>
      </c>
      <c r="AG112" s="511">
        <f>AG$109*Headcount!Y$102</f>
        <v>155.2783055</v>
      </c>
      <c r="AH112" s="511">
        <f>AH$109*Headcount!Z$102</f>
        <v>255.2783055</v>
      </c>
      <c r="AI112" s="511">
        <f>AI$109*Headcount!AA$102</f>
        <v>255.2783055</v>
      </c>
      <c r="AJ112" s="511">
        <f>AJ$109*Headcount!AB$102</f>
        <v>257.7658292</v>
      </c>
      <c r="AK112" s="511">
        <f>AK$109*Headcount!AC$102</f>
        <v>257.7658292</v>
      </c>
      <c r="AL112" s="511">
        <f>AL$109*Headcount!AD$102</f>
        <v>257.7658292</v>
      </c>
      <c r="AM112" s="511">
        <f>AM$109*Headcount!AE$102</f>
        <v>257.7658292</v>
      </c>
      <c r="AN112" s="511">
        <f>AN$109*Headcount!AF$102</f>
        <v>360.0764624</v>
      </c>
      <c r="AO112" s="511">
        <f>AO$109*Headcount!AG$102</f>
        <v>360.0764624</v>
      </c>
      <c r="AP112" s="511">
        <f>AP$109*Headcount!AH$102</f>
        <v>360.0764624</v>
      </c>
      <c r="AQ112" s="511">
        <f>AQ$109*Headcount!AI$102</f>
        <v>360.0764624</v>
      </c>
      <c r="AR112" s="511">
        <f>AR$109*Headcount!AJ$102</f>
        <v>362.4795209</v>
      </c>
      <c r="AS112" s="511">
        <f>AS$109*Headcount!AK$102</f>
        <v>362.4795209</v>
      </c>
      <c r="AT112" s="511">
        <f>AT$109*Headcount!AL$102</f>
        <v>462.4795209</v>
      </c>
      <c r="AU112" s="511">
        <f>AU$109*Headcount!AM$102</f>
        <v>462.4795209</v>
      </c>
      <c r="AV112" s="511">
        <f>AV$109*Headcount!AN$102</f>
        <v>464.9787018</v>
      </c>
      <c r="AW112" s="511">
        <f>AW$109*Headcount!AO$102</f>
        <v>464.9787018</v>
      </c>
      <c r="AX112" s="511">
        <f>AX$109*Headcount!AP$102</f>
        <v>464.9787018</v>
      </c>
      <c r="AY112" s="511">
        <f>AY$109*Headcount!AQ$102</f>
        <v>464.9787018</v>
      </c>
      <c r="AZ112" s="511">
        <f>AZ$109*Headcount!AR$102</f>
        <v>467.5778498</v>
      </c>
      <c r="BA112" s="511">
        <f>BA$109*Headcount!AS$102</f>
        <v>467.5778498</v>
      </c>
      <c r="BB112" s="511">
        <f>BB$109*Headcount!AT$102</f>
        <v>467.5778498</v>
      </c>
      <c r="BC112" s="511">
        <f>BC$109*Headcount!AU$102</f>
        <v>467.5778498</v>
      </c>
      <c r="BD112" s="511">
        <f>BD$109*Headcount!AV$102</f>
        <v>470.2809638</v>
      </c>
      <c r="BE112" s="511">
        <f>BE$109*Headcount!AW$102</f>
        <v>470.2809638</v>
      </c>
      <c r="BF112" s="511">
        <f>BF$109*Headcount!AX$102</f>
        <v>470.2809638</v>
      </c>
      <c r="BG112" s="511">
        <f>BG$109*Headcount!AY$102</f>
        <v>470.2809638</v>
      </c>
      <c r="BH112" s="511">
        <f>BH$109*Headcount!AZ$102</f>
        <v>473.0922024</v>
      </c>
      <c r="BI112" s="511">
        <f>BI$109*Headcount!BA$102</f>
        <v>473.0922024</v>
      </c>
      <c r="BJ112" s="511">
        <f>BJ$109*Headcount!BB$102</f>
        <v>473.0922024</v>
      </c>
      <c r="BK112" s="511">
        <f>BK$109*Headcount!BC$102</f>
        <v>473.0922024</v>
      </c>
      <c r="BL112" s="511">
        <f>BL$109*Headcount!BD$102</f>
        <v>476.0158905</v>
      </c>
      <c r="BM112" s="511">
        <f>BM$109*Headcount!BE$102</f>
        <v>476.0158905</v>
      </c>
      <c r="BN112" s="511">
        <f>BN$109*Headcount!BF$102</f>
        <v>476.0158905</v>
      </c>
      <c r="BO112" s="511">
        <f>BO$109*Headcount!BG$102</f>
        <v>476.0158905</v>
      </c>
      <c r="BP112" s="511">
        <f>BP$109*Headcount!BH$102</f>
        <v>479.0565261</v>
      </c>
      <c r="BQ112" s="511">
        <f>BQ$109*Headcount!BI$102</f>
        <v>479.0565261</v>
      </c>
      <c r="BR112" s="511">
        <f>BR$109*Headcount!BJ$102</f>
        <v>479.0565261</v>
      </c>
      <c r="BS112" s="511">
        <f>BS$109*Headcount!BK$102</f>
        <v>479.0565261</v>
      </c>
      <c r="BT112" s="511">
        <f>BT$109*Headcount!BL$102</f>
        <v>482.2187871</v>
      </c>
      <c r="BU112" s="511">
        <f>BU$109*Headcount!BM$102</f>
        <v>482.2187871</v>
      </c>
      <c r="BV112" s="511">
        <f>BV$109*Headcount!BN$102</f>
        <v>482.2187871</v>
      </c>
      <c r="BW112" s="511">
        <f>BW$109*Headcount!BO$102</f>
        <v>482.2187871</v>
      </c>
      <c r="BX112" s="511">
        <f>BX$109*Headcount!BP$102</f>
        <v>485.5075386</v>
      </c>
      <c r="BY112" s="511">
        <f>BY$109*Headcount!BQ$102</f>
        <v>485.5075386</v>
      </c>
      <c r="BZ112" s="511">
        <f>BZ$109*Headcount!BR$102</f>
        <v>485.5075386</v>
      </c>
      <c r="CA112" s="511">
        <f>CA$109*Headcount!BS$102</f>
        <v>485.5075386</v>
      </c>
      <c r="CB112" s="511">
        <f>CB$109*Headcount!BT$102</f>
        <v>488.9278402</v>
      </c>
      <c r="CC112" s="511">
        <f>CC$109*Headcount!BU$102</f>
        <v>488.9278402</v>
      </c>
      <c r="CD112" s="511">
        <f>CD$109*Headcount!BV$102</f>
        <v>488.9278402</v>
      </c>
      <c r="CE112" s="511">
        <f>CE$109*Headcount!BW$102</f>
        <v>488.9278402</v>
      </c>
      <c r="CF112" s="511">
        <f>CF$109*Headcount!BX$102</f>
        <v>492.4849538</v>
      </c>
      <c r="CG112" s="511">
        <f>CG$109*Headcount!BY$102</f>
        <v>492.4849538</v>
      </c>
      <c r="CH112" s="511">
        <f>CH$109*Headcount!BZ$102</f>
        <v>492.4849538</v>
      </c>
      <c r="CI112" s="511">
        <f>CI$109*Headcount!CA$102</f>
        <v>492.4849538</v>
      </c>
      <c r="CL112" s="117">
        <f t="shared" si="108"/>
        <v>12347</v>
      </c>
      <c r="CM112" s="117">
        <f t="shared" si="109"/>
        <v>11213</v>
      </c>
      <c r="CN112" s="117">
        <f t="shared" si="110"/>
        <v>13706</v>
      </c>
      <c r="CO112" s="117">
        <f t="shared" si="111"/>
        <v>15867</v>
      </c>
      <c r="CP112" s="117">
        <f t="shared" si="112"/>
        <v>7535</v>
      </c>
      <c r="CQ112" s="117">
        <f t="shared" si="113"/>
        <v>7118.62</v>
      </c>
    </row>
    <row r="113" ht="15.75" customHeight="1" outlineLevel="1">
      <c r="A113" s="1" t="s">
        <v>89</v>
      </c>
      <c r="B113" s="91" t="s">
        <v>63</v>
      </c>
      <c r="C113" s="132" t="s">
        <v>212</v>
      </c>
      <c r="D113" s="247">
        <f t="shared" ref="D113:Z113" si="118">RANDBETWEEN(0,5000)</f>
        <v>2158</v>
      </c>
      <c r="E113" s="247">
        <f t="shared" si="118"/>
        <v>2332</v>
      </c>
      <c r="F113" s="247">
        <f t="shared" si="118"/>
        <v>4196</v>
      </c>
      <c r="G113" s="247">
        <f t="shared" si="118"/>
        <v>3136</v>
      </c>
      <c r="H113" s="247">
        <f t="shared" si="118"/>
        <v>3942</v>
      </c>
      <c r="I113" s="247">
        <f t="shared" si="118"/>
        <v>2523</v>
      </c>
      <c r="J113" s="247">
        <f t="shared" si="118"/>
        <v>774</v>
      </c>
      <c r="K113" s="247">
        <f t="shared" si="118"/>
        <v>1649</v>
      </c>
      <c r="L113" s="247">
        <f t="shared" si="118"/>
        <v>2741</v>
      </c>
      <c r="M113" s="247">
        <f t="shared" si="118"/>
        <v>2918</v>
      </c>
      <c r="N113" s="247">
        <f t="shared" si="118"/>
        <v>2818</v>
      </c>
      <c r="O113" s="247">
        <f t="shared" si="118"/>
        <v>1250</v>
      </c>
      <c r="P113" s="247">
        <f t="shared" si="118"/>
        <v>811</v>
      </c>
      <c r="Q113" s="247">
        <f t="shared" si="118"/>
        <v>2250</v>
      </c>
      <c r="R113" s="247">
        <f t="shared" si="118"/>
        <v>3408</v>
      </c>
      <c r="S113" s="247">
        <f t="shared" si="118"/>
        <v>4759</v>
      </c>
      <c r="T113" s="247">
        <f t="shared" si="118"/>
        <v>4866</v>
      </c>
      <c r="U113" s="247">
        <f t="shared" si="118"/>
        <v>305</v>
      </c>
      <c r="V113" s="247">
        <f t="shared" si="118"/>
        <v>848</v>
      </c>
      <c r="W113" s="247">
        <f t="shared" si="118"/>
        <v>1960</v>
      </c>
      <c r="X113" s="247">
        <f t="shared" si="118"/>
        <v>2912</v>
      </c>
      <c r="Y113" s="247">
        <f t="shared" si="118"/>
        <v>67</v>
      </c>
      <c r="Z113" s="247">
        <f t="shared" si="118"/>
        <v>1126</v>
      </c>
      <c r="AA113" s="451">
        <v>368.4012166</v>
      </c>
      <c r="AB113" s="451">
        <v>418.6298307</v>
      </c>
      <c r="AC113" s="451">
        <v>455.8183781</v>
      </c>
      <c r="AD113" s="451">
        <v>514.6971424</v>
      </c>
      <c r="AE113" s="451">
        <v>562.9985028</v>
      </c>
      <c r="AF113" s="451">
        <v>590.5615434</v>
      </c>
      <c r="AG113" s="451">
        <v>612.5695249</v>
      </c>
      <c r="AH113" s="451">
        <v>629.5006014</v>
      </c>
      <c r="AI113" s="451">
        <v>637.7558005</v>
      </c>
      <c r="AJ113" s="451">
        <v>643.5882549</v>
      </c>
      <c r="AK113" s="451">
        <v>713.5887427</v>
      </c>
      <c r="AL113" s="451">
        <v>768.0135333</v>
      </c>
      <c r="AM113" s="451">
        <v>815.3936747</v>
      </c>
      <c r="AN113" s="451">
        <v>873.9311425</v>
      </c>
      <c r="AO113" s="451">
        <v>892.2460346</v>
      </c>
      <c r="AP113" s="451">
        <v>905.1090201</v>
      </c>
      <c r="AQ113" s="451">
        <v>920.156574</v>
      </c>
      <c r="AR113" s="451">
        <v>936.8096629</v>
      </c>
      <c r="AS113" s="451">
        <v>955.0188554</v>
      </c>
      <c r="AT113" s="451">
        <v>974.0322079</v>
      </c>
      <c r="AU113" s="451">
        <v>993.6742704</v>
      </c>
      <c r="AV113" s="451">
        <v>1013.823777</v>
      </c>
      <c r="AW113" s="451">
        <v>1034.39835</v>
      </c>
      <c r="AX113" s="451">
        <v>1055.343517</v>
      </c>
      <c r="AY113" s="451">
        <v>1076.624841</v>
      </c>
      <c r="AZ113" s="451">
        <v>1113.519385</v>
      </c>
      <c r="BA113" s="451">
        <v>1140.750412</v>
      </c>
      <c r="BB113" s="451">
        <v>1167.015136</v>
      </c>
      <c r="BC113" s="451">
        <v>1190.702361</v>
      </c>
      <c r="BD113" s="451">
        <v>1212.413762</v>
      </c>
      <c r="BE113" s="451">
        <v>1232.598293</v>
      </c>
      <c r="BF113" s="451">
        <v>1251.591746</v>
      </c>
      <c r="BG113" s="451">
        <v>1269.646025</v>
      </c>
      <c r="BH113" s="451">
        <v>1286.950821</v>
      </c>
      <c r="BI113" s="451">
        <v>1303.649655</v>
      </c>
      <c r="BJ113" s="451">
        <v>1319.851754</v>
      </c>
      <c r="BK113" s="451">
        <v>1335.640853</v>
      </c>
      <c r="BL113" s="451">
        <v>1354.740342</v>
      </c>
      <c r="BM113" s="451">
        <v>1377.013257</v>
      </c>
      <c r="BN113" s="451">
        <v>1390.268369</v>
      </c>
      <c r="BO113" s="451">
        <v>1406.195068</v>
      </c>
      <c r="BP113" s="451">
        <v>1424.072724</v>
      </c>
      <c r="BQ113" s="451">
        <v>1443.371844</v>
      </c>
      <c r="BR113" s="451">
        <v>1463.70426</v>
      </c>
      <c r="BS113" s="451">
        <v>1484.786291</v>
      </c>
      <c r="BT113" s="451">
        <v>1506.411477</v>
      </c>
      <c r="BU113" s="451">
        <v>1528.430416</v>
      </c>
      <c r="BV113" s="451">
        <v>1550.735847</v>
      </c>
      <c r="BW113" s="451">
        <v>1573.251621</v>
      </c>
      <c r="BX113" s="451">
        <v>1598.90722</v>
      </c>
      <c r="BY113" s="451">
        <v>1614.716064</v>
      </c>
      <c r="BZ113" s="451">
        <v>1622.35706</v>
      </c>
      <c r="CA113" s="451">
        <v>1631.739761</v>
      </c>
      <c r="CB113" s="451">
        <v>1642.422908</v>
      </c>
      <c r="CC113" s="451">
        <v>1654.080389</v>
      </c>
      <c r="CD113" s="451">
        <v>1666.471291</v>
      </c>
      <c r="CE113" s="451">
        <v>1679.417738</v>
      </c>
      <c r="CF113" s="451">
        <v>1692.788487</v>
      </c>
      <c r="CG113" s="451">
        <v>1706.486796</v>
      </c>
      <c r="CH113" s="451">
        <v>1720.441443</v>
      </c>
      <c r="CI113" s="451">
        <v>1734.600078</v>
      </c>
      <c r="CL113" s="117">
        <f t="shared" si="108"/>
        <v>11822</v>
      </c>
      <c r="CM113" s="117">
        <f t="shared" si="109"/>
        <v>8888</v>
      </c>
      <c r="CN113" s="117">
        <f t="shared" si="110"/>
        <v>9727</v>
      </c>
      <c r="CO113" s="117">
        <f t="shared" si="111"/>
        <v>11228</v>
      </c>
      <c r="CP113" s="117">
        <f t="shared" si="112"/>
        <v>7979</v>
      </c>
      <c r="CQ113" s="117">
        <f t="shared" si="113"/>
        <v>4473.401217</v>
      </c>
    </row>
    <row r="114" ht="15.75" customHeight="1" outlineLevel="1">
      <c r="A114" s="1" t="s">
        <v>89</v>
      </c>
      <c r="B114" s="91" t="s">
        <v>63</v>
      </c>
      <c r="C114" s="132" t="s">
        <v>213</v>
      </c>
      <c r="D114" s="247">
        <f t="shared" ref="D114:Z114" si="119">RANDBETWEEN(0,5000)</f>
        <v>2306</v>
      </c>
      <c r="E114" s="247">
        <f t="shared" si="119"/>
        <v>4736</v>
      </c>
      <c r="F114" s="247">
        <f t="shared" si="119"/>
        <v>752</v>
      </c>
      <c r="G114" s="247">
        <f t="shared" si="119"/>
        <v>4555</v>
      </c>
      <c r="H114" s="247">
        <f t="shared" si="119"/>
        <v>1728</v>
      </c>
      <c r="I114" s="247">
        <f t="shared" si="119"/>
        <v>397</v>
      </c>
      <c r="J114" s="247">
        <f t="shared" si="119"/>
        <v>4384</v>
      </c>
      <c r="K114" s="247">
        <f t="shared" si="119"/>
        <v>3712</v>
      </c>
      <c r="L114" s="247">
        <f t="shared" si="119"/>
        <v>4053</v>
      </c>
      <c r="M114" s="247">
        <f t="shared" si="119"/>
        <v>2915</v>
      </c>
      <c r="N114" s="247">
        <f t="shared" si="119"/>
        <v>1689</v>
      </c>
      <c r="O114" s="247">
        <f t="shared" si="119"/>
        <v>3857</v>
      </c>
      <c r="P114" s="247">
        <f t="shared" si="119"/>
        <v>967</v>
      </c>
      <c r="Q114" s="247">
        <f t="shared" si="119"/>
        <v>4193</v>
      </c>
      <c r="R114" s="247">
        <f t="shared" si="119"/>
        <v>563</v>
      </c>
      <c r="S114" s="247">
        <f t="shared" si="119"/>
        <v>4195</v>
      </c>
      <c r="T114" s="247">
        <f t="shared" si="119"/>
        <v>4111</v>
      </c>
      <c r="U114" s="247">
        <f t="shared" si="119"/>
        <v>1477</v>
      </c>
      <c r="V114" s="247">
        <f t="shared" si="119"/>
        <v>334</v>
      </c>
      <c r="W114" s="247">
        <f t="shared" si="119"/>
        <v>2161</v>
      </c>
      <c r="X114" s="247">
        <f t="shared" si="119"/>
        <v>855</v>
      </c>
      <c r="Y114" s="247">
        <f t="shared" si="119"/>
        <v>952</v>
      </c>
      <c r="Z114" s="247">
        <f t="shared" si="119"/>
        <v>3178</v>
      </c>
      <c r="AA114" s="451">
        <v>600.5654738</v>
      </c>
      <c r="AB114" s="451">
        <v>682.4478619</v>
      </c>
      <c r="AC114" s="451">
        <v>743.0724108</v>
      </c>
      <c r="AD114" s="451">
        <v>839.0562224</v>
      </c>
      <c r="AE114" s="451">
        <v>917.7968131</v>
      </c>
      <c r="AF114" s="451">
        <v>962.7299181</v>
      </c>
      <c r="AG114" s="451">
        <v>998.6071987</v>
      </c>
      <c r="AH114" s="451">
        <v>1026.208139</v>
      </c>
      <c r="AI114" s="451">
        <v>1039.665716</v>
      </c>
      <c r="AJ114" s="451">
        <v>1049.173748</v>
      </c>
      <c r="AK114" s="451">
        <v>1163.288127</v>
      </c>
      <c r="AL114" s="451">
        <v>1252.011097</v>
      </c>
      <c r="AM114" s="451">
        <v>1329.249922</v>
      </c>
      <c r="AN114" s="451">
        <v>1973.023575</v>
      </c>
      <c r="AO114" s="451">
        <v>2014.372043</v>
      </c>
      <c r="AP114" s="451">
        <v>2043.412058</v>
      </c>
      <c r="AQ114" s="451">
        <v>2077.384046</v>
      </c>
      <c r="AR114" s="451">
        <v>2114.980758</v>
      </c>
      <c r="AS114" s="451">
        <v>2156.090594</v>
      </c>
      <c r="AT114" s="451">
        <v>2199.015935</v>
      </c>
      <c r="AU114" s="451">
        <v>2243.360679</v>
      </c>
      <c r="AV114" s="451">
        <v>2288.85105</v>
      </c>
      <c r="AW114" s="451">
        <v>2335.301067</v>
      </c>
      <c r="AX114" s="451">
        <v>2382.587754</v>
      </c>
      <c r="AY114" s="451">
        <v>2430.633365</v>
      </c>
      <c r="AZ114" s="451">
        <v>2856.7364</v>
      </c>
      <c r="BA114" s="451">
        <v>2926.59766</v>
      </c>
      <c r="BB114" s="451">
        <v>2993.979866</v>
      </c>
      <c r="BC114" s="451">
        <v>3054.749494</v>
      </c>
      <c r="BD114" s="451">
        <v>3110.45014</v>
      </c>
      <c r="BE114" s="451">
        <v>3162.233599</v>
      </c>
      <c r="BF114" s="451">
        <v>3210.961343</v>
      </c>
      <c r="BG114" s="451">
        <v>3257.279635</v>
      </c>
      <c r="BH114" s="451">
        <v>3301.675126</v>
      </c>
      <c r="BI114" s="451">
        <v>3344.51602</v>
      </c>
      <c r="BJ114" s="451">
        <v>3386.082543</v>
      </c>
      <c r="BK114" s="451">
        <v>3426.589509</v>
      </c>
      <c r="BL114" s="451">
        <v>3892.660005</v>
      </c>
      <c r="BM114" s="451">
        <v>3956.658162</v>
      </c>
      <c r="BN114" s="451">
        <v>3994.744902</v>
      </c>
      <c r="BO114" s="451">
        <v>4040.50808</v>
      </c>
      <c r="BP114" s="451">
        <v>4091.877068</v>
      </c>
      <c r="BQ114" s="451">
        <v>4147.330432</v>
      </c>
      <c r="BR114" s="451">
        <v>4205.752834</v>
      </c>
      <c r="BS114" s="451">
        <v>4266.32915</v>
      </c>
      <c r="BT114" s="451">
        <v>4328.466146</v>
      </c>
      <c r="BU114" s="451">
        <v>4391.734537</v>
      </c>
      <c r="BV114" s="451">
        <v>4455.826125</v>
      </c>
      <c r="BW114" s="451">
        <v>4520.522106</v>
      </c>
      <c r="BX114" s="451">
        <v>4594.239938</v>
      </c>
      <c r="BY114" s="451">
        <v>4971.069084</v>
      </c>
      <c r="BZ114" s="451">
        <v>4994.592674</v>
      </c>
      <c r="CA114" s="451">
        <v>5023.478282</v>
      </c>
      <c r="CB114" s="451">
        <v>5056.367445</v>
      </c>
      <c r="CC114" s="451">
        <v>5092.256196</v>
      </c>
      <c r="CD114" s="451">
        <v>5130.40286</v>
      </c>
      <c r="CE114" s="451">
        <v>5170.259825</v>
      </c>
      <c r="CF114" s="451">
        <v>5211.423049</v>
      </c>
      <c r="CG114" s="451">
        <v>5253.594699</v>
      </c>
      <c r="CH114" s="451">
        <v>5296.555509</v>
      </c>
      <c r="CI114" s="451">
        <v>5340.14432</v>
      </c>
      <c r="CL114" s="117">
        <f t="shared" si="108"/>
        <v>12349</v>
      </c>
      <c r="CM114" s="117">
        <f t="shared" si="109"/>
        <v>10221</v>
      </c>
      <c r="CN114" s="117">
        <f t="shared" si="110"/>
        <v>12514</v>
      </c>
      <c r="CO114" s="117">
        <f t="shared" si="111"/>
        <v>9918</v>
      </c>
      <c r="CP114" s="117">
        <f t="shared" si="112"/>
        <v>8083</v>
      </c>
      <c r="CQ114" s="117">
        <f t="shared" si="113"/>
        <v>5585.565474</v>
      </c>
    </row>
    <row r="115" ht="15.75" customHeight="1" outlineLevel="1">
      <c r="A115" s="1" t="s">
        <v>89</v>
      </c>
      <c r="B115" s="91" t="s">
        <v>63</v>
      </c>
      <c r="C115" s="132" t="s">
        <v>214</v>
      </c>
      <c r="D115" s="247">
        <f t="shared" ref="D115:Z115" si="120">RANDBETWEEN(0,5000)</f>
        <v>4099</v>
      </c>
      <c r="E115" s="247">
        <f t="shared" si="120"/>
        <v>2991</v>
      </c>
      <c r="F115" s="247">
        <f t="shared" si="120"/>
        <v>1787</v>
      </c>
      <c r="G115" s="247">
        <f t="shared" si="120"/>
        <v>516</v>
      </c>
      <c r="H115" s="247">
        <f t="shared" si="120"/>
        <v>2831</v>
      </c>
      <c r="I115" s="247">
        <f t="shared" si="120"/>
        <v>3193</v>
      </c>
      <c r="J115" s="247">
        <f t="shared" si="120"/>
        <v>2607</v>
      </c>
      <c r="K115" s="247">
        <f t="shared" si="120"/>
        <v>2765</v>
      </c>
      <c r="L115" s="247">
        <f t="shared" si="120"/>
        <v>4719</v>
      </c>
      <c r="M115" s="247">
        <f t="shared" si="120"/>
        <v>4445</v>
      </c>
      <c r="N115" s="247">
        <f t="shared" si="120"/>
        <v>3911</v>
      </c>
      <c r="O115" s="247">
        <f t="shared" si="120"/>
        <v>2504</v>
      </c>
      <c r="P115" s="247">
        <f t="shared" si="120"/>
        <v>4951</v>
      </c>
      <c r="Q115" s="247">
        <f t="shared" si="120"/>
        <v>3064</v>
      </c>
      <c r="R115" s="247">
        <f t="shared" si="120"/>
        <v>4963</v>
      </c>
      <c r="S115" s="247">
        <f t="shared" si="120"/>
        <v>1599</v>
      </c>
      <c r="T115" s="247">
        <f t="shared" si="120"/>
        <v>1723</v>
      </c>
      <c r="U115" s="247">
        <f t="shared" si="120"/>
        <v>2645</v>
      </c>
      <c r="V115" s="247">
        <f t="shared" si="120"/>
        <v>404</v>
      </c>
      <c r="W115" s="247">
        <f t="shared" si="120"/>
        <v>4215</v>
      </c>
      <c r="X115" s="247">
        <f t="shared" si="120"/>
        <v>1289</v>
      </c>
      <c r="Y115" s="247">
        <f t="shared" si="120"/>
        <v>4421</v>
      </c>
      <c r="Z115" s="247">
        <f t="shared" si="120"/>
        <v>924</v>
      </c>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c r="BS115" s="117"/>
      <c r="BT115" s="117"/>
      <c r="BU115" s="117"/>
      <c r="BV115" s="117"/>
      <c r="BW115" s="117"/>
      <c r="BX115" s="117"/>
      <c r="BY115" s="117"/>
      <c r="BZ115" s="117"/>
      <c r="CA115" s="117"/>
      <c r="CB115" s="117"/>
      <c r="CC115" s="117"/>
      <c r="CD115" s="117"/>
      <c r="CE115" s="117"/>
      <c r="CF115" s="117"/>
      <c r="CG115" s="117"/>
      <c r="CH115" s="117"/>
      <c r="CI115" s="117"/>
      <c r="CL115" s="117">
        <f t="shared" si="108"/>
        <v>9393</v>
      </c>
      <c r="CM115" s="117">
        <f t="shared" si="109"/>
        <v>11396</v>
      </c>
      <c r="CN115" s="117">
        <f t="shared" si="110"/>
        <v>15579</v>
      </c>
      <c r="CO115" s="117">
        <f t="shared" si="111"/>
        <v>14577</v>
      </c>
      <c r="CP115" s="117">
        <f t="shared" si="112"/>
        <v>8987</v>
      </c>
      <c r="CQ115" s="117">
        <f t="shared" si="113"/>
        <v>6634</v>
      </c>
    </row>
    <row r="116" ht="15.75" customHeight="1" outlineLevel="1">
      <c r="A116" s="1" t="s">
        <v>89</v>
      </c>
      <c r="B116" s="91" t="s">
        <v>65</v>
      </c>
      <c r="C116" s="132" t="s">
        <v>215</v>
      </c>
      <c r="D116" s="247">
        <f t="shared" ref="D116:Z116" si="121">RANDBETWEEN(0,5000)</f>
        <v>3229</v>
      </c>
      <c r="E116" s="247">
        <f t="shared" si="121"/>
        <v>3161</v>
      </c>
      <c r="F116" s="247">
        <f t="shared" si="121"/>
        <v>1907</v>
      </c>
      <c r="G116" s="247">
        <f t="shared" si="121"/>
        <v>1868</v>
      </c>
      <c r="H116" s="247">
        <f t="shared" si="121"/>
        <v>3811</v>
      </c>
      <c r="I116" s="247">
        <f t="shared" si="121"/>
        <v>4066</v>
      </c>
      <c r="J116" s="247">
        <f t="shared" si="121"/>
        <v>2764</v>
      </c>
      <c r="K116" s="247">
        <f t="shared" si="121"/>
        <v>3768</v>
      </c>
      <c r="L116" s="247">
        <f t="shared" si="121"/>
        <v>3171</v>
      </c>
      <c r="M116" s="247">
        <f t="shared" si="121"/>
        <v>4540</v>
      </c>
      <c r="N116" s="247">
        <f t="shared" si="121"/>
        <v>262</v>
      </c>
      <c r="O116" s="247">
        <f t="shared" si="121"/>
        <v>4676</v>
      </c>
      <c r="P116" s="247">
        <f t="shared" si="121"/>
        <v>839</v>
      </c>
      <c r="Q116" s="247">
        <f t="shared" si="121"/>
        <v>4125</v>
      </c>
      <c r="R116" s="247">
        <f t="shared" si="121"/>
        <v>1997</v>
      </c>
      <c r="S116" s="247">
        <f t="shared" si="121"/>
        <v>646</v>
      </c>
      <c r="T116" s="247">
        <f t="shared" si="121"/>
        <v>348</v>
      </c>
      <c r="U116" s="247">
        <f t="shared" si="121"/>
        <v>2714</v>
      </c>
      <c r="V116" s="247">
        <f t="shared" si="121"/>
        <v>4220</v>
      </c>
      <c r="W116" s="247">
        <f t="shared" si="121"/>
        <v>1646</v>
      </c>
      <c r="X116" s="247">
        <f t="shared" si="121"/>
        <v>1350</v>
      </c>
      <c r="Y116" s="247">
        <f t="shared" si="121"/>
        <v>482</v>
      </c>
      <c r="Z116" s="247">
        <f t="shared" si="121"/>
        <v>4572</v>
      </c>
      <c r="AA116" s="116">
        <f>Headcount!S188</f>
        <v>0</v>
      </c>
      <c r="AB116" s="116">
        <f>Headcount!T188</f>
        <v>0</v>
      </c>
      <c r="AC116" s="116">
        <f>Headcount!U188</f>
        <v>0</v>
      </c>
      <c r="AD116" s="116">
        <f>Headcount!V188</f>
        <v>0</v>
      </c>
      <c r="AE116" s="116">
        <f>Headcount!W188</f>
        <v>0</v>
      </c>
      <c r="AF116" s="116">
        <f>Headcount!X188</f>
        <v>0</v>
      </c>
      <c r="AG116" s="116">
        <f>Headcount!Y188</f>
        <v>0</v>
      </c>
      <c r="AH116" s="116">
        <f>Headcount!Z188</f>
        <v>0</v>
      </c>
      <c r="AI116" s="116">
        <f>Headcount!AA188</f>
        <v>0</v>
      </c>
      <c r="AJ116" s="116">
        <f>Headcount!AB188</f>
        <v>0</v>
      </c>
      <c r="AK116" s="116">
        <f>Headcount!AC188</f>
        <v>0</v>
      </c>
      <c r="AL116" s="116">
        <f>Headcount!AD188</f>
        <v>0</v>
      </c>
      <c r="AM116" s="116">
        <f>Headcount!AE188</f>
        <v>0</v>
      </c>
      <c r="AN116" s="116">
        <f>Headcount!AF188</f>
        <v>0</v>
      </c>
      <c r="AO116" s="116">
        <f>Headcount!AG188</f>
        <v>0</v>
      </c>
      <c r="AP116" s="116">
        <f>Headcount!AH188</f>
        <v>0</v>
      </c>
      <c r="AQ116" s="116">
        <f>Headcount!AI188</f>
        <v>0</v>
      </c>
      <c r="AR116" s="116">
        <f>Headcount!AJ188</f>
        <v>0</v>
      </c>
      <c r="AS116" s="116">
        <f>Headcount!AK188</f>
        <v>0</v>
      </c>
      <c r="AT116" s="116">
        <f>Headcount!AL188</f>
        <v>0</v>
      </c>
      <c r="AU116" s="116">
        <f>Headcount!AM188</f>
        <v>0</v>
      </c>
      <c r="AV116" s="116">
        <f>Headcount!AN188</f>
        <v>0</v>
      </c>
      <c r="AW116" s="116">
        <f>Headcount!AO188</f>
        <v>0</v>
      </c>
      <c r="AX116" s="116">
        <f>Headcount!AP188</f>
        <v>0</v>
      </c>
      <c r="AY116" s="116">
        <f>Headcount!AQ188</f>
        <v>0</v>
      </c>
      <c r="AZ116" s="116">
        <f>Headcount!AR188</f>
        <v>0</v>
      </c>
      <c r="BA116" s="116">
        <f>Headcount!AS188</f>
        <v>0</v>
      </c>
      <c r="BB116" s="116">
        <f>Headcount!AT188</f>
        <v>0</v>
      </c>
      <c r="BC116" s="116">
        <f>Headcount!AU188</f>
        <v>0</v>
      </c>
      <c r="BD116" s="116">
        <f>Headcount!AV188</f>
        <v>0</v>
      </c>
      <c r="BE116" s="116">
        <f>Headcount!AW188</f>
        <v>0</v>
      </c>
      <c r="BF116" s="116">
        <f>Headcount!AX188</f>
        <v>0</v>
      </c>
      <c r="BG116" s="116">
        <f>Headcount!AY188</f>
        <v>0</v>
      </c>
      <c r="BH116" s="116">
        <f>Headcount!AZ188</f>
        <v>0</v>
      </c>
      <c r="BI116" s="116">
        <f>Headcount!BA188</f>
        <v>0</v>
      </c>
      <c r="BJ116" s="116">
        <f>Headcount!BB188</f>
        <v>0</v>
      </c>
      <c r="BK116" s="116">
        <f>Headcount!BC188</f>
        <v>0</v>
      </c>
      <c r="BL116" s="116">
        <f>Headcount!BD188</f>
        <v>0</v>
      </c>
      <c r="BM116" s="116">
        <f>Headcount!BE188</f>
        <v>0</v>
      </c>
      <c r="BN116" s="116">
        <f>Headcount!BF188</f>
        <v>0</v>
      </c>
      <c r="BO116" s="116">
        <f>Headcount!BG188</f>
        <v>0</v>
      </c>
      <c r="BP116" s="116">
        <f>Headcount!BH188</f>
        <v>0</v>
      </c>
      <c r="BQ116" s="116">
        <f>Headcount!BI188</f>
        <v>0</v>
      </c>
      <c r="BR116" s="116">
        <f>Headcount!BJ188</f>
        <v>0</v>
      </c>
      <c r="BS116" s="116">
        <f>Headcount!BK188</f>
        <v>0</v>
      </c>
      <c r="BT116" s="116">
        <f>Headcount!BL188</f>
        <v>0</v>
      </c>
      <c r="BU116" s="116">
        <f>Headcount!BM188</f>
        <v>0</v>
      </c>
      <c r="BV116" s="116">
        <f>Headcount!BN188</f>
        <v>0</v>
      </c>
      <c r="BW116" s="116">
        <f>Headcount!BO188</f>
        <v>0</v>
      </c>
      <c r="BX116" s="116">
        <f>Headcount!BP188</f>
        <v>0</v>
      </c>
      <c r="BY116" s="116">
        <f>Headcount!BQ188</f>
        <v>0</v>
      </c>
      <c r="BZ116" s="116">
        <f>Headcount!BR188</f>
        <v>0</v>
      </c>
      <c r="CA116" s="116">
        <f>Headcount!BS188</f>
        <v>0</v>
      </c>
      <c r="CB116" s="116">
        <f>Headcount!BT188</f>
        <v>0</v>
      </c>
      <c r="CC116" s="116">
        <f>Headcount!BU188</f>
        <v>0</v>
      </c>
      <c r="CD116" s="116">
        <f>Headcount!BV188</f>
        <v>0</v>
      </c>
      <c r="CE116" s="116">
        <f>Headcount!BW188</f>
        <v>0</v>
      </c>
      <c r="CF116" s="116">
        <f>Headcount!BX188</f>
        <v>0</v>
      </c>
      <c r="CG116" s="116">
        <f>Headcount!BY188</f>
        <v>0</v>
      </c>
      <c r="CH116" s="116">
        <f>Headcount!BZ188</f>
        <v>0</v>
      </c>
      <c r="CI116" s="116">
        <f>Headcount!CA188</f>
        <v>0</v>
      </c>
      <c r="CL116" s="117">
        <f t="shared" si="108"/>
        <v>10165</v>
      </c>
      <c r="CM116" s="117">
        <f t="shared" si="109"/>
        <v>14409</v>
      </c>
      <c r="CN116" s="117">
        <f t="shared" si="110"/>
        <v>12649</v>
      </c>
      <c r="CO116" s="117">
        <f t="shared" si="111"/>
        <v>7607</v>
      </c>
      <c r="CP116" s="117">
        <f t="shared" si="112"/>
        <v>8928</v>
      </c>
      <c r="CQ116" s="117">
        <f t="shared" si="113"/>
        <v>6404</v>
      </c>
    </row>
    <row r="117" ht="15.75" customHeight="1" outlineLevel="1">
      <c r="A117" s="1" t="s">
        <v>89</v>
      </c>
      <c r="B117" s="91" t="s">
        <v>69</v>
      </c>
      <c r="C117" s="132" t="s">
        <v>216</v>
      </c>
      <c r="D117" s="247">
        <f t="shared" ref="D117:Z117" si="122">RANDBETWEEN(0,5000)</f>
        <v>1076</v>
      </c>
      <c r="E117" s="247">
        <f t="shared" si="122"/>
        <v>310</v>
      </c>
      <c r="F117" s="247">
        <f t="shared" si="122"/>
        <v>4563</v>
      </c>
      <c r="G117" s="247">
        <f t="shared" si="122"/>
        <v>460</v>
      </c>
      <c r="H117" s="247">
        <f t="shared" si="122"/>
        <v>2858</v>
      </c>
      <c r="I117" s="247">
        <f t="shared" si="122"/>
        <v>1700</v>
      </c>
      <c r="J117" s="247">
        <f t="shared" si="122"/>
        <v>2908</v>
      </c>
      <c r="K117" s="247">
        <f t="shared" si="122"/>
        <v>964</v>
      </c>
      <c r="L117" s="247">
        <f t="shared" si="122"/>
        <v>2124</v>
      </c>
      <c r="M117" s="247">
        <f t="shared" si="122"/>
        <v>3430</v>
      </c>
      <c r="N117" s="247">
        <f t="shared" si="122"/>
        <v>3946</v>
      </c>
      <c r="O117" s="247">
        <f t="shared" si="122"/>
        <v>902</v>
      </c>
      <c r="P117" s="247">
        <f t="shared" si="122"/>
        <v>4667</v>
      </c>
      <c r="Q117" s="247">
        <f t="shared" si="122"/>
        <v>2716</v>
      </c>
      <c r="R117" s="247">
        <f t="shared" si="122"/>
        <v>4042</v>
      </c>
      <c r="S117" s="247">
        <f t="shared" si="122"/>
        <v>1657</v>
      </c>
      <c r="T117" s="247">
        <f t="shared" si="122"/>
        <v>2146</v>
      </c>
      <c r="U117" s="247">
        <f t="shared" si="122"/>
        <v>2403</v>
      </c>
      <c r="V117" s="247">
        <f t="shared" si="122"/>
        <v>22</v>
      </c>
      <c r="W117" s="247">
        <f t="shared" si="122"/>
        <v>4985</v>
      </c>
      <c r="X117" s="247">
        <f t="shared" si="122"/>
        <v>1585</v>
      </c>
      <c r="Y117" s="247">
        <f t="shared" si="122"/>
        <v>767</v>
      </c>
      <c r="Z117" s="247">
        <f t="shared" si="122"/>
        <v>4298</v>
      </c>
      <c r="AA117" s="511">
        <f>Expenses!T59</f>
        <v>166.28</v>
      </c>
      <c r="AB117" s="511">
        <f>Expenses!U59</f>
        <v>366.28</v>
      </c>
      <c r="AC117" s="511">
        <f>Expenses!V59</f>
        <v>366.28</v>
      </c>
      <c r="AD117" s="511">
        <f>Expenses!W59</f>
        <v>366.28</v>
      </c>
      <c r="AE117" s="511">
        <f>Expenses!X59</f>
        <v>366.28</v>
      </c>
      <c r="AF117" s="511">
        <f>Expenses!Y59</f>
        <v>566.28</v>
      </c>
      <c r="AG117" s="511">
        <f>Expenses!Z59</f>
        <v>566.28</v>
      </c>
      <c r="AH117" s="511">
        <f>Expenses!AA59</f>
        <v>566.28</v>
      </c>
      <c r="AI117" s="511">
        <f>Expenses!AB59</f>
        <v>566.28</v>
      </c>
      <c r="AJ117" s="511">
        <f>Expenses!AC59</f>
        <v>766.28</v>
      </c>
      <c r="AK117" s="511">
        <f>Expenses!AD59</f>
        <v>766.28</v>
      </c>
      <c r="AL117" s="511">
        <f>Expenses!AE59</f>
        <v>766.28</v>
      </c>
      <c r="AM117" s="511">
        <f>Expenses!AF59</f>
        <v>766.28</v>
      </c>
      <c r="AN117" s="511">
        <f>Expenses!AG59</f>
        <v>766.28</v>
      </c>
      <c r="AO117" s="511">
        <f>Expenses!AH59</f>
        <v>766.28</v>
      </c>
      <c r="AP117" s="511">
        <f>Expenses!AI59</f>
        <v>766.28</v>
      </c>
      <c r="AQ117" s="511">
        <f>Expenses!AJ59</f>
        <v>766.28</v>
      </c>
      <c r="AR117" s="511">
        <f>Expenses!AK59</f>
        <v>766.28</v>
      </c>
      <c r="AS117" s="511">
        <f>Expenses!AL59</f>
        <v>766.28</v>
      </c>
      <c r="AT117" s="511">
        <f>Expenses!AM59</f>
        <v>766.28</v>
      </c>
      <c r="AU117" s="511">
        <f>Expenses!AN59</f>
        <v>766.28</v>
      </c>
      <c r="AV117" s="511">
        <f>Expenses!AO59</f>
        <v>926.28</v>
      </c>
      <c r="AW117" s="511">
        <f>Expenses!AP59</f>
        <v>926.28</v>
      </c>
      <c r="AX117" s="511">
        <f>Expenses!AQ59</f>
        <v>926.28</v>
      </c>
      <c r="AY117" s="511">
        <f>Expenses!AR59</f>
        <v>926.28</v>
      </c>
      <c r="AZ117" s="511">
        <f>Expenses!AS59</f>
        <v>1326.28</v>
      </c>
      <c r="BA117" s="511">
        <f>Expenses!AT59</f>
        <v>1326.28</v>
      </c>
      <c r="BB117" s="511">
        <f>Expenses!AU59</f>
        <v>1326.28</v>
      </c>
      <c r="BC117" s="511">
        <f>Expenses!AV59</f>
        <v>1326.28</v>
      </c>
      <c r="BD117" s="511">
        <f>Expenses!AW59</f>
        <v>1726.28</v>
      </c>
      <c r="BE117" s="511">
        <f>Expenses!AX59</f>
        <v>1726.28</v>
      </c>
      <c r="BF117" s="511">
        <f>Expenses!AY59</f>
        <v>1726.28</v>
      </c>
      <c r="BG117" s="511">
        <f>Expenses!AZ59</f>
        <v>1726.28</v>
      </c>
      <c r="BH117" s="511">
        <f>Expenses!BA59</f>
        <v>2126.28</v>
      </c>
      <c r="BI117" s="511">
        <f>Expenses!BB59</f>
        <v>2126.28</v>
      </c>
      <c r="BJ117" s="511">
        <f>Expenses!BC59</f>
        <v>2126.28</v>
      </c>
      <c r="BK117" s="511">
        <f>Expenses!BD59</f>
        <v>2126.28</v>
      </c>
      <c r="BL117" s="511">
        <f>Expenses!BE59</f>
        <v>2134.28</v>
      </c>
      <c r="BM117" s="511">
        <f>Expenses!BF59</f>
        <v>2134.28</v>
      </c>
      <c r="BN117" s="511">
        <f>Expenses!BG59</f>
        <v>2134.28</v>
      </c>
      <c r="BO117" s="511">
        <f>Expenses!BH59</f>
        <v>2134.28</v>
      </c>
      <c r="BP117" s="511">
        <f>Expenses!BI59</f>
        <v>2142.28</v>
      </c>
      <c r="BQ117" s="511">
        <f>Expenses!BJ59</f>
        <v>2142.28</v>
      </c>
      <c r="BR117" s="511">
        <f>Expenses!BK59</f>
        <v>2142.28</v>
      </c>
      <c r="BS117" s="511">
        <f>Expenses!BL59</f>
        <v>2142.28</v>
      </c>
      <c r="BT117" s="511">
        <f>Expenses!BM59</f>
        <v>2150.28</v>
      </c>
      <c r="BU117" s="511">
        <f>Expenses!BN59</f>
        <v>2150.28</v>
      </c>
      <c r="BV117" s="511">
        <f>Expenses!BO59</f>
        <v>2150.28</v>
      </c>
      <c r="BW117" s="511">
        <f>Expenses!BP59</f>
        <v>2150.28</v>
      </c>
      <c r="BX117" s="511">
        <f>Expenses!BQ59</f>
        <v>2158.28</v>
      </c>
      <c r="BY117" s="511">
        <f>Expenses!BR59</f>
        <v>2158.28</v>
      </c>
      <c r="BZ117" s="511">
        <f>Expenses!BS59</f>
        <v>2158.28</v>
      </c>
      <c r="CA117" s="511">
        <f>Expenses!BT59</f>
        <v>2158.28</v>
      </c>
      <c r="CB117" s="511">
        <f>Expenses!BU59</f>
        <v>2166.28</v>
      </c>
      <c r="CC117" s="511">
        <f>Expenses!BV59</f>
        <v>2166.28</v>
      </c>
      <c r="CD117" s="511">
        <f>Expenses!BW59</f>
        <v>2166.28</v>
      </c>
      <c r="CE117" s="511">
        <f>Expenses!BX59</f>
        <v>2166.28</v>
      </c>
      <c r="CF117" s="511">
        <f>Expenses!BY59</f>
        <v>2266.28</v>
      </c>
      <c r="CG117" s="511">
        <f>Expenses!BZ59</f>
        <v>2266.28</v>
      </c>
      <c r="CH117" s="511">
        <f>Expenses!CA59</f>
        <v>2266.28</v>
      </c>
      <c r="CI117" s="511">
        <f>Expenses!CB59</f>
        <v>2266.28</v>
      </c>
      <c r="CL117" s="117">
        <f t="shared" si="108"/>
        <v>6409</v>
      </c>
      <c r="CM117" s="117">
        <f t="shared" si="109"/>
        <v>8430</v>
      </c>
      <c r="CN117" s="117">
        <f t="shared" si="110"/>
        <v>10402</v>
      </c>
      <c r="CO117" s="117">
        <f t="shared" si="111"/>
        <v>13082</v>
      </c>
      <c r="CP117" s="117">
        <f t="shared" si="112"/>
        <v>9556</v>
      </c>
      <c r="CQ117" s="117">
        <f t="shared" si="113"/>
        <v>6816.28</v>
      </c>
    </row>
    <row r="118" ht="15.75" customHeight="1" outlineLevel="1">
      <c r="A118" s="1" t="s">
        <v>89</v>
      </c>
      <c r="B118" s="91" t="s">
        <v>71</v>
      </c>
      <c r="C118" s="132" t="s">
        <v>217</v>
      </c>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117">
        <f t="shared" ref="AA118:CI118" si="123">AA262</f>
        <v>21139.19828</v>
      </c>
      <c r="AB118" s="117">
        <f t="shared" si="123"/>
        <v>22653.79575</v>
      </c>
      <c r="AC118" s="117">
        <f t="shared" si="123"/>
        <v>21012.91847</v>
      </c>
      <c r="AD118" s="117">
        <f t="shared" si="123"/>
        <v>19401.38429</v>
      </c>
      <c r="AE118" s="117">
        <f t="shared" si="123"/>
        <v>19257.62621</v>
      </c>
      <c r="AF118" s="117">
        <f t="shared" si="123"/>
        <v>19941.77899</v>
      </c>
      <c r="AG118" s="117">
        <f t="shared" si="123"/>
        <v>18387.98568</v>
      </c>
      <c r="AH118" s="117">
        <f t="shared" si="123"/>
        <v>16897.94433</v>
      </c>
      <c r="AI118" s="117">
        <f t="shared" si="123"/>
        <v>17036.50322</v>
      </c>
      <c r="AJ118" s="117">
        <f t="shared" si="123"/>
        <v>17431.62802</v>
      </c>
      <c r="AK118" s="117">
        <f t="shared" si="123"/>
        <v>17592.18646</v>
      </c>
      <c r="AL118" s="117">
        <f t="shared" si="123"/>
        <v>16492.02724</v>
      </c>
      <c r="AM118" s="117">
        <f t="shared" si="123"/>
        <v>16644.98984</v>
      </c>
      <c r="AN118" s="117">
        <f t="shared" si="123"/>
        <v>17142.98672</v>
      </c>
      <c r="AO118" s="117">
        <f t="shared" si="123"/>
        <v>16246.47858</v>
      </c>
      <c r="AP118" s="117">
        <f t="shared" si="123"/>
        <v>15376.0631</v>
      </c>
      <c r="AQ118" s="117">
        <f t="shared" si="123"/>
        <v>15614.99377</v>
      </c>
      <c r="AR118" s="117">
        <f t="shared" si="123"/>
        <v>16020.52074</v>
      </c>
      <c r="AS118" s="117">
        <f t="shared" si="123"/>
        <v>15354.76362</v>
      </c>
      <c r="AT118" s="117">
        <f t="shared" si="123"/>
        <v>14663.10448</v>
      </c>
      <c r="AU118" s="117">
        <f t="shared" si="123"/>
        <v>15055.08683</v>
      </c>
      <c r="AV118" s="117">
        <f t="shared" si="123"/>
        <v>15639.06734</v>
      </c>
      <c r="AW118" s="117">
        <f t="shared" si="123"/>
        <v>15099.6937</v>
      </c>
      <c r="AX118" s="117">
        <f t="shared" si="123"/>
        <v>14572.75643</v>
      </c>
      <c r="AY118" s="117">
        <f t="shared" si="123"/>
        <v>15084.20209</v>
      </c>
      <c r="AZ118" s="117">
        <f t="shared" si="123"/>
        <v>15437.4641</v>
      </c>
      <c r="BA118" s="117">
        <f t="shared" si="123"/>
        <v>14963.9469</v>
      </c>
      <c r="BB118" s="117">
        <f t="shared" si="123"/>
        <v>14444.06424</v>
      </c>
      <c r="BC118" s="117">
        <f t="shared" si="123"/>
        <v>14974.64859</v>
      </c>
      <c r="BD118" s="117">
        <f t="shared" si="123"/>
        <v>15753.36042</v>
      </c>
      <c r="BE118" s="117">
        <f t="shared" si="123"/>
        <v>15211.71082</v>
      </c>
      <c r="BF118" s="117">
        <f t="shared" si="123"/>
        <v>15591.27871</v>
      </c>
      <c r="BG118" s="117">
        <f t="shared" si="123"/>
        <v>16094.8808</v>
      </c>
      <c r="BH118" s="117">
        <f t="shared" si="123"/>
        <v>16871.75432</v>
      </c>
      <c r="BI118" s="117">
        <f t="shared" si="123"/>
        <v>16313.30757</v>
      </c>
      <c r="BJ118" s="117">
        <f t="shared" si="123"/>
        <v>15759.27086</v>
      </c>
      <c r="BK118" s="117">
        <f t="shared" si="123"/>
        <v>16274.15762</v>
      </c>
      <c r="BL118" s="117">
        <f t="shared" si="123"/>
        <v>17098.70041</v>
      </c>
      <c r="BM118" s="117">
        <f t="shared" si="123"/>
        <v>16658.54729</v>
      </c>
      <c r="BN118" s="117">
        <f t="shared" si="123"/>
        <v>16218.91688</v>
      </c>
      <c r="BO118" s="117">
        <f t="shared" si="123"/>
        <v>16827.96657</v>
      </c>
      <c r="BP118" s="117">
        <f t="shared" si="123"/>
        <v>17670.32474</v>
      </c>
      <c r="BQ118" s="117">
        <f t="shared" si="123"/>
        <v>17628.53895</v>
      </c>
      <c r="BR118" s="117">
        <f t="shared" si="123"/>
        <v>17177.8753</v>
      </c>
      <c r="BS118" s="117">
        <f t="shared" si="123"/>
        <v>18639.7394</v>
      </c>
      <c r="BT118" s="117">
        <f t="shared" si="123"/>
        <v>19529.81465</v>
      </c>
      <c r="BU118" s="117">
        <f t="shared" si="123"/>
        <v>19071.8754</v>
      </c>
      <c r="BV118" s="117">
        <f t="shared" si="123"/>
        <v>18617.37186</v>
      </c>
      <c r="BW118" s="117">
        <f t="shared" si="123"/>
        <v>19260.3615</v>
      </c>
      <c r="BX118" s="117">
        <f t="shared" si="123"/>
        <v>20148.49504</v>
      </c>
      <c r="BY118" s="117">
        <f t="shared" si="123"/>
        <v>19558.14562</v>
      </c>
      <c r="BZ118" s="117">
        <f t="shared" si="123"/>
        <v>18983.55202</v>
      </c>
      <c r="CA118" s="117">
        <f t="shared" si="123"/>
        <v>19528.667</v>
      </c>
      <c r="CB118" s="117">
        <f t="shared" si="123"/>
        <v>20102.51966</v>
      </c>
      <c r="CC118" s="117">
        <f t="shared" si="123"/>
        <v>20019.14777</v>
      </c>
      <c r="CD118" s="117">
        <f t="shared" si="123"/>
        <v>19568.42372</v>
      </c>
      <c r="CE118" s="117">
        <f t="shared" si="123"/>
        <v>20201.73397</v>
      </c>
      <c r="CF118" s="117">
        <f t="shared" si="123"/>
        <v>20860.36118</v>
      </c>
      <c r="CG118" s="117">
        <f t="shared" si="123"/>
        <v>20441.36122</v>
      </c>
      <c r="CH118" s="117">
        <f t="shared" si="123"/>
        <v>20026.54934</v>
      </c>
      <c r="CI118" s="117">
        <f t="shared" si="123"/>
        <v>20701.13682</v>
      </c>
      <c r="CL118" s="117">
        <f t="shared" si="108"/>
        <v>0</v>
      </c>
      <c r="CM118" s="117">
        <f t="shared" si="109"/>
        <v>0</v>
      </c>
      <c r="CN118" s="117">
        <f t="shared" si="110"/>
        <v>0</v>
      </c>
      <c r="CO118" s="117">
        <f t="shared" si="111"/>
        <v>0</v>
      </c>
      <c r="CP118" s="117">
        <f t="shared" si="112"/>
        <v>0</v>
      </c>
      <c r="CQ118" s="117">
        <f t="shared" si="113"/>
        <v>21139.19828</v>
      </c>
    </row>
    <row r="119" ht="15.75" customHeight="1" outlineLevel="1">
      <c r="A119" s="1" t="s">
        <v>89</v>
      </c>
      <c r="B119" s="91" t="s">
        <v>67</v>
      </c>
      <c r="C119" s="146" t="s">
        <v>218</v>
      </c>
      <c r="D119" s="247">
        <f t="shared" ref="D119:Z119" si="124">RANDBETWEEN(0,5000)</f>
        <v>2986</v>
      </c>
      <c r="E119" s="247">
        <f t="shared" si="124"/>
        <v>2389</v>
      </c>
      <c r="F119" s="247">
        <f t="shared" si="124"/>
        <v>2100</v>
      </c>
      <c r="G119" s="247">
        <f t="shared" si="124"/>
        <v>763</v>
      </c>
      <c r="H119" s="247">
        <f t="shared" si="124"/>
        <v>1345</v>
      </c>
      <c r="I119" s="247">
        <f t="shared" si="124"/>
        <v>1121</v>
      </c>
      <c r="J119" s="247">
        <f t="shared" si="124"/>
        <v>4956</v>
      </c>
      <c r="K119" s="247">
        <f t="shared" si="124"/>
        <v>3866</v>
      </c>
      <c r="L119" s="247">
        <f t="shared" si="124"/>
        <v>905</v>
      </c>
      <c r="M119" s="247">
        <f t="shared" si="124"/>
        <v>1631</v>
      </c>
      <c r="N119" s="247">
        <f t="shared" si="124"/>
        <v>1083</v>
      </c>
      <c r="O119" s="247">
        <f t="shared" si="124"/>
        <v>151</v>
      </c>
      <c r="P119" s="247">
        <f t="shared" si="124"/>
        <v>3494</v>
      </c>
      <c r="Q119" s="247">
        <f t="shared" si="124"/>
        <v>2105</v>
      </c>
      <c r="R119" s="247">
        <f t="shared" si="124"/>
        <v>693</v>
      </c>
      <c r="S119" s="247">
        <f t="shared" si="124"/>
        <v>3100</v>
      </c>
      <c r="T119" s="247">
        <f t="shared" si="124"/>
        <v>970</v>
      </c>
      <c r="U119" s="247">
        <f t="shared" si="124"/>
        <v>4339</v>
      </c>
      <c r="V119" s="247">
        <f t="shared" si="124"/>
        <v>3959</v>
      </c>
      <c r="W119" s="247">
        <f t="shared" si="124"/>
        <v>1655</v>
      </c>
      <c r="X119" s="247">
        <f t="shared" si="124"/>
        <v>3235</v>
      </c>
      <c r="Y119" s="247">
        <f t="shared" si="124"/>
        <v>4760</v>
      </c>
      <c r="Z119" s="247">
        <f t="shared" si="124"/>
        <v>882</v>
      </c>
      <c r="AA119" s="116">
        <f>Expenses!T105</f>
        <v>235.275525</v>
      </c>
      <c r="AB119" s="116">
        <f>Expenses!U105</f>
        <v>258.8030775</v>
      </c>
      <c r="AC119" s="116">
        <f>Expenses!V105</f>
        <v>261.3911083</v>
      </c>
      <c r="AD119" s="116">
        <f>Expenses!W105</f>
        <v>264.0050194</v>
      </c>
      <c r="AE119" s="116">
        <f>Expenses!X105</f>
        <v>266.6450696</v>
      </c>
      <c r="AF119" s="116">
        <f>Expenses!Y105</f>
        <v>269.3115202</v>
      </c>
      <c r="AG119" s="116">
        <f>Expenses!Z105</f>
        <v>272.0046354</v>
      </c>
      <c r="AH119" s="116">
        <f>Expenses!AA105</f>
        <v>274.7246818</v>
      </c>
      <c r="AI119" s="116">
        <f>Expenses!AB105</f>
        <v>277.4719286</v>
      </c>
      <c r="AJ119" s="116">
        <f>Expenses!AC105</f>
        <v>280.2466479</v>
      </c>
      <c r="AK119" s="116">
        <f>Expenses!AD105</f>
        <v>283.0491144</v>
      </c>
      <c r="AL119" s="116">
        <f>Expenses!AE105</f>
        <v>285.8796055</v>
      </c>
      <c r="AM119" s="116">
        <f>Expenses!AF105</f>
        <v>288.7384016</v>
      </c>
      <c r="AN119" s="116">
        <f>Expenses!AG105</f>
        <v>291.6257856</v>
      </c>
      <c r="AO119" s="116">
        <f>Expenses!AH105</f>
        <v>294.5420435</v>
      </c>
      <c r="AP119" s="116">
        <f>Expenses!AI105</f>
        <v>297.4874639</v>
      </c>
      <c r="AQ119" s="116">
        <f>Expenses!AJ105</f>
        <v>300.4623385</v>
      </c>
      <c r="AR119" s="116">
        <f>Expenses!AK105</f>
        <v>303.4669619</v>
      </c>
      <c r="AS119" s="116">
        <f>Expenses!AL105</f>
        <v>306.5016315</v>
      </c>
      <c r="AT119" s="116">
        <f>Expenses!AM105</f>
        <v>309.5666479</v>
      </c>
      <c r="AU119" s="116">
        <f>Expenses!AN105</f>
        <v>312.6623143</v>
      </c>
      <c r="AV119" s="116">
        <f>Expenses!AO105</f>
        <v>315.7889375</v>
      </c>
      <c r="AW119" s="116">
        <f>Expenses!AP105</f>
        <v>318.9468268</v>
      </c>
      <c r="AX119" s="116">
        <f>Expenses!AQ105</f>
        <v>322.1362951</v>
      </c>
      <c r="AY119" s="116">
        <f>Expenses!AR105</f>
        <v>325.3576581</v>
      </c>
      <c r="AZ119" s="116">
        <f>Expenses!AS105</f>
        <v>328.6112346</v>
      </c>
      <c r="BA119" s="116">
        <f>Expenses!AT105</f>
        <v>331.897347</v>
      </c>
      <c r="BB119" s="116">
        <f>Expenses!AU105</f>
        <v>335.2163205</v>
      </c>
      <c r="BC119" s="116">
        <f>Expenses!AV105</f>
        <v>338.5684837</v>
      </c>
      <c r="BD119" s="116">
        <f>Expenses!AW105</f>
        <v>341.9541685</v>
      </c>
      <c r="BE119" s="116">
        <f>Expenses!AX105</f>
        <v>345.3737102</v>
      </c>
      <c r="BF119" s="116">
        <f>Expenses!AY105</f>
        <v>348.8274473</v>
      </c>
      <c r="BG119" s="116">
        <f>Expenses!AZ105</f>
        <v>352.3157218</v>
      </c>
      <c r="BH119" s="116">
        <f>Expenses!BA105</f>
        <v>355.838879</v>
      </c>
      <c r="BI119" s="116">
        <f>Expenses!BB105</f>
        <v>359.3972678</v>
      </c>
      <c r="BJ119" s="116">
        <f>Expenses!BC105</f>
        <v>362.9912405</v>
      </c>
      <c r="BK119" s="116">
        <f>Expenses!BD105</f>
        <v>366.6211529</v>
      </c>
      <c r="BL119" s="116">
        <f>Expenses!BE105</f>
        <v>370.2873644</v>
      </c>
      <c r="BM119" s="116">
        <f>Expenses!BF105</f>
        <v>373.990238</v>
      </c>
      <c r="BN119" s="116">
        <f>Expenses!BG105</f>
        <v>377.7301404</v>
      </c>
      <c r="BO119" s="116">
        <f>Expenses!BH105</f>
        <v>381.5074418</v>
      </c>
      <c r="BP119" s="116">
        <f>Expenses!BI105</f>
        <v>385.3225162</v>
      </c>
      <c r="BQ119" s="116">
        <f>Expenses!BJ105</f>
        <v>389.1757414</v>
      </c>
      <c r="BR119" s="116">
        <f>Expenses!BK105</f>
        <v>393.0674988</v>
      </c>
      <c r="BS119" s="116">
        <f>Expenses!BL105</f>
        <v>396.9981738</v>
      </c>
      <c r="BT119" s="116">
        <f>Expenses!BM105</f>
        <v>400.9681555</v>
      </c>
      <c r="BU119" s="116">
        <f>Expenses!BN105</f>
        <v>404.9778371</v>
      </c>
      <c r="BV119" s="116">
        <f>Expenses!BO105</f>
        <v>409.0276155</v>
      </c>
      <c r="BW119" s="116">
        <f>Expenses!BP105</f>
        <v>413.1178916</v>
      </c>
      <c r="BX119" s="116">
        <f>Expenses!BQ105</f>
        <v>417.2490705</v>
      </c>
      <c r="BY119" s="116">
        <f>Expenses!BR105</f>
        <v>421.4215612</v>
      </c>
      <c r="BZ119" s="116">
        <f>Expenses!BS105</f>
        <v>425.6357768</v>
      </c>
      <c r="CA119" s="116">
        <f>Expenses!BT105</f>
        <v>429.8921346</v>
      </c>
      <c r="CB119" s="116">
        <f>Expenses!BU105</f>
        <v>434.191056</v>
      </c>
      <c r="CC119" s="116">
        <f>Expenses!BV105</f>
        <v>438.5329665</v>
      </c>
      <c r="CD119" s="116">
        <f>Expenses!BW105</f>
        <v>442.9182962</v>
      </c>
      <c r="CE119" s="116">
        <f>Expenses!BX105</f>
        <v>447.3474791</v>
      </c>
      <c r="CF119" s="116">
        <f>Expenses!BY105</f>
        <v>451.8209539</v>
      </c>
      <c r="CG119" s="116">
        <f>Expenses!BZ105</f>
        <v>456.3391635</v>
      </c>
      <c r="CH119" s="116">
        <f>Expenses!CA105</f>
        <v>460.9025551</v>
      </c>
      <c r="CI119" s="116">
        <f>Expenses!CB105</f>
        <v>465.5115807</v>
      </c>
      <c r="CL119" s="117"/>
      <c r="CM119" s="117"/>
      <c r="CN119" s="117"/>
      <c r="CO119" s="117"/>
      <c r="CP119" s="117"/>
      <c r="CQ119" s="117"/>
    </row>
    <row r="120" ht="15.75" customHeight="1" outlineLevel="1">
      <c r="A120" s="1" t="s">
        <v>89</v>
      </c>
      <c r="B120" s="91" t="s">
        <v>67</v>
      </c>
      <c r="C120" s="146" t="s">
        <v>219</v>
      </c>
      <c r="D120" s="247">
        <f t="shared" ref="D120:Z120" si="125">RANDBETWEEN(0,5000)</f>
        <v>2405</v>
      </c>
      <c r="E120" s="247">
        <f t="shared" si="125"/>
        <v>2653</v>
      </c>
      <c r="F120" s="247">
        <f t="shared" si="125"/>
        <v>3449</v>
      </c>
      <c r="G120" s="247">
        <f t="shared" si="125"/>
        <v>2025</v>
      </c>
      <c r="H120" s="247">
        <f t="shared" si="125"/>
        <v>4250</v>
      </c>
      <c r="I120" s="247">
        <f t="shared" si="125"/>
        <v>4267</v>
      </c>
      <c r="J120" s="247">
        <f t="shared" si="125"/>
        <v>1129</v>
      </c>
      <c r="K120" s="247">
        <f t="shared" si="125"/>
        <v>4060</v>
      </c>
      <c r="L120" s="247">
        <f t="shared" si="125"/>
        <v>4252</v>
      </c>
      <c r="M120" s="247">
        <f t="shared" si="125"/>
        <v>1777</v>
      </c>
      <c r="N120" s="247">
        <f t="shared" si="125"/>
        <v>1230</v>
      </c>
      <c r="O120" s="247">
        <f t="shared" si="125"/>
        <v>3062</v>
      </c>
      <c r="P120" s="247">
        <f t="shared" si="125"/>
        <v>324</v>
      </c>
      <c r="Q120" s="247">
        <f t="shared" si="125"/>
        <v>4054</v>
      </c>
      <c r="R120" s="247">
        <f t="shared" si="125"/>
        <v>4295</v>
      </c>
      <c r="S120" s="247">
        <f t="shared" si="125"/>
        <v>3465</v>
      </c>
      <c r="T120" s="247">
        <f t="shared" si="125"/>
        <v>1816</v>
      </c>
      <c r="U120" s="247">
        <f t="shared" si="125"/>
        <v>1256</v>
      </c>
      <c r="V120" s="247">
        <f t="shared" si="125"/>
        <v>1417</v>
      </c>
      <c r="W120" s="247">
        <f t="shared" si="125"/>
        <v>1156</v>
      </c>
      <c r="X120" s="247">
        <f t="shared" si="125"/>
        <v>2934</v>
      </c>
      <c r="Y120" s="247">
        <f t="shared" si="125"/>
        <v>2552</v>
      </c>
      <c r="Z120" s="247">
        <f t="shared" si="125"/>
        <v>232</v>
      </c>
      <c r="AA120" s="116">
        <f>Expenses!T114</f>
        <v>352.9132875</v>
      </c>
      <c r="AB120" s="116">
        <f>Expenses!U114</f>
        <v>388.2046163</v>
      </c>
      <c r="AC120" s="116">
        <f>Expenses!V114</f>
        <v>392.0866624</v>
      </c>
      <c r="AD120" s="116">
        <f>Expenses!W114</f>
        <v>396.007529</v>
      </c>
      <c r="AE120" s="116">
        <f>Expenses!X114</f>
        <v>399.9676043</v>
      </c>
      <c r="AF120" s="116">
        <f>Expenses!Y114</f>
        <v>403.9672804</v>
      </c>
      <c r="AG120" s="116">
        <f>Expenses!Z114</f>
        <v>408.0069532</v>
      </c>
      <c r="AH120" s="116">
        <f>Expenses!AA114</f>
        <v>412.0870227</v>
      </c>
      <c r="AI120" s="116">
        <f>Expenses!AB114</f>
        <v>416.2078929</v>
      </c>
      <c r="AJ120" s="116">
        <f>Expenses!AC114</f>
        <v>420.3699719</v>
      </c>
      <c r="AK120" s="116">
        <f>Expenses!AD114</f>
        <v>424.5736716</v>
      </c>
      <c r="AL120" s="116">
        <f>Expenses!AE114</f>
        <v>428.8194083</v>
      </c>
      <c r="AM120" s="116">
        <f>Expenses!AF114</f>
        <v>433.1076024</v>
      </c>
      <c r="AN120" s="116">
        <f>Expenses!AG114</f>
        <v>437.4386784</v>
      </c>
      <c r="AO120" s="116">
        <f>Expenses!AH114</f>
        <v>441.8130652</v>
      </c>
      <c r="AP120" s="116">
        <f>Expenses!AI114</f>
        <v>446.2311958</v>
      </c>
      <c r="AQ120" s="116">
        <f>Expenses!AJ114</f>
        <v>450.6935078</v>
      </c>
      <c r="AR120" s="116">
        <f>Expenses!AK114</f>
        <v>455.2004429</v>
      </c>
      <c r="AS120" s="116">
        <f>Expenses!AL114</f>
        <v>459.7524473</v>
      </c>
      <c r="AT120" s="116">
        <f>Expenses!AM114</f>
        <v>464.3499718</v>
      </c>
      <c r="AU120" s="116">
        <f>Expenses!AN114</f>
        <v>468.9934715</v>
      </c>
      <c r="AV120" s="116">
        <f>Expenses!AO114</f>
        <v>473.6834062</v>
      </c>
      <c r="AW120" s="116">
        <f>Expenses!AP114</f>
        <v>478.4202403</v>
      </c>
      <c r="AX120" s="116">
        <f>Expenses!AQ114</f>
        <v>483.2044427</v>
      </c>
      <c r="AY120" s="116">
        <f>Expenses!AR114</f>
        <v>488.0364871</v>
      </c>
      <c r="AZ120" s="116">
        <f>Expenses!AS114</f>
        <v>492.916852</v>
      </c>
      <c r="BA120" s="116">
        <f>Expenses!AT114</f>
        <v>497.8460205</v>
      </c>
      <c r="BB120" s="116">
        <f>Expenses!AU114</f>
        <v>502.8244807</v>
      </c>
      <c r="BC120" s="116">
        <f>Expenses!AV114</f>
        <v>507.8527255</v>
      </c>
      <c r="BD120" s="116">
        <f>Expenses!AW114</f>
        <v>512.9312528</v>
      </c>
      <c r="BE120" s="116">
        <f>Expenses!AX114</f>
        <v>518.0605653</v>
      </c>
      <c r="BF120" s="116">
        <f>Expenses!AY114</f>
        <v>523.2411709</v>
      </c>
      <c r="BG120" s="116">
        <f>Expenses!AZ114</f>
        <v>528.4735826</v>
      </c>
      <c r="BH120" s="116">
        <f>Expenses!BA114</f>
        <v>533.7583185</v>
      </c>
      <c r="BI120" s="116">
        <f>Expenses!BB114</f>
        <v>539.0959017</v>
      </c>
      <c r="BJ120" s="116">
        <f>Expenses!BC114</f>
        <v>544.4868607</v>
      </c>
      <c r="BK120" s="116">
        <f>Expenses!BD114</f>
        <v>549.9317293</v>
      </c>
      <c r="BL120" s="116">
        <f>Expenses!BE114</f>
        <v>555.4310466</v>
      </c>
      <c r="BM120" s="116">
        <f>Expenses!BF114</f>
        <v>560.985357</v>
      </c>
      <c r="BN120" s="116">
        <f>Expenses!BG114</f>
        <v>566.5952106</v>
      </c>
      <c r="BO120" s="116">
        <f>Expenses!BH114</f>
        <v>572.2611627</v>
      </c>
      <c r="BP120" s="116">
        <f>Expenses!BI114</f>
        <v>577.9837743</v>
      </c>
      <c r="BQ120" s="116">
        <f>Expenses!BJ114</f>
        <v>583.7636121</v>
      </c>
      <c r="BR120" s="116">
        <f>Expenses!BK114</f>
        <v>589.6012482</v>
      </c>
      <c r="BS120" s="116">
        <f>Expenses!BL114</f>
        <v>595.4972607</v>
      </c>
      <c r="BT120" s="116">
        <f>Expenses!BM114</f>
        <v>601.4522333</v>
      </c>
      <c r="BU120" s="116">
        <f>Expenses!BN114</f>
        <v>607.4667556</v>
      </c>
      <c r="BV120" s="116">
        <f>Expenses!BO114</f>
        <v>613.5414232</v>
      </c>
      <c r="BW120" s="116">
        <f>Expenses!BP114</f>
        <v>619.6768374</v>
      </c>
      <c r="BX120" s="116">
        <f>Expenses!BQ114</f>
        <v>625.8736058</v>
      </c>
      <c r="BY120" s="116">
        <f>Expenses!BR114</f>
        <v>632.1323419</v>
      </c>
      <c r="BZ120" s="116">
        <f>Expenses!BS114</f>
        <v>638.4536653</v>
      </c>
      <c r="CA120" s="116">
        <f>Expenses!BT114</f>
        <v>644.8382019</v>
      </c>
      <c r="CB120" s="116">
        <f>Expenses!BU114</f>
        <v>651.2865839</v>
      </c>
      <c r="CC120" s="116">
        <f>Expenses!BV114</f>
        <v>657.7994498</v>
      </c>
      <c r="CD120" s="116">
        <f>Expenses!BW114</f>
        <v>664.3774443</v>
      </c>
      <c r="CE120" s="116">
        <f>Expenses!BX114</f>
        <v>671.0212187</v>
      </c>
      <c r="CF120" s="116">
        <f>Expenses!BY114</f>
        <v>677.7314309</v>
      </c>
      <c r="CG120" s="116">
        <f>Expenses!BZ114</f>
        <v>684.5087452</v>
      </c>
      <c r="CH120" s="116">
        <f>Expenses!CA114</f>
        <v>691.3538327</v>
      </c>
      <c r="CI120" s="116">
        <f>Expenses!CB114</f>
        <v>698.267371</v>
      </c>
      <c r="CL120" s="117"/>
      <c r="CM120" s="117"/>
      <c r="CN120" s="117"/>
      <c r="CO120" s="117"/>
      <c r="CP120" s="117"/>
      <c r="CQ120" s="117"/>
    </row>
    <row r="121" ht="15.75" customHeight="1" outlineLevel="1">
      <c r="A121" s="1" t="s">
        <v>89</v>
      </c>
      <c r="B121" s="91" t="s">
        <v>67</v>
      </c>
      <c r="C121" s="146" t="s">
        <v>220</v>
      </c>
      <c r="D121" s="247">
        <f t="shared" ref="D121:Z121" si="126">RANDBETWEEN(0,5000)</f>
        <v>83</v>
      </c>
      <c r="E121" s="247">
        <f t="shared" si="126"/>
        <v>2802</v>
      </c>
      <c r="F121" s="247">
        <f t="shared" si="126"/>
        <v>4982</v>
      </c>
      <c r="G121" s="247">
        <f t="shared" si="126"/>
        <v>2347</v>
      </c>
      <c r="H121" s="247">
        <f t="shared" si="126"/>
        <v>2978</v>
      </c>
      <c r="I121" s="247">
        <f t="shared" si="126"/>
        <v>1734</v>
      </c>
      <c r="J121" s="247">
        <f t="shared" si="126"/>
        <v>2593</v>
      </c>
      <c r="K121" s="247">
        <f t="shared" si="126"/>
        <v>2580</v>
      </c>
      <c r="L121" s="247">
        <f t="shared" si="126"/>
        <v>919</v>
      </c>
      <c r="M121" s="247">
        <f t="shared" si="126"/>
        <v>172</v>
      </c>
      <c r="N121" s="247">
        <f t="shared" si="126"/>
        <v>4163</v>
      </c>
      <c r="O121" s="247">
        <f t="shared" si="126"/>
        <v>4359</v>
      </c>
      <c r="P121" s="247">
        <f t="shared" si="126"/>
        <v>2699</v>
      </c>
      <c r="Q121" s="247">
        <f t="shared" si="126"/>
        <v>430</v>
      </c>
      <c r="R121" s="247">
        <f t="shared" si="126"/>
        <v>1781</v>
      </c>
      <c r="S121" s="247">
        <f t="shared" si="126"/>
        <v>2000</v>
      </c>
      <c r="T121" s="247">
        <f t="shared" si="126"/>
        <v>998</v>
      </c>
      <c r="U121" s="247">
        <f t="shared" si="126"/>
        <v>3553</v>
      </c>
      <c r="V121" s="247">
        <f t="shared" si="126"/>
        <v>1844</v>
      </c>
      <c r="W121" s="247">
        <f t="shared" si="126"/>
        <v>1120</v>
      </c>
      <c r="X121" s="247">
        <f t="shared" si="126"/>
        <v>2403</v>
      </c>
      <c r="Y121" s="247">
        <f t="shared" si="126"/>
        <v>332</v>
      </c>
      <c r="Z121" s="247">
        <f t="shared" si="126"/>
        <v>2165</v>
      </c>
      <c r="AA121" s="116">
        <f>Expenses!T123</f>
        <v>196.0629375</v>
      </c>
      <c r="AB121" s="116">
        <f>Expenses!U123</f>
        <v>215.6692313</v>
      </c>
      <c r="AC121" s="116">
        <f>Expenses!V123</f>
        <v>217.8259236</v>
      </c>
      <c r="AD121" s="116">
        <f>Expenses!W123</f>
        <v>220.0041828</v>
      </c>
      <c r="AE121" s="116">
        <f>Expenses!X123</f>
        <v>222.2042246</v>
      </c>
      <c r="AF121" s="116">
        <f>Expenses!Y123</f>
        <v>224.4262669</v>
      </c>
      <c r="AG121" s="116">
        <f>Expenses!Z123</f>
        <v>226.6705295</v>
      </c>
      <c r="AH121" s="116">
        <f>Expenses!AA123</f>
        <v>228.9372348</v>
      </c>
      <c r="AI121" s="116">
        <f>Expenses!AB123</f>
        <v>231.2266072</v>
      </c>
      <c r="AJ121" s="116">
        <f>Expenses!AC123</f>
        <v>233.5388733</v>
      </c>
      <c r="AK121" s="116">
        <f>Expenses!AD123</f>
        <v>235.874262</v>
      </c>
      <c r="AL121" s="116">
        <f>Expenses!AE123</f>
        <v>238.2330046</v>
      </c>
      <c r="AM121" s="116">
        <f>Expenses!AF123</f>
        <v>240.6153347</v>
      </c>
      <c r="AN121" s="116">
        <f>Expenses!AG123</f>
        <v>243.021488</v>
      </c>
      <c r="AO121" s="116">
        <f>Expenses!AH123</f>
        <v>245.4517029</v>
      </c>
      <c r="AP121" s="116">
        <f>Expenses!AI123</f>
        <v>247.9062199</v>
      </c>
      <c r="AQ121" s="116">
        <f>Expenses!AJ123</f>
        <v>250.3852821</v>
      </c>
      <c r="AR121" s="116">
        <f>Expenses!AK123</f>
        <v>252.8891349</v>
      </c>
      <c r="AS121" s="116">
        <f>Expenses!AL123</f>
        <v>255.4180263</v>
      </c>
      <c r="AT121" s="116">
        <f>Expenses!AM123</f>
        <v>257.9722065</v>
      </c>
      <c r="AU121" s="116">
        <f>Expenses!AN123</f>
        <v>260.5519286</v>
      </c>
      <c r="AV121" s="116">
        <f>Expenses!AO123</f>
        <v>263.1574479</v>
      </c>
      <c r="AW121" s="116">
        <f>Expenses!AP123</f>
        <v>265.7890224</v>
      </c>
      <c r="AX121" s="116">
        <f>Expenses!AQ123</f>
        <v>268.4469126</v>
      </c>
      <c r="AY121" s="116">
        <f>Expenses!AR123</f>
        <v>271.1313817</v>
      </c>
      <c r="AZ121" s="116">
        <f>Expenses!AS123</f>
        <v>273.8426955</v>
      </c>
      <c r="BA121" s="116">
        <f>Expenses!AT123</f>
        <v>276.5811225</v>
      </c>
      <c r="BB121" s="116">
        <f>Expenses!AU123</f>
        <v>279.3469337</v>
      </c>
      <c r="BC121" s="116">
        <f>Expenses!AV123</f>
        <v>282.1404031</v>
      </c>
      <c r="BD121" s="116">
        <f>Expenses!AW123</f>
        <v>284.9618071</v>
      </c>
      <c r="BE121" s="116">
        <f>Expenses!AX123</f>
        <v>287.8114252</v>
      </c>
      <c r="BF121" s="116">
        <f>Expenses!AY123</f>
        <v>290.6895394</v>
      </c>
      <c r="BG121" s="116">
        <f>Expenses!AZ123</f>
        <v>293.5964348</v>
      </c>
      <c r="BH121" s="116">
        <f>Expenses!BA123</f>
        <v>296.5323992</v>
      </c>
      <c r="BI121" s="116">
        <f>Expenses!BB123</f>
        <v>299.4977231</v>
      </c>
      <c r="BJ121" s="116">
        <f>Expenses!BC123</f>
        <v>302.4927004</v>
      </c>
      <c r="BK121" s="116">
        <f>Expenses!BD123</f>
        <v>305.5176274</v>
      </c>
      <c r="BL121" s="116">
        <f>Expenses!BE123</f>
        <v>308.5728037</v>
      </c>
      <c r="BM121" s="116">
        <f>Expenses!BF123</f>
        <v>311.6585317</v>
      </c>
      <c r="BN121" s="116">
        <f>Expenses!BG123</f>
        <v>314.775117</v>
      </c>
      <c r="BO121" s="116">
        <f>Expenses!BH123</f>
        <v>317.9228682</v>
      </c>
      <c r="BP121" s="116">
        <f>Expenses!BI123</f>
        <v>321.1020969</v>
      </c>
      <c r="BQ121" s="116">
        <f>Expenses!BJ123</f>
        <v>324.3131178</v>
      </c>
      <c r="BR121" s="116">
        <f>Expenses!BK123</f>
        <v>327.556249</v>
      </c>
      <c r="BS121" s="116">
        <f>Expenses!BL123</f>
        <v>330.8318115</v>
      </c>
      <c r="BT121" s="116">
        <f>Expenses!BM123</f>
        <v>334.1401296</v>
      </c>
      <c r="BU121" s="116">
        <f>Expenses!BN123</f>
        <v>337.4815309</v>
      </c>
      <c r="BV121" s="116">
        <f>Expenses!BO123</f>
        <v>340.8563462</v>
      </c>
      <c r="BW121" s="116">
        <f>Expenses!BP123</f>
        <v>344.2649097</v>
      </c>
      <c r="BX121" s="116">
        <f>Expenses!BQ123</f>
        <v>347.7075588</v>
      </c>
      <c r="BY121" s="116">
        <f>Expenses!BR123</f>
        <v>351.1846344</v>
      </c>
      <c r="BZ121" s="116">
        <f>Expenses!BS123</f>
        <v>354.6964807</v>
      </c>
      <c r="CA121" s="116">
        <f>Expenses!BT123</f>
        <v>358.2434455</v>
      </c>
      <c r="CB121" s="116">
        <f>Expenses!BU123</f>
        <v>361.82588</v>
      </c>
      <c r="CC121" s="116">
        <f>Expenses!BV123</f>
        <v>365.4441388</v>
      </c>
      <c r="CD121" s="116">
        <f>Expenses!BW123</f>
        <v>369.0985802</v>
      </c>
      <c r="CE121" s="116">
        <f>Expenses!BX123</f>
        <v>372.789566</v>
      </c>
      <c r="CF121" s="116">
        <f>Expenses!BY123</f>
        <v>376.5174616</v>
      </c>
      <c r="CG121" s="116">
        <f>Expenses!BZ123</f>
        <v>380.2826362</v>
      </c>
      <c r="CH121" s="116">
        <f>Expenses!CA123</f>
        <v>384.0854626</v>
      </c>
      <c r="CI121" s="116">
        <f>Expenses!CB123</f>
        <v>387.9263172</v>
      </c>
      <c r="CL121" s="117"/>
      <c r="CM121" s="117"/>
      <c r="CN121" s="117"/>
      <c r="CO121" s="117"/>
      <c r="CP121" s="117"/>
      <c r="CQ121" s="117"/>
    </row>
    <row r="122" ht="15.75" customHeight="1" outlineLevel="1">
      <c r="C122" s="257" t="s">
        <v>221</v>
      </c>
      <c r="D122" s="514">
        <f t="shared" ref="D122:CI122" si="127">SUM(D109:D121)</f>
        <v>24349</v>
      </c>
      <c r="E122" s="514">
        <f t="shared" si="127"/>
        <v>35310</v>
      </c>
      <c r="F122" s="514">
        <f t="shared" si="127"/>
        <v>32818</v>
      </c>
      <c r="G122" s="514">
        <f t="shared" si="127"/>
        <v>27537</v>
      </c>
      <c r="H122" s="514">
        <f t="shared" si="127"/>
        <v>34501</v>
      </c>
      <c r="I122" s="514">
        <f t="shared" si="127"/>
        <v>27655</v>
      </c>
      <c r="J122" s="514">
        <f t="shared" si="127"/>
        <v>28737</v>
      </c>
      <c r="K122" s="514">
        <f t="shared" si="127"/>
        <v>36901</v>
      </c>
      <c r="L122" s="514">
        <f t="shared" si="127"/>
        <v>43312</v>
      </c>
      <c r="M122" s="514">
        <f t="shared" si="127"/>
        <v>37163</v>
      </c>
      <c r="N122" s="514">
        <f t="shared" si="127"/>
        <v>30070</v>
      </c>
      <c r="O122" s="514">
        <f t="shared" si="127"/>
        <v>33316</v>
      </c>
      <c r="P122" s="514">
        <f t="shared" si="127"/>
        <v>35198</v>
      </c>
      <c r="Q122" s="514">
        <f t="shared" si="127"/>
        <v>34797</v>
      </c>
      <c r="R122" s="514">
        <f t="shared" si="127"/>
        <v>36566</v>
      </c>
      <c r="S122" s="514">
        <f t="shared" si="127"/>
        <v>38199</v>
      </c>
      <c r="T122" s="514">
        <f t="shared" si="127"/>
        <v>35342</v>
      </c>
      <c r="U122" s="514">
        <f t="shared" si="127"/>
        <v>33983</v>
      </c>
      <c r="V122" s="514">
        <f t="shared" si="127"/>
        <v>24752</v>
      </c>
      <c r="W122" s="514">
        <f t="shared" si="127"/>
        <v>32012</v>
      </c>
      <c r="X122" s="514">
        <f t="shared" si="127"/>
        <v>32289</v>
      </c>
      <c r="Y122" s="514">
        <f t="shared" si="127"/>
        <v>28650</v>
      </c>
      <c r="Z122" s="514">
        <f t="shared" si="127"/>
        <v>31029</v>
      </c>
      <c r="AA122" s="514">
        <f t="shared" si="127"/>
        <v>32623.06672</v>
      </c>
      <c r="AB122" s="514">
        <f t="shared" si="127"/>
        <v>34692.84702</v>
      </c>
      <c r="AC122" s="514">
        <f t="shared" si="127"/>
        <v>33158.40961</v>
      </c>
      <c r="AD122" s="514">
        <f t="shared" si="127"/>
        <v>31710.45104</v>
      </c>
      <c r="AE122" s="514">
        <f t="shared" si="127"/>
        <v>31702.53508</v>
      </c>
      <c r="AF122" s="514">
        <f t="shared" si="127"/>
        <v>32819.22792</v>
      </c>
      <c r="AG122" s="514">
        <f t="shared" si="127"/>
        <v>31332.29692</v>
      </c>
      <c r="AH122" s="514">
        <f t="shared" si="127"/>
        <v>36245.85441</v>
      </c>
      <c r="AI122" s="514">
        <f t="shared" si="127"/>
        <v>36415.28357</v>
      </c>
      <c r="AJ122" s="514">
        <f t="shared" si="127"/>
        <v>37192.95568</v>
      </c>
      <c r="AK122" s="514">
        <f t="shared" si="127"/>
        <v>37546.97054</v>
      </c>
      <c r="AL122" s="514">
        <f t="shared" si="127"/>
        <v>36599.39404</v>
      </c>
      <c r="AM122" s="514">
        <f t="shared" si="127"/>
        <v>36886.50493</v>
      </c>
      <c r="AN122" s="514">
        <f t="shared" si="127"/>
        <v>43080.84161</v>
      </c>
      <c r="AO122" s="514">
        <f t="shared" si="127"/>
        <v>42253.71769</v>
      </c>
      <c r="AP122" s="514">
        <f t="shared" si="127"/>
        <v>41435.02327</v>
      </c>
      <c r="AQ122" s="514">
        <f t="shared" si="127"/>
        <v>41732.88974</v>
      </c>
      <c r="AR122" s="514">
        <f t="shared" si="127"/>
        <v>42345.18329</v>
      </c>
      <c r="AS122" s="514">
        <f t="shared" si="127"/>
        <v>41748.86077</v>
      </c>
      <c r="AT122" s="514">
        <f t="shared" si="127"/>
        <v>47059.35704</v>
      </c>
      <c r="AU122" s="514">
        <f t="shared" si="127"/>
        <v>47525.64508</v>
      </c>
      <c r="AV122" s="514">
        <f t="shared" si="127"/>
        <v>48493.88897</v>
      </c>
      <c r="AW122" s="514">
        <f t="shared" si="127"/>
        <v>48032.06622</v>
      </c>
      <c r="AX122" s="514">
        <f t="shared" si="127"/>
        <v>47583.99236</v>
      </c>
      <c r="AY122" s="514">
        <f t="shared" si="127"/>
        <v>48175.50284</v>
      </c>
      <c r="AZ122" s="514">
        <f t="shared" si="127"/>
        <v>49603.49495</v>
      </c>
      <c r="BA122" s="514">
        <f t="shared" si="127"/>
        <v>49238.02374</v>
      </c>
      <c r="BB122" s="514">
        <f t="shared" si="127"/>
        <v>48822.85126</v>
      </c>
      <c r="BC122" s="514">
        <f t="shared" si="127"/>
        <v>49449.06634</v>
      </c>
      <c r="BD122" s="514">
        <f t="shared" si="127"/>
        <v>50877.0408</v>
      </c>
      <c r="BE122" s="514">
        <f t="shared" si="127"/>
        <v>50418.75766</v>
      </c>
      <c r="BF122" s="514">
        <f t="shared" si="127"/>
        <v>50877.55921</v>
      </c>
      <c r="BG122" s="514">
        <f t="shared" si="127"/>
        <v>51457.16145</v>
      </c>
      <c r="BH122" s="514">
        <f t="shared" si="127"/>
        <v>52874.46669</v>
      </c>
      <c r="BI122" s="514">
        <f t="shared" si="127"/>
        <v>52387.42096</v>
      </c>
      <c r="BJ122" s="514">
        <f t="shared" si="127"/>
        <v>51903.13277</v>
      </c>
      <c r="BK122" s="514">
        <f t="shared" si="127"/>
        <v>52486.41531</v>
      </c>
      <c r="BL122" s="514">
        <f t="shared" si="127"/>
        <v>54037.61745</v>
      </c>
      <c r="BM122" s="514">
        <f t="shared" si="127"/>
        <v>53696.07832</v>
      </c>
      <c r="BN122" s="514">
        <f t="shared" si="127"/>
        <v>53320.2561</v>
      </c>
      <c r="BO122" s="514">
        <f t="shared" si="127"/>
        <v>54003.58667</v>
      </c>
      <c r="BP122" s="514">
        <f t="shared" si="127"/>
        <v>55116.82622</v>
      </c>
      <c r="BQ122" s="514">
        <f t="shared" si="127"/>
        <v>55162.637</v>
      </c>
      <c r="BR122" s="514">
        <f t="shared" si="127"/>
        <v>54803.70069</v>
      </c>
      <c r="BS122" s="514">
        <f t="shared" si="127"/>
        <v>56360.32539</v>
      </c>
      <c r="BT122" s="514">
        <f t="shared" si="127"/>
        <v>57543.55063</v>
      </c>
      <c r="BU122" s="514">
        <f t="shared" si="127"/>
        <v>57184.26431</v>
      </c>
      <c r="BV122" s="514">
        <f t="shared" si="127"/>
        <v>56829.65705</v>
      </c>
      <c r="BW122" s="514">
        <f t="shared" si="127"/>
        <v>57573.4927</v>
      </c>
      <c r="BX122" s="514">
        <f t="shared" si="127"/>
        <v>58778.45098</v>
      </c>
      <c r="BY122" s="514">
        <f t="shared" si="127"/>
        <v>58594.64785</v>
      </c>
      <c r="BZ122" s="514">
        <f t="shared" si="127"/>
        <v>58065.26622</v>
      </c>
      <c r="CA122" s="514">
        <f t="shared" si="127"/>
        <v>58662.83738</v>
      </c>
      <c r="CB122" s="514">
        <f t="shared" si="127"/>
        <v>59506.10003</v>
      </c>
      <c r="CC122" s="514">
        <f t="shared" si="127"/>
        <v>59484.7474</v>
      </c>
      <c r="CD122" s="514">
        <f t="shared" si="127"/>
        <v>59099.17868</v>
      </c>
      <c r="CE122" s="514">
        <f t="shared" si="127"/>
        <v>59800.05629</v>
      </c>
      <c r="CF122" s="514">
        <f t="shared" si="127"/>
        <v>60839.77731</v>
      </c>
      <c r="CG122" s="514">
        <f t="shared" si="127"/>
        <v>60491.708</v>
      </c>
      <c r="CH122" s="514">
        <f t="shared" si="127"/>
        <v>60149.02289</v>
      </c>
      <c r="CI122" s="514">
        <f t="shared" si="127"/>
        <v>60896.72124</v>
      </c>
      <c r="CL122" s="514">
        <f>SUM(D122:G122)</f>
        <v>120014</v>
      </c>
      <c r="CM122" s="514">
        <f>SUM(H122:K122)</f>
        <v>127794</v>
      </c>
      <c r="CN122" s="514">
        <f>SUM(L122:O122)</f>
        <v>143861</v>
      </c>
      <c r="CO122" s="514">
        <f>SUM(P122:S122)</f>
        <v>144760</v>
      </c>
      <c r="CP122" s="514">
        <f>SUM(T122:W122)</f>
        <v>126089</v>
      </c>
      <c r="CQ122" s="514">
        <f>SUM(X122:AA122)</f>
        <v>124591.0667</v>
      </c>
    </row>
    <row r="123" ht="15.75" customHeight="1" outlineLevel="1">
      <c r="C123" s="257" t="s">
        <v>800</v>
      </c>
      <c r="D123" s="122">
        <f t="shared" ref="D123:CI123" si="128">D122/D$284</f>
        <v>1.379703083</v>
      </c>
      <c r="E123" s="122">
        <f t="shared" si="128"/>
        <v>2.03562781</v>
      </c>
      <c r="F123" s="122">
        <f t="shared" si="128"/>
        <v>2.17021558</v>
      </c>
      <c r="G123" s="122">
        <f t="shared" si="128"/>
        <v>1.696463775</v>
      </c>
      <c r="H123" s="122">
        <f t="shared" si="128"/>
        <v>1.90792457</v>
      </c>
      <c r="I123" s="122">
        <f t="shared" si="128"/>
        <v>1.681155015</v>
      </c>
      <c r="J123" s="122">
        <f t="shared" si="128"/>
        <v>1.673967496</v>
      </c>
      <c r="K123" s="122">
        <f t="shared" si="128"/>
        <v>1.980411099</v>
      </c>
      <c r="L123" s="122">
        <f t="shared" si="128"/>
        <v>2.324602834</v>
      </c>
      <c r="M123" s="122">
        <f t="shared" si="128"/>
        <v>2.152255748</v>
      </c>
      <c r="N123" s="122">
        <f t="shared" si="128"/>
        <v>1.54418939</v>
      </c>
      <c r="O123" s="122">
        <f t="shared" si="128"/>
        <v>1.946596553</v>
      </c>
      <c r="P123" s="122">
        <f t="shared" si="128"/>
        <v>1.550777636</v>
      </c>
      <c r="Q123" s="122">
        <f t="shared" si="128"/>
        <v>1.491449145</v>
      </c>
      <c r="R123" s="122">
        <f t="shared" si="128"/>
        <v>1.427578668</v>
      </c>
      <c r="S123" s="122">
        <f t="shared" si="128"/>
        <v>1.588844522</v>
      </c>
      <c r="T123" s="122">
        <f t="shared" si="128"/>
        <v>1.529294678</v>
      </c>
      <c r="U123" s="122">
        <f t="shared" si="128"/>
        <v>1.631210099</v>
      </c>
      <c r="V123" s="122">
        <f t="shared" si="128"/>
        <v>0.9990313206</v>
      </c>
      <c r="W123" s="122">
        <f t="shared" si="128"/>
        <v>1.534023385</v>
      </c>
      <c r="X123" s="122">
        <f t="shared" si="128"/>
        <v>1.274733518</v>
      </c>
      <c r="Y123" s="122">
        <f t="shared" si="128"/>
        <v>1.167624404</v>
      </c>
      <c r="Z123" s="122">
        <f t="shared" si="128"/>
        <v>1.45137752</v>
      </c>
      <c r="AA123" s="130">
        <f t="shared" si="128"/>
        <v>0.1751678694</v>
      </c>
      <c r="AB123" s="130">
        <f t="shared" si="128"/>
        <v>0.1762555799</v>
      </c>
      <c r="AC123" s="130">
        <f t="shared" si="128"/>
        <v>0.1567924128</v>
      </c>
      <c r="AD123" s="130">
        <f t="shared" si="128"/>
        <v>0.1402962156</v>
      </c>
      <c r="AE123" s="130">
        <f t="shared" si="128"/>
        <v>0.1355310427</v>
      </c>
      <c r="AF123" s="130">
        <f t="shared" si="128"/>
        <v>0.13446049</v>
      </c>
      <c r="AG123" s="130">
        <f t="shared" si="128"/>
        <v>0.1277340575</v>
      </c>
      <c r="AH123" s="130">
        <f t="shared" si="128"/>
        <v>0.1352328283</v>
      </c>
      <c r="AI123" s="130">
        <f t="shared" si="128"/>
        <v>0.1320589136</v>
      </c>
      <c r="AJ123" s="130">
        <f t="shared" si="128"/>
        <v>0.1267964381</v>
      </c>
      <c r="AK123" s="130">
        <f t="shared" si="128"/>
        <v>0.1212025495</v>
      </c>
      <c r="AL123" s="130">
        <f t="shared" si="128"/>
        <v>0.1153042929</v>
      </c>
      <c r="AM123" s="130">
        <f t="shared" si="128"/>
        <v>0.1088773694</v>
      </c>
      <c r="AN123" s="130">
        <f t="shared" si="128"/>
        <v>0.1044471045</v>
      </c>
      <c r="AO123" s="130">
        <f t="shared" si="128"/>
        <v>0.09604060394</v>
      </c>
      <c r="AP123" s="130">
        <f t="shared" si="128"/>
        <v>0.0912254364</v>
      </c>
      <c r="AQ123" s="130">
        <f t="shared" si="128"/>
        <v>0.09165984794</v>
      </c>
      <c r="AR123" s="130">
        <f t="shared" si="128"/>
        <v>0.0880495598</v>
      </c>
      <c r="AS123" s="130">
        <f t="shared" si="128"/>
        <v>0.08545776721</v>
      </c>
      <c r="AT123" s="130">
        <f t="shared" si="128"/>
        <v>0.08987815287</v>
      </c>
      <c r="AU123" s="130">
        <f t="shared" si="128"/>
        <v>0.08706945747</v>
      </c>
      <c r="AV123" s="130">
        <f t="shared" si="128"/>
        <v>0.08415862345</v>
      </c>
      <c r="AW123" s="130">
        <f t="shared" si="128"/>
        <v>0.08123944391</v>
      </c>
      <c r="AX123" s="130">
        <f t="shared" si="128"/>
        <v>0.07760114043</v>
      </c>
      <c r="AY123" s="130">
        <f t="shared" si="128"/>
        <v>0.07842211022</v>
      </c>
      <c r="AZ123" s="130">
        <f t="shared" si="128"/>
        <v>0.07539939374</v>
      </c>
      <c r="BA123" s="130">
        <f t="shared" si="128"/>
        <v>0.07002052559</v>
      </c>
      <c r="BB123" s="130">
        <f t="shared" si="128"/>
        <v>0.06717675414</v>
      </c>
      <c r="BC123" s="130">
        <f t="shared" si="128"/>
        <v>0.06388371751</v>
      </c>
      <c r="BD123" s="130">
        <f t="shared" si="128"/>
        <v>0.06347758482</v>
      </c>
      <c r="BE123" s="130">
        <f t="shared" si="128"/>
        <v>0.0616553956</v>
      </c>
      <c r="BF123" s="130">
        <f t="shared" si="128"/>
        <v>0.06041942803</v>
      </c>
      <c r="BG123" s="130">
        <f t="shared" si="128"/>
        <v>0.06046319807</v>
      </c>
      <c r="BH123" s="130">
        <f t="shared" si="128"/>
        <v>0.05900777034</v>
      </c>
      <c r="BI123" s="130">
        <f t="shared" si="128"/>
        <v>0.0569233884</v>
      </c>
      <c r="BJ123" s="130">
        <f t="shared" si="128"/>
        <v>0.05629387818</v>
      </c>
      <c r="BK123" s="130">
        <f t="shared" si="128"/>
        <v>0.05461840811</v>
      </c>
      <c r="BL123" s="130">
        <f t="shared" si="128"/>
        <v>0.05065499942</v>
      </c>
      <c r="BM123" s="130">
        <f t="shared" si="128"/>
        <v>0.04117413371</v>
      </c>
      <c r="BN123" s="130">
        <f t="shared" si="128"/>
        <v>0.03786716447</v>
      </c>
      <c r="BO123" s="130">
        <f t="shared" si="128"/>
        <v>0.03781556804</v>
      </c>
      <c r="BP123" s="130">
        <f t="shared" si="128"/>
        <v>0.03697266785</v>
      </c>
      <c r="BQ123" s="130">
        <f t="shared" si="128"/>
        <v>0.03675851316</v>
      </c>
      <c r="BR123" s="130">
        <f t="shared" si="128"/>
        <v>0.03569477087</v>
      </c>
      <c r="BS123" s="130">
        <f t="shared" si="128"/>
        <v>0.03608538881</v>
      </c>
      <c r="BT123" s="130">
        <f t="shared" si="128"/>
        <v>0.03529978133</v>
      </c>
      <c r="BU123" s="130">
        <f t="shared" si="128"/>
        <v>0.03486072126</v>
      </c>
      <c r="BV123" s="130">
        <f t="shared" si="128"/>
        <v>0.03360112749</v>
      </c>
      <c r="BW123" s="130">
        <f t="shared" si="128"/>
        <v>0.03399911111</v>
      </c>
      <c r="BX123" s="130">
        <f t="shared" si="128"/>
        <v>0.0327929103</v>
      </c>
      <c r="BY123" s="130">
        <f t="shared" si="128"/>
        <v>0.03180343293</v>
      </c>
      <c r="BZ123" s="130">
        <f t="shared" si="128"/>
        <v>0.03121457362</v>
      </c>
      <c r="CA123" s="130">
        <f t="shared" si="128"/>
        <v>0.03109277416</v>
      </c>
      <c r="CB123" s="130">
        <f t="shared" si="128"/>
        <v>0.03053050187</v>
      </c>
      <c r="CC123" s="130">
        <f t="shared" si="128"/>
        <v>0.0299769989</v>
      </c>
      <c r="CD123" s="130">
        <f t="shared" si="128"/>
        <v>0.02950868416</v>
      </c>
      <c r="CE123" s="130">
        <f t="shared" si="128"/>
        <v>0.02983549935</v>
      </c>
      <c r="CF123" s="130">
        <f t="shared" si="128"/>
        <v>0.02911905802</v>
      </c>
      <c r="CG123" s="130">
        <f t="shared" si="128"/>
        <v>0.02892978575</v>
      </c>
      <c r="CH123" s="130">
        <f t="shared" si="128"/>
        <v>0.02828513111</v>
      </c>
      <c r="CI123" s="130">
        <f t="shared" si="128"/>
        <v>0.02827646593</v>
      </c>
      <c r="CL123" s="130">
        <f t="shared" ref="CL123:CQ123" si="129">CL122/CL$284</f>
        <v>1.808856333</v>
      </c>
      <c r="CM123" s="130">
        <f t="shared" si="129"/>
        <v>1.816984915</v>
      </c>
      <c r="CN123" s="130">
        <f t="shared" si="129"/>
        <v>1.984645523</v>
      </c>
      <c r="CO123" s="130">
        <f t="shared" si="129"/>
        <v>1.512896618</v>
      </c>
      <c r="CP123" s="130">
        <f t="shared" si="129"/>
        <v>1.407447509</v>
      </c>
      <c r="CQ123" s="130">
        <f t="shared" si="129"/>
        <v>0.4838772271</v>
      </c>
    </row>
    <row r="124" ht="15.75" customHeight="1" outlineLevel="1">
      <c r="C124" s="25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c r="AI124" s="117"/>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BR124" s="117"/>
      <c r="BS124" s="117"/>
      <c r="BT124" s="117"/>
      <c r="BU124" s="117"/>
      <c r="BV124" s="117"/>
      <c r="BW124" s="117"/>
      <c r="BX124" s="117"/>
      <c r="BY124" s="117"/>
      <c r="BZ124" s="117"/>
      <c r="CA124" s="117"/>
      <c r="CB124" s="117"/>
      <c r="CC124" s="117"/>
      <c r="CD124" s="117"/>
      <c r="CE124" s="117"/>
      <c r="CF124" s="117"/>
      <c r="CG124" s="117"/>
      <c r="CH124" s="117"/>
      <c r="CI124" s="117"/>
      <c r="CL124" s="117"/>
      <c r="CM124" s="117"/>
      <c r="CN124" s="117"/>
      <c r="CO124" s="117"/>
      <c r="CP124" s="117"/>
      <c r="CQ124" s="117"/>
    </row>
    <row r="125" ht="15.75" customHeight="1" outlineLevel="1">
      <c r="C125" s="257" t="s">
        <v>809</v>
      </c>
      <c r="D125" s="117">
        <f t="shared" ref="D125:CI125" si="130">D104-D122</f>
        <v>171376</v>
      </c>
      <c r="E125" s="117">
        <f t="shared" si="130"/>
        <v>179303</v>
      </c>
      <c r="F125" s="117">
        <f t="shared" si="130"/>
        <v>164574</v>
      </c>
      <c r="G125" s="117">
        <f t="shared" si="130"/>
        <v>230740</v>
      </c>
      <c r="H125" s="117">
        <f t="shared" si="130"/>
        <v>104921</v>
      </c>
      <c r="I125" s="117">
        <f t="shared" si="130"/>
        <v>219475</v>
      </c>
      <c r="J125" s="117">
        <f t="shared" si="130"/>
        <v>110749</v>
      </c>
      <c r="K125" s="117">
        <f t="shared" si="130"/>
        <v>159666</v>
      </c>
      <c r="L125" s="117">
        <f t="shared" si="130"/>
        <v>109935</v>
      </c>
      <c r="M125" s="117">
        <f t="shared" si="130"/>
        <v>144131</v>
      </c>
      <c r="N125" s="117">
        <f t="shared" si="130"/>
        <v>139905</v>
      </c>
      <c r="O125" s="117">
        <f t="shared" si="130"/>
        <v>157188</v>
      </c>
      <c r="P125" s="117">
        <f t="shared" si="130"/>
        <v>231611</v>
      </c>
      <c r="Q125" s="117">
        <f t="shared" si="130"/>
        <v>136521</v>
      </c>
      <c r="R125" s="117">
        <f t="shared" si="130"/>
        <v>205196</v>
      </c>
      <c r="S125" s="117">
        <f t="shared" si="130"/>
        <v>217412</v>
      </c>
      <c r="T125" s="117">
        <f t="shared" si="130"/>
        <v>169899</v>
      </c>
      <c r="U125" s="117">
        <f t="shared" si="130"/>
        <v>237527</v>
      </c>
      <c r="V125" s="117">
        <f t="shared" si="130"/>
        <v>231611</v>
      </c>
      <c r="W125" s="117">
        <f t="shared" si="130"/>
        <v>44745</v>
      </c>
      <c r="X125" s="117">
        <f t="shared" si="130"/>
        <v>34942</v>
      </c>
      <c r="Y125" s="117">
        <f t="shared" si="130"/>
        <v>180182</v>
      </c>
      <c r="Z125" s="117">
        <f t="shared" si="130"/>
        <v>114366</v>
      </c>
      <c r="AA125" s="117">
        <f t="shared" si="130"/>
        <v>130868.2857</v>
      </c>
      <c r="AB125" s="117">
        <f t="shared" si="130"/>
        <v>148351.8918</v>
      </c>
      <c r="AC125" s="117">
        <f t="shared" si="130"/>
        <v>167300.6239</v>
      </c>
      <c r="AD125" s="117">
        <f t="shared" si="130"/>
        <v>181513.2052</v>
      </c>
      <c r="AE125" s="117">
        <f t="shared" si="130"/>
        <v>190970.9939</v>
      </c>
      <c r="AF125" s="117">
        <f t="shared" si="130"/>
        <v>197862.5073</v>
      </c>
      <c r="AG125" s="117">
        <f t="shared" si="130"/>
        <v>205051.5999</v>
      </c>
      <c r="AH125" s="117">
        <f t="shared" si="130"/>
        <v>204285.0556</v>
      </c>
      <c r="AI125" s="117">
        <f t="shared" si="130"/>
        <v>205886.6228</v>
      </c>
      <c r="AJ125" s="117">
        <f t="shared" si="130"/>
        <v>204192.1677</v>
      </c>
      <c r="AK125" s="117">
        <f t="shared" si="130"/>
        <v>206784.6913</v>
      </c>
      <c r="AL125" s="117">
        <f t="shared" si="130"/>
        <v>210187.2781</v>
      </c>
      <c r="AM125" s="117">
        <f t="shared" si="130"/>
        <v>212140.1449</v>
      </c>
      <c r="AN125" s="117">
        <f t="shared" si="130"/>
        <v>213084.7939</v>
      </c>
      <c r="AO125" s="117">
        <f t="shared" si="130"/>
        <v>208711.9172</v>
      </c>
      <c r="AP125" s="117">
        <f t="shared" si="130"/>
        <v>204665.6741</v>
      </c>
      <c r="AQ125" s="117">
        <f t="shared" si="130"/>
        <v>201228.6764</v>
      </c>
      <c r="AR125" s="117">
        <f t="shared" si="130"/>
        <v>198718.0103</v>
      </c>
      <c r="AS125" s="117">
        <f t="shared" si="130"/>
        <v>198569.8951</v>
      </c>
      <c r="AT125" s="117">
        <f t="shared" si="130"/>
        <v>193085.0292</v>
      </c>
      <c r="AU125" s="117">
        <f t="shared" si="130"/>
        <v>192855.3631</v>
      </c>
      <c r="AV125" s="117">
        <f t="shared" si="130"/>
        <v>192420.5315</v>
      </c>
      <c r="AW125" s="117">
        <f t="shared" si="130"/>
        <v>193630.5766</v>
      </c>
      <c r="AX125" s="117">
        <f t="shared" si="130"/>
        <v>194982.8369</v>
      </c>
      <c r="AY125" s="117">
        <f t="shared" si="130"/>
        <v>195409.2419</v>
      </c>
      <c r="AZ125" s="117">
        <f t="shared" si="130"/>
        <v>198664.9126</v>
      </c>
      <c r="BA125" s="117">
        <f t="shared" si="130"/>
        <v>202999.2207</v>
      </c>
      <c r="BB125" s="117">
        <f t="shared" si="130"/>
        <v>206715.889</v>
      </c>
      <c r="BC125" s="117">
        <f t="shared" si="130"/>
        <v>208899.0937</v>
      </c>
      <c r="BD125" s="117">
        <f t="shared" si="130"/>
        <v>209918.1749</v>
      </c>
      <c r="BE125" s="117">
        <f t="shared" si="130"/>
        <v>212557.1526</v>
      </c>
      <c r="BF125" s="117">
        <f t="shared" si="130"/>
        <v>214083.7427</v>
      </c>
      <c r="BG125" s="117">
        <f t="shared" si="130"/>
        <v>215346.8284</v>
      </c>
      <c r="BH125" s="117">
        <f t="shared" si="130"/>
        <v>215668.4475</v>
      </c>
      <c r="BI125" s="117">
        <f t="shared" si="130"/>
        <v>217819.4863</v>
      </c>
      <c r="BJ125" s="117">
        <f t="shared" si="130"/>
        <v>219914.1887</v>
      </c>
      <c r="BK125" s="117">
        <f t="shared" si="130"/>
        <v>220903.5596</v>
      </c>
      <c r="BL125" s="117">
        <f t="shared" si="130"/>
        <v>223807.932</v>
      </c>
      <c r="BM125" s="117">
        <f t="shared" si="130"/>
        <v>228014.3156</v>
      </c>
      <c r="BN125" s="117">
        <f t="shared" si="130"/>
        <v>231336.3994</v>
      </c>
      <c r="BO125" s="117">
        <f t="shared" si="130"/>
        <v>233633.7828</v>
      </c>
      <c r="BP125" s="117">
        <f t="shared" si="130"/>
        <v>235529.7099</v>
      </c>
      <c r="BQ125" s="117">
        <f t="shared" si="130"/>
        <v>238517.1332</v>
      </c>
      <c r="BR125" s="117">
        <f t="shared" si="130"/>
        <v>241930.182</v>
      </c>
      <c r="BS125" s="117">
        <f t="shared" si="130"/>
        <v>243446.2452</v>
      </c>
      <c r="BT125" s="117">
        <f t="shared" si="130"/>
        <v>245352.6383</v>
      </c>
      <c r="BU125" s="117">
        <f t="shared" si="130"/>
        <v>248817.3163</v>
      </c>
      <c r="BV125" s="117">
        <f t="shared" si="130"/>
        <v>252292.2945</v>
      </c>
      <c r="BW125" s="117">
        <f t="shared" si="130"/>
        <v>254683.2849</v>
      </c>
      <c r="BX125" s="117">
        <f t="shared" si="130"/>
        <v>256782.1703</v>
      </c>
      <c r="BY125" s="117">
        <f t="shared" si="130"/>
        <v>256654.9432</v>
      </c>
      <c r="BZ125" s="117">
        <f t="shared" si="130"/>
        <v>256928.5245</v>
      </c>
      <c r="CA125" s="117">
        <f t="shared" si="130"/>
        <v>256856.2732</v>
      </c>
      <c r="CB125" s="117">
        <f t="shared" si="130"/>
        <v>257119.2067</v>
      </c>
      <c r="CC125" s="117">
        <f t="shared" si="130"/>
        <v>258679.4377</v>
      </c>
      <c r="CD125" s="117">
        <f t="shared" si="130"/>
        <v>260926.8907</v>
      </c>
      <c r="CE125" s="117">
        <f t="shared" si="130"/>
        <v>262329.7308</v>
      </c>
      <c r="CF125" s="117">
        <f t="shared" si="130"/>
        <v>263575.4822</v>
      </c>
      <c r="CG125" s="117">
        <f t="shared" si="130"/>
        <v>266346.3103</v>
      </c>
      <c r="CH125" s="117">
        <f t="shared" si="130"/>
        <v>269216.1247</v>
      </c>
      <c r="CI125" s="117">
        <f t="shared" si="130"/>
        <v>271075.5597</v>
      </c>
      <c r="CL125" s="117">
        <f>SUM(D125:G125)</f>
        <v>745993</v>
      </c>
      <c r="CM125" s="117">
        <f>SUM(H125:K125)</f>
        <v>594811</v>
      </c>
      <c r="CN125" s="117">
        <f>SUM(L125:O125)</f>
        <v>551159</v>
      </c>
      <c r="CO125" s="117">
        <f>SUM(P125:S125)</f>
        <v>790740</v>
      </c>
      <c r="CP125" s="117">
        <f>SUM(T125:W125)</f>
        <v>683782</v>
      </c>
      <c r="CQ125" s="117">
        <f>SUM(X125:AA125)</f>
        <v>460358.2857</v>
      </c>
    </row>
    <row r="126" ht="15.75" customHeight="1" outlineLevel="1">
      <c r="A126" s="136"/>
      <c r="B126" s="136"/>
      <c r="C126" s="517" t="s">
        <v>101</v>
      </c>
      <c r="D126" s="519">
        <f t="shared" ref="D126:CI126" si="131">D125/D104</f>
        <v>0.8755958615</v>
      </c>
      <c r="E126" s="519">
        <f t="shared" si="131"/>
        <v>0.8354712902</v>
      </c>
      <c r="F126" s="519">
        <f t="shared" si="131"/>
        <v>0.8337419956</v>
      </c>
      <c r="G126" s="519">
        <f t="shared" si="131"/>
        <v>0.8933819117</v>
      </c>
      <c r="H126" s="519">
        <f t="shared" si="131"/>
        <v>0.7525426403</v>
      </c>
      <c r="I126" s="519">
        <f t="shared" si="131"/>
        <v>0.8880953344</v>
      </c>
      <c r="J126" s="519">
        <f t="shared" si="131"/>
        <v>0.7939793241</v>
      </c>
      <c r="K126" s="519">
        <f t="shared" si="131"/>
        <v>0.8122726602</v>
      </c>
      <c r="L126" s="519">
        <f t="shared" si="131"/>
        <v>0.7173713025</v>
      </c>
      <c r="M126" s="519">
        <f t="shared" si="131"/>
        <v>0.7950125211</v>
      </c>
      <c r="N126" s="519">
        <f t="shared" si="131"/>
        <v>0.8230916311</v>
      </c>
      <c r="O126" s="519">
        <f t="shared" si="131"/>
        <v>0.825116533</v>
      </c>
      <c r="P126" s="519">
        <f t="shared" si="131"/>
        <v>0.8680779134</v>
      </c>
      <c r="Q126" s="519">
        <f t="shared" si="131"/>
        <v>0.7968864918</v>
      </c>
      <c r="R126" s="519">
        <f t="shared" si="131"/>
        <v>0.8487520785</v>
      </c>
      <c r="S126" s="519">
        <f t="shared" si="131"/>
        <v>0.8505580746</v>
      </c>
      <c r="T126" s="519">
        <f t="shared" si="131"/>
        <v>0.8278024371</v>
      </c>
      <c r="U126" s="519">
        <f t="shared" si="131"/>
        <v>0.8748370226</v>
      </c>
      <c r="V126" s="519">
        <f t="shared" si="131"/>
        <v>0.9034494057</v>
      </c>
      <c r="W126" s="519">
        <f t="shared" si="131"/>
        <v>0.5829435752</v>
      </c>
      <c r="X126" s="519">
        <f t="shared" si="131"/>
        <v>0.5197304815</v>
      </c>
      <c r="Y126" s="128">
        <f t="shared" si="131"/>
        <v>0.8628083819</v>
      </c>
      <c r="Z126" s="519">
        <f t="shared" si="131"/>
        <v>0.7865882596</v>
      </c>
      <c r="AA126" s="519">
        <f t="shared" si="131"/>
        <v>0.8004599861</v>
      </c>
      <c r="AB126" s="519">
        <f t="shared" si="131"/>
        <v>0.8104679368</v>
      </c>
      <c r="AC126" s="519">
        <f t="shared" si="131"/>
        <v>0.8345876011</v>
      </c>
      <c r="AD126" s="519">
        <f t="shared" si="131"/>
        <v>0.8512808025</v>
      </c>
      <c r="AE126" s="519">
        <f t="shared" si="131"/>
        <v>0.8576277332</v>
      </c>
      <c r="AF126" s="519">
        <f t="shared" si="131"/>
        <v>0.8577294041</v>
      </c>
      <c r="AG126" s="519">
        <f t="shared" si="131"/>
        <v>0.8674516439</v>
      </c>
      <c r="AH126" s="519">
        <f t="shared" si="131"/>
        <v>0.8493089541</v>
      </c>
      <c r="AI126" s="519">
        <f t="shared" si="131"/>
        <v>0.8497111141</v>
      </c>
      <c r="AJ126" s="519">
        <f t="shared" si="131"/>
        <v>0.8459186086</v>
      </c>
      <c r="AK126" s="519">
        <f t="shared" si="131"/>
        <v>0.8463278551</v>
      </c>
      <c r="AL126" s="519">
        <f t="shared" si="131"/>
        <v>0.8516962293</v>
      </c>
      <c r="AM126" s="519">
        <f t="shared" si="131"/>
        <v>0.8518772792</v>
      </c>
      <c r="AN126" s="519">
        <f t="shared" si="131"/>
        <v>0.8318242744</v>
      </c>
      <c r="AO126" s="519">
        <f t="shared" si="131"/>
        <v>0.831635444</v>
      </c>
      <c r="AP126" s="519">
        <f t="shared" si="131"/>
        <v>0.8316338649</v>
      </c>
      <c r="AQ126" s="519">
        <f t="shared" si="131"/>
        <v>0.8282325456</v>
      </c>
      <c r="AR126" s="519">
        <f t="shared" si="131"/>
        <v>0.8243399058</v>
      </c>
      <c r="AS126" s="519">
        <f t="shared" si="131"/>
        <v>0.8262771434</v>
      </c>
      <c r="AT126" s="519">
        <f t="shared" si="131"/>
        <v>0.8040372387</v>
      </c>
      <c r="AU126" s="519">
        <f t="shared" si="131"/>
        <v>0.8022903496</v>
      </c>
      <c r="AV126" s="519">
        <f t="shared" si="131"/>
        <v>0.7987090649</v>
      </c>
      <c r="AW126" s="519">
        <f t="shared" si="131"/>
        <v>0.8012433132</v>
      </c>
      <c r="AX126" s="519">
        <f t="shared" si="131"/>
        <v>0.8038314121</v>
      </c>
      <c r="AY126" s="519">
        <f t="shared" si="131"/>
        <v>0.8022228244</v>
      </c>
      <c r="AZ126" s="519">
        <f t="shared" si="131"/>
        <v>0.8002021464</v>
      </c>
      <c r="BA126" s="519">
        <f t="shared" si="131"/>
        <v>0.8047947921</v>
      </c>
      <c r="BB126" s="519">
        <f t="shared" si="131"/>
        <v>0.8089414888</v>
      </c>
      <c r="BC126" s="519">
        <f t="shared" si="131"/>
        <v>0.8085952447</v>
      </c>
      <c r="BD126" s="519">
        <f t="shared" si="131"/>
        <v>0.8049157433</v>
      </c>
      <c r="BE126" s="519">
        <f t="shared" si="131"/>
        <v>0.808276136</v>
      </c>
      <c r="BF126" s="519">
        <f t="shared" si="131"/>
        <v>0.8079811699</v>
      </c>
      <c r="BG126" s="519">
        <f t="shared" si="131"/>
        <v>0.8071349627</v>
      </c>
      <c r="BH126" s="519">
        <f t="shared" si="131"/>
        <v>0.8031060814</v>
      </c>
      <c r="BI126" s="519">
        <f t="shared" si="131"/>
        <v>0.8061210889</v>
      </c>
      <c r="BJ126" s="519">
        <f t="shared" si="131"/>
        <v>0.8090514155</v>
      </c>
      <c r="BK126" s="519">
        <f t="shared" si="131"/>
        <v>0.8080163132</v>
      </c>
      <c r="BL126" s="519">
        <f t="shared" si="131"/>
        <v>0.805512028</v>
      </c>
      <c r="BM126" s="519">
        <f t="shared" si="131"/>
        <v>0.8093926264</v>
      </c>
      <c r="BN126" s="519">
        <f t="shared" si="131"/>
        <v>0.8126857213</v>
      </c>
      <c r="BO126" s="519">
        <f t="shared" si="131"/>
        <v>0.8122511454</v>
      </c>
      <c r="BP126" s="519">
        <f t="shared" si="131"/>
        <v>0.810364758</v>
      </c>
      <c r="BQ126" s="519">
        <f t="shared" si="131"/>
        <v>0.8121673926</v>
      </c>
      <c r="BR126" s="519">
        <f t="shared" si="131"/>
        <v>0.8153102699</v>
      </c>
      <c r="BS126" s="519">
        <f t="shared" si="131"/>
        <v>0.8120110401</v>
      </c>
      <c r="BT126" s="519">
        <f t="shared" si="131"/>
        <v>0.8100222032</v>
      </c>
      <c r="BU126" s="519">
        <f t="shared" si="131"/>
        <v>0.8131242846</v>
      </c>
      <c r="BV126" s="519">
        <f t="shared" si="131"/>
        <v>0.8161578084</v>
      </c>
      <c r="BW126" s="519">
        <f t="shared" si="131"/>
        <v>0.8156213193</v>
      </c>
      <c r="BX126" s="519">
        <f t="shared" si="131"/>
        <v>0.8137332512</v>
      </c>
      <c r="BY126" s="519">
        <f t="shared" si="131"/>
        <v>0.8141325175</v>
      </c>
      <c r="BZ126" s="519">
        <f t="shared" si="131"/>
        <v>0.8156621879</v>
      </c>
      <c r="CA126" s="519">
        <f t="shared" si="131"/>
        <v>0.8140751688</v>
      </c>
      <c r="CB126" s="519">
        <f t="shared" si="131"/>
        <v>0.8120614532</v>
      </c>
      <c r="CC126" s="519">
        <f t="shared" si="131"/>
        <v>0.8130375756</v>
      </c>
      <c r="CD126" s="519">
        <f t="shared" si="131"/>
        <v>0.8153301111</v>
      </c>
      <c r="CE126" s="519">
        <f t="shared" si="131"/>
        <v>0.8143603644</v>
      </c>
      <c r="CF126" s="519">
        <f t="shared" si="131"/>
        <v>0.8124632688</v>
      </c>
      <c r="CG126" s="519">
        <f t="shared" si="131"/>
        <v>0.8149183858</v>
      </c>
      <c r="CH126" s="519">
        <f t="shared" si="131"/>
        <v>0.8173789081</v>
      </c>
      <c r="CI126" s="519">
        <f t="shared" si="131"/>
        <v>0.8165608253</v>
      </c>
      <c r="CJ126" s="136"/>
      <c r="CK126" s="136"/>
      <c r="CL126" s="519">
        <f t="shared" ref="CL126:CQ126" si="132">CL125/CL104</f>
        <v>0.8614168246</v>
      </c>
      <c r="CM126" s="519">
        <f t="shared" si="132"/>
        <v>0.823148193</v>
      </c>
      <c r="CN126" s="519">
        <f t="shared" si="132"/>
        <v>0.7930117119</v>
      </c>
      <c r="CO126" s="519">
        <f t="shared" si="132"/>
        <v>0.8452592197</v>
      </c>
      <c r="CP126" s="519">
        <f t="shared" si="132"/>
        <v>0.8443097728</v>
      </c>
      <c r="CQ126" s="519">
        <f t="shared" si="132"/>
        <v>0.7870053771</v>
      </c>
    </row>
    <row r="127" ht="15.75" customHeight="1" outlineLevel="1">
      <c r="D127" s="247"/>
      <c r="E127" s="247"/>
      <c r="F127" s="247"/>
      <c r="G127" s="247"/>
      <c r="H127" s="247"/>
      <c r="I127" s="247"/>
      <c r="J127" s="247"/>
      <c r="K127" s="247"/>
      <c r="L127" s="247"/>
      <c r="M127" s="247"/>
      <c r="N127" s="247"/>
      <c r="O127" s="117"/>
      <c r="P127" s="117"/>
      <c r="Q127" s="117"/>
      <c r="R127" s="117"/>
      <c r="S127" s="117"/>
      <c r="T127" s="117"/>
      <c r="U127" s="117"/>
      <c r="V127" s="117"/>
      <c r="W127" s="117"/>
      <c r="X127" s="117"/>
      <c r="Y127" s="117"/>
      <c r="Z127" s="125">
        <f>SUM(P125:Y125)/SUM(P104:Y104)</f>
        <v>0.8358650344</v>
      </c>
      <c r="AA127" s="117"/>
      <c r="AB127" s="117"/>
      <c r="AC127" s="117"/>
      <c r="AD127" s="117"/>
      <c r="AE127" s="117"/>
      <c r="AF127" s="117"/>
      <c r="AG127" s="117"/>
      <c r="AH127" s="117"/>
      <c r="AI127" s="117"/>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7"/>
      <c r="BO127" s="117"/>
      <c r="BP127" s="117"/>
      <c r="BQ127" s="117"/>
      <c r="BR127" s="117"/>
      <c r="BS127" s="117"/>
      <c r="BT127" s="117"/>
      <c r="BU127" s="117"/>
      <c r="BV127" s="117"/>
      <c r="BW127" s="117"/>
      <c r="BX127" s="117"/>
      <c r="BY127" s="117"/>
      <c r="BZ127" s="117"/>
      <c r="CA127" s="117"/>
      <c r="CB127" s="117"/>
      <c r="CC127" s="117"/>
      <c r="CD127" s="117"/>
      <c r="CE127" s="117"/>
      <c r="CF127" s="117"/>
      <c r="CG127" s="117"/>
      <c r="CH127" s="117"/>
      <c r="CI127" s="117"/>
    </row>
    <row r="128" ht="15.75" customHeight="1" outlineLevel="1">
      <c r="C128" s="257" t="s">
        <v>174</v>
      </c>
      <c r="D128" s="117">
        <f>'Opex Departments'!D188*'Opex Departments'!D$169</f>
        <v>14314.72612</v>
      </c>
      <c r="E128" s="117">
        <f>'Opex Departments'!E188*'Opex Departments'!E$169</f>
        <v>12146.67816</v>
      </c>
      <c r="F128" s="117">
        <f>'Opex Departments'!F188*'Opex Departments'!F$169</f>
        <v>12495.86719</v>
      </c>
      <c r="G128" s="117">
        <f>'Opex Departments'!G188*'Opex Departments'!G$169</f>
        <v>13991.53956</v>
      </c>
      <c r="H128" s="117">
        <f>'Opex Departments'!H188*'Opex Departments'!H$169</f>
        <v>9076.514273</v>
      </c>
      <c r="I128" s="117">
        <f>'Opex Departments'!I188*'Opex Departments'!I$169</f>
        <v>13593.17938</v>
      </c>
      <c r="J128" s="117">
        <f>'Opex Departments'!J188*'Opex Departments'!J$169</f>
        <v>8487.841853</v>
      </c>
      <c r="K128" s="117">
        <f>'Opex Departments'!K188*'Opex Departments'!K$169</f>
        <v>14446.99751</v>
      </c>
      <c r="L128" s="117">
        <f>'Opex Departments'!L188*'Opex Departments'!L$169</f>
        <v>10359.18095</v>
      </c>
      <c r="M128" s="117">
        <f>'Opex Departments'!M188*'Opex Departments'!M$169</f>
        <v>11560.1996</v>
      </c>
      <c r="N128" s="117">
        <f>'Opex Departments'!N188*'Opex Departments'!N$169</f>
        <v>11210.99206</v>
      </c>
      <c r="O128" s="117">
        <f>'Opex Departments'!O188*'Opex Departments'!O$169</f>
        <v>11932.58802</v>
      </c>
      <c r="P128" s="117">
        <f>'Opex Departments'!P188*'Opex Departments'!P$169</f>
        <v>13371.69799</v>
      </c>
      <c r="Q128" s="117">
        <f>'Opex Departments'!Q188*'Opex Departments'!Q$169</f>
        <v>10750.56248</v>
      </c>
      <c r="R128" s="117">
        <f>'Opex Departments'!R188*'Opex Departments'!R$169</f>
        <v>12812.74061</v>
      </c>
      <c r="S128" s="117">
        <f>'Opex Departments'!S188*'Opex Departments'!S$169</f>
        <v>13913.6209</v>
      </c>
      <c r="T128" s="117">
        <f>'Opex Departments'!T188*'Opex Departments'!T$169</f>
        <v>10936.21793</v>
      </c>
      <c r="U128" s="117">
        <f>'Opex Departments'!U188*'Opex Departments'!U$169</f>
        <v>16134.45685</v>
      </c>
      <c r="V128" s="117">
        <f>'Opex Departments'!V188*'Opex Departments'!V$169</f>
        <v>13753.13586</v>
      </c>
      <c r="W128" s="117">
        <f>'Opex Departments'!W188*'Opex Departments'!W$169</f>
        <v>10171.80009</v>
      </c>
      <c r="X128" s="117">
        <f>'Opex Departments'!X188*'Opex Departments'!X$169</f>
        <v>7984.118229</v>
      </c>
      <c r="Y128" s="117">
        <f>'Opex Departments'!Y188*'Opex Departments'!Y$169</f>
        <v>11050.40595</v>
      </c>
      <c r="Z128" s="117">
        <f>'Opex Departments'!Z188*'Opex Departments'!Z$169</f>
        <v>8276.419617</v>
      </c>
      <c r="AA128" s="117">
        <f>'Opex Departments'!AA188*'Opex Departments'!AA$169</f>
        <v>28299.36613</v>
      </c>
      <c r="AB128" s="117">
        <f>'Opex Departments'!AB188*'Opex Departments'!AB$169</f>
        <v>34752.55405</v>
      </c>
      <c r="AC128" s="117">
        <f>'Opex Departments'!AC188*'Opex Departments'!AC$169</f>
        <v>45382.56888</v>
      </c>
      <c r="AD128" s="117">
        <f>'Opex Departments'!AD188*'Opex Departments'!AD$169</f>
        <v>34204.91101</v>
      </c>
      <c r="AE128" s="117">
        <f>'Opex Departments'!AE188*'Opex Departments'!AE$169</f>
        <v>34426.5423</v>
      </c>
      <c r="AF128" s="117">
        <f>'Opex Departments'!AF188*'Opex Departments'!AF$169</f>
        <v>44070.24089</v>
      </c>
      <c r="AG128" s="117">
        <f>'Opex Departments'!AG188*'Opex Departments'!AG$169</f>
        <v>33246.9174</v>
      </c>
      <c r="AH128" s="117">
        <f>'Opex Departments'!AH188*'Opex Departments'!AH$169</f>
        <v>42099.19185</v>
      </c>
      <c r="AI128" s="117">
        <f>'Opex Departments'!AI188*'Opex Departments'!AI$169</f>
        <v>33365.63904</v>
      </c>
      <c r="AJ128" s="117">
        <f>'Opex Departments'!AJ188*'Opex Departments'!AJ$169</f>
        <v>41385.14166</v>
      </c>
      <c r="AK128" s="117">
        <f>'Opex Departments'!AK188*'Opex Departments'!AK$169</f>
        <v>33423.22607</v>
      </c>
      <c r="AL128" s="117">
        <f>'Opex Departments'!AL188*'Opex Departments'!AL$169</f>
        <v>33770.99266</v>
      </c>
      <c r="AM128" s="117">
        <f>'Opex Departments'!AM188*'Opex Departments'!AM$169</f>
        <v>33658.56786</v>
      </c>
      <c r="AN128" s="117">
        <f>'Opex Departments'!AN188*'Opex Departments'!AN$169</f>
        <v>50405.07067</v>
      </c>
      <c r="AO128" s="117">
        <f>'Opex Departments'!AO188*'Opex Departments'!AO$169</f>
        <v>33896.67457</v>
      </c>
      <c r="AP128" s="117">
        <f>'Opex Departments'!AP188*'Opex Departments'!AP$169</f>
        <v>32854.89541</v>
      </c>
      <c r="AQ128" s="117">
        <f>'Opex Departments'!AQ188*'Opex Departments'!AQ$169</f>
        <v>32083.15388</v>
      </c>
      <c r="AR128" s="117">
        <f>'Opex Departments'!AR188*'Opex Departments'!AR$169</f>
        <v>39556.85365</v>
      </c>
      <c r="AS128" s="117">
        <f>'Opex Departments'!AS188*'Opex Departments'!AS$169</f>
        <v>31804.55825</v>
      </c>
      <c r="AT128" s="117">
        <f>'Opex Departments'!AT188*'Opex Departments'!AT$169</f>
        <v>37502.27189</v>
      </c>
      <c r="AU128" s="117">
        <f>'Opex Departments'!AU188*'Opex Departments'!AU$169</f>
        <v>31456.801</v>
      </c>
      <c r="AV128" s="117">
        <f>'Opex Departments'!AV188*'Opex Departments'!AV$169</f>
        <v>39131.74195</v>
      </c>
      <c r="AW128" s="117">
        <f>'Opex Departments'!AW188*'Opex Departments'!AW$169</f>
        <v>31863.36507</v>
      </c>
      <c r="AX128" s="117">
        <f>'Opex Departments'!AX188*'Opex Departments'!AX$169</f>
        <v>31658.75008</v>
      </c>
      <c r="AY128" s="117">
        <f>'Opex Departments'!AY188*'Opex Departments'!AY$169</f>
        <v>31479.44385</v>
      </c>
      <c r="AZ128" s="117">
        <f>'Opex Departments'!AZ188*'Opex Departments'!AZ$169</f>
        <v>46349.69776</v>
      </c>
      <c r="BA128" s="117">
        <f>'Opex Departments'!BA188*'Opex Departments'!BA$169</f>
        <v>33465.51523</v>
      </c>
      <c r="BB128" s="117">
        <f>'Opex Departments'!BB188*'Opex Departments'!BB$169</f>
        <v>33645.34414</v>
      </c>
      <c r="BC128" s="117">
        <f>'Opex Departments'!BC188*'Opex Departments'!BC$169</f>
        <v>33777.68817</v>
      </c>
      <c r="BD128" s="117">
        <f>'Opex Departments'!BD188*'Opex Departments'!BD$169</f>
        <v>42870.73791</v>
      </c>
      <c r="BE128" s="117">
        <f>'Opex Departments'!BE188*'Opex Departments'!BE$169</f>
        <v>35837.67899</v>
      </c>
      <c r="BF128" s="117">
        <f>'Opex Departments'!BF188*'Opex Departments'!BF$169</f>
        <v>42833.88028</v>
      </c>
      <c r="BG128" s="117">
        <f>'Opex Departments'!BG188*'Opex Departments'!BG$169</f>
        <v>37286.22233</v>
      </c>
      <c r="BH128" s="117">
        <f>'Opex Departments'!BH188*'Opex Departments'!BH$169</f>
        <v>45557.85404</v>
      </c>
      <c r="BI128" s="117">
        <f>'Opex Departments'!BI188*'Opex Departments'!BI$169</f>
        <v>39327.17412</v>
      </c>
      <c r="BJ128" s="117">
        <f>'Opex Departments'!BJ188*'Opex Departments'!BJ$169</f>
        <v>39345.57482</v>
      </c>
      <c r="BK128" s="117">
        <f>'Opex Departments'!BK188*'Opex Departments'!BK$169</f>
        <v>39368.63359</v>
      </c>
      <c r="BL128" s="117">
        <f>'Opex Departments'!CJ188*'Opex Departments'!CJ$169</f>
        <v>0</v>
      </c>
      <c r="BM128" s="117">
        <f>'Opex Departments'!CK188*'Opex Departments'!CK$169</f>
        <v>0</v>
      </c>
      <c r="BN128" s="117">
        <f>'Opex Departments'!CL188*'Opex Departments'!CL$169</f>
        <v>0</v>
      </c>
      <c r="BO128" s="117">
        <f>'Opex Departments'!CM188*'Opex Departments'!CM$169</f>
        <v>0</v>
      </c>
      <c r="BP128" s="117">
        <f>'Opex Departments'!CN188*'Opex Departments'!CN$169</f>
        <v>0</v>
      </c>
      <c r="BQ128" s="117">
        <f>'Opex Departments'!CO188*'Opex Departments'!CO$169</f>
        <v>0</v>
      </c>
      <c r="BR128" s="117">
        <f>'Opex Departments'!CP188*'Opex Departments'!CP$169</f>
        <v>0</v>
      </c>
      <c r="BS128" s="117">
        <f>'Opex Departments'!CQ188*'Opex Departments'!CQ$169</f>
        <v>0</v>
      </c>
      <c r="BT128" s="117">
        <f>'Opex Departments'!CR188*'Opex Departments'!CR$169</f>
        <v>0</v>
      </c>
      <c r="BU128" s="117">
        <f>'Opex Departments'!CS188*'Opex Departments'!CS$169</f>
        <v>0</v>
      </c>
      <c r="BV128" s="117">
        <f>'Opex Departments'!CT188*'Opex Departments'!CT$169</f>
        <v>0</v>
      </c>
      <c r="BW128" s="117">
        <f>'Opex Departments'!CU188*'Opex Departments'!CU$169</f>
        <v>0</v>
      </c>
      <c r="BX128" s="117">
        <f>'Opex Departments'!CV188*'Opex Departments'!CV$169</f>
        <v>0</v>
      </c>
      <c r="BY128" s="117">
        <f>'Opex Departments'!CW188*'Opex Departments'!CW$169</f>
        <v>0</v>
      </c>
      <c r="BZ128" s="117">
        <f>'Opex Departments'!CX188*'Opex Departments'!CX$169</f>
        <v>0</v>
      </c>
      <c r="CA128" s="117">
        <f>'Opex Departments'!CY188*'Opex Departments'!CY$169</f>
        <v>0</v>
      </c>
      <c r="CB128" s="117">
        <f>'Opex Departments'!CZ188*'Opex Departments'!CZ$169</f>
        <v>0</v>
      </c>
      <c r="CC128" s="117">
        <f>'Opex Departments'!DA188*'Opex Departments'!DA$169</f>
        <v>0</v>
      </c>
      <c r="CD128" s="117">
        <f>'Opex Departments'!DB188*'Opex Departments'!DB$169</f>
        <v>0</v>
      </c>
      <c r="CE128" s="117">
        <f>'Opex Departments'!DC188*'Opex Departments'!DC$169</f>
        <v>0</v>
      </c>
      <c r="CF128" s="117">
        <f>'Opex Departments'!DD188*'Opex Departments'!DD$169</f>
        <v>0</v>
      </c>
      <c r="CG128" s="117">
        <f>'Opex Departments'!DE188*'Opex Departments'!DE$169</f>
        <v>0</v>
      </c>
      <c r="CH128" s="117">
        <f>'Opex Departments'!DF188*'Opex Departments'!DF$169</f>
        <v>0</v>
      </c>
      <c r="CI128" s="117">
        <f>'Opex Departments'!DG188*'Opex Departments'!DG$169</f>
        <v>0</v>
      </c>
      <c r="CL128" s="117">
        <f>SUM(D128:G128)</f>
        <v>52948.81103</v>
      </c>
      <c r="CM128" s="117">
        <f>SUM(H128:K128)</f>
        <v>45604.53302</v>
      </c>
      <c r="CN128" s="117">
        <f>SUM(L128:O128)</f>
        <v>45062.96063</v>
      </c>
      <c r="CO128" s="117">
        <f>SUM(P128:S128)</f>
        <v>50848.62197</v>
      </c>
      <c r="CP128" s="117">
        <f>SUM(T128:W128)</f>
        <v>50995.61073</v>
      </c>
      <c r="CQ128" s="117">
        <f>SUM(X128:AA128)</f>
        <v>55610.30992</v>
      </c>
    </row>
    <row r="129" ht="15.75" customHeight="1" outlineLevel="1">
      <c r="C129" s="5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c r="AI129" s="117"/>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7"/>
      <c r="BO129" s="117"/>
      <c r="BP129" s="117"/>
      <c r="BQ129" s="117"/>
      <c r="BR129" s="117"/>
      <c r="BS129" s="117"/>
      <c r="BT129" s="117"/>
      <c r="BU129" s="117"/>
      <c r="BV129" s="117"/>
      <c r="BW129" s="117"/>
      <c r="BX129" s="117"/>
      <c r="BY129" s="117"/>
      <c r="BZ129" s="117"/>
      <c r="CA129" s="117"/>
      <c r="CB129" s="117"/>
      <c r="CC129" s="117"/>
      <c r="CD129" s="117"/>
      <c r="CE129" s="117"/>
      <c r="CF129" s="117"/>
      <c r="CG129" s="117"/>
      <c r="CH129" s="117"/>
      <c r="CI129" s="117"/>
      <c r="CL129" s="117"/>
      <c r="CM129" s="117"/>
      <c r="CN129" s="117"/>
      <c r="CO129" s="117"/>
      <c r="CP129" s="117"/>
      <c r="CQ129" s="117"/>
    </row>
    <row r="130" ht="15.75" customHeight="1">
      <c r="C130" s="257" t="s">
        <v>810</v>
      </c>
      <c r="D130" s="117">
        <f t="shared" ref="D130:CI130" si="133">D125-D128</f>
        <v>157061.2739</v>
      </c>
      <c r="E130" s="117">
        <f t="shared" si="133"/>
        <v>167156.3218</v>
      </c>
      <c r="F130" s="117">
        <f t="shared" si="133"/>
        <v>152078.1328</v>
      </c>
      <c r="G130" s="117">
        <f t="shared" si="133"/>
        <v>216748.4604</v>
      </c>
      <c r="H130" s="117">
        <f t="shared" si="133"/>
        <v>95844.48573</v>
      </c>
      <c r="I130" s="117">
        <f t="shared" si="133"/>
        <v>205881.8206</v>
      </c>
      <c r="J130" s="117">
        <f t="shared" si="133"/>
        <v>102261.1581</v>
      </c>
      <c r="K130" s="117">
        <f t="shared" si="133"/>
        <v>145219.0025</v>
      </c>
      <c r="L130" s="117">
        <f t="shared" si="133"/>
        <v>99575.81905</v>
      </c>
      <c r="M130" s="117">
        <f t="shared" si="133"/>
        <v>132570.8004</v>
      </c>
      <c r="N130" s="117">
        <f t="shared" si="133"/>
        <v>128694.0079</v>
      </c>
      <c r="O130" s="117">
        <f t="shared" si="133"/>
        <v>145255.412</v>
      </c>
      <c r="P130" s="117">
        <f t="shared" si="133"/>
        <v>218239.302</v>
      </c>
      <c r="Q130" s="117">
        <f t="shared" si="133"/>
        <v>125770.4375</v>
      </c>
      <c r="R130" s="117">
        <f t="shared" si="133"/>
        <v>192383.2594</v>
      </c>
      <c r="S130" s="117">
        <f t="shared" si="133"/>
        <v>203498.3791</v>
      </c>
      <c r="T130" s="117">
        <f t="shared" si="133"/>
        <v>158962.7821</v>
      </c>
      <c r="U130" s="117">
        <f t="shared" si="133"/>
        <v>221392.5431</v>
      </c>
      <c r="V130" s="117">
        <f t="shared" si="133"/>
        <v>217857.8641</v>
      </c>
      <c r="W130" s="117">
        <f t="shared" si="133"/>
        <v>34573.19991</v>
      </c>
      <c r="X130" s="117">
        <f t="shared" si="133"/>
        <v>26957.88177</v>
      </c>
      <c r="Y130" s="117">
        <f t="shared" si="133"/>
        <v>169131.5941</v>
      </c>
      <c r="Z130" s="117">
        <f t="shared" si="133"/>
        <v>106089.5804</v>
      </c>
      <c r="AA130" s="117">
        <f t="shared" si="133"/>
        <v>102568.9195</v>
      </c>
      <c r="AB130" s="117">
        <f t="shared" si="133"/>
        <v>113599.3378</v>
      </c>
      <c r="AC130" s="117">
        <f t="shared" si="133"/>
        <v>121918.055</v>
      </c>
      <c r="AD130" s="117">
        <f t="shared" si="133"/>
        <v>147308.2942</v>
      </c>
      <c r="AE130" s="117">
        <f t="shared" si="133"/>
        <v>156544.4516</v>
      </c>
      <c r="AF130" s="117">
        <f t="shared" si="133"/>
        <v>153792.2664</v>
      </c>
      <c r="AG130" s="117">
        <f t="shared" si="133"/>
        <v>171804.6825</v>
      </c>
      <c r="AH130" s="117">
        <f t="shared" si="133"/>
        <v>162185.8638</v>
      </c>
      <c r="AI130" s="117">
        <f t="shared" si="133"/>
        <v>172520.9838</v>
      </c>
      <c r="AJ130" s="117">
        <f t="shared" si="133"/>
        <v>162807.0261</v>
      </c>
      <c r="AK130" s="117">
        <f t="shared" si="133"/>
        <v>173361.4652</v>
      </c>
      <c r="AL130" s="117">
        <f t="shared" si="133"/>
        <v>176416.2854</v>
      </c>
      <c r="AM130" s="117">
        <f t="shared" si="133"/>
        <v>178481.5771</v>
      </c>
      <c r="AN130" s="117">
        <f t="shared" si="133"/>
        <v>162679.7232</v>
      </c>
      <c r="AO130" s="117">
        <f t="shared" si="133"/>
        <v>174815.2426</v>
      </c>
      <c r="AP130" s="117">
        <f t="shared" si="133"/>
        <v>171810.7787</v>
      </c>
      <c r="AQ130" s="117">
        <f t="shared" si="133"/>
        <v>169145.5225</v>
      </c>
      <c r="AR130" s="117">
        <f t="shared" si="133"/>
        <v>159161.1567</v>
      </c>
      <c r="AS130" s="117">
        <f t="shared" si="133"/>
        <v>166765.3369</v>
      </c>
      <c r="AT130" s="117">
        <f t="shared" si="133"/>
        <v>155582.7573</v>
      </c>
      <c r="AU130" s="117">
        <f t="shared" si="133"/>
        <v>161398.5621</v>
      </c>
      <c r="AV130" s="117">
        <f t="shared" si="133"/>
        <v>153288.7896</v>
      </c>
      <c r="AW130" s="117">
        <f t="shared" si="133"/>
        <v>161767.2115</v>
      </c>
      <c r="AX130" s="117">
        <f t="shared" si="133"/>
        <v>163324.0868</v>
      </c>
      <c r="AY130" s="117">
        <f t="shared" si="133"/>
        <v>163929.798</v>
      </c>
      <c r="AZ130" s="117">
        <f t="shared" si="133"/>
        <v>152315.2148</v>
      </c>
      <c r="BA130" s="117">
        <f t="shared" si="133"/>
        <v>169533.7055</v>
      </c>
      <c r="BB130" s="117">
        <f t="shared" si="133"/>
        <v>173070.5449</v>
      </c>
      <c r="BC130" s="117">
        <f t="shared" si="133"/>
        <v>175121.4055</v>
      </c>
      <c r="BD130" s="117">
        <f t="shared" si="133"/>
        <v>167047.437</v>
      </c>
      <c r="BE130" s="117">
        <f t="shared" si="133"/>
        <v>176719.4736</v>
      </c>
      <c r="BF130" s="117">
        <f t="shared" si="133"/>
        <v>171249.8624</v>
      </c>
      <c r="BG130" s="117">
        <f t="shared" si="133"/>
        <v>178060.6061</v>
      </c>
      <c r="BH130" s="117">
        <f t="shared" si="133"/>
        <v>170110.5935</v>
      </c>
      <c r="BI130" s="117">
        <f t="shared" si="133"/>
        <v>178492.3122</v>
      </c>
      <c r="BJ130" s="117">
        <f t="shared" si="133"/>
        <v>180568.6139</v>
      </c>
      <c r="BK130" s="117">
        <f t="shared" si="133"/>
        <v>181534.926</v>
      </c>
      <c r="BL130" s="117">
        <f t="shared" si="133"/>
        <v>223807.932</v>
      </c>
      <c r="BM130" s="117">
        <f t="shared" si="133"/>
        <v>228014.3156</v>
      </c>
      <c r="BN130" s="117">
        <f t="shared" si="133"/>
        <v>231336.3994</v>
      </c>
      <c r="BO130" s="117">
        <f t="shared" si="133"/>
        <v>233633.7828</v>
      </c>
      <c r="BP130" s="117">
        <f t="shared" si="133"/>
        <v>235529.7099</v>
      </c>
      <c r="BQ130" s="117">
        <f t="shared" si="133"/>
        <v>238517.1332</v>
      </c>
      <c r="BR130" s="117">
        <f t="shared" si="133"/>
        <v>241930.182</v>
      </c>
      <c r="BS130" s="117">
        <f t="shared" si="133"/>
        <v>243446.2452</v>
      </c>
      <c r="BT130" s="117">
        <f t="shared" si="133"/>
        <v>245352.6383</v>
      </c>
      <c r="BU130" s="117">
        <f t="shared" si="133"/>
        <v>248817.3163</v>
      </c>
      <c r="BV130" s="117">
        <f t="shared" si="133"/>
        <v>252292.2945</v>
      </c>
      <c r="BW130" s="117">
        <f t="shared" si="133"/>
        <v>254683.2849</v>
      </c>
      <c r="BX130" s="117">
        <f t="shared" si="133"/>
        <v>256782.1703</v>
      </c>
      <c r="BY130" s="117">
        <f t="shared" si="133"/>
        <v>256654.9432</v>
      </c>
      <c r="BZ130" s="117">
        <f t="shared" si="133"/>
        <v>256928.5245</v>
      </c>
      <c r="CA130" s="117">
        <f t="shared" si="133"/>
        <v>256856.2732</v>
      </c>
      <c r="CB130" s="117">
        <f t="shared" si="133"/>
        <v>257119.2067</v>
      </c>
      <c r="CC130" s="117">
        <f t="shared" si="133"/>
        <v>258679.4377</v>
      </c>
      <c r="CD130" s="117">
        <f t="shared" si="133"/>
        <v>260926.8907</v>
      </c>
      <c r="CE130" s="117">
        <f t="shared" si="133"/>
        <v>262329.7308</v>
      </c>
      <c r="CF130" s="117">
        <f t="shared" si="133"/>
        <v>263575.4822</v>
      </c>
      <c r="CG130" s="117">
        <f t="shared" si="133"/>
        <v>266346.3103</v>
      </c>
      <c r="CH130" s="117">
        <f t="shared" si="133"/>
        <v>269216.1247</v>
      </c>
      <c r="CI130" s="117">
        <f t="shared" si="133"/>
        <v>271075.5597</v>
      </c>
      <c r="CL130" s="117">
        <f>SUM(D130:G130)</f>
        <v>693044.189</v>
      </c>
      <c r="CM130" s="117">
        <f>SUM(H130:K130)</f>
        <v>549206.467</v>
      </c>
      <c r="CN130" s="117">
        <f>SUM(L130:O130)</f>
        <v>506096.0394</v>
      </c>
      <c r="CO130" s="117">
        <f>SUM(P130:S130)</f>
        <v>739891.378</v>
      </c>
      <c r="CP130" s="117">
        <f>SUM(T130:W130)</f>
        <v>632786.3893</v>
      </c>
      <c r="CQ130" s="117">
        <f>SUM(X130:AA130)</f>
        <v>404747.9757</v>
      </c>
    </row>
    <row r="131" ht="15.75" customHeight="1">
      <c r="C131" s="517" t="s">
        <v>115</v>
      </c>
      <c r="D131" s="519">
        <f t="shared" ref="D131:CI131" si="134">D130/D104</f>
        <v>0.802458929</v>
      </c>
      <c r="E131" s="519">
        <f t="shared" si="134"/>
        <v>0.7788732362</v>
      </c>
      <c r="F131" s="519">
        <f t="shared" si="134"/>
        <v>0.7704371647</v>
      </c>
      <c r="G131" s="519">
        <f t="shared" si="134"/>
        <v>0.8392093002</v>
      </c>
      <c r="H131" s="519">
        <f t="shared" si="134"/>
        <v>0.6874416213</v>
      </c>
      <c r="I131" s="519">
        <f t="shared" si="134"/>
        <v>0.8330911691</v>
      </c>
      <c r="J131" s="519">
        <f t="shared" si="134"/>
        <v>0.7331284727</v>
      </c>
      <c r="K131" s="519">
        <f t="shared" si="134"/>
        <v>0.7387761043</v>
      </c>
      <c r="L131" s="519">
        <f t="shared" si="134"/>
        <v>0.6497733662</v>
      </c>
      <c r="M131" s="519">
        <f t="shared" si="134"/>
        <v>0.731247589</v>
      </c>
      <c r="N131" s="519">
        <f t="shared" si="134"/>
        <v>0.7571349195</v>
      </c>
      <c r="O131" s="519">
        <f t="shared" si="134"/>
        <v>0.7624795909</v>
      </c>
      <c r="P131" s="519">
        <f t="shared" si="134"/>
        <v>0.817960796</v>
      </c>
      <c r="Q131" s="519">
        <f t="shared" si="134"/>
        <v>0.7341344022</v>
      </c>
      <c r="R131" s="519">
        <f t="shared" si="134"/>
        <v>0.795754748</v>
      </c>
      <c r="S131" s="519">
        <f t="shared" si="134"/>
        <v>0.7961252806</v>
      </c>
      <c r="T131" s="519">
        <f t="shared" si="134"/>
        <v>0.7745176747</v>
      </c>
      <c r="U131" s="519">
        <f t="shared" si="134"/>
        <v>0.8154121143</v>
      </c>
      <c r="V131" s="519">
        <f t="shared" si="134"/>
        <v>0.8498022887</v>
      </c>
      <c r="W131" s="519">
        <f t="shared" si="134"/>
        <v>0.4504240644</v>
      </c>
      <c r="X131" s="519">
        <f t="shared" si="134"/>
        <v>0.4009739818</v>
      </c>
      <c r="Y131" s="519">
        <f t="shared" si="134"/>
        <v>0.8098930913</v>
      </c>
      <c r="Z131" s="519">
        <f t="shared" si="134"/>
        <v>0.7296645716</v>
      </c>
      <c r="AA131" s="519">
        <f t="shared" si="134"/>
        <v>0.627366023</v>
      </c>
      <c r="AB131" s="519">
        <f t="shared" si="134"/>
        <v>0.6206096853</v>
      </c>
      <c r="AC131" s="519">
        <f t="shared" si="134"/>
        <v>0.6081943672</v>
      </c>
      <c r="AD131" s="519">
        <f t="shared" si="134"/>
        <v>0.6908628095</v>
      </c>
      <c r="AE131" s="519">
        <f t="shared" si="134"/>
        <v>0.703022278</v>
      </c>
      <c r="AF131" s="519">
        <f t="shared" si="134"/>
        <v>0.6666859266</v>
      </c>
      <c r="AG131" s="519">
        <f t="shared" si="134"/>
        <v>0.7268036648</v>
      </c>
      <c r="AH131" s="519">
        <f t="shared" si="134"/>
        <v>0.6742828344</v>
      </c>
      <c r="AI131" s="519">
        <f t="shared" si="134"/>
        <v>0.7120083632</v>
      </c>
      <c r="AJ131" s="519">
        <f t="shared" si="134"/>
        <v>0.6744700078</v>
      </c>
      <c r="AK131" s="519">
        <f t="shared" si="134"/>
        <v>0.709533361</v>
      </c>
      <c r="AL131" s="519">
        <f t="shared" si="134"/>
        <v>0.7148533748</v>
      </c>
      <c r="AM131" s="519">
        <f t="shared" si="134"/>
        <v>0.7167167738</v>
      </c>
      <c r="AN131" s="519">
        <f t="shared" si="134"/>
        <v>0.6350567784</v>
      </c>
      <c r="AO131" s="519">
        <f t="shared" si="134"/>
        <v>0.6965704396</v>
      </c>
      <c r="AP131" s="519">
        <f t="shared" si="134"/>
        <v>0.698132027</v>
      </c>
      <c r="AQ131" s="519">
        <f t="shared" si="134"/>
        <v>0.6961822201</v>
      </c>
      <c r="AR131" s="519">
        <f t="shared" si="134"/>
        <v>0.6602466112</v>
      </c>
      <c r="AS131" s="519">
        <f t="shared" si="134"/>
        <v>0.6939339223</v>
      </c>
      <c r="AT131" s="519">
        <f t="shared" si="134"/>
        <v>0.6478717231</v>
      </c>
      <c r="AU131" s="519">
        <f t="shared" si="134"/>
        <v>0.6714280937</v>
      </c>
      <c r="AV131" s="519">
        <f t="shared" si="134"/>
        <v>0.6362790126</v>
      </c>
      <c r="AW131" s="519">
        <f t="shared" si="134"/>
        <v>0.6693927106</v>
      </c>
      <c r="AX131" s="519">
        <f t="shared" si="134"/>
        <v>0.6733158334</v>
      </c>
      <c r="AY131" s="519">
        <f t="shared" si="134"/>
        <v>0.6729887712</v>
      </c>
      <c r="AZ131" s="519">
        <f t="shared" si="134"/>
        <v>0.6135102583</v>
      </c>
      <c r="BA131" s="519">
        <f t="shared" si="134"/>
        <v>0.6721200347</v>
      </c>
      <c r="BB131" s="519">
        <f t="shared" si="134"/>
        <v>0.677277131</v>
      </c>
      <c r="BC131" s="519">
        <f t="shared" si="134"/>
        <v>0.6778504074</v>
      </c>
      <c r="BD131" s="519">
        <f t="shared" si="134"/>
        <v>0.640531064</v>
      </c>
      <c r="BE131" s="519">
        <f t="shared" si="134"/>
        <v>0.6719987144</v>
      </c>
      <c r="BF131" s="519">
        <f t="shared" si="134"/>
        <v>0.6463202784</v>
      </c>
      <c r="BG131" s="519">
        <f t="shared" si="134"/>
        <v>0.6673835956</v>
      </c>
      <c r="BH131" s="519">
        <f t="shared" si="134"/>
        <v>0.6334577622</v>
      </c>
      <c r="BI131" s="519">
        <f t="shared" si="134"/>
        <v>0.6605764227</v>
      </c>
      <c r="BJ131" s="519">
        <f t="shared" si="134"/>
        <v>0.664301351</v>
      </c>
      <c r="BK131" s="519">
        <f t="shared" si="134"/>
        <v>0.6640145677</v>
      </c>
      <c r="BL131" s="519">
        <f t="shared" si="134"/>
        <v>0.805512028</v>
      </c>
      <c r="BM131" s="519">
        <f t="shared" si="134"/>
        <v>0.8093926264</v>
      </c>
      <c r="BN131" s="519">
        <f t="shared" si="134"/>
        <v>0.8126857213</v>
      </c>
      <c r="BO131" s="519">
        <f t="shared" si="134"/>
        <v>0.8122511454</v>
      </c>
      <c r="BP131" s="519">
        <f t="shared" si="134"/>
        <v>0.810364758</v>
      </c>
      <c r="BQ131" s="519">
        <f t="shared" si="134"/>
        <v>0.8121673926</v>
      </c>
      <c r="BR131" s="519">
        <f t="shared" si="134"/>
        <v>0.8153102699</v>
      </c>
      <c r="BS131" s="519">
        <f t="shared" si="134"/>
        <v>0.8120110401</v>
      </c>
      <c r="BT131" s="519">
        <f t="shared" si="134"/>
        <v>0.8100222032</v>
      </c>
      <c r="BU131" s="519">
        <f t="shared" si="134"/>
        <v>0.8131242846</v>
      </c>
      <c r="BV131" s="519">
        <f t="shared" si="134"/>
        <v>0.8161578084</v>
      </c>
      <c r="BW131" s="519">
        <f t="shared" si="134"/>
        <v>0.8156213193</v>
      </c>
      <c r="BX131" s="519">
        <f t="shared" si="134"/>
        <v>0.8137332512</v>
      </c>
      <c r="BY131" s="519">
        <f t="shared" si="134"/>
        <v>0.8141325175</v>
      </c>
      <c r="BZ131" s="519">
        <f t="shared" si="134"/>
        <v>0.8156621879</v>
      </c>
      <c r="CA131" s="519">
        <f t="shared" si="134"/>
        <v>0.8140751688</v>
      </c>
      <c r="CB131" s="519">
        <f t="shared" si="134"/>
        <v>0.8120614532</v>
      </c>
      <c r="CC131" s="519">
        <f t="shared" si="134"/>
        <v>0.8130375756</v>
      </c>
      <c r="CD131" s="519">
        <f t="shared" si="134"/>
        <v>0.8153301111</v>
      </c>
      <c r="CE131" s="519">
        <f t="shared" si="134"/>
        <v>0.8143603644</v>
      </c>
      <c r="CF131" s="519">
        <f t="shared" si="134"/>
        <v>0.8124632688</v>
      </c>
      <c r="CG131" s="519">
        <f t="shared" si="134"/>
        <v>0.8149183858</v>
      </c>
      <c r="CH131" s="519">
        <f t="shared" si="134"/>
        <v>0.8173789081</v>
      </c>
      <c r="CI131" s="519">
        <f t="shared" si="134"/>
        <v>0.8165608253</v>
      </c>
      <c r="CL131" s="519">
        <f t="shared" ref="CL131:CQ131" si="135">CL130/CL104</f>
        <v>0.8002755047</v>
      </c>
      <c r="CM131" s="519">
        <f t="shared" si="135"/>
        <v>0.760036904</v>
      </c>
      <c r="CN131" s="519">
        <f t="shared" si="135"/>
        <v>0.7281747854</v>
      </c>
      <c r="CO131" s="519">
        <f t="shared" si="135"/>
        <v>0.7909047333</v>
      </c>
      <c r="CP131" s="519">
        <f t="shared" si="135"/>
        <v>0.7813422005</v>
      </c>
      <c r="CQ131" s="519">
        <f t="shared" si="135"/>
        <v>0.6919367875</v>
      </c>
    </row>
    <row r="132" ht="15.75" customHeight="1">
      <c r="D132" s="247"/>
      <c r="E132" s="247"/>
      <c r="F132" s="247"/>
      <c r="G132" s="247"/>
      <c r="H132" s="247"/>
      <c r="I132" s="247"/>
      <c r="J132" s="247"/>
      <c r="K132" s="247"/>
      <c r="L132" s="247"/>
      <c r="M132" s="247"/>
      <c r="N132" s="247"/>
      <c r="O132" s="117"/>
      <c r="P132" s="117"/>
      <c r="Q132" s="117"/>
      <c r="R132" s="117"/>
      <c r="S132" s="117"/>
      <c r="T132" s="117"/>
      <c r="U132" s="117"/>
      <c r="V132" s="117"/>
      <c r="W132" s="117"/>
      <c r="X132" s="117"/>
      <c r="Y132" s="117"/>
      <c r="Z132" s="117"/>
      <c r="AA132" s="117"/>
      <c r="AB132" s="117"/>
      <c r="AC132" s="117"/>
      <c r="AD132" s="117"/>
      <c r="AE132" s="117"/>
      <c r="AF132" s="117"/>
      <c r="AG132" s="117"/>
      <c r="AH132" s="117"/>
      <c r="AI132" s="117"/>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7"/>
      <c r="BO132" s="117"/>
      <c r="BP132" s="117"/>
      <c r="BQ132" s="117"/>
      <c r="BR132" s="117"/>
      <c r="BS132" s="117"/>
      <c r="BT132" s="117"/>
      <c r="BU132" s="117"/>
      <c r="BV132" s="117"/>
      <c r="BW132" s="117"/>
      <c r="BX132" s="117"/>
      <c r="BY132" s="117"/>
      <c r="BZ132" s="117"/>
      <c r="CA132" s="117"/>
      <c r="CB132" s="117"/>
      <c r="CC132" s="117"/>
      <c r="CD132" s="117"/>
      <c r="CE132" s="117"/>
      <c r="CF132" s="117"/>
      <c r="CG132" s="117"/>
      <c r="CH132" s="117"/>
      <c r="CI132" s="117"/>
    </row>
    <row r="133" ht="15.75" customHeight="1">
      <c r="C133" s="115" t="s">
        <v>92</v>
      </c>
      <c r="D133" s="247"/>
      <c r="E133" s="247"/>
      <c r="F133" s="247"/>
      <c r="G133" s="247"/>
      <c r="H133" s="247"/>
      <c r="I133" s="247"/>
      <c r="J133" s="247"/>
      <c r="K133" s="247"/>
      <c r="L133" s="247"/>
      <c r="M133" s="247"/>
      <c r="N133" s="24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c r="BS133" s="117"/>
      <c r="BT133" s="117"/>
      <c r="BU133" s="117"/>
      <c r="BV133" s="117"/>
      <c r="BW133" s="117"/>
      <c r="BX133" s="117"/>
      <c r="BY133" s="117"/>
      <c r="BZ133" s="117"/>
      <c r="CA133" s="117"/>
      <c r="CB133" s="117"/>
      <c r="CC133" s="117"/>
      <c r="CD133" s="117"/>
      <c r="CE133" s="117"/>
      <c r="CF133" s="117"/>
      <c r="CG133" s="117"/>
      <c r="CH133" s="117"/>
      <c r="CI133" s="117"/>
    </row>
    <row r="134" ht="15.75" customHeight="1">
      <c r="C134" s="25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6"/>
      <c r="AB134" s="246"/>
      <c r="AC134" s="246"/>
      <c r="AD134" s="246"/>
      <c r="AE134" s="246"/>
      <c r="AF134" s="246"/>
      <c r="AG134" s="246"/>
      <c r="AH134" s="246"/>
      <c r="AI134" s="246"/>
      <c r="AJ134" s="246"/>
      <c r="AK134" s="246"/>
      <c r="AL134" s="246"/>
      <c r="AM134" s="246"/>
      <c r="AN134" s="246"/>
      <c r="AO134" s="246"/>
      <c r="AP134" s="246"/>
      <c r="AQ134" s="246"/>
      <c r="AR134" s="246"/>
      <c r="AS134" s="246"/>
      <c r="AT134" s="246"/>
      <c r="AU134" s="246"/>
      <c r="AV134" s="246"/>
      <c r="AW134" s="246"/>
      <c r="AX134" s="246"/>
      <c r="AY134" s="246"/>
      <c r="AZ134" s="246"/>
      <c r="BA134" s="246"/>
      <c r="BB134" s="246"/>
      <c r="BC134" s="246"/>
      <c r="BD134" s="246"/>
      <c r="BE134" s="246"/>
      <c r="BF134" s="246"/>
      <c r="BG134" s="246"/>
      <c r="BH134" s="246"/>
      <c r="BI134" s="246"/>
      <c r="BJ134" s="246"/>
      <c r="BK134" s="246"/>
      <c r="BL134" s="246"/>
      <c r="BM134" s="246"/>
      <c r="BN134" s="246"/>
      <c r="BO134" s="246"/>
      <c r="BP134" s="246"/>
      <c r="BQ134" s="246"/>
      <c r="BR134" s="246"/>
      <c r="BS134" s="246"/>
      <c r="BT134" s="246"/>
      <c r="BU134" s="246"/>
      <c r="BV134" s="246"/>
      <c r="BW134" s="246"/>
      <c r="BX134" s="246"/>
      <c r="BY134" s="246"/>
      <c r="BZ134" s="246"/>
      <c r="CA134" s="246"/>
      <c r="CB134" s="246"/>
      <c r="CC134" s="246"/>
      <c r="CD134" s="246"/>
      <c r="CE134" s="246"/>
      <c r="CF134" s="246"/>
      <c r="CG134" s="246"/>
      <c r="CH134" s="246"/>
      <c r="CI134" s="246"/>
      <c r="CJ134" s="246"/>
      <c r="CK134" s="246"/>
      <c r="CL134" s="246"/>
      <c r="CM134" s="246"/>
      <c r="CN134" s="246"/>
      <c r="CO134" s="246"/>
      <c r="CP134" s="246"/>
      <c r="CQ134" s="246"/>
    </row>
    <row r="135" ht="15.75" customHeight="1">
      <c r="C135" s="257" t="s">
        <v>811</v>
      </c>
      <c r="D135" s="247">
        <f t="shared" ref="D135:CI135" si="136">D72+D104</f>
        <v>398996</v>
      </c>
      <c r="E135" s="247">
        <f t="shared" si="136"/>
        <v>354402</v>
      </c>
      <c r="F135" s="247">
        <f t="shared" si="136"/>
        <v>370508</v>
      </c>
      <c r="G135" s="247">
        <f t="shared" si="136"/>
        <v>492952</v>
      </c>
      <c r="H135" s="247">
        <f t="shared" si="136"/>
        <v>407572</v>
      </c>
      <c r="I135" s="247">
        <f t="shared" si="136"/>
        <v>510317</v>
      </c>
      <c r="J135" s="247">
        <f t="shared" si="136"/>
        <v>400598</v>
      </c>
      <c r="K135" s="247">
        <f t="shared" si="136"/>
        <v>384814</v>
      </c>
      <c r="L135" s="247">
        <f t="shared" si="136"/>
        <v>334819</v>
      </c>
      <c r="M135" s="247">
        <f t="shared" si="136"/>
        <v>331427</v>
      </c>
      <c r="N135" s="247">
        <f t="shared" si="136"/>
        <v>354657</v>
      </c>
      <c r="O135" s="247">
        <f t="shared" si="136"/>
        <v>338782</v>
      </c>
      <c r="P135" s="247">
        <f t="shared" si="136"/>
        <v>460647</v>
      </c>
      <c r="Q135" s="247">
        <f t="shared" si="136"/>
        <v>364896</v>
      </c>
      <c r="R135" s="247">
        <f t="shared" si="136"/>
        <v>445003</v>
      </c>
      <c r="S135" s="247">
        <f t="shared" si="136"/>
        <v>506027</v>
      </c>
      <c r="T135" s="247">
        <f t="shared" si="136"/>
        <v>443060</v>
      </c>
      <c r="U135" s="247">
        <f t="shared" si="136"/>
        <v>429783</v>
      </c>
      <c r="V135" s="247">
        <f t="shared" si="136"/>
        <v>447996</v>
      </c>
      <c r="W135" s="247">
        <f t="shared" si="136"/>
        <v>336433</v>
      </c>
      <c r="X135" s="247">
        <f t="shared" si="136"/>
        <v>260064</v>
      </c>
      <c r="Y135" s="247">
        <f t="shared" si="136"/>
        <v>467173</v>
      </c>
      <c r="Z135" s="247">
        <f t="shared" si="136"/>
        <v>352807</v>
      </c>
      <c r="AA135" s="246">
        <f t="shared" si="136"/>
        <v>439502.3274</v>
      </c>
      <c r="AB135" s="246">
        <f t="shared" si="136"/>
        <v>533731.7663</v>
      </c>
      <c r="AC135" s="246">
        <f t="shared" si="136"/>
        <v>625695.3674</v>
      </c>
      <c r="AD135" s="246">
        <f t="shared" si="136"/>
        <v>707069.8146</v>
      </c>
      <c r="AE135" s="246">
        <f t="shared" si="136"/>
        <v>780238.7297</v>
      </c>
      <c r="AF135" s="246">
        <f t="shared" si="136"/>
        <v>849475.8016</v>
      </c>
      <c r="AG135" s="246">
        <f t="shared" si="136"/>
        <v>915550.7623</v>
      </c>
      <c r="AH135" s="246">
        <f t="shared" si="136"/>
        <v>978476.6306</v>
      </c>
      <c r="AI135" s="246">
        <f t="shared" si="136"/>
        <v>1041257.222</v>
      </c>
      <c r="AJ135" s="246">
        <f t="shared" si="136"/>
        <v>1098420.646</v>
      </c>
      <c r="AK135" s="246">
        <f t="shared" si="136"/>
        <v>1153555.41</v>
      </c>
      <c r="AL135" s="246">
        <f t="shared" si="136"/>
        <v>1201583.479</v>
      </c>
      <c r="AM135" s="246">
        <f t="shared" si="136"/>
        <v>1249337.413</v>
      </c>
      <c r="AN135" s="246">
        <f t="shared" si="136"/>
        <v>1301968.716</v>
      </c>
      <c r="AO135" s="246">
        <f t="shared" si="136"/>
        <v>1311803.117</v>
      </c>
      <c r="AP135" s="246">
        <f t="shared" si="136"/>
        <v>1312790.561</v>
      </c>
      <c r="AQ135" s="246">
        <f t="shared" si="136"/>
        <v>1319607.714</v>
      </c>
      <c r="AR135" s="246">
        <f t="shared" si="136"/>
        <v>1329950.297</v>
      </c>
      <c r="AS135" s="246">
        <f t="shared" si="136"/>
        <v>1342613.037</v>
      </c>
      <c r="AT135" s="246">
        <f t="shared" si="136"/>
        <v>1356063.223</v>
      </c>
      <c r="AU135" s="246">
        <f t="shared" si="136"/>
        <v>1369664.431</v>
      </c>
      <c r="AV135" s="246">
        <f t="shared" si="136"/>
        <v>1383324.527</v>
      </c>
      <c r="AW135" s="246">
        <f t="shared" si="136"/>
        <v>1396978.732</v>
      </c>
      <c r="AX135" s="246">
        <f t="shared" si="136"/>
        <v>1410583.246</v>
      </c>
      <c r="AY135" s="246">
        <f t="shared" si="136"/>
        <v>1424109.691</v>
      </c>
      <c r="AZ135" s="246">
        <f t="shared" si="136"/>
        <v>1441400.024</v>
      </c>
      <c r="BA135" s="246">
        <f t="shared" si="136"/>
        <v>1468134.069</v>
      </c>
      <c r="BB135" s="246">
        <f t="shared" si="136"/>
        <v>1493742.703</v>
      </c>
      <c r="BC135" s="246">
        <f t="shared" si="136"/>
        <v>1518315.061</v>
      </c>
      <c r="BD135" s="246">
        <f t="shared" si="136"/>
        <v>1542058.081</v>
      </c>
      <c r="BE135" s="246">
        <f t="shared" si="136"/>
        <v>1565108.324</v>
      </c>
      <c r="BF135" s="246">
        <f t="shared" si="136"/>
        <v>1587564.037</v>
      </c>
      <c r="BG135" s="246">
        <f t="shared" si="136"/>
        <v>1609499.816</v>
      </c>
      <c r="BH135" s="246">
        <f t="shared" si="136"/>
        <v>1630974.286</v>
      </c>
      <c r="BI135" s="246">
        <f t="shared" si="136"/>
        <v>1652034.689</v>
      </c>
      <c r="BJ135" s="246">
        <f t="shared" si="136"/>
        <v>1672719.884</v>
      </c>
      <c r="BK135" s="246">
        <f t="shared" si="136"/>
        <v>1693062.449</v>
      </c>
      <c r="BL135" s="246">
        <f t="shared" si="136"/>
        <v>1718968.4</v>
      </c>
      <c r="BM135" s="246">
        <f t="shared" si="136"/>
        <v>1746889.872</v>
      </c>
      <c r="BN135" s="246">
        <f t="shared" si="136"/>
        <v>1772718.693</v>
      </c>
      <c r="BO135" s="246">
        <f t="shared" si="136"/>
        <v>1796785.084</v>
      </c>
      <c r="BP135" s="246">
        <f t="shared" si="136"/>
        <v>1820550.589</v>
      </c>
      <c r="BQ135" s="246">
        <f t="shared" si="136"/>
        <v>1844056.81</v>
      </c>
      <c r="BR135" s="246">
        <f t="shared" si="136"/>
        <v>1867326.917</v>
      </c>
      <c r="BS135" s="246">
        <f t="shared" si="136"/>
        <v>1890377.765</v>
      </c>
      <c r="BT135" s="246">
        <f t="shared" si="136"/>
        <v>1913224.027</v>
      </c>
      <c r="BU135" s="246">
        <f t="shared" si="136"/>
        <v>1935879.568</v>
      </c>
      <c r="BV135" s="246">
        <f t="shared" si="136"/>
        <v>1958357.874</v>
      </c>
      <c r="BW135" s="246">
        <f t="shared" si="136"/>
        <v>1980672.163</v>
      </c>
      <c r="BX135" s="246">
        <f t="shared" si="136"/>
        <v>2002990.291</v>
      </c>
      <c r="BY135" s="246">
        <f t="shared" si="136"/>
        <v>2016514.661</v>
      </c>
      <c r="BZ135" s="246">
        <f t="shared" si="136"/>
        <v>2027802.819</v>
      </c>
      <c r="CA135" s="246">
        <f t="shared" si="136"/>
        <v>2039908.85</v>
      </c>
      <c r="CB135" s="246">
        <f t="shared" si="136"/>
        <v>2053044.576</v>
      </c>
      <c r="CC135" s="246">
        <f t="shared" si="136"/>
        <v>2066716.453</v>
      </c>
      <c r="CD135" s="246">
        <f t="shared" si="136"/>
        <v>2080699.416</v>
      </c>
      <c r="CE135" s="246">
        <f t="shared" si="136"/>
        <v>2094877.166</v>
      </c>
      <c r="CF135" s="246">
        <f t="shared" si="136"/>
        <v>2109182.377</v>
      </c>
      <c r="CG135" s="246">
        <f t="shared" si="136"/>
        <v>2123572.884</v>
      </c>
      <c r="CH135" s="246">
        <f t="shared" si="136"/>
        <v>2138021.227</v>
      </c>
      <c r="CI135" s="246">
        <f t="shared" si="136"/>
        <v>2152509.408</v>
      </c>
      <c r="CJ135" s="246"/>
      <c r="CK135" s="246"/>
      <c r="CL135" s="246">
        <f t="shared" ref="CL135:CQ135" si="137">CL72+CL104</f>
        <v>1616858</v>
      </c>
      <c r="CM135" s="246">
        <f t="shared" si="137"/>
        <v>1703301</v>
      </c>
      <c r="CN135" s="246">
        <f t="shared" si="137"/>
        <v>1359685</v>
      </c>
      <c r="CO135" s="246">
        <f t="shared" si="137"/>
        <v>1776573</v>
      </c>
      <c r="CP135" s="246">
        <f t="shared" si="137"/>
        <v>1657272</v>
      </c>
      <c r="CQ135" s="246">
        <f t="shared" si="137"/>
        <v>1519546.327</v>
      </c>
    </row>
    <row r="136" ht="15.75" customHeight="1">
      <c r="C136" s="515" t="s">
        <v>799</v>
      </c>
      <c r="D136" s="247"/>
      <c r="E136" s="247"/>
      <c r="F136" s="247"/>
      <c r="G136" s="247"/>
      <c r="H136" s="247"/>
      <c r="I136" s="247"/>
      <c r="J136" s="247"/>
      <c r="K136" s="247"/>
      <c r="L136" s="247"/>
      <c r="M136" s="247"/>
      <c r="N136" s="247"/>
      <c r="O136" s="117"/>
      <c r="P136" s="117"/>
      <c r="Q136" s="117"/>
      <c r="R136" s="117"/>
      <c r="S136" s="117"/>
      <c r="T136" s="117"/>
      <c r="U136" s="117"/>
      <c r="V136" s="117"/>
      <c r="W136" s="117"/>
      <c r="X136" s="117"/>
      <c r="Y136" s="117"/>
      <c r="Z136" s="117"/>
      <c r="AA136" s="117"/>
      <c r="AB136" s="117"/>
      <c r="AC136" s="117"/>
      <c r="AD136" s="117"/>
      <c r="AE136" s="117"/>
      <c r="AF136" s="117"/>
      <c r="AG136" s="117"/>
      <c r="AH136" s="117"/>
      <c r="AI136" s="117"/>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7"/>
      <c r="BO136" s="117"/>
      <c r="BP136" s="117"/>
      <c r="BQ136" s="117"/>
      <c r="BR136" s="117"/>
      <c r="BS136" s="117"/>
      <c r="BT136" s="117"/>
      <c r="BU136" s="117"/>
      <c r="BV136" s="117"/>
      <c r="BW136" s="117"/>
      <c r="BX136" s="117"/>
      <c r="BY136" s="117"/>
      <c r="BZ136" s="117"/>
      <c r="CA136" s="117"/>
      <c r="CB136" s="117"/>
      <c r="CC136" s="117"/>
      <c r="CD136" s="117"/>
      <c r="CE136" s="117"/>
      <c r="CF136" s="117"/>
      <c r="CG136" s="117"/>
      <c r="CH136" s="117"/>
      <c r="CI136" s="117"/>
    </row>
    <row r="137" ht="15.75" customHeight="1">
      <c r="C137" s="129"/>
      <c r="D137" s="247"/>
      <c r="E137" s="247"/>
      <c r="F137" s="247"/>
      <c r="G137" s="247"/>
      <c r="H137" s="247"/>
      <c r="I137" s="247"/>
      <c r="J137" s="247"/>
      <c r="K137" s="247"/>
      <c r="L137" s="247"/>
      <c r="M137" s="247"/>
      <c r="N137" s="247"/>
      <c r="O137" s="117"/>
      <c r="P137" s="117"/>
      <c r="Q137" s="117"/>
      <c r="R137" s="117"/>
      <c r="S137" s="117"/>
      <c r="T137" s="117"/>
      <c r="U137" s="117"/>
      <c r="V137" s="117"/>
      <c r="W137" s="117"/>
      <c r="X137" s="117"/>
      <c r="Y137" s="117"/>
      <c r="Z137" s="117"/>
      <c r="AA137" s="117"/>
      <c r="AB137" s="117"/>
      <c r="AC137" s="117"/>
      <c r="AD137" s="117"/>
      <c r="AE137" s="117"/>
      <c r="AF137" s="117"/>
      <c r="AG137" s="117"/>
      <c r="AH137" s="117"/>
      <c r="AI137" s="117"/>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7"/>
      <c r="BO137" s="117"/>
      <c r="BP137" s="117"/>
      <c r="BQ137" s="117"/>
      <c r="BR137" s="117"/>
      <c r="BS137" s="117"/>
      <c r="BT137" s="117"/>
      <c r="BU137" s="117"/>
      <c r="BV137" s="117"/>
      <c r="BW137" s="117"/>
      <c r="BX137" s="117"/>
      <c r="BY137" s="117"/>
      <c r="BZ137" s="117"/>
      <c r="CA137" s="117"/>
      <c r="CB137" s="117"/>
      <c r="CC137" s="117"/>
      <c r="CD137" s="117"/>
      <c r="CE137" s="117"/>
      <c r="CF137" s="117"/>
      <c r="CG137" s="117"/>
      <c r="CH137" s="117"/>
      <c r="CI137" s="117"/>
    </row>
    <row r="138" ht="15.75" customHeight="1">
      <c r="C138" s="132" t="s">
        <v>206</v>
      </c>
      <c r="D138" s="247">
        <f t="shared" ref="D138:CI138" si="138">D75+D107</f>
        <v>4671</v>
      </c>
      <c r="E138" s="247">
        <f t="shared" si="138"/>
        <v>4636</v>
      </c>
      <c r="F138" s="247">
        <f t="shared" si="138"/>
        <v>4449</v>
      </c>
      <c r="G138" s="247">
        <f t="shared" si="138"/>
        <v>4647</v>
      </c>
      <c r="H138" s="247">
        <f t="shared" si="138"/>
        <v>1519</v>
      </c>
      <c r="I138" s="247">
        <f t="shared" si="138"/>
        <v>6200</v>
      </c>
      <c r="J138" s="247">
        <f t="shared" si="138"/>
        <v>2355</v>
      </c>
      <c r="K138" s="247">
        <f t="shared" si="138"/>
        <v>4228</v>
      </c>
      <c r="L138" s="247">
        <f t="shared" si="138"/>
        <v>7237</v>
      </c>
      <c r="M138" s="247">
        <f t="shared" si="138"/>
        <v>6201</v>
      </c>
      <c r="N138" s="247">
        <f t="shared" si="138"/>
        <v>3386</v>
      </c>
      <c r="O138" s="247">
        <f t="shared" si="138"/>
        <v>6437</v>
      </c>
      <c r="P138" s="247">
        <f t="shared" si="138"/>
        <v>3644</v>
      </c>
      <c r="Q138" s="247">
        <f t="shared" si="138"/>
        <v>3716</v>
      </c>
      <c r="R138" s="247">
        <f t="shared" si="138"/>
        <v>4688</v>
      </c>
      <c r="S138" s="247">
        <f t="shared" si="138"/>
        <v>1196</v>
      </c>
      <c r="T138" s="247">
        <f t="shared" si="138"/>
        <v>8004</v>
      </c>
      <c r="U138" s="247">
        <f t="shared" si="138"/>
        <v>6431</v>
      </c>
      <c r="V138" s="247">
        <f t="shared" si="138"/>
        <v>2553</v>
      </c>
      <c r="W138" s="247">
        <f t="shared" si="138"/>
        <v>4481</v>
      </c>
      <c r="X138" s="247">
        <f t="shared" si="138"/>
        <v>5410</v>
      </c>
      <c r="Y138" s="247">
        <f t="shared" si="138"/>
        <v>4050</v>
      </c>
      <c r="Z138" s="247">
        <f t="shared" si="138"/>
        <v>5498</v>
      </c>
      <c r="AA138" s="246">
        <f t="shared" si="138"/>
        <v>5498</v>
      </c>
      <c r="AB138" s="246">
        <f t="shared" si="138"/>
        <v>16145.41</v>
      </c>
      <c r="AC138" s="246">
        <f t="shared" si="138"/>
        <v>16145.41</v>
      </c>
      <c r="AD138" s="246">
        <f t="shared" si="138"/>
        <v>16145.41</v>
      </c>
      <c r="AE138" s="246">
        <f t="shared" si="138"/>
        <v>16145.41</v>
      </c>
      <c r="AF138" s="246">
        <f t="shared" si="138"/>
        <v>16871.95345</v>
      </c>
      <c r="AG138" s="246">
        <f t="shared" si="138"/>
        <v>16871.95345</v>
      </c>
      <c r="AH138" s="246">
        <f t="shared" si="138"/>
        <v>22071.95345</v>
      </c>
      <c r="AI138" s="246">
        <f t="shared" si="138"/>
        <v>27271.95345</v>
      </c>
      <c r="AJ138" s="246">
        <f t="shared" si="138"/>
        <v>33699.19136</v>
      </c>
      <c r="AK138" s="246">
        <f t="shared" si="138"/>
        <v>38899.19136</v>
      </c>
      <c r="AL138" s="246">
        <f t="shared" si="138"/>
        <v>44099.19136</v>
      </c>
      <c r="AM138" s="246">
        <f t="shared" si="138"/>
        <v>49299.19136</v>
      </c>
      <c r="AN138" s="246">
        <f t="shared" si="138"/>
        <v>51271.15901</v>
      </c>
      <c r="AO138" s="246">
        <f t="shared" si="138"/>
        <v>51271.15901</v>
      </c>
      <c r="AP138" s="246">
        <f t="shared" si="138"/>
        <v>51271.15901</v>
      </c>
      <c r="AQ138" s="246">
        <f t="shared" si="138"/>
        <v>51271.15901</v>
      </c>
      <c r="AR138" s="246">
        <f t="shared" si="138"/>
        <v>53322.00537</v>
      </c>
      <c r="AS138" s="246">
        <f t="shared" si="138"/>
        <v>58730.00537</v>
      </c>
      <c r="AT138" s="246">
        <f t="shared" si="138"/>
        <v>58730.00537</v>
      </c>
      <c r="AU138" s="246">
        <f t="shared" si="138"/>
        <v>58730.00537</v>
      </c>
      <c r="AV138" s="246">
        <f t="shared" si="138"/>
        <v>61079.20558</v>
      </c>
      <c r="AW138" s="246">
        <f t="shared" si="138"/>
        <v>61079.20558</v>
      </c>
      <c r="AX138" s="246">
        <f t="shared" si="138"/>
        <v>61079.20558</v>
      </c>
      <c r="AY138" s="246">
        <f t="shared" si="138"/>
        <v>61079.20558</v>
      </c>
      <c r="AZ138" s="246">
        <f t="shared" si="138"/>
        <v>69371.66661</v>
      </c>
      <c r="BA138" s="246">
        <f t="shared" si="138"/>
        <v>69371.66661</v>
      </c>
      <c r="BB138" s="246">
        <f t="shared" si="138"/>
        <v>69371.66661</v>
      </c>
      <c r="BC138" s="246">
        <f t="shared" si="138"/>
        <v>69371.66661</v>
      </c>
      <c r="BD138" s="246">
        <f t="shared" si="138"/>
        <v>72146.53327</v>
      </c>
      <c r="BE138" s="246">
        <f t="shared" si="138"/>
        <v>72146.53327</v>
      </c>
      <c r="BF138" s="246">
        <f t="shared" si="138"/>
        <v>72146.53327</v>
      </c>
      <c r="BG138" s="246">
        <f t="shared" si="138"/>
        <v>78229.79778</v>
      </c>
      <c r="BH138" s="246">
        <f t="shared" si="138"/>
        <v>81358.9897</v>
      </c>
      <c r="BI138" s="246">
        <f t="shared" si="138"/>
        <v>81358.9897</v>
      </c>
      <c r="BJ138" s="246">
        <f t="shared" si="138"/>
        <v>81358.9897</v>
      </c>
      <c r="BK138" s="246">
        <f t="shared" si="138"/>
        <v>87442.25421</v>
      </c>
      <c r="BL138" s="246">
        <f t="shared" si="138"/>
        <v>97266.53947</v>
      </c>
      <c r="BM138" s="246">
        <f t="shared" si="138"/>
        <v>97266.53947</v>
      </c>
      <c r="BN138" s="246">
        <f t="shared" si="138"/>
        <v>97266.53947</v>
      </c>
      <c r="BO138" s="246">
        <f t="shared" si="138"/>
        <v>97266.53947</v>
      </c>
      <c r="BP138" s="246">
        <f t="shared" si="138"/>
        <v>101157.201</v>
      </c>
      <c r="BQ138" s="246">
        <f t="shared" si="138"/>
        <v>101157.201</v>
      </c>
      <c r="BR138" s="246">
        <f t="shared" si="138"/>
        <v>101157.201</v>
      </c>
      <c r="BS138" s="246">
        <f t="shared" si="138"/>
        <v>101157.201</v>
      </c>
      <c r="BT138" s="246">
        <f t="shared" si="138"/>
        <v>105203.4891</v>
      </c>
      <c r="BU138" s="246">
        <f t="shared" si="138"/>
        <v>105203.4891</v>
      </c>
      <c r="BV138" s="246">
        <f t="shared" si="138"/>
        <v>105203.4891</v>
      </c>
      <c r="BW138" s="246">
        <f t="shared" si="138"/>
        <v>105203.4891</v>
      </c>
      <c r="BX138" s="246">
        <f t="shared" si="138"/>
        <v>109411.6287</v>
      </c>
      <c r="BY138" s="246">
        <f t="shared" si="138"/>
        <v>109411.6287</v>
      </c>
      <c r="BZ138" s="246">
        <f t="shared" si="138"/>
        <v>109411.6287</v>
      </c>
      <c r="CA138" s="246">
        <f t="shared" si="138"/>
        <v>109411.6287</v>
      </c>
      <c r="CB138" s="246">
        <f t="shared" si="138"/>
        <v>113788.0938</v>
      </c>
      <c r="CC138" s="246">
        <f t="shared" si="138"/>
        <v>113788.0938</v>
      </c>
      <c r="CD138" s="246">
        <f t="shared" si="138"/>
        <v>113788.0938</v>
      </c>
      <c r="CE138" s="246">
        <f t="shared" si="138"/>
        <v>113788.0938</v>
      </c>
      <c r="CF138" s="246">
        <f t="shared" si="138"/>
        <v>118339.6176</v>
      </c>
      <c r="CG138" s="246">
        <f t="shared" si="138"/>
        <v>118339.6176</v>
      </c>
      <c r="CH138" s="246">
        <f t="shared" si="138"/>
        <v>118339.6176</v>
      </c>
      <c r="CI138" s="246">
        <f t="shared" si="138"/>
        <v>118339.6176</v>
      </c>
      <c r="CJ138" s="246"/>
      <c r="CK138" s="246"/>
      <c r="CL138" s="246">
        <f t="shared" ref="CL138:CQ138" si="139">CL75+CL107</f>
        <v>18403</v>
      </c>
      <c r="CM138" s="246">
        <f t="shared" si="139"/>
        <v>14302</v>
      </c>
      <c r="CN138" s="246">
        <f t="shared" si="139"/>
        <v>23261</v>
      </c>
      <c r="CO138" s="246">
        <f t="shared" si="139"/>
        <v>13244</v>
      </c>
      <c r="CP138" s="246">
        <f t="shared" si="139"/>
        <v>21469</v>
      </c>
      <c r="CQ138" s="246">
        <f t="shared" si="139"/>
        <v>20456</v>
      </c>
    </row>
    <row r="139" ht="15.75" customHeight="1">
      <c r="C139" s="132" t="s">
        <v>207</v>
      </c>
      <c r="D139" s="247">
        <f t="shared" ref="D139:CI139" si="140">D76+D108</f>
        <v>3328</v>
      </c>
      <c r="E139" s="247">
        <f t="shared" si="140"/>
        <v>3066</v>
      </c>
      <c r="F139" s="247">
        <f t="shared" si="140"/>
        <v>4755</v>
      </c>
      <c r="G139" s="247">
        <f t="shared" si="140"/>
        <v>6455</v>
      </c>
      <c r="H139" s="247">
        <f t="shared" si="140"/>
        <v>4843</v>
      </c>
      <c r="I139" s="247">
        <f t="shared" si="140"/>
        <v>1045</v>
      </c>
      <c r="J139" s="247">
        <f t="shared" si="140"/>
        <v>235</v>
      </c>
      <c r="K139" s="247">
        <f t="shared" si="140"/>
        <v>3912</v>
      </c>
      <c r="L139" s="247">
        <f t="shared" si="140"/>
        <v>6271</v>
      </c>
      <c r="M139" s="247">
        <f t="shared" si="140"/>
        <v>3596</v>
      </c>
      <c r="N139" s="247">
        <f t="shared" si="140"/>
        <v>8443</v>
      </c>
      <c r="O139" s="247">
        <f t="shared" si="140"/>
        <v>4392</v>
      </c>
      <c r="P139" s="247">
        <f t="shared" si="140"/>
        <v>6794</v>
      </c>
      <c r="Q139" s="247">
        <f t="shared" si="140"/>
        <v>5010</v>
      </c>
      <c r="R139" s="247">
        <f t="shared" si="140"/>
        <v>5755</v>
      </c>
      <c r="S139" s="247">
        <f t="shared" si="140"/>
        <v>4179</v>
      </c>
      <c r="T139" s="247">
        <f t="shared" si="140"/>
        <v>6795</v>
      </c>
      <c r="U139" s="247">
        <f t="shared" si="140"/>
        <v>6404</v>
      </c>
      <c r="V139" s="247">
        <f t="shared" si="140"/>
        <v>5231</v>
      </c>
      <c r="W139" s="247">
        <f t="shared" si="140"/>
        <v>5847</v>
      </c>
      <c r="X139" s="247">
        <f t="shared" si="140"/>
        <v>5546</v>
      </c>
      <c r="Y139" s="247">
        <f t="shared" si="140"/>
        <v>5098</v>
      </c>
      <c r="Z139" s="247">
        <f t="shared" si="140"/>
        <v>6649</v>
      </c>
      <c r="AA139" s="246">
        <f t="shared" si="140"/>
        <v>15000</v>
      </c>
      <c r="AB139" s="246">
        <f t="shared" si="140"/>
        <v>15000</v>
      </c>
      <c r="AC139" s="246">
        <f t="shared" si="140"/>
        <v>15000</v>
      </c>
      <c r="AD139" s="246">
        <f t="shared" si="140"/>
        <v>15000</v>
      </c>
      <c r="AE139" s="246">
        <f t="shared" si="140"/>
        <v>15000</v>
      </c>
      <c r="AF139" s="246">
        <f t="shared" si="140"/>
        <v>15000</v>
      </c>
      <c r="AG139" s="246">
        <f t="shared" si="140"/>
        <v>15000</v>
      </c>
      <c r="AH139" s="246">
        <f t="shared" si="140"/>
        <v>20000</v>
      </c>
      <c r="AI139" s="246">
        <f t="shared" si="140"/>
        <v>20000</v>
      </c>
      <c r="AJ139" s="246">
        <f t="shared" si="140"/>
        <v>20000</v>
      </c>
      <c r="AK139" s="246">
        <f t="shared" si="140"/>
        <v>20000</v>
      </c>
      <c r="AL139" s="246">
        <f t="shared" si="140"/>
        <v>20000</v>
      </c>
      <c r="AM139" s="246">
        <f t="shared" si="140"/>
        <v>20000</v>
      </c>
      <c r="AN139" s="246">
        <f t="shared" si="140"/>
        <v>30000</v>
      </c>
      <c r="AO139" s="246">
        <f t="shared" si="140"/>
        <v>30000</v>
      </c>
      <c r="AP139" s="246">
        <f t="shared" si="140"/>
        <v>30000</v>
      </c>
      <c r="AQ139" s="246">
        <f t="shared" si="140"/>
        <v>30000</v>
      </c>
      <c r="AR139" s="246">
        <f t="shared" si="140"/>
        <v>30000</v>
      </c>
      <c r="AS139" s="246">
        <f t="shared" si="140"/>
        <v>30000</v>
      </c>
      <c r="AT139" s="246">
        <f t="shared" si="140"/>
        <v>40000</v>
      </c>
      <c r="AU139" s="246">
        <f t="shared" si="140"/>
        <v>40000</v>
      </c>
      <c r="AV139" s="246">
        <f t="shared" si="140"/>
        <v>40000</v>
      </c>
      <c r="AW139" s="246">
        <f t="shared" si="140"/>
        <v>40000</v>
      </c>
      <c r="AX139" s="246">
        <f t="shared" si="140"/>
        <v>40000</v>
      </c>
      <c r="AY139" s="246">
        <f t="shared" si="140"/>
        <v>40000</v>
      </c>
      <c r="AZ139" s="246">
        <f t="shared" si="140"/>
        <v>40000</v>
      </c>
      <c r="BA139" s="246">
        <f t="shared" si="140"/>
        <v>40000</v>
      </c>
      <c r="BB139" s="246">
        <f t="shared" si="140"/>
        <v>40000</v>
      </c>
      <c r="BC139" s="246">
        <f t="shared" si="140"/>
        <v>40000</v>
      </c>
      <c r="BD139" s="246">
        <f t="shared" si="140"/>
        <v>40000</v>
      </c>
      <c r="BE139" s="246">
        <f t="shared" si="140"/>
        <v>40000</v>
      </c>
      <c r="BF139" s="246">
        <f t="shared" si="140"/>
        <v>40000</v>
      </c>
      <c r="BG139" s="246">
        <f t="shared" si="140"/>
        <v>40000</v>
      </c>
      <c r="BH139" s="246">
        <f t="shared" si="140"/>
        <v>40000</v>
      </c>
      <c r="BI139" s="246">
        <f t="shared" si="140"/>
        <v>40000</v>
      </c>
      <c r="BJ139" s="246">
        <f t="shared" si="140"/>
        <v>40000</v>
      </c>
      <c r="BK139" s="246">
        <f t="shared" si="140"/>
        <v>40000</v>
      </c>
      <c r="BL139" s="246">
        <f t="shared" si="140"/>
        <v>40000</v>
      </c>
      <c r="BM139" s="246">
        <f t="shared" si="140"/>
        <v>40000</v>
      </c>
      <c r="BN139" s="246">
        <f t="shared" si="140"/>
        <v>40000</v>
      </c>
      <c r="BO139" s="246">
        <f t="shared" si="140"/>
        <v>40000</v>
      </c>
      <c r="BP139" s="246">
        <f t="shared" si="140"/>
        <v>40000</v>
      </c>
      <c r="BQ139" s="246">
        <f t="shared" si="140"/>
        <v>40000</v>
      </c>
      <c r="BR139" s="246">
        <f t="shared" si="140"/>
        <v>40000</v>
      </c>
      <c r="BS139" s="246">
        <f t="shared" si="140"/>
        <v>40000</v>
      </c>
      <c r="BT139" s="246">
        <f t="shared" si="140"/>
        <v>40000</v>
      </c>
      <c r="BU139" s="246">
        <f t="shared" si="140"/>
        <v>40000</v>
      </c>
      <c r="BV139" s="246">
        <f t="shared" si="140"/>
        <v>40000</v>
      </c>
      <c r="BW139" s="246">
        <f t="shared" si="140"/>
        <v>40000</v>
      </c>
      <c r="BX139" s="246">
        <f t="shared" si="140"/>
        <v>40000</v>
      </c>
      <c r="BY139" s="246">
        <f t="shared" si="140"/>
        <v>40000</v>
      </c>
      <c r="BZ139" s="246">
        <f t="shared" si="140"/>
        <v>40000</v>
      </c>
      <c r="CA139" s="246">
        <f t="shared" si="140"/>
        <v>40000</v>
      </c>
      <c r="CB139" s="246">
        <f t="shared" si="140"/>
        <v>40000</v>
      </c>
      <c r="CC139" s="246">
        <f t="shared" si="140"/>
        <v>40000</v>
      </c>
      <c r="CD139" s="246">
        <f t="shared" si="140"/>
        <v>40000</v>
      </c>
      <c r="CE139" s="246">
        <f t="shared" si="140"/>
        <v>40000</v>
      </c>
      <c r="CF139" s="246">
        <f t="shared" si="140"/>
        <v>40000</v>
      </c>
      <c r="CG139" s="246">
        <f t="shared" si="140"/>
        <v>40000</v>
      </c>
      <c r="CH139" s="246">
        <f t="shared" si="140"/>
        <v>40000</v>
      </c>
      <c r="CI139" s="246">
        <f t="shared" si="140"/>
        <v>40000</v>
      </c>
      <c r="CJ139" s="246"/>
      <c r="CK139" s="246"/>
      <c r="CL139" s="246">
        <f t="shared" ref="CL139:CQ139" si="141">CL76+CL108</f>
        <v>17604</v>
      </c>
      <c r="CM139" s="246">
        <f t="shared" si="141"/>
        <v>10035</v>
      </c>
      <c r="CN139" s="246">
        <f t="shared" si="141"/>
        <v>22702</v>
      </c>
      <c r="CO139" s="246">
        <f t="shared" si="141"/>
        <v>21738</v>
      </c>
      <c r="CP139" s="246">
        <f t="shared" si="141"/>
        <v>24277</v>
      </c>
      <c r="CQ139" s="246">
        <f t="shared" si="141"/>
        <v>32293</v>
      </c>
    </row>
    <row r="140" ht="15.75" customHeight="1">
      <c r="C140" s="132" t="s">
        <v>208</v>
      </c>
      <c r="D140" s="247">
        <f t="shared" ref="D140:CI140" si="142">D77+D109</f>
        <v>7999</v>
      </c>
      <c r="E140" s="247">
        <f t="shared" si="142"/>
        <v>7702</v>
      </c>
      <c r="F140" s="247">
        <f t="shared" si="142"/>
        <v>9204</v>
      </c>
      <c r="G140" s="247">
        <f t="shared" si="142"/>
        <v>11102</v>
      </c>
      <c r="H140" s="247">
        <f t="shared" si="142"/>
        <v>6362</v>
      </c>
      <c r="I140" s="247">
        <f t="shared" si="142"/>
        <v>7245</v>
      </c>
      <c r="J140" s="247">
        <f t="shared" si="142"/>
        <v>2590</v>
      </c>
      <c r="K140" s="247">
        <f t="shared" si="142"/>
        <v>8140</v>
      </c>
      <c r="L140" s="247">
        <f t="shared" si="142"/>
        <v>13508</v>
      </c>
      <c r="M140" s="247">
        <f t="shared" si="142"/>
        <v>9797</v>
      </c>
      <c r="N140" s="247">
        <f t="shared" si="142"/>
        <v>11829</v>
      </c>
      <c r="O140" s="247">
        <f t="shared" si="142"/>
        <v>10829</v>
      </c>
      <c r="P140" s="247">
        <f t="shared" si="142"/>
        <v>10438</v>
      </c>
      <c r="Q140" s="247">
        <f t="shared" si="142"/>
        <v>8726</v>
      </c>
      <c r="R140" s="247">
        <f t="shared" si="142"/>
        <v>10443</v>
      </c>
      <c r="S140" s="247">
        <f t="shared" si="142"/>
        <v>5375</v>
      </c>
      <c r="T140" s="247">
        <f t="shared" si="142"/>
        <v>14799</v>
      </c>
      <c r="U140" s="247">
        <f t="shared" si="142"/>
        <v>12835</v>
      </c>
      <c r="V140" s="247">
        <f t="shared" si="142"/>
        <v>7784</v>
      </c>
      <c r="W140" s="247">
        <f t="shared" si="142"/>
        <v>10328</v>
      </c>
      <c r="X140" s="247">
        <f t="shared" si="142"/>
        <v>10956</v>
      </c>
      <c r="Y140" s="247">
        <f t="shared" si="142"/>
        <v>9148</v>
      </c>
      <c r="Z140" s="247">
        <f t="shared" si="142"/>
        <v>12147</v>
      </c>
      <c r="AA140" s="246">
        <f t="shared" si="142"/>
        <v>20498</v>
      </c>
      <c r="AB140" s="246">
        <f t="shared" si="142"/>
        <v>31145.41</v>
      </c>
      <c r="AC140" s="246">
        <f t="shared" si="142"/>
        <v>31145.41</v>
      </c>
      <c r="AD140" s="246">
        <f t="shared" si="142"/>
        <v>31145.41</v>
      </c>
      <c r="AE140" s="246">
        <f t="shared" si="142"/>
        <v>31145.41</v>
      </c>
      <c r="AF140" s="246">
        <f t="shared" si="142"/>
        <v>31871.95345</v>
      </c>
      <c r="AG140" s="246">
        <f t="shared" si="142"/>
        <v>31871.95345</v>
      </c>
      <c r="AH140" s="246">
        <f t="shared" si="142"/>
        <v>42071.95345</v>
      </c>
      <c r="AI140" s="246">
        <f t="shared" si="142"/>
        <v>47271.95345</v>
      </c>
      <c r="AJ140" s="246">
        <f t="shared" si="142"/>
        <v>53699.19136</v>
      </c>
      <c r="AK140" s="246">
        <f t="shared" si="142"/>
        <v>58899.19136</v>
      </c>
      <c r="AL140" s="246">
        <f t="shared" si="142"/>
        <v>64099.19136</v>
      </c>
      <c r="AM140" s="246">
        <f t="shared" si="142"/>
        <v>69299.19136</v>
      </c>
      <c r="AN140" s="246">
        <f t="shared" si="142"/>
        <v>81271.15901</v>
      </c>
      <c r="AO140" s="246">
        <f t="shared" si="142"/>
        <v>81271.15901</v>
      </c>
      <c r="AP140" s="246">
        <f t="shared" si="142"/>
        <v>81271.15901</v>
      </c>
      <c r="AQ140" s="246">
        <f t="shared" si="142"/>
        <v>81271.15901</v>
      </c>
      <c r="AR140" s="246">
        <f t="shared" si="142"/>
        <v>83322.00537</v>
      </c>
      <c r="AS140" s="246">
        <f t="shared" si="142"/>
        <v>88730.00537</v>
      </c>
      <c r="AT140" s="246">
        <f t="shared" si="142"/>
        <v>98730.00537</v>
      </c>
      <c r="AU140" s="246">
        <f t="shared" si="142"/>
        <v>98730.00537</v>
      </c>
      <c r="AV140" s="246">
        <f t="shared" si="142"/>
        <v>101079.2056</v>
      </c>
      <c r="AW140" s="246">
        <f t="shared" si="142"/>
        <v>101079.2056</v>
      </c>
      <c r="AX140" s="246">
        <f t="shared" si="142"/>
        <v>101079.2056</v>
      </c>
      <c r="AY140" s="246">
        <f t="shared" si="142"/>
        <v>101079.2056</v>
      </c>
      <c r="AZ140" s="246">
        <f t="shared" si="142"/>
        <v>109371.6666</v>
      </c>
      <c r="BA140" s="246">
        <f t="shared" si="142"/>
        <v>109371.6666</v>
      </c>
      <c r="BB140" s="246">
        <f t="shared" si="142"/>
        <v>109371.6666</v>
      </c>
      <c r="BC140" s="246">
        <f t="shared" si="142"/>
        <v>109371.6666</v>
      </c>
      <c r="BD140" s="246">
        <f t="shared" si="142"/>
        <v>112146.5333</v>
      </c>
      <c r="BE140" s="246">
        <f t="shared" si="142"/>
        <v>112146.5333</v>
      </c>
      <c r="BF140" s="246">
        <f t="shared" si="142"/>
        <v>112146.5333</v>
      </c>
      <c r="BG140" s="246">
        <f t="shared" si="142"/>
        <v>118229.7978</v>
      </c>
      <c r="BH140" s="246">
        <f t="shared" si="142"/>
        <v>121358.9897</v>
      </c>
      <c r="BI140" s="246">
        <f t="shared" si="142"/>
        <v>121358.9897</v>
      </c>
      <c r="BJ140" s="246">
        <f t="shared" si="142"/>
        <v>121358.9897</v>
      </c>
      <c r="BK140" s="246">
        <f t="shared" si="142"/>
        <v>127442.2542</v>
      </c>
      <c r="BL140" s="246">
        <f t="shared" si="142"/>
        <v>137266.5395</v>
      </c>
      <c r="BM140" s="246">
        <f t="shared" si="142"/>
        <v>137266.5395</v>
      </c>
      <c r="BN140" s="246">
        <f t="shared" si="142"/>
        <v>137266.5395</v>
      </c>
      <c r="BO140" s="246">
        <f t="shared" si="142"/>
        <v>137266.5395</v>
      </c>
      <c r="BP140" s="246">
        <f t="shared" si="142"/>
        <v>141157.201</v>
      </c>
      <c r="BQ140" s="246">
        <f t="shared" si="142"/>
        <v>141157.201</v>
      </c>
      <c r="BR140" s="246">
        <f t="shared" si="142"/>
        <v>141157.201</v>
      </c>
      <c r="BS140" s="246">
        <f t="shared" si="142"/>
        <v>141157.201</v>
      </c>
      <c r="BT140" s="246">
        <f t="shared" si="142"/>
        <v>145203.4891</v>
      </c>
      <c r="BU140" s="246">
        <f t="shared" si="142"/>
        <v>145203.4891</v>
      </c>
      <c r="BV140" s="246">
        <f t="shared" si="142"/>
        <v>145203.4891</v>
      </c>
      <c r="BW140" s="246">
        <f t="shared" si="142"/>
        <v>145203.4891</v>
      </c>
      <c r="BX140" s="246">
        <f t="shared" si="142"/>
        <v>149411.6287</v>
      </c>
      <c r="BY140" s="246">
        <f t="shared" si="142"/>
        <v>149411.6287</v>
      </c>
      <c r="BZ140" s="246">
        <f t="shared" si="142"/>
        <v>149411.6287</v>
      </c>
      <c r="CA140" s="246">
        <f t="shared" si="142"/>
        <v>149411.6287</v>
      </c>
      <c r="CB140" s="246">
        <f t="shared" si="142"/>
        <v>153788.0938</v>
      </c>
      <c r="CC140" s="246">
        <f t="shared" si="142"/>
        <v>153788.0938</v>
      </c>
      <c r="CD140" s="246">
        <f t="shared" si="142"/>
        <v>153788.0938</v>
      </c>
      <c r="CE140" s="246">
        <f t="shared" si="142"/>
        <v>153788.0938</v>
      </c>
      <c r="CF140" s="246">
        <f t="shared" si="142"/>
        <v>158339.6176</v>
      </c>
      <c r="CG140" s="246">
        <f t="shared" si="142"/>
        <v>158339.6176</v>
      </c>
      <c r="CH140" s="246">
        <f t="shared" si="142"/>
        <v>158339.6176</v>
      </c>
      <c r="CI140" s="246">
        <f t="shared" si="142"/>
        <v>158339.6176</v>
      </c>
      <c r="CJ140" s="246"/>
      <c r="CK140" s="246"/>
      <c r="CL140" s="246">
        <f t="shared" ref="CL140:CQ140" si="143">CL77+CL109</f>
        <v>36007</v>
      </c>
      <c r="CM140" s="246">
        <f t="shared" si="143"/>
        <v>24337</v>
      </c>
      <c r="CN140" s="246">
        <f t="shared" si="143"/>
        <v>45963</v>
      </c>
      <c r="CO140" s="246">
        <f t="shared" si="143"/>
        <v>34982</v>
      </c>
      <c r="CP140" s="246">
        <f t="shared" si="143"/>
        <v>45746</v>
      </c>
      <c r="CQ140" s="246">
        <f t="shared" si="143"/>
        <v>52749</v>
      </c>
    </row>
    <row r="141" ht="15.75" customHeight="1">
      <c r="C141" s="132" t="s">
        <v>209</v>
      </c>
      <c r="D141" s="247">
        <f t="shared" ref="D141:CI141" si="144">D78+D110</f>
        <v>4900</v>
      </c>
      <c r="E141" s="247">
        <f t="shared" si="144"/>
        <v>5996</v>
      </c>
      <c r="F141" s="247">
        <f t="shared" si="144"/>
        <v>8824</v>
      </c>
      <c r="G141" s="247">
        <f t="shared" si="144"/>
        <v>6874</v>
      </c>
      <c r="H141" s="247">
        <f t="shared" si="144"/>
        <v>2929</v>
      </c>
      <c r="I141" s="247">
        <f t="shared" si="144"/>
        <v>4911</v>
      </c>
      <c r="J141" s="247">
        <f t="shared" si="144"/>
        <v>5278</v>
      </c>
      <c r="K141" s="247">
        <f t="shared" si="144"/>
        <v>6070</v>
      </c>
      <c r="L141" s="247">
        <f t="shared" si="144"/>
        <v>4153</v>
      </c>
      <c r="M141" s="247">
        <f t="shared" si="144"/>
        <v>3732</v>
      </c>
      <c r="N141" s="247">
        <f t="shared" si="144"/>
        <v>5712</v>
      </c>
      <c r="O141" s="247">
        <f t="shared" si="144"/>
        <v>5969</v>
      </c>
      <c r="P141" s="247">
        <f t="shared" si="144"/>
        <v>2118</v>
      </c>
      <c r="Q141" s="247">
        <f t="shared" si="144"/>
        <v>5817</v>
      </c>
      <c r="R141" s="247">
        <f t="shared" si="144"/>
        <v>5208</v>
      </c>
      <c r="S141" s="247">
        <f t="shared" si="144"/>
        <v>4556</v>
      </c>
      <c r="T141" s="247">
        <f t="shared" si="144"/>
        <v>5642</v>
      </c>
      <c r="U141" s="247">
        <f t="shared" si="144"/>
        <v>3004</v>
      </c>
      <c r="V141" s="247">
        <f t="shared" si="144"/>
        <v>7580</v>
      </c>
      <c r="W141" s="247">
        <f t="shared" si="144"/>
        <v>5818</v>
      </c>
      <c r="X141" s="247">
        <f t="shared" si="144"/>
        <v>3855</v>
      </c>
      <c r="Y141" s="247">
        <f t="shared" si="144"/>
        <v>3790</v>
      </c>
      <c r="Z141" s="247">
        <f t="shared" si="144"/>
        <v>6663</v>
      </c>
      <c r="AA141" s="246">
        <f t="shared" si="144"/>
        <v>2049.8</v>
      </c>
      <c r="AB141" s="246">
        <f t="shared" si="144"/>
        <v>3114.541</v>
      </c>
      <c r="AC141" s="246">
        <f t="shared" si="144"/>
        <v>3114.541</v>
      </c>
      <c r="AD141" s="246">
        <f t="shared" si="144"/>
        <v>3114.541</v>
      </c>
      <c r="AE141" s="246">
        <f t="shared" si="144"/>
        <v>3114.541</v>
      </c>
      <c r="AF141" s="246">
        <f t="shared" si="144"/>
        <v>3187.195345</v>
      </c>
      <c r="AG141" s="246">
        <f t="shared" si="144"/>
        <v>3187.195345</v>
      </c>
      <c r="AH141" s="246">
        <f t="shared" si="144"/>
        <v>4207.195345</v>
      </c>
      <c r="AI141" s="246">
        <f t="shared" si="144"/>
        <v>4727.195345</v>
      </c>
      <c r="AJ141" s="246">
        <f t="shared" si="144"/>
        <v>5369.919136</v>
      </c>
      <c r="AK141" s="246">
        <f t="shared" si="144"/>
        <v>5889.919136</v>
      </c>
      <c r="AL141" s="246">
        <f t="shared" si="144"/>
        <v>6409.919136</v>
      </c>
      <c r="AM141" s="246">
        <f t="shared" si="144"/>
        <v>6929.919136</v>
      </c>
      <c r="AN141" s="246">
        <f t="shared" si="144"/>
        <v>8127.115901</v>
      </c>
      <c r="AO141" s="246">
        <f t="shared" si="144"/>
        <v>8127.115901</v>
      </c>
      <c r="AP141" s="246">
        <f t="shared" si="144"/>
        <v>8127.115901</v>
      </c>
      <c r="AQ141" s="246">
        <f t="shared" si="144"/>
        <v>8127.115901</v>
      </c>
      <c r="AR141" s="246">
        <f t="shared" si="144"/>
        <v>8332.200537</v>
      </c>
      <c r="AS141" s="246">
        <f t="shared" si="144"/>
        <v>8873.000537</v>
      </c>
      <c r="AT141" s="246">
        <f t="shared" si="144"/>
        <v>9873.000537</v>
      </c>
      <c r="AU141" s="246">
        <f t="shared" si="144"/>
        <v>9873.000537</v>
      </c>
      <c r="AV141" s="246">
        <f t="shared" si="144"/>
        <v>10107.92056</v>
      </c>
      <c r="AW141" s="246">
        <f t="shared" si="144"/>
        <v>10107.92056</v>
      </c>
      <c r="AX141" s="246">
        <f t="shared" si="144"/>
        <v>10107.92056</v>
      </c>
      <c r="AY141" s="246">
        <f t="shared" si="144"/>
        <v>10107.92056</v>
      </c>
      <c r="AZ141" s="246">
        <f t="shared" si="144"/>
        <v>10937.16666</v>
      </c>
      <c r="BA141" s="246">
        <f t="shared" si="144"/>
        <v>10937.16666</v>
      </c>
      <c r="BB141" s="246">
        <f t="shared" si="144"/>
        <v>10937.16666</v>
      </c>
      <c r="BC141" s="246">
        <f t="shared" si="144"/>
        <v>10937.16666</v>
      </c>
      <c r="BD141" s="246">
        <f t="shared" si="144"/>
        <v>11214.65333</v>
      </c>
      <c r="BE141" s="246">
        <f t="shared" si="144"/>
        <v>11214.65333</v>
      </c>
      <c r="BF141" s="246">
        <f t="shared" si="144"/>
        <v>11214.65333</v>
      </c>
      <c r="BG141" s="246">
        <f t="shared" si="144"/>
        <v>11822.97978</v>
      </c>
      <c r="BH141" s="246">
        <f t="shared" si="144"/>
        <v>12135.89897</v>
      </c>
      <c r="BI141" s="246">
        <f t="shared" si="144"/>
        <v>12135.89897</v>
      </c>
      <c r="BJ141" s="246">
        <f t="shared" si="144"/>
        <v>12135.89897</v>
      </c>
      <c r="BK141" s="246">
        <f t="shared" si="144"/>
        <v>12744.22542</v>
      </c>
      <c r="BL141" s="246">
        <f t="shared" si="144"/>
        <v>13726.65395</v>
      </c>
      <c r="BM141" s="246">
        <f t="shared" si="144"/>
        <v>13726.65395</v>
      </c>
      <c r="BN141" s="246">
        <f t="shared" si="144"/>
        <v>13726.65395</v>
      </c>
      <c r="BO141" s="246">
        <f t="shared" si="144"/>
        <v>13726.65395</v>
      </c>
      <c r="BP141" s="246">
        <f t="shared" si="144"/>
        <v>14115.7201</v>
      </c>
      <c r="BQ141" s="246">
        <f t="shared" si="144"/>
        <v>14115.7201</v>
      </c>
      <c r="BR141" s="246">
        <f t="shared" si="144"/>
        <v>14115.7201</v>
      </c>
      <c r="BS141" s="246">
        <f t="shared" si="144"/>
        <v>14115.7201</v>
      </c>
      <c r="BT141" s="246">
        <f t="shared" si="144"/>
        <v>14520.34891</v>
      </c>
      <c r="BU141" s="246">
        <f t="shared" si="144"/>
        <v>14520.34891</v>
      </c>
      <c r="BV141" s="246">
        <f t="shared" si="144"/>
        <v>14520.34891</v>
      </c>
      <c r="BW141" s="246">
        <f t="shared" si="144"/>
        <v>14520.34891</v>
      </c>
      <c r="BX141" s="246">
        <f t="shared" si="144"/>
        <v>14941.16287</v>
      </c>
      <c r="BY141" s="246">
        <f t="shared" si="144"/>
        <v>14941.16287</v>
      </c>
      <c r="BZ141" s="246">
        <f t="shared" si="144"/>
        <v>14941.16287</v>
      </c>
      <c r="CA141" s="246">
        <f t="shared" si="144"/>
        <v>14941.16287</v>
      </c>
      <c r="CB141" s="246">
        <f t="shared" si="144"/>
        <v>15378.80938</v>
      </c>
      <c r="CC141" s="246">
        <f t="shared" si="144"/>
        <v>15378.80938</v>
      </c>
      <c r="CD141" s="246">
        <f t="shared" si="144"/>
        <v>15378.80938</v>
      </c>
      <c r="CE141" s="246">
        <f t="shared" si="144"/>
        <v>15378.80938</v>
      </c>
      <c r="CF141" s="246">
        <f t="shared" si="144"/>
        <v>15833.96176</v>
      </c>
      <c r="CG141" s="246">
        <f t="shared" si="144"/>
        <v>15833.96176</v>
      </c>
      <c r="CH141" s="246">
        <f t="shared" si="144"/>
        <v>15833.96176</v>
      </c>
      <c r="CI141" s="246">
        <f t="shared" si="144"/>
        <v>15833.96176</v>
      </c>
      <c r="CJ141" s="246"/>
      <c r="CK141" s="246"/>
      <c r="CL141" s="246">
        <f t="shared" ref="CL141:CQ141" si="145">CL78+CL110</f>
        <v>26594</v>
      </c>
      <c r="CM141" s="246">
        <f t="shared" si="145"/>
        <v>19188</v>
      </c>
      <c r="CN141" s="246">
        <f t="shared" si="145"/>
        <v>19566</v>
      </c>
      <c r="CO141" s="246">
        <f t="shared" si="145"/>
        <v>17699</v>
      </c>
      <c r="CP141" s="246">
        <f t="shared" si="145"/>
        <v>22044</v>
      </c>
      <c r="CQ141" s="246">
        <f t="shared" si="145"/>
        <v>16357.8</v>
      </c>
    </row>
    <row r="142" ht="15.75" customHeight="1">
      <c r="C142" s="132" t="s">
        <v>210</v>
      </c>
      <c r="D142" s="247">
        <f t="shared" ref="D142:CI142" si="146">D79+D111</f>
        <v>3445</v>
      </c>
      <c r="E142" s="247">
        <f t="shared" si="146"/>
        <v>7657</v>
      </c>
      <c r="F142" s="247">
        <f t="shared" si="146"/>
        <v>817</v>
      </c>
      <c r="G142" s="247">
        <f t="shared" si="146"/>
        <v>4171</v>
      </c>
      <c r="H142" s="247">
        <f t="shared" si="146"/>
        <v>7250</v>
      </c>
      <c r="I142" s="247">
        <f t="shared" si="146"/>
        <v>1752</v>
      </c>
      <c r="J142" s="247">
        <f t="shared" si="146"/>
        <v>4824</v>
      </c>
      <c r="K142" s="247">
        <f t="shared" si="146"/>
        <v>4091</v>
      </c>
      <c r="L142" s="247">
        <f t="shared" si="146"/>
        <v>9358</v>
      </c>
      <c r="M142" s="247">
        <f t="shared" si="146"/>
        <v>3340</v>
      </c>
      <c r="N142" s="247">
        <f t="shared" si="146"/>
        <v>6318</v>
      </c>
      <c r="O142" s="247">
        <f t="shared" si="146"/>
        <v>2077</v>
      </c>
      <c r="P142" s="247">
        <f t="shared" si="146"/>
        <v>5065</v>
      </c>
      <c r="Q142" s="247">
        <f t="shared" si="146"/>
        <v>6077</v>
      </c>
      <c r="R142" s="247">
        <f t="shared" si="146"/>
        <v>6423</v>
      </c>
      <c r="S142" s="247">
        <f t="shared" si="146"/>
        <v>7911</v>
      </c>
      <c r="T142" s="247">
        <f t="shared" si="146"/>
        <v>8552</v>
      </c>
      <c r="U142" s="247">
        <f t="shared" si="146"/>
        <v>6365</v>
      </c>
      <c r="V142" s="247">
        <f t="shared" si="146"/>
        <v>6158</v>
      </c>
      <c r="W142" s="247">
        <f t="shared" si="146"/>
        <v>6679</v>
      </c>
      <c r="X142" s="247">
        <f t="shared" si="146"/>
        <v>8014</v>
      </c>
      <c r="Y142" s="247">
        <f t="shared" si="146"/>
        <v>6605</v>
      </c>
      <c r="Z142" s="247">
        <f t="shared" si="146"/>
        <v>7802</v>
      </c>
      <c r="AA142" s="246">
        <f t="shared" si="146"/>
        <v>3074.7</v>
      </c>
      <c r="AB142" s="246">
        <f t="shared" si="146"/>
        <v>4671.8115</v>
      </c>
      <c r="AC142" s="246">
        <f t="shared" si="146"/>
        <v>4671.8115</v>
      </c>
      <c r="AD142" s="246">
        <f t="shared" si="146"/>
        <v>4671.8115</v>
      </c>
      <c r="AE142" s="246">
        <f t="shared" si="146"/>
        <v>4671.8115</v>
      </c>
      <c r="AF142" s="246">
        <f t="shared" si="146"/>
        <v>4780.793018</v>
      </c>
      <c r="AG142" s="246">
        <f t="shared" si="146"/>
        <v>4780.793018</v>
      </c>
      <c r="AH142" s="246">
        <f t="shared" si="146"/>
        <v>6310.793018</v>
      </c>
      <c r="AI142" s="246">
        <f t="shared" si="146"/>
        <v>7090.793018</v>
      </c>
      <c r="AJ142" s="246">
        <f t="shared" si="146"/>
        <v>8054.878703</v>
      </c>
      <c r="AK142" s="246">
        <f t="shared" si="146"/>
        <v>8834.878703</v>
      </c>
      <c r="AL142" s="246">
        <f t="shared" si="146"/>
        <v>9614.878703</v>
      </c>
      <c r="AM142" s="246">
        <f t="shared" si="146"/>
        <v>10394.8787</v>
      </c>
      <c r="AN142" s="246">
        <f t="shared" si="146"/>
        <v>5363.896495</v>
      </c>
      <c r="AO142" s="246">
        <f t="shared" si="146"/>
        <v>5363.896495</v>
      </c>
      <c r="AP142" s="246">
        <f t="shared" si="146"/>
        <v>5363.896495</v>
      </c>
      <c r="AQ142" s="246">
        <f t="shared" si="146"/>
        <v>5363.896495</v>
      </c>
      <c r="AR142" s="246">
        <f t="shared" si="146"/>
        <v>5499.252354</v>
      </c>
      <c r="AS142" s="246">
        <f t="shared" si="146"/>
        <v>5856.180354</v>
      </c>
      <c r="AT142" s="246">
        <f t="shared" si="146"/>
        <v>6516.180354</v>
      </c>
      <c r="AU142" s="246">
        <f t="shared" si="146"/>
        <v>6516.180354</v>
      </c>
      <c r="AV142" s="246">
        <f t="shared" si="146"/>
        <v>6671.227569</v>
      </c>
      <c r="AW142" s="246">
        <f t="shared" si="146"/>
        <v>6671.227569</v>
      </c>
      <c r="AX142" s="246">
        <f t="shared" si="146"/>
        <v>6671.227569</v>
      </c>
      <c r="AY142" s="246">
        <f t="shared" si="146"/>
        <v>6671.227569</v>
      </c>
      <c r="AZ142" s="246">
        <f t="shared" si="146"/>
        <v>7437.273329</v>
      </c>
      <c r="BA142" s="246">
        <f t="shared" si="146"/>
        <v>7437.273329</v>
      </c>
      <c r="BB142" s="246">
        <f t="shared" si="146"/>
        <v>7437.273329</v>
      </c>
      <c r="BC142" s="246">
        <f t="shared" si="146"/>
        <v>7437.273329</v>
      </c>
      <c r="BD142" s="246">
        <f t="shared" si="146"/>
        <v>7625.964263</v>
      </c>
      <c r="BE142" s="246">
        <f t="shared" si="146"/>
        <v>7625.964263</v>
      </c>
      <c r="BF142" s="246">
        <f t="shared" si="146"/>
        <v>7625.964263</v>
      </c>
      <c r="BG142" s="246">
        <f t="shared" si="146"/>
        <v>8039.626249</v>
      </c>
      <c r="BH142" s="246">
        <f t="shared" si="146"/>
        <v>8252.411299</v>
      </c>
      <c r="BI142" s="246">
        <f t="shared" si="146"/>
        <v>8252.411299</v>
      </c>
      <c r="BJ142" s="246">
        <f t="shared" si="146"/>
        <v>8252.411299</v>
      </c>
      <c r="BK142" s="246">
        <f t="shared" si="146"/>
        <v>8666.073286</v>
      </c>
      <c r="BL142" s="246">
        <f t="shared" si="146"/>
        <v>9608.657763</v>
      </c>
      <c r="BM142" s="246">
        <f t="shared" si="146"/>
        <v>9608.657763</v>
      </c>
      <c r="BN142" s="246">
        <f t="shared" si="146"/>
        <v>9608.657763</v>
      </c>
      <c r="BO142" s="246">
        <f t="shared" si="146"/>
        <v>9608.657763</v>
      </c>
      <c r="BP142" s="246">
        <f t="shared" si="146"/>
        <v>9881.004073</v>
      </c>
      <c r="BQ142" s="246">
        <f t="shared" si="146"/>
        <v>9881.004073</v>
      </c>
      <c r="BR142" s="246">
        <f t="shared" si="146"/>
        <v>9881.004073</v>
      </c>
      <c r="BS142" s="246">
        <f t="shared" si="146"/>
        <v>9881.004073</v>
      </c>
      <c r="BT142" s="246">
        <f t="shared" si="146"/>
        <v>10164.24424</v>
      </c>
      <c r="BU142" s="246">
        <f t="shared" si="146"/>
        <v>10164.24424</v>
      </c>
      <c r="BV142" s="246">
        <f t="shared" si="146"/>
        <v>10164.24424</v>
      </c>
      <c r="BW142" s="246">
        <f t="shared" si="146"/>
        <v>10164.24424</v>
      </c>
      <c r="BX142" s="246">
        <f t="shared" si="146"/>
        <v>10458.81401</v>
      </c>
      <c r="BY142" s="246">
        <f t="shared" si="146"/>
        <v>10458.81401</v>
      </c>
      <c r="BZ142" s="246">
        <f t="shared" si="146"/>
        <v>10458.81401</v>
      </c>
      <c r="CA142" s="246">
        <f t="shared" si="146"/>
        <v>10458.81401</v>
      </c>
      <c r="CB142" s="246">
        <f t="shared" si="146"/>
        <v>10765.16657</v>
      </c>
      <c r="CC142" s="246">
        <f t="shared" si="146"/>
        <v>10765.16657</v>
      </c>
      <c r="CD142" s="246">
        <f t="shared" si="146"/>
        <v>10765.16657</v>
      </c>
      <c r="CE142" s="246">
        <f t="shared" si="146"/>
        <v>10765.16657</v>
      </c>
      <c r="CF142" s="246">
        <f t="shared" si="146"/>
        <v>11083.77323</v>
      </c>
      <c r="CG142" s="246">
        <f t="shared" si="146"/>
        <v>11083.77323</v>
      </c>
      <c r="CH142" s="246">
        <f t="shared" si="146"/>
        <v>11083.77323</v>
      </c>
      <c r="CI142" s="246">
        <f t="shared" si="146"/>
        <v>11083.77323</v>
      </c>
      <c r="CJ142" s="246"/>
      <c r="CK142" s="246"/>
      <c r="CL142" s="246">
        <f t="shared" ref="CL142:CQ142" si="147">CL79+CL111</f>
        <v>16090</v>
      </c>
      <c r="CM142" s="246">
        <f t="shared" si="147"/>
        <v>17917</v>
      </c>
      <c r="CN142" s="246">
        <f t="shared" si="147"/>
        <v>21093</v>
      </c>
      <c r="CO142" s="246">
        <f t="shared" si="147"/>
        <v>25476</v>
      </c>
      <c r="CP142" s="246">
        <f t="shared" si="147"/>
        <v>27754</v>
      </c>
      <c r="CQ142" s="246">
        <f t="shared" si="147"/>
        <v>25495.7</v>
      </c>
    </row>
    <row r="143" ht="15.75" customHeight="1">
      <c r="C143" s="132" t="s">
        <v>211</v>
      </c>
      <c r="D143" s="247">
        <f t="shared" ref="D143:CI143" si="148">D80+D112</f>
        <v>6035</v>
      </c>
      <c r="E143" s="247">
        <f t="shared" si="148"/>
        <v>7446</v>
      </c>
      <c r="F143" s="247">
        <f t="shared" si="148"/>
        <v>4663</v>
      </c>
      <c r="G143" s="247">
        <f t="shared" si="148"/>
        <v>3171</v>
      </c>
      <c r="H143" s="247">
        <f t="shared" si="148"/>
        <v>7566</v>
      </c>
      <c r="I143" s="247">
        <f t="shared" si="148"/>
        <v>6046</v>
      </c>
      <c r="J143" s="247">
        <f t="shared" si="148"/>
        <v>3441</v>
      </c>
      <c r="K143" s="247">
        <f t="shared" si="148"/>
        <v>2957</v>
      </c>
      <c r="L143" s="247">
        <f t="shared" si="148"/>
        <v>4355</v>
      </c>
      <c r="M143" s="247">
        <f t="shared" si="148"/>
        <v>8743</v>
      </c>
      <c r="N143" s="247">
        <f t="shared" si="148"/>
        <v>2684</v>
      </c>
      <c r="O143" s="247">
        <f t="shared" si="148"/>
        <v>6828</v>
      </c>
      <c r="P143" s="247">
        <f t="shared" si="148"/>
        <v>6718</v>
      </c>
      <c r="Q143" s="247">
        <f t="shared" si="148"/>
        <v>6027</v>
      </c>
      <c r="R143" s="247">
        <f t="shared" si="148"/>
        <v>4876</v>
      </c>
      <c r="S143" s="247">
        <f t="shared" si="148"/>
        <v>8447</v>
      </c>
      <c r="T143" s="247">
        <f t="shared" si="148"/>
        <v>8578</v>
      </c>
      <c r="U143" s="247">
        <f t="shared" si="148"/>
        <v>3542</v>
      </c>
      <c r="V143" s="247">
        <f t="shared" si="148"/>
        <v>3717</v>
      </c>
      <c r="W143" s="247">
        <f t="shared" si="148"/>
        <v>3297</v>
      </c>
      <c r="X143" s="247">
        <f t="shared" si="148"/>
        <v>5803</v>
      </c>
      <c r="Y143" s="247">
        <f t="shared" si="148"/>
        <v>8537</v>
      </c>
      <c r="Z143" s="247">
        <f t="shared" si="148"/>
        <v>3703</v>
      </c>
      <c r="AA143" s="246">
        <f t="shared" si="148"/>
        <v>409.96</v>
      </c>
      <c r="AB143" s="246">
        <f t="shared" si="148"/>
        <v>622.9082</v>
      </c>
      <c r="AC143" s="246">
        <f t="shared" si="148"/>
        <v>622.9082</v>
      </c>
      <c r="AD143" s="246">
        <f t="shared" si="148"/>
        <v>622.9082</v>
      </c>
      <c r="AE143" s="246">
        <f t="shared" si="148"/>
        <v>622.9082</v>
      </c>
      <c r="AF143" s="246">
        <f t="shared" si="148"/>
        <v>637.439069</v>
      </c>
      <c r="AG143" s="246">
        <f t="shared" si="148"/>
        <v>637.439069</v>
      </c>
      <c r="AH143" s="246">
        <f t="shared" si="148"/>
        <v>841.439069</v>
      </c>
      <c r="AI143" s="246">
        <f t="shared" si="148"/>
        <v>945.439069</v>
      </c>
      <c r="AJ143" s="246">
        <f t="shared" si="148"/>
        <v>1073.983827</v>
      </c>
      <c r="AK143" s="246">
        <f t="shared" si="148"/>
        <v>1177.983827</v>
      </c>
      <c r="AL143" s="246">
        <f t="shared" si="148"/>
        <v>1281.983827</v>
      </c>
      <c r="AM143" s="246">
        <f t="shared" si="148"/>
        <v>1385.983827</v>
      </c>
      <c r="AN143" s="246">
        <f t="shared" si="148"/>
        <v>1625.42318</v>
      </c>
      <c r="AO143" s="246">
        <f t="shared" si="148"/>
        <v>1625.42318</v>
      </c>
      <c r="AP143" s="246">
        <f t="shared" si="148"/>
        <v>1625.42318</v>
      </c>
      <c r="AQ143" s="246">
        <f t="shared" si="148"/>
        <v>1625.42318</v>
      </c>
      <c r="AR143" s="246">
        <f t="shared" si="148"/>
        <v>1666.440107</v>
      </c>
      <c r="AS143" s="246">
        <f t="shared" si="148"/>
        <v>1774.600107</v>
      </c>
      <c r="AT143" s="246">
        <f t="shared" si="148"/>
        <v>1974.600107</v>
      </c>
      <c r="AU143" s="246">
        <f t="shared" si="148"/>
        <v>1974.600107</v>
      </c>
      <c r="AV143" s="246">
        <f t="shared" si="148"/>
        <v>2021.584112</v>
      </c>
      <c r="AW143" s="246">
        <f t="shared" si="148"/>
        <v>2021.584112</v>
      </c>
      <c r="AX143" s="246">
        <f t="shared" si="148"/>
        <v>2021.584112</v>
      </c>
      <c r="AY143" s="246">
        <f t="shared" si="148"/>
        <v>2021.584112</v>
      </c>
      <c r="AZ143" s="246">
        <f t="shared" si="148"/>
        <v>2187.433332</v>
      </c>
      <c r="BA143" s="246">
        <f t="shared" si="148"/>
        <v>2187.433332</v>
      </c>
      <c r="BB143" s="246">
        <f t="shared" si="148"/>
        <v>2187.433332</v>
      </c>
      <c r="BC143" s="246">
        <f t="shared" si="148"/>
        <v>2187.433332</v>
      </c>
      <c r="BD143" s="246">
        <f t="shared" si="148"/>
        <v>2242.930665</v>
      </c>
      <c r="BE143" s="246">
        <f t="shared" si="148"/>
        <v>2242.930665</v>
      </c>
      <c r="BF143" s="246">
        <f t="shared" si="148"/>
        <v>2242.930665</v>
      </c>
      <c r="BG143" s="246">
        <f t="shared" si="148"/>
        <v>2364.595956</v>
      </c>
      <c r="BH143" s="246">
        <f t="shared" si="148"/>
        <v>2427.179794</v>
      </c>
      <c r="BI143" s="246">
        <f t="shared" si="148"/>
        <v>2427.179794</v>
      </c>
      <c r="BJ143" s="246">
        <f t="shared" si="148"/>
        <v>2427.179794</v>
      </c>
      <c r="BK143" s="246">
        <f t="shared" si="148"/>
        <v>2548.845084</v>
      </c>
      <c r="BL143" s="246">
        <f t="shared" si="148"/>
        <v>2745.330789</v>
      </c>
      <c r="BM143" s="246">
        <f t="shared" si="148"/>
        <v>2745.330789</v>
      </c>
      <c r="BN143" s="246">
        <f t="shared" si="148"/>
        <v>2745.330789</v>
      </c>
      <c r="BO143" s="246">
        <f t="shared" si="148"/>
        <v>2745.330789</v>
      </c>
      <c r="BP143" s="246">
        <f t="shared" si="148"/>
        <v>2823.144021</v>
      </c>
      <c r="BQ143" s="246">
        <f t="shared" si="148"/>
        <v>2823.144021</v>
      </c>
      <c r="BR143" s="246">
        <f t="shared" si="148"/>
        <v>2823.144021</v>
      </c>
      <c r="BS143" s="246">
        <f t="shared" si="148"/>
        <v>2823.144021</v>
      </c>
      <c r="BT143" s="246">
        <f t="shared" si="148"/>
        <v>2904.069782</v>
      </c>
      <c r="BU143" s="246">
        <f t="shared" si="148"/>
        <v>2904.069782</v>
      </c>
      <c r="BV143" s="246">
        <f t="shared" si="148"/>
        <v>2904.069782</v>
      </c>
      <c r="BW143" s="246">
        <f t="shared" si="148"/>
        <v>2904.069782</v>
      </c>
      <c r="BX143" s="246">
        <f t="shared" si="148"/>
        <v>2988.232573</v>
      </c>
      <c r="BY143" s="246">
        <f t="shared" si="148"/>
        <v>2988.232573</v>
      </c>
      <c r="BZ143" s="246">
        <f t="shared" si="148"/>
        <v>2988.232573</v>
      </c>
      <c r="CA143" s="246">
        <f t="shared" si="148"/>
        <v>2988.232573</v>
      </c>
      <c r="CB143" s="246">
        <f t="shared" si="148"/>
        <v>3075.761876</v>
      </c>
      <c r="CC143" s="246">
        <f t="shared" si="148"/>
        <v>3075.761876</v>
      </c>
      <c r="CD143" s="246">
        <f t="shared" si="148"/>
        <v>3075.761876</v>
      </c>
      <c r="CE143" s="246">
        <f t="shared" si="148"/>
        <v>3075.761876</v>
      </c>
      <c r="CF143" s="246">
        <f t="shared" si="148"/>
        <v>3166.792351</v>
      </c>
      <c r="CG143" s="246">
        <f t="shared" si="148"/>
        <v>3166.792351</v>
      </c>
      <c r="CH143" s="246">
        <f t="shared" si="148"/>
        <v>3166.792351</v>
      </c>
      <c r="CI143" s="246">
        <f t="shared" si="148"/>
        <v>3166.792351</v>
      </c>
      <c r="CJ143" s="246"/>
      <c r="CK143" s="246"/>
      <c r="CL143" s="246">
        <f t="shared" ref="CL143:CQ143" si="149">CL80+CL112</f>
        <v>21315</v>
      </c>
      <c r="CM143" s="246">
        <f t="shared" si="149"/>
        <v>20010</v>
      </c>
      <c r="CN143" s="246">
        <f t="shared" si="149"/>
        <v>22610</v>
      </c>
      <c r="CO143" s="246">
        <f t="shared" si="149"/>
        <v>26068</v>
      </c>
      <c r="CP143" s="246">
        <f t="shared" si="149"/>
        <v>19134</v>
      </c>
      <c r="CQ143" s="246">
        <f t="shared" si="149"/>
        <v>18452.96</v>
      </c>
    </row>
    <row r="144" ht="15.75" customHeight="1">
      <c r="C144" s="132" t="s">
        <v>212</v>
      </c>
      <c r="D144" s="247">
        <f t="shared" ref="D144:CI144" si="150">D81+D113</f>
        <v>4659</v>
      </c>
      <c r="E144" s="247">
        <f t="shared" si="150"/>
        <v>2811</v>
      </c>
      <c r="F144" s="247">
        <f t="shared" si="150"/>
        <v>4756</v>
      </c>
      <c r="G144" s="247">
        <f t="shared" si="150"/>
        <v>5109</v>
      </c>
      <c r="H144" s="247">
        <f t="shared" si="150"/>
        <v>4942</v>
      </c>
      <c r="I144" s="247">
        <f t="shared" si="150"/>
        <v>6678</v>
      </c>
      <c r="J144" s="247">
        <f t="shared" si="150"/>
        <v>5294</v>
      </c>
      <c r="K144" s="247">
        <f t="shared" si="150"/>
        <v>6347</v>
      </c>
      <c r="L144" s="247">
        <f t="shared" si="150"/>
        <v>3827</v>
      </c>
      <c r="M144" s="247">
        <f t="shared" si="150"/>
        <v>3344</v>
      </c>
      <c r="N144" s="247">
        <f t="shared" si="150"/>
        <v>3654</v>
      </c>
      <c r="O144" s="247">
        <f t="shared" si="150"/>
        <v>2046</v>
      </c>
      <c r="P144" s="247">
        <f t="shared" si="150"/>
        <v>1580</v>
      </c>
      <c r="Q144" s="247">
        <f t="shared" si="150"/>
        <v>5689</v>
      </c>
      <c r="R144" s="247">
        <f t="shared" si="150"/>
        <v>8161</v>
      </c>
      <c r="S144" s="247">
        <f t="shared" si="150"/>
        <v>9002</v>
      </c>
      <c r="T144" s="247">
        <f t="shared" si="150"/>
        <v>9186</v>
      </c>
      <c r="U144" s="247">
        <f t="shared" si="150"/>
        <v>4803</v>
      </c>
      <c r="V144" s="247">
        <f t="shared" si="150"/>
        <v>3619</v>
      </c>
      <c r="W144" s="247">
        <f t="shared" si="150"/>
        <v>4540</v>
      </c>
      <c r="X144" s="247">
        <f t="shared" si="150"/>
        <v>2994</v>
      </c>
      <c r="Y144" s="247">
        <f t="shared" si="150"/>
        <v>2762</v>
      </c>
      <c r="Z144" s="247">
        <f t="shared" si="150"/>
        <v>2225</v>
      </c>
      <c r="AA144" s="246">
        <f t="shared" si="150"/>
        <v>1317.961821</v>
      </c>
      <c r="AB144" s="246">
        <f t="shared" si="150"/>
        <v>1446.317091</v>
      </c>
      <c r="AC144" s="246">
        <f t="shared" si="150"/>
        <v>1507.555684</v>
      </c>
      <c r="AD144" s="246">
        <f t="shared" si="150"/>
        <v>1629.746204</v>
      </c>
      <c r="AE144" s="246">
        <f t="shared" si="150"/>
        <v>1745.332877</v>
      </c>
      <c r="AF144" s="246">
        <f t="shared" si="150"/>
        <v>1881.64286</v>
      </c>
      <c r="AG144" s="246">
        <f t="shared" si="150"/>
        <v>1987.369017</v>
      </c>
      <c r="AH144" s="246">
        <f t="shared" si="150"/>
        <v>2082.512939</v>
      </c>
      <c r="AI144" s="246">
        <f t="shared" si="150"/>
        <v>2186.145805</v>
      </c>
      <c r="AJ144" s="246">
        <f t="shared" si="150"/>
        <v>2282.126035</v>
      </c>
      <c r="AK144" s="246">
        <f t="shared" si="150"/>
        <v>2443.289903</v>
      </c>
      <c r="AL144" s="246">
        <f t="shared" si="150"/>
        <v>2569.869823</v>
      </c>
      <c r="AM144" s="246">
        <f t="shared" si="150"/>
        <v>2690.295451</v>
      </c>
      <c r="AN144" s="246">
        <f t="shared" si="150"/>
        <v>2800.407975</v>
      </c>
      <c r="AO144" s="246">
        <f t="shared" si="150"/>
        <v>2857.579148</v>
      </c>
      <c r="AP144" s="246">
        <f t="shared" si="150"/>
        <v>2901.953262</v>
      </c>
      <c r="AQ144" s="246">
        <f t="shared" si="150"/>
        <v>2952.025225</v>
      </c>
      <c r="AR144" s="246">
        <f t="shared" si="150"/>
        <v>3005.619521</v>
      </c>
      <c r="AS144" s="246">
        <f t="shared" si="150"/>
        <v>3061.869706</v>
      </c>
      <c r="AT144" s="246">
        <f t="shared" si="150"/>
        <v>3119.436535</v>
      </c>
      <c r="AU144" s="246">
        <f t="shared" si="150"/>
        <v>3177.872596</v>
      </c>
      <c r="AV144" s="246">
        <f t="shared" si="150"/>
        <v>3237.085679</v>
      </c>
      <c r="AW144" s="246">
        <f t="shared" si="150"/>
        <v>3297.025496</v>
      </c>
      <c r="AX144" s="246">
        <f t="shared" si="150"/>
        <v>3357.670571</v>
      </c>
      <c r="AY144" s="246">
        <f t="shared" si="150"/>
        <v>3419.019647</v>
      </c>
      <c r="AZ144" s="246">
        <f t="shared" si="150"/>
        <v>3497.924388</v>
      </c>
      <c r="BA144" s="246">
        <f t="shared" si="150"/>
        <v>3567.520834</v>
      </c>
      <c r="BB144" s="246">
        <f t="shared" si="150"/>
        <v>3636.396458</v>
      </c>
      <c r="BC144" s="246">
        <f t="shared" si="150"/>
        <v>3701.415543</v>
      </c>
      <c r="BD144" s="246">
        <f t="shared" si="150"/>
        <v>3763.381211</v>
      </c>
      <c r="BE144" s="246">
        <f t="shared" si="150"/>
        <v>3822.844549</v>
      </c>
      <c r="BF144" s="246">
        <f t="shared" si="150"/>
        <v>3880.207395</v>
      </c>
      <c r="BG144" s="246">
        <f t="shared" si="150"/>
        <v>3935.773801</v>
      </c>
      <c r="BH144" s="246">
        <f t="shared" si="150"/>
        <v>3989.779532</v>
      </c>
      <c r="BI144" s="246">
        <f t="shared" si="150"/>
        <v>4042.410899</v>
      </c>
      <c r="BJ144" s="246">
        <f t="shared" si="150"/>
        <v>4093.817665</v>
      </c>
      <c r="BK144" s="246">
        <f t="shared" si="150"/>
        <v>4144.122255</v>
      </c>
      <c r="BL144" s="246">
        <f t="shared" si="150"/>
        <v>4198.898309</v>
      </c>
      <c r="BM144" s="246">
        <f t="shared" si="150"/>
        <v>4260.339993</v>
      </c>
      <c r="BN144" s="246">
        <f t="shared" si="150"/>
        <v>4310.3979</v>
      </c>
      <c r="BO144" s="246">
        <f t="shared" si="150"/>
        <v>4358.616548</v>
      </c>
      <c r="BP144" s="246">
        <f t="shared" si="150"/>
        <v>4408.428305</v>
      </c>
      <c r="BQ144" s="246">
        <f t="shared" si="150"/>
        <v>4459.352936</v>
      </c>
      <c r="BR144" s="246">
        <f t="shared" si="150"/>
        <v>4511.038901</v>
      </c>
      <c r="BS144" s="246">
        <f t="shared" si="150"/>
        <v>4563.234153</v>
      </c>
      <c r="BT144" s="246">
        <f t="shared" si="150"/>
        <v>4615.761577</v>
      </c>
      <c r="BU144" s="246">
        <f t="shared" si="150"/>
        <v>4668.499803</v>
      </c>
      <c r="BV144" s="246">
        <f t="shared" si="150"/>
        <v>4721.368671</v>
      </c>
      <c r="BW144" s="246">
        <f t="shared" si="150"/>
        <v>4774.318358</v>
      </c>
      <c r="BX144" s="246">
        <f t="shared" si="150"/>
        <v>4830.303987</v>
      </c>
      <c r="BY144" s="246">
        <f t="shared" si="150"/>
        <v>4873.302527</v>
      </c>
      <c r="BZ144" s="246">
        <f t="shared" si="150"/>
        <v>4907.269747</v>
      </c>
      <c r="CA144" s="246">
        <f t="shared" si="150"/>
        <v>4939.046361</v>
      </c>
      <c r="CB144" s="246">
        <f t="shared" si="150"/>
        <v>4971.831785</v>
      </c>
      <c r="CC144" s="246">
        <f t="shared" si="150"/>
        <v>5005.126091</v>
      </c>
      <c r="CD144" s="246">
        <f t="shared" si="150"/>
        <v>5038.6532</v>
      </c>
      <c r="CE144" s="246">
        <f t="shared" si="150"/>
        <v>5072.24739</v>
      </c>
      <c r="CF144" s="246">
        <f t="shared" si="150"/>
        <v>5105.804984</v>
      </c>
      <c r="CG144" s="246">
        <f t="shared" si="150"/>
        <v>5139.261101</v>
      </c>
      <c r="CH144" s="246">
        <f t="shared" si="150"/>
        <v>5172.576835</v>
      </c>
      <c r="CI144" s="246">
        <f t="shared" si="150"/>
        <v>5205.731316</v>
      </c>
      <c r="CJ144" s="246"/>
      <c r="CK144" s="246"/>
      <c r="CL144" s="246">
        <f t="shared" ref="CL144:CQ144" si="151">CL81+CL113</f>
        <v>17335</v>
      </c>
      <c r="CM144" s="246">
        <f t="shared" si="151"/>
        <v>23261</v>
      </c>
      <c r="CN144" s="246">
        <f t="shared" si="151"/>
        <v>12871</v>
      </c>
      <c r="CO144" s="246">
        <f t="shared" si="151"/>
        <v>24432</v>
      </c>
      <c r="CP144" s="246">
        <f t="shared" si="151"/>
        <v>22148</v>
      </c>
      <c r="CQ144" s="246">
        <f t="shared" si="151"/>
        <v>9298.961821</v>
      </c>
    </row>
    <row r="145" ht="15.75" customHeight="1">
      <c r="C145" s="132" t="s">
        <v>213</v>
      </c>
      <c r="D145" s="247">
        <f t="shared" ref="D145:CI145" si="152">D82+D114</f>
        <v>4827</v>
      </c>
      <c r="E145" s="247">
        <f t="shared" si="152"/>
        <v>8520</v>
      </c>
      <c r="F145" s="247">
        <f t="shared" si="152"/>
        <v>1603</v>
      </c>
      <c r="G145" s="247">
        <f t="shared" si="152"/>
        <v>8065</v>
      </c>
      <c r="H145" s="247">
        <f t="shared" si="152"/>
        <v>6578</v>
      </c>
      <c r="I145" s="247">
        <f t="shared" si="152"/>
        <v>2405</v>
      </c>
      <c r="J145" s="247">
        <f t="shared" si="152"/>
        <v>4833</v>
      </c>
      <c r="K145" s="247">
        <f t="shared" si="152"/>
        <v>8451</v>
      </c>
      <c r="L145" s="247">
        <f t="shared" si="152"/>
        <v>4125</v>
      </c>
      <c r="M145" s="247">
        <f t="shared" si="152"/>
        <v>2957</v>
      </c>
      <c r="N145" s="247">
        <f t="shared" si="152"/>
        <v>4060</v>
      </c>
      <c r="O145" s="247">
        <f t="shared" si="152"/>
        <v>4471</v>
      </c>
      <c r="P145" s="247">
        <f t="shared" si="152"/>
        <v>2022</v>
      </c>
      <c r="Q145" s="247">
        <f t="shared" si="152"/>
        <v>4494</v>
      </c>
      <c r="R145" s="247">
        <f t="shared" si="152"/>
        <v>857</v>
      </c>
      <c r="S145" s="247">
        <f t="shared" si="152"/>
        <v>7938</v>
      </c>
      <c r="T145" s="247">
        <f t="shared" si="152"/>
        <v>8321</v>
      </c>
      <c r="U145" s="247">
        <f t="shared" si="152"/>
        <v>2812</v>
      </c>
      <c r="V145" s="247">
        <f t="shared" si="152"/>
        <v>3279</v>
      </c>
      <c r="W145" s="247">
        <f t="shared" si="152"/>
        <v>4190</v>
      </c>
      <c r="X145" s="247">
        <f t="shared" si="152"/>
        <v>3673</v>
      </c>
      <c r="Y145" s="247">
        <f t="shared" si="152"/>
        <v>2417</v>
      </c>
      <c r="Z145" s="247">
        <f t="shared" si="152"/>
        <v>6234</v>
      </c>
      <c r="AA145" s="246">
        <f t="shared" si="152"/>
        <v>2148.533527</v>
      </c>
      <c r="AB145" s="246">
        <f t="shared" si="152"/>
        <v>2357.777525</v>
      </c>
      <c r="AC145" s="246">
        <f t="shared" si="152"/>
        <v>2457.608316</v>
      </c>
      <c r="AD145" s="246">
        <f t="shared" si="152"/>
        <v>2656.802575</v>
      </c>
      <c r="AE145" s="246">
        <f t="shared" si="152"/>
        <v>2845.231282</v>
      </c>
      <c r="AF145" s="246">
        <f t="shared" si="152"/>
        <v>3067.443008</v>
      </c>
      <c r="AG145" s="246">
        <f t="shared" si="152"/>
        <v>3239.79716</v>
      </c>
      <c r="AH145" s="246">
        <f t="shared" si="152"/>
        <v>3394.900217</v>
      </c>
      <c r="AI145" s="246">
        <f t="shared" si="152"/>
        <v>3563.841898</v>
      </c>
      <c r="AJ145" s="246">
        <f t="shared" si="152"/>
        <v>3720.308299</v>
      </c>
      <c r="AK145" s="246">
        <f t="shared" si="152"/>
        <v>3983.036678</v>
      </c>
      <c r="AL145" s="246">
        <f t="shared" si="152"/>
        <v>4189.386512</v>
      </c>
      <c r="AM145" s="246">
        <f t="shared" si="152"/>
        <v>4385.703654</v>
      </c>
      <c r="AN145" s="246">
        <f t="shared" si="152"/>
        <v>6322.318411</v>
      </c>
      <c r="AO145" s="246">
        <f t="shared" si="152"/>
        <v>6451.390448</v>
      </c>
      <c r="AP145" s="246">
        <f t="shared" si="152"/>
        <v>6551.571308</v>
      </c>
      <c r="AQ145" s="246">
        <f t="shared" si="152"/>
        <v>6664.615871</v>
      </c>
      <c r="AR145" s="246">
        <f t="shared" si="152"/>
        <v>6785.6126</v>
      </c>
      <c r="AS145" s="246">
        <f t="shared" si="152"/>
        <v>6912.605375</v>
      </c>
      <c r="AT145" s="246">
        <f t="shared" si="152"/>
        <v>7042.570661</v>
      </c>
      <c r="AU145" s="246">
        <f t="shared" si="152"/>
        <v>7174.498363</v>
      </c>
      <c r="AV145" s="246">
        <f t="shared" si="152"/>
        <v>7308.1803</v>
      </c>
      <c r="AW145" s="246">
        <f t="shared" si="152"/>
        <v>7443.502942</v>
      </c>
      <c r="AX145" s="246">
        <f t="shared" si="152"/>
        <v>7580.417804</v>
      </c>
      <c r="AY145" s="246">
        <f t="shared" si="152"/>
        <v>7718.922052</v>
      </c>
      <c r="AZ145" s="246">
        <f t="shared" si="152"/>
        <v>8973.932614</v>
      </c>
      <c r="BA145" s="246">
        <f t="shared" si="152"/>
        <v>9152.482448</v>
      </c>
      <c r="BB145" s="246">
        <f t="shared" si="152"/>
        <v>9329.18301</v>
      </c>
      <c r="BC145" s="246">
        <f t="shared" si="152"/>
        <v>9495.989615</v>
      </c>
      <c r="BD145" s="246">
        <f t="shared" si="152"/>
        <v>9654.96267</v>
      </c>
      <c r="BE145" s="246">
        <f t="shared" si="152"/>
        <v>9807.515994</v>
      </c>
      <c r="BF145" s="246">
        <f t="shared" si="152"/>
        <v>9954.680499</v>
      </c>
      <c r="BG145" s="246">
        <f t="shared" si="152"/>
        <v>10097.23624</v>
      </c>
      <c r="BH145" s="246">
        <f t="shared" si="152"/>
        <v>10235.78805</v>
      </c>
      <c r="BI145" s="246">
        <f t="shared" si="152"/>
        <v>10370.81394</v>
      </c>
      <c r="BJ145" s="246">
        <f t="shared" si="152"/>
        <v>10502.69811</v>
      </c>
      <c r="BK145" s="246">
        <f t="shared" si="152"/>
        <v>10631.75465</v>
      </c>
      <c r="BL145" s="246">
        <f t="shared" si="152"/>
        <v>12064.95666</v>
      </c>
      <c r="BM145" s="246">
        <f t="shared" si="152"/>
        <v>12241.50089</v>
      </c>
      <c r="BN145" s="246">
        <f t="shared" si="152"/>
        <v>12385.33539</v>
      </c>
      <c r="BO145" s="246">
        <f t="shared" si="152"/>
        <v>12523.88505</v>
      </c>
      <c r="BP145" s="246">
        <f t="shared" si="152"/>
        <v>12667.01228</v>
      </c>
      <c r="BQ145" s="246">
        <f t="shared" si="152"/>
        <v>12813.3372</v>
      </c>
      <c r="BR145" s="246">
        <f t="shared" si="152"/>
        <v>12961.84971</v>
      </c>
      <c r="BS145" s="246">
        <f t="shared" si="152"/>
        <v>13111.82559</v>
      </c>
      <c r="BT145" s="246">
        <f t="shared" si="152"/>
        <v>13262.75591</v>
      </c>
      <c r="BU145" s="246">
        <f t="shared" si="152"/>
        <v>13414.29195</v>
      </c>
      <c r="BV145" s="246">
        <f t="shared" si="152"/>
        <v>13566.20337</v>
      </c>
      <c r="BW145" s="246">
        <f t="shared" si="152"/>
        <v>13718.34701</v>
      </c>
      <c r="BX145" s="246">
        <f t="shared" si="152"/>
        <v>13879.21401</v>
      </c>
      <c r="BY145" s="246">
        <f t="shared" si="152"/>
        <v>15002.96186</v>
      </c>
      <c r="BZ145" s="246">
        <f t="shared" si="152"/>
        <v>15107.53343</v>
      </c>
      <c r="CA145" s="246">
        <f t="shared" si="152"/>
        <v>15205.361</v>
      </c>
      <c r="CB145" s="246">
        <f t="shared" si="152"/>
        <v>15306.2943</v>
      </c>
      <c r="CC145" s="246">
        <f t="shared" si="152"/>
        <v>15408.79423</v>
      </c>
      <c r="CD145" s="246">
        <f t="shared" si="152"/>
        <v>15512.01087</v>
      </c>
      <c r="CE145" s="246">
        <f t="shared" si="152"/>
        <v>15615.43404</v>
      </c>
      <c r="CF145" s="246">
        <f t="shared" si="152"/>
        <v>15718.74453</v>
      </c>
      <c r="CG145" s="246">
        <f t="shared" si="152"/>
        <v>15821.74262</v>
      </c>
      <c r="CH145" s="246">
        <f t="shared" si="152"/>
        <v>15924.30853</v>
      </c>
      <c r="CI145" s="246">
        <f t="shared" si="152"/>
        <v>16026.378</v>
      </c>
      <c r="CJ145" s="246"/>
      <c r="CK145" s="246"/>
      <c r="CL145" s="246">
        <f t="shared" ref="CL145:CQ145" si="153">CL82+CL114</f>
        <v>23015</v>
      </c>
      <c r="CM145" s="246">
        <f t="shared" si="153"/>
        <v>22267</v>
      </c>
      <c r="CN145" s="246">
        <f t="shared" si="153"/>
        <v>15613</v>
      </c>
      <c r="CO145" s="246">
        <f t="shared" si="153"/>
        <v>15311</v>
      </c>
      <c r="CP145" s="246">
        <f t="shared" si="153"/>
        <v>18602</v>
      </c>
      <c r="CQ145" s="246">
        <f t="shared" si="153"/>
        <v>14472.53353</v>
      </c>
    </row>
    <row r="146" ht="15.75" customHeight="1">
      <c r="C146" s="132" t="s">
        <v>214</v>
      </c>
      <c r="D146" s="247">
        <f t="shared" ref="D146:CI146" si="154">D83+D115</f>
        <v>6209</v>
      </c>
      <c r="E146" s="247">
        <f t="shared" si="154"/>
        <v>5095</v>
      </c>
      <c r="F146" s="247">
        <f t="shared" si="154"/>
        <v>1790</v>
      </c>
      <c r="G146" s="247">
        <f t="shared" si="154"/>
        <v>1057</v>
      </c>
      <c r="H146" s="247">
        <f t="shared" si="154"/>
        <v>4185</v>
      </c>
      <c r="I146" s="247">
        <f t="shared" si="154"/>
        <v>6176</v>
      </c>
      <c r="J146" s="247">
        <f t="shared" si="154"/>
        <v>4449</v>
      </c>
      <c r="K146" s="247">
        <f t="shared" si="154"/>
        <v>7696</v>
      </c>
      <c r="L146" s="247">
        <f t="shared" si="154"/>
        <v>6004</v>
      </c>
      <c r="M146" s="247">
        <f t="shared" si="154"/>
        <v>5920</v>
      </c>
      <c r="N146" s="247">
        <f t="shared" si="154"/>
        <v>6539</v>
      </c>
      <c r="O146" s="247">
        <f t="shared" si="154"/>
        <v>5280</v>
      </c>
      <c r="P146" s="247">
        <f t="shared" si="154"/>
        <v>9489</v>
      </c>
      <c r="Q146" s="247">
        <f t="shared" si="154"/>
        <v>7465</v>
      </c>
      <c r="R146" s="247">
        <f t="shared" si="154"/>
        <v>5088</v>
      </c>
      <c r="S146" s="247">
        <f t="shared" si="154"/>
        <v>1641</v>
      </c>
      <c r="T146" s="247">
        <f t="shared" si="154"/>
        <v>5989</v>
      </c>
      <c r="U146" s="247">
        <f t="shared" si="154"/>
        <v>6727</v>
      </c>
      <c r="V146" s="247">
        <f t="shared" si="154"/>
        <v>2444</v>
      </c>
      <c r="W146" s="247">
        <f t="shared" si="154"/>
        <v>5738</v>
      </c>
      <c r="X146" s="247">
        <f t="shared" si="154"/>
        <v>2080</v>
      </c>
      <c r="Y146" s="247">
        <f t="shared" si="154"/>
        <v>7219</v>
      </c>
      <c r="Z146" s="247">
        <f t="shared" si="154"/>
        <v>4210</v>
      </c>
      <c r="AA146" s="246">
        <f t="shared" si="154"/>
        <v>0</v>
      </c>
      <c r="AB146" s="246">
        <f t="shared" si="154"/>
        <v>0</v>
      </c>
      <c r="AC146" s="246">
        <f t="shared" si="154"/>
        <v>0</v>
      </c>
      <c r="AD146" s="246">
        <f t="shared" si="154"/>
        <v>0</v>
      </c>
      <c r="AE146" s="246">
        <f t="shared" si="154"/>
        <v>0</v>
      </c>
      <c r="AF146" s="246">
        <f t="shared" si="154"/>
        <v>0</v>
      </c>
      <c r="AG146" s="246">
        <f t="shared" si="154"/>
        <v>0</v>
      </c>
      <c r="AH146" s="246">
        <f t="shared" si="154"/>
        <v>0</v>
      </c>
      <c r="AI146" s="246">
        <f t="shared" si="154"/>
        <v>0</v>
      </c>
      <c r="AJ146" s="246">
        <f t="shared" si="154"/>
        <v>0</v>
      </c>
      <c r="AK146" s="246">
        <f t="shared" si="154"/>
        <v>0</v>
      </c>
      <c r="AL146" s="246">
        <f t="shared" si="154"/>
        <v>0</v>
      </c>
      <c r="AM146" s="246">
        <f t="shared" si="154"/>
        <v>0</v>
      </c>
      <c r="AN146" s="246">
        <f t="shared" si="154"/>
        <v>0</v>
      </c>
      <c r="AO146" s="246">
        <f t="shared" si="154"/>
        <v>0</v>
      </c>
      <c r="AP146" s="246">
        <f t="shared" si="154"/>
        <v>0</v>
      </c>
      <c r="AQ146" s="246">
        <f t="shared" si="154"/>
        <v>0</v>
      </c>
      <c r="AR146" s="246">
        <f t="shared" si="154"/>
        <v>0</v>
      </c>
      <c r="AS146" s="246">
        <f t="shared" si="154"/>
        <v>0</v>
      </c>
      <c r="AT146" s="246">
        <f t="shared" si="154"/>
        <v>0</v>
      </c>
      <c r="AU146" s="246">
        <f t="shared" si="154"/>
        <v>0</v>
      </c>
      <c r="AV146" s="246">
        <f t="shared" si="154"/>
        <v>0</v>
      </c>
      <c r="AW146" s="246">
        <f t="shared" si="154"/>
        <v>0</v>
      </c>
      <c r="AX146" s="246">
        <f t="shared" si="154"/>
        <v>0</v>
      </c>
      <c r="AY146" s="246">
        <f t="shared" si="154"/>
        <v>0</v>
      </c>
      <c r="AZ146" s="246">
        <f t="shared" si="154"/>
        <v>0</v>
      </c>
      <c r="BA146" s="246">
        <f t="shared" si="154"/>
        <v>0</v>
      </c>
      <c r="BB146" s="246">
        <f t="shared" si="154"/>
        <v>0</v>
      </c>
      <c r="BC146" s="246">
        <f t="shared" si="154"/>
        <v>0</v>
      </c>
      <c r="BD146" s="246">
        <f t="shared" si="154"/>
        <v>0</v>
      </c>
      <c r="BE146" s="246">
        <f t="shared" si="154"/>
        <v>0</v>
      </c>
      <c r="BF146" s="246">
        <f t="shared" si="154"/>
        <v>0</v>
      </c>
      <c r="BG146" s="246">
        <f t="shared" si="154"/>
        <v>0</v>
      </c>
      <c r="BH146" s="246">
        <f t="shared" si="154"/>
        <v>0</v>
      </c>
      <c r="BI146" s="246">
        <f t="shared" si="154"/>
        <v>0</v>
      </c>
      <c r="BJ146" s="246">
        <f t="shared" si="154"/>
        <v>0</v>
      </c>
      <c r="BK146" s="246">
        <f t="shared" si="154"/>
        <v>0</v>
      </c>
      <c r="BL146" s="246">
        <f t="shared" si="154"/>
        <v>0</v>
      </c>
      <c r="BM146" s="246">
        <f t="shared" si="154"/>
        <v>0</v>
      </c>
      <c r="BN146" s="246">
        <f t="shared" si="154"/>
        <v>0</v>
      </c>
      <c r="BO146" s="246">
        <f t="shared" si="154"/>
        <v>0</v>
      </c>
      <c r="BP146" s="246">
        <f t="shared" si="154"/>
        <v>0</v>
      </c>
      <c r="BQ146" s="246">
        <f t="shared" si="154"/>
        <v>0</v>
      </c>
      <c r="BR146" s="246">
        <f t="shared" si="154"/>
        <v>0</v>
      </c>
      <c r="BS146" s="246">
        <f t="shared" si="154"/>
        <v>0</v>
      </c>
      <c r="BT146" s="246">
        <f t="shared" si="154"/>
        <v>0</v>
      </c>
      <c r="BU146" s="246">
        <f t="shared" si="154"/>
        <v>0</v>
      </c>
      <c r="BV146" s="246">
        <f t="shared" si="154"/>
        <v>0</v>
      </c>
      <c r="BW146" s="246">
        <f t="shared" si="154"/>
        <v>0</v>
      </c>
      <c r="BX146" s="246">
        <f t="shared" si="154"/>
        <v>0</v>
      </c>
      <c r="BY146" s="246">
        <f t="shared" si="154"/>
        <v>0</v>
      </c>
      <c r="BZ146" s="246">
        <f t="shared" si="154"/>
        <v>0</v>
      </c>
      <c r="CA146" s="246">
        <f t="shared" si="154"/>
        <v>0</v>
      </c>
      <c r="CB146" s="246">
        <f t="shared" si="154"/>
        <v>0</v>
      </c>
      <c r="CC146" s="246">
        <f t="shared" si="154"/>
        <v>0</v>
      </c>
      <c r="CD146" s="246">
        <f t="shared" si="154"/>
        <v>0</v>
      </c>
      <c r="CE146" s="246">
        <f t="shared" si="154"/>
        <v>0</v>
      </c>
      <c r="CF146" s="246">
        <f t="shared" si="154"/>
        <v>0</v>
      </c>
      <c r="CG146" s="246">
        <f t="shared" si="154"/>
        <v>0</v>
      </c>
      <c r="CH146" s="246">
        <f t="shared" si="154"/>
        <v>0</v>
      </c>
      <c r="CI146" s="246">
        <f t="shared" si="154"/>
        <v>0</v>
      </c>
      <c r="CJ146" s="246"/>
      <c r="CK146" s="246"/>
      <c r="CL146" s="246">
        <f t="shared" ref="CL146:CQ146" si="155">CL83+CL115</f>
        <v>14151</v>
      </c>
      <c r="CM146" s="246">
        <f t="shared" si="155"/>
        <v>22506</v>
      </c>
      <c r="CN146" s="246">
        <f t="shared" si="155"/>
        <v>23743</v>
      </c>
      <c r="CO146" s="246">
        <f t="shared" si="155"/>
        <v>23683</v>
      </c>
      <c r="CP146" s="246">
        <f t="shared" si="155"/>
        <v>20898</v>
      </c>
      <c r="CQ146" s="246">
        <f t="shared" si="155"/>
        <v>13509</v>
      </c>
    </row>
    <row r="147" ht="15.75" customHeight="1">
      <c r="C147" s="132" t="s">
        <v>215</v>
      </c>
      <c r="D147" s="247">
        <f t="shared" ref="D147:CI147" si="156">D84+D116</f>
        <v>3233</v>
      </c>
      <c r="E147" s="247">
        <f t="shared" si="156"/>
        <v>7991</v>
      </c>
      <c r="F147" s="247">
        <f t="shared" si="156"/>
        <v>2117</v>
      </c>
      <c r="G147" s="247">
        <f t="shared" si="156"/>
        <v>3423</v>
      </c>
      <c r="H147" s="247">
        <f t="shared" si="156"/>
        <v>7187</v>
      </c>
      <c r="I147" s="247">
        <f t="shared" si="156"/>
        <v>6298</v>
      </c>
      <c r="J147" s="247">
        <f t="shared" si="156"/>
        <v>3462</v>
      </c>
      <c r="K147" s="247">
        <f t="shared" si="156"/>
        <v>6929</v>
      </c>
      <c r="L147" s="247">
        <f t="shared" si="156"/>
        <v>3658</v>
      </c>
      <c r="M147" s="247">
        <f t="shared" si="156"/>
        <v>6414</v>
      </c>
      <c r="N147" s="247">
        <f t="shared" si="156"/>
        <v>3694</v>
      </c>
      <c r="O147" s="247">
        <f t="shared" si="156"/>
        <v>8962</v>
      </c>
      <c r="P147" s="247">
        <f t="shared" si="156"/>
        <v>3110</v>
      </c>
      <c r="Q147" s="247">
        <f t="shared" si="156"/>
        <v>6622</v>
      </c>
      <c r="R147" s="247">
        <f t="shared" si="156"/>
        <v>5351</v>
      </c>
      <c r="S147" s="247">
        <f t="shared" si="156"/>
        <v>1388</v>
      </c>
      <c r="T147" s="247">
        <f t="shared" si="156"/>
        <v>2944</v>
      </c>
      <c r="U147" s="247">
        <f t="shared" si="156"/>
        <v>4693</v>
      </c>
      <c r="V147" s="247">
        <f t="shared" si="156"/>
        <v>7548</v>
      </c>
      <c r="W147" s="247">
        <f t="shared" si="156"/>
        <v>4269</v>
      </c>
      <c r="X147" s="247">
        <f t="shared" si="156"/>
        <v>4895</v>
      </c>
      <c r="Y147" s="247">
        <f t="shared" si="156"/>
        <v>3410</v>
      </c>
      <c r="Z147" s="247">
        <f t="shared" si="156"/>
        <v>4611</v>
      </c>
      <c r="AA147" s="246">
        <f t="shared" si="156"/>
        <v>552.02195</v>
      </c>
      <c r="AB147" s="246">
        <f t="shared" si="156"/>
        <v>1402.74811</v>
      </c>
      <c r="AC147" s="246">
        <f t="shared" si="156"/>
        <v>1700.945336</v>
      </c>
      <c r="AD147" s="246">
        <f t="shared" si="156"/>
        <v>1975.384633</v>
      </c>
      <c r="AE147" s="246">
        <f t="shared" si="156"/>
        <v>2230.260803</v>
      </c>
      <c r="AF147" s="246">
        <f t="shared" si="156"/>
        <v>2475.176266</v>
      </c>
      <c r="AG147" s="246">
        <f t="shared" si="156"/>
        <v>2716.667462</v>
      </c>
      <c r="AH147" s="246">
        <f t="shared" si="156"/>
        <v>2951.782882</v>
      </c>
      <c r="AI147" s="246">
        <f t="shared" si="156"/>
        <v>3195.821264</v>
      </c>
      <c r="AJ147" s="246">
        <f t="shared" si="156"/>
        <v>3428.142091</v>
      </c>
      <c r="AK147" s="246">
        <f t="shared" si="156"/>
        <v>3636.894992</v>
      </c>
      <c r="AL147" s="246">
        <f t="shared" si="156"/>
        <v>3819.187228</v>
      </c>
      <c r="AM147" s="246">
        <f t="shared" si="156"/>
        <v>4001.243052</v>
      </c>
      <c r="AN147" s="246">
        <f t="shared" si="156"/>
        <v>9305.067003</v>
      </c>
      <c r="AO147" s="246">
        <f t="shared" si="156"/>
        <v>9461.056658</v>
      </c>
      <c r="AP147" s="246">
        <f t="shared" si="156"/>
        <v>9523.41483</v>
      </c>
      <c r="AQ147" s="246">
        <f t="shared" si="156"/>
        <v>9616.179111</v>
      </c>
      <c r="AR147" s="246">
        <f t="shared" si="156"/>
        <v>9727.219124</v>
      </c>
      <c r="AS147" s="246">
        <f t="shared" si="156"/>
        <v>9847.48149</v>
      </c>
      <c r="AT147" s="246">
        <f t="shared" si="156"/>
        <v>9969.723208</v>
      </c>
      <c r="AU147" s="246">
        <f t="shared" si="156"/>
        <v>10089.63204</v>
      </c>
      <c r="AV147" s="246">
        <f t="shared" si="156"/>
        <v>10207.40096</v>
      </c>
      <c r="AW147" s="246">
        <f t="shared" si="156"/>
        <v>10323.18278</v>
      </c>
      <c r="AX147" s="246">
        <f t="shared" si="156"/>
        <v>10437.11221</v>
      </c>
      <c r="AY147" s="246">
        <f t="shared" si="156"/>
        <v>10549.31373</v>
      </c>
      <c r="AZ147" s="246">
        <f t="shared" si="156"/>
        <v>15400.88293</v>
      </c>
      <c r="BA147" s="246">
        <f t="shared" si="156"/>
        <v>15695.79809</v>
      </c>
      <c r="BB147" s="246">
        <f t="shared" si="156"/>
        <v>15985.06741</v>
      </c>
      <c r="BC147" s="246">
        <f t="shared" si="156"/>
        <v>16267.36847</v>
      </c>
      <c r="BD147" s="246">
        <f t="shared" si="156"/>
        <v>16543.63427</v>
      </c>
      <c r="BE147" s="246">
        <f t="shared" si="156"/>
        <v>16814.36724</v>
      </c>
      <c r="BF147" s="246">
        <f t="shared" si="156"/>
        <v>17079.9121</v>
      </c>
      <c r="BG147" s="246">
        <f t="shared" si="156"/>
        <v>17340.55177</v>
      </c>
      <c r="BH147" s="246">
        <f t="shared" si="156"/>
        <v>17596.54109</v>
      </c>
      <c r="BI147" s="246">
        <f t="shared" si="156"/>
        <v>17848.11897</v>
      </c>
      <c r="BJ147" s="246">
        <f t="shared" si="156"/>
        <v>18095.51288</v>
      </c>
      <c r="BK147" s="246">
        <f t="shared" si="156"/>
        <v>18338.94062</v>
      </c>
      <c r="BL147" s="246">
        <f t="shared" si="156"/>
        <v>25966.1775</v>
      </c>
      <c r="BM147" s="246">
        <f t="shared" si="156"/>
        <v>26399.63023</v>
      </c>
      <c r="BN147" s="246">
        <f t="shared" si="156"/>
        <v>26811.9286</v>
      </c>
      <c r="BO147" s="246">
        <f t="shared" si="156"/>
        <v>27191.85072</v>
      </c>
      <c r="BP147" s="246">
        <f t="shared" si="156"/>
        <v>27565.83879</v>
      </c>
      <c r="BQ147" s="246">
        <f t="shared" si="156"/>
        <v>27934.72143</v>
      </c>
      <c r="BR147" s="246">
        <f t="shared" si="156"/>
        <v>28298.97359</v>
      </c>
      <c r="BS147" s="246">
        <f t="shared" si="156"/>
        <v>28658.94043</v>
      </c>
      <c r="BT147" s="246">
        <f t="shared" si="156"/>
        <v>29014.91599</v>
      </c>
      <c r="BU147" s="246">
        <f t="shared" si="156"/>
        <v>29367.17094</v>
      </c>
      <c r="BV147" s="246">
        <f t="shared" si="156"/>
        <v>29715.96256</v>
      </c>
      <c r="BW147" s="246">
        <f t="shared" si="156"/>
        <v>30061.53848</v>
      </c>
      <c r="BX147" s="246">
        <f t="shared" si="156"/>
        <v>41805.69001</v>
      </c>
      <c r="BY147" s="246">
        <f t="shared" si="156"/>
        <v>42148.45894</v>
      </c>
      <c r="BZ147" s="246">
        <f t="shared" si="156"/>
        <v>42434.4579</v>
      </c>
      <c r="CA147" s="246">
        <f t="shared" si="156"/>
        <v>42721.36742</v>
      </c>
      <c r="CB147" s="246">
        <f t="shared" si="156"/>
        <v>43019.3963</v>
      </c>
      <c r="CC147" s="246">
        <f t="shared" si="156"/>
        <v>43319.98862</v>
      </c>
      <c r="CD147" s="246">
        <f t="shared" si="156"/>
        <v>43620.28562</v>
      </c>
      <c r="CE147" s="246">
        <f t="shared" si="156"/>
        <v>43919.41705</v>
      </c>
      <c r="CF147" s="246">
        <f t="shared" si="156"/>
        <v>44217.20335</v>
      </c>
      <c r="CG147" s="246">
        <f t="shared" si="156"/>
        <v>44513.70164</v>
      </c>
      <c r="CH147" s="246">
        <f t="shared" si="156"/>
        <v>44809.04702</v>
      </c>
      <c r="CI147" s="246">
        <f t="shared" si="156"/>
        <v>45103.39729</v>
      </c>
      <c r="CJ147" s="246"/>
      <c r="CK147" s="246"/>
      <c r="CL147" s="246">
        <f t="shared" ref="CL147:CQ147" si="157">CL84+CL116</f>
        <v>16764</v>
      </c>
      <c r="CM147" s="246">
        <f t="shared" si="157"/>
        <v>23876</v>
      </c>
      <c r="CN147" s="246">
        <f t="shared" si="157"/>
        <v>22728</v>
      </c>
      <c r="CO147" s="246">
        <f t="shared" si="157"/>
        <v>16471</v>
      </c>
      <c r="CP147" s="246">
        <f t="shared" si="157"/>
        <v>19454</v>
      </c>
      <c r="CQ147" s="246">
        <f t="shared" si="157"/>
        <v>13468.02195</v>
      </c>
    </row>
    <row r="148" ht="15.75" customHeight="1">
      <c r="C148" s="132" t="s">
        <v>216</v>
      </c>
      <c r="D148" s="247">
        <f t="shared" ref="D148:CI148" si="158">D85+D117</f>
        <v>5995</v>
      </c>
      <c r="E148" s="247">
        <f t="shared" si="158"/>
        <v>1178</v>
      </c>
      <c r="F148" s="247">
        <f t="shared" si="158"/>
        <v>8212</v>
      </c>
      <c r="G148" s="247">
        <f t="shared" si="158"/>
        <v>4610</v>
      </c>
      <c r="H148" s="247">
        <f t="shared" si="158"/>
        <v>4304</v>
      </c>
      <c r="I148" s="247">
        <f t="shared" si="158"/>
        <v>5769</v>
      </c>
      <c r="J148" s="247">
        <f t="shared" si="158"/>
        <v>7677</v>
      </c>
      <c r="K148" s="247">
        <f t="shared" si="158"/>
        <v>3800</v>
      </c>
      <c r="L148" s="247">
        <f t="shared" si="158"/>
        <v>6439</v>
      </c>
      <c r="M148" s="247">
        <f t="shared" si="158"/>
        <v>5120</v>
      </c>
      <c r="N148" s="247">
        <f t="shared" si="158"/>
        <v>4835</v>
      </c>
      <c r="O148" s="247">
        <f t="shared" si="158"/>
        <v>5564</v>
      </c>
      <c r="P148" s="247">
        <f t="shared" si="158"/>
        <v>7360</v>
      </c>
      <c r="Q148" s="247">
        <f t="shared" si="158"/>
        <v>2727</v>
      </c>
      <c r="R148" s="247">
        <f t="shared" si="158"/>
        <v>5581</v>
      </c>
      <c r="S148" s="247">
        <f t="shared" si="158"/>
        <v>3509</v>
      </c>
      <c r="T148" s="247">
        <f t="shared" si="158"/>
        <v>2642</v>
      </c>
      <c r="U148" s="247">
        <f t="shared" si="158"/>
        <v>6838</v>
      </c>
      <c r="V148" s="247">
        <f t="shared" si="158"/>
        <v>475</v>
      </c>
      <c r="W148" s="247">
        <f t="shared" si="158"/>
        <v>6604</v>
      </c>
      <c r="X148" s="247">
        <f t="shared" si="158"/>
        <v>4698</v>
      </c>
      <c r="Y148" s="247">
        <f t="shared" si="158"/>
        <v>4787</v>
      </c>
      <c r="Z148" s="247">
        <f t="shared" si="158"/>
        <v>7212</v>
      </c>
      <c r="AA148" s="246">
        <f t="shared" si="158"/>
        <v>365.816</v>
      </c>
      <c r="AB148" s="246">
        <f t="shared" si="158"/>
        <v>805.816</v>
      </c>
      <c r="AC148" s="246">
        <f t="shared" si="158"/>
        <v>805.816</v>
      </c>
      <c r="AD148" s="246">
        <f t="shared" si="158"/>
        <v>805.816</v>
      </c>
      <c r="AE148" s="246">
        <f t="shared" si="158"/>
        <v>805.816</v>
      </c>
      <c r="AF148" s="246">
        <f t="shared" si="158"/>
        <v>1245.816</v>
      </c>
      <c r="AG148" s="246">
        <f t="shared" si="158"/>
        <v>1245.816</v>
      </c>
      <c r="AH148" s="246">
        <f t="shared" si="158"/>
        <v>1245.816</v>
      </c>
      <c r="AI148" s="246">
        <f t="shared" si="158"/>
        <v>1245.816</v>
      </c>
      <c r="AJ148" s="246">
        <f t="shared" si="158"/>
        <v>1685.816</v>
      </c>
      <c r="AK148" s="246">
        <f t="shared" si="158"/>
        <v>1685.816</v>
      </c>
      <c r="AL148" s="246">
        <f t="shared" si="158"/>
        <v>1685.816</v>
      </c>
      <c r="AM148" s="246">
        <f t="shared" si="158"/>
        <v>1685.816</v>
      </c>
      <c r="AN148" s="246">
        <f t="shared" si="158"/>
        <v>1685.816</v>
      </c>
      <c r="AO148" s="246">
        <f t="shared" si="158"/>
        <v>1685.816</v>
      </c>
      <c r="AP148" s="246">
        <f t="shared" si="158"/>
        <v>1685.816</v>
      </c>
      <c r="AQ148" s="246">
        <f t="shared" si="158"/>
        <v>1685.816</v>
      </c>
      <c r="AR148" s="246">
        <f t="shared" si="158"/>
        <v>1685.816</v>
      </c>
      <c r="AS148" s="246">
        <f t="shared" si="158"/>
        <v>1685.816</v>
      </c>
      <c r="AT148" s="246">
        <f t="shared" si="158"/>
        <v>1685.816</v>
      </c>
      <c r="AU148" s="246">
        <f t="shared" si="158"/>
        <v>1685.816</v>
      </c>
      <c r="AV148" s="246">
        <f t="shared" si="158"/>
        <v>2037.816</v>
      </c>
      <c r="AW148" s="246">
        <f t="shared" si="158"/>
        <v>2037.816</v>
      </c>
      <c r="AX148" s="246">
        <f t="shared" si="158"/>
        <v>2037.816</v>
      </c>
      <c r="AY148" s="246">
        <f t="shared" si="158"/>
        <v>2037.816</v>
      </c>
      <c r="AZ148" s="246">
        <f t="shared" si="158"/>
        <v>2917.816</v>
      </c>
      <c r="BA148" s="246">
        <f t="shared" si="158"/>
        <v>2917.816</v>
      </c>
      <c r="BB148" s="246">
        <f t="shared" si="158"/>
        <v>2917.816</v>
      </c>
      <c r="BC148" s="246">
        <f t="shared" si="158"/>
        <v>2917.816</v>
      </c>
      <c r="BD148" s="246">
        <f t="shared" si="158"/>
        <v>3797.816</v>
      </c>
      <c r="BE148" s="246">
        <f t="shared" si="158"/>
        <v>3797.816</v>
      </c>
      <c r="BF148" s="246">
        <f t="shared" si="158"/>
        <v>3797.816</v>
      </c>
      <c r="BG148" s="246">
        <f t="shared" si="158"/>
        <v>3797.816</v>
      </c>
      <c r="BH148" s="246">
        <f t="shared" si="158"/>
        <v>4677.816</v>
      </c>
      <c r="BI148" s="246">
        <f t="shared" si="158"/>
        <v>4677.816</v>
      </c>
      <c r="BJ148" s="246">
        <f t="shared" si="158"/>
        <v>4677.816</v>
      </c>
      <c r="BK148" s="246">
        <f t="shared" si="158"/>
        <v>4677.816</v>
      </c>
      <c r="BL148" s="246">
        <f t="shared" si="158"/>
        <v>4695.416</v>
      </c>
      <c r="BM148" s="246">
        <f t="shared" si="158"/>
        <v>4695.416</v>
      </c>
      <c r="BN148" s="246">
        <f t="shared" si="158"/>
        <v>4695.416</v>
      </c>
      <c r="BO148" s="246">
        <f t="shared" si="158"/>
        <v>4695.416</v>
      </c>
      <c r="BP148" s="246">
        <f t="shared" si="158"/>
        <v>4713.016</v>
      </c>
      <c r="BQ148" s="246">
        <f t="shared" si="158"/>
        <v>4713.016</v>
      </c>
      <c r="BR148" s="246">
        <f t="shared" si="158"/>
        <v>4713.016</v>
      </c>
      <c r="BS148" s="246">
        <f t="shared" si="158"/>
        <v>4713.016</v>
      </c>
      <c r="BT148" s="246">
        <f t="shared" si="158"/>
        <v>4730.616</v>
      </c>
      <c r="BU148" s="246">
        <f t="shared" si="158"/>
        <v>4730.616</v>
      </c>
      <c r="BV148" s="246">
        <f t="shared" si="158"/>
        <v>4730.616</v>
      </c>
      <c r="BW148" s="246">
        <f t="shared" si="158"/>
        <v>4730.616</v>
      </c>
      <c r="BX148" s="246">
        <f t="shared" si="158"/>
        <v>4748.216</v>
      </c>
      <c r="BY148" s="246">
        <f t="shared" si="158"/>
        <v>4748.216</v>
      </c>
      <c r="BZ148" s="246">
        <f t="shared" si="158"/>
        <v>4748.216</v>
      </c>
      <c r="CA148" s="246">
        <f t="shared" si="158"/>
        <v>4748.216</v>
      </c>
      <c r="CB148" s="246">
        <f t="shared" si="158"/>
        <v>4765.816</v>
      </c>
      <c r="CC148" s="246">
        <f t="shared" si="158"/>
        <v>4765.816</v>
      </c>
      <c r="CD148" s="246">
        <f t="shared" si="158"/>
        <v>4765.816</v>
      </c>
      <c r="CE148" s="246">
        <f t="shared" si="158"/>
        <v>4765.816</v>
      </c>
      <c r="CF148" s="246">
        <f t="shared" si="158"/>
        <v>4985.816</v>
      </c>
      <c r="CG148" s="246">
        <f t="shared" si="158"/>
        <v>4985.816</v>
      </c>
      <c r="CH148" s="246">
        <f t="shared" si="158"/>
        <v>4985.816</v>
      </c>
      <c r="CI148" s="246">
        <f t="shared" si="158"/>
        <v>4985.816</v>
      </c>
      <c r="CJ148" s="246"/>
      <c r="CK148" s="246"/>
      <c r="CL148" s="246">
        <f t="shared" ref="CL148:CQ148" si="159">CL85+CL117</f>
        <v>19995</v>
      </c>
      <c r="CM148" s="246">
        <f t="shared" si="159"/>
        <v>21550</v>
      </c>
      <c r="CN148" s="246">
        <f t="shared" si="159"/>
        <v>21958</v>
      </c>
      <c r="CO148" s="246">
        <f t="shared" si="159"/>
        <v>19177</v>
      </c>
      <c r="CP148" s="246">
        <f t="shared" si="159"/>
        <v>16559</v>
      </c>
      <c r="CQ148" s="246">
        <f t="shared" si="159"/>
        <v>17062.816</v>
      </c>
    </row>
    <row r="149" ht="15.75" customHeight="1">
      <c r="C149" s="132" t="s">
        <v>217</v>
      </c>
      <c r="D149" s="247">
        <f t="shared" ref="D149:CI149" si="160">D86+D118</f>
        <v>0</v>
      </c>
      <c r="E149" s="247">
        <f t="shared" si="160"/>
        <v>0</v>
      </c>
      <c r="F149" s="247">
        <f t="shared" si="160"/>
        <v>0</v>
      </c>
      <c r="G149" s="247">
        <f t="shared" si="160"/>
        <v>0</v>
      </c>
      <c r="H149" s="247">
        <f t="shared" si="160"/>
        <v>0</v>
      </c>
      <c r="I149" s="247">
        <f t="shared" si="160"/>
        <v>0</v>
      </c>
      <c r="J149" s="247">
        <f t="shared" si="160"/>
        <v>0</v>
      </c>
      <c r="K149" s="247">
        <f t="shared" si="160"/>
        <v>0</v>
      </c>
      <c r="L149" s="247">
        <f t="shared" si="160"/>
        <v>0</v>
      </c>
      <c r="M149" s="247">
        <f t="shared" si="160"/>
        <v>0</v>
      </c>
      <c r="N149" s="247">
        <f t="shared" si="160"/>
        <v>0</v>
      </c>
      <c r="O149" s="247">
        <f t="shared" si="160"/>
        <v>0</v>
      </c>
      <c r="P149" s="247">
        <f t="shared" si="160"/>
        <v>0</v>
      </c>
      <c r="Q149" s="247">
        <f t="shared" si="160"/>
        <v>0</v>
      </c>
      <c r="R149" s="247">
        <f t="shared" si="160"/>
        <v>0</v>
      </c>
      <c r="S149" s="247">
        <f t="shared" si="160"/>
        <v>0</v>
      </c>
      <c r="T149" s="247">
        <f t="shared" si="160"/>
        <v>0</v>
      </c>
      <c r="U149" s="247">
        <f t="shared" si="160"/>
        <v>0</v>
      </c>
      <c r="V149" s="247">
        <f t="shared" si="160"/>
        <v>0</v>
      </c>
      <c r="W149" s="247">
        <f t="shared" si="160"/>
        <v>0</v>
      </c>
      <c r="X149" s="247">
        <f t="shared" si="160"/>
        <v>0</v>
      </c>
      <c r="Y149" s="247">
        <f t="shared" si="160"/>
        <v>0</v>
      </c>
      <c r="Z149" s="247">
        <f t="shared" si="160"/>
        <v>0</v>
      </c>
      <c r="AA149" s="246">
        <f t="shared" si="160"/>
        <v>56827.023</v>
      </c>
      <c r="AB149" s="246">
        <f t="shared" si="160"/>
        <v>66055.16495</v>
      </c>
      <c r="AC149" s="246">
        <f t="shared" si="160"/>
        <v>65587.89352</v>
      </c>
      <c r="AD149" s="246">
        <f t="shared" si="160"/>
        <v>64336.82564</v>
      </c>
      <c r="AE149" s="246">
        <f t="shared" si="160"/>
        <v>67477.91659</v>
      </c>
      <c r="AF149" s="246">
        <f t="shared" si="160"/>
        <v>73434.76362</v>
      </c>
      <c r="AG149" s="246">
        <f t="shared" si="160"/>
        <v>71219.46348</v>
      </c>
      <c r="AH149" s="246">
        <f t="shared" si="160"/>
        <v>68740.61894</v>
      </c>
      <c r="AI149" s="246">
        <f t="shared" si="160"/>
        <v>73211.89622</v>
      </c>
      <c r="AJ149" s="246">
        <f t="shared" si="160"/>
        <v>79322.45305</v>
      </c>
      <c r="AK149" s="246">
        <f t="shared" si="160"/>
        <v>83057.43804</v>
      </c>
      <c r="AL149" s="246">
        <f t="shared" si="160"/>
        <v>80298.28878</v>
      </c>
      <c r="AM149" s="246">
        <f t="shared" si="160"/>
        <v>83505.9563</v>
      </c>
      <c r="AN149" s="246">
        <f t="shared" si="160"/>
        <v>87129.68999</v>
      </c>
      <c r="AO149" s="246">
        <f t="shared" si="160"/>
        <v>84920.71535</v>
      </c>
      <c r="AP149" s="246">
        <f t="shared" si="160"/>
        <v>82021.50875</v>
      </c>
      <c r="AQ149" s="246">
        <f t="shared" si="160"/>
        <v>84810.39432</v>
      </c>
      <c r="AR149" s="246">
        <f t="shared" si="160"/>
        <v>88385.52246</v>
      </c>
      <c r="AS149" s="246">
        <f t="shared" si="160"/>
        <v>85784.00692</v>
      </c>
      <c r="AT149" s="246">
        <f t="shared" si="160"/>
        <v>82800.58938</v>
      </c>
      <c r="AU149" s="246">
        <f t="shared" si="160"/>
        <v>85782.22169</v>
      </c>
      <c r="AV149" s="246">
        <f t="shared" si="160"/>
        <v>89799.13025</v>
      </c>
      <c r="AW149" s="246">
        <f t="shared" si="160"/>
        <v>87286.76768</v>
      </c>
      <c r="AX149" s="246">
        <f t="shared" si="160"/>
        <v>84744.01108</v>
      </c>
      <c r="AY149" s="246">
        <f t="shared" si="160"/>
        <v>88189.25997</v>
      </c>
      <c r="AZ149" s="246">
        <f t="shared" si="160"/>
        <v>89627.03452</v>
      </c>
      <c r="BA149" s="246">
        <f t="shared" si="160"/>
        <v>87096.89284</v>
      </c>
      <c r="BB149" s="246">
        <f t="shared" si="160"/>
        <v>84432.26864</v>
      </c>
      <c r="BC149" s="246">
        <f t="shared" si="160"/>
        <v>88006.1793</v>
      </c>
      <c r="BD149" s="246">
        <f t="shared" si="160"/>
        <v>93148.16867</v>
      </c>
      <c r="BE149" s="246">
        <f t="shared" si="160"/>
        <v>90532.9131</v>
      </c>
      <c r="BF149" s="246">
        <f t="shared" si="160"/>
        <v>93417.99426</v>
      </c>
      <c r="BG149" s="246">
        <f t="shared" si="160"/>
        <v>97092.65476</v>
      </c>
      <c r="BH149" s="246">
        <f t="shared" si="160"/>
        <v>102469.274</v>
      </c>
      <c r="BI149" s="246">
        <f t="shared" si="160"/>
        <v>99738.93809</v>
      </c>
      <c r="BJ149" s="246">
        <f t="shared" si="160"/>
        <v>96980.00691</v>
      </c>
      <c r="BK149" s="246">
        <f t="shared" si="160"/>
        <v>100783.3779</v>
      </c>
      <c r="BL149" s="246">
        <f t="shared" si="160"/>
        <v>105785.8431</v>
      </c>
      <c r="BM149" s="246">
        <f t="shared" si="160"/>
        <v>103299.8717</v>
      </c>
      <c r="BN149" s="246">
        <f t="shared" si="160"/>
        <v>101004.4085</v>
      </c>
      <c r="BO149" s="246">
        <f t="shared" si="160"/>
        <v>105119.3014</v>
      </c>
      <c r="BP149" s="246">
        <f t="shared" si="160"/>
        <v>110683.3081</v>
      </c>
      <c r="BQ149" s="246">
        <f t="shared" si="160"/>
        <v>110692.0891</v>
      </c>
      <c r="BR149" s="246">
        <f t="shared" si="160"/>
        <v>108099.2458</v>
      </c>
      <c r="BS149" s="246">
        <f t="shared" si="160"/>
        <v>117529.6086</v>
      </c>
      <c r="BT149" s="246">
        <f t="shared" si="160"/>
        <v>123358.8008</v>
      </c>
      <c r="BU149" s="246">
        <f t="shared" si="160"/>
        <v>120655.7621</v>
      </c>
      <c r="BV149" s="246">
        <f t="shared" si="160"/>
        <v>117945.2853</v>
      </c>
      <c r="BW149" s="246">
        <f t="shared" si="160"/>
        <v>122170.1645</v>
      </c>
      <c r="BX149" s="246">
        <f t="shared" si="160"/>
        <v>127890.6087</v>
      </c>
      <c r="BY149" s="246">
        <f t="shared" si="160"/>
        <v>125104.9597</v>
      </c>
      <c r="BZ149" s="246">
        <f t="shared" si="160"/>
        <v>122208.4416</v>
      </c>
      <c r="CA149" s="246">
        <f t="shared" si="160"/>
        <v>126257.6475</v>
      </c>
      <c r="CB149" s="246">
        <f t="shared" si="160"/>
        <v>130347.6636</v>
      </c>
      <c r="CC149" s="246">
        <f t="shared" si="160"/>
        <v>130039.4702</v>
      </c>
      <c r="CD149" s="246">
        <f t="shared" si="160"/>
        <v>127227.1596</v>
      </c>
      <c r="CE149" s="246">
        <f t="shared" si="160"/>
        <v>131376.0879</v>
      </c>
      <c r="CF149" s="246">
        <f t="shared" si="160"/>
        <v>135623.4174</v>
      </c>
      <c r="CG149" s="246">
        <f t="shared" si="160"/>
        <v>132814.1708</v>
      </c>
      <c r="CH149" s="246">
        <f t="shared" si="160"/>
        <v>129999.1451</v>
      </c>
      <c r="CI149" s="246">
        <f t="shared" si="160"/>
        <v>134226.2421</v>
      </c>
      <c r="CJ149" s="246"/>
      <c r="CK149" s="246"/>
      <c r="CL149" s="246">
        <f t="shared" ref="CL149:CQ149" si="161">CL86+CL118</f>
        <v>0</v>
      </c>
      <c r="CM149" s="246">
        <f t="shared" si="161"/>
        <v>0</v>
      </c>
      <c r="CN149" s="246">
        <f t="shared" si="161"/>
        <v>0</v>
      </c>
      <c r="CO149" s="246">
        <f t="shared" si="161"/>
        <v>0</v>
      </c>
      <c r="CP149" s="246">
        <f t="shared" si="161"/>
        <v>0</v>
      </c>
      <c r="CQ149" s="246">
        <f t="shared" si="161"/>
        <v>56827.023</v>
      </c>
    </row>
    <row r="150" ht="15.75" customHeight="1">
      <c r="C150" s="146" t="s">
        <v>218</v>
      </c>
      <c r="D150" s="247">
        <f t="shared" ref="D150:CI150" si="162">D87+D119</f>
        <v>4174</v>
      </c>
      <c r="E150" s="247">
        <f t="shared" si="162"/>
        <v>5561</v>
      </c>
      <c r="F150" s="247">
        <f t="shared" si="162"/>
        <v>2610</v>
      </c>
      <c r="G150" s="247">
        <f t="shared" si="162"/>
        <v>3283</v>
      </c>
      <c r="H150" s="247">
        <f t="shared" si="162"/>
        <v>2955</v>
      </c>
      <c r="I150" s="247">
        <f t="shared" si="162"/>
        <v>1494</v>
      </c>
      <c r="J150" s="247">
        <f t="shared" si="162"/>
        <v>8816</v>
      </c>
      <c r="K150" s="247">
        <f t="shared" si="162"/>
        <v>7369</v>
      </c>
      <c r="L150" s="247">
        <f t="shared" si="162"/>
        <v>5122</v>
      </c>
      <c r="M150" s="247">
        <f t="shared" si="162"/>
        <v>1975</v>
      </c>
      <c r="N150" s="247">
        <f t="shared" si="162"/>
        <v>2232</v>
      </c>
      <c r="O150" s="247">
        <f t="shared" si="162"/>
        <v>4442</v>
      </c>
      <c r="P150" s="247">
        <f t="shared" si="162"/>
        <v>7496</v>
      </c>
      <c r="Q150" s="247">
        <f t="shared" si="162"/>
        <v>6975</v>
      </c>
      <c r="R150" s="247">
        <f t="shared" si="162"/>
        <v>2031</v>
      </c>
      <c r="S150" s="247">
        <f t="shared" si="162"/>
        <v>8075</v>
      </c>
      <c r="T150" s="247">
        <f t="shared" si="162"/>
        <v>4952</v>
      </c>
      <c r="U150" s="247">
        <f t="shared" si="162"/>
        <v>7703</v>
      </c>
      <c r="V150" s="247">
        <f t="shared" si="162"/>
        <v>4556</v>
      </c>
      <c r="W150" s="247">
        <f t="shared" si="162"/>
        <v>3024</v>
      </c>
      <c r="X150" s="247">
        <f t="shared" si="162"/>
        <v>7279</v>
      </c>
      <c r="Y150" s="247">
        <f t="shared" si="162"/>
        <v>4972</v>
      </c>
      <c r="Z150" s="247">
        <f t="shared" si="162"/>
        <v>3570</v>
      </c>
      <c r="AA150" s="246">
        <f t="shared" si="162"/>
        <v>611.716365</v>
      </c>
      <c r="AB150" s="246">
        <f t="shared" si="162"/>
        <v>672.8880015</v>
      </c>
      <c r="AC150" s="246">
        <f t="shared" si="162"/>
        <v>679.6168815</v>
      </c>
      <c r="AD150" s="246">
        <f t="shared" si="162"/>
        <v>686.4130503</v>
      </c>
      <c r="AE150" s="246">
        <f t="shared" si="162"/>
        <v>693.2771808</v>
      </c>
      <c r="AF150" s="246">
        <f t="shared" si="162"/>
        <v>700.2099526</v>
      </c>
      <c r="AG150" s="246">
        <f t="shared" si="162"/>
        <v>707.2120522</v>
      </c>
      <c r="AH150" s="246">
        <f t="shared" si="162"/>
        <v>714.2841727</v>
      </c>
      <c r="AI150" s="246">
        <f t="shared" si="162"/>
        <v>721.4270144</v>
      </c>
      <c r="AJ150" s="246">
        <f t="shared" si="162"/>
        <v>728.6412846</v>
      </c>
      <c r="AK150" s="246">
        <f t="shared" si="162"/>
        <v>735.9276974</v>
      </c>
      <c r="AL150" s="246">
        <f t="shared" si="162"/>
        <v>743.2869744</v>
      </c>
      <c r="AM150" s="246">
        <f t="shared" si="162"/>
        <v>750.7198441</v>
      </c>
      <c r="AN150" s="246">
        <f t="shared" si="162"/>
        <v>758.2270426</v>
      </c>
      <c r="AO150" s="246">
        <f t="shared" si="162"/>
        <v>765.809313</v>
      </c>
      <c r="AP150" s="246">
        <f t="shared" si="162"/>
        <v>773.4674061</v>
      </c>
      <c r="AQ150" s="246">
        <f t="shared" si="162"/>
        <v>781.2020802</v>
      </c>
      <c r="AR150" s="246">
        <f t="shared" si="162"/>
        <v>789.014101</v>
      </c>
      <c r="AS150" s="246">
        <f t="shared" si="162"/>
        <v>796.904242</v>
      </c>
      <c r="AT150" s="246">
        <f t="shared" si="162"/>
        <v>804.8732844</v>
      </c>
      <c r="AU150" s="246">
        <f t="shared" si="162"/>
        <v>812.9220173</v>
      </c>
      <c r="AV150" s="246">
        <f t="shared" si="162"/>
        <v>821.0512374</v>
      </c>
      <c r="AW150" s="246">
        <f t="shared" si="162"/>
        <v>829.2617498</v>
      </c>
      <c r="AX150" s="246">
        <f t="shared" si="162"/>
        <v>837.5543673</v>
      </c>
      <c r="AY150" s="246">
        <f t="shared" si="162"/>
        <v>845.929911</v>
      </c>
      <c r="AZ150" s="246">
        <f t="shared" si="162"/>
        <v>854.3892101</v>
      </c>
      <c r="BA150" s="246">
        <f t="shared" si="162"/>
        <v>862.9331022</v>
      </c>
      <c r="BB150" s="246">
        <f t="shared" si="162"/>
        <v>871.5624332</v>
      </c>
      <c r="BC150" s="246">
        <f t="shared" si="162"/>
        <v>880.2780575</v>
      </c>
      <c r="BD150" s="246">
        <f t="shared" si="162"/>
        <v>889.0808381</v>
      </c>
      <c r="BE150" s="246">
        <f t="shared" si="162"/>
        <v>897.9716465</v>
      </c>
      <c r="BF150" s="246">
        <f t="shared" si="162"/>
        <v>906.951363</v>
      </c>
      <c r="BG150" s="246">
        <f t="shared" si="162"/>
        <v>916.0208766</v>
      </c>
      <c r="BH150" s="246">
        <f t="shared" si="162"/>
        <v>925.1810854</v>
      </c>
      <c r="BI150" s="246">
        <f t="shared" si="162"/>
        <v>934.4328962</v>
      </c>
      <c r="BJ150" s="246">
        <f t="shared" si="162"/>
        <v>943.7772252</v>
      </c>
      <c r="BK150" s="246">
        <f t="shared" si="162"/>
        <v>953.2149974</v>
      </c>
      <c r="BL150" s="246">
        <f t="shared" si="162"/>
        <v>962.7471474</v>
      </c>
      <c r="BM150" s="246">
        <f t="shared" si="162"/>
        <v>972.3746189</v>
      </c>
      <c r="BN150" s="246">
        <f t="shared" si="162"/>
        <v>982.0983651</v>
      </c>
      <c r="BO150" s="246">
        <f t="shared" si="162"/>
        <v>991.9193487</v>
      </c>
      <c r="BP150" s="246">
        <f t="shared" si="162"/>
        <v>1001.838542</v>
      </c>
      <c r="BQ150" s="246">
        <f t="shared" si="162"/>
        <v>1011.856928</v>
      </c>
      <c r="BR150" s="246">
        <f t="shared" si="162"/>
        <v>1021.975497</v>
      </c>
      <c r="BS150" s="246">
        <f t="shared" si="162"/>
        <v>1032.195252</v>
      </c>
      <c r="BT150" s="246">
        <f t="shared" si="162"/>
        <v>1042.517204</v>
      </c>
      <c r="BU150" s="246">
        <f t="shared" si="162"/>
        <v>1052.942376</v>
      </c>
      <c r="BV150" s="246">
        <f t="shared" si="162"/>
        <v>1063.4718</v>
      </c>
      <c r="BW150" s="246">
        <f t="shared" si="162"/>
        <v>1074.106518</v>
      </c>
      <c r="BX150" s="246">
        <f t="shared" si="162"/>
        <v>1084.847583</v>
      </c>
      <c r="BY150" s="246">
        <f t="shared" si="162"/>
        <v>1095.696059</v>
      </c>
      <c r="BZ150" s="246">
        <f t="shared" si="162"/>
        <v>1106.65302</v>
      </c>
      <c r="CA150" s="246">
        <f t="shared" si="162"/>
        <v>1117.71955</v>
      </c>
      <c r="CB150" s="246">
        <f t="shared" si="162"/>
        <v>1128.896746</v>
      </c>
      <c r="CC150" s="246">
        <f t="shared" si="162"/>
        <v>1140.185713</v>
      </c>
      <c r="CD150" s="246">
        <f t="shared" si="162"/>
        <v>1151.58757</v>
      </c>
      <c r="CE150" s="246">
        <f t="shared" si="162"/>
        <v>1163.103446</v>
      </c>
      <c r="CF150" s="246">
        <f t="shared" si="162"/>
        <v>1174.73448</v>
      </c>
      <c r="CG150" s="246">
        <f t="shared" si="162"/>
        <v>1186.481825</v>
      </c>
      <c r="CH150" s="246">
        <f t="shared" si="162"/>
        <v>1198.346643</v>
      </c>
      <c r="CI150" s="246">
        <f t="shared" si="162"/>
        <v>1210.33011</v>
      </c>
      <c r="CJ150" s="246"/>
      <c r="CK150" s="246"/>
      <c r="CL150" s="246">
        <f t="shared" ref="CL150:CQ150" si="163">CL87+CL119</f>
        <v>0</v>
      </c>
      <c r="CM150" s="246">
        <f t="shared" si="163"/>
        <v>0</v>
      </c>
      <c r="CN150" s="246">
        <f t="shared" si="163"/>
        <v>0</v>
      </c>
      <c r="CO150" s="246">
        <f t="shared" si="163"/>
        <v>0</v>
      </c>
      <c r="CP150" s="246">
        <f t="shared" si="163"/>
        <v>0</v>
      </c>
      <c r="CQ150" s="246">
        <f t="shared" si="163"/>
        <v>0</v>
      </c>
    </row>
    <row r="151" ht="15.75" customHeight="1">
      <c r="C151" s="146" t="s">
        <v>219</v>
      </c>
      <c r="D151" s="247">
        <f t="shared" ref="D151:CI151" si="164">D88+D120</f>
        <v>3283</v>
      </c>
      <c r="E151" s="247">
        <f t="shared" si="164"/>
        <v>5589</v>
      </c>
      <c r="F151" s="247">
        <f t="shared" si="164"/>
        <v>4769</v>
      </c>
      <c r="G151" s="247">
        <f t="shared" si="164"/>
        <v>2038</v>
      </c>
      <c r="H151" s="247">
        <f t="shared" si="164"/>
        <v>8748</v>
      </c>
      <c r="I151" s="247">
        <f t="shared" si="164"/>
        <v>8999</v>
      </c>
      <c r="J151" s="247">
        <f t="shared" si="164"/>
        <v>2925</v>
      </c>
      <c r="K151" s="247">
        <f t="shared" si="164"/>
        <v>8581</v>
      </c>
      <c r="L151" s="247">
        <f t="shared" si="164"/>
        <v>8777</v>
      </c>
      <c r="M151" s="247">
        <f t="shared" si="164"/>
        <v>4337</v>
      </c>
      <c r="N151" s="247">
        <f t="shared" si="164"/>
        <v>5587</v>
      </c>
      <c r="O151" s="247">
        <f t="shared" si="164"/>
        <v>7419</v>
      </c>
      <c r="P151" s="247">
        <f t="shared" si="164"/>
        <v>2492</v>
      </c>
      <c r="Q151" s="247">
        <f t="shared" si="164"/>
        <v>5238</v>
      </c>
      <c r="R151" s="247">
        <f t="shared" si="164"/>
        <v>6974</v>
      </c>
      <c r="S151" s="247">
        <f t="shared" si="164"/>
        <v>5604</v>
      </c>
      <c r="T151" s="247">
        <f t="shared" si="164"/>
        <v>3554</v>
      </c>
      <c r="U151" s="247">
        <f t="shared" si="164"/>
        <v>3008</v>
      </c>
      <c r="V151" s="247">
        <f t="shared" si="164"/>
        <v>5601</v>
      </c>
      <c r="W151" s="247">
        <f t="shared" si="164"/>
        <v>4056</v>
      </c>
      <c r="X151" s="247">
        <f t="shared" si="164"/>
        <v>4759</v>
      </c>
      <c r="Y151" s="247">
        <f t="shared" si="164"/>
        <v>6035</v>
      </c>
      <c r="Z151" s="247">
        <f t="shared" si="164"/>
        <v>1213</v>
      </c>
      <c r="AA151" s="246">
        <f t="shared" si="164"/>
        <v>917.5745475</v>
      </c>
      <c r="AB151" s="246">
        <f t="shared" si="164"/>
        <v>1009.332002</v>
      </c>
      <c r="AC151" s="246">
        <f t="shared" si="164"/>
        <v>1019.425322</v>
      </c>
      <c r="AD151" s="246">
        <f t="shared" si="164"/>
        <v>1029.619575</v>
      </c>
      <c r="AE151" s="246">
        <f t="shared" si="164"/>
        <v>1039.915771</v>
      </c>
      <c r="AF151" s="246">
        <f t="shared" si="164"/>
        <v>1050.314929</v>
      </c>
      <c r="AG151" s="246">
        <f t="shared" si="164"/>
        <v>1060.818078</v>
      </c>
      <c r="AH151" s="246">
        <f t="shared" si="164"/>
        <v>1071.426259</v>
      </c>
      <c r="AI151" s="246">
        <f t="shared" si="164"/>
        <v>1082.140522</v>
      </c>
      <c r="AJ151" s="246">
        <f t="shared" si="164"/>
        <v>1092.961927</v>
      </c>
      <c r="AK151" s="246">
        <f t="shared" si="164"/>
        <v>1103.891546</v>
      </c>
      <c r="AL151" s="246">
        <f t="shared" si="164"/>
        <v>1114.930462</v>
      </c>
      <c r="AM151" s="246">
        <f t="shared" si="164"/>
        <v>1126.079766</v>
      </c>
      <c r="AN151" s="246">
        <f t="shared" si="164"/>
        <v>1137.340564</v>
      </c>
      <c r="AO151" s="246">
        <f t="shared" si="164"/>
        <v>1148.713969</v>
      </c>
      <c r="AP151" s="246">
        <f t="shared" si="164"/>
        <v>1160.201109</v>
      </c>
      <c r="AQ151" s="246">
        <f t="shared" si="164"/>
        <v>1171.80312</v>
      </c>
      <c r="AR151" s="246">
        <f t="shared" si="164"/>
        <v>1183.521151</v>
      </c>
      <c r="AS151" s="246">
        <f t="shared" si="164"/>
        <v>1195.356363</v>
      </c>
      <c r="AT151" s="246">
        <f t="shared" si="164"/>
        <v>1207.309927</v>
      </c>
      <c r="AU151" s="246">
        <f t="shared" si="164"/>
        <v>1219.383026</v>
      </c>
      <c r="AV151" s="246">
        <f t="shared" si="164"/>
        <v>1231.576856</v>
      </c>
      <c r="AW151" s="246">
        <f t="shared" si="164"/>
        <v>1243.892625</v>
      </c>
      <c r="AX151" s="246">
        <f t="shared" si="164"/>
        <v>1256.331551</v>
      </c>
      <c r="AY151" s="246">
        <f t="shared" si="164"/>
        <v>1268.894866</v>
      </c>
      <c r="AZ151" s="246">
        <f t="shared" si="164"/>
        <v>1281.583815</v>
      </c>
      <c r="BA151" s="246">
        <f t="shared" si="164"/>
        <v>1294.399653</v>
      </c>
      <c r="BB151" s="246">
        <f t="shared" si="164"/>
        <v>1307.34365</v>
      </c>
      <c r="BC151" s="246">
        <f t="shared" si="164"/>
        <v>1320.417086</v>
      </c>
      <c r="BD151" s="246">
        <f t="shared" si="164"/>
        <v>1333.621257</v>
      </c>
      <c r="BE151" s="246">
        <f t="shared" si="164"/>
        <v>1346.95747</v>
      </c>
      <c r="BF151" s="246">
        <f t="shared" si="164"/>
        <v>1360.427044</v>
      </c>
      <c r="BG151" s="246">
        <f t="shared" si="164"/>
        <v>1374.031315</v>
      </c>
      <c r="BH151" s="246">
        <f t="shared" si="164"/>
        <v>1387.771628</v>
      </c>
      <c r="BI151" s="246">
        <f t="shared" si="164"/>
        <v>1401.649344</v>
      </c>
      <c r="BJ151" s="246">
        <f t="shared" si="164"/>
        <v>1415.665838</v>
      </c>
      <c r="BK151" s="246">
        <f t="shared" si="164"/>
        <v>1429.822496</v>
      </c>
      <c r="BL151" s="246">
        <f t="shared" si="164"/>
        <v>1444.120721</v>
      </c>
      <c r="BM151" s="246">
        <f t="shared" si="164"/>
        <v>1458.561928</v>
      </c>
      <c r="BN151" s="246">
        <f t="shared" si="164"/>
        <v>1473.147548</v>
      </c>
      <c r="BO151" s="246">
        <f t="shared" si="164"/>
        <v>1487.879023</v>
      </c>
      <c r="BP151" s="246">
        <f t="shared" si="164"/>
        <v>1502.757813</v>
      </c>
      <c r="BQ151" s="246">
        <f t="shared" si="164"/>
        <v>1517.785391</v>
      </c>
      <c r="BR151" s="246">
        <f t="shared" si="164"/>
        <v>1532.963245</v>
      </c>
      <c r="BS151" s="246">
        <f t="shared" si="164"/>
        <v>1548.292878</v>
      </c>
      <c r="BT151" s="246">
        <f t="shared" si="164"/>
        <v>1563.775807</v>
      </c>
      <c r="BU151" s="246">
        <f t="shared" si="164"/>
        <v>1579.413565</v>
      </c>
      <c r="BV151" s="246">
        <f t="shared" si="164"/>
        <v>1595.2077</v>
      </c>
      <c r="BW151" s="246">
        <f t="shared" si="164"/>
        <v>1611.159777</v>
      </c>
      <c r="BX151" s="246">
        <f t="shared" si="164"/>
        <v>1627.271375</v>
      </c>
      <c r="BY151" s="246">
        <f t="shared" si="164"/>
        <v>1643.544089</v>
      </c>
      <c r="BZ151" s="246">
        <f t="shared" si="164"/>
        <v>1659.97953</v>
      </c>
      <c r="CA151" s="246">
        <f t="shared" si="164"/>
        <v>1676.579325</v>
      </c>
      <c r="CB151" s="246">
        <f t="shared" si="164"/>
        <v>1693.345118</v>
      </c>
      <c r="CC151" s="246">
        <f t="shared" si="164"/>
        <v>1710.278569</v>
      </c>
      <c r="CD151" s="246">
        <f t="shared" si="164"/>
        <v>1727.381355</v>
      </c>
      <c r="CE151" s="246">
        <f t="shared" si="164"/>
        <v>1744.655169</v>
      </c>
      <c r="CF151" s="246">
        <f t="shared" si="164"/>
        <v>1762.10172</v>
      </c>
      <c r="CG151" s="246">
        <f t="shared" si="164"/>
        <v>1779.722738</v>
      </c>
      <c r="CH151" s="246">
        <f t="shared" si="164"/>
        <v>1797.519965</v>
      </c>
      <c r="CI151" s="246">
        <f t="shared" si="164"/>
        <v>1815.495165</v>
      </c>
      <c r="CJ151" s="246"/>
      <c r="CK151" s="246"/>
      <c r="CL151" s="246">
        <f t="shared" ref="CL151:CQ151" si="165">CL88+CL120</f>
        <v>0</v>
      </c>
      <c r="CM151" s="246">
        <f t="shared" si="165"/>
        <v>0</v>
      </c>
      <c r="CN151" s="246">
        <f t="shared" si="165"/>
        <v>0</v>
      </c>
      <c r="CO151" s="246">
        <f t="shared" si="165"/>
        <v>0</v>
      </c>
      <c r="CP151" s="246">
        <f t="shared" si="165"/>
        <v>0</v>
      </c>
      <c r="CQ151" s="246">
        <f t="shared" si="165"/>
        <v>0</v>
      </c>
    </row>
    <row r="152" ht="15.75" customHeight="1">
      <c r="C152" s="146" t="s">
        <v>220</v>
      </c>
      <c r="D152" s="247">
        <f t="shared" ref="D152:CI152" si="166">D89+D121</f>
        <v>1379</v>
      </c>
      <c r="E152" s="247">
        <f t="shared" si="166"/>
        <v>3720</v>
      </c>
      <c r="F152" s="247">
        <f t="shared" si="166"/>
        <v>8752</v>
      </c>
      <c r="G152" s="247">
        <f t="shared" si="166"/>
        <v>6898</v>
      </c>
      <c r="H152" s="247">
        <f t="shared" si="166"/>
        <v>4921</v>
      </c>
      <c r="I152" s="247">
        <f t="shared" si="166"/>
        <v>5950</v>
      </c>
      <c r="J152" s="247">
        <f t="shared" si="166"/>
        <v>6271</v>
      </c>
      <c r="K152" s="247">
        <f t="shared" si="166"/>
        <v>4853</v>
      </c>
      <c r="L152" s="247">
        <f t="shared" si="166"/>
        <v>2206</v>
      </c>
      <c r="M152" s="247">
        <f t="shared" si="166"/>
        <v>4673</v>
      </c>
      <c r="N152" s="247">
        <f t="shared" si="166"/>
        <v>6397</v>
      </c>
      <c r="O152" s="247">
        <f t="shared" si="166"/>
        <v>5072</v>
      </c>
      <c r="P152" s="247">
        <f t="shared" si="166"/>
        <v>5650</v>
      </c>
      <c r="Q152" s="247">
        <f t="shared" si="166"/>
        <v>966</v>
      </c>
      <c r="R152" s="247">
        <f t="shared" si="166"/>
        <v>4368</v>
      </c>
      <c r="S152" s="247">
        <f t="shared" si="166"/>
        <v>2776</v>
      </c>
      <c r="T152" s="247">
        <f t="shared" si="166"/>
        <v>4197</v>
      </c>
      <c r="U152" s="247">
        <f t="shared" si="166"/>
        <v>5325</v>
      </c>
      <c r="V152" s="247">
        <f t="shared" si="166"/>
        <v>5743</v>
      </c>
      <c r="W152" s="247">
        <f t="shared" si="166"/>
        <v>2569</v>
      </c>
      <c r="X152" s="247">
        <f t="shared" si="166"/>
        <v>6101</v>
      </c>
      <c r="Y152" s="247">
        <f t="shared" si="166"/>
        <v>3185</v>
      </c>
      <c r="Z152" s="247">
        <f t="shared" si="166"/>
        <v>6764</v>
      </c>
      <c r="AA152" s="246">
        <f t="shared" si="166"/>
        <v>509.7636375</v>
      </c>
      <c r="AB152" s="246">
        <f t="shared" si="166"/>
        <v>560.7400013</v>
      </c>
      <c r="AC152" s="246">
        <f t="shared" si="166"/>
        <v>566.3474013</v>
      </c>
      <c r="AD152" s="246">
        <f t="shared" si="166"/>
        <v>572.0108753</v>
      </c>
      <c r="AE152" s="246">
        <f t="shared" si="166"/>
        <v>577.730984</v>
      </c>
      <c r="AF152" s="246">
        <f t="shared" si="166"/>
        <v>583.5082939</v>
      </c>
      <c r="AG152" s="246">
        <f t="shared" si="166"/>
        <v>589.3433768</v>
      </c>
      <c r="AH152" s="246">
        <f t="shared" si="166"/>
        <v>595.2368106</v>
      </c>
      <c r="AI152" s="246">
        <f t="shared" si="166"/>
        <v>601.1891787</v>
      </c>
      <c r="AJ152" s="246">
        <f t="shared" si="166"/>
        <v>607.2010705</v>
      </c>
      <c r="AK152" s="246">
        <f t="shared" si="166"/>
        <v>613.2730812</v>
      </c>
      <c r="AL152" s="246">
        <f t="shared" si="166"/>
        <v>619.405812</v>
      </c>
      <c r="AM152" s="246">
        <f t="shared" si="166"/>
        <v>625.5998701</v>
      </c>
      <c r="AN152" s="246">
        <f t="shared" si="166"/>
        <v>631.8558688</v>
      </c>
      <c r="AO152" s="246">
        <f t="shared" si="166"/>
        <v>638.1744275</v>
      </c>
      <c r="AP152" s="246">
        <f t="shared" si="166"/>
        <v>644.5561718</v>
      </c>
      <c r="AQ152" s="246">
        <f t="shared" si="166"/>
        <v>651.0017335</v>
      </c>
      <c r="AR152" s="246">
        <f t="shared" si="166"/>
        <v>657.5117508</v>
      </c>
      <c r="AS152" s="246">
        <f t="shared" si="166"/>
        <v>664.0868683</v>
      </c>
      <c r="AT152" s="246">
        <f t="shared" si="166"/>
        <v>670.727737</v>
      </c>
      <c r="AU152" s="246">
        <f t="shared" si="166"/>
        <v>677.4350144</v>
      </c>
      <c r="AV152" s="246">
        <f t="shared" si="166"/>
        <v>684.2093645</v>
      </c>
      <c r="AW152" s="246">
        <f t="shared" si="166"/>
        <v>691.0514582</v>
      </c>
      <c r="AX152" s="246">
        <f t="shared" si="166"/>
        <v>697.9619728</v>
      </c>
      <c r="AY152" s="246">
        <f t="shared" si="166"/>
        <v>704.9415925</v>
      </c>
      <c r="AZ152" s="246">
        <f t="shared" si="166"/>
        <v>711.9910084</v>
      </c>
      <c r="BA152" s="246">
        <f t="shared" si="166"/>
        <v>719.1109185</v>
      </c>
      <c r="BB152" s="246">
        <f t="shared" si="166"/>
        <v>726.3020277</v>
      </c>
      <c r="BC152" s="246">
        <f t="shared" si="166"/>
        <v>733.565048</v>
      </c>
      <c r="BD152" s="246">
        <f t="shared" si="166"/>
        <v>740.9006984</v>
      </c>
      <c r="BE152" s="246">
        <f t="shared" si="166"/>
        <v>748.3097054</v>
      </c>
      <c r="BF152" s="246">
        <f t="shared" si="166"/>
        <v>755.7928025</v>
      </c>
      <c r="BG152" s="246">
        <f t="shared" si="166"/>
        <v>763.3507305</v>
      </c>
      <c r="BH152" s="246">
        <f t="shared" si="166"/>
        <v>770.9842378</v>
      </c>
      <c r="BI152" s="246">
        <f t="shared" si="166"/>
        <v>778.6940802</v>
      </c>
      <c r="BJ152" s="246">
        <f t="shared" si="166"/>
        <v>786.481021</v>
      </c>
      <c r="BK152" s="246">
        <f t="shared" si="166"/>
        <v>794.3458312</v>
      </c>
      <c r="BL152" s="246">
        <f t="shared" si="166"/>
        <v>802.2892895</v>
      </c>
      <c r="BM152" s="246">
        <f t="shared" si="166"/>
        <v>810.3121824</v>
      </c>
      <c r="BN152" s="246">
        <f t="shared" si="166"/>
        <v>818.4153042</v>
      </c>
      <c r="BO152" s="246">
        <f t="shared" si="166"/>
        <v>826.5994573</v>
      </c>
      <c r="BP152" s="246">
        <f t="shared" si="166"/>
        <v>834.8654518</v>
      </c>
      <c r="BQ152" s="246">
        <f t="shared" si="166"/>
        <v>843.2141064</v>
      </c>
      <c r="BR152" s="246">
        <f t="shared" si="166"/>
        <v>851.6462474</v>
      </c>
      <c r="BS152" s="246">
        <f t="shared" si="166"/>
        <v>860.1627099</v>
      </c>
      <c r="BT152" s="246">
        <f t="shared" si="166"/>
        <v>868.764337</v>
      </c>
      <c r="BU152" s="246">
        <f t="shared" si="166"/>
        <v>877.4519804</v>
      </c>
      <c r="BV152" s="246">
        <f t="shared" si="166"/>
        <v>886.2265002</v>
      </c>
      <c r="BW152" s="246">
        <f t="shared" si="166"/>
        <v>895.0887652</v>
      </c>
      <c r="BX152" s="246">
        <f t="shared" si="166"/>
        <v>904.0396528</v>
      </c>
      <c r="BY152" s="246">
        <f t="shared" si="166"/>
        <v>913.0800493</v>
      </c>
      <c r="BZ152" s="246">
        <f t="shared" si="166"/>
        <v>922.2108498</v>
      </c>
      <c r="CA152" s="246">
        <f t="shared" si="166"/>
        <v>931.4329583</v>
      </c>
      <c r="CB152" s="246">
        <f t="shared" si="166"/>
        <v>940.7472879</v>
      </c>
      <c r="CC152" s="246">
        <f t="shared" si="166"/>
        <v>950.1547608</v>
      </c>
      <c r="CD152" s="246">
        <f t="shared" si="166"/>
        <v>959.6563084</v>
      </c>
      <c r="CE152" s="246">
        <f t="shared" si="166"/>
        <v>969.2528715</v>
      </c>
      <c r="CF152" s="246">
        <f t="shared" si="166"/>
        <v>978.9454002</v>
      </c>
      <c r="CG152" s="246">
        <f t="shared" si="166"/>
        <v>988.7348542</v>
      </c>
      <c r="CH152" s="246">
        <f t="shared" si="166"/>
        <v>998.6222027</v>
      </c>
      <c r="CI152" s="246">
        <f t="shared" si="166"/>
        <v>1008.608425</v>
      </c>
      <c r="CJ152" s="246"/>
      <c r="CK152" s="246"/>
      <c r="CL152" s="246">
        <f t="shared" ref="CL152:CQ152" si="167">CL89+CL121</f>
        <v>0</v>
      </c>
      <c r="CM152" s="246">
        <f t="shared" si="167"/>
        <v>0</v>
      </c>
      <c r="CN152" s="246">
        <f t="shared" si="167"/>
        <v>0</v>
      </c>
      <c r="CO152" s="246">
        <f t="shared" si="167"/>
        <v>0</v>
      </c>
      <c r="CP152" s="246">
        <f t="shared" si="167"/>
        <v>0</v>
      </c>
      <c r="CQ152" s="246">
        <f t="shared" si="167"/>
        <v>0</v>
      </c>
    </row>
    <row r="153" ht="15.75" customHeight="1">
      <c r="C153" s="272" t="s">
        <v>221</v>
      </c>
      <c r="D153" s="250">
        <f t="shared" ref="D153:CI153" si="168">D90+D122</f>
        <v>56138</v>
      </c>
      <c r="E153" s="250">
        <f t="shared" si="168"/>
        <v>69266</v>
      </c>
      <c r="F153" s="250">
        <f t="shared" si="168"/>
        <v>58117</v>
      </c>
      <c r="G153" s="250">
        <f t="shared" si="168"/>
        <v>59801</v>
      </c>
      <c r="H153" s="250">
        <f t="shared" si="168"/>
        <v>67927</v>
      </c>
      <c r="I153" s="250">
        <f t="shared" si="168"/>
        <v>63723</v>
      </c>
      <c r="J153" s="250">
        <f t="shared" si="168"/>
        <v>59860</v>
      </c>
      <c r="K153" s="250">
        <f t="shared" si="168"/>
        <v>75284</v>
      </c>
      <c r="L153" s="250">
        <f t="shared" si="168"/>
        <v>71532</v>
      </c>
      <c r="M153" s="250">
        <f t="shared" si="168"/>
        <v>60352</v>
      </c>
      <c r="N153" s="250">
        <f t="shared" si="168"/>
        <v>63541</v>
      </c>
      <c r="O153" s="250">
        <f t="shared" si="168"/>
        <v>68959</v>
      </c>
      <c r="P153" s="250">
        <f t="shared" si="168"/>
        <v>63538</v>
      </c>
      <c r="Q153" s="250">
        <f t="shared" si="168"/>
        <v>66823</v>
      </c>
      <c r="R153" s="250">
        <f t="shared" si="168"/>
        <v>65361</v>
      </c>
      <c r="S153" s="250">
        <f t="shared" si="168"/>
        <v>66222</v>
      </c>
      <c r="T153" s="250">
        <f t="shared" si="168"/>
        <v>79356</v>
      </c>
      <c r="U153" s="250">
        <f t="shared" si="168"/>
        <v>67655</v>
      </c>
      <c r="V153" s="250">
        <f t="shared" si="168"/>
        <v>58504</v>
      </c>
      <c r="W153" s="250">
        <f t="shared" si="168"/>
        <v>61112</v>
      </c>
      <c r="X153" s="250">
        <f t="shared" si="168"/>
        <v>65107</v>
      </c>
      <c r="Y153" s="250">
        <f t="shared" si="168"/>
        <v>62867</v>
      </c>
      <c r="Z153" s="250">
        <f t="shared" si="168"/>
        <v>66354</v>
      </c>
      <c r="AA153" s="251">
        <f t="shared" si="168"/>
        <v>89282.87085</v>
      </c>
      <c r="AB153" s="251">
        <f t="shared" si="168"/>
        <v>113865.4544</v>
      </c>
      <c r="AC153" s="251">
        <f t="shared" si="168"/>
        <v>113879.8792</v>
      </c>
      <c r="AD153" s="251">
        <f t="shared" si="168"/>
        <v>113247.2893</v>
      </c>
      <c r="AE153" s="251">
        <f t="shared" si="168"/>
        <v>116970.1522</v>
      </c>
      <c r="AF153" s="251">
        <f t="shared" si="168"/>
        <v>124916.2558</v>
      </c>
      <c r="AG153" s="251">
        <f t="shared" si="168"/>
        <v>123243.8675</v>
      </c>
      <c r="AH153" s="251">
        <f t="shared" si="168"/>
        <v>134227.9591</v>
      </c>
      <c r="AI153" s="251">
        <f t="shared" si="168"/>
        <v>145843.6588</v>
      </c>
      <c r="AJ153" s="251">
        <f t="shared" si="168"/>
        <v>161065.6228</v>
      </c>
      <c r="AK153" s="251">
        <f t="shared" si="168"/>
        <v>172061.541</v>
      </c>
      <c r="AL153" s="251">
        <f t="shared" si="168"/>
        <v>176446.1446</v>
      </c>
      <c r="AM153" s="251">
        <f t="shared" si="168"/>
        <v>186781.387</v>
      </c>
      <c r="AN153" s="251">
        <f t="shared" si="168"/>
        <v>206158.3174</v>
      </c>
      <c r="AO153" s="251">
        <f t="shared" si="168"/>
        <v>204316.8499</v>
      </c>
      <c r="AP153" s="251">
        <f t="shared" si="168"/>
        <v>201650.0834</v>
      </c>
      <c r="AQ153" s="251">
        <f t="shared" si="168"/>
        <v>204720.632</v>
      </c>
      <c r="AR153" s="251">
        <f t="shared" si="168"/>
        <v>211039.7351</v>
      </c>
      <c r="AS153" s="251">
        <f t="shared" si="168"/>
        <v>215181.9133</v>
      </c>
      <c r="AT153" s="251">
        <f t="shared" si="168"/>
        <v>224394.8331</v>
      </c>
      <c r="AU153" s="251">
        <f t="shared" si="168"/>
        <v>227713.5671</v>
      </c>
      <c r="AV153" s="251">
        <f t="shared" si="168"/>
        <v>235206.3885</v>
      </c>
      <c r="AW153" s="251">
        <f t="shared" si="168"/>
        <v>233032.4386</v>
      </c>
      <c r="AX153" s="251">
        <f t="shared" si="168"/>
        <v>230828.8134</v>
      </c>
      <c r="AY153" s="251">
        <f t="shared" si="168"/>
        <v>234614.0356</v>
      </c>
      <c r="AZ153" s="251">
        <f t="shared" si="168"/>
        <v>253199.0944</v>
      </c>
      <c r="BA153" s="251">
        <f t="shared" si="168"/>
        <v>251240.4938</v>
      </c>
      <c r="BB153" s="251">
        <f t="shared" si="168"/>
        <v>249139.4796</v>
      </c>
      <c r="BC153" s="251">
        <f t="shared" si="168"/>
        <v>253256.569</v>
      </c>
      <c r="BD153" s="251">
        <f t="shared" si="168"/>
        <v>263101.6471</v>
      </c>
      <c r="BE153" s="251">
        <f t="shared" si="168"/>
        <v>260998.7772</v>
      </c>
      <c r="BF153" s="251">
        <f t="shared" si="168"/>
        <v>264383.863</v>
      </c>
      <c r="BG153" s="251">
        <f t="shared" si="168"/>
        <v>275774.4353</v>
      </c>
      <c r="BH153" s="251">
        <f t="shared" si="168"/>
        <v>286227.6154</v>
      </c>
      <c r="BI153" s="251">
        <f t="shared" si="168"/>
        <v>283967.354</v>
      </c>
      <c r="BJ153" s="251">
        <f t="shared" si="168"/>
        <v>281670.2554</v>
      </c>
      <c r="BK153" s="251">
        <f t="shared" si="168"/>
        <v>293154.7928</v>
      </c>
      <c r="BL153" s="251">
        <f t="shared" si="168"/>
        <v>319267.6307</v>
      </c>
      <c r="BM153" s="251">
        <f t="shared" si="168"/>
        <v>317485.1895</v>
      </c>
      <c r="BN153" s="251">
        <f t="shared" si="168"/>
        <v>315828.3296</v>
      </c>
      <c r="BO153" s="251">
        <f t="shared" si="168"/>
        <v>320542.6495</v>
      </c>
      <c r="BP153" s="251">
        <f t="shared" si="168"/>
        <v>331354.1345</v>
      </c>
      <c r="BQ153" s="251">
        <f t="shared" si="168"/>
        <v>331962.4423</v>
      </c>
      <c r="BR153" s="251">
        <f t="shared" si="168"/>
        <v>329967.7782</v>
      </c>
      <c r="BS153" s="251">
        <f t="shared" si="168"/>
        <v>339994.3448</v>
      </c>
      <c r="BT153" s="251">
        <f t="shared" si="168"/>
        <v>351250.0596</v>
      </c>
      <c r="BU153" s="251">
        <f t="shared" si="168"/>
        <v>349138.3007</v>
      </c>
      <c r="BV153" s="251">
        <f t="shared" si="168"/>
        <v>347016.4939</v>
      </c>
      <c r="BW153" s="251">
        <f t="shared" si="168"/>
        <v>351827.4914</v>
      </c>
      <c r="BX153" s="251">
        <f t="shared" si="168"/>
        <v>374570.0294</v>
      </c>
      <c r="BY153" s="251">
        <f t="shared" si="168"/>
        <v>373330.0573</v>
      </c>
      <c r="BZ153" s="251">
        <f t="shared" si="168"/>
        <v>370894.6002</v>
      </c>
      <c r="CA153" s="251">
        <f t="shared" si="168"/>
        <v>375397.2082</v>
      </c>
      <c r="CB153" s="251">
        <f t="shared" si="168"/>
        <v>385181.8227</v>
      </c>
      <c r="CC153" s="251">
        <f t="shared" si="168"/>
        <v>385347.6458</v>
      </c>
      <c r="CD153" s="251">
        <f t="shared" si="168"/>
        <v>383010.3821</v>
      </c>
      <c r="CE153" s="251">
        <f t="shared" si="168"/>
        <v>387633.8455</v>
      </c>
      <c r="CF153" s="251">
        <f t="shared" si="168"/>
        <v>397990.9128</v>
      </c>
      <c r="CG153" s="251">
        <f t="shared" si="168"/>
        <v>395653.7765</v>
      </c>
      <c r="CH153" s="251">
        <f t="shared" si="168"/>
        <v>393309.5272</v>
      </c>
      <c r="CI153" s="251">
        <f t="shared" si="168"/>
        <v>398006.1433</v>
      </c>
      <c r="CJ153" s="246"/>
      <c r="CK153" s="246"/>
      <c r="CL153" s="251">
        <f t="shared" ref="CL153:CQ153" si="169">CL90+CL122</f>
        <v>243322</v>
      </c>
      <c r="CM153" s="251">
        <f t="shared" si="169"/>
        <v>266794</v>
      </c>
      <c r="CN153" s="251">
        <f t="shared" si="169"/>
        <v>264384</v>
      </c>
      <c r="CO153" s="251">
        <f t="shared" si="169"/>
        <v>261944</v>
      </c>
      <c r="CP153" s="251">
        <f t="shared" si="169"/>
        <v>266627</v>
      </c>
      <c r="CQ153" s="251">
        <f t="shared" si="169"/>
        <v>283610.8708</v>
      </c>
    </row>
    <row r="154" ht="15.75" customHeight="1">
      <c r="C154" s="257" t="s">
        <v>800</v>
      </c>
      <c r="D154" s="130">
        <f t="shared" ref="D154:CI154" si="170">D153/D$284</f>
        <v>3.180983681</v>
      </c>
      <c r="E154" s="130">
        <f t="shared" si="170"/>
        <v>3.993197279</v>
      </c>
      <c r="F154" s="130">
        <f t="shared" si="170"/>
        <v>3.84320857</v>
      </c>
      <c r="G154" s="130">
        <f t="shared" si="170"/>
        <v>3.684142435</v>
      </c>
      <c r="H154" s="130">
        <f t="shared" si="170"/>
        <v>3.75640104</v>
      </c>
      <c r="I154" s="130">
        <f t="shared" si="170"/>
        <v>3.873738602</v>
      </c>
      <c r="J154" s="130">
        <f t="shared" si="170"/>
        <v>3.486922584</v>
      </c>
      <c r="K154" s="130">
        <f t="shared" si="170"/>
        <v>4.040358504</v>
      </c>
      <c r="L154" s="130">
        <f t="shared" si="170"/>
        <v>3.839201374</v>
      </c>
      <c r="M154" s="130">
        <f t="shared" si="170"/>
        <v>3.4952221</v>
      </c>
      <c r="N154" s="130">
        <f t="shared" si="170"/>
        <v>3.263030863</v>
      </c>
      <c r="O154" s="130">
        <f t="shared" si="170"/>
        <v>4.029155711</v>
      </c>
      <c r="P154" s="130">
        <f t="shared" si="170"/>
        <v>2.799400802</v>
      </c>
      <c r="Q154" s="130">
        <f t="shared" si="170"/>
        <v>2.86412927</v>
      </c>
      <c r="R154" s="130">
        <f t="shared" si="170"/>
        <v>2.551768564</v>
      </c>
      <c r="S154" s="130">
        <f t="shared" si="170"/>
        <v>2.754429748</v>
      </c>
      <c r="T154" s="130">
        <f t="shared" si="170"/>
        <v>3.433838165</v>
      </c>
      <c r="U154" s="130">
        <f t="shared" si="170"/>
        <v>3.24749196</v>
      </c>
      <c r="V154" s="130">
        <f t="shared" si="170"/>
        <v>2.361317404</v>
      </c>
      <c r="W154" s="130">
        <f t="shared" si="170"/>
        <v>2.928502971</v>
      </c>
      <c r="X154" s="130">
        <f t="shared" si="170"/>
        <v>2.570351362</v>
      </c>
      <c r="Y154" s="130">
        <f t="shared" si="170"/>
        <v>2.56213066</v>
      </c>
      <c r="Z154" s="130">
        <f t="shared" si="170"/>
        <v>3.103699892</v>
      </c>
      <c r="AA154" s="130">
        <f t="shared" si="170"/>
        <v>0.4793997572</v>
      </c>
      <c r="AB154" s="130">
        <f t="shared" si="170"/>
        <v>0.5784887497</v>
      </c>
      <c r="AC154" s="130">
        <f t="shared" si="170"/>
        <v>0.5384908757</v>
      </c>
      <c r="AD154" s="130">
        <f t="shared" si="170"/>
        <v>0.5010387927</v>
      </c>
      <c r="AE154" s="130">
        <f t="shared" si="170"/>
        <v>0.500057382</v>
      </c>
      <c r="AF154" s="130">
        <f t="shared" si="170"/>
        <v>0.5117823308</v>
      </c>
      <c r="AG154" s="130">
        <f t="shared" si="170"/>
        <v>0.5024348934</v>
      </c>
      <c r="AH154" s="130">
        <f t="shared" si="170"/>
        <v>0.5008028324</v>
      </c>
      <c r="AI154" s="130">
        <f t="shared" si="170"/>
        <v>0.5288975738</v>
      </c>
      <c r="AJ154" s="130">
        <f t="shared" si="170"/>
        <v>0.5490971851</v>
      </c>
      <c r="AK154" s="130">
        <f t="shared" si="170"/>
        <v>0.5554189098</v>
      </c>
      <c r="AL154" s="130">
        <f t="shared" si="170"/>
        <v>0.5558834637</v>
      </c>
      <c r="AM154" s="130">
        <f t="shared" si="170"/>
        <v>0.5513199505</v>
      </c>
      <c r="AN154" s="130">
        <f t="shared" si="170"/>
        <v>0.499819375</v>
      </c>
      <c r="AO154" s="130">
        <f t="shared" si="170"/>
        <v>0.4644020629</v>
      </c>
      <c r="AP154" s="130">
        <f t="shared" si="170"/>
        <v>0.4439629909</v>
      </c>
      <c r="AQ154" s="130">
        <f t="shared" si="170"/>
        <v>0.4496372554</v>
      </c>
      <c r="AR154" s="130">
        <f t="shared" si="170"/>
        <v>0.4388210023</v>
      </c>
      <c r="AS154" s="130">
        <f t="shared" si="170"/>
        <v>0.4404662911</v>
      </c>
      <c r="AT154" s="130">
        <f t="shared" si="170"/>
        <v>0.4285692449</v>
      </c>
      <c r="AU154" s="130">
        <f t="shared" si="170"/>
        <v>0.4171831169</v>
      </c>
      <c r="AV154" s="130">
        <f t="shared" si="170"/>
        <v>0.4081884604</v>
      </c>
      <c r="AW154" s="130">
        <f t="shared" si="170"/>
        <v>0.3941413979</v>
      </c>
      <c r="AX154" s="130">
        <f t="shared" si="170"/>
        <v>0.3764412835</v>
      </c>
      <c r="AY154" s="130">
        <f t="shared" si="170"/>
        <v>0.3819145971</v>
      </c>
      <c r="AZ154" s="130">
        <f t="shared" si="170"/>
        <v>0.384873248</v>
      </c>
      <c r="BA154" s="130">
        <f t="shared" si="170"/>
        <v>0.3572846773</v>
      </c>
      <c r="BB154" s="130">
        <f t="shared" si="170"/>
        <v>0.3427981188</v>
      </c>
      <c r="BC154" s="130">
        <f t="shared" si="170"/>
        <v>0.3271845621</v>
      </c>
      <c r="BD154" s="130">
        <f t="shared" si="170"/>
        <v>0.3282631391</v>
      </c>
      <c r="BE154" s="130">
        <f t="shared" si="170"/>
        <v>0.3191665881</v>
      </c>
      <c r="BF154" s="130">
        <f t="shared" si="170"/>
        <v>0.3139679267</v>
      </c>
      <c r="BG154" s="130">
        <f t="shared" si="170"/>
        <v>0.3240404996</v>
      </c>
      <c r="BH154" s="130">
        <f t="shared" si="170"/>
        <v>0.3194292908</v>
      </c>
      <c r="BI154" s="130">
        <f t="shared" si="170"/>
        <v>0.3085546814</v>
      </c>
      <c r="BJ154" s="130">
        <f t="shared" si="170"/>
        <v>0.3054981501</v>
      </c>
      <c r="BK154" s="130">
        <f t="shared" si="170"/>
        <v>0.3050627103</v>
      </c>
      <c r="BL154" s="130">
        <f t="shared" si="170"/>
        <v>0.2992822853</v>
      </c>
      <c r="BM154" s="130">
        <f t="shared" si="170"/>
        <v>0.2434475301</v>
      </c>
      <c r="BN154" s="130">
        <f t="shared" si="170"/>
        <v>0.2242960589</v>
      </c>
      <c r="BO154" s="130">
        <f t="shared" si="170"/>
        <v>0.2244573577</v>
      </c>
      <c r="BP154" s="130">
        <f t="shared" si="170"/>
        <v>0.222274162</v>
      </c>
      <c r="BQ154" s="130">
        <f t="shared" si="170"/>
        <v>0.2212085294</v>
      </c>
      <c r="BR154" s="130">
        <f t="shared" si="170"/>
        <v>0.214914761</v>
      </c>
      <c r="BS154" s="130">
        <f t="shared" si="170"/>
        <v>0.2176855446</v>
      </c>
      <c r="BT154" s="130">
        <f t="shared" si="170"/>
        <v>0.215472458</v>
      </c>
      <c r="BU154" s="130">
        <f t="shared" si="170"/>
        <v>0.2128419965</v>
      </c>
      <c r="BV154" s="130">
        <f t="shared" si="170"/>
        <v>0.2051771216</v>
      </c>
      <c r="BW154" s="130">
        <f t="shared" si="170"/>
        <v>0.2077661335</v>
      </c>
      <c r="BX154" s="130">
        <f t="shared" si="170"/>
        <v>0.2089752481</v>
      </c>
      <c r="BY154" s="130">
        <f t="shared" si="170"/>
        <v>0.2026324566</v>
      </c>
      <c r="BZ154" s="130">
        <f t="shared" si="170"/>
        <v>0.199384547</v>
      </c>
      <c r="CA154" s="130">
        <f t="shared" si="170"/>
        <v>0.1989699295</v>
      </c>
      <c r="CB154" s="130">
        <f t="shared" si="170"/>
        <v>0.197623342</v>
      </c>
      <c r="CC154" s="130">
        <f t="shared" si="170"/>
        <v>0.1941937464</v>
      </c>
      <c r="CD154" s="130">
        <f t="shared" si="170"/>
        <v>0.1912400925</v>
      </c>
      <c r="CE154" s="130">
        <f t="shared" si="170"/>
        <v>0.1933986364</v>
      </c>
      <c r="CF154" s="130">
        <f t="shared" si="170"/>
        <v>0.1904859123</v>
      </c>
      <c r="CG154" s="130">
        <f t="shared" si="170"/>
        <v>0.189218975</v>
      </c>
      <c r="CH154" s="130">
        <f t="shared" si="170"/>
        <v>0.1849541523</v>
      </c>
      <c r="CI154" s="130">
        <f t="shared" si="170"/>
        <v>0.1848080968</v>
      </c>
      <c r="CL154" s="130">
        <f t="shared" ref="CL154:CO154" si="171">CL153/CL$284</f>
        <v>3.667359981</v>
      </c>
      <c r="CM154" s="130">
        <f t="shared" si="171"/>
        <v>3.793297599</v>
      </c>
      <c r="CN154" s="130">
        <f t="shared" si="171"/>
        <v>3.647329866</v>
      </c>
      <c r="CO154" s="130">
        <f t="shared" si="171"/>
        <v>2.737594582</v>
      </c>
    </row>
    <row r="155" ht="15.75" customHeight="1">
      <c r="C155" s="257"/>
      <c r="D155" s="247"/>
      <c r="E155" s="247"/>
      <c r="F155" s="247"/>
      <c r="G155" s="247"/>
      <c r="H155" s="247"/>
      <c r="I155" s="247"/>
      <c r="J155" s="247"/>
      <c r="K155" s="247"/>
      <c r="L155" s="247"/>
      <c r="M155" s="247"/>
      <c r="N155" s="24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7"/>
      <c r="BO155" s="117"/>
      <c r="BP155" s="117"/>
      <c r="BQ155" s="117"/>
      <c r="BR155" s="117"/>
      <c r="BS155" s="117"/>
      <c r="BT155" s="117"/>
      <c r="BU155" s="117"/>
      <c r="BV155" s="117"/>
      <c r="BW155" s="117"/>
      <c r="BX155" s="117"/>
      <c r="BY155" s="117"/>
      <c r="BZ155" s="117"/>
      <c r="CA155" s="117"/>
      <c r="CB155" s="117"/>
      <c r="CC155" s="117"/>
      <c r="CD155" s="117"/>
      <c r="CE155" s="117"/>
      <c r="CF155" s="117"/>
      <c r="CG155" s="117"/>
      <c r="CH155" s="117"/>
      <c r="CI155" s="117"/>
    </row>
    <row r="156" ht="15.75" customHeight="1">
      <c r="C156" s="257" t="s">
        <v>806</v>
      </c>
      <c r="D156" s="117">
        <f t="shared" ref="D156:CI156" si="172">D135-D153</f>
        <v>342858</v>
      </c>
      <c r="E156" s="117">
        <f t="shared" si="172"/>
        <v>285136</v>
      </c>
      <c r="F156" s="117">
        <f t="shared" si="172"/>
        <v>312391</v>
      </c>
      <c r="G156" s="117">
        <f t="shared" si="172"/>
        <v>433151</v>
      </c>
      <c r="H156" s="117">
        <f t="shared" si="172"/>
        <v>339645</v>
      </c>
      <c r="I156" s="117">
        <f t="shared" si="172"/>
        <v>446594</v>
      </c>
      <c r="J156" s="117">
        <f t="shared" si="172"/>
        <v>340738</v>
      </c>
      <c r="K156" s="117">
        <f t="shared" si="172"/>
        <v>309530</v>
      </c>
      <c r="L156" s="117">
        <f t="shared" si="172"/>
        <v>263287</v>
      </c>
      <c r="M156" s="117">
        <f t="shared" si="172"/>
        <v>271075</v>
      </c>
      <c r="N156" s="117">
        <f t="shared" si="172"/>
        <v>291116</v>
      </c>
      <c r="O156" s="117">
        <f t="shared" si="172"/>
        <v>269823</v>
      </c>
      <c r="P156" s="117">
        <f t="shared" si="172"/>
        <v>397109</v>
      </c>
      <c r="Q156" s="117">
        <f t="shared" si="172"/>
        <v>298073</v>
      </c>
      <c r="R156" s="117">
        <f t="shared" si="172"/>
        <v>379642</v>
      </c>
      <c r="S156" s="117">
        <f t="shared" si="172"/>
        <v>439805</v>
      </c>
      <c r="T156" s="117">
        <f t="shared" si="172"/>
        <v>363704</v>
      </c>
      <c r="U156" s="117">
        <f t="shared" si="172"/>
        <v>362128</v>
      </c>
      <c r="V156" s="117">
        <f t="shared" si="172"/>
        <v>389492</v>
      </c>
      <c r="W156" s="117">
        <f t="shared" si="172"/>
        <v>275321</v>
      </c>
      <c r="X156" s="117">
        <f t="shared" si="172"/>
        <v>194957</v>
      </c>
      <c r="Y156" s="117">
        <f t="shared" si="172"/>
        <v>404306</v>
      </c>
      <c r="Z156" s="117">
        <f t="shared" si="172"/>
        <v>286453</v>
      </c>
      <c r="AA156" s="117">
        <f t="shared" si="172"/>
        <v>350219.4565</v>
      </c>
      <c r="AB156" s="117">
        <f t="shared" si="172"/>
        <v>419866.3119</v>
      </c>
      <c r="AC156" s="117">
        <f t="shared" si="172"/>
        <v>511815.4883</v>
      </c>
      <c r="AD156" s="117">
        <f t="shared" si="172"/>
        <v>593822.5253</v>
      </c>
      <c r="AE156" s="117">
        <f t="shared" si="172"/>
        <v>663268.5775</v>
      </c>
      <c r="AF156" s="117">
        <f t="shared" si="172"/>
        <v>724559.5458</v>
      </c>
      <c r="AG156" s="117">
        <f t="shared" si="172"/>
        <v>792306.8948</v>
      </c>
      <c r="AH156" s="117">
        <f t="shared" si="172"/>
        <v>844248.6715</v>
      </c>
      <c r="AI156" s="117">
        <f t="shared" si="172"/>
        <v>895413.5635</v>
      </c>
      <c r="AJ156" s="117">
        <f t="shared" si="172"/>
        <v>937355.0234</v>
      </c>
      <c r="AK156" s="117">
        <f t="shared" si="172"/>
        <v>981493.8688</v>
      </c>
      <c r="AL156" s="117">
        <f t="shared" si="172"/>
        <v>1025137.334</v>
      </c>
      <c r="AM156" s="117">
        <f t="shared" si="172"/>
        <v>1062556.026</v>
      </c>
      <c r="AN156" s="117">
        <f t="shared" si="172"/>
        <v>1095810.398</v>
      </c>
      <c r="AO156" s="117">
        <f t="shared" si="172"/>
        <v>1107486.267</v>
      </c>
      <c r="AP156" s="117">
        <f t="shared" si="172"/>
        <v>1111140.478</v>
      </c>
      <c r="AQ156" s="117">
        <f t="shared" si="172"/>
        <v>1114887.082</v>
      </c>
      <c r="AR156" s="117">
        <f t="shared" si="172"/>
        <v>1118910.562</v>
      </c>
      <c r="AS156" s="117">
        <f t="shared" si="172"/>
        <v>1127431.124</v>
      </c>
      <c r="AT156" s="117">
        <f t="shared" si="172"/>
        <v>1131668.39</v>
      </c>
      <c r="AU156" s="117">
        <f t="shared" si="172"/>
        <v>1141950.863</v>
      </c>
      <c r="AV156" s="117">
        <f t="shared" si="172"/>
        <v>1148118.138</v>
      </c>
      <c r="AW156" s="117">
        <f t="shared" si="172"/>
        <v>1163946.294</v>
      </c>
      <c r="AX156" s="117">
        <f t="shared" si="172"/>
        <v>1179754.432</v>
      </c>
      <c r="AY156" s="117">
        <f t="shared" si="172"/>
        <v>1189495.655</v>
      </c>
      <c r="AZ156" s="117">
        <f t="shared" si="172"/>
        <v>1188200.93</v>
      </c>
      <c r="BA156" s="117">
        <f t="shared" si="172"/>
        <v>1216893.575</v>
      </c>
      <c r="BB156" s="117">
        <f t="shared" si="172"/>
        <v>1244603.224</v>
      </c>
      <c r="BC156" s="117">
        <f t="shared" si="172"/>
        <v>1265058.492</v>
      </c>
      <c r="BD156" s="117">
        <f t="shared" si="172"/>
        <v>1278956.434</v>
      </c>
      <c r="BE156" s="117">
        <f t="shared" si="172"/>
        <v>1304109.547</v>
      </c>
      <c r="BF156" s="117">
        <f t="shared" si="172"/>
        <v>1323180.174</v>
      </c>
      <c r="BG156" s="117">
        <f t="shared" si="172"/>
        <v>1333725.38</v>
      </c>
      <c r="BH156" s="117">
        <f t="shared" si="172"/>
        <v>1344746.671</v>
      </c>
      <c r="BI156" s="117">
        <f t="shared" si="172"/>
        <v>1368067.335</v>
      </c>
      <c r="BJ156" s="117">
        <f t="shared" si="172"/>
        <v>1391049.628</v>
      </c>
      <c r="BK156" s="117">
        <f t="shared" si="172"/>
        <v>1399907.657</v>
      </c>
      <c r="BL156" s="117">
        <f t="shared" si="172"/>
        <v>1399700.77</v>
      </c>
      <c r="BM156" s="117">
        <f t="shared" si="172"/>
        <v>1429404.683</v>
      </c>
      <c r="BN156" s="117">
        <f t="shared" si="172"/>
        <v>1456890.363</v>
      </c>
      <c r="BO156" s="117">
        <f t="shared" si="172"/>
        <v>1476242.435</v>
      </c>
      <c r="BP156" s="117">
        <f t="shared" si="172"/>
        <v>1489196.454</v>
      </c>
      <c r="BQ156" s="117">
        <f t="shared" si="172"/>
        <v>1512094.367</v>
      </c>
      <c r="BR156" s="117">
        <f t="shared" si="172"/>
        <v>1537359.138</v>
      </c>
      <c r="BS156" s="117">
        <f t="shared" si="172"/>
        <v>1550383.42</v>
      </c>
      <c r="BT156" s="117">
        <f t="shared" si="172"/>
        <v>1561973.967</v>
      </c>
      <c r="BU156" s="117">
        <f t="shared" si="172"/>
        <v>1586741.267</v>
      </c>
      <c r="BV156" s="117">
        <f t="shared" si="172"/>
        <v>1611341.38</v>
      </c>
      <c r="BW156" s="117">
        <f t="shared" si="172"/>
        <v>1628844.672</v>
      </c>
      <c r="BX156" s="117">
        <f t="shared" si="172"/>
        <v>1628420.261</v>
      </c>
      <c r="BY156" s="117">
        <f t="shared" si="172"/>
        <v>1643184.604</v>
      </c>
      <c r="BZ156" s="117">
        <f t="shared" si="172"/>
        <v>1656908.219</v>
      </c>
      <c r="CA156" s="117">
        <f t="shared" si="172"/>
        <v>1664511.642</v>
      </c>
      <c r="CB156" s="117">
        <f t="shared" si="172"/>
        <v>1667862.753</v>
      </c>
      <c r="CC156" s="117">
        <f t="shared" si="172"/>
        <v>1681368.807</v>
      </c>
      <c r="CD156" s="117">
        <f t="shared" si="172"/>
        <v>1697689.034</v>
      </c>
      <c r="CE156" s="117">
        <f t="shared" si="172"/>
        <v>1707243.321</v>
      </c>
      <c r="CF156" s="117">
        <f t="shared" si="172"/>
        <v>1711191.464</v>
      </c>
      <c r="CG156" s="117">
        <f t="shared" si="172"/>
        <v>1727919.108</v>
      </c>
      <c r="CH156" s="117">
        <f t="shared" si="172"/>
        <v>1744711.7</v>
      </c>
      <c r="CI156" s="117">
        <f t="shared" si="172"/>
        <v>1754503.264</v>
      </c>
      <c r="CJ156" s="117"/>
      <c r="CK156" s="117"/>
      <c r="CL156" s="117">
        <f t="shared" ref="CL156:CQ156" si="173">CL135-CL153</f>
        <v>1373536</v>
      </c>
      <c r="CM156" s="117">
        <f t="shared" si="173"/>
        <v>1436507</v>
      </c>
      <c r="CN156" s="117">
        <f t="shared" si="173"/>
        <v>1095301</v>
      </c>
      <c r="CO156" s="117">
        <f t="shared" si="173"/>
        <v>1514629</v>
      </c>
      <c r="CP156" s="117">
        <f t="shared" si="173"/>
        <v>1390645</v>
      </c>
      <c r="CQ156" s="117">
        <f t="shared" si="173"/>
        <v>1235935.457</v>
      </c>
    </row>
    <row r="157" ht="15.75" customHeight="1">
      <c r="C157" s="517" t="s">
        <v>101</v>
      </c>
      <c r="D157" s="519">
        <f t="shared" ref="D157:CI157" si="174">D156/D135</f>
        <v>0.8593018476</v>
      </c>
      <c r="E157" s="519">
        <f t="shared" si="174"/>
        <v>0.804555279</v>
      </c>
      <c r="F157" s="519">
        <f t="shared" si="174"/>
        <v>0.8431423883</v>
      </c>
      <c r="G157" s="519">
        <f t="shared" si="174"/>
        <v>0.8786879858</v>
      </c>
      <c r="H157" s="519">
        <f t="shared" si="174"/>
        <v>0.8333374226</v>
      </c>
      <c r="I157" s="519">
        <f t="shared" si="174"/>
        <v>0.8751305561</v>
      </c>
      <c r="J157" s="519">
        <f t="shared" si="174"/>
        <v>0.8505733928</v>
      </c>
      <c r="K157" s="519">
        <f t="shared" si="174"/>
        <v>0.8043626271</v>
      </c>
      <c r="L157" s="519">
        <f t="shared" si="174"/>
        <v>0.7863562104</v>
      </c>
      <c r="M157" s="519">
        <f t="shared" si="174"/>
        <v>0.8179025849</v>
      </c>
      <c r="N157" s="519">
        <f t="shared" si="174"/>
        <v>0.8208381619</v>
      </c>
      <c r="O157" s="519">
        <f t="shared" si="174"/>
        <v>0.7964502246</v>
      </c>
      <c r="P157" s="519">
        <f t="shared" si="174"/>
        <v>0.8620679175</v>
      </c>
      <c r="Q157" s="519">
        <f t="shared" si="174"/>
        <v>0.8168711085</v>
      </c>
      <c r="R157" s="519">
        <f t="shared" si="174"/>
        <v>0.8531223385</v>
      </c>
      <c r="S157" s="519">
        <f t="shared" si="174"/>
        <v>0.8691334652</v>
      </c>
      <c r="T157" s="519">
        <f t="shared" si="174"/>
        <v>0.8208910757</v>
      </c>
      <c r="U157" s="519">
        <f t="shared" si="174"/>
        <v>0.8425833502</v>
      </c>
      <c r="V157" s="519">
        <f t="shared" si="174"/>
        <v>0.8694095483</v>
      </c>
      <c r="W157" s="519">
        <f t="shared" si="174"/>
        <v>0.8183531342</v>
      </c>
      <c r="X157" s="519">
        <f t="shared" si="174"/>
        <v>0.7496500861</v>
      </c>
      <c r="Y157" s="519">
        <f t="shared" si="174"/>
        <v>0.8654310074</v>
      </c>
      <c r="Z157" s="519">
        <f t="shared" si="174"/>
        <v>0.8119255003</v>
      </c>
      <c r="AA157" s="519">
        <f t="shared" si="174"/>
        <v>0.7968546119</v>
      </c>
      <c r="AB157" s="519">
        <f t="shared" si="174"/>
        <v>0.78666165</v>
      </c>
      <c r="AC157" s="519">
        <f t="shared" si="174"/>
        <v>0.8179946902</v>
      </c>
      <c r="AD157" s="519">
        <f t="shared" si="174"/>
        <v>0.8398357745</v>
      </c>
      <c r="AE157" s="519">
        <f t="shared" si="174"/>
        <v>0.8500841502</v>
      </c>
      <c r="AF157" s="519">
        <f t="shared" si="174"/>
        <v>0.8529490121</v>
      </c>
      <c r="AG157" s="519">
        <f t="shared" si="174"/>
        <v>0.8653882749</v>
      </c>
      <c r="AH157" s="519">
        <f t="shared" si="174"/>
        <v>0.8628194533</v>
      </c>
      <c r="AI157" s="519">
        <f t="shared" si="174"/>
        <v>0.8599350327</v>
      </c>
      <c r="AJ157" s="519">
        <f t="shared" si="174"/>
        <v>0.8533661732</v>
      </c>
      <c r="AK157" s="519">
        <f t="shared" si="174"/>
        <v>0.8508424134</v>
      </c>
      <c r="AL157" s="519">
        <f t="shared" si="174"/>
        <v>0.8531553174</v>
      </c>
      <c r="AM157" s="519">
        <f t="shared" si="174"/>
        <v>0.8504956427</v>
      </c>
      <c r="AN157" s="519">
        <f t="shared" si="174"/>
        <v>0.8416564738</v>
      </c>
      <c r="AO157" s="519">
        <f t="shared" si="174"/>
        <v>0.8442473209</v>
      </c>
      <c r="AP157" s="519">
        <f t="shared" si="174"/>
        <v>0.8463958461</v>
      </c>
      <c r="AQ157" s="519">
        <f t="shared" si="174"/>
        <v>0.8448625073</v>
      </c>
      <c r="AR157" s="519">
        <f t="shared" si="174"/>
        <v>0.8413175774</v>
      </c>
      <c r="AS157" s="519">
        <f t="shared" si="174"/>
        <v>0.8397290154</v>
      </c>
      <c r="AT157" s="519">
        <f t="shared" si="174"/>
        <v>0.8345247999</v>
      </c>
      <c r="AU157" s="519">
        <f t="shared" si="174"/>
        <v>0.8337449947</v>
      </c>
      <c r="AV157" s="519">
        <f t="shared" si="174"/>
        <v>0.829970203</v>
      </c>
      <c r="AW157" s="519">
        <f t="shared" si="174"/>
        <v>0.8331882704</v>
      </c>
      <c r="AX157" s="519">
        <f t="shared" si="174"/>
        <v>0.8363593116</v>
      </c>
      <c r="AY157" s="519">
        <f t="shared" si="174"/>
        <v>0.8352556428</v>
      </c>
      <c r="AZ157" s="519">
        <f t="shared" si="174"/>
        <v>0.8243380809</v>
      </c>
      <c r="BA157" s="519">
        <f t="shared" si="174"/>
        <v>0.8288708782</v>
      </c>
      <c r="BB157" s="519">
        <f t="shared" si="174"/>
        <v>0.8332112492</v>
      </c>
      <c r="BC157" s="519">
        <f t="shared" si="174"/>
        <v>0.8331989351</v>
      </c>
      <c r="BD157" s="519">
        <f t="shared" si="174"/>
        <v>0.8293827902</v>
      </c>
      <c r="BE157" s="519">
        <f t="shared" si="174"/>
        <v>0.833239161</v>
      </c>
      <c r="BF157" s="519">
        <f t="shared" si="174"/>
        <v>0.8334657017</v>
      </c>
      <c r="BG157" s="519">
        <f t="shared" si="174"/>
        <v>0.8286582996</v>
      </c>
      <c r="BH157" s="519">
        <f t="shared" si="174"/>
        <v>0.824505133</v>
      </c>
      <c r="BI157" s="519">
        <f t="shared" si="174"/>
        <v>0.8281105379</v>
      </c>
      <c r="BJ157" s="519">
        <f t="shared" si="174"/>
        <v>0.8316094296</v>
      </c>
      <c r="BK157" s="519">
        <f t="shared" si="174"/>
        <v>0.8268493918</v>
      </c>
      <c r="BL157" s="519">
        <f t="shared" si="174"/>
        <v>0.8142678885</v>
      </c>
      <c r="BM157" s="519">
        <f t="shared" si="174"/>
        <v>0.818256895</v>
      </c>
      <c r="BN157" s="519">
        <f t="shared" si="174"/>
        <v>0.8218395671</v>
      </c>
      <c r="BO157" s="519">
        <f t="shared" si="174"/>
        <v>0.8216021202</v>
      </c>
      <c r="BP157" s="519">
        <f t="shared" si="174"/>
        <v>0.8179923499</v>
      </c>
      <c r="BQ157" s="519">
        <f t="shared" si="174"/>
        <v>0.8199825295</v>
      </c>
      <c r="BR157" s="519">
        <f t="shared" si="174"/>
        <v>0.8232940492</v>
      </c>
      <c r="BS157" s="519">
        <f t="shared" si="174"/>
        <v>0.8201447609</v>
      </c>
      <c r="BT157" s="519">
        <f t="shared" si="174"/>
        <v>0.8164093411</v>
      </c>
      <c r="BU157" s="519">
        <f t="shared" si="174"/>
        <v>0.8196487496</v>
      </c>
      <c r="BV157" s="519">
        <f t="shared" si="174"/>
        <v>0.8228023087</v>
      </c>
      <c r="BW157" s="519">
        <f t="shared" si="174"/>
        <v>0.8223696491</v>
      </c>
      <c r="BX157" s="519">
        <f t="shared" si="174"/>
        <v>0.8129945856</v>
      </c>
      <c r="BY157" s="519">
        <f t="shared" si="174"/>
        <v>0.8148637029</v>
      </c>
      <c r="BZ157" s="519">
        <f t="shared" si="174"/>
        <v>0.8170953326</v>
      </c>
      <c r="CA157" s="519">
        <f t="shared" si="174"/>
        <v>0.8159735381</v>
      </c>
      <c r="CB157" s="519">
        <f t="shared" si="174"/>
        <v>0.8123850659</v>
      </c>
      <c r="CC157" s="519">
        <f t="shared" si="174"/>
        <v>0.8135459534</v>
      </c>
      <c r="CD157" s="519">
        <f t="shared" si="174"/>
        <v>0.8159222908</v>
      </c>
      <c r="CE157" s="519">
        <f t="shared" si="174"/>
        <v>0.8149610623</v>
      </c>
      <c r="CF157" s="519">
        <f t="shared" si="174"/>
        <v>0.8113055954</v>
      </c>
      <c r="CG157" s="519">
        <f t="shared" si="174"/>
        <v>0.8136848613</v>
      </c>
      <c r="CH157" s="519">
        <f t="shared" si="174"/>
        <v>0.8160404012</v>
      </c>
      <c r="CI157" s="519">
        <f t="shared" si="174"/>
        <v>0.8150966765</v>
      </c>
      <c r="CJ157" s="519"/>
      <c r="CK157" s="519"/>
      <c r="CL157" s="519">
        <f t="shared" ref="CL157:CQ157" si="175">CL156/CL135</f>
        <v>0.849509357</v>
      </c>
      <c r="CM157" s="519">
        <f t="shared" si="175"/>
        <v>0.8433664983</v>
      </c>
      <c r="CN157" s="519">
        <f t="shared" si="175"/>
        <v>0.8055549631</v>
      </c>
      <c r="CO157" s="519">
        <f t="shared" si="175"/>
        <v>0.8525565794</v>
      </c>
      <c r="CP157" s="519">
        <f t="shared" si="175"/>
        <v>0.8391169343</v>
      </c>
      <c r="CQ157" s="519">
        <f t="shared" si="175"/>
        <v>0.813358194</v>
      </c>
    </row>
    <row r="158" ht="15.75" customHeight="1">
      <c r="D158" s="247"/>
      <c r="E158" s="247"/>
      <c r="F158" s="247"/>
      <c r="G158" s="247"/>
      <c r="H158" s="247"/>
      <c r="I158" s="247"/>
      <c r="J158" s="247"/>
      <c r="K158" s="247"/>
      <c r="L158" s="247"/>
      <c r="M158" s="247"/>
      <c r="N158" s="247"/>
      <c r="O158" s="117"/>
      <c r="P158" s="117"/>
      <c r="Q158" s="117"/>
      <c r="R158" s="117"/>
      <c r="S158" s="117"/>
      <c r="T158" s="117"/>
      <c r="U158" s="117"/>
      <c r="V158" s="117"/>
      <c r="W158" s="117"/>
      <c r="X158" s="117"/>
      <c r="Y158" s="117"/>
      <c r="Z158" s="117"/>
      <c r="AA158" s="117"/>
      <c r="AB158" s="117"/>
      <c r="AC158" s="117"/>
      <c r="AD158" s="117"/>
      <c r="AE158" s="117"/>
      <c r="AF158" s="117"/>
      <c r="AG158" s="117"/>
      <c r="AH158" s="117"/>
      <c r="AI158" s="117"/>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7"/>
      <c r="BO158" s="117"/>
      <c r="BP158" s="117"/>
      <c r="BQ158" s="117"/>
      <c r="BR158" s="117"/>
      <c r="BS158" s="117"/>
      <c r="BT158" s="117"/>
      <c r="BU158" s="117"/>
      <c r="BV158" s="117"/>
      <c r="BW158" s="117"/>
      <c r="BX158" s="117"/>
      <c r="BY158" s="117"/>
      <c r="BZ158" s="117"/>
      <c r="CA158" s="117"/>
      <c r="CB158" s="117"/>
      <c r="CC158" s="117"/>
      <c r="CD158" s="117"/>
      <c r="CE158" s="117"/>
      <c r="CF158" s="117"/>
      <c r="CG158" s="117"/>
      <c r="CH158" s="117"/>
      <c r="CI158" s="117"/>
    </row>
    <row r="159" ht="15.75" customHeight="1">
      <c r="C159" s="257" t="s">
        <v>174</v>
      </c>
      <c r="D159" s="247">
        <f t="shared" ref="D159:CQ159" si="176">D96+D128</f>
        <v>29181.34353</v>
      </c>
      <c r="E159" s="247">
        <f t="shared" si="176"/>
        <v>20058.46352</v>
      </c>
      <c r="F159" s="247">
        <f t="shared" si="176"/>
        <v>23454.9463</v>
      </c>
      <c r="G159" s="247">
        <f t="shared" si="176"/>
        <v>26704.49715</v>
      </c>
      <c r="H159" s="247">
        <f t="shared" si="176"/>
        <v>26533.35252</v>
      </c>
      <c r="I159" s="247">
        <f t="shared" si="176"/>
        <v>28069.56065</v>
      </c>
      <c r="J159" s="247">
        <f t="shared" si="176"/>
        <v>24376.72935</v>
      </c>
      <c r="K159" s="247">
        <f t="shared" si="176"/>
        <v>28282.50368</v>
      </c>
      <c r="L159" s="247">
        <f t="shared" si="176"/>
        <v>22633.07344</v>
      </c>
      <c r="M159" s="247">
        <f t="shared" si="176"/>
        <v>21133.42016</v>
      </c>
      <c r="N159" s="247">
        <f t="shared" si="176"/>
        <v>23392.00947</v>
      </c>
      <c r="O159" s="247">
        <f t="shared" si="176"/>
        <v>21220.26853</v>
      </c>
      <c r="P159" s="247">
        <f t="shared" si="176"/>
        <v>23086.29981</v>
      </c>
      <c r="Q159" s="247">
        <f t="shared" si="176"/>
        <v>22897.98647</v>
      </c>
      <c r="R159" s="247">
        <f t="shared" si="176"/>
        <v>23583.97105</v>
      </c>
      <c r="S159" s="247">
        <f t="shared" si="176"/>
        <v>27544.46343</v>
      </c>
      <c r="T159" s="247">
        <f t="shared" si="176"/>
        <v>23608.34684</v>
      </c>
      <c r="U159" s="247">
        <f t="shared" si="176"/>
        <v>25539.81537</v>
      </c>
      <c r="V159" s="247">
        <f t="shared" si="176"/>
        <v>24033.69383</v>
      </c>
      <c r="W159" s="247">
        <f t="shared" si="176"/>
        <v>20261.81514</v>
      </c>
      <c r="X159" s="247">
        <f t="shared" si="176"/>
        <v>20634.61712</v>
      </c>
      <c r="Y159" s="247">
        <f t="shared" si="176"/>
        <v>24720.59502</v>
      </c>
      <c r="Z159" s="247">
        <f t="shared" si="176"/>
        <v>20083.07559</v>
      </c>
      <c r="AA159" s="247">
        <f t="shared" si="176"/>
        <v>76075.19968</v>
      </c>
      <c r="AB159" s="247">
        <f t="shared" si="176"/>
        <v>101333.3799</v>
      </c>
      <c r="AC159" s="247">
        <f t="shared" si="176"/>
        <v>141653.1977</v>
      </c>
      <c r="AD159" s="247">
        <f t="shared" si="176"/>
        <v>113426.7206</v>
      </c>
      <c r="AE159" s="247">
        <f t="shared" si="176"/>
        <v>120629.1639</v>
      </c>
      <c r="AF159" s="247">
        <f t="shared" si="176"/>
        <v>162286.8112</v>
      </c>
      <c r="AG159" s="247">
        <f t="shared" si="176"/>
        <v>128770.3646</v>
      </c>
      <c r="AH159" s="247">
        <f t="shared" si="176"/>
        <v>171258.9679</v>
      </c>
      <c r="AI159" s="247">
        <f t="shared" si="176"/>
        <v>143383.9838</v>
      </c>
      <c r="AJ159" s="247">
        <f t="shared" si="176"/>
        <v>188322.6829</v>
      </c>
      <c r="AK159" s="247">
        <f t="shared" si="176"/>
        <v>157800.0287</v>
      </c>
      <c r="AL159" s="247">
        <f t="shared" si="176"/>
        <v>164428.1132</v>
      </c>
      <c r="AM159" s="247">
        <f t="shared" si="176"/>
        <v>168861.0761</v>
      </c>
      <c r="AN159" s="247">
        <f t="shared" si="176"/>
        <v>256185.1241</v>
      </c>
      <c r="AO159" s="247">
        <f t="shared" si="176"/>
        <v>177178.6937</v>
      </c>
      <c r="AP159" s="247">
        <f t="shared" si="176"/>
        <v>175259.9527</v>
      </c>
      <c r="AQ159" s="247">
        <f t="shared" si="176"/>
        <v>174254.6281</v>
      </c>
      <c r="AR159" s="247">
        <f t="shared" si="176"/>
        <v>218235.9259</v>
      </c>
      <c r="AS159" s="247">
        <f t="shared" si="176"/>
        <v>177685.734</v>
      </c>
      <c r="AT159" s="247">
        <f t="shared" si="176"/>
        <v>211770.3124</v>
      </c>
      <c r="AU159" s="247">
        <f t="shared" si="176"/>
        <v>179237.3772</v>
      </c>
      <c r="AV159" s="247">
        <f t="shared" si="176"/>
        <v>224693.4753</v>
      </c>
      <c r="AW159" s="247">
        <f t="shared" si="176"/>
        <v>184192.4876</v>
      </c>
      <c r="AX159" s="247">
        <f t="shared" si="176"/>
        <v>184103.0886</v>
      </c>
      <c r="AY159" s="247">
        <f t="shared" si="176"/>
        <v>184043.4674</v>
      </c>
      <c r="AZ159" s="247">
        <f t="shared" si="176"/>
        <v>269097.692</v>
      </c>
      <c r="BA159" s="247">
        <f t="shared" si="176"/>
        <v>194784.3315</v>
      </c>
      <c r="BB159" s="247">
        <f t="shared" si="176"/>
        <v>196672.6738</v>
      </c>
      <c r="BC159" s="247">
        <f t="shared" si="176"/>
        <v>198511.8557</v>
      </c>
      <c r="BD159" s="247">
        <f t="shared" si="176"/>
        <v>253490.7232</v>
      </c>
      <c r="BE159" s="247">
        <f t="shared" si="176"/>
        <v>213288.9269</v>
      </c>
      <c r="BF159" s="247">
        <f t="shared" si="176"/>
        <v>256647.0176</v>
      </c>
      <c r="BG159" s="247">
        <f t="shared" si="176"/>
        <v>224929.7996</v>
      </c>
      <c r="BH159" s="247">
        <f t="shared" si="176"/>
        <v>276692.0463</v>
      </c>
      <c r="BI159" s="247">
        <f t="shared" si="176"/>
        <v>240444.8373</v>
      </c>
      <c r="BJ159" s="247">
        <f t="shared" si="176"/>
        <v>242126.3111</v>
      </c>
      <c r="BK159" s="247">
        <f t="shared" si="176"/>
        <v>243803.9479</v>
      </c>
      <c r="BL159" s="247">
        <f t="shared" si="176"/>
        <v>0</v>
      </c>
      <c r="BM159" s="247">
        <f t="shared" si="176"/>
        <v>0</v>
      </c>
      <c r="BN159" s="247">
        <f t="shared" si="176"/>
        <v>0</v>
      </c>
      <c r="BO159" s="247">
        <f t="shared" si="176"/>
        <v>0</v>
      </c>
      <c r="BP159" s="247">
        <f t="shared" si="176"/>
        <v>0</v>
      </c>
      <c r="BQ159" s="247">
        <f t="shared" si="176"/>
        <v>0</v>
      </c>
      <c r="BR159" s="247">
        <f t="shared" si="176"/>
        <v>0</v>
      </c>
      <c r="BS159" s="247">
        <f t="shared" si="176"/>
        <v>0</v>
      </c>
      <c r="BT159" s="247">
        <f t="shared" si="176"/>
        <v>0</v>
      </c>
      <c r="BU159" s="247">
        <f t="shared" si="176"/>
        <v>0</v>
      </c>
      <c r="BV159" s="247">
        <f t="shared" si="176"/>
        <v>0</v>
      </c>
      <c r="BW159" s="247">
        <f t="shared" si="176"/>
        <v>0</v>
      </c>
      <c r="BX159" s="247">
        <f t="shared" si="176"/>
        <v>0</v>
      </c>
      <c r="BY159" s="247">
        <f t="shared" si="176"/>
        <v>0</v>
      </c>
      <c r="BZ159" s="247">
        <f t="shared" si="176"/>
        <v>0</v>
      </c>
      <c r="CA159" s="247">
        <f t="shared" si="176"/>
        <v>0</v>
      </c>
      <c r="CB159" s="247">
        <f t="shared" si="176"/>
        <v>0</v>
      </c>
      <c r="CC159" s="247">
        <f t="shared" si="176"/>
        <v>0</v>
      </c>
      <c r="CD159" s="247">
        <f t="shared" si="176"/>
        <v>0</v>
      </c>
      <c r="CE159" s="247">
        <f t="shared" si="176"/>
        <v>0</v>
      </c>
      <c r="CF159" s="247">
        <f t="shared" si="176"/>
        <v>0</v>
      </c>
      <c r="CG159" s="247">
        <f t="shared" si="176"/>
        <v>0</v>
      </c>
      <c r="CH159" s="247">
        <f t="shared" si="176"/>
        <v>0</v>
      </c>
      <c r="CI159" s="247">
        <f t="shared" si="176"/>
        <v>0</v>
      </c>
      <c r="CJ159" s="247">
        <f t="shared" si="176"/>
        <v>0</v>
      </c>
      <c r="CK159" s="247">
        <f t="shared" si="176"/>
        <v>0</v>
      </c>
      <c r="CL159" s="247">
        <f t="shared" si="176"/>
        <v>99399.25051</v>
      </c>
      <c r="CM159" s="247">
        <f t="shared" si="176"/>
        <v>107262.1462</v>
      </c>
      <c r="CN159" s="247">
        <f t="shared" si="176"/>
        <v>88378.7716</v>
      </c>
      <c r="CO159" s="247">
        <f t="shared" si="176"/>
        <v>97112.72075</v>
      </c>
      <c r="CP159" s="247">
        <f t="shared" si="176"/>
        <v>93443.67118</v>
      </c>
      <c r="CQ159" s="247">
        <f t="shared" si="176"/>
        <v>141513.4874</v>
      </c>
    </row>
    <row r="160" ht="15.75" customHeight="1">
      <c r="C160" s="517"/>
      <c r="D160" s="247"/>
      <c r="E160" s="247"/>
      <c r="F160" s="247"/>
      <c r="G160" s="247"/>
      <c r="H160" s="247"/>
      <c r="I160" s="247"/>
      <c r="J160" s="247"/>
      <c r="K160" s="247"/>
      <c r="L160" s="247"/>
      <c r="M160" s="247"/>
      <c r="N160" s="247"/>
      <c r="O160" s="117"/>
      <c r="P160" s="117"/>
      <c r="Q160" s="117"/>
      <c r="R160" s="117"/>
      <c r="S160" s="117"/>
      <c r="T160" s="117"/>
      <c r="U160" s="117"/>
      <c r="V160" s="117"/>
      <c r="W160" s="117"/>
      <c r="X160" s="117"/>
      <c r="Y160" s="117"/>
      <c r="Z160" s="117"/>
      <c r="AA160" s="117"/>
      <c r="AB160" s="117"/>
      <c r="AC160" s="117"/>
      <c r="AD160" s="117"/>
      <c r="AE160" s="117"/>
      <c r="AF160" s="117"/>
      <c r="AG160" s="117"/>
      <c r="AH160" s="117"/>
      <c r="AI160" s="117"/>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7"/>
      <c r="BO160" s="117"/>
      <c r="BP160" s="117"/>
      <c r="BQ160" s="117"/>
      <c r="BR160" s="117"/>
      <c r="BS160" s="117"/>
      <c r="BT160" s="117"/>
      <c r="BU160" s="117"/>
      <c r="BV160" s="117"/>
      <c r="BW160" s="117"/>
      <c r="BX160" s="117"/>
      <c r="BY160" s="117"/>
      <c r="BZ160" s="117"/>
      <c r="CA160" s="117"/>
      <c r="CB160" s="117"/>
      <c r="CC160" s="117"/>
      <c r="CD160" s="117"/>
      <c r="CE160" s="117"/>
      <c r="CF160" s="117"/>
      <c r="CG160" s="117"/>
      <c r="CH160" s="117"/>
      <c r="CI160" s="117"/>
    </row>
    <row r="161" ht="15.75" customHeight="1">
      <c r="C161" s="257" t="s">
        <v>807</v>
      </c>
      <c r="D161" s="117">
        <f t="shared" ref="D161:CI161" si="177">D156-D159</f>
        <v>313676.6565</v>
      </c>
      <c r="E161" s="117">
        <f t="shared" si="177"/>
        <v>265077.5365</v>
      </c>
      <c r="F161" s="117">
        <f t="shared" si="177"/>
        <v>288936.0537</v>
      </c>
      <c r="G161" s="117">
        <f t="shared" si="177"/>
        <v>406446.5028</v>
      </c>
      <c r="H161" s="117">
        <f t="shared" si="177"/>
        <v>313111.6475</v>
      </c>
      <c r="I161" s="117">
        <f t="shared" si="177"/>
        <v>418524.4394</v>
      </c>
      <c r="J161" s="117">
        <f t="shared" si="177"/>
        <v>316361.2706</v>
      </c>
      <c r="K161" s="117">
        <f t="shared" si="177"/>
        <v>281247.4963</v>
      </c>
      <c r="L161" s="117">
        <f t="shared" si="177"/>
        <v>240653.9266</v>
      </c>
      <c r="M161" s="117">
        <f t="shared" si="177"/>
        <v>249941.5798</v>
      </c>
      <c r="N161" s="117">
        <f t="shared" si="177"/>
        <v>267723.9905</v>
      </c>
      <c r="O161" s="117">
        <f t="shared" si="177"/>
        <v>248602.7315</v>
      </c>
      <c r="P161" s="117">
        <f t="shared" si="177"/>
        <v>374022.7002</v>
      </c>
      <c r="Q161" s="117">
        <f t="shared" si="177"/>
        <v>275175.0135</v>
      </c>
      <c r="R161" s="117">
        <f t="shared" si="177"/>
        <v>356058.029</v>
      </c>
      <c r="S161" s="117">
        <f t="shared" si="177"/>
        <v>412260.5366</v>
      </c>
      <c r="T161" s="117">
        <f t="shared" si="177"/>
        <v>340095.6532</v>
      </c>
      <c r="U161" s="117">
        <f t="shared" si="177"/>
        <v>336588.1846</v>
      </c>
      <c r="V161" s="117">
        <f t="shared" si="177"/>
        <v>365458.3062</v>
      </c>
      <c r="W161" s="117">
        <f t="shared" si="177"/>
        <v>255059.1849</v>
      </c>
      <c r="X161" s="117">
        <f t="shared" si="177"/>
        <v>174322.3829</v>
      </c>
      <c r="Y161" s="117">
        <f t="shared" si="177"/>
        <v>379585.405</v>
      </c>
      <c r="Z161" s="117">
        <f t="shared" si="177"/>
        <v>266369.9244</v>
      </c>
      <c r="AA161" s="117">
        <f t="shared" si="177"/>
        <v>274144.2568</v>
      </c>
      <c r="AB161" s="117">
        <f t="shared" si="177"/>
        <v>318532.932</v>
      </c>
      <c r="AC161" s="117">
        <f t="shared" si="177"/>
        <v>370162.2905</v>
      </c>
      <c r="AD161" s="117">
        <f t="shared" si="177"/>
        <v>480395.8047</v>
      </c>
      <c r="AE161" s="117">
        <f t="shared" si="177"/>
        <v>542639.4135</v>
      </c>
      <c r="AF161" s="117">
        <f t="shared" si="177"/>
        <v>562272.7346</v>
      </c>
      <c r="AG161" s="117">
        <f t="shared" si="177"/>
        <v>663536.5302</v>
      </c>
      <c r="AH161" s="117">
        <f t="shared" si="177"/>
        <v>672989.7037</v>
      </c>
      <c r="AI161" s="117">
        <f t="shared" si="177"/>
        <v>752029.5797</v>
      </c>
      <c r="AJ161" s="117">
        <f t="shared" si="177"/>
        <v>749032.3405</v>
      </c>
      <c r="AK161" s="117">
        <f t="shared" si="177"/>
        <v>823693.8401</v>
      </c>
      <c r="AL161" s="117">
        <f t="shared" si="177"/>
        <v>860709.2213</v>
      </c>
      <c r="AM161" s="117">
        <f t="shared" si="177"/>
        <v>893694.9497</v>
      </c>
      <c r="AN161" s="117">
        <f t="shared" si="177"/>
        <v>839625.2742</v>
      </c>
      <c r="AO161" s="117">
        <f t="shared" si="177"/>
        <v>930307.5734</v>
      </c>
      <c r="AP161" s="117">
        <f t="shared" si="177"/>
        <v>935880.5253</v>
      </c>
      <c r="AQ161" s="117">
        <f t="shared" si="177"/>
        <v>940632.4535</v>
      </c>
      <c r="AR161" s="117">
        <f t="shared" si="177"/>
        <v>900674.6358</v>
      </c>
      <c r="AS161" s="117">
        <f t="shared" si="177"/>
        <v>949745.3897</v>
      </c>
      <c r="AT161" s="117">
        <f t="shared" si="177"/>
        <v>919898.0773</v>
      </c>
      <c r="AU161" s="117">
        <f t="shared" si="177"/>
        <v>962713.4863</v>
      </c>
      <c r="AV161" s="117">
        <f t="shared" si="177"/>
        <v>923424.6628</v>
      </c>
      <c r="AW161" s="117">
        <f t="shared" si="177"/>
        <v>979753.8061</v>
      </c>
      <c r="AX161" s="117">
        <f t="shared" si="177"/>
        <v>995651.3439</v>
      </c>
      <c r="AY161" s="117">
        <f t="shared" si="177"/>
        <v>1005452.188</v>
      </c>
      <c r="AZ161" s="117">
        <f t="shared" si="177"/>
        <v>919103.2379</v>
      </c>
      <c r="BA161" s="117">
        <f t="shared" si="177"/>
        <v>1022109.244</v>
      </c>
      <c r="BB161" s="117">
        <f t="shared" si="177"/>
        <v>1047930.55</v>
      </c>
      <c r="BC161" s="117">
        <f t="shared" si="177"/>
        <v>1066546.636</v>
      </c>
      <c r="BD161" s="117">
        <f t="shared" si="177"/>
        <v>1025465.711</v>
      </c>
      <c r="BE161" s="117">
        <f t="shared" si="177"/>
        <v>1090820.62</v>
      </c>
      <c r="BF161" s="117">
        <f t="shared" si="177"/>
        <v>1066533.157</v>
      </c>
      <c r="BG161" s="117">
        <f t="shared" si="177"/>
        <v>1108795.581</v>
      </c>
      <c r="BH161" s="117">
        <f t="shared" si="177"/>
        <v>1068054.624</v>
      </c>
      <c r="BI161" s="117">
        <f t="shared" si="177"/>
        <v>1127622.497</v>
      </c>
      <c r="BJ161" s="117">
        <f t="shared" si="177"/>
        <v>1148923.317</v>
      </c>
      <c r="BK161" s="117">
        <f t="shared" si="177"/>
        <v>1156103.709</v>
      </c>
      <c r="BL161" s="117">
        <f t="shared" si="177"/>
        <v>1399700.77</v>
      </c>
      <c r="BM161" s="117">
        <f t="shared" si="177"/>
        <v>1429404.683</v>
      </c>
      <c r="BN161" s="117">
        <f t="shared" si="177"/>
        <v>1456890.363</v>
      </c>
      <c r="BO161" s="117">
        <f t="shared" si="177"/>
        <v>1476242.435</v>
      </c>
      <c r="BP161" s="117">
        <f t="shared" si="177"/>
        <v>1489196.454</v>
      </c>
      <c r="BQ161" s="117">
        <f t="shared" si="177"/>
        <v>1512094.367</v>
      </c>
      <c r="BR161" s="117">
        <f t="shared" si="177"/>
        <v>1537359.138</v>
      </c>
      <c r="BS161" s="117">
        <f t="shared" si="177"/>
        <v>1550383.42</v>
      </c>
      <c r="BT161" s="117">
        <f t="shared" si="177"/>
        <v>1561973.967</v>
      </c>
      <c r="BU161" s="117">
        <f t="shared" si="177"/>
        <v>1586741.267</v>
      </c>
      <c r="BV161" s="117">
        <f t="shared" si="177"/>
        <v>1611341.38</v>
      </c>
      <c r="BW161" s="117">
        <f t="shared" si="177"/>
        <v>1628844.672</v>
      </c>
      <c r="BX161" s="117">
        <f t="shared" si="177"/>
        <v>1628420.261</v>
      </c>
      <c r="BY161" s="117">
        <f t="shared" si="177"/>
        <v>1643184.604</v>
      </c>
      <c r="BZ161" s="117">
        <f t="shared" si="177"/>
        <v>1656908.219</v>
      </c>
      <c r="CA161" s="117">
        <f t="shared" si="177"/>
        <v>1664511.642</v>
      </c>
      <c r="CB161" s="117">
        <f t="shared" si="177"/>
        <v>1667862.753</v>
      </c>
      <c r="CC161" s="117">
        <f t="shared" si="177"/>
        <v>1681368.807</v>
      </c>
      <c r="CD161" s="117">
        <f t="shared" si="177"/>
        <v>1697689.034</v>
      </c>
      <c r="CE161" s="117">
        <f t="shared" si="177"/>
        <v>1707243.321</v>
      </c>
      <c r="CF161" s="117">
        <f t="shared" si="177"/>
        <v>1711191.464</v>
      </c>
      <c r="CG161" s="117">
        <f t="shared" si="177"/>
        <v>1727919.108</v>
      </c>
      <c r="CH161" s="117">
        <f t="shared" si="177"/>
        <v>1744711.7</v>
      </c>
      <c r="CI161" s="117">
        <f t="shared" si="177"/>
        <v>1754503.264</v>
      </c>
      <c r="CJ161" s="117"/>
      <c r="CK161" s="117"/>
      <c r="CL161" s="117">
        <f t="shared" ref="CL161:CQ161" si="178">CL156-CL159</f>
        <v>1274136.749</v>
      </c>
      <c r="CM161" s="117">
        <f t="shared" si="178"/>
        <v>1329244.854</v>
      </c>
      <c r="CN161" s="117">
        <f t="shared" si="178"/>
        <v>1006922.228</v>
      </c>
      <c r="CO161" s="117">
        <f t="shared" si="178"/>
        <v>1417516.279</v>
      </c>
      <c r="CP161" s="117">
        <f t="shared" si="178"/>
        <v>1297201.329</v>
      </c>
      <c r="CQ161" s="117">
        <f t="shared" si="178"/>
        <v>1094421.969</v>
      </c>
    </row>
    <row r="162" ht="15.75" customHeight="1">
      <c r="C162" s="517" t="s">
        <v>115</v>
      </c>
      <c r="D162" s="519">
        <f t="shared" ref="D162:CI162" si="179">D161/D135</f>
        <v>0.7861649151</v>
      </c>
      <c r="E162" s="519">
        <f t="shared" si="179"/>
        <v>0.7479572251</v>
      </c>
      <c r="F162" s="519">
        <f t="shared" si="179"/>
        <v>0.7798375574</v>
      </c>
      <c r="G162" s="519">
        <f t="shared" si="179"/>
        <v>0.8245153744</v>
      </c>
      <c r="H162" s="519">
        <f t="shared" si="179"/>
        <v>0.7682364036</v>
      </c>
      <c r="I162" s="519">
        <f t="shared" si="179"/>
        <v>0.8201263908</v>
      </c>
      <c r="J162" s="519">
        <f t="shared" si="179"/>
        <v>0.7897225414</v>
      </c>
      <c r="K162" s="519">
        <f t="shared" si="179"/>
        <v>0.7308660712</v>
      </c>
      <c r="L162" s="519">
        <f t="shared" si="179"/>
        <v>0.718758274</v>
      </c>
      <c r="M162" s="519">
        <f t="shared" si="179"/>
        <v>0.7541376528</v>
      </c>
      <c r="N162" s="519">
        <f t="shared" si="179"/>
        <v>0.7548814503</v>
      </c>
      <c r="O162" s="519">
        <f t="shared" si="179"/>
        <v>0.7338132825</v>
      </c>
      <c r="P162" s="519">
        <f t="shared" si="179"/>
        <v>0.8119508001</v>
      </c>
      <c r="Q162" s="519">
        <f t="shared" si="179"/>
        <v>0.7541190189</v>
      </c>
      <c r="R162" s="519">
        <f t="shared" si="179"/>
        <v>0.800125008</v>
      </c>
      <c r="S162" s="519">
        <f t="shared" si="179"/>
        <v>0.8147006713</v>
      </c>
      <c r="T162" s="519">
        <f t="shared" si="179"/>
        <v>0.7676063133</v>
      </c>
      <c r="U162" s="519">
        <f t="shared" si="179"/>
        <v>0.7831584419</v>
      </c>
      <c r="V162" s="519">
        <f t="shared" si="179"/>
        <v>0.8157624313</v>
      </c>
      <c r="W162" s="519">
        <f t="shared" si="179"/>
        <v>0.7581277249</v>
      </c>
      <c r="X162" s="519">
        <f t="shared" si="179"/>
        <v>0.6703057051</v>
      </c>
      <c r="Y162" s="519">
        <f t="shared" si="179"/>
        <v>0.8125157168</v>
      </c>
      <c r="Z162" s="519">
        <f t="shared" si="179"/>
        <v>0.7550018123</v>
      </c>
      <c r="AA162" s="519">
        <f t="shared" si="179"/>
        <v>0.6237606488</v>
      </c>
      <c r="AB162" s="519">
        <f t="shared" si="179"/>
        <v>0.5968033985</v>
      </c>
      <c r="AC162" s="519">
        <f t="shared" si="179"/>
        <v>0.5916014563</v>
      </c>
      <c r="AD162" s="519">
        <f t="shared" si="179"/>
        <v>0.6794177814</v>
      </c>
      <c r="AE162" s="519">
        <f t="shared" si="179"/>
        <v>0.6954786951</v>
      </c>
      <c r="AF162" s="519">
        <f t="shared" si="179"/>
        <v>0.6619055346</v>
      </c>
      <c r="AG162" s="519">
        <f t="shared" si="179"/>
        <v>0.7247402957</v>
      </c>
      <c r="AH162" s="519">
        <f t="shared" si="179"/>
        <v>0.6877933336</v>
      </c>
      <c r="AI162" s="519">
        <f t="shared" si="179"/>
        <v>0.7222322819</v>
      </c>
      <c r="AJ162" s="519">
        <f t="shared" si="179"/>
        <v>0.6819175724</v>
      </c>
      <c r="AK162" s="519">
        <f t="shared" si="179"/>
        <v>0.7140479193</v>
      </c>
      <c r="AL162" s="519">
        <f t="shared" si="179"/>
        <v>0.7163124629</v>
      </c>
      <c r="AM162" s="519">
        <f t="shared" si="179"/>
        <v>0.7153351373</v>
      </c>
      <c r="AN162" s="519">
        <f t="shared" si="179"/>
        <v>0.6448889778</v>
      </c>
      <c r="AO162" s="519">
        <f t="shared" si="179"/>
        <v>0.7091823166</v>
      </c>
      <c r="AP162" s="519">
        <f t="shared" si="179"/>
        <v>0.7128940082</v>
      </c>
      <c r="AQ162" s="519">
        <f t="shared" si="179"/>
        <v>0.7128121818</v>
      </c>
      <c r="AR162" s="519">
        <f t="shared" si="179"/>
        <v>0.6772242827</v>
      </c>
      <c r="AS162" s="519">
        <f t="shared" si="179"/>
        <v>0.7073857943</v>
      </c>
      <c r="AT162" s="519">
        <f t="shared" si="179"/>
        <v>0.6783592843</v>
      </c>
      <c r="AU162" s="519">
        <f t="shared" si="179"/>
        <v>0.7028827389</v>
      </c>
      <c r="AV162" s="519">
        <f t="shared" si="179"/>
        <v>0.6675401506</v>
      </c>
      <c r="AW162" s="519">
        <f t="shared" si="179"/>
        <v>0.7013376678</v>
      </c>
      <c r="AX162" s="519">
        <f t="shared" si="179"/>
        <v>0.705843733</v>
      </c>
      <c r="AY162" s="519">
        <f t="shared" si="179"/>
        <v>0.7060215896</v>
      </c>
      <c r="AZ162" s="519">
        <f t="shared" si="179"/>
        <v>0.6376461929</v>
      </c>
      <c r="BA162" s="519">
        <f t="shared" si="179"/>
        <v>0.6961961208</v>
      </c>
      <c r="BB162" s="519">
        <f t="shared" si="179"/>
        <v>0.7015468913</v>
      </c>
      <c r="BC162" s="519">
        <f t="shared" si="179"/>
        <v>0.7024540977</v>
      </c>
      <c r="BD162" s="519">
        <f t="shared" si="179"/>
        <v>0.6649981109</v>
      </c>
      <c r="BE162" s="519">
        <f t="shared" si="179"/>
        <v>0.6969617395</v>
      </c>
      <c r="BF162" s="519">
        <f t="shared" si="179"/>
        <v>0.6718048102</v>
      </c>
      <c r="BG162" s="519">
        <f t="shared" si="179"/>
        <v>0.6889069325</v>
      </c>
      <c r="BH162" s="519">
        <f t="shared" si="179"/>
        <v>0.6548568138</v>
      </c>
      <c r="BI162" s="519">
        <f t="shared" si="179"/>
        <v>0.6825658717</v>
      </c>
      <c r="BJ162" s="519">
        <f t="shared" si="179"/>
        <v>0.6868593651</v>
      </c>
      <c r="BK162" s="519">
        <f t="shared" si="179"/>
        <v>0.6828476463</v>
      </c>
      <c r="BL162" s="519">
        <f t="shared" si="179"/>
        <v>0.8142678885</v>
      </c>
      <c r="BM162" s="519">
        <f t="shared" si="179"/>
        <v>0.818256895</v>
      </c>
      <c r="BN162" s="519">
        <f t="shared" si="179"/>
        <v>0.8218395671</v>
      </c>
      <c r="BO162" s="519">
        <f t="shared" si="179"/>
        <v>0.8216021202</v>
      </c>
      <c r="BP162" s="519">
        <f t="shared" si="179"/>
        <v>0.8179923499</v>
      </c>
      <c r="BQ162" s="519">
        <f t="shared" si="179"/>
        <v>0.8199825295</v>
      </c>
      <c r="BR162" s="519">
        <f t="shared" si="179"/>
        <v>0.8232940492</v>
      </c>
      <c r="BS162" s="519">
        <f t="shared" si="179"/>
        <v>0.8201447609</v>
      </c>
      <c r="BT162" s="519">
        <f t="shared" si="179"/>
        <v>0.8164093411</v>
      </c>
      <c r="BU162" s="519">
        <f t="shared" si="179"/>
        <v>0.8196487496</v>
      </c>
      <c r="BV162" s="519">
        <f t="shared" si="179"/>
        <v>0.8228023087</v>
      </c>
      <c r="BW162" s="519">
        <f t="shared" si="179"/>
        <v>0.8223696491</v>
      </c>
      <c r="BX162" s="519">
        <f t="shared" si="179"/>
        <v>0.8129945856</v>
      </c>
      <c r="BY162" s="519">
        <f t="shared" si="179"/>
        <v>0.8148637029</v>
      </c>
      <c r="BZ162" s="519">
        <f t="shared" si="179"/>
        <v>0.8170953326</v>
      </c>
      <c r="CA162" s="519">
        <f t="shared" si="179"/>
        <v>0.8159735381</v>
      </c>
      <c r="CB162" s="519">
        <f t="shared" si="179"/>
        <v>0.8123850659</v>
      </c>
      <c r="CC162" s="519">
        <f t="shared" si="179"/>
        <v>0.8135459534</v>
      </c>
      <c r="CD162" s="519">
        <f t="shared" si="179"/>
        <v>0.8159222908</v>
      </c>
      <c r="CE162" s="519">
        <f t="shared" si="179"/>
        <v>0.8149610623</v>
      </c>
      <c r="CF162" s="519">
        <f t="shared" si="179"/>
        <v>0.8113055954</v>
      </c>
      <c r="CG162" s="519">
        <f t="shared" si="179"/>
        <v>0.8136848613</v>
      </c>
      <c r="CH162" s="519">
        <f t="shared" si="179"/>
        <v>0.8160404012</v>
      </c>
      <c r="CI162" s="519">
        <f t="shared" si="179"/>
        <v>0.8150966765</v>
      </c>
      <c r="CJ162" s="519"/>
      <c r="CK162" s="519"/>
      <c r="CL162" s="519">
        <f t="shared" ref="CL162:CQ162" si="180">CL161/CL135</f>
        <v>0.7880325604</v>
      </c>
      <c r="CM162" s="519">
        <f t="shared" si="180"/>
        <v>0.7803933972</v>
      </c>
      <c r="CN162" s="519">
        <f t="shared" si="180"/>
        <v>0.7405555172</v>
      </c>
      <c r="CO162" s="519">
        <f t="shared" si="180"/>
        <v>0.7978936296</v>
      </c>
      <c r="CP162" s="519">
        <f t="shared" si="180"/>
        <v>0.7827329061</v>
      </c>
      <c r="CQ162" s="519">
        <f t="shared" si="180"/>
        <v>0.7202294194</v>
      </c>
    </row>
    <row r="163" ht="15.75" customHeight="1">
      <c r="C163" s="129"/>
      <c r="D163" s="247"/>
      <c r="E163" s="247"/>
      <c r="F163" s="247"/>
      <c r="G163" s="247"/>
      <c r="H163" s="247"/>
      <c r="I163" s="247"/>
      <c r="J163" s="247"/>
      <c r="K163" s="247"/>
      <c r="L163" s="247"/>
      <c r="M163" s="247"/>
      <c r="N163" s="247"/>
      <c r="O163" s="117"/>
      <c r="P163" s="117"/>
      <c r="Q163" s="117"/>
      <c r="R163" s="117"/>
      <c r="S163" s="117"/>
      <c r="T163" s="117"/>
      <c r="U163" s="117"/>
      <c r="V163" s="117"/>
      <c r="W163" s="117"/>
      <c r="X163" s="117"/>
      <c r="Y163" s="117"/>
      <c r="Z163" s="117"/>
      <c r="AA163" s="117"/>
      <c r="AB163" s="117"/>
      <c r="AC163" s="117"/>
      <c r="AD163" s="117"/>
      <c r="AE163" s="117"/>
      <c r="AF163" s="117"/>
      <c r="AG163" s="117"/>
      <c r="AH163" s="117"/>
      <c r="AI163" s="117"/>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7"/>
      <c r="BO163" s="117"/>
      <c r="BP163" s="117"/>
      <c r="BQ163" s="117"/>
      <c r="BR163" s="117"/>
      <c r="BS163" s="117"/>
      <c r="BT163" s="117"/>
      <c r="BU163" s="117"/>
      <c r="BV163" s="117"/>
      <c r="BW163" s="117"/>
      <c r="BX163" s="117"/>
      <c r="BY163" s="117"/>
      <c r="BZ163" s="117"/>
      <c r="CA163" s="117"/>
      <c r="CB163" s="117"/>
      <c r="CC163" s="117"/>
      <c r="CD163" s="117"/>
      <c r="CE163" s="117"/>
      <c r="CF163" s="117"/>
      <c r="CG163" s="117"/>
      <c r="CH163" s="117"/>
      <c r="CI163" s="117"/>
    </row>
    <row r="164" ht="15.75" customHeight="1">
      <c r="C164" s="129"/>
      <c r="D164" s="247"/>
      <c r="E164" s="247"/>
      <c r="F164" s="247"/>
      <c r="G164" s="247"/>
      <c r="H164" s="247"/>
      <c r="I164" s="247"/>
      <c r="J164" s="247"/>
      <c r="K164" s="247"/>
      <c r="L164" s="247"/>
      <c r="M164" s="247"/>
      <c r="N164" s="247"/>
      <c r="O164" s="117"/>
      <c r="P164" s="117"/>
      <c r="Q164" s="117"/>
      <c r="R164" s="117"/>
      <c r="S164" s="117"/>
      <c r="T164" s="117"/>
      <c r="U164" s="117"/>
      <c r="V164" s="117"/>
      <c r="W164" s="117"/>
      <c r="X164" s="117"/>
      <c r="Y164" s="117"/>
      <c r="Z164" s="117"/>
      <c r="AA164" s="117"/>
      <c r="AB164" s="117"/>
      <c r="AC164" s="117"/>
      <c r="AD164" s="117"/>
      <c r="AE164" s="117"/>
      <c r="AF164" s="117"/>
      <c r="AG164" s="117"/>
      <c r="AH164" s="117"/>
      <c r="AI164" s="117"/>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7"/>
      <c r="BO164" s="117"/>
      <c r="BP164" s="117"/>
      <c r="BQ164" s="117"/>
      <c r="BR164" s="117"/>
      <c r="BS164" s="117"/>
      <c r="BT164" s="117"/>
      <c r="BU164" s="117"/>
      <c r="BV164" s="117"/>
      <c r="BW164" s="117"/>
      <c r="BX164" s="117"/>
      <c r="BY164" s="117"/>
      <c r="BZ164" s="117"/>
      <c r="CA164" s="117"/>
      <c r="CB164" s="117"/>
      <c r="CC164" s="117"/>
      <c r="CD164" s="117"/>
      <c r="CE164" s="117"/>
      <c r="CF164" s="117"/>
      <c r="CG164" s="117"/>
      <c r="CH164" s="117"/>
      <c r="CI164" s="117"/>
    </row>
    <row r="165" ht="15.75" customHeight="1">
      <c r="C165" s="129"/>
      <c r="D165" s="247"/>
      <c r="E165" s="247"/>
      <c r="F165" s="247"/>
      <c r="G165" s="247"/>
      <c r="H165" s="247"/>
      <c r="I165" s="247"/>
      <c r="J165" s="247"/>
      <c r="K165" s="247"/>
      <c r="L165" s="247"/>
      <c r="M165" s="247"/>
      <c r="N165" s="247"/>
      <c r="O165" s="117"/>
      <c r="P165" s="117"/>
      <c r="Q165" s="117"/>
      <c r="R165" s="117"/>
      <c r="S165" s="117"/>
      <c r="T165" s="117"/>
      <c r="U165" s="117"/>
      <c r="V165" s="117"/>
      <c r="W165" s="117"/>
      <c r="X165" s="117"/>
      <c r="Y165" s="117"/>
      <c r="Z165" s="117"/>
      <c r="AA165" s="117"/>
      <c r="AB165" s="117"/>
      <c r="AC165" s="117"/>
      <c r="AD165" s="117"/>
      <c r="AE165" s="117"/>
      <c r="AF165" s="117"/>
      <c r="AG165" s="117"/>
      <c r="AH165" s="117"/>
      <c r="AI165" s="117"/>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7"/>
      <c r="BO165" s="117"/>
      <c r="BP165" s="117"/>
      <c r="BQ165" s="117"/>
      <c r="BR165" s="117"/>
      <c r="BS165" s="117"/>
      <c r="BT165" s="117"/>
      <c r="BU165" s="117"/>
      <c r="BV165" s="117"/>
      <c r="BW165" s="117"/>
      <c r="BX165" s="117"/>
      <c r="BY165" s="117"/>
      <c r="BZ165" s="117"/>
      <c r="CA165" s="117"/>
      <c r="CB165" s="117"/>
      <c r="CC165" s="117"/>
      <c r="CD165" s="117"/>
      <c r="CE165" s="117"/>
      <c r="CF165" s="117"/>
      <c r="CG165" s="117"/>
      <c r="CH165" s="117"/>
      <c r="CI165" s="117"/>
    </row>
    <row r="166" ht="15.75" customHeight="1">
      <c r="C166" s="129"/>
      <c r="D166" s="247"/>
      <c r="E166" s="247"/>
      <c r="F166" s="247"/>
      <c r="G166" s="247"/>
      <c r="H166" s="247"/>
      <c r="I166" s="247"/>
      <c r="J166" s="247"/>
      <c r="K166" s="247"/>
      <c r="L166" s="247"/>
      <c r="M166" s="247"/>
      <c r="N166" s="247"/>
      <c r="O166" s="117"/>
      <c r="P166" s="117"/>
      <c r="Q166" s="117"/>
      <c r="R166" s="117"/>
      <c r="S166" s="117"/>
      <c r="T166" s="117"/>
      <c r="U166" s="117"/>
      <c r="V166" s="117"/>
      <c r="W166" s="117"/>
      <c r="X166" s="117"/>
      <c r="Y166" s="117"/>
      <c r="Z166" s="117"/>
      <c r="AA166" s="117"/>
      <c r="AB166" s="117"/>
      <c r="AC166" s="117"/>
      <c r="AD166" s="117"/>
      <c r="AE166" s="117"/>
      <c r="AF166" s="117"/>
      <c r="AG166" s="117"/>
      <c r="AH166" s="117"/>
      <c r="AI166" s="117"/>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7"/>
      <c r="BO166" s="117"/>
      <c r="BP166" s="117"/>
      <c r="BQ166" s="117"/>
      <c r="BR166" s="117"/>
      <c r="BS166" s="117"/>
      <c r="BT166" s="117"/>
      <c r="BU166" s="117"/>
      <c r="BV166" s="117"/>
      <c r="BW166" s="117"/>
      <c r="BX166" s="117"/>
      <c r="BY166" s="117"/>
      <c r="BZ166" s="117"/>
      <c r="CA166" s="117"/>
      <c r="CB166" s="117"/>
      <c r="CC166" s="117"/>
      <c r="CD166" s="117"/>
      <c r="CE166" s="117"/>
      <c r="CF166" s="117"/>
      <c r="CG166" s="117"/>
      <c r="CH166" s="117"/>
      <c r="CI166" s="117"/>
    </row>
    <row r="167" ht="15.75" customHeight="1">
      <c r="C167" s="129"/>
      <c r="D167" s="247"/>
      <c r="E167" s="247"/>
      <c r="F167" s="247"/>
      <c r="G167" s="247"/>
      <c r="H167" s="247"/>
      <c r="I167" s="247"/>
      <c r="J167" s="247"/>
      <c r="K167" s="247"/>
      <c r="L167" s="247"/>
      <c r="M167" s="247"/>
      <c r="N167" s="247"/>
      <c r="O167" s="117"/>
      <c r="P167" s="117"/>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7"/>
      <c r="BO167" s="117"/>
      <c r="BP167" s="117"/>
      <c r="BQ167" s="117"/>
      <c r="BR167" s="117"/>
      <c r="BS167" s="117"/>
      <c r="BT167" s="117"/>
      <c r="BU167" s="117"/>
      <c r="BV167" s="117"/>
      <c r="BW167" s="117"/>
      <c r="BX167" s="117"/>
      <c r="BY167" s="117"/>
      <c r="BZ167" s="117"/>
      <c r="CA167" s="117"/>
      <c r="CB167" s="117"/>
      <c r="CC167" s="117"/>
      <c r="CD167" s="117"/>
      <c r="CE167" s="117"/>
      <c r="CF167" s="117"/>
      <c r="CG167" s="117"/>
      <c r="CH167" s="117"/>
      <c r="CI167" s="117"/>
    </row>
    <row r="168" ht="15.75" customHeight="1">
      <c r="C168" s="115" t="s">
        <v>94</v>
      </c>
      <c r="D168" s="247"/>
      <c r="E168" s="247"/>
      <c r="F168" s="247"/>
      <c r="G168" s="247"/>
      <c r="H168" s="247"/>
      <c r="I168" s="247"/>
      <c r="J168" s="247"/>
      <c r="K168" s="247"/>
      <c r="L168" s="247"/>
      <c r="M168" s="247"/>
      <c r="N168" s="24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7"/>
      <c r="BO168" s="117"/>
      <c r="BP168" s="117"/>
      <c r="BQ168" s="117"/>
      <c r="BR168" s="117"/>
      <c r="BS168" s="117"/>
      <c r="BT168" s="117"/>
      <c r="BU168" s="117"/>
      <c r="BV168" s="117"/>
      <c r="BW168" s="117"/>
      <c r="BX168" s="117"/>
      <c r="BY168" s="117"/>
      <c r="BZ168" s="117"/>
      <c r="CA168" s="117"/>
      <c r="CB168" s="117"/>
      <c r="CC168" s="117"/>
      <c r="CD168" s="117"/>
      <c r="CE168" s="117"/>
      <c r="CF168" s="117"/>
      <c r="CG168" s="117"/>
      <c r="CH168" s="117"/>
      <c r="CI168" s="117"/>
    </row>
    <row r="169" ht="15.75" customHeight="1" outlineLevel="1">
      <c r="C169" s="129"/>
      <c r="D169" s="247"/>
      <c r="E169" s="247"/>
      <c r="F169" s="247"/>
      <c r="G169" s="247"/>
      <c r="H169" s="247"/>
      <c r="I169" s="247"/>
      <c r="J169" s="247"/>
      <c r="K169" s="247"/>
      <c r="L169" s="247"/>
      <c r="M169" s="247"/>
      <c r="N169" s="247"/>
      <c r="O169" s="24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7"/>
      <c r="BO169" s="117"/>
      <c r="BP169" s="117"/>
      <c r="BQ169" s="117"/>
      <c r="BR169" s="117"/>
      <c r="BS169" s="117"/>
      <c r="BT169" s="117"/>
      <c r="BU169" s="117"/>
      <c r="BV169" s="117"/>
      <c r="BW169" s="117"/>
      <c r="BX169" s="117"/>
      <c r="BY169" s="117"/>
      <c r="BZ169" s="117"/>
      <c r="CA169" s="117"/>
      <c r="CB169" s="117"/>
      <c r="CC169" s="117"/>
      <c r="CD169" s="117"/>
      <c r="CE169" s="117"/>
      <c r="CF169" s="117"/>
      <c r="CG169" s="117"/>
      <c r="CH169" s="117"/>
      <c r="CI169" s="117"/>
    </row>
    <row r="170" ht="15.75" customHeight="1" outlineLevel="1">
      <c r="C170" s="257" t="s">
        <v>812</v>
      </c>
      <c r="D170" s="247">
        <f>Revenue!C10</f>
        <v>32145</v>
      </c>
      <c r="E170" s="247">
        <f>Revenue!D10</f>
        <v>20023</v>
      </c>
      <c r="F170" s="247">
        <f>Revenue!E10</f>
        <v>38675</v>
      </c>
      <c r="G170" s="247">
        <f>Revenue!F10</f>
        <v>38382</v>
      </c>
      <c r="H170" s="247">
        <f>Revenue!G10</f>
        <v>25077</v>
      </c>
      <c r="I170" s="247">
        <f>Revenue!H10</f>
        <v>31269</v>
      </c>
      <c r="J170" s="247">
        <f>Revenue!I10</f>
        <v>26693</v>
      </c>
      <c r="K170" s="247">
        <f>Revenue!J10</f>
        <v>35918</v>
      </c>
      <c r="L170" s="247">
        <f>Revenue!K10</f>
        <v>38988</v>
      </c>
      <c r="M170" s="247">
        <f>Revenue!L10</f>
        <v>26246</v>
      </c>
      <c r="N170" s="247">
        <f>Revenue!M10</f>
        <v>25203</v>
      </c>
      <c r="O170" s="247">
        <f>Revenue!N10</f>
        <v>174623</v>
      </c>
      <c r="P170" s="247">
        <f>Revenue!O10</f>
        <v>183152</v>
      </c>
      <c r="Q170" s="247">
        <f>Revenue!P10</f>
        <v>164354</v>
      </c>
      <c r="R170" s="247">
        <f>Revenue!Q10</f>
        <v>220307</v>
      </c>
      <c r="S170" s="247">
        <f>Revenue!R10</f>
        <v>239857</v>
      </c>
      <c r="T170" s="247">
        <f>Revenue!S10</f>
        <v>228761</v>
      </c>
      <c r="U170" s="247">
        <f>Revenue!T10</f>
        <v>182009</v>
      </c>
      <c r="V170" s="247">
        <f>Revenue!U10</f>
        <v>186834</v>
      </c>
      <c r="W170" s="247">
        <v>132167.0</v>
      </c>
      <c r="X170" s="247">
        <v>137376.0</v>
      </c>
      <c r="Y170" s="247">
        <f>Revenue!X10</f>
        <v>229020</v>
      </c>
      <c r="Z170" s="247">
        <f>Revenue!Y10</f>
        <v>222586</v>
      </c>
      <c r="AA170" s="117">
        <f>Revenue!Z10</f>
        <v>237288.2603</v>
      </c>
      <c r="AB170" s="117">
        <f>Revenue!AA10</f>
        <v>254182.8216</v>
      </c>
      <c r="AC170" s="117">
        <f>Revenue!AB10</f>
        <v>269240.6669</v>
      </c>
      <c r="AD170" s="117">
        <f>Revenue!AC10</f>
        <v>282267.6617</v>
      </c>
      <c r="AE170" s="117">
        <f>Revenue!AD10</f>
        <v>293903.0389</v>
      </c>
      <c r="AF170" s="117">
        <f>Revenue!AE10</f>
        <v>300046.4589</v>
      </c>
      <c r="AG170" s="117">
        <f>Revenue!AF10</f>
        <v>305551.8348</v>
      </c>
      <c r="AH170" s="117">
        <f>Revenue!AG10</f>
        <v>309000.5918</v>
      </c>
      <c r="AI170" s="117">
        <f>Revenue!AH10</f>
        <v>311983.1866</v>
      </c>
      <c r="AJ170" s="117">
        <f>Revenue!AI10</f>
        <v>315908.0636</v>
      </c>
      <c r="AK170" s="117">
        <f>Revenue!AJ10</f>
        <v>320515.9767</v>
      </c>
      <c r="AL170" s="117">
        <f>Revenue!AK10</f>
        <v>324541.4248</v>
      </c>
      <c r="AM170" s="117">
        <f>Revenue!AL10</f>
        <v>328217.4857</v>
      </c>
      <c r="AN170" s="117">
        <f>Revenue!AM10</f>
        <v>330505.8443</v>
      </c>
      <c r="AO170" s="117">
        <f>Revenue!AN10</f>
        <v>333665.665</v>
      </c>
      <c r="AP170" s="117">
        <f>Revenue!AO10</f>
        <v>337718.8864</v>
      </c>
      <c r="AQ170" s="117">
        <f>Revenue!AP10</f>
        <v>341317.8945</v>
      </c>
      <c r="AR170" s="117">
        <f>Revenue!AQ10</f>
        <v>344578.968</v>
      </c>
      <c r="AS170" s="117">
        <f>Revenue!AR10</f>
        <v>347856.2766</v>
      </c>
      <c r="AT170" s="117">
        <f>Revenue!AS10</f>
        <v>350881.1381</v>
      </c>
      <c r="AU170" s="117">
        <f>Revenue!AT10</f>
        <v>353718.8269</v>
      </c>
      <c r="AV170" s="117">
        <f>Revenue!AU10</f>
        <v>356418.1154</v>
      </c>
      <c r="AW170" s="117">
        <f>Revenue!AV10</f>
        <v>359015.4489</v>
      </c>
      <c r="AX170" s="117">
        <f>Revenue!AW10</f>
        <v>361538.0646</v>
      </c>
      <c r="AY170" s="117">
        <f>Revenue!AX10</f>
        <v>364006.3214</v>
      </c>
      <c r="AZ170" s="117">
        <f>Revenue!AY10</f>
        <v>367273.6368</v>
      </c>
      <c r="BA170" s="117">
        <f>Revenue!AZ10</f>
        <v>370446.9878</v>
      </c>
      <c r="BB170" s="117">
        <f>Revenue!BA10</f>
        <v>373408.3506</v>
      </c>
      <c r="BC170" s="117">
        <f>Revenue!BB10</f>
        <v>376212.8319</v>
      </c>
      <c r="BD170" s="117">
        <f>Revenue!BC10</f>
        <v>378901.6088</v>
      </c>
      <c r="BE170" s="117">
        <f>Revenue!BD10</f>
        <v>381505.4531</v>
      </c>
      <c r="BF170" s="117">
        <f>Revenue!BE10</f>
        <v>384047.3641</v>
      </c>
      <c r="BG170" s="117">
        <f>Revenue!BF10</f>
        <v>386544.5348</v>
      </c>
      <c r="BH170" s="117">
        <f>Revenue!BG10</f>
        <v>389009.8214</v>
      </c>
      <c r="BI170" s="117">
        <f>Revenue!BH10</f>
        <v>391452.8405</v>
      </c>
      <c r="BJ170" s="117">
        <f>Revenue!BI10</f>
        <v>393880.7887</v>
      </c>
      <c r="BK170" s="117">
        <f>Revenue!BJ10</f>
        <v>396299.0552</v>
      </c>
      <c r="BL170" s="117">
        <f>Revenue!BK10</f>
        <v>400181.0886</v>
      </c>
      <c r="BM170" s="117">
        <f>Revenue!BL10</f>
        <v>403970.2448</v>
      </c>
      <c r="BN170" s="117">
        <f>Revenue!BM10</f>
        <v>407045.4366</v>
      </c>
      <c r="BO170" s="117">
        <f>Revenue!BN10</f>
        <v>410097.6849</v>
      </c>
      <c r="BP170" s="117">
        <f>Revenue!BO10</f>
        <v>413135.151</v>
      </c>
      <c r="BQ170" s="117">
        <f>Revenue!BP10</f>
        <v>416163.9715</v>
      </c>
      <c r="BR170" s="117">
        <f>Revenue!BQ10</f>
        <v>419188.7715</v>
      </c>
      <c r="BS170" s="117">
        <f>Revenue!BR10</f>
        <v>422213.048</v>
      </c>
      <c r="BT170" s="117">
        <f>Revenue!BS10</f>
        <v>425239.4569</v>
      </c>
      <c r="BU170" s="117">
        <f>Revenue!BT10</f>
        <v>428270.0262</v>
      </c>
      <c r="BV170" s="117">
        <f>Revenue!BU10</f>
        <v>431306.3164</v>
      </c>
      <c r="BW170" s="117">
        <f>Revenue!BV10</f>
        <v>434349.5402</v>
      </c>
      <c r="BX170" s="117">
        <f>Revenue!BW10</f>
        <v>437511.2831</v>
      </c>
      <c r="BY170" s="117">
        <f>Revenue!BX10</f>
        <v>437014.607</v>
      </c>
      <c r="BZ170" s="117">
        <f>Revenue!BY10</f>
        <v>436805.9551</v>
      </c>
      <c r="CA170" s="117">
        <f>Revenue!BZ10</f>
        <v>437341.4376</v>
      </c>
      <c r="CB170" s="117">
        <f>Revenue!CA10</f>
        <v>438435.0543</v>
      </c>
      <c r="CC170" s="117">
        <f>Revenue!CB10</f>
        <v>439947.854</v>
      </c>
      <c r="CD170" s="117">
        <f>Revenue!CC10</f>
        <v>441776.0326</v>
      </c>
      <c r="CE170" s="117">
        <f>Revenue!CD10</f>
        <v>443842.0407</v>
      </c>
      <c r="CF170" s="117">
        <f>Revenue!CE10</f>
        <v>446087.9425</v>
      </c>
      <c r="CG170" s="117">
        <f>Revenue!CF10</f>
        <v>448470.4537</v>
      </c>
      <c r="CH170" s="117">
        <f>Revenue!CG10</f>
        <v>450957.2355</v>
      </c>
      <c r="CI170" s="117">
        <f>Revenue!CH10</f>
        <v>453524.1261</v>
      </c>
      <c r="CL170" s="117">
        <f>SUM(D170:G170)</f>
        <v>129225</v>
      </c>
      <c r="CM170" s="117">
        <f>SUM(H170:K170)</f>
        <v>118957</v>
      </c>
      <c r="CN170" s="117">
        <f>SUM(L170:O170)</f>
        <v>265060</v>
      </c>
      <c r="CO170" s="117">
        <f>SUM(P170:S170)</f>
        <v>807670</v>
      </c>
      <c r="CP170" s="117">
        <f>SUM(T170:W170)</f>
        <v>729771</v>
      </c>
      <c r="CQ170" s="117">
        <f>SUM(X170:AA170)</f>
        <v>826270.2603</v>
      </c>
    </row>
    <row r="171" ht="15.75" customHeight="1" outlineLevel="1">
      <c r="C171" s="257" t="s">
        <v>799</v>
      </c>
      <c r="D171" s="513">
        <f t="shared" ref="D171:CI171" si="181">D170/D$5</f>
        <v>0.04157655933</v>
      </c>
      <c r="E171" s="513">
        <f t="shared" si="181"/>
        <v>0.02126888898</v>
      </c>
      <c r="F171" s="513">
        <f t="shared" si="181"/>
        <v>0.04328551315</v>
      </c>
      <c r="G171" s="513">
        <f t="shared" si="181"/>
        <v>0.03650391032</v>
      </c>
      <c r="H171" s="513">
        <f t="shared" si="181"/>
        <v>0.02801348562</v>
      </c>
      <c r="I171" s="513">
        <f t="shared" si="181"/>
        <v>0.0321808111</v>
      </c>
      <c r="J171" s="513">
        <f t="shared" si="181"/>
        <v>0.03295847131</v>
      </c>
      <c r="K171" s="513">
        <f t="shared" si="181"/>
        <v>0.04617932255</v>
      </c>
      <c r="L171" s="513">
        <f t="shared" si="181"/>
        <v>0.04643136582</v>
      </c>
      <c r="M171" s="513">
        <f t="shared" si="181"/>
        <v>0.02927065373</v>
      </c>
      <c r="N171" s="513">
        <f t="shared" si="181"/>
        <v>0.02888867492</v>
      </c>
      <c r="O171" s="513">
        <f t="shared" si="181"/>
        <v>0.1737735947</v>
      </c>
      <c r="P171" s="513">
        <f t="shared" si="181"/>
        <v>0.1622142019</v>
      </c>
      <c r="Q171" s="513">
        <f t="shared" si="181"/>
        <v>0.1690771708</v>
      </c>
      <c r="R171" s="513">
        <f t="shared" si="181"/>
        <v>0.2068218047</v>
      </c>
      <c r="S171" s="513">
        <f t="shared" si="181"/>
        <v>0.2058900784</v>
      </c>
      <c r="T171" s="513">
        <f t="shared" si="181"/>
        <v>0.2004539022</v>
      </c>
      <c r="U171" s="513">
        <f t="shared" si="181"/>
        <v>0.1773303169</v>
      </c>
      <c r="V171" s="513">
        <f t="shared" si="181"/>
        <v>0.1722858392</v>
      </c>
      <c r="W171" s="513">
        <f t="shared" si="181"/>
        <v>0.103099209</v>
      </c>
      <c r="X171" s="513">
        <f t="shared" si="181"/>
        <v>0.114071813</v>
      </c>
      <c r="Y171" s="513">
        <f t="shared" si="181"/>
        <v>0.2128157808</v>
      </c>
      <c r="Z171" s="513">
        <f t="shared" si="181"/>
        <v>0.2062824654</v>
      </c>
      <c r="AA171" s="130">
        <f t="shared" si="181"/>
        <v>0.1676012364</v>
      </c>
      <c r="AB171" s="130">
        <f t="shared" si="181"/>
        <v>0.1524374627</v>
      </c>
      <c r="AC171" s="130">
        <f t="shared" si="181"/>
        <v>0.1405102193</v>
      </c>
      <c r="AD171" s="130">
        <f t="shared" si="181"/>
        <v>0.1316591208</v>
      </c>
      <c r="AE171" s="130">
        <f t="shared" si="181"/>
        <v>0.1244281291</v>
      </c>
      <c r="AF171" s="130">
        <f t="shared" si="181"/>
        <v>0.1163541844</v>
      </c>
      <c r="AG171" s="130">
        <f t="shared" si="181"/>
        <v>0.1092538404</v>
      </c>
      <c r="AH171" s="130">
        <f t="shared" si="181"/>
        <v>0.1032337469</v>
      </c>
      <c r="AI171" s="130">
        <f t="shared" si="181"/>
        <v>0.09792567003</v>
      </c>
      <c r="AJ171" s="130">
        <f t="shared" si="181"/>
        <v>0.09361379693</v>
      </c>
      <c r="AK171" s="130">
        <f t="shared" si="181"/>
        <v>0.09028674579</v>
      </c>
      <c r="AL171" s="130">
        <f t="shared" si="181"/>
        <v>0.0871562296</v>
      </c>
      <c r="AM171" s="130">
        <f t="shared" si="181"/>
        <v>0.08416787367</v>
      </c>
      <c r="AN171" s="130">
        <f t="shared" si="181"/>
        <v>0.08113921784</v>
      </c>
      <c r="AO171" s="130">
        <f t="shared" si="181"/>
        <v>0.0812973134</v>
      </c>
      <c r="AP171" s="130">
        <f t="shared" si="181"/>
        <v>0.08142410315</v>
      </c>
      <c r="AQ171" s="130">
        <f t="shared" si="181"/>
        <v>0.08119091868</v>
      </c>
      <c r="AR171" s="130">
        <f t="shared" si="181"/>
        <v>0.08081880894</v>
      </c>
      <c r="AS171" s="130">
        <f t="shared" si="181"/>
        <v>0.08041626387</v>
      </c>
      <c r="AT171" s="130">
        <f t="shared" si="181"/>
        <v>0.07997994871</v>
      </c>
      <c r="AU171" s="130">
        <f t="shared" si="181"/>
        <v>0.07928671468</v>
      </c>
      <c r="AV171" s="130">
        <f t="shared" si="181"/>
        <v>0.07883421955</v>
      </c>
      <c r="AW171" s="130">
        <f t="shared" si="181"/>
        <v>0.07838583002</v>
      </c>
      <c r="AX171" s="130">
        <f t="shared" si="181"/>
        <v>0.0779464434</v>
      </c>
      <c r="AY171" s="130">
        <f t="shared" si="181"/>
        <v>0.07751917893</v>
      </c>
      <c r="AZ171" s="130">
        <f t="shared" si="181"/>
        <v>0.07618627024</v>
      </c>
      <c r="BA171" s="130">
        <f t="shared" si="181"/>
        <v>0.07537290443</v>
      </c>
      <c r="BB171" s="130">
        <f t="shared" si="181"/>
        <v>0.07459099853</v>
      </c>
      <c r="BC171" s="130">
        <f t="shared" si="181"/>
        <v>0.07384030712</v>
      </c>
      <c r="BD171" s="130">
        <f t="shared" si="181"/>
        <v>0.07312109178</v>
      </c>
      <c r="BE171" s="130">
        <f t="shared" si="181"/>
        <v>0.07243364724</v>
      </c>
      <c r="BF171" s="130">
        <f t="shared" si="181"/>
        <v>0.07177771676</v>
      </c>
      <c r="BG171" s="130">
        <f t="shared" si="181"/>
        <v>0.07115255816</v>
      </c>
      <c r="BH171" s="130">
        <f t="shared" si="181"/>
        <v>0.07055708851</v>
      </c>
      <c r="BI171" s="130">
        <f t="shared" si="181"/>
        <v>0.06999001002</v>
      </c>
      <c r="BJ171" s="130">
        <f t="shared" si="181"/>
        <v>0.06944990489</v>
      </c>
      <c r="BK171" s="130">
        <f t="shared" si="181"/>
        <v>0.06893530322</v>
      </c>
      <c r="BL171" s="130">
        <f t="shared" si="181"/>
        <v>0.06828163825</v>
      </c>
      <c r="BM171" s="130">
        <f t="shared" si="181"/>
        <v>0.06792163887</v>
      </c>
      <c r="BN171" s="130">
        <f t="shared" si="181"/>
        <v>0.06754541019</v>
      </c>
      <c r="BO171" s="130">
        <f t="shared" si="181"/>
        <v>0.06719222643</v>
      </c>
      <c r="BP171" s="130">
        <f t="shared" si="181"/>
        <v>0.06684959226</v>
      </c>
      <c r="BQ171" s="130">
        <f t="shared" si="181"/>
        <v>0.06651772407</v>
      </c>
      <c r="BR171" s="130">
        <f t="shared" si="181"/>
        <v>0.06619637568</v>
      </c>
      <c r="BS171" s="130">
        <f t="shared" si="181"/>
        <v>0.06588516769</v>
      </c>
      <c r="BT171" s="130">
        <f t="shared" si="181"/>
        <v>0.06558364709</v>
      </c>
      <c r="BU171" s="130">
        <f t="shared" si="181"/>
        <v>0.06529131445</v>
      </c>
      <c r="BV171" s="130">
        <f t="shared" si="181"/>
        <v>0.06500764453</v>
      </c>
      <c r="BW171" s="130">
        <f t="shared" si="181"/>
        <v>0.06473210218</v>
      </c>
      <c r="BX171" s="130">
        <f t="shared" si="181"/>
        <v>0.06421836435</v>
      </c>
      <c r="BY171" s="130">
        <f t="shared" si="181"/>
        <v>0.06369573784</v>
      </c>
      <c r="BZ171" s="130">
        <f t="shared" si="181"/>
        <v>0.06324151228</v>
      </c>
      <c r="CA171" s="130">
        <f t="shared" si="181"/>
        <v>0.06287861572</v>
      </c>
      <c r="CB171" s="130">
        <f t="shared" si="181"/>
        <v>0.06258793272</v>
      </c>
      <c r="CC171" s="130">
        <f t="shared" si="181"/>
        <v>0.06235507419</v>
      </c>
      <c r="CD171" s="130">
        <f t="shared" si="181"/>
        <v>0.06216702273</v>
      </c>
      <c r="CE171" s="130">
        <f t="shared" si="181"/>
        <v>0.06201341303</v>
      </c>
      <c r="CF171" s="130">
        <f t="shared" si="181"/>
        <v>0.06188626991</v>
      </c>
      <c r="CG171" s="130">
        <f t="shared" si="181"/>
        <v>0.0617795207</v>
      </c>
      <c r="CH171" s="130">
        <f t="shared" si="181"/>
        <v>0.06168854989</v>
      </c>
      <c r="CI171" s="130">
        <f t="shared" si="181"/>
        <v>0.06160984214</v>
      </c>
      <c r="CL171" s="130">
        <f t="shared" ref="CL171:CQ171" si="182">CL170/CL$5</f>
        <v>0.03531211428</v>
      </c>
      <c r="CM171" s="130">
        <f t="shared" si="182"/>
        <v>0.03443503523</v>
      </c>
      <c r="CN171" s="130">
        <f t="shared" si="182"/>
        <v>0.07334939644</v>
      </c>
      <c r="CO171" s="130">
        <f t="shared" si="182"/>
        <v>0.1864721085</v>
      </c>
      <c r="CP171" s="130">
        <f t="shared" si="182"/>
        <v>0.1609559017</v>
      </c>
      <c r="CQ171" s="130">
        <f t="shared" si="182"/>
        <v>0.1730314115</v>
      </c>
    </row>
    <row r="172" ht="15.75" customHeight="1" outlineLevel="1">
      <c r="C172" s="129"/>
      <c r="D172" s="247"/>
      <c r="E172" s="247"/>
      <c r="F172" s="247"/>
      <c r="G172" s="247"/>
      <c r="H172" s="247"/>
      <c r="I172" s="247"/>
      <c r="J172" s="247"/>
      <c r="K172" s="247"/>
      <c r="L172" s="247"/>
      <c r="M172" s="247"/>
      <c r="N172" s="247"/>
      <c r="O172" s="24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7"/>
      <c r="BO172" s="117"/>
      <c r="BP172" s="117"/>
      <c r="BQ172" s="117"/>
      <c r="BR172" s="117"/>
      <c r="BS172" s="117"/>
      <c r="BT172" s="117"/>
      <c r="BU172" s="117"/>
      <c r="BV172" s="117"/>
      <c r="BW172" s="117"/>
      <c r="BX172" s="117"/>
      <c r="BY172" s="117"/>
      <c r="BZ172" s="117"/>
      <c r="CA172" s="117"/>
      <c r="CB172" s="117"/>
      <c r="CC172" s="117"/>
      <c r="CD172" s="117"/>
      <c r="CE172" s="117"/>
      <c r="CF172" s="117"/>
      <c r="CG172" s="117"/>
      <c r="CH172" s="117"/>
      <c r="CI172" s="117"/>
      <c r="CL172" s="117"/>
      <c r="CM172" s="117"/>
      <c r="CN172" s="117"/>
      <c r="CO172" s="117"/>
      <c r="CP172" s="117"/>
      <c r="CQ172" s="117"/>
    </row>
    <row r="173" ht="15.75" customHeight="1" outlineLevel="1">
      <c r="A173" s="1" t="s">
        <v>94</v>
      </c>
      <c r="B173" s="91" t="s">
        <v>63</v>
      </c>
      <c r="C173" s="132" t="s">
        <v>206</v>
      </c>
      <c r="D173" s="247">
        <f t="shared" ref="D173:Z173" si="183">RANDBETWEEN(0,5000)</f>
        <v>3742</v>
      </c>
      <c r="E173" s="247">
        <f t="shared" si="183"/>
        <v>1437</v>
      </c>
      <c r="F173" s="247">
        <f t="shared" si="183"/>
        <v>1732</v>
      </c>
      <c r="G173" s="247">
        <f t="shared" si="183"/>
        <v>4200</v>
      </c>
      <c r="H173" s="247">
        <f t="shared" si="183"/>
        <v>1019</v>
      </c>
      <c r="I173" s="247">
        <f t="shared" si="183"/>
        <v>1821</v>
      </c>
      <c r="J173" s="247">
        <f t="shared" si="183"/>
        <v>3462</v>
      </c>
      <c r="K173" s="247">
        <f t="shared" si="183"/>
        <v>2711</v>
      </c>
      <c r="L173" s="247">
        <f t="shared" si="183"/>
        <v>2263</v>
      </c>
      <c r="M173" s="247">
        <f t="shared" si="183"/>
        <v>3215</v>
      </c>
      <c r="N173" s="247">
        <f t="shared" si="183"/>
        <v>4845</v>
      </c>
      <c r="O173" s="247">
        <f t="shared" si="183"/>
        <v>933</v>
      </c>
      <c r="P173" s="247">
        <f t="shared" si="183"/>
        <v>4547</v>
      </c>
      <c r="Q173" s="247">
        <f t="shared" si="183"/>
        <v>2273</v>
      </c>
      <c r="R173" s="247">
        <f t="shared" si="183"/>
        <v>1901</v>
      </c>
      <c r="S173" s="247">
        <f t="shared" si="183"/>
        <v>2959</v>
      </c>
      <c r="T173" s="247">
        <f t="shared" si="183"/>
        <v>3741</v>
      </c>
      <c r="U173" s="247">
        <f t="shared" si="183"/>
        <v>1540</v>
      </c>
      <c r="V173" s="247">
        <f t="shared" si="183"/>
        <v>4821</v>
      </c>
      <c r="W173" s="247">
        <f t="shared" si="183"/>
        <v>3665</v>
      </c>
      <c r="X173" s="247">
        <f t="shared" si="183"/>
        <v>1919</v>
      </c>
      <c r="Y173" s="247">
        <f t="shared" si="183"/>
        <v>4041</v>
      </c>
      <c r="Z173" s="247">
        <f t="shared" si="183"/>
        <v>4656</v>
      </c>
      <c r="AA173" s="116">
        <f>Headcount!S82</f>
        <v>14656</v>
      </c>
      <c r="AB173" s="116">
        <f>Headcount!T82</f>
        <v>15315.52</v>
      </c>
      <c r="AC173" s="116">
        <f>Headcount!U82</f>
        <v>15315.52</v>
      </c>
      <c r="AD173" s="116">
        <f>Headcount!V82</f>
        <v>15315.52</v>
      </c>
      <c r="AE173" s="116">
        <f>Headcount!W82</f>
        <v>15315.52</v>
      </c>
      <c r="AF173" s="116">
        <f>Headcount!X82</f>
        <v>16004.7184</v>
      </c>
      <c r="AG173" s="116">
        <f>Headcount!Y82</f>
        <v>16004.7184</v>
      </c>
      <c r="AH173" s="116">
        <f>Headcount!Z82</f>
        <v>16004.7184</v>
      </c>
      <c r="AI173" s="116">
        <f>Headcount!AA82</f>
        <v>16004.7184</v>
      </c>
      <c r="AJ173" s="116">
        <f>Headcount!AB82</f>
        <v>16724.93073</v>
      </c>
      <c r="AK173" s="116">
        <f>Headcount!AC82</f>
        <v>16724.93073</v>
      </c>
      <c r="AL173" s="116">
        <f>Headcount!AD82</f>
        <v>16724.93073</v>
      </c>
      <c r="AM173" s="116">
        <f>Headcount!AE82</f>
        <v>16724.93073</v>
      </c>
      <c r="AN173" s="116">
        <f>Headcount!AF82</f>
        <v>17393.92796</v>
      </c>
      <c r="AO173" s="116">
        <f>Headcount!AG82</f>
        <v>17393.92796</v>
      </c>
      <c r="AP173" s="116">
        <f>Headcount!AH82</f>
        <v>17393.92796</v>
      </c>
      <c r="AQ173" s="116">
        <f>Headcount!AI82</f>
        <v>17393.92796</v>
      </c>
      <c r="AR173" s="116">
        <f>Headcount!AJ82</f>
        <v>18089.68508</v>
      </c>
      <c r="AS173" s="116">
        <f>Headcount!AK82</f>
        <v>18089.68508</v>
      </c>
      <c r="AT173" s="116">
        <f>Headcount!AL82</f>
        <v>18089.68508</v>
      </c>
      <c r="AU173" s="116">
        <f>Headcount!AM82</f>
        <v>18089.68508</v>
      </c>
      <c r="AV173" s="116">
        <f>Headcount!AN82</f>
        <v>18813.27248</v>
      </c>
      <c r="AW173" s="116">
        <f>Headcount!AO82</f>
        <v>18813.27248</v>
      </c>
      <c r="AX173" s="116">
        <f>Headcount!AP82</f>
        <v>18813.27248</v>
      </c>
      <c r="AY173" s="116">
        <f>Headcount!AQ82</f>
        <v>18813.27248</v>
      </c>
      <c r="AZ173" s="116">
        <f>Headcount!AR82</f>
        <v>19565.80338</v>
      </c>
      <c r="BA173" s="116">
        <f>Headcount!AS82</f>
        <v>19565.80338</v>
      </c>
      <c r="BB173" s="116">
        <f>Headcount!AT82</f>
        <v>19565.80338</v>
      </c>
      <c r="BC173" s="116">
        <f>Headcount!AU82</f>
        <v>19565.80338</v>
      </c>
      <c r="BD173" s="116">
        <f>Headcount!AV82</f>
        <v>20348.43551</v>
      </c>
      <c r="BE173" s="116">
        <f>Headcount!AW82</f>
        <v>20348.43551</v>
      </c>
      <c r="BF173" s="116">
        <f>Headcount!AX82</f>
        <v>20348.43551</v>
      </c>
      <c r="BG173" s="116">
        <f>Headcount!AY82</f>
        <v>20348.43551</v>
      </c>
      <c r="BH173" s="116">
        <f>Headcount!AZ82</f>
        <v>21162.37293</v>
      </c>
      <c r="BI173" s="116">
        <f>Headcount!BA82</f>
        <v>21162.37293</v>
      </c>
      <c r="BJ173" s="116">
        <f>Headcount!BB82</f>
        <v>21162.37293</v>
      </c>
      <c r="BK173" s="116">
        <f>Headcount!BC82</f>
        <v>21162.37293</v>
      </c>
      <c r="BL173" s="116">
        <f>Headcount!BD82</f>
        <v>22008.86785</v>
      </c>
      <c r="BM173" s="116">
        <f>Headcount!BE82</f>
        <v>179920.6814</v>
      </c>
      <c r="BN173" s="116">
        <f>Headcount!BF82</f>
        <v>232557.9525</v>
      </c>
      <c r="BO173" s="116">
        <f>Headcount!BG82</f>
        <v>232557.9525</v>
      </c>
      <c r="BP173" s="116">
        <f>Headcount!BH82</f>
        <v>241860.2706</v>
      </c>
      <c r="BQ173" s="116">
        <f>Headcount!BI82</f>
        <v>241860.2706</v>
      </c>
      <c r="BR173" s="116">
        <f>Headcount!BJ82</f>
        <v>241860.2706</v>
      </c>
      <c r="BS173" s="116">
        <f>Headcount!BK82</f>
        <v>241860.2706</v>
      </c>
      <c r="BT173" s="116">
        <f>Headcount!BL82</f>
        <v>251534.6815</v>
      </c>
      <c r="BU173" s="116">
        <f>Headcount!BM82</f>
        <v>251534.6815</v>
      </c>
      <c r="BV173" s="116">
        <f>Headcount!BN82</f>
        <v>265220.372</v>
      </c>
      <c r="BW173" s="116">
        <f>Headcount!BO82</f>
        <v>265220.372</v>
      </c>
      <c r="BX173" s="116">
        <f>Headcount!BP82</f>
        <v>275829.1868</v>
      </c>
      <c r="BY173" s="116">
        <f>Headcount!BQ82</f>
        <v>275829.1868</v>
      </c>
      <c r="BZ173" s="116">
        <f>Headcount!BR82</f>
        <v>275829.1868</v>
      </c>
      <c r="CA173" s="116">
        <f>Headcount!BS82</f>
        <v>275829.1868</v>
      </c>
      <c r="CB173" s="116">
        <f>Headcount!BT82</f>
        <v>286862.3543</v>
      </c>
      <c r="CC173" s="116">
        <f>Headcount!BU82</f>
        <v>286862.3543</v>
      </c>
      <c r="CD173" s="116">
        <f>Headcount!BV82</f>
        <v>286862.3543</v>
      </c>
      <c r="CE173" s="116">
        <f>Headcount!BW82</f>
        <v>286862.3543</v>
      </c>
      <c r="CF173" s="116">
        <f>Headcount!BX82</f>
        <v>298336.8485</v>
      </c>
      <c r="CG173" s="116">
        <f>Headcount!BY82</f>
        <v>298336.8485</v>
      </c>
      <c r="CH173" s="116">
        <f>Headcount!BZ82</f>
        <v>298336.8485</v>
      </c>
      <c r="CI173" s="116">
        <f>Headcount!CA82</f>
        <v>298336.8485</v>
      </c>
      <c r="CL173" s="117">
        <f t="shared" ref="CL173:CL184" si="185">SUM(D173:G173)</f>
        <v>11111</v>
      </c>
      <c r="CM173" s="117">
        <f t="shared" ref="CM173:CM184" si="186">SUM(H173:K173)</f>
        <v>9013</v>
      </c>
      <c r="CN173" s="117">
        <f t="shared" ref="CN173:CN184" si="187">SUM(L173:O173)</f>
        <v>11256</v>
      </c>
      <c r="CO173" s="117">
        <f t="shared" ref="CO173:CO184" si="188">SUM(P173:S173)</f>
        <v>11680</v>
      </c>
      <c r="CP173" s="117">
        <f t="shared" ref="CP173:CP184" si="189">SUM(T173:W173)</f>
        <v>13767</v>
      </c>
      <c r="CQ173" s="117">
        <f t="shared" ref="CQ173:CQ184" si="190">SUM(X173:AA173)</f>
        <v>25272</v>
      </c>
    </row>
    <row r="174" ht="15.75" customHeight="1" outlineLevel="1">
      <c r="A174" s="1" t="s">
        <v>94</v>
      </c>
      <c r="B174" s="91" t="s">
        <v>63</v>
      </c>
      <c r="C174" s="132" t="s">
        <v>207</v>
      </c>
      <c r="D174" s="247">
        <f t="shared" ref="D174:Z174" si="184">RANDBETWEEN(0,5000)</f>
        <v>3449</v>
      </c>
      <c r="E174" s="247">
        <f t="shared" si="184"/>
        <v>2524</v>
      </c>
      <c r="F174" s="247">
        <f t="shared" si="184"/>
        <v>1668</v>
      </c>
      <c r="G174" s="247">
        <f t="shared" si="184"/>
        <v>3956</v>
      </c>
      <c r="H174" s="247">
        <f t="shared" si="184"/>
        <v>1001</v>
      </c>
      <c r="I174" s="247">
        <f t="shared" si="184"/>
        <v>3756</v>
      </c>
      <c r="J174" s="247">
        <f t="shared" si="184"/>
        <v>243</v>
      </c>
      <c r="K174" s="247">
        <f t="shared" si="184"/>
        <v>4037</v>
      </c>
      <c r="L174" s="247">
        <f t="shared" si="184"/>
        <v>3253</v>
      </c>
      <c r="M174" s="247">
        <f t="shared" si="184"/>
        <v>2685</v>
      </c>
      <c r="N174" s="247">
        <f t="shared" si="184"/>
        <v>14</v>
      </c>
      <c r="O174" s="247">
        <f t="shared" si="184"/>
        <v>4233</v>
      </c>
      <c r="P174" s="247">
        <f t="shared" si="184"/>
        <v>4296</v>
      </c>
      <c r="Q174" s="247">
        <f t="shared" si="184"/>
        <v>4641</v>
      </c>
      <c r="R174" s="247">
        <f t="shared" si="184"/>
        <v>519</v>
      </c>
      <c r="S174" s="247">
        <f t="shared" si="184"/>
        <v>3775</v>
      </c>
      <c r="T174" s="247">
        <f t="shared" si="184"/>
        <v>2972</v>
      </c>
      <c r="U174" s="247">
        <f t="shared" si="184"/>
        <v>1821</v>
      </c>
      <c r="V174" s="247">
        <f t="shared" si="184"/>
        <v>1149</v>
      </c>
      <c r="W174" s="247">
        <f t="shared" si="184"/>
        <v>1042</v>
      </c>
      <c r="X174" s="247">
        <f t="shared" si="184"/>
        <v>855</v>
      </c>
      <c r="Y174" s="247">
        <f t="shared" si="184"/>
        <v>2002</v>
      </c>
      <c r="Z174" s="247">
        <f t="shared" si="184"/>
        <v>1669</v>
      </c>
      <c r="AA174" s="117">
        <f>Headcount!S165</f>
        <v>5000</v>
      </c>
      <c r="AB174" s="117">
        <f>Headcount!T165</f>
        <v>5000</v>
      </c>
      <c r="AC174" s="117">
        <f>Headcount!U165</f>
        <v>5000</v>
      </c>
      <c r="AD174" s="117">
        <f>Headcount!V165</f>
        <v>5000</v>
      </c>
      <c r="AE174" s="117">
        <f>Headcount!W165</f>
        <v>5000</v>
      </c>
      <c r="AF174" s="117">
        <f>Headcount!X165</f>
        <v>5000</v>
      </c>
      <c r="AG174" s="117">
        <f>Headcount!Y165</f>
        <v>5000</v>
      </c>
      <c r="AH174" s="117">
        <f>Headcount!Z165</f>
        <v>5000</v>
      </c>
      <c r="AI174" s="117">
        <f>Headcount!AA165</f>
        <v>5000</v>
      </c>
      <c r="AJ174" s="117">
        <f>Headcount!AB165</f>
        <v>10000</v>
      </c>
      <c r="AK174" s="117">
        <f>Headcount!AC165</f>
        <v>10000</v>
      </c>
      <c r="AL174" s="117">
        <f>Headcount!AD165</f>
        <v>10000</v>
      </c>
      <c r="AM174" s="117">
        <f>Headcount!AE165</f>
        <v>10000</v>
      </c>
      <c r="AN174" s="117">
        <f>Headcount!AF165</f>
        <v>10000</v>
      </c>
      <c r="AO174" s="117">
        <f>Headcount!AG165</f>
        <v>10000</v>
      </c>
      <c r="AP174" s="117">
        <f>Headcount!AH165</f>
        <v>10000</v>
      </c>
      <c r="AQ174" s="117">
        <f>Headcount!AI165</f>
        <v>10000</v>
      </c>
      <c r="AR174" s="117">
        <f>Headcount!AJ165</f>
        <v>15000</v>
      </c>
      <c r="AS174" s="117">
        <f>Headcount!AK165</f>
        <v>15000</v>
      </c>
      <c r="AT174" s="117">
        <f>Headcount!AL165</f>
        <v>15000</v>
      </c>
      <c r="AU174" s="117">
        <f>Headcount!AM165</f>
        <v>15000</v>
      </c>
      <c r="AV174" s="117">
        <f>Headcount!AN165</f>
        <v>15000</v>
      </c>
      <c r="AW174" s="117">
        <f>Headcount!AO165</f>
        <v>15000</v>
      </c>
      <c r="AX174" s="117">
        <f>Headcount!AP165</f>
        <v>15000</v>
      </c>
      <c r="AY174" s="117">
        <f>Headcount!AQ165</f>
        <v>15000</v>
      </c>
      <c r="AZ174" s="117">
        <f>Headcount!AR165</f>
        <v>15000</v>
      </c>
      <c r="BA174" s="117">
        <f>Headcount!AS165</f>
        <v>15000</v>
      </c>
      <c r="BB174" s="117">
        <f>Headcount!AT165</f>
        <v>15000</v>
      </c>
      <c r="BC174" s="117">
        <f>Headcount!AU165</f>
        <v>15000</v>
      </c>
      <c r="BD174" s="117">
        <f>Headcount!AV165</f>
        <v>15000</v>
      </c>
      <c r="BE174" s="117">
        <f>Headcount!AW165</f>
        <v>15000</v>
      </c>
      <c r="BF174" s="117">
        <f>Headcount!AX165</f>
        <v>15000</v>
      </c>
      <c r="BG174" s="117">
        <f>Headcount!AY165</f>
        <v>15000</v>
      </c>
      <c r="BH174" s="117">
        <f>Headcount!AZ165</f>
        <v>15000</v>
      </c>
      <c r="BI174" s="117">
        <f>Headcount!BA165</f>
        <v>15000</v>
      </c>
      <c r="BJ174" s="117">
        <f>Headcount!BB165</f>
        <v>15000</v>
      </c>
      <c r="BK174" s="117">
        <f>Headcount!BC165</f>
        <v>15000</v>
      </c>
      <c r="BL174" s="117">
        <f>Headcount!BD165</f>
        <v>15000</v>
      </c>
      <c r="BM174" s="117">
        <f>Headcount!BE165</f>
        <v>15000</v>
      </c>
      <c r="BN174" s="117">
        <f>Headcount!BF165</f>
        <v>15000</v>
      </c>
      <c r="BO174" s="117">
        <f>Headcount!BG165</f>
        <v>15000</v>
      </c>
      <c r="BP174" s="117">
        <f>Headcount!BH165</f>
        <v>15000</v>
      </c>
      <c r="BQ174" s="117">
        <f>Headcount!BI165</f>
        <v>15000</v>
      </c>
      <c r="BR174" s="117">
        <f>Headcount!BJ165</f>
        <v>15000</v>
      </c>
      <c r="BS174" s="117">
        <f>Headcount!BK165</f>
        <v>15000</v>
      </c>
      <c r="BT174" s="117">
        <f>Headcount!BL165</f>
        <v>15000</v>
      </c>
      <c r="BU174" s="117">
        <f>Headcount!BM165</f>
        <v>15000</v>
      </c>
      <c r="BV174" s="117">
        <f>Headcount!BN165</f>
        <v>15000</v>
      </c>
      <c r="BW174" s="117">
        <f>Headcount!BO165</f>
        <v>15000</v>
      </c>
      <c r="BX174" s="117">
        <f>Headcount!BP165</f>
        <v>15000</v>
      </c>
      <c r="BY174" s="117">
        <f>Headcount!BQ165</f>
        <v>15000</v>
      </c>
      <c r="BZ174" s="117">
        <f>Headcount!BR165</f>
        <v>15000</v>
      </c>
      <c r="CA174" s="117">
        <f>Headcount!BS165</f>
        <v>15000</v>
      </c>
      <c r="CB174" s="117">
        <f>Headcount!BT165</f>
        <v>15000</v>
      </c>
      <c r="CC174" s="117">
        <f>Headcount!BU165</f>
        <v>15000</v>
      </c>
      <c r="CD174" s="117">
        <f>Headcount!BV165</f>
        <v>15000</v>
      </c>
      <c r="CE174" s="117">
        <f>Headcount!BW165</f>
        <v>15000</v>
      </c>
      <c r="CF174" s="117">
        <f>Headcount!BX165</f>
        <v>15000</v>
      </c>
      <c r="CG174" s="117">
        <f>Headcount!BY165</f>
        <v>15000</v>
      </c>
      <c r="CH174" s="117">
        <f>Headcount!BZ165</f>
        <v>15000</v>
      </c>
      <c r="CI174" s="117">
        <f>Headcount!CA165</f>
        <v>15000</v>
      </c>
      <c r="CL174" s="117">
        <f t="shared" si="185"/>
        <v>11597</v>
      </c>
      <c r="CM174" s="117">
        <f t="shared" si="186"/>
        <v>9037</v>
      </c>
      <c r="CN174" s="117">
        <f t="shared" si="187"/>
        <v>10185</v>
      </c>
      <c r="CO174" s="117">
        <f t="shared" si="188"/>
        <v>13231</v>
      </c>
      <c r="CP174" s="117">
        <f t="shared" si="189"/>
        <v>6984</v>
      </c>
      <c r="CQ174" s="117">
        <f t="shared" si="190"/>
        <v>9526</v>
      </c>
    </row>
    <row r="175" ht="15.75" customHeight="1" outlineLevel="1">
      <c r="B175" s="91"/>
      <c r="C175" s="132" t="s">
        <v>208</v>
      </c>
      <c r="D175" s="514">
        <f t="shared" ref="D175:CI175" si="191">(D173)+(D174)</f>
        <v>7191</v>
      </c>
      <c r="E175" s="514">
        <f t="shared" si="191"/>
        <v>3961</v>
      </c>
      <c r="F175" s="514">
        <f t="shared" si="191"/>
        <v>3400</v>
      </c>
      <c r="G175" s="514">
        <f t="shared" si="191"/>
        <v>8156</v>
      </c>
      <c r="H175" s="514">
        <f t="shared" si="191"/>
        <v>2020</v>
      </c>
      <c r="I175" s="514">
        <f t="shared" si="191"/>
        <v>5577</v>
      </c>
      <c r="J175" s="514">
        <f t="shared" si="191"/>
        <v>3705</v>
      </c>
      <c r="K175" s="514">
        <f t="shared" si="191"/>
        <v>6748</v>
      </c>
      <c r="L175" s="514">
        <f t="shared" si="191"/>
        <v>5516</v>
      </c>
      <c r="M175" s="514">
        <f t="shared" si="191"/>
        <v>5900</v>
      </c>
      <c r="N175" s="514">
        <f t="shared" si="191"/>
        <v>4859</v>
      </c>
      <c r="O175" s="514">
        <f t="shared" si="191"/>
        <v>5166</v>
      </c>
      <c r="P175" s="514">
        <f t="shared" si="191"/>
        <v>8843</v>
      </c>
      <c r="Q175" s="514">
        <f t="shared" si="191"/>
        <v>6914</v>
      </c>
      <c r="R175" s="514">
        <f t="shared" si="191"/>
        <v>2420</v>
      </c>
      <c r="S175" s="514">
        <f t="shared" si="191"/>
        <v>6734</v>
      </c>
      <c r="T175" s="514">
        <f t="shared" si="191"/>
        <v>6713</v>
      </c>
      <c r="U175" s="514">
        <f t="shared" si="191"/>
        <v>3361</v>
      </c>
      <c r="V175" s="514">
        <f t="shared" si="191"/>
        <v>5970</v>
      </c>
      <c r="W175" s="514">
        <f t="shared" si="191"/>
        <v>4707</v>
      </c>
      <c r="X175" s="514">
        <f t="shared" si="191"/>
        <v>2774</v>
      </c>
      <c r="Y175" s="514">
        <f t="shared" si="191"/>
        <v>6043</v>
      </c>
      <c r="Z175" s="514">
        <f t="shared" si="191"/>
        <v>6325</v>
      </c>
      <c r="AA175" s="514">
        <f t="shared" si="191"/>
        <v>19656</v>
      </c>
      <c r="AB175" s="514">
        <f t="shared" si="191"/>
        <v>20315.52</v>
      </c>
      <c r="AC175" s="514">
        <f t="shared" si="191"/>
        <v>20315.52</v>
      </c>
      <c r="AD175" s="514">
        <f t="shared" si="191"/>
        <v>20315.52</v>
      </c>
      <c r="AE175" s="514">
        <f t="shared" si="191"/>
        <v>20315.52</v>
      </c>
      <c r="AF175" s="514">
        <f t="shared" si="191"/>
        <v>21004.7184</v>
      </c>
      <c r="AG175" s="514">
        <f t="shared" si="191"/>
        <v>21004.7184</v>
      </c>
      <c r="AH175" s="514">
        <f t="shared" si="191"/>
        <v>21004.7184</v>
      </c>
      <c r="AI175" s="514">
        <f t="shared" si="191"/>
        <v>21004.7184</v>
      </c>
      <c r="AJ175" s="514">
        <f t="shared" si="191"/>
        <v>26724.93073</v>
      </c>
      <c r="AK175" s="514">
        <f t="shared" si="191"/>
        <v>26724.93073</v>
      </c>
      <c r="AL175" s="514">
        <f t="shared" si="191"/>
        <v>26724.93073</v>
      </c>
      <c r="AM175" s="514">
        <f t="shared" si="191"/>
        <v>26724.93073</v>
      </c>
      <c r="AN175" s="514">
        <f t="shared" si="191"/>
        <v>27393.92796</v>
      </c>
      <c r="AO175" s="514">
        <f t="shared" si="191"/>
        <v>27393.92796</v>
      </c>
      <c r="AP175" s="514">
        <f t="shared" si="191"/>
        <v>27393.92796</v>
      </c>
      <c r="AQ175" s="514">
        <f t="shared" si="191"/>
        <v>27393.92796</v>
      </c>
      <c r="AR175" s="514">
        <f t="shared" si="191"/>
        <v>33089.68508</v>
      </c>
      <c r="AS175" s="514">
        <f t="shared" si="191"/>
        <v>33089.68508</v>
      </c>
      <c r="AT175" s="514">
        <f t="shared" si="191"/>
        <v>33089.68508</v>
      </c>
      <c r="AU175" s="514">
        <f t="shared" si="191"/>
        <v>33089.68508</v>
      </c>
      <c r="AV175" s="514">
        <f t="shared" si="191"/>
        <v>33813.27248</v>
      </c>
      <c r="AW175" s="514">
        <f t="shared" si="191"/>
        <v>33813.27248</v>
      </c>
      <c r="AX175" s="514">
        <f t="shared" si="191"/>
        <v>33813.27248</v>
      </c>
      <c r="AY175" s="514">
        <f t="shared" si="191"/>
        <v>33813.27248</v>
      </c>
      <c r="AZ175" s="514">
        <f t="shared" si="191"/>
        <v>34565.80338</v>
      </c>
      <c r="BA175" s="514">
        <f t="shared" si="191"/>
        <v>34565.80338</v>
      </c>
      <c r="BB175" s="514">
        <f t="shared" si="191"/>
        <v>34565.80338</v>
      </c>
      <c r="BC175" s="514">
        <f t="shared" si="191"/>
        <v>34565.80338</v>
      </c>
      <c r="BD175" s="514">
        <f t="shared" si="191"/>
        <v>35348.43551</v>
      </c>
      <c r="BE175" s="514">
        <f t="shared" si="191"/>
        <v>35348.43551</v>
      </c>
      <c r="BF175" s="514">
        <f t="shared" si="191"/>
        <v>35348.43551</v>
      </c>
      <c r="BG175" s="514">
        <f t="shared" si="191"/>
        <v>35348.43551</v>
      </c>
      <c r="BH175" s="514">
        <f t="shared" si="191"/>
        <v>36162.37293</v>
      </c>
      <c r="BI175" s="514">
        <f t="shared" si="191"/>
        <v>36162.37293</v>
      </c>
      <c r="BJ175" s="514">
        <f t="shared" si="191"/>
        <v>36162.37293</v>
      </c>
      <c r="BK175" s="514">
        <f t="shared" si="191"/>
        <v>36162.37293</v>
      </c>
      <c r="BL175" s="514">
        <f t="shared" si="191"/>
        <v>37008.86785</v>
      </c>
      <c r="BM175" s="514">
        <f t="shared" si="191"/>
        <v>194920.6814</v>
      </c>
      <c r="BN175" s="514">
        <f t="shared" si="191"/>
        <v>247557.9525</v>
      </c>
      <c r="BO175" s="514">
        <f t="shared" si="191"/>
        <v>247557.9525</v>
      </c>
      <c r="BP175" s="514">
        <f t="shared" si="191"/>
        <v>256860.2706</v>
      </c>
      <c r="BQ175" s="514">
        <f t="shared" si="191"/>
        <v>256860.2706</v>
      </c>
      <c r="BR175" s="514">
        <f t="shared" si="191"/>
        <v>256860.2706</v>
      </c>
      <c r="BS175" s="514">
        <f t="shared" si="191"/>
        <v>256860.2706</v>
      </c>
      <c r="BT175" s="514">
        <f t="shared" si="191"/>
        <v>266534.6815</v>
      </c>
      <c r="BU175" s="514">
        <f t="shared" si="191"/>
        <v>266534.6815</v>
      </c>
      <c r="BV175" s="514">
        <f t="shared" si="191"/>
        <v>280220.372</v>
      </c>
      <c r="BW175" s="514">
        <f t="shared" si="191"/>
        <v>280220.372</v>
      </c>
      <c r="BX175" s="514">
        <f t="shared" si="191"/>
        <v>290829.1868</v>
      </c>
      <c r="BY175" s="514">
        <f t="shared" si="191"/>
        <v>290829.1868</v>
      </c>
      <c r="BZ175" s="514">
        <f t="shared" si="191"/>
        <v>290829.1868</v>
      </c>
      <c r="CA175" s="514">
        <f t="shared" si="191"/>
        <v>290829.1868</v>
      </c>
      <c r="CB175" s="514">
        <f t="shared" si="191"/>
        <v>301862.3543</v>
      </c>
      <c r="CC175" s="514">
        <f t="shared" si="191"/>
        <v>301862.3543</v>
      </c>
      <c r="CD175" s="514">
        <f t="shared" si="191"/>
        <v>301862.3543</v>
      </c>
      <c r="CE175" s="514">
        <f t="shared" si="191"/>
        <v>301862.3543</v>
      </c>
      <c r="CF175" s="514">
        <f t="shared" si="191"/>
        <v>313336.8485</v>
      </c>
      <c r="CG175" s="514">
        <f t="shared" si="191"/>
        <v>313336.8485</v>
      </c>
      <c r="CH175" s="514">
        <f t="shared" si="191"/>
        <v>313336.8485</v>
      </c>
      <c r="CI175" s="514">
        <f t="shared" si="191"/>
        <v>313336.8485</v>
      </c>
      <c r="CL175" s="514">
        <f t="shared" si="185"/>
        <v>22708</v>
      </c>
      <c r="CM175" s="514">
        <f t="shared" si="186"/>
        <v>18050</v>
      </c>
      <c r="CN175" s="514">
        <f t="shared" si="187"/>
        <v>21441</v>
      </c>
      <c r="CO175" s="514">
        <f t="shared" si="188"/>
        <v>24911</v>
      </c>
      <c r="CP175" s="514">
        <f t="shared" si="189"/>
        <v>20751</v>
      </c>
      <c r="CQ175" s="514">
        <f t="shared" si="190"/>
        <v>34798</v>
      </c>
    </row>
    <row r="176" ht="15.75" customHeight="1" outlineLevel="1">
      <c r="A176" s="1" t="s">
        <v>94</v>
      </c>
      <c r="B176" s="91" t="s">
        <v>63</v>
      </c>
      <c r="C176" s="132" t="s">
        <v>209</v>
      </c>
      <c r="D176" s="247">
        <f t="shared" ref="D176:Z176" si="192">RANDBETWEEN(0,5000)</f>
        <v>3571</v>
      </c>
      <c r="E176" s="247">
        <f t="shared" si="192"/>
        <v>2462</v>
      </c>
      <c r="F176" s="247">
        <f t="shared" si="192"/>
        <v>3846</v>
      </c>
      <c r="G176" s="247">
        <f t="shared" si="192"/>
        <v>3546</v>
      </c>
      <c r="H176" s="247">
        <f t="shared" si="192"/>
        <v>1968</v>
      </c>
      <c r="I176" s="247">
        <f t="shared" si="192"/>
        <v>859</v>
      </c>
      <c r="J176" s="247">
        <f t="shared" si="192"/>
        <v>1592</v>
      </c>
      <c r="K176" s="247">
        <f t="shared" si="192"/>
        <v>3287</v>
      </c>
      <c r="L176" s="247">
        <f t="shared" si="192"/>
        <v>318</v>
      </c>
      <c r="M176" s="247">
        <f t="shared" si="192"/>
        <v>11</v>
      </c>
      <c r="N176" s="247">
        <f t="shared" si="192"/>
        <v>2563</v>
      </c>
      <c r="O176" s="247">
        <f t="shared" si="192"/>
        <v>1518</v>
      </c>
      <c r="P176" s="247">
        <f t="shared" si="192"/>
        <v>4319</v>
      </c>
      <c r="Q176" s="247">
        <f t="shared" si="192"/>
        <v>3750</v>
      </c>
      <c r="R176" s="247">
        <f t="shared" si="192"/>
        <v>2320</v>
      </c>
      <c r="S176" s="247">
        <f t="shared" si="192"/>
        <v>2892</v>
      </c>
      <c r="T176" s="247">
        <f t="shared" si="192"/>
        <v>91</v>
      </c>
      <c r="U176" s="247">
        <f t="shared" si="192"/>
        <v>3319</v>
      </c>
      <c r="V176" s="247">
        <f t="shared" si="192"/>
        <v>3399</v>
      </c>
      <c r="W176" s="247">
        <f t="shared" si="192"/>
        <v>1173</v>
      </c>
      <c r="X176" s="247">
        <f t="shared" si="192"/>
        <v>2591</v>
      </c>
      <c r="Y176" s="247">
        <f t="shared" si="192"/>
        <v>1092</v>
      </c>
      <c r="Z176" s="247">
        <f t="shared" si="192"/>
        <v>4337</v>
      </c>
      <c r="AA176" s="511">
        <f>AA$175*Headcount!S$100</f>
        <v>1965.6</v>
      </c>
      <c r="AB176" s="511">
        <f>AB$175*Headcount!T$100</f>
        <v>2031.552</v>
      </c>
      <c r="AC176" s="511">
        <f>AC$175*Headcount!U$100</f>
        <v>2031.552</v>
      </c>
      <c r="AD176" s="511">
        <f>AD$175*Headcount!V$100</f>
        <v>2031.552</v>
      </c>
      <c r="AE176" s="511">
        <f>AE$175*Headcount!W$100</f>
        <v>2031.552</v>
      </c>
      <c r="AF176" s="511">
        <f>AF$175*Headcount!X$100</f>
        <v>2100.47184</v>
      </c>
      <c r="AG176" s="511">
        <f>AG$175*Headcount!Y$100</f>
        <v>2100.47184</v>
      </c>
      <c r="AH176" s="511">
        <f>AH$175*Headcount!Z$100</f>
        <v>2100.47184</v>
      </c>
      <c r="AI176" s="511">
        <f>AI$175*Headcount!AA$100</f>
        <v>2100.47184</v>
      </c>
      <c r="AJ176" s="511">
        <f>AJ$175*Headcount!AB$100</f>
        <v>2672.493073</v>
      </c>
      <c r="AK176" s="511">
        <f>AK$175*Headcount!AC$100</f>
        <v>2672.493073</v>
      </c>
      <c r="AL176" s="511">
        <f>AL$175*Headcount!AD$100</f>
        <v>2672.493073</v>
      </c>
      <c r="AM176" s="511">
        <f>AM$175*Headcount!AE$100</f>
        <v>2672.493073</v>
      </c>
      <c r="AN176" s="511">
        <f>AN$175*Headcount!AF$100</f>
        <v>2739.392796</v>
      </c>
      <c r="AO176" s="511">
        <f>AO$175*Headcount!AG$100</f>
        <v>2739.392796</v>
      </c>
      <c r="AP176" s="511">
        <f>AP$175*Headcount!AH$100</f>
        <v>2739.392796</v>
      </c>
      <c r="AQ176" s="511">
        <f>AQ$175*Headcount!AI$100</f>
        <v>2739.392796</v>
      </c>
      <c r="AR176" s="511">
        <f>AR$175*Headcount!AJ$100</f>
        <v>3308.968508</v>
      </c>
      <c r="AS176" s="511">
        <f>AS$175*Headcount!AK$100</f>
        <v>3308.968508</v>
      </c>
      <c r="AT176" s="511">
        <f>AT$175*Headcount!AL$100</f>
        <v>3308.968508</v>
      </c>
      <c r="AU176" s="511">
        <f>AU$175*Headcount!AM$100</f>
        <v>3308.968508</v>
      </c>
      <c r="AV176" s="511">
        <f>AV$175*Headcount!AN$100</f>
        <v>3381.327248</v>
      </c>
      <c r="AW176" s="511">
        <f>AW$175*Headcount!AO$100</f>
        <v>3381.327248</v>
      </c>
      <c r="AX176" s="511">
        <f>AX$175*Headcount!AP$100</f>
        <v>3381.327248</v>
      </c>
      <c r="AY176" s="511">
        <f>AY$175*Headcount!AQ$100</f>
        <v>3381.327248</v>
      </c>
      <c r="AZ176" s="511">
        <f>AZ$175*Headcount!AR$100</f>
        <v>3456.580338</v>
      </c>
      <c r="BA176" s="511">
        <f>BA$175*Headcount!AS$100</f>
        <v>3456.580338</v>
      </c>
      <c r="BB176" s="511">
        <f>BB$175*Headcount!AT$100</f>
        <v>3456.580338</v>
      </c>
      <c r="BC176" s="511">
        <f>BC$175*Headcount!AU$100</f>
        <v>3456.580338</v>
      </c>
      <c r="BD176" s="511">
        <f>BD$175*Headcount!AV$100</f>
        <v>3534.843551</v>
      </c>
      <c r="BE176" s="511">
        <f>BE$175*Headcount!AW$100</f>
        <v>3534.843551</v>
      </c>
      <c r="BF176" s="511">
        <f>BF$175*Headcount!AX$100</f>
        <v>3534.843551</v>
      </c>
      <c r="BG176" s="511">
        <f>BG$175*Headcount!AY$100</f>
        <v>3534.843551</v>
      </c>
      <c r="BH176" s="511">
        <f>BH$175*Headcount!AZ$100</f>
        <v>3616.237293</v>
      </c>
      <c r="BI176" s="511">
        <f>BI$175*Headcount!BA$100</f>
        <v>3616.237293</v>
      </c>
      <c r="BJ176" s="511">
        <f>BJ$175*Headcount!BB$100</f>
        <v>3616.237293</v>
      </c>
      <c r="BK176" s="511">
        <f>BK$175*Headcount!BC$100</f>
        <v>3616.237293</v>
      </c>
      <c r="BL176" s="511">
        <f>BL$175*Headcount!BD$100</f>
        <v>3700.886785</v>
      </c>
      <c r="BM176" s="511">
        <f>BM$175*Headcount!BE$100</f>
        <v>19492.06814</v>
      </c>
      <c r="BN176" s="511">
        <f>BN$175*Headcount!BF$100</f>
        <v>24755.79525</v>
      </c>
      <c r="BO176" s="511">
        <f>BO$175*Headcount!BG$100</f>
        <v>24755.79525</v>
      </c>
      <c r="BP176" s="511">
        <f>BP$175*Headcount!BH$100</f>
        <v>25686.02706</v>
      </c>
      <c r="BQ176" s="511">
        <f>BQ$175*Headcount!BI$100</f>
        <v>25686.02706</v>
      </c>
      <c r="BR176" s="511">
        <f>BR$175*Headcount!BJ$100</f>
        <v>25686.02706</v>
      </c>
      <c r="BS176" s="511">
        <f>BS$175*Headcount!BK$100</f>
        <v>25686.02706</v>
      </c>
      <c r="BT176" s="511">
        <f>BT$175*Headcount!BL$100</f>
        <v>26653.46815</v>
      </c>
      <c r="BU176" s="511">
        <f>BU$175*Headcount!BM$100</f>
        <v>26653.46815</v>
      </c>
      <c r="BV176" s="511">
        <f>BV$175*Headcount!BN$100</f>
        <v>28022.0372</v>
      </c>
      <c r="BW176" s="511">
        <f>BW$175*Headcount!BO$100</f>
        <v>28022.0372</v>
      </c>
      <c r="BX176" s="511">
        <f>BX$175*Headcount!BP$100</f>
        <v>29082.91868</v>
      </c>
      <c r="BY176" s="511">
        <f>BY$175*Headcount!BQ$100</f>
        <v>29082.91868</v>
      </c>
      <c r="BZ176" s="511">
        <f>BZ$175*Headcount!BR$100</f>
        <v>29082.91868</v>
      </c>
      <c r="CA176" s="511">
        <f>CA$175*Headcount!BS$100</f>
        <v>29082.91868</v>
      </c>
      <c r="CB176" s="511">
        <f>CB$175*Headcount!BT$100</f>
        <v>30186.23543</v>
      </c>
      <c r="CC176" s="511">
        <f>CC$175*Headcount!BU$100</f>
        <v>30186.23543</v>
      </c>
      <c r="CD176" s="511">
        <f>CD$175*Headcount!BV$100</f>
        <v>30186.23543</v>
      </c>
      <c r="CE176" s="511">
        <f>CE$175*Headcount!BW$100</f>
        <v>30186.23543</v>
      </c>
      <c r="CF176" s="511">
        <f>CF$175*Headcount!BX$100</f>
        <v>31333.68485</v>
      </c>
      <c r="CG176" s="511">
        <f>CG$175*Headcount!BY$100</f>
        <v>31333.68485</v>
      </c>
      <c r="CH176" s="511">
        <f>CH$175*Headcount!BZ$100</f>
        <v>31333.68485</v>
      </c>
      <c r="CI176" s="511">
        <f>CI$175*Headcount!CA$100</f>
        <v>31333.68485</v>
      </c>
      <c r="CL176" s="117">
        <f t="shared" si="185"/>
        <v>13425</v>
      </c>
      <c r="CM176" s="117">
        <f t="shared" si="186"/>
        <v>7706</v>
      </c>
      <c r="CN176" s="117">
        <f t="shared" si="187"/>
        <v>4410</v>
      </c>
      <c r="CO176" s="117">
        <f t="shared" si="188"/>
        <v>13281</v>
      </c>
      <c r="CP176" s="117">
        <f t="shared" si="189"/>
        <v>7982</v>
      </c>
      <c r="CQ176" s="117">
        <f t="shared" si="190"/>
        <v>9985.6</v>
      </c>
    </row>
    <row r="177" ht="15.75" customHeight="1" outlineLevel="1">
      <c r="A177" s="1" t="s">
        <v>94</v>
      </c>
      <c r="B177" s="91" t="s">
        <v>63</v>
      </c>
      <c r="C177" s="132" t="s">
        <v>210</v>
      </c>
      <c r="D177" s="247">
        <f t="shared" ref="D177:Z177" si="193">RANDBETWEEN(0,5000)</f>
        <v>3863</v>
      </c>
      <c r="E177" s="247">
        <f t="shared" si="193"/>
        <v>2442</v>
      </c>
      <c r="F177" s="247">
        <f t="shared" si="193"/>
        <v>281</v>
      </c>
      <c r="G177" s="247">
        <f t="shared" si="193"/>
        <v>4631</v>
      </c>
      <c r="H177" s="247">
        <f t="shared" si="193"/>
        <v>4344</v>
      </c>
      <c r="I177" s="247">
        <f t="shared" si="193"/>
        <v>4191</v>
      </c>
      <c r="J177" s="247">
        <f t="shared" si="193"/>
        <v>970</v>
      </c>
      <c r="K177" s="247">
        <f t="shared" si="193"/>
        <v>3009</v>
      </c>
      <c r="L177" s="247">
        <f t="shared" si="193"/>
        <v>871</v>
      </c>
      <c r="M177" s="247">
        <f t="shared" si="193"/>
        <v>3366</v>
      </c>
      <c r="N177" s="247">
        <f t="shared" si="193"/>
        <v>4175</v>
      </c>
      <c r="O177" s="247">
        <f t="shared" si="193"/>
        <v>705</v>
      </c>
      <c r="P177" s="247">
        <f t="shared" si="193"/>
        <v>2965</v>
      </c>
      <c r="Q177" s="247">
        <f t="shared" si="193"/>
        <v>1580</v>
      </c>
      <c r="R177" s="247">
        <f t="shared" si="193"/>
        <v>253</v>
      </c>
      <c r="S177" s="247">
        <f t="shared" si="193"/>
        <v>4271</v>
      </c>
      <c r="T177" s="247">
        <f t="shared" si="193"/>
        <v>2874</v>
      </c>
      <c r="U177" s="247">
        <f t="shared" si="193"/>
        <v>4583</v>
      </c>
      <c r="V177" s="247">
        <f t="shared" si="193"/>
        <v>806</v>
      </c>
      <c r="W177" s="247">
        <f t="shared" si="193"/>
        <v>4317</v>
      </c>
      <c r="X177" s="247">
        <f t="shared" si="193"/>
        <v>422</v>
      </c>
      <c r="Y177" s="247">
        <f t="shared" si="193"/>
        <v>4920</v>
      </c>
      <c r="Z177" s="247">
        <f t="shared" si="193"/>
        <v>4158</v>
      </c>
      <c r="AA177" s="511">
        <f>AA$175*Headcount!S$101</f>
        <v>2948.4</v>
      </c>
      <c r="AB177" s="511">
        <f>AB$175*Headcount!T$101</f>
        <v>3047.328</v>
      </c>
      <c r="AC177" s="511">
        <f>AC$175*Headcount!U$101</f>
        <v>3047.328</v>
      </c>
      <c r="AD177" s="511">
        <f>AD$175*Headcount!V$101</f>
        <v>3047.328</v>
      </c>
      <c r="AE177" s="511">
        <f>AE$175*Headcount!W$101</f>
        <v>3047.328</v>
      </c>
      <c r="AF177" s="511">
        <f>AF$175*Headcount!X$101</f>
        <v>3150.70776</v>
      </c>
      <c r="AG177" s="511">
        <f>AG$175*Headcount!Y$101</f>
        <v>3150.70776</v>
      </c>
      <c r="AH177" s="511">
        <f>AH$175*Headcount!Z$101</f>
        <v>3150.70776</v>
      </c>
      <c r="AI177" s="511">
        <f>AI$175*Headcount!AA$101</f>
        <v>3150.70776</v>
      </c>
      <c r="AJ177" s="511">
        <f>AJ$175*Headcount!AB$101</f>
        <v>4008.739609</v>
      </c>
      <c r="AK177" s="511">
        <f>AK$175*Headcount!AC$101</f>
        <v>4008.739609</v>
      </c>
      <c r="AL177" s="511">
        <f>AL$175*Headcount!AD$101</f>
        <v>4008.739609</v>
      </c>
      <c r="AM177" s="511">
        <f>AM$175*Headcount!AE$101</f>
        <v>4008.739609</v>
      </c>
      <c r="AN177" s="511">
        <f>AN$175*Headcount!AF$101</f>
        <v>1807.999245</v>
      </c>
      <c r="AO177" s="511">
        <f>AO$175*Headcount!AG$101</f>
        <v>1807.999245</v>
      </c>
      <c r="AP177" s="511">
        <f>AP$175*Headcount!AH$101</f>
        <v>1807.999245</v>
      </c>
      <c r="AQ177" s="511">
        <f>AQ$175*Headcount!AI$101</f>
        <v>1807.999245</v>
      </c>
      <c r="AR177" s="511">
        <f>AR$175*Headcount!AJ$101</f>
        <v>2183.919215</v>
      </c>
      <c r="AS177" s="511">
        <f>AS$175*Headcount!AK$101</f>
        <v>2183.919215</v>
      </c>
      <c r="AT177" s="511">
        <f>AT$175*Headcount!AL$101</f>
        <v>2183.919215</v>
      </c>
      <c r="AU177" s="511">
        <f>AU$175*Headcount!AM$101</f>
        <v>2183.919215</v>
      </c>
      <c r="AV177" s="511">
        <f>AV$175*Headcount!AN$101</f>
        <v>2231.675984</v>
      </c>
      <c r="AW177" s="511">
        <f>AW$175*Headcount!AO$101</f>
        <v>2231.675984</v>
      </c>
      <c r="AX177" s="511">
        <f>AX$175*Headcount!AP$101</f>
        <v>2231.675984</v>
      </c>
      <c r="AY177" s="511">
        <f>AY$175*Headcount!AQ$101</f>
        <v>2231.675984</v>
      </c>
      <c r="AZ177" s="511">
        <f>AZ$175*Headcount!AR$101</f>
        <v>2350.47463</v>
      </c>
      <c r="BA177" s="511">
        <f>BA$175*Headcount!AS$101</f>
        <v>2350.47463</v>
      </c>
      <c r="BB177" s="511">
        <f>BB$175*Headcount!AT$101</f>
        <v>2350.47463</v>
      </c>
      <c r="BC177" s="511">
        <f>BC$175*Headcount!AU$101</f>
        <v>2350.47463</v>
      </c>
      <c r="BD177" s="511">
        <f>BD$175*Headcount!AV$101</f>
        <v>2403.693615</v>
      </c>
      <c r="BE177" s="511">
        <f>BE$175*Headcount!AW$101</f>
        <v>2403.693615</v>
      </c>
      <c r="BF177" s="511">
        <f>BF$175*Headcount!AX$101</f>
        <v>2403.693615</v>
      </c>
      <c r="BG177" s="511">
        <f>BG$175*Headcount!AY$101</f>
        <v>2403.693615</v>
      </c>
      <c r="BH177" s="511">
        <f>BH$175*Headcount!AZ$101</f>
        <v>2459.041359</v>
      </c>
      <c r="BI177" s="511">
        <f>BI$175*Headcount!BA$101</f>
        <v>2459.041359</v>
      </c>
      <c r="BJ177" s="511">
        <f>BJ$175*Headcount!BB$101</f>
        <v>2459.041359</v>
      </c>
      <c r="BK177" s="511">
        <f>BK$175*Headcount!BC$101</f>
        <v>2459.041359</v>
      </c>
      <c r="BL177" s="511">
        <f>BL$175*Headcount!BD$101</f>
        <v>2590.62075</v>
      </c>
      <c r="BM177" s="511">
        <f>BM$175*Headcount!BE$101</f>
        <v>13644.4477</v>
      </c>
      <c r="BN177" s="511">
        <f>BN$175*Headcount!BF$101</f>
        <v>17329.05668</v>
      </c>
      <c r="BO177" s="511">
        <f>BO$175*Headcount!BG$101</f>
        <v>17329.05668</v>
      </c>
      <c r="BP177" s="511">
        <f>BP$175*Headcount!BH$101</f>
        <v>17980.21894</v>
      </c>
      <c r="BQ177" s="511">
        <f>BQ$175*Headcount!BI$101</f>
        <v>17980.21894</v>
      </c>
      <c r="BR177" s="511">
        <f>BR$175*Headcount!BJ$101</f>
        <v>17980.21894</v>
      </c>
      <c r="BS177" s="511">
        <f>BS$175*Headcount!BK$101</f>
        <v>17980.21894</v>
      </c>
      <c r="BT177" s="511">
        <f>BT$175*Headcount!BL$101</f>
        <v>18657.4277</v>
      </c>
      <c r="BU177" s="511">
        <f>BU$175*Headcount!BM$101</f>
        <v>18657.4277</v>
      </c>
      <c r="BV177" s="511">
        <f>BV$175*Headcount!BN$101</f>
        <v>19615.42604</v>
      </c>
      <c r="BW177" s="511">
        <f>BW$175*Headcount!BO$101</f>
        <v>19615.42604</v>
      </c>
      <c r="BX177" s="511">
        <f>BX$175*Headcount!BP$101</f>
        <v>20358.04308</v>
      </c>
      <c r="BY177" s="511">
        <f>BY$175*Headcount!BQ$101</f>
        <v>20358.04308</v>
      </c>
      <c r="BZ177" s="511">
        <f>BZ$175*Headcount!BR$101</f>
        <v>20358.04308</v>
      </c>
      <c r="CA177" s="511">
        <f>CA$175*Headcount!BS$101</f>
        <v>20358.04308</v>
      </c>
      <c r="CB177" s="511">
        <f>CB$175*Headcount!BT$101</f>
        <v>21130.3648</v>
      </c>
      <c r="CC177" s="511">
        <f>CC$175*Headcount!BU$101</f>
        <v>21130.3648</v>
      </c>
      <c r="CD177" s="511">
        <f>CD$175*Headcount!BV$101</f>
        <v>21130.3648</v>
      </c>
      <c r="CE177" s="511">
        <f>CE$175*Headcount!BW$101</f>
        <v>21130.3648</v>
      </c>
      <c r="CF177" s="511">
        <f>CF$175*Headcount!BX$101</f>
        <v>21933.57939</v>
      </c>
      <c r="CG177" s="511">
        <f>CG$175*Headcount!BY$101</f>
        <v>21933.57939</v>
      </c>
      <c r="CH177" s="511">
        <f>CH$175*Headcount!BZ$101</f>
        <v>21933.57939</v>
      </c>
      <c r="CI177" s="511">
        <f>CI$175*Headcount!CA$101</f>
        <v>21933.57939</v>
      </c>
      <c r="CL177" s="117">
        <f t="shared" si="185"/>
        <v>11217</v>
      </c>
      <c r="CM177" s="117">
        <f t="shared" si="186"/>
        <v>12514</v>
      </c>
      <c r="CN177" s="117">
        <f t="shared" si="187"/>
        <v>9117</v>
      </c>
      <c r="CO177" s="117">
        <f t="shared" si="188"/>
        <v>9069</v>
      </c>
      <c r="CP177" s="117">
        <f t="shared" si="189"/>
        <v>12580</v>
      </c>
      <c r="CQ177" s="117">
        <f t="shared" si="190"/>
        <v>12448.4</v>
      </c>
    </row>
    <row r="178" ht="15.75" customHeight="1" outlineLevel="1">
      <c r="A178" s="1" t="s">
        <v>94</v>
      </c>
      <c r="B178" s="91" t="s">
        <v>63</v>
      </c>
      <c r="C178" s="132" t="s">
        <v>211</v>
      </c>
      <c r="D178" s="247">
        <f t="shared" ref="D178:Z178" si="194">RANDBETWEEN(0,5000)</f>
        <v>335</v>
      </c>
      <c r="E178" s="247">
        <f t="shared" si="194"/>
        <v>1569</v>
      </c>
      <c r="F178" s="247">
        <f t="shared" si="194"/>
        <v>719</v>
      </c>
      <c r="G178" s="247">
        <f t="shared" si="194"/>
        <v>1736</v>
      </c>
      <c r="H178" s="247">
        <f t="shared" si="194"/>
        <v>1280</v>
      </c>
      <c r="I178" s="247">
        <f t="shared" si="194"/>
        <v>3701</v>
      </c>
      <c r="J178" s="247">
        <f t="shared" si="194"/>
        <v>2013</v>
      </c>
      <c r="K178" s="247">
        <f t="shared" si="194"/>
        <v>974</v>
      </c>
      <c r="L178" s="247">
        <f t="shared" si="194"/>
        <v>4632</v>
      </c>
      <c r="M178" s="247">
        <f t="shared" si="194"/>
        <v>1948</v>
      </c>
      <c r="N178" s="247">
        <f t="shared" si="194"/>
        <v>379</v>
      </c>
      <c r="O178" s="247">
        <f t="shared" si="194"/>
        <v>3500</v>
      </c>
      <c r="P178" s="247">
        <f t="shared" si="194"/>
        <v>54</v>
      </c>
      <c r="Q178" s="247">
        <f t="shared" si="194"/>
        <v>3050</v>
      </c>
      <c r="R178" s="247">
        <f t="shared" si="194"/>
        <v>3732</v>
      </c>
      <c r="S178" s="247">
        <f t="shared" si="194"/>
        <v>1586</v>
      </c>
      <c r="T178" s="247">
        <f t="shared" si="194"/>
        <v>2703</v>
      </c>
      <c r="U178" s="247">
        <f t="shared" si="194"/>
        <v>137</v>
      </c>
      <c r="V178" s="247">
        <f t="shared" si="194"/>
        <v>1115</v>
      </c>
      <c r="W178" s="247">
        <f t="shared" si="194"/>
        <v>2207</v>
      </c>
      <c r="X178" s="247">
        <f t="shared" si="194"/>
        <v>4824</v>
      </c>
      <c r="Y178" s="247">
        <f t="shared" si="194"/>
        <v>4662</v>
      </c>
      <c r="Z178" s="247">
        <f t="shared" si="194"/>
        <v>4944</v>
      </c>
      <c r="AA178" s="511">
        <f>AA$175*Headcount!S$102</f>
        <v>393.12</v>
      </c>
      <c r="AB178" s="511">
        <f>AB$175*Headcount!T$102</f>
        <v>406.3104</v>
      </c>
      <c r="AC178" s="511">
        <f>AC$175*Headcount!U$102</f>
        <v>406.3104</v>
      </c>
      <c r="AD178" s="511">
        <f>AD$175*Headcount!V$102</f>
        <v>406.3104</v>
      </c>
      <c r="AE178" s="511">
        <f>AE$175*Headcount!W$102</f>
        <v>406.3104</v>
      </c>
      <c r="AF178" s="511">
        <f>AF$175*Headcount!X$102</f>
        <v>420.094368</v>
      </c>
      <c r="AG178" s="511">
        <f>AG$175*Headcount!Y$102</f>
        <v>420.094368</v>
      </c>
      <c r="AH178" s="511">
        <f>AH$175*Headcount!Z$102</f>
        <v>420.094368</v>
      </c>
      <c r="AI178" s="511">
        <f>AI$175*Headcount!AA$102</f>
        <v>420.094368</v>
      </c>
      <c r="AJ178" s="511">
        <f>AJ$175*Headcount!AB$102</f>
        <v>534.4986146</v>
      </c>
      <c r="AK178" s="511">
        <f>AK$175*Headcount!AC$102</f>
        <v>534.4986146</v>
      </c>
      <c r="AL178" s="511">
        <f>AL$175*Headcount!AD$102</f>
        <v>534.4986146</v>
      </c>
      <c r="AM178" s="511">
        <f>AM$175*Headcount!AE$102</f>
        <v>534.4986146</v>
      </c>
      <c r="AN178" s="511">
        <f>AN$175*Headcount!AF$102</f>
        <v>547.8785591</v>
      </c>
      <c r="AO178" s="511">
        <f>AO$175*Headcount!AG$102</f>
        <v>547.8785591</v>
      </c>
      <c r="AP178" s="511">
        <f>AP$175*Headcount!AH$102</f>
        <v>547.8785591</v>
      </c>
      <c r="AQ178" s="511">
        <f>AQ$175*Headcount!AI$102</f>
        <v>547.8785591</v>
      </c>
      <c r="AR178" s="511">
        <f>AR$175*Headcount!AJ$102</f>
        <v>661.7937015</v>
      </c>
      <c r="AS178" s="511">
        <f>AS$175*Headcount!AK$102</f>
        <v>661.7937015</v>
      </c>
      <c r="AT178" s="511">
        <f>AT$175*Headcount!AL$102</f>
        <v>661.7937015</v>
      </c>
      <c r="AU178" s="511">
        <f>AU$175*Headcount!AM$102</f>
        <v>661.7937015</v>
      </c>
      <c r="AV178" s="511">
        <f>AV$175*Headcount!AN$102</f>
        <v>676.2654496</v>
      </c>
      <c r="AW178" s="511">
        <f>AW$175*Headcount!AO$102</f>
        <v>676.2654496</v>
      </c>
      <c r="AX178" s="511">
        <f>AX$175*Headcount!AP$102</f>
        <v>676.2654496</v>
      </c>
      <c r="AY178" s="511">
        <f>AY$175*Headcount!AQ$102</f>
        <v>676.2654496</v>
      </c>
      <c r="AZ178" s="511">
        <f>AZ$175*Headcount!AR$102</f>
        <v>691.3160676</v>
      </c>
      <c r="BA178" s="511">
        <f>BA$175*Headcount!AS$102</f>
        <v>691.3160676</v>
      </c>
      <c r="BB178" s="511">
        <f>BB$175*Headcount!AT$102</f>
        <v>691.3160676</v>
      </c>
      <c r="BC178" s="511">
        <f>BC$175*Headcount!AU$102</f>
        <v>691.3160676</v>
      </c>
      <c r="BD178" s="511">
        <f>BD$175*Headcount!AV$102</f>
        <v>706.9687103</v>
      </c>
      <c r="BE178" s="511">
        <f>BE$175*Headcount!AW$102</f>
        <v>706.9687103</v>
      </c>
      <c r="BF178" s="511">
        <f>BF$175*Headcount!AX$102</f>
        <v>706.9687103</v>
      </c>
      <c r="BG178" s="511">
        <f>BG$175*Headcount!AY$102</f>
        <v>706.9687103</v>
      </c>
      <c r="BH178" s="511">
        <f>BH$175*Headcount!AZ$102</f>
        <v>723.2474587</v>
      </c>
      <c r="BI178" s="511">
        <f>BI$175*Headcount!BA$102</f>
        <v>723.2474587</v>
      </c>
      <c r="BJ178" s="511">
        <f>BJ$175*Headcount!BB$102</f>
        <v>723.2474587</v>
      </c>
      <c r="BK178" s="511">
        <f>BK$175*Headcount!BC$102</f>
        <v>723.2474587</v>
      </c>
      <c r="BL178" s="511">
        <f>BL$175*Headcount!BD$102</f>
        <v>740.177357</v>
      </c>
      <c r="BM178" s="511">
        <f>BM$175*Headcount!BE$102</f>
        <v>3898.413627</v>
      </c>
      <c r="BN178" s="511">
        <f>BN$175*Headcount!BF$102</f>
        <v>4951.159051</v>
      </c>
      <c r="BO178" s="511">
        <f>BO$175*Headcount!BG$102</f>
        <v>4951.159051</v>
      </c>
      <c r="BP178" s="511">
        <f>BP$175*Headcount!BH$102</f>
        <v>5137.205413</v>
      </c>
      <c r="BQ178" s="511">
        <f>BQ$175*Headcount!BI$102</f>
        <v>5137.205413</v>
      </c>
      <c r="BR178" s="511">
        <f>BR$175*Headcount!BJ$102</f>
        <v>5137.205413</v>
      </c>
      <c r="BS178" s="511">
        <f>BS$175*Headcount!BK$102</f>
        <v>5137.205413</v>
      </c>
      <c r="BT178" s="511">
        <f>BT$175*Headcount!BL$102</f>
        <v>5330.693629</v>
      </c>
      <c r="BU178" s="511">
        <f>BU$175*Headcount!BM$102</f>
        <v>5330.693629</v>
      </c>
      <c r="BV178" s="511">
        <f>BV$175*Headcount!BN$102</f>
        <v>5604.407439</v>
      </c>
      <c r="BW178" s="511">
        <f>BW$175*Headcount!BO$102</f>
        <v>5604.407439</v>
      </c>
      <c r="BX178" s="511">
        <f>BX$175*Headcount!BP$102</f>
        <v>5816.583737</v>
      </c>
      <c r="BY178" s="511">
        <f>BY$175*Headcount!BQ$102</f>
        <v>5816.583737</v>
      </c>
      <c r="BZ178" s="511">
        <f>BZ$175*Headcount!BR$102</f>
        <v>5816.583737</v>
      </c>
      <c r="CA178" s="511">
        <f>CA$175*Headcount!BS$102</f>
        <v>5816.583737</v>
      </c>
      <c r="CB178" s="511">
        <f>CB$175*Headcount!BT$102</f>
        <v>6037.247086</v>
      </c>
      <c r="CC178" s="511">
        <f>CC$175*Headcount!BU$102</f>
        <v>6037.247086</v>
      </c>
      <c r="CD178" s="511">
        <f>CD$175*Headcount!BV$102</f>
        <v>6037.247086</v>
      </c>
      <c r="CE178" s="511">
        <f>CE$175*Headcount!BW$102</f>
        <v>6037.247086</v>
      </c>
      <c r="CF178" s="511">
        <f>CF$175*Headcount!BX$102</f>
        <v>6266.73697</v>
      </c>
      <c r="CG178" s="511">
        <f>CG$175*Headcount!BY$102</f>
        <v>6266.73697</v>
      </c>
      <c r="CH178" s="511">
        <f>CH$175*Headcount!BZ$102</f>
        <v>6266.73697</v>
      </c>
      <c r="CI178" s="511">
        <f>CI$175*Headcount!CA$102</f>
        <v>6266.73697</v>
      </c>
      <c r="CL178" s="117">
        <f t="shared" si="185"/>
        <v>4359</v>
      </c>
      <c r="CM178" s="117">
        <f t="shared" si="186"/>
        <v>7968</v>
      </c>
      <c r="CN178" s="117">
        <f t="shared" si="187"/>
        <v>10459</v>
      </c>
      <c r="CO178" s="117">
        <f t="shared" si="188"/>
        <v>8422</v>
      </c>
      <c r="CP178" s="117">
        <f t="shared" si="189"/>
        <v>6162</v>
      </c>
      <c r="CQ178" s="117">
        <f t="shared" si="190"/>
        <v>14823.12</v>
      </c>
    </row>
    <row r="179" ht="15.75" customHeight="1" outlineLevel="1">
      <c r="A179" s="1" t="s">
        <v>94</v>
      </c>
      <c r="B179" s="91" t="s">
        <v>63</v>
      </c>
      <c r="C179" s="132" t="s">
        <v>212</v>
      </c>
      <c r="D179" s="247">
        <f t="shared" ref="D179:Z179" si="195">RANDBETWEEN(0,5000)</f>
        <v>2503</v>
      </c>
      <c r="E179" s="247">
        <f t="shared" si="195"/>
        <v>2373</v>
      </c>
      <c r="F179" s="247">
        <f t="shared" si="195"/>
        <v>4060</v>
      </c>
      <c r="G179" s="247">
        <f t="shared" si="195"/>
        <v>3735</v>
      </c>
      <c r="H179" s="247">
        <f t="shared" si="195"/>
        <v>931</v>
      </c>
      <c r="I179" s="247">
        <f t="shared" si="195"/>
        <v>1089</v>
      </c>
      <c r="J179" s="247">
        <f t="shared" si="195"/>
        <v>475</v>
      </c>
      <c r="K179" s="247">
        <f t="shared" si="195"/>
        <v>399</v>
      </c>
      <c r="L179" s="247">
        <f t="shared" si="195"/>
        <v>3854</v>
      </c>
      <c r="M179" s="247">
        <f t="shared" si="195"/>
        <v>3980</v>
      </c>
      <c r="N179" s="247">
        <f t="shared" si="195"/>
        <v>3</v>
      </c>
      <c r="O179" s="247">
        <f t="shared" si="195"/>
        <v>2529</v>
      </c>
      <c r="P179" s="247">
        <f t="shared" si="195"/>
        <v>1349</v>
      </c>
      <c r="Q179" s="247">
        <f t="shared" si="195"/>
        <v>146</v>
      </c>
      <c r="R179" s="247">
        <f t="shared" si="195"/>
        <v>3751</v>
      </c>
      <c r="S179" s="247">
        <f t="shared" si="195"/>
        <v>4836</v>
      </c>
      <c r="T179" s="247">
        <f t="shared" si="195"/>
        <v>3193</v>
      </c>
      <c r="U179" s="247">
        <f t="shared" si="195"/>
        <v>2000</v>
      </c>
      <c r="V179" s="247">
        <f t="shared" si="195"/>
        <v>1705</v>
      </c>
      <c r="W179" s="247">
        <f t="shared" si="195"/>
        <v>3427</v>
      </c>
      <c r="X179" s="247">
        <f t="shared" si="195"/>
        <v>30</v>
      </c>
      <c r="Y179" s="247">
        <f t="shared" si="195"/>
        <v>4252</v>
      </c>
      <c r="Z179" s="247">
        <f t="shared" si="195"/>
        <v>4527</v>
      </c>
      <c r="AA179" s="451">
        <v>447.8187956</v>
      </c>
      <c r="AB179" s="451">
        <v>519.8107848</v>
      </c>
      <c r="AC179" s="451">
        <v>559.5511961</v>
      </c>
      <c r="AD179" s="451">
        <v>635.077758</v>
      </c>
      <c r="AE179" s="451">
        <v>718.5925247</v>
      </c>
      <c r="AF179" s="451">
        <v>728.4413935</v>
      </c>
      <c r="AG179" s="451">
        <v>740.1058627</v>
      </c>
      <c r="AH179" s="451">
        <v>730.7131231</v>
      </c>
      <c r="AI179" s="451">
        <v>728.5595336</v>
      </c>
      <c r="AJ179" s="451">
        <v>755.5686952</v>
      </c>
      <c r="AK179" s="451">
        <v>829.7641979</v>
      </c>
      <c r="AL179" s="451">
        <v>891.1782218</v>
      </c>
      <c r="AM179" s="451">
        <v>945.9737869</v>
      </c>
      <c r="AN179" s="451">
        <v>985.0709554</v>
      </c>
      <c r="AO179" s="451">
        <v>1011.550549</v>
      </c>
      <c r="AP179" s="451">
        <v>1035.377591</v>
      </c>
      <c r="AQ179" s="451">
        <v>1058.846139</v>
      </c>
      <c r="AR179" s="451">
        <v>1082.080621</v>
      </c>
      <c r="AS179" s="451">
        <v>1105.593167</v>
      </c>
      <c r="AT179" s="451">
        <v>1128.940071</v>
      </c>
      <c r="AU179" s="451">
        <v>1152.206976</v>
      </c>
      <c r="AV179" s="451">
        <v>1175.461178</v>
      </c>
      <c r="AW179" s="451">
        <v>1198.756265</v>
      </c>
      <c r="AX179" s="451">
        <v>1222.135592</v>
      </c>
      <c r="AY179" s="451">
        <v>1245.63488</v>
      </c>
      <c r="AZ179" s="451">
        <v>1270.176463</v>
      </c>
      <c r="BA179" s="451">
        <v>1291.74213</v>
      </c>
      <c r="BB179" s="451">
        <v>1313.581575</v>
      </c>
      <c r="BC179" s="451">
        <v>1334.849034</v>
      </c>
      <c r="BD179" s="451">
        <v>1355.624129</v>
      </c>
      <c r="BE179" s="451">
        <v>1375.96961</v>
      </c>
      <c r="BF179" s="451">
        <v>1395.935501</v>
      </c>
      <c r="BG179" s="451">
        <v>1415.562189</v>
      </c>
      <c r="BH179" s="451">
        <v>1434.882744</v>
      </c>
      <c r="BI179" s="451">
        <v>1453.924659</v>
      </c>
      <c r="BJ179" s="451">
        <v>1472.711147</v>
      </c>
      <c r="BK179" s="451">
        <v>1491.262122</v>
      </c>
      <c r="BL179" s="451">
        <v>1507.893693</v>
      </c>
      <c r="BM179" s="451">
        <v>1528.332838</v>
      </c>
      <c r="BN179" s="451">
        <v>1542.475796</v>
      </c>
      <c r="BO179" s="451">
        <v>1558.383071</v>
      </c>
      <c r="BP179" s="451">
        <v>1575.582667</v>
      </c>
      <c r="BQ179" s="451">
        <v>1593.724919</v>
      </c>
      <c r="BR179" s="451">
        <v>1612.551461</v>
      </c>
      <c r="BS179" s="451">
        <v>1631.872051</v>
      </c>
      <c r="BT179" s="451">
        <v>1651.547262</v>
      </c>
      <c r="BU179" s="451">
        <v>1671.475563</v>
      </c>
      <c r="BV179" s="451">
        <v>1691.583665</v>
      </c>
      <c r="BW179" s="451">
        <v>1711.819323</v>
      </c>
      <c r="BX179" s="451">
        <v>1734.276437</v>
      </c>
      <c r="BY179" s="451">
        <v>1748.109662</v>
      </c>
      <c r="BZ179" s="451">
        <v>1756.293578</v>
      </c>
      <c r="CA179" s="451">
        <v>1766.010785</v>
      </c>
      <c r="CB179" s="451">
        <v>1776.873963</v>
      </c>
      <c r="CC179" s="451">
        <v>1788.594433</v>
      </c>
      <c r="CD179" s="451">
        <v>1800.957179</v>
      </c>
      <c r="CE179" s="451">
        <v>1813.802184</v>
      </c>
      <c r="CF179" s="451">
        <v>1827.010499</v>
      </c>
      <c r="CG179" s="451">
        <v>1840.49383</v>
      </c>
      <c r="CH179" s="451">
        <v>1854.186762</v>
      </c>
      <c r="CI179" s="451">
        <v>1868.040951</v>
      </c>
      <c r="CL179" s="117">
        <f t="shared" si="185"/>
        <v>12671</v>
      </c>
      <c r="CM179" s="117">
        <f t="shared" si="186"/>
        <v>2894</v>
      </c>
      <c r="CN179" s="117">
        <f t="shared" si="187"/>
        <v>10366</v>
      </c>
      <c r="CO179" s="117">
        <f t="shared" si="188"/>
        <v>10082</v>
      </c>
      <c r="CP179" s="117">
        <f t="shared" si="189"/>
        <v>10325</v>
      </c>
      <c r="CQ179" s="117">
        <f t="shared" si="190"/>
        <v>9256.818796</v>
      </c>
    </row>
    <row r="180" ht="15.75" customHeight="1" outlineLevel="1">
      <c r="A180" s="1" t="s">
        <v>94</v>
      </c>
      <c r="B180" s="91" t="s">
        <v>63</v>
      </c>
      <c r="C180" s="132" t="s">
        <v>213</v>
      </c>
      <c r="D180" s="247">
        <f t="shared" ref="D180:Z180" si="196">RANDBETWEEN(0,5000)</f>
        <v>1084</v>
      </c>
      <c r="E180" s="247">
        <f t="shared" si="196"/>
        <v>4728</v>
      </c>
      <c r="F180" s="247">
        <f t="shared" si="196"/>
        <v>2554</v>
      </c>
      <c r="G180" s="247">
        <f t="shared" si="196"/>
        <v>3712</v>
      </c>
      <c r="H180" s="247">
        <f t="shared" si="196"/>
        <v>1368</v>
      </c>
      <c r="I180" s="247">
        <f t="shared" si="196"/>
        <v>3024</v>
      </c>
      <c r="J180" s="247">
        <f t="shared" si="196"/>
        <v>1350</v>
      </c>
      <c r="K180" s="247">
        <f t="shared" si="196"/>
        <v>4486</v>
      </c>
      <c r="L180" s="247">
        <f t="shared" si="196"/>
        <v>949</v>
      </c>
      <c r="M180" s="247">
        <f t="shared" si="196"/>
        <v>625</v>
      </c>
      <c r="N180" s="247">
        <f t="shared" si="196"/>
        <v>4467</v>
      </c>
      <c r="O180" s="247">
        <f t="shared" si="196"/>
        <v>1857</v>
      </c>
      <c r="P180" s="247">
        <f t="shared" si="196"/>
        <v>813</v>
      </c>
      <c r="Q180" s="247">
        <f t="shared" si="196"/>
        <v>2434</v>
      </c>
      <c r="R180" s="247">
        <f t="shared" si="196"/>
        <v>2287</v>
      </c>
      <c r="S180" s="247">
        <f t="shared" si="196"/>
        <v>2665</v>
      </c>
      <c r="T180" s="247">
        <f t="shared" si="196"/>
        <v>858</v>
      </c>
      <c r="U180" s="247">
        <f t="shared" si="196"/>
        <v>4909</v>
      </c>
      <c r="V180" s="247">
        <f t="shared" si="196"/>
        <v>4485</v>
      </c>
      <c r="W180" s="247">
        <f t="shared" si="196"/>
        <v>831</v>
      </c>
      <c r="X180" s="247">
        <f t="shared" si="196"/>
        <v>948</v>
      </c>
      <c r="Y180" s="247">
        <f t="shared" si="196"/>
        <v>2439</v>
      </c>
      <c r="Z180" s="247">
        <f t="shared" si="196"/>
        <v>1699</v>
      </c>
      <c r="AA180" s="451">
        <v>730.031539</v>
      </c>
      <c r="AB180" s="451">
        <v>847.392452</v>
      </c>
      <c r="AC180" s="451">
        <v>912.1770343</v>
      </c>
      <c r="AD180" s="451">
        <v>1035.299987</v>
      </c>
      <c r="AE180" s="451">
        <v>1171.445263</v>
      </c>
      <c r="AF180" s="451">
        <v>1187.50083</v>
      </c>
      <c r="AG180" s="451">
        <v>1206.516179</v>
      </c>
      <c r="AH180" s="451">
        <v>1191.20419</v>
      </c>
      <c r="AI180" s="451">
        <v>1187.693422</v>
      </c>
      <c r="AJ180" s="451">
        <v>1231.723596</v>
      </c>
      <c r="AK180" s="451">
        <v>1352.676664</v>
      </c>
      <c r="AL180" s="451">
        <v>1452.793441</v>
      </c>
      <c r="AM180" s="451">
        <v>1542.120845</v>
      </c>
      <c r="AN180" s="451">
        <v>2223.937474</v>
      </c>
      <c r="AO180" s="451">
        <v>2283.718914</v>
      </c>
      <c r="AP180" s="451">
        <v>2337.511843</v>
      </c>
      <c r="AQ180" s="451">
        <v>2390.495421</v>
      </c>
      <c r="AR180" s="451">
        <v>2442.950562</v>
      </c>
      <c r="AS180" s="451">
        <v>2496.033471</v>
      </c>
      <c r="AT180" s="451">
        <v>2548.742419</v>
      </c>
      <c r="AU180" s="451">
        <v>2601.27076</v>
      </c>
      <c r="AV180" s="451">
        <v>2653.770421</v>
      </c>
      <c r="AW180" s="451">
        <v>2706.362385</v>
      </c>
      <c r="AX180" s="451">
        <v>2759.144535</v>
      </c>
      <c r="AY180" s="451">
        <v>2812.197512</v>
      </c>
      <c r="AZ180" s="451">
        <v>3258.640474</v>
      </c>
      <c r="BA180" s="451">
        <v>3313.967239</v>
      </c>
      <c r="BB180" s="451">
        <v>3369.996384</v>
      </c>
      <c r="BC180" s="451">
        <v>3424.558097</v>
      </c>
      <c r="BD180" s="451">
        <v>3477.856646</v>
      </c>
      <c r="BE180" s="451">
        <v>3530.053023</v>
      </c>
      <c r="BF180" s="451">
        <v>3581.275559</v>
      </c>
      <c r="BG180" s="451">
        <v>3631.62787</v>
      </c>
      <c r="BH180" s="451">
        <v>3681.194797</v>
      </c>
      <c r="BI180" s="451">
        <v>3730.04687</v>
      </c>
      <c r="BJ180" s="451">
        <v>3778.243645</v>
      </c>
      <c r="BK180" s="451">
        <v>3825.836212</v>
      </c>
      <c r="BL180" s="451">
        <v>4332.725089</v>
      </c>
      <c r="BM180" s="451">
        <v>4391.454162</v>
      </c>
      <c r="BN180" s="451">
        <v>4432.092005</v>
      </c>
      <c r="BO180" s="451">
        <v>4477.79937</v>
      </c>
      <c r="BP180" s="451">
        <v>4527.220043</v>
      </c>
      <c r="BQ180" s="451">
        <v>4579.34931</v>
      </c>
      <c r="BR180" s="451">
        <v>4633.444789</v>
      </c>
      <c r="BS180" s="451">
        <v>4688.959845</v>
      </c>
      <c r="BT180" s="451">
        <v>4745.493858</v>
      </c>
      <c r="BU180" s="451">
        <v>4802.755088</v>
      </c>
      <c r="BV180" s="451">
        <v>4860.532955</v>
      </c>
      <c r="BW180" s="451">
        <v>4918.677334</v>
      </c>
      <c r="BX180" s="451">
        <v>4983.204762</v>
      </c>
      <c r="BY180" s="451">
        <v>5381.734962</v>
      </c>
      <c r="BZ180" s="451">
        <v>5406.929986</v>
      </c>
      <c r="CA180" s="451">
        <v>5436.845404</v>
      </c>
      <c r="CB180" s="451">
        <v>5470.288813</v>
      </c>
      <c r="CC180" s="451">
        <v>5506.371484</v>
      </c>
      <c r="CD180" s="451">
        <v>5544.431464</v>
      </c>
      <c r="CE180" s="451">
        <v>5583.976131</v>
      </c>
      <c r="CF180" s="451">
        <v>5624.639285</v>
      </c>
      <c r="CG180" s="451">
        <v>5666.149103</v>
      </c>
      <c r="CH180" s="451">
        <v>5708.304197</v>
      </c>
      <c r="CI180" s="451">
        <v>5750.95574</v>
      </c>
      <c r="CL180" s="117">
        <f t="shared" si="185"/>
        <v>12078</v>
      </c>
      <c r="CM180" s="117">
        <f t="shared" si="186"/>
        <v>10228</v>
      </c>
      <c r="CN180" s="117">
        <f t="shared" si="187"/>
        <v>7898</v>
      </c>
      <c r="CO180" s="117">
        <f t="shared" si="188"/>
        <v>8199</v>
      </c>
      <c r="CP180" s="117">
        <f t="shared" si="189"/>
        <v>11083</v>
      </c>
      <c r="CQ180" s="117">
        <f t="shared" si="190"/>
        <v>5816.031539</v>
      </c>
    </row>
    <row r="181" ht="15.75" customHeight="1" outlineLevel="1">
      <c r="A181" s="1" t="s">
        <v>94</v>
      </c>
      <c r="B181" s="91" t="s">
        <v>63</v>
      </c>
      <c r="C181" s="132" t="s">
        <v>214</v>
      </c>
      <c r="D181" s="247">
        <f t="shared" ref="D181:Z181" si="197">RANDBETWEEN(0,5000)</f>
        <v>1442</v>
      </c>
      <c r="E181" s="247">
        <f t="shared" si="197"/>
        <v>1689</v>
      </c>
      <c r="F181" s="247">
        <f t="shared" si="197"/>
        <v>1235</v>
      </c>
      <c r="G181" s="247">
        <f t="shared" si="197"/>
        <v>4240</v>
      </c>
      <c r="H181" s="247">
        <f t="shared" si="197"/>
        <v>4775</v>
      </c>
      <c r="I181" s="247">
        <f t="shared" si="197"/>
        <v>1295</v>
      </c>
      <c r="J181" s="247">
        <f t="shared" si="197"/>
        <v>2292</v>
      </c>
      <c r="K181" s="247">
        <f t="shared" si="197"/>
        <v>337</v>
      </c>
      <c r="L181" s="247">
        <f t="shared" si="197"/>
        <v>2985</v>
      </c>
      <c r="M181" s="247">
        <f t="shared" si="197"/>
        <v>210</v>
      </c>
      <c r="N181" s="247">
        <f t="shared" si="197"/>
        <v>4386</v>
      </c>
      <c r="O181" s="247">
        <f t="shared" si="197"/>
        <v>4951</v>
      </c>
      <c r="P181" s="247">
        <f t="shared" si="197"/>
        <v>1277</v>
      </c>
      <c r="Q181" s="247">
        <f t="shared" si="197"/>
        <v>3413</v>
      </c>
      <c r="R181" s="247">
        <f t="shared" si="197"/>
        <v>1659</v>
      </c>
      <c r="S181" s="247">
        <f t="shared" si="197"/>
        <v>2206</v>
      </c>
      <c r="T181" s="247">
        <f t="shared" si="197"/>
        <v>2266</v>
      </c>
      <c r="U181" s="247">
        <f t="shared" si="197"/>
        <v>4419</v>
      </c>
      <c r="V181" s="247">
        <f t="shared" si="197"/>
        <v>1133</v>
      </c>
      <c r="W181" s="247">
        <f t="shared" si="197"/>
        <v>1652</v>
      </c>
      <c r="X181" s="247">
        <f t="shared" si="197"/>
        <v>4722</v>
      </c>
      <c r="Y181" s="247">
        <f t="shared" si="197"/>
        <v>1853</v>
      </c>
      <c r="Z181" s="247">
        <f t="shared" si="197"/>
        <v>2084</v>
      </c>
      <c r="AA181" s="117"/>
      <c r="AB181" s="117"/>
      <c r="AC181" s="117"/>
      <c r="AD181" s="117"/>
      <c r="AE181" s="117"/>
      <c r="AF181" s="117"/>
      <c r="AG181" s="117"/>
      <c r="AH181" s="117"/>
      <c r="AI181" s="117"/>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7"/>
      <c r="BO181" s="117"/>
      <c r="BP181" s="117"/>
      <c r="BQ181" s="117"/>
      <c r="BR181" s="117"/>
      <c r="BS181" s="117"/>
      <c r="BT181" s="117"/>
      <c r="BU181" s="117"/>
      <c r="BV181" s="117"/>
      <c r="BW181" s="117"/>
      <c r="BX181" s="117"/>
      <c r="BY181" s="117"/>
      <c r="BZ181" s="117"/>
      <c r="CA181" s="117"/>
      <c r="CB181" s="117"/>
      <c r="CC181" s="117"/>
      <c r="CD181" s="117"/>
      <c r="CE181" s="117"/>
      <c r="CF181" s="117"/>
      <c r="CG181" s="117"/>
      <c r="CH181" s="117"/>
      <c r="CI181" s="117"/>
      <c r="CL181" s="117">
        <f t="shared" si="185"/>
        <v>8606</v>
      </c>
      <c r="CM181" s="117">
        <f t="shared" si="186"/>
        <v>8699</v>
      </c>
      <c r="CN181" s="117">
        <f t="shared" si="187"/>
        <v>12532</v>
      </c>
      <c r="CO181" s="117">
        <f t="shared" si="188"/>
        <v>8555</v>
      </c>
      <c r="CP181" s="117">
        <f t="shared" si="189"/>
        <v>9470</v>
      </c>
      <c r="CQ181" s="117">
        <f t="shared" si="190"/>
        <v>8659</v>
      </c>
    </row>
    <row r="182" ht="15.75" customHeight="1" outlineLevel="1">
      <c r="A182" s="1" t="s">
        <v>94</v>
      </c>
      <c r="B182" s="91" t="s">
        <v>65</v>
      </c>
      <c r="C182" s="132" t="s">
        <v>215</v>
      </c>
      <c r="D182" s="247">
        <f t="shared" ref="D182:Z182" si="198">RANDBETWEEN(0,5000)</f>
        <v>2227</v>
      </c>
      <c r="E182" s="247">
        <f t="shared" si="198"/>
        <v>3485</v>
      </c>
      <c r="F182" s="247">
        <f t="shared" si="198"/>
        <v>1798</v>
      </c>
      <c r="G182" s="247">
        <f t="shared" si="198"/>
        <v>3936</v>
      </c>
      <c r="H182" s="247">
        <f t="shared" si="198"/>
        <v>2698</v>
      </c>
      <c r="I182" s="247">
        <f t="shared" si="198"/>
        <v>459</v>
      </c>
      <c r="J182" s="247">
        <f t="shared" si="198"/>
        <v>4107</v>
      </c>
      <c r="K182" s="247">
        <f t="shared" si="198"/>
        <v>3099</v>
      </c>
      <c r="L182" s="247">
        <f t="shared" si="198"/>
        <v>3653</v>
      </c>
      <c r="M182" s="247">
        <f t="shared" si="198"/>
        <v>3277</v>
      </c>
      <c r="N182" s="247">
        <f t="shared" si="198"/>
        <v>1162</v>
      </c>
      <c r="O182" s="247">
        <f t="shared" si="198"/>
        <v>1145</v>
      </c>
      <c r="P182" s="247">
        <f t="shared" si="198"/>
        <v>251</v>
      </c>
      <c r="Q182" s="247">
        <f t="shared" si="198"/>
        <v>2037</v>
      </c>
      <c r="R182" s="247">
        <f t="shared" si="198"/>
        <v>245</v>
      </c>
      <c r="S182" s="247">
        <f t="shared" si="198"/>
        <v>4482</v>
      </c>
      <c r="T182" s="247">
        <f t="shared" si="198"/>
        <v>930</v>
      </c>
      <c r="U182" s="247">
        <f t="shared" si="198"/>
        <v>2317</v>
      </c>
      <c r="V182" s="247">
        <f t="shared" si="198"/>
        <v>2638</v>
      </c>
      <c r="W182" s="247">
        <f t="shared" si="198"/>
        <v>3372</v>
      </c>
      <c r="X182" s="247">
        <f t="shared" si="198"/>
        <v>4165</v>
      </c>
      <c r="Y182" s="247">
        <f t="shared" si="198"/>
        <v>2241</v>
      </c>
      <c r="Z182" s="247">
        <f t="shared" si="198"/>
        <v>1013</v>
      </c>
      <c r="AA182" s="116">
        <f>Headcount!S189</f>
        <v>4745.765205</v>
      </c>
      <c r="AB182" s="116">
        <f>Headcount!T189</f>
        <v>1270.914108</v>
      </c>
      <c r="AC182" s="116">
        <f>Headcount!U189</f>
        <v>1346.203335</v>
      </c>
      <c r="AD182" s="116">
        <f>Headcount!V189</f>
        <v>1411.338309</v>
      </c>
      <c r="AE182" s="116">
        <f>Headcount!W189</f>
        <v>1469.515195</v>
      </c>
      <c r="AF182" s="116">
        <f>Headcount!X189</f>
        <v>1500.232295</v>
      </c>
      <c r="AG182" s="116">
        <f>Headcount!Y189</f>
        <v>1527.759174</v>
      </c>
      <c r="AH182" s="116">
        <f>Headcount!Z189</f>
        <v>1545.002959</v>
      </c>
      <c r="AI182" s="116">
        <f>Headcount!AA189</f>
        <v>1559.915933</v>
      </c>
      <c r="AJ182" s="116">
        <f>Headcount!AB189</f>
        <v>1579.540318</v>
      </c>
      <c r="AK182" s="116">
        <f>Headcount!AC189</f>
        <v>1602.579883</v>
      </c>
      <c r="AL182" s="116">
        <f>Headcount!AD189</f>
        <v>1622.707124</v>
      </c>
      <c r="AM182" s="116">
        <f>Headcount!AE189</f>
        <v>1641.087428</v>
      </c>
      <c r="AN182" s="116">
        <f>Headcount!AF189</f>
        <v>2974.552598</v>
      </c>
      <c r="AO182" s="116">
        <f>Headcount!AG189</f>
        <v>3002.990985</v>
      </c>
      <c r="AP182" s="116">
        <f>Headcount!AH189</f>
        <v>3039.469978</v>
      </c>
      <c r="AQ182" s="116">
        <f>Headcount!AI189</f>
        <v>3071.861051</v>
      </c>
      <c r="AR182" s="116">
        <f>Headcount!AJ189</f>
        <v>3101.210712</v>
      </c>
      <c r="AS182" s="116">
        <f>Headcount!AK189</f>
        <v>3130.706489</v>
      </c>
      <c r="AT182" s="116">
        <f>Headcount!AL189</f>
        <v>3157.930243</v>
      </c>
      <c r="AU182" s="116">
        <f>Headcount!AM189</f>
        <v>3183.469442</v>
      </c>
      <c r="AV182" s="116">
        <f>Headcount!AN189</f>
        <v>3207.763038</v>
      </c>
      <c r="AW182" s="116">
        <f>Headcount!AO189</f>
        <v>3231.13904</v>
      </c>
      <c r="AX182" s="116">
        <f>Headcount!AP189</f>
        <v>3253.842581</v>
      </c>
      <c r="AY182" s="116">
        <f>Headcount!AQ189</f>
        <v>3276.056893</v>
      </c>
      <c r="AZ182" s="116">
        <f>Headcount!AR189</f>
        <v>4774.557278</v>
      </c>
      <c r="BA182" s="116">
        <f>Headcount!AS189</f>
        <v>4815.810842</v>
      </c>
      <c r="BB182" s="116">
        <f>Headcount!AT189</f>
        <v>4854.308558</v>
      </c>
      <c r="BC182" s="116">
        <f>Headcount!AU189</f>
        <v>4890.766814</v>
      </c>
      <c r="BD182" s="116">
        <f>Headcount!AV189</f>
        <v>4925.720914</v>
      </c>
      <c r="BE182" s="116">
        <f>Headcount!AW189</f>
        <v>4959.57089</v>
      </c>
      <c r="BF182" s="116">
        <f>Headcount!AX189</f>
        <v>4992.615733</v>
      </c>
      <c r="BG182" s="116">
        <f>Headcount!AY189</f>
        <v>5025.078952</v>
      </c>
      <c r="BH182" s="116">
        <f>Headcount!AZ189</f>
        <v>5057.127678</v>
      </c>
      <c r="BI182" s="116">
        <f>Headcount!BA189</f>
        <v>5088.886927</v>
      </c>
      <c r="BJ182" s="116">
        <f>Headcount!BB189</f>
        <v>5120.450253</v>
      </c>
      <c r="BK182" s="116">
        <f>Headcount!BC189</f>
        <v>5151.887718</v>
      </c>
      <c r="BL182" s="116">
        <f>Headcount!BD189</f>
        <v>31450.77942</v>
      </c>
      <c r="BM182" s="116">
        <f>Headcount!BE189</f>
        <v>31812.11658</v>
      </c>
      <c r="BN182" s="116">
        <f>Headcount!BF189</f>
        <v>32043.64204</v>
      </c>
      <c r="BO182" s="116">
        <f>Headcount!BG189</f>
        <v>32270.99595</v>
      </c>
      <c r="BP182" s="116">
        <f>Headcount!BH189</f>
        <v>32495.66218</v>
      </c>
      <c r="BQ182" s="116">
        <f>Headcount!BI189</f>
        <v>32718.75649</v>
      </c>
      <c r="BR182" s="116">
        <f>Headcount!BJ189</f>
        <v>32941.11979</v>
      </c>
      <c r="BS182" s="116">
        <f>Headcount!BK189</f>
        <v>33163.38793</v>
      </c>
      <c r="BT182" s="116">
        <f>Headcount!BL189</f>
        <v>33386.04376</v>
      </c>
      <c r="BU182" s="116">
        <f>Headcount!BM189</f>
        <v>33609.45603</v>
      </c>
      <c r="BV182" s="116">
        <f>Headcount!BN189</f>
        <v>33833.90848</v>
      </c>
      <c r="BW182" s="116">
        <f>Headcount!BO189</f>
        <v>34059.62155</v>
      </c>
      <c r="BX182" s="116">
        <f>Headcount!BP189</f>
        <v>47171.96491</v>
      </c>
      <c r="BY182" s="116">
        <f>Headcount!BQ189</f>
        <v>46597.34544</v>
      </c>
      <c r="BZ182" s="116">
        <f>Headcount!BR189</f>
        <v>46094.73201</v>
      </c>
      <c r="CA182" s="116">
        <f>Headcount!BS189</f>
        <v>45778.1522</v>
      </c>
      <c r="CB182" s="116">
        <f>Headcount!BT189</f>
        <v>45601.10591</v>
      </c>
      <c r="CC182" s="116">
        <f>Headcount!BU189</f>
        <v>45528.8554</v>
      </c>
      <c r="CD182" s="116">
        <f>Headcount!BV189</f>
        <v>45535.44958</v>
      </c>
      <c r="CE182" s="116">
        <f>Headcount!BW189</f>
        <v>45601.50116</v>
      </c>
      <c r="CF182" s="116">
        <f>Headcount!BX189</f>
        <v>45712.52616</v>
      </c>
      <c r="CG182" s="116">
        <f>Headcount!BY189</f>
        <v>45857.70351</v>
      </c>
      <c r="CH182" s="116">
        <f>Headcount!BZ189</f>
        <v>46028.94852</v>
      </c>
      <c r="CI182" s="116">
        <f>Headcount!CA189</f>
        <v>46220.2207</v>
      </c>
      <c r="CL182" s="117">
        <f t="shared" si="185"/>
        <v>11446</v>
      </c>
      <c r="CM182" s="117">
        <f t="shared" si="186"/>
        <v>10363</v>
      </c>
      <c r="CN182" s="117">
        <f t="shared" si="187"/>
        <v>9237</v>
      </c>
      <c r="CO182" s="117">
        <f t="shared" si="188"/>
        <v>7015</v>
      </c>
      <c r="CP182" s="117">
        <f t="shared" si="189"/>
        <v>9257</v>
      </c>
      <c r="CQ182" s="117">
        <f t="shared" si="190"/>
        <v>12164.76521</v>
      </c>
    </row>
    <row r="183" ht="15.75" customHeight="1" outlineLevel="1">
      <c r="A183" s="1" t="s">
        <v>94</v>
      </c>
      <c r="B183" s="91" t="s">
        <v>69</v>
      </c>
      <c r="C183" s="132" t="s">
        <v>216</v>
      </c>
      <c r="D183" s="247">
        <f t="shared" ref="D183:Z183" si="199">RANDBETWEEN(0,5000)</f>
        <v>3304</v>
      </c>
      <c r="E183" s="247">
        <f t="shared" si="199"/>
        <v>399</v>
      </c>
      <c r="F183" s="247">
        <f t="shared" si="199"/>
        <v>3954</v>
      </c>
      <c r="G183" s="247">
        <f t="shared" si="199"/>
        <v>4502</v>
      </c>
      <c r="H183" s="247">
        <f t="shared" si="199"/>
        <v>3155</v>
      </c>
      <c r="I183" s="247">
        <f t="shared" si="199"/>
        <v>802</v>
      </c>
      <c r="J183" s="247">
        <f t="shared" si="199"/>
        <v>1734</v>
      </c>
      <c r="K183" s="247">
        <f t="shared" si="199"/>
        <v>4231</v>
      </c>
      <c r="L183" s="247">
        <f t="shared" si="199"/>
        <v>1854</v>
      </c>
      <c r="M183" s="247">
        <f t="shared" si="199"/>
        <v>496</v>
      </c>
      <c r="N183" s="247">
        <f t="shared" si="199"/>
        <v>2430</v>
      </c>
      <c r="O183" s="247">
        <f t="shared" si="199"/>
        <v>4883</v>
      </c>
      <c r="P183" s="247">
        <f t="shared" si="199"/>
        <v>1921</v>
      </c>
      <c r="Q183" s="247">
        <f t="shared" si="199"/>
        <v>4646</v>
      </c>
      <c r="R183" s="247">
        <f t="shared" si="199"/>
        <v>975</v>
      </c>
      <c r="S183" s="247">
        <f t="shared" si="199"/>
        <v>2540</v>
      </c>
      <c r="T183" s="247">
        <f t="shared" si="199"/>
        <v>2446</v>
      </c>
      <c r="U183" s="247">
        <f t="shared" si="199"/>
        <v>3946</v>
      </c>
      <c r="V183" s="247">
        <f t="shared" si="199"/>
        <v>1262</v>
      </c>
      <c r="W183" s="247">
        <f t="shared" si="199"/>
        <v>113</v>
      </c>
      <c r="X183" s="247">
        <f t="shared" si="199"/>
        <v>1673</v>
      </c>
      <c r="Y183" s="247">
        <f t="shared" si="199"/>
        <v>24</v>
      </c>
      <c r="Z183" s="247">
        <f t="shared" si="199"/>
        <v>4345</v>
      </c>
      <c r="AA183" s="511">
        <f>Expenses!T60</f>
        <v>0</v>
      </c>
      <c r="AB183" s="511">
        <f>Expenses!U60</f>
        <v>0</v>
      </c>
      <c r="AC183" s="511">
        <f>Expenses!V60</f>
        <v>0</v>
      </c>
      <c r="AD183" s="511">
        <f>Expenses!W60</f>
        <v>0</v>
      </c>
      <c r="AE183" s="511">
        <f>Expenses!X60</f>
        <v>0</v>
      </c>
      <c r="AF183" s="511">
        <f>Expenses!Y60</f>
        <v>0</v>
      </c>
      <c r="AG183" s="511">
        <f>Expenses!Z60</f>
        <v>0</v>
      </c>
      <c r="AH183" s="511">
        <f>Expenses!AA60</f>
        <v>0</v>
      </c>
      <c r="AI183" s="511">
        <f>Expenses!AB60</f>
        <v>0</v>
      </c>
      <c r="AJ183" s="511">
        <f>Expenses!AC60</f>
        <v>0</v>
      </c>
      <c r="AK183" s="511">
        <f>Expenses!AD60</f>
        <v>0</v>
      </c>
      <c r="AL183" s="511">
        <f>Expenses!AE60</f>
        <v>0</v>
      </c>
      <c r="AM183" s="511">
        <f>Expenses!AF60</f>
        <v>0</v>
      </c>
      <c r="AN183" s="511">
        <f>Expenses!AG60</f>
        <v>0</v>
      </c>
      <c r="AO183" s="511">
        <f>Expenses!AH60</f>
        <v>0</v>
      </c>
      <c r="AP183" s="511">
        <f>Expenses!AI60</f>
        <v>0</v>
      </c>
      <c r="AQ183" s="511">
        <f>Expenses!AJ60</f>
        <v>0</v>
      </c>
      <c r="AR183" s="511">
        <f>Expenses!AK60</f>
        <v>0</v>
      </c>
      <c r="AS183" s="511">
        <f>Expenses!AL60</f>
        <v>0</v>
      </c>
      <c r="AT183" s="511">
        <f>Expenses!AM60</f>
        <v>0</v>
      </c>
      <c r="AU183" s="511">
        <f>Expenses!AN60</f>
        <v>0</v>
      </c>
      <c r="AV183" s="511">
        <f>Expenses!AO60</f>
        <v>0</v>
      </c>
      <c r="AW183" s="511">
        <f>Expenses!AP60</f>
        <v>0</v>
      </c>
      <c r="AX183" s="511">
        <f>Expenses!AQ60</f>
        <v>0</v>
      </c>
      <c r="AY183" s="511">
        <f>Expenses!AR60</f>
        <v>0</v>
      </c>
      <c r="AZ183" s="511">
        <f>Expenses!AS60</f>
        <v>0</v>
      </c>
      <c r="BA183" s="511">
        <f>Expenses!AT60</f>
        <v>0</v>
      </c>
      <c r="BB183" s="511">
        <f>Expenses!AU60</f>
        <v>0</v>
      </c>
      <c r="BC183" s="511">
        <f>Expenses!AV60</f>
        <v>0</v>
      </c>
      <c r="BD183" s="511">
        <f>Expenses!AW60</f>
        <v>0</v>
      </c>
      <c r="BE183" s="511">
        <f>Expenses!AX60</f>
        <v>0</v>
      </c>
      <c r="BF183" s="511">
        <f>Expenses!AY60</f>
        <v>0</v>
      </c>
      <c r="BG183" s="511">
        <f>Expenses!AZ60</f>
        <v>0</v>
      </c>
      <c r="BH183" s="511">
        <f>Expenses!BA60</f>
        <v>0</v>
      </c>
      <c r="BI183" s="511">
        <f>Expenses!BB60</f>
        <v>0</v>
      </c>
      <c r="BJ183" s="511">
        <f>Expenses!BC60</f>
        <v>0</v>
      </c>
      <c r="BK183" s="511">
        <f>Expenses!BD60</f>
        <v>0</v>
      </c>
      <c r="BL183" s="511">
        <f>Expenses!BE60</f>
        <v>0</v>
      </c>
      <c r="BM183" s="511">
        <f>Expenses!BF60</f>
        <v>0</v>
      </c>
      <c r="BN183" s="511">
        <f>Expenses!BG60</f>
        <v>0</v>
      </c>
      <c r="BO183" s="511">
        <f>Expenses!BH60</f>
        <v>0</v>
      </c>
      <c r="BP183" s="511">
        <f>Expenses!BI60</f>
        <v>0</v>
      </c>
      <c r="BQ183" s="511">
        <f>Expenses!BJ60</f>
        <v>0</v>
      </c>
      <c r="BR183" s="511">
        <f>Expenses!BK60</f>
        <v>0</v>
      </c>
      <c r="BS183" s="511">
        <f>Expenses!BL60</f>
        <v>0</v>
      </c>
      <c r="BT183" s="511">
        <f>Expenses!BM60</f>
        <v>0</v>
      </c>
      <c r="BU183" s="511">
        <f>Expenses!BN60</f>
        <v>0</v>
      </c>
      <c r="BV183" s="511">
        <f>Expenses!BO60</f>
        <v>0</v>
      </c>
      <c r="BW183" s="511">
        <f>Expenses!BP60</f>
        <v>0</v>
      </c>
      <c r="BX183" s="511">
        <f>Expenses!BQ60</f>
        <v>0</v>
      </c>
      <c r="BY183" s="511">
        <f>Expenses!BR60</f>
        <v>0</v>
      </c>
      <c r="BZ183" s="511">
        <f>Expenses!BS60</f>
        <v>0</v>
      </c>
      <c r="CA183" s="511">
        <f>Expenses!BT60</f>
        <v>0</v>
      </c>
      <c r="CB183" s="511">
        <f>Expenses!BU60</f>
        <v>0</v>
      </c>
      <c r="CC183" s="511">
        <f>Expenses!BV60</f>
        <v>0</v>
      </c>
      <c r="CD183" s="511">
        <f>Expenses!BW60</f>
        <v>0</v>
      </c>
      <c r="CE183" s="511">
        <f>Expenses!BX60</f>
        <v>0</v>
      </c>
      <c r="CF183" s="511">
        <f>Expenses!BY60</f>
        <v>0</v>
      </c>
      <c r="CG183" s="511">
        <f>Expenses!BZ60</f>
        <v>0</v>
      </c>
      <c r="CH183" s="511">
        <f>Expenses!CA60</f>
        <v>0</v>
      </c>
      <c r="CI183" s="511">
        <f>Expenses!CB60</f>
        <v>0</v>
      </c>
      <c r="CL183" s="117">
        <f t="shared" si="185"/>
        <v>12159</v>
      </c>
      <c r="CM183" s="117">
        <f t="shared" si="186"/>
        <v>9922</v>
      </c>
      <c r="CN183" s="117">
        <f t="shared" si="187"/>
        <v>9663</v>
      </c>
      <c r="CO183" s="117">
        <f t="shared" si="188"/>
        <v>10082</v>
      </c>
      <c r="CP183" s="117">
        <f t="shared" si="189"/>
        <v>7767</v>
      </c>
      <c r="CQ183" s="117">
        <f t="shared" si="190"/>
        <v>6042</v>
      </c>
    </row>
    <row r="184" ht="15.75" customHeight="1" outlineLevel="1">
      <c r="A184" s="1" t="s">
        <v>94</v>
      </c>
      <c r="B184" s="91" t="s">
        <v>71</v>
      </c>
      <c r="C184" s="132" t="s">
        <v>217</v>
      </c>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117">
        <f t="shared" ref="AA184:CI184" si="200">AA263</f>
        <v>30681.03303</v>
      </c>
      <c r="AB184" s="117">
        <f t="shared" si="200"/>
        <v>31457.91438</v>
      </c>
      <c r="AC184" s="117">
        <f t="shared" si="200"/>
        <v>28222.88467</v>
      </c>
      <c r="AD184" s="117">
        <f t="shared" si="200"/>
        <v>25683.75139</v>
      </c>
      <c r="AE184" s="117">
        <f t="shared" si="200"/>
        <v>25417.81636</v>
      </c>
      <c r="AF184" s="117">
        <f t="shared" si="200"/>
        <v>25938.1618</v>
      </c>
      <c r="AG184" s="117">
        <f t="shared" si="200"/>
        <v>23768.46663</v>
      </c>
      <c r="AH184" s="117">
        <f t="shared" si="200"/>
        <v>21708.1239</v>
      </c>
      <c r="AI184" s="117">
        <f t="shared" si="200"/>
        <v>21935.86771</v>
      </c>
      <c r="AJ184" s="117">
        <f t="shared" si="200"/>
        <v>22813.30257</v>
      </c>
      <c r="AK184" s="117">
        <f t="shared" si="200"/>
        <v>23077.5528</v>
      </c>
      <c r="AL184" s="117">
        <f t="shared" si="200"/>
        <v>21688.1486</v>
      </c>
      <c r="AM184" s="117">
        <f t="shared" si="200"/>
        <v>21938.12075</v>
      </c>
      <c r="AN184" s="117">
        <f t="shared" si="200"/>
        <v>22117.94446</v>
      </c>
      <c r="AO184" s="117">
        <f t="shared" si="200"/>
        <v>21600.13694</v>
      </c>
      <c r="AP184" s="117">
        <f t="shared" si="200"/>
        <v>21100.25271</v>
      </c>
      <c r="AQ184" s="117">
        <f t="shared" si="200"/>
        <v>21936.29586</v>
      </c>
      <c r="AR184" s="117">
        <f t="shared" si="200"/>
        <v>22899.94761</v>
      </c>
      <c r="AS184" s="117">
        <f t="shared" si="200"/>
        <v>22225.69304</v>
      </c>
      <c r="AT184" s="117">
        <f t="shared" si="200"/>
        <v>21424.63902</v>
      </c>
      <c r="AU184" s="117">
        <f t="shared" si="200"/>
        <v>22153.44587</v>
      </c>
      <c r="AV184" s="117">
        <f t="shared" si="200"/>
        <v>23137.04135</v>
      </c>
      <c r="AW184" s="117">
        <f t="shared" si="200"/>
        <v>22432.1941</v>
      </c>
      <c r="AX184" s="117">
        <f t="shared" si="200"/>
        <v>21720.22519</v>
      </c>
      <c r="AY184" s="117">
        <f t="shared" si="200"/>
        <v>22541.4154</v>
      </c>
      <c r="AZ184" s="117">
        <f t="shared" si="200"/>
        <v>22837.27374</v>
      </c>
      <c r="BA184" s="117">
        <f t="shared" si="200"/>
        <v>21976.72698</v>
      </c>
      <c r="BB184" s="117">
        <f t="shared" si="200"/>
        <v>21106.52263</v>
      </c>
      <c r="BC184" s="117">
        <f t="shared" si="200"/>
        <v>21806.44504</v>
      </c>
      <c r="BD184" s="117">
        <f t="shared" si="200"/>
        <v>22887.5886</v>
      </c>
      <c r="BE184" s="117">
        <f t="shared" si="200"/>
        <v>22067.99331</v>
      </c>
      <c r="BF184" s="117">
        <f t="shared" si="200"/>
        <v>22598.73215</v>
      </c>
      <c r="BG184" s="117">
        <f t="shared" si="200"/>
        <v>23318.1978</v>
      </c>
      <c r="BH184" s="117">
        <f t="shared" si="200"/>
        <v>24440.33258</v>
      </c>
      <c r="BI184" s="117">
        <f t="shared" si="200"/>
        <v>23633.33584</v>
      </c>
      <c r="BJ184" s="117">
        <f t="shared" si="200"/>
        <v>22836.19749</v>
      </c>
      <c r="BK184" s="117">
        <f t="shared" si="200"/>
        <v>23590.59908</v>
      </c>
      <c r="BL184" s="117">
        <f t="shared" si="200"/>
        <v>24627.26704</v>
      </c>
      <c r="BM184" s="117">
        <f t="shared" si="200"/>
        <v>23888.21134</v>
      </c>
      <c r="BN184" s="117">
        <f t="shared" si="200"/>
        <v>23192.27734</v>
      </c>
      <c r="BO184" s="117">
        <f t="shared" si="200"/>
        <v>23992.39759</v>
      </c>
      <c r="BP184" s="117">
        <f t="shared" si="200"/>
        <v>25117.21756</v>
      </c>
      <c r="BQ184" s="117">
        <f t="shared" si="200"/>
        <v>24980.82444</v>
      </c>
      <c r="BR184" s="117">
        <f t="shared" si="200"/>
        <v>24266.76852</v>
      </c>
      <c r="BS184" s="117">
        <f t="shared" si="200"/>
        <v>26250.0624</v>
      </c>
      <c r="BT184" s="117">
        <f t="shared" si="200"/>
        <v>27418.13228</v>
      </c>
      <c r="BU184" s="117">
        <f t="shared" si="200"/>
        <v>26692.38688</v>
      </c>
      <c r="BV184" s="117">
        <f t="shared" si="200"/>
        <v>25976.12379</v>
      </c>
      <c r="BW184" s="117">
        <f t="shared" si="200"/>
        <v>26791.18521</v>
      </c>
      <c r="BX184" s="117">
        <f t="shared" si="200"/>
        <v>27935.02523</v>
      </c>
      <c r="BY184" s="117">
        <f t="shared" si="200"/>
        <v>27112.47077</v>
      </c>
      <c r="BZ184" s="117">
        <f t="shared" si="200"/>
        <v>26324.73659</v>
      </c>
      <c r="CA184" s="117">
        <f t="shared" si="200"/>
        <v>27068.71</v>
      </c>
      <c r="CB184" s="117">
        <f t="shared" si="200"/>
        <v>27836.21244</v>
      </c>
      <c r="CC184" s="117">
        <f t="shared" si="200"/>
        <v>27681.87468</v>
      </c>
      <c r="CD184" s="117">
        <f t="shared" si="200"/>
        <v>27012.98869</v>
      </c>
      <c r="CE184" s="117">
        <f t="shared" si="200"/>
        <v>27834.6778</v>
      </c>
      <c r="CF184" s="117">
        <f t="shared" si="200"/>
        <v>28684.08721</v>
      </c>
      <c r="CG184" s="117">
        <f t="shared" si="200"/>
        <v>28048.59296</v>
      </c>
      <c r="CH184" s="117">
        <f t="shared" si="200"/>
        <v>27419.77223</v>
      </c>
      <c r="CI184" s="117">
        <f t="shared" si="200"/>
        <v>28280.87019</v>
      </c>
      <c r="CL184" s="117">
        <f t="shared" si="185"/>
        <v>0</v>
      </c>
      <c r="CM184" s="117">
        <f t="shared" si="186"/>
        <v>0</v>
      </c>
      <c r="CN184" s="117">
        <f t="shared" si="187"/>
        <v>0</v>
      </c>
      <c r="CO184" s="117">
        <f t="shared" si="188"/>
        <v>0</v>
      </c>
      <c r="CP184" s="117">
        <f t="shared" si="189"/>
        <v>0</v>
      </c>
      <c r="CQ184" s="117">
        <f t="shared" si="190"/>
        <v>30681.03303</v>
      </c>
    </row>
    <row r="185" ht="15.75" customHeight="1" outlineLevel="1">
      <c r="A185" s="1" t="s">
        <v>94</v>
      </c>
      <c r="B185" s="91" t="s">
        <v>67</v>
      </c>
      <c r="C185" s="146" t="s">
        <v>218</v>
      </c>
      <c r="D185" s="247">
        <f t="shared" ref="D185:Z185" si="201">RANDBETWEEN(0,5000)</f>
        <v>3583</v>
      </c>
      <c r="E185" s="247">
        <f t="shared" si="201"/>
        <v>421</v>
      </c>
      <c r="F185" s="247">
        <f t="shared" si="201"/>
        <v>4634</v>
      </c>
      <c r="G185" s="247">
        <f t="shared" si="201"/>
        <v>4112</v>
      </c>
      <c r="H185" s="247">
        <f t="shared" si="201"/>
        <v>3231</v>
      </c>
      <c r="I185" s="247">
        <f t="shared" si="201"/>
        <v>829</v>
      </c>
      <c r="J185" s="247">
        <f t="shared" si="201"/>
        <v>4557</v>
      </c>
      <c r="K185" s="247">
        <f t="shared" si="201"/>
        <v>2265</v>
      </c>
      <c r="L185" s="247">
        <f t="shared" si="201"/>
        <v>4954</v>
      </c>
      <c r="M185" s="247">
        <f t="shared" si="201"/>
        <v>1607</v>
      </c>
      <c r="N185" s="247">
        <f t="shared" si="201"/>
        <v>3068</v>
      </c>
      <c r="O185" s="247">
        <f t="shared" si="201"/>
        <v>2563</v>
      </c>
      <c r="P185" s="247">
        <f t="shared" si="201"/>
        <v>3621</v>
      </c>
      <c r="Q185" s="247">
        <f t="shared" si="201"/>
        <v>3153</v>
      </c>
      <c r="R185" s="247">
        <f t="shared" si="201"/>
        <v>330</v>
      </c>
      <c r="S185" s="247">
        <f t="shared" si="201"/>
        <v>1217</v>
      </c>
      <c r="T185" s="247">
        <f t="shared" si="201"/>
        <v>2427</v>
      </c>
      <c r="U185" s="247">
        <f t="shared" si="201"/>
        <v>2950</v>
      </c>
      <c r="V185" s="247">
        <f t="shared" si="201"/>
        <v>2477</v>
      </c>
      <c r="W185" s="247">
        <f t="shared" si="201"/>
        <v>2735</v>
      </c>
      <c r="X185" s="247">
        <f t="shared" si="201"/>
        <v>2437</v>
      </c>
      <c r="Y185" s="247">
        <f t="shared" si="201"/>
        <v>1914</v>
      </c>
      <c r="Z185" s="247">
        <f t="shared" si="201"/>
        <v>1689</v>
      </c>
      <c r="AA185" s="116">
        <f>Expenses!T106</f>
        <v>141.165315</v>
      </c>
      <c r="AB185" s="116">
        <f>Expenses!U106</f>
        <v>155.2818465</v>
      </c>
      <c r="AC185" s="116">
        <f>Expenses!V106</f>
        <v>156.834665</v>
      </c>
      <c r="AD185" s="116">
        <f>Expenses!W106</f>
        <v>158.4030116</v>
      </c>
      <c r="AE185" s="116">
        <f>Expenses!X106</f>
        <v>159.9870417</v>
      </c>
      <c r="AF185" s="116">
        <f>Expenses!Y106</f>
        <v>161.5869121</v>
      </c>
      <c r="AG185" s="116">
        <f>Expenses!Z106</f>
        <v>163.2027813</v>
      </c>
      <c r="AH185" s="116">
        <f>Expenses!AA106</f>
        <v>164.8348091</v>
      </c>
      <c r="AI185" s="116">
        <f>Expenses!AB106</f>
        <v>166.4831572</v>
      </c>
      <c r="AJ185" s="116">
        <f>Expenses!AC106</f>
        <v>168.1479887</v>
      </c>
      <c r="AK185" s="116">
        <f>Expenses!AD106</f>
        <v>169.8294686</v>
      </c>
      <c r="AL185" s="116">
        <f>Expenses!AE106</f>
        <v>171.5277633</v>
      </c>
      <c r="AM185" s="116">
        <f>Expenses!AF106</f>
        <v>173.243041</v>
      </c>
      <c r="AN185" s="116">
        <f>Expenses!AG106</f>
        <v>174.9754714</v>
      </c>
      <c r="AO185" s="116">
        <f>Expenses!AH106</f>
        <v>176.7252261</v>
      </c>
      <c r="AP185" s="116">
        <f>Expenses!AI106</f>
        <v>178.4924783</v>
      </c>
      <c r="AQ185" s="116">
        <f>Expenses!AJ106</f>
        <v>180.2774031</v>
      </c>
      <c r="AR185" s="116">
        <f>Expenses!AK106</f>
        <v>182.0801772</v>
      </c>
      <c r="AS185" s="116">
        <f>Expenses!AL106</f>
        <v>183.9009789</v>
      </c>
      <c r="AT185" s="116">
        <f>Expenses!AM106</f>
        <v>185.7399887</v>
      </c>
      <c r="AU185" s="116">
        <f>Expenses!AN106</f>
        <v>187.5973886</v>
      </c>
      <c r="AV185" s="116">
        <f>Expenses!AO106</f>
        <v>189.4733625</v>
      </c>
      <c r="AW185" s="116">
        <f>Expenses!AP106</f>
        <v>191.3680961</v>
      </c>
      <c r="AX185" s="116">
        <f>Expenses!AQ106</f>
        <v>193.2817771</v>
      </c>
      <c r="AY185" s="116">
        <f>Expenses!AR106</f>
        <v>195.2145948</v>
      </c>
      <c r="AZ185" s="116">
        <f>Expenses!AS106</f>
        <v>197.1667408</v>
      </c>
      <c r="BA185" s="116">
        <f>Expenses!AT106</f>
        <v>199.1384082</v>
      </c>
      <c r="BB185" s="116">
        <f>Expenses!AU106</f>
        <v>201.1297923</v>
      </c>
      <c r="BC185" s="116">
        <f>Expenses!AV106</f>
        <v>203.1410902</v>
      </c>
      <c r="BD185" s="116">
        <f>Expenses!AW106</f>
        <v>205.1725011</v>
      </c>
      <c r="BE185" s="116">
        <f>Expenses!AX106</f>
        <v>207.2242261</v>
      </c>
      <c r="BF185" s="116">
        <f>Expenses!AY106</f>
        <v>209.2964684</v>
      </c>
      <c r="BG185" s="116">
        <f>Expenses!AZ106</f>
        <v>211.3894331</v>
      </c>
      <c r="BH185" s="116">
        <f>Expenses!BA106</f>
        <v>213.5033274</v>
      </c>
      <c r="BI185" s="116">
        <f>Expenses!BB106</f>
        <v>215.6383607</v>
      </c>
      <c r="BJ185" s="116">
        <f>Expenses!BC106</f>
        <v>217.7947443</v>
      </c>
      <c r="BK185" s="116">
        <f>Expenses!BD106</f>
        <v>219.9726917</v>
      </c>
      <c r="BL185" s="116">
        <f>Expenses!BE106</f>
        <v>222.1724186</v>
      </c>
      <c r="BM185" s="116">
        <f>Expenses!BF106</f>
        <v>224.3941428</v>
      </c>
      <c r="BN185" s="116">
        <f>Expenses!BG106</f>
        <v>226.6380842</v>
      </c>
      <c r="BO185" s="116">
        <f>Expenses!BH106</f>
        <v>228.9044651</v>
      </c>
      <c r="BP185" s="116">
        <f>Expenses!BI106</f>
        <v>231.1935097</v>
      </c>
      <c r="BQ185" s="116">
        <f>Expenses!BJ106</f>
        <v>233.5054448</v>
      </c>
      <c r="BR185" s="116">
        <f>Expenses!BK106</f>
        <v>235.8404993</v>
      </c>
      <c r="BS185" s="116">
        <f>Expenses!BL106</f>
        <v>238.1989043</v>
      </c>
      <c r="BT185" s="116">
        <f>Expenses!BM106</f>
        <v>240.5808933</v>
      </c>
      <c r="BU185" s="116">
        <f>Expenses!BN106</f>
        <v>242.9867023</v>
      </c>
      <c r="BV185" s="116">
        <f>Expenses!BO106</f>
        <v>245.4165693</v>
      </c>
      <c r="BW185" s="116">
        <f>Expenses!BP106</f>
        <v>247.870735</v>
      </c>
      <c r="BX185" s="116">
        <f>Expenses!BQ106</f>
        <v>250.3494423</v>
      </c>
      <c r="BY185" s="116">
        <f>Expenses!BR106</f>
        <v>252.8529367</v>
      </c>
      <c r="BZ185" s="116">
        <f>Expenses!BS106</f>
        <v>255.3814661</v>
      </c>
      <c r="CA185" s="116">
        <f>Expenses!BT106</f>
        <v>257.9352808</v>
      </c>
      <c r="CB185" s="116">
        <f>Expenses!BU106</f>
        <v>260.5146336</v>
      </c>
      <c r="CC185" s="116">
        <f>Expenses!BV106</f>
        <v>263.1197799</v>
      </c>
      <c r="CD185" s="116">
        <f>Expenses!BW106</f>
        <v>265.7509777</v>
      </c>
      <c r="CE185" s="116">
        <f>Expenses!BX106</f>
        <v>268.4084875</v>
      </c>
      <c r="CF185" s="116">
        <f>Expenses!BY106</f>
        <v>271.0925724</v>
      </c>
      <c r="CG185" s="116">
        <f>Expenses!BZ106</f>
        <v>273.8034981</v>
      </c>
      <c r="CH185" s="116">
        <f>Expenses!CA106</f>
        <v>276.5415331</v>
      </c>
      <c r="CI185" s="116">
        <f>Expenses!CB106</f>
        <v>279.3069484</v>
      </c>
      <c r="CL185" s="117"/>
      <c r="CM185" s="117"/>
      <c r="CN185" s="117"/>
      <c r="CO185" s="117"/>
      <c r="CP185" s="117"/>
      <c r="CQ185" s="117"/>
    </row>
    <row r="186" ht="15.75" customHeight="1" outlineLevel="1">
      <c r="A186" s="1" t="s">
        <v>94</v>
      </c>
      <c r="B186" s="91" t="s">
        <v>67</v>
      </c>
      <c r="C186" s="146" t="s">
        <v>219</v>
      </c>
      <c r="D186" s="247">
        <f t="shared" ref="D186:Z186" si="202">RANDBETWEEN(0,5000)</f>
        <v>3802</v>
      </c>
      <c r="E186" s="247">
        <f t="shared" si="202"/>
        <v>4370</v>
      </c>
      <c r="F186" s="247">
        <f t="shared" si="202"/>
        <v>3359</v>
      </c>
      <c r="G186" s="247">
        <f t="shared" si="202"/>
        <v>3615</v>
      </c>
      <c r="H186" s="247">
        <f t="shared" si="202"/>
        <v>3586</v>
      </c>
      <c r="I186" s="247">
        <f t="shared" si="202"/>
        <v>535</v>
      </c>
      <c r="J186" s="247">
        <f t="shared" si="202"/>
        <v>4144</v>
      </c>
      <c r="K186" s="247">
        <f t="shared" si="202"/>
        <v>810</v>
      </c>
      <c r="L186" s="247">
        <f t="shared" si="202"/>
        <v>2073</v>
      </c>
      <c r="M186" s="247">
        <f t="shared" si="202"/>
        <v>3473</v>
      </c>
      <c r="N186" s="247">
        <f t="shared" si="202"/>
        <v>2894</v>
      </c>
      <c r="O186" s="247">
        <f t="shared" si="202"/>
        <v>3962</v>
      </c>
      <c r="P186" s="247">
        <f t="shared" si="202"/>
        <v>1795</v>
      </c>
      <c r="Q186" s="247">
        <f t="shared" si="202"/>
        <v>922</v>
      </c>
      <c r="R186" s="247">
        <f t="shared" si="202"/>
        <v>1430</v>
      </c>
      <c r="S186" s="247">
        <f t="shared" si="202"/>
        <v>1721</v>
      </c>
      <c r="T186" s="247">
        <f t="shared" si="202"/>
        <v>1475</v>
      </c>
      <c r="U186" s="247">
        <f t="shared" si="202"/>
        <v>1864</v>
      </c>
      <c r="V186" s="247">
        <f t="shared" si="202"/>
        <v>4807</v>
      </c>
      <c r="W186" s="247">
        <f t="shared" si="202"/>
        <v>548</v>
      </c>
      <c r="X186" s="247">
        <f t="shared" si="202"/>
        <v>1845</v>
      </c>
      <c r="Y186" s="247">
        <f t="shared" si="202"/>
        <v>1741</v>
      </c>
      <c r="Z186" s="247">
        <f t="shared" si="202"/>
        <v>4591</v>
      </c>
      <c r="AA186" s="116">
        <f>Expenses!T115</f>
        <v>211.7479725</v>
      </c>
      <c r="AB186" s="116">
        <f>Expenses!U115</f>
        <v>232.9227698</v>
      </c>
      <c r="AC186" s="116">
        <f>Expenses!V115</f>
        <v>235.2519974</v>
      </c>
      <c r="AD186" s="116">
        <f>Expenses!W115</f>
        <v>237.6045174</v>
      </c>
      <c r="AE186" s="116">
        <f>Expenses!X115</f>
        <v>239.9805626</v>
      </c>
      <c r="AF186" s="116">
        <f>Expenses!Y115</f>
        <v>242.3803682</v>
      </c>
      <c r="AG186" s="116">
        <f>Expenses!Z115</f>
        <v>244.8041719</v>
      </c>
      <c r="AH186" s="116">
        <f>Expenses!AA115</f>
        <v>247.2522136</v>
      </c>
      <c r="AI186" s="116">
        <f>Expenses!AB115</f>
        <v>249.7247358</v>
      </c>
      <c r="AJ186" s="116">
        <f>Expenses!AC115</f>
        <v>252.2219831</v>
      </c>
      <c r="AK186" s="116">
        <f>Expenses!AD115</f>
        <v>254.7442029</v>
      </c>
      <c r="AL186" s="116">
        <f>Expenses!AE115</f>
        <v>257.291645</v>
      </c>
      <c r="AM186" s="116">
        <f>Expenses!AF115</f>
        <v>259.8645614</v>
      </c>
      <c r="AN186" s="116">
        <f>Expenses!AG115</f>
        <v>262.463207</v>
      </c>
      <c r="AO186" s="116">
        <f>Expenses!AH115</f>
        <v>265.0878391</v>
      </c>
      <c r="AP186" s="116">
        <f>Expenses!AI115</f>
        <v>267.7387175</v>
      </c>
      <c r="AQ186" s="116">
        <f>Expenses!AJ115</f>
        <v>270.4161047</v>
      </c>
      <c r="AR186" s="116">
        <f>Expenses!AK115</f>
        <v>273.1202657</v>
      </c>
      <c r="AS186" s="116">
        <f>Expenses!AL115</f>
        <v>275.8514684</v>
      </c>
      <c r="AT186" s="116">
        <f>Expenses!AM115</f>
        <v>278.6099831</v>
      </c>
      <c r="AU186" s="116">
        <f>Expenses!AN115</f>
        <v>281.3960829</v>
      </c>
      <c r="AV186" s="116">
        <f>Expenses!AO115</f>
        <v>284.2100437</v>
      </c>
      <c r="AW186" s="116">
        <f>Expenses!AP115</f>
        <v>287.0521442</v>
      </c>
      <c r="AX186" s="116">
        <f>Expenses!AQ115</f>
        <v>289.9226656</v>
      </c>
      <c r="AY186" s="116">
        <f>Expenses!AR115</f>
        <v>292.8218923</v>
      </c>
      <c r="AZ186" s="116">
        <f>Expenses!AS115</f>
        <v>295.7501112</v>
      </c>
      <c r="BA186" s="116">
        <f>Expenses!AT115</f>
        <v>298.7076123</v>
      </c>
      <c r="BB186" s="116">
        <f>Expenses!AU115</f>
        <v>301.6946884</v>
      </c>
      <c r="BC186" s="116">
        <f>Expenses!AV115</f>
        <v>304.7116353</v>
      </c>
      <c r="BD186" s="116">
        <f>Expenses!AW115</f>
        <v>307.7587517</v>
      </c>
      <c r="BE186" s="116">
        <f>Expenses!AX115</f>
        <v>310.8363392</v>
      </c>
      <c r="BF186" s="116">
        <f>Expenses!AY115</f>
        <v>313.9447026</v>
      </c>
      <c r="BG186" s="116">
        <f>Expenses!AZ115</f>
        <v>317.0841496</v>
      </c>
      <c r="BH186" s="116">
        <f>Expenses!BA115</f>
        <v>320.2549911</v>
      </c>
      <c r="BI186" s="116">
        <f>Expenses!BB115</f>
        <v>323.457541</v>
      </c>
      <c r="BJ186" s="116">
        <f>Expenses!BC115</f>
        <v>326.6921164</v>
      </c>
      <c r="BK186" s="116">
        <f>Expenses!BD115</f>
        <v>329.9590376</v>
      </c>
      <c r="BL186" s="116">
        <f>Expenses!BE115</f>
        <v>333.2586279</v>
      </c>
      <c r="BM186" s="116">
        <f>Expenses!BF115</f>
        <v>336.5912142</v>
      </c>
      <c r="BN186" s="116">
        <f>Expenses!BG115</f>
        <v>339.9571264</v>
      </c>
      <c r="BO186" s="116">
        <f>Expenses!BH115</f>
        <v>343.3566976</v>
      </c>
      <c r="BP186" s="116">
        <f>Expenses!BI115</f>
        <v>346.7902646</v>
      </c>
      <c r="BQ186" s="116">
        <f>Expenses!BJ115</f>
        <v>350.2581673</v>
      </c>
      <c r="BR186" s="116">
        <f>Expenses!BK115</f>
        <v>353.7607489</v>
      </c>
      <c r="BS186" s="116">
        <f>Expenses!BL115</f>
        <v>357.2983564</v>
      </c>
      <c r="BT186" s="116">
        <f>Expenses!BM115</f>
        <v>360.87134</v>
      </c>
      <c r="BU186" s="116">
        <f>Expenses!BN115</f>
        <v>364.4800534</v>
      </c>
      <c r="BV186" s="116">
        <f>Expenses!BO115</f>
        <v>368.1248539</v>
      </c>
      <c r="BW186" s="116">
        <f>Expenses!BP115</f>
        <v>371.8061025</v>
      </c>
      <c r="BX186" s="116">
        <f>Expenses!BQ115</f>
        <v>375.5241635</v>
      </c>
      <c r="BY186" s="116">
        <f>Expenses!BR115</f>
        <v>379.2794051</v>
      </c>
      <c r="BZ186" s="116">
        <f>Expenses!BS115</f>
        <v>383.0721992</v>
      </c>
      <c r="CA186" s="116">
        <f>Expenses!BT115</f>
        <v>386.9029212</v>
      </c>
      <c r="CB186" s="116">
        <f>Expenses!BU115</f>
        <v>390.7719504</v>
      </c>
      <c r="CC186" s="116">
        <f>Expenses!BV115</f>
        <v>394.6796699</v>
      </c>
      <c r="CD186" s="116">
        <f>Expenses!BW115</f>
        <v>398.6264666</v>
      </c>
      <c r="CE186" s="116">
        <f>Expenses!BX115</f>
        <v>402.6127312</v>
      </c>
      <c r="CF186" s="116">
        <f>Expenses!BY115</f>
        <v>406.6388585</v>
      </c>
      <c r="CG186" s="116">
        <f>Expenses!BZ115</f>
        <v>410.7052471</v>
      </c>
      <c r="CH186" s="116">
        <f>Expenses!CA115</f>
        <v>414.8122996</v>
      </c>
      <c r="CI186" s="116">
        <f>Expenses!CB115</f>
        <v>418.9604226</v>
      </c>
      <c r="CL186" s="117"/>
      <c r="CM186" s="117"/>
      <c r="CN186" s="117"/>
      <c r="CO186" s="117"/>
      <c r="CP186" s="117"/>
      <c r="CQ186" s="117"/>
    </row>
    <row r="187" ht="15.75" customHeight="1" outlineLevel="1">
      <c r="A187" s="1" t="s">
        <v>94</v>
      </c>
      <c r="B187" s="91" t="s">
        <v>67</v>
      </c>
      <c r="C187" s="146" t="s">
        <v>220</v>
      </c>
      <c r="D187" s="247">
        <f t="shared" ref="D187:Z187" si="203">RANDBETWEEN(0,5000)</f>
        <v>4580</v>
      </c>
      <c r="E187" s="247">
        <f t="shared" si="203"/>
        <v>445</v>
      </c>
      <c r="F187" s="247">
        <f t="shared" si="203"/>
        <v>258</v>
      </c>
      <c r="G187" s="247">
        <f t="shared" si="203"/>
        <v>803</v>
      </c>
      <c r="H187" s="247">
        <f t="shared" si="203"/>
        <v>1481</v>
      </c>
      <c r="I187" s="247">
        <f t="shared" si="203"/>
        <v>842</v>
      </c>
      <c r="J187" s="247">
        <f t="shared" si="203"/>
        <v>4969</v>
      </c>
      <c r="K187" s="247">
        <f t="shared" si="203"/>
        <v>2086</v>
      </c>
      <c r="L187" s="247">
        <f t="shared" si="203"/>
        <v>4475</v>
      </c>
      <c r="M187" s="247">
        <f t="shared" si="203"/>
        <v>1677</v>
      </c>
      <c r="N187" s="247">
        <f t="shared" si="203"/>
        <v>1388</v>
      </c>
      <c r="O187" s="247">
        <f t="shared" si="203"/>
        <v>4816</v>
      </c>
      <c r="P187" s="247">
        <f t="shared" si="203"/>
        <v>595</v>
      </c>
      <c r="Q187" s="247">
        <f t="shared" si="203"/>
        <v>3467</v>
      </c>
      <c r="R187" s="247">
        <f t="shared" si="203"/>
        <v>693</v>
      </c>
      <c r="S187" s="247">
        <f t="shared" si="203"/>
        <v>4211</v>
      </c>
      <c r="T187" s="247">
        <f t="shared" si="203"/>
        <v>3661</v>
      </c>
      <c r="U187" s="247">
        <f t="shared" si="203"/>
        <v>4200</v>
      </c>
      <c r="V187" s="247">
        <f t="shared" si="203"/>
        <v>2878</v>
      </c>
      <c r="W187" s="247">
        <f t="shared" si="203"/>
        <v>370</v>
      </c>
      <c r="X187" s="247">
        <f t="shared" si="203"/>
        <v>1415</v>
      </c>
      <c r="Y187" s="247">
        <f t="shared" si="203"/>
        <v>3110</v>
      </c>
      <c r="Z187" s="247">
        <f t="shared" si="203"/>
        <v>758</v>
      </c>
      <c r="AA187" s="116">
        <f>Expenses!T124</f>
        <v>117.6377625</v>
      </c>
      <c r="AB187" s="116">
        <f>Expenses!U124</f>
        <v>129.4015388</v>
      </c>
      <c r="AC187" s="116">
        <f>Expenses!V124</f>
        <v>130.6955541</v>
      </c>
      <c r="AD187" s="116">
        <f>Expenses!W124</f>
        <v>132.0025097</v>
      </c>
      <c r="AE187" s="116">
        <f>Expenses!X124</f>
        <v>133.3225348</v>
      </c>
      <c r="AF187" s="116">
        <f>Expenses!Y124</f>
        <v>134.6557601</v>
      </c>
      <c r="AG187" s="116">
        <f>Expenses!Z124</f>
        <v>136.0023177</v>
      </c>
      <c r="AH187" s="116">
        <f>Expenses!AA124</f>
        <v>137.3623409</v>
      </c>
      <c r="AI187" s="116">
        <f>Expenses!AB124</f>
        <v>138.7359643</v>
      </c>
      <c r="AJ187" s="116">
        <f>Expenses!AC124</f>
        <v>140.123324</v>
      </c>
      <c r="AK187" s="116">
        <f>Expenses!AD124</f>
        <v>141.5245572</v>
      </c>
      <c r="AL187" s="116">
        <f>Expenses!AE124</f>
        <v>142.9398028</v>
      </c>
      <c r="AM187" s="116">
        <f>Expenses!AF124</f>
        <v>144.3692008</v>
      </c>
      <c r="AN187" s="116">
        <f>Expenses!AG124</f>
        <v>145.8128928</v>
      </c>
      <c r="AO187" s="116">
        <f>Expenses!AH124</f>
        <v>147.2710217</v>
      </c>
      <c r="AP187" s="116">
        <f>Expenses!AI124</f>
        <v>148.7437319</v>
      </c>
      <c r="AQ187" s="116">
        <f>Expenses!AJ124</f>
        <v>150.2311693</v>
      </c>
      <c r="AR187" s="116">
        <f>Expenses!AK124</f>
        <v>151.733481</v>
      </c>
      <c r="AS187" s="116">
        <f>Expenses!AL124</f>
        <v>153.2508158</v>
      </c>
      <c r="AT187" s="116">
        <f>Expenses!AM124</f>
        <v>154.7833239</v>
      </c>
      <c r="AU187" s="116">
        <f>Expenses!AN124</f>
        <v>156.3311572</v>
      </c>
      <c r="AV187" s="116">
        <f>Expenses!AO124</f>
        <v>157.8944687</v>
      </c>
      <c r="AW187" s="116">
        <f>Expenses!AP124</f>
        <v>159.4734134</v>
      </c>
      <c r="AX187" s="116">
        <f>Expenses!AQ124</f>
        <v>161.0681476</v>
      </c>
      <c r="AY187" s="116">
        <f>Expenses!AR124</f>
        <v>162.678829</v>
      </c>
      <c r="AZ187" s="116">
        <f>Expenses!AS124</f>
        <v>164.3056173</v>
      </c>
      <c r="BA187" s="116">
        <f>Expenses!AT124</f>
        <v>165.9486735</v>
      </c>
      <c r="BB187" s="116">
        <f>Expenses!AU124</f>
        <v>167.6081602</v>
      </c>
      <c r="BC187" s="116">
        <f>Expenses!AV124</f>
        <v>169.2842418</v>
      </c>
      <c r="BD187" s="116">
        <f>Expenses!AW124</f>
        <v>170.9770843</v>
      </c>
      <c r="BE187" s="116">
        <f>Expenses!AX124</f>
        <v>172.6868551</v>
      </c>
      <c r="BF187" s="116">
        <f>Expenses!AY124</f>
        <v>174.4137236</v>
      </c>
      <c r="BG187" s="116">
        <f>Expenses!AZ124</f>
        <v>176.1578609</v>
      </c>
      <c r="BH187" s="116">
        <f>Expenses!BA124</f>
        <v>177.9194395</v>
      </c>
      <c r="BI187" s="116">
        <f>Expenses!BB124</f>
        <v>179.6986339</v>
      </c>
      <c r="BJ187" s="116">
        <f>Expenses!BC124</f>
        <v>181.4956202</v>
      </c>
      <c r="BK187" s="116">
        <f>Expenses!BD124</f>
        <v>183.3105764</v>
      </c>
      <c r="BL187" s="116">
        <f>Expenses!BE124</f>
        <v>185.1436822</v>
      </c>
      <c r="BM187" s="116">
        <f>Expenses!BF124</f>
        <v>186.995119</v>
      </c>
      <c r="BN187" s="116">
        <f>Expenses!BG124</f>
        <v>188.8650702</v>
      </c>
      <c r="BO187" s="116">
        <f>Expenses!BH124</f>
        <v>190.7537209</v>
      </c>
      <c r="BP187" s="116">
        <f>Expenses!BI124</f>
        <v>192.6612581</v>
      </c>
      <c r="BQ187" s="116">
        <f>Expenses!BJ124</f>
        <v>194.5878707</v>
      </c>
      <c r="BR187" s="116">
        <f>Expenses!BK124</f>
        <v>196.5337494</v>
      </c>
      <c r="BS187" s="116">
        <f>Expenses!BL124</f>
        <v>198.4990869</v>
      </c>
      <c r="BT187" s="116">
        <f>Expenses!BM124</f>
        <v>200.4840778</v>
      </c>
      <c r="BU187" s="116">
        <f>Expenses!BN124</f>
        <v>202.4889185</v>
      </c>
      <c r="BV187" s="116">
        <f>Expenses!BO124</f>
        <v>204.5138077</v>
      </c>
      <c r="BW187" s="116">
        <f>Expenses!BP124</f>
        <v>206.5589458</v>
      </c>
      <c r="BX187" s="116">
        <f>Expenses!BQ124</f>
        <v>208.6245353</v>
      </c>
      <c r="BY187" s="116">
        <f>Expenses!BR124</f>
        <v>210.7107806</v>
      </c>
      <c r="BZ187" s="116">
        <f>Expenses!BS124</f>
        <v>212.8178884</v>
      </c>
      <c r="CA187" s="116">
        <f>Expenses!BT124</f>
        <v>214.9460673</v>
      </c>
      <c r="CB187" s="116">
        <f>Expenses!BU124</f>
        <v>217.095528</v>
      </c>
      <c r="CC187" s="116">
        <f>Expenses!BV124</f>
        <v>219.2664833</v>
      </c>
      <c r="CD187" s="116">
        <f>Expenses!BW124</f>
        <v>221.4591481</v>
      </c>
      <c r="CE187" s="116">
        <f>Expenses!BX124</f>
        <v>223.6737396</v>
      </c>
      <c r="CF187" s="116">
        <f>Expenses!BY124</f>
        <v>225.910477</v>
      </c>
      <c r="CG187" s="116">
        <f>Expenses!BZ124</f>
        <v>228.1695817</v>
      </c>
      <c r="CH187" s="116">
        <f>Expenses!CA124</f>
        <v>230.4512776</v>
      </c>
      <c r="CI187" s="116">
        <f>Expenses!CB124</f>
        <v>232.7557903</v>
      </c>
      <c r="CL187" s="117"/>
      <c r="CM187" s="117"/>
      <c r="CN187" s="117"/>
      <c r="CO187" s="117"/>
      <c r="CP187" s="117"/>
      <c r="CQ187" s="117"/>
    </row>
    <row r="188" ht="15.75" customHeight="1" outlineLevel="1">
      <c r="C188" s="257" t="s">
        <v>221</v>
      </c>
      <c r="D188" s="514">
        <f t="shared" ref="D188:CI188" si="204">SUM(D175:D187)</f>
        <v>37485</v>
      </c>
      <c r="E188" s="514">
        <f t="shared" si="204"/>
        <v>28344</v>
      </c>
      <c r="F188" s="514">
        <f t="shared" si="204"/>
        <v>30098</v>
      </c>
      <c r="G188" s="514">
        <f t="shared" si="204"/>
        <v>46724</v>
      </c>
      <c r="H188" s="514">
        <f t="shared" si="204"/>
        <v>30837</v>
      </c>
      <c r="I188" s="514">
        <f t="shared" si="204"/>
        <v>23203</v>
      </c>
      <c r="J188" s="514">
        <f t="shared" si="204"/>
        <v>31908</v>
      </c>
      <c r="K188" s="514">
        <f t="shared" si="204"/>
        <v>31731</v>
      </c>
      <c r="L188" s="514">
        <f t="shared" si="204"/>
        <v>36134</v>
      </c>
      <c r="M188" s="514">
        <f t="shared" si="204"/>
        <v>26570</v>
      </c>
      <c r="N188" s="514">
        <f t="shared" si="204"/>
        <v>31774</v>
      </c>
      <c r="O188" s="514">
        <f t="shared" si="204"/>
        <v>37595</v>
      </c>
      <c r="P188" s="514">
        <f t="shared" si="204"/>
        <v>27803</v>
      </c>
      <c r="Q188" s="514">
        <f t="shared" si="204"/>
        <v>35512</v>
      </c>
      <c r="R188" s="514">
        <f t="shared" si="204"/>
        <v>20095</v>
      </c>
      <c r="S188" s="514">
        <f t="shared" si="204"/>
        <v>39361</v>
      </c>
      <c r="T188" s="514">
        <f t="shared" si="204"/>
        <v>29637</v>
      </c>
      <c r="U188" s="514">
        <f t="shared" si="204"/>
        <v>38005</v>
      </c>
      <c r="V188" s="514">
        <f t="shared" si="204"/>
        <v>32675</v>
      </c>
      <c r="W188" s="514">
        <f t="shared" si="204"/>
        <v>25452</v>
      </c>
      <c r="X188" s="514">
        <f t="shared" si="204"/>
        <v>27846</v>
      </c>
      <c r="Y188" s="514">
        <f t="shared" si="204"/>
        <v>34291</v>
      </c>
      <c r="Z188" s="514">
        <f t="shared" si="204"/>
        <v>40470</v>
      </c>
      <c r="AA188" s="514">
        <f t="shared" si="204"/>
        <v>62038.31962</v>
      </c>
      <c r="AB188" s="514">
        <f t="shared" si="204"/>
        <v>60414.34828</v>
      </c>
      <c r="AC188" s="514">
        <f t="shared" si="204"/>
        <v>57364.30885</v>
      </c>
      <c r="AD188" s="514">
        <f t="shared" si="204"/>
        <v>55094.18789</v>
      </c>
      <c r="AE188" s="514">
        <f t="shared" si="204"/>
        <v>55111.36988</v>
      </c>
      <c r="AF188" s="514">
        <f t="shared" si="204"/>
        <v>56568.95172</v>
      </c>
      <c r="AG188" s="514">
        <f t="shared" si="204"/>
        <v>54462.84948</v>
      </c>
      <c r="AH188" s="514">
        <f t="shared" si="204"/>
        <v>52400.48591</v>
      </c>
      <c r="AI188" s="514">
        <f t="shared" si="204"/>
        <v>52642.97282</v>
      </c>
      <c r="AJ188" s="514">
        <f t="shared" si="204"/>
        <v>60881.2905</v>
      </c>
      <c r="AK188" s="514">
        <f t="shared" si="204"/>
        <v>61369.33379</v>
      </c>
      <c r="AL188" s="514">
        <f t="shared" si="204"/>
        <v>60167.24863</v>
      </c>
      <c r="AM188" s="514">
        <f t="shared" si="204"/>
        <v>60585.44164</v>
      </c>
      <c r="AN188" s="514">
        <f t="shared" si="204"/>
        <v>61373.95562</v>
      </c>
      <c r="AO188" s="514">
        <f t="shared" si="204"/>
        <v>60976.68003</v>
      </c>
      <c r="AP188" s="514">
        <f t="shared" si="204"/>
        <v>60596.7856</v>
      </c>
      <c r="AQ188" s="514">
        <f t="shared" si="204"/>
        <v>61547.6217</v>
      </c>
      <c r="AR188" s="514">
        <f t="shared" si="204"/>
        <v>69377.48992</v>
      </c>
      <c r="AS188" s="514">
        <f t="shared" si="204"/>
        <v>68815.39593</v>
      </c>
      <c r="AT188" s="514">
        <f t="shared" si="204"/>
        <v>68123.75155</v>
      </c>
      <c r="AU188" s="514">
        <f t="shared" si="204"/>
        <v>68960.08418</v>
      </c>
      <c r="AV188" s="514">
        <f t="shared" si="204"/>
        <v>70908.15502</v>
      </c>
      <c r="AW188" s="514">
        <f t="shared" si="204"/>
        <v>70308.88661</v>
      </c>
      <c r="AX188" s="514">
        <f t="shared" si="204"/>
        <v>69702.16165</v>
      </c>
      <c r="AY188" s="514">
        <f t="shared" si="204"/>
        <v>70628.56116</v>
      </c>
      <c r="AZ188" s="514">
        <f t="shared" si="204"/>
        <v>73862.04483</v>
      </c>
      <c r="BA188" s="514">
        <f t="shared" si="204"/>
        <v>73126.2163</v>
      </c>
      <c r="BB188" s="514">
        <f t="shared" si="204"/>
        <v>72379.0162</v>
      </c>
      <c r="BC188" s="514">
        <f t="shared" si="204"/>
        <v>73197.93037</v>
      </c>
      <c r="BD188" s="514">
        <f t="shared" si="204"/>
        <v>75324.64002</v>
      </c>
      <c r="BE188" s="514">
        <f t="shared" si="204"/>
        <v>74618.27564</v>
      </c>
      <c r="BF188" s="514">
        <f t="shared" si="204"/>
        <v>75260.15523</v>
      </c>
      <c r="BG188" s="514">
        <f t="shared" si="204"/>
        <v>76089.03965</v>
      </c>
      <c r="BH188" s="514">
        <f t="shared" si="204"/>
        <v>78286.11461</v>
      </c>
      <c r="BI188" s="514">
        <f t="shared" si="204"/>
        <v>77585.88788</v>
      </c>
      <c r="BJ188" s="514">
        <f t="shared" si="204"/>
        <v>76894.48406</v>
      </c>
      <c r="BK188" s="514">
        <f t="shared" si="204"/>
        <v>77753.72648</v>
      </c>
      <c r="BL188" s="514">
        <f t="shared" si="204"/>
        <v>106699.7927</v>
      </c>
      <c r="BM188" s="514">
        <f t="shared" si="204"/>
        <v>294323.7062</v>
      </c>
      <c r="BN188" s="514">
        <f t="shared" si="204"/>
        <v>356559.911</v>
      </c>
      <c r="BO188" s="514">
        <f t="shared" si="204"/>
        <v>357656.5544</v>
      </c>
      <c r="BP188" s="514">
        <f t="shared" si="204"/>
        <v>370150.0495</v>
      </c>
      <c r="BQ188" s="514">
        <f t="shared" si="204"/>
        <v>370314.7287</v>
      </c>
      <c r="BR188" s="514">
        <f t="shared" si="204"/>
        <v>369903.7416</v>
      </c>
      <c r="BS188" s="514">
        <f t="shared" si="204"/>
        <v>372192.0006</v>
      </c>
      <c r="BT188" s="514">
        <f t="shared" si="204"/>
        <v>385179.4244</v>
      </c>
      <c r="BU188" s="514">
        <f t="shared" si="204"/>
        <v>384762.3002</v>
      </c>
      <c r="BV188" s="514">
        <f t="shared" si="204"/>
        <v>400642.4467</v>
      </c>
      <c r="BW188" s="514">
        <f t="shared" si="204"/>
        <v>401769.7818</v>
      </c>
      <c r="BX188" s="514">
        <f t="shared" si="204"/>
        <v>428745.7018</v>
      </c>
      <c r="BY188" s="514">
        <f t="shared" si="204"/>
        <v>427769.2363</v>
      </c>
      <c r="BZ188" s="514">
        <f t="shared" si="204"/>
        <v>426520.6961</v>
      </c>
      <c r="CA188" s="514">
        <f t="shared" si="204"/>
        <v>426996.235</v>
      </c>
      <c r="CB188" s="514">
        <f t="shared" si="204"/>
        <v>440769.0649</v>
      </c>
      <c r="CC188" s="514">
        <f t="shared" si="204"/>
        <v>440598.9636</v>
      </c>
      <c r="CD188" s="514">
        <f t="shared" si="204"/>
        <v>439995.8651</v>
      </c>
      <c r="CE188" s="514">
        <f t="shared" si="204"/>
        <v>440944.8539</v>
      </c>
      <c r="CF188" s="514">
        <f t="shared" si="204"/>
        <v>455622.7548</v>
      </c>
      <c r="CG188" s="514">
        <f t="shared" si="204"/>
        <v>455196.4674</v>
      </c>
      <c r="CH188" s="514">
        <f t="shared" si="204"/>
        <v>454803.8665</v>
      </c>
      <c r="CI188" s="514">
        <f t="shared" si="204"/>
        <v>455921.9604</v>
      </c>
      <c r="CL188" s="514">
        <f>SUM(D188:G188)</f>
        <v>142651</v>
      </c>
      <c r="CM188" s="514">
        <f>SUM(H188:K188)</f>
        <v>117679</v>
      </c>
      <c r="CN188" s="514">
        <f>SUM(L188:O188)</f>
        <v>132073</v>
      </c>
      <c r="CO188" s="514">
        <f>SUM(P188:S188)</f>
        <v>122771</v>
      </c>
      <c r="CP188" s="514">
        <f>SUM(T188:W188)</f>
        <v>125769</v>
      </c>
      <c r="CQ188" s="514">
        <f>SUM(X188:AA188)</f>
        <v>164645.3196</v>
      </c>
    </row>
    <row r="189" ht="15.75" customHeight="1" outlineLevel="1">
      <c r="C189" s="257" t="s">
        <v>800</v>
      </c>
      <c r="D189" s="122">
        <f t="shared" ref="D189:CI189" si="205">D188/D$284</f>
        <v>2.124036718</v>
      </c>
      <c r="E189" s="122">
        <f t="shared" si="205"/>
        <v>1.634036666</v>
      </c>
      <c r="F189" s="122">
        <f t="shared" si="205"/>
        <v>1.990345192</v>
      </c>
      <c r="G189" s="122">
        <f t="shared" si="205"/>
        <v>2.878511582</v>
      </c>
      <c r="H189" s="122">
        <f t="shared" si="205"/>
        <v>1.705303324</v>
      </c>
      <c r="I189" s="122">
        <f t="shared" si="205"/>
        <v>1.410516717</v>
      </c>
      <c r="J189" s="122">
        <f t="shared" si="205"/>
        <v>1.858682356</v>
      </c>
      <c r="K189" s="122">
        <f t="shared" si="205"/>
        <v>1.702946385</v>
      </c>
      <c r="L189" s="122">
        <f t="shared" si="205"/>
        <v>1.939351653</v>
      </c>
      <c r="M189" s="122">
        <f t="shared" si="205"/>
        <v>1.538773383</v>
      </c>
      <c r="N189" s="122">
        <f t="shared" si="205"/>
        <v>1.631695168</v>
      </c>
      <c r="O189" s="122">
        <f t="shared" si="205"/>
        <v>2.19661116</v>
      </c>
      <c r="P189" s="122">
        <f t="shared" si="205"/>
        <v>1.224963652</v>
      </c>
      <c r="Q189" s="122">
        <f t="shared" si="205"/>
        <v>1.522095067</v>
      </c>
      <c r="R189" s="122">
        <f t="shared" si="205"/>
        <v>0.7845318966</v>
      </c>
      <c r="S189" s="122">
        <f t="shared" si="205"/>
        <v>1.637176608</v>
      </c>
      <c r="T189" s="122">
        <f t="shared" si="205"/>
        <v>1.282431848</v>
      </c>
      <c r="U189" s="122">
        <f t="shared" si="205"/>
        <v>1.824269188</v>
      </c>
      <c r="V189" s="122">
        <f t="shared" si="205"/>
        <v>1.318816597</v>
      </c>
      <c r="W189" s="122">
        <f t="shared" si="205"/>
        <v>1.219666475</v>
      </c>
      <c r="X189" s="122">
        <f t="shared" si="205"/>
        <v>1.099328859</v>
      </c>
      <c r="Y189" s="122">
        <f t="shared" si="205"/>
        <v>1.397522109</v>
      </c>
      <c r="Z189" s="122">
        <f t="shared" si="205"/>
        <v>1.892979092</v>
      </c>
      <c r="AA189" s="130">
        <f t="shared" si="205"/>
        <v>0.3331115485</v>
      </c>
      <c r="AB189" s="130">
        <f t="shared" si="205"/>
        <v>0.3069326073</v>
      </c>
      <c r="AC189" s="130">
        <f t="shared" si="205"/>
        <v>0.2712521047</v>
      </c>
      <c r="AD189" s="130">
        <f t="shared" si="205"/>
        <v>0.243752637</v>
      </c>
      <c r="AE189" s="130">
        <f t="shared" si="205"/>
        <v>0.235605809</v>
      </c>
      <c r="AF189" s="130">
        <f t="shared" si="205"/>
        <v>0.2317631903</v>
      </c>
      <c r="AG189" s="130">
        <f t="shared" si="205"/>
        <v>0.2220316233</v>
      </c>
      <c r="AH189" s="130">
        <f t="shared" si="205"/>
        <v>0.1955055559</v>
      </c>
      <c r="AI189" s="130">
        <f t="shared" si="205"/>
        <v>0.190908133</v>
      </c>
      <c r="AJ189" s="130">
        <f t="shared" si="205"/>
        <v>0.2075535714</v>
      </c>
      <c r="AK189" s="130">
        <f t="shared" si="205"/>
        <v>0.1981017273</v>
      </c>
      <c r="AL189" s="130">
        <f t="shared" si="205"/>
        <v>0.1895534677</v>
      </c>
      <c r="AM189" s="130">
        <f t="shared" si="205"/>
        <v>0.1788291822</v>
      </c>
      <c r="AN189" s="130">
        <f t="shared" si="205"/>
        <v>0.148797742</v>
      </c>
      <c r="AO189" s="130">
        <f t="shared" si="205"/>
        <v>0.1385969684</v>
      </c>
      <c r="AP189" s="130">
        <f t="shared" si="205"/>
        <v>0.1334129385</v>
      </c>
      <c r="AQ189" s="130">
        <f t="shared" si="205"/>
        <v>0.1351798469</v>
      </c>
      <c r="AR189" s="130">
        <f t="shared" si="205"/>
        <v>0.1442586139</v>
      </c>
      <c r="AS189" s="130">
        <f t="shared" si="205"/>
        <v>0.1408615703</v>
      </c>
      <c r="AT189" s="130">
        <f t="shared" si="205"/>
        <v>0.1301088103</v>
      </c>
      <c r="AU189" s="130">
        <f t="shared" si="205"/>
        <v>0.1263384664</v>
      </c>
      <c r="AV189" s="130">
        <f t="shared" si="205"/>
        <v>0.123057417</v>
      </c>
      <c r="AW189" s="130">
        <f t="shared" si="205"/>
        <v>0.1189175336</v>
      </c>
      <c r="AX189" s="130">
        <f t="shared" si="205"/>
        <v>0.1136719927</v>
      </c>
      <c r="AY189" s="130">
        <f t="shared" si="205"/>
        <v>0.1149721431</v>
      </c>
      <c r="AZ189" s="130">
        <f t="shared" si="205"/>
        <v>0.1122734075</v>
      </c>
      <c r="BA189" s="130">
        <f t="shared" si="205"/>
        <v>0.1039915031</v>
      </c>
      <c r="BB189" s="130">
        <f t="shared" si="205"/>
        <v>0.09958835364</v>
      </c>
      <c r="BC189" s="130">
        <f t="shared" si="205"/>
        <v>0.09456510006</v>
      </c>
      <c r="BD189" s="130">
        <f t="shared" si="205"/>
        <v>0.09398003795</v>
      </c>
      <c r="BE189" s="130">
        <f t="shared" si="205"/>
        <v>0.09124816868</v>
      </c>
      <c r="BF189" s="130">
        <f t="shared" si="205"/>
        <v>0.08937487574</v>
      </c>
      <c r="BG189" s="130">
        <f t="shared" si="205"/>
        <v>0.08940614962</v>
      </c>
      <c r="BH189" s="130">
        <f t="shared" si="205"/>
        <v>0.08736710479</v>
      </c>
      <c r="BI189" s="130">
        <f t="shared" si="205"/>
        <v>0.08430366584</v>
      </c>
      <c r="BJ189" s="130">
        <f t="shared" si="205"/>
        <v>0.08339937277</v>
      </c>
      <c r="BK189" s="130">
        <f t="shared" si="205"/>
        <v>0.08091207486</v>
      </c>
      <c r="BL189" s="130">
        <f t="shared" si="205"/>
        <v>0.1000206559</v>
      </c>
      <c r="BM189" s="130">
        <f t="shared" si="205"/>
        <v>0.225687313</v>
      </c>
      <c r="BN189" s="130">
        <f t="shared" si="205"/>
        <v>0.2532229546</v>
      </c>
      <c r="BO189" s="130">
        <f t="shared" si="205"/>
        <v>0.2504460648</v>
      </c>
      <c r="BP189" s="130">
        <f t="shared" si="205"/>
        <v>0.2482986735</v>
      </c>
      <c r="BQ189" s="130">
        <f t="shared" si="205"/>
        <v>0.2467651942</v>
      </c>
      <c r="BR189" s="130">
        <f t="shared" si="205"/>
        <v>0.2409258706</v>
      </c>
      <c r="BS189" s="130">
        <f t="shared" si="205"/>
        <v>0.2383004882</v>
      </c>
      <c r="BT189" s="130">
        <f t="shared" si="205"/>
        <v>0.2362862441</v>
      </c>
      <c r="BU189" s="130">
        <f t="shared" si="205"/>
        <v>0.2345591302</v>
      </c>
      <c r="BV189" s="130">
        <f t="shared" si="205"/>
        <v>0.2368840255</v>
      </c>
      <c r="BW189" s="130">
        <f t="shared" si="205"/>
        <v>0.2372587594</v>
      </c>
      <c r="BX189" s="130">
        <f t="shared" si="205"/>
        <v>0.2392002359</v>
      </c>
      <c r="BY189" s="130">
        <f t="shared" si="205"/>
        <v>0.2321804246</v>
      </c>
      <c r="BZ189" s="130">
        <f t="shared" si="205"/>
        <v>0.2292878778</v>
      </c>
      <c r="CA189" s="130">
        <f t="shared" si="205"/>
        <v>0.226318707</v>
      </c>
      <c r="CB189" s="130">
        <f t="shared" si="205"/>
        <v>0.2261432147</v>
      </c>
      <c r="CC189" s="130">
        <f t="shared" si="205"/>
        <v>0.2220373326</v>
      </c>
      <c r="CD189" s="130">
        <f t="shared" si="205"/>
        <v>0.2196933918</v>
      </c>
      <c r="CE189" s="130">
        <f t="shared" si="205"/>
        <v>0.219996614</v>
      </c>
      <c r="CF189" s="130">
        <f t="shared" si="205"/>
        <v>0.2180695923</v>
      </c>
      <c r="CG189" s="130">
        <f t="shared" si="205"/>
        <v>0.2176948992</v>
      </c>
      <c r="CH189" s="130">
        <f t="shared" si="205"/>
        <v>0.2138719197</v>
      </c>
      <c r="CI189" s="130">
        <f t="shared" si="205"/>
        <v>0.2117004253</v>
      </c>
      <c r="CL189" s="130">
        <f t="shared" ref="CL189:CQ189" si="206">CL188/CL$284</f>
        <v>2.150042202</v>
      </c>
      <c r="CM189" s="130">
        <f t="shared" si="206"/>
        <v>1.673169067</v>
      </c>
      <c r="CN189" s="130">
        <f t="shared" si="206"/>
        <v>1.822023259</v>
      </c>
      <c r="CO189" s="130">
        <f t="shared" si="206"/>
        <v>1.283088082</v>
      </c>
      <c r="CP189" s="130">
        <f t="shared" si="206"/>
        <v>1.403875562</v>
      </c>
      <c r="CQ189" s="130">
        <f t="shared" si="206"/>
        <v>0.6394368618</v>
      </c>
    </row>
    <row r="190" ht="15.75" customHeight="1" outlineLevel="1">
      <c r="C190" s="25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c r="AI190" s="117"/>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7"/>
      <c r="BO190" s="117"/>
      <c r="BP190" s="117"/>
      <c r="BQ190" s="117"/>
      <c r="BR190" s="117"/>
      <c r="BS190" s="117"/>
      <c r="BT190" s="117"/>
      <c r="BU190" s="117"/>
      <c r="BV190" s="117"/>
      <c r="BW190" s="117"/>
      <c r="BX190" s="117"/>
      <c r="BY190" s="117"/>
      <c r="BZ190" s="117"/>
      <c r="CA190" s="117"/>
      <c r="CB190" s="117"/>
      <c r="CC190" s="117"/>
      <c r="CD190" s="117"/>
      <c r="CE190" s="117"/>
      <c r="CF190" s="117"/>
      <c r="CG190" s="117"/>
      <c r="CH190" s="117"/>
      <c r="CI190" s="117"/>
      <c r="CL190" s="117"/>
      <c r="CM190" s="117"/>
      <c r="CN190" s="117"/>
      <c r="CO190" s="117"/>
      <c r="CP190" s="117"/>
      <c r="CQ190" s="117"/>
    </row>
    <row r="191" ht="15.75" customHeight="1" outlineLevel="1">
      <c r="C191" s="257" t="s">
        <v>813</v>
      </c>
      <c r="D191" s="117">
        <f t="shared" ref="D191:CI191" si="207">D170-D188</f>
        <v>-5340</v>
      </c>
      <c r="E191" s="117">
        <f t="shared" si="207"/>
        <v>-8321</v>
      </c>
      <c r="F191" s="117">
        <f t="shared" si="207"/>
        <v>8577</v>
      </c>
      <c r="G191" s="117">
        <f t="shared" si="207"/>
        <v>-8342</v>
      </c>
      <c r="H191" s="117">
        <f t="shared" si="207"/>
        <v>-5760</v>
      </c>
      <c r="I191" s="117">
        <f t="shared" si="207"/>
        <v>8066</v>
      </c>
      <c r="J191" s="117">
        <f t="shared" si="207"/>
        <v>-5215</v>
      </c>
      <c r="K191" s="117">
        <f t="shared" si="207"/>
        <v>4187</v>
      </c>
      <c r="L191" s="117">
        <f t="shared" si="207"/>
        <v>2854</v>
      </c>
      <c r="M191" s="117">
        <f t="shared" si="207"/>
        <v>-324</v>
      </c>
      <c r="N191" s="117">
        <f t="shared" si="207"/>
        <v>-6571</v>
      </c>
      <c r="O191" s="117">
        <f t="shared" si="207"/>
        <v>137028</v>
      </c>
      <c r="P191" s="117">
        <f t="shared" si="207"/>
        <v>155349</v>
      </c>
      <c r="Q191" s="117">
        <f t="shared" si="207"/>
        <v>128842</v>
      </c>
      <c r="R191" s="117">
        <f t="shared" si="207"/>
        <v>200212</v>
      </c>
      <c r="S191" s="117">
        <f t="shared" si="207"/>
        <v>200496</v>
      </c>
      <c r="T191" s="117">
        <f t="shared" si="207"/>
        <v>199124</v>
      </c>
      <c r="U191" s="117">
        <f t="shared" si="207"/>
        <v>144004</v>
      </c>
      <c r="V191" s="117">
        <f t="shared" si="207"/>
        <v>154159</v>
      </c>
      <c r="W191" s="117">
        <f t="shared" si="207"/>
        <v>106715</v>
      </c>
      <c r="X191" s="117">
        <f t="shared" si="207"/>
        <v>109530</v>
      </c>
      <c r="Y191" s="117">
        <f t="shared" si="207"/>
        <v>194729</v>
      </c>
      <c r="Z191" s="117">
        <f t="shared" si="207"/>
        <v>182116</v>
      </c>
      <c r="AA191" s="117">
        <f t="shared" si="207"/>
        <v>175249.9406</v>
      </c>
      <c r="AB191" s="117">
        <f t="shared" si="207"/>
        <v>193768.4733</v>
      </c>
      <c r="AC191" s="117">
        <f t="shared" si="207"/>
        <v>211876.3581</v>
      </c>
      <c r="AD191" s="117">
        <f t="shared" si="207"/>
        <v>227173.4738</v>
      </c>
      <c r="AE191" s="117">
        <f t="shared" si="207"/>
        <v>238791.669</v>
      </c>
      <c r="AF191" s="117">
        <f t="shared" si="207"/>
        <v>243477.5072</v>
      </c>
      <c r="AG191" s="117">
        <f t="shared" si="207"/>
        <v>251088.9853</v>
      </c>
      <c r="AH191" s="117">
        <f t="shared" si="207"/>
        <v>256600.1059</v>
      </c>
      <c r="AI191" s="117">
        <f t="shared" si="207"/>
        <v>259340.2138</v>
      </c>
      <c r="AJ191" s="117">
        <f t="shared" si="207"/>
        <v>255026.7731</v>
      </c>
      <c r="AK191" s="117">
        <f t="shared" si="207"/>
        <v>259146.6429</v>
      </c>
      <c r="AL191" s="117">
        <f t="shared" si="207"/>
        <v>264374.1762</v>
      </c>
      <c r="AM191" s="117">
        <f t="shared" si="207"/>
        <v>267632.044</v>
      </c>
      <c r="AN191" s="117">
        <f t="shared" si="207"/>
        <v>269131.8886</v>
      </c>
      <c r="AO191" s="117">
        <f t="shared" si="207"/>
        <v>272688.985</v>
      </c>
      <c r="AP191" s="117">
        <f t="shared" si="207"/>
        <v>277122.1008</v>
      </c>
      <c r="AQ191" s="117">
        <f t="shared" si="207"/>
        <v>279770.2728</v>
      </c>
      <c r="AR191" s="117">
        <f t="shared" si="207"/>
        <v>275201.4781</v>
      </c>
      <c r="AS191" s="117">
        <f t="shared" si="207"/>
        <v>279040.8807</v>
      </c>
      <c r="AT191" s="117">
        <f t="shared" si="207"/>
        <v>282757.3865</v>
      </c>
      <c r="AU191" s="117">
        <f t="shared" si="207"/>
        <v>284758.7427</v>
      </c>
      <c r="AV191" s="117">
        <f t="shared" si="207"/>
        <v>285509.9604</v>
      </c>
      <c r="AW191" s="117">
        <f t="shared" si="207"/>
        <v>288706.5623</v>
      </c>
      <c r="AX191" s="117">
        <f t="shared" si="207"/>
        <v>291835.9029</v>
      </c>
      <c r="AY191" s="117">
        <f t="shared" si="207"/>
        <v>293377.7603</v>
      </c>
      <c r="AZ191" s="117">
        <f t="shared" si="207"/>
        <v>293411.5919</v>
      </c>
      <c r="BA191" s="117">
        <f t="shared" si="207"/>
        <v>297320.7715</v>
      </c>
      <c r="BB191" s="117">
        <f t="shared" si="207"/>
        <v>301029.3344</v>
      </c>
      <c r="BC191" s="117">
        <f t="shared" si="207"/>
        <v>303014.9015</v>
      </c>
      <c r="BD191" s="117">
        <f t="shared" si="207"/>
        <v>303576.9687</v>
      </c>
      <c r="BE191" s="117">
        <f t="shared" si="207"/>
        <v>306887.1774</v>
      </c>
      <c r="BF191" s="117">
        <f t="shared" si="207"/>
        <v>308787.2088</v>
      </c>
      <c r="BG191" s="117">
        <f t="shared" si="207"/>
        <v>310455.4951</v>
      </c>
      <c r="BH191" s="117">
        <f t="shared" si="207"/>
        <v>310723.7068</v>
      </c>
      <c r="BI191" s="117">
        <f t="shared" si="207"/>
        <v>313866.9526</v>
      </c>
      <c r="BJ191" s="117">
        <f t="shared" si="207"/>
        <v>316986.3047</v>
      </c>
      <c r="BK191" s="117">
        <f t="shared" si="207"/>
        <v>318545.3288</v>
      </c>
      <c r="BL191" s="117">
        <f t="shared" si="207"/>
        <v>293481.2959</v>
      </c>
      <c r="BM191" s="117">
        <f t="shared" si="207"/>
        <v>109646.5386</v>
      </c>
      <c r="BN191" s="117">
        <f t="shared" si="207"/>
        <v>50485.52564</v>
      </c>
      <c r="BO191" s="117">
        <f t="shared" si="207"/>
        <v>52441.13054</v>
      </c>
      <c r="BP191" s="117">
        <f t="shared" si="207"/>
        <v>42985.10149</v>
      </c>
      <c r="BQ191" s="117">
        <f t="shared" si="207"/>
        <v>45849.24281</v>
      </c>
      <c r="BR191" s="117">
        <f t="shared" si="207"/>
        <v>49285.02985</v>
      </c>
      <c r="BS191" s="117">
        <f t="shared" si="207"/>
        <v>50021.04742</v>
      </c>
      <c r="BT191" s="117">
        <f t="shared" si="207"/>
        <v>40060.0325</v>
      </c>
      <c r="BU191" s="117">
        <f t="shared" si="207"/>
        <v>43507.72602</v>
      </c>
      <c r="BV191" s="117">
        <f t="shared" si="207"/>
        <v>30663.86969</v>
      </c>
      <c r="BW191" s="117">
        <f t="shared" si="207"/>
        <v>32579.75833</v>
      </c>
      <c r="BX191" s="117">
        <f t="shared" si="207"/>
        <v>8765.581252</v>
      </c>
      <c r="BY191" s="117">
        <f t="shared" si="207"/>
        <v>9245.370702</v>
      </c>
      <c r="BZ191" s="117">
        <f t="shared" si="207"/>
        <v>10285.25902</v>
      </c>
      <c r="CA191" s="117">
        <f t="shared" si="207"/>
        <v>10345.20264</v>
      </c>
      <c r="CB191" s="117">
        <f t="shared" si="207"/>
        <v>-2334.010598</v>
      </c>
      <c r="CC191" s="117">
        <f t="shared" si="207"/>
        <v>-651.1095397</v>
      </c>
      <c r="CD191" s="117">
        <f t="shared" si="207"/>
        <v>1780.167422</v>
      </c>
      <c r="CE191" s="117">
        <f t="shared" si="207"/>
        <v>2897.186822</v>
      </c>
      <c r="CF191" s="117">
        <f t="shared" si="207"/>
        <v>-9534.812286</v>
      </c>
      <c r="CG191" s="117">
        <f t="shared" si="207"/>
        <v>-6726.013744</v>
      </c>
      <c r="CH191" s="117">
        <f t="shared" si="207"/>
        <v>-3846.630999</v>
      </c>
      <c r="CI191" s="117">
        <f t="shared" si="207"/>
        <v>-2397.834392</v>
      </c>
      <c r="CL191" s="117">
        <f>SUM(D191:G191)</f>
        <v>-13426</v>
      </c>
      <c r="CM191" s="117">
        <f>SUM(H191:K191)</f>
        <v>1278</v>
      </c>
      <c r="CN191" s="117">
        <f>SUM(L191:O191)</f>
        <v>132987</v>
      </c>
      <c r="CO191" s="117">
        <f>SUM(P191:S191)</f>
        <v>684899</v>
      </c>
      <c r="CP191" s="117">
        <f>SUM(T191:W191)</f>
        <v>604002</v>
      </c>
      <c r="CQ191" s="117">
        <f>SUM(X191:AA191)</f>
        <v>661624.9406</v>
      </c>
    </row>
    <row r="192" ht="15.75" customHeight="1" outlineLevel="1">
      <c r="A192" s="136"/>
      <c r="B192" s="136"/>
      <c r="C192" s="517" t="s">
        <v>101</v>
      </c>
      <c r="D192" s="519">
        <f t="shared" ref="D192:CI192" si="208">D191/D170</f>
        <v>-0.1661222585</v>
      </c>
      <c r="E192" s="519">
        <f t="shared" si="208"/>
        <v>-0.4155720921</v>
      </c>
      <c r="F192" s="519">
        <f t="shared" si="208"/>
        <v>0.22177117</v>
      </c>
      <c r="G192" s="519">
        <f t="shared" si="208"/>
        <v>-0.2173414621</v>
      </c>
      <c r="H192" s="519">
        <f t="shared" si="208"/>
        <v>-0.229692547</v>
      </c>
      <c r="I192" s="519">
        <f t="shared" si="208"/>
        <v>0.2579551633</v>
      </c>
      <c r="J192" s="519">
        <f t="shared" si="208"/>
        <v>-0.1953695725</v>
      </c>
      <c r="K192" s="519">
        <f t="shared" si="208"/>
        <v>0.1165710786</v>
      </c>
      <c r="L192" s="519">
        <f t="shared" si="208"/>
        <v>0.07320201088</v>
      </c>
      <c r="M192" s="519">
        <f t="shared" si="208"/>
        <v>-0.01234473825</v>
      </c>
      <c r="N192" s="519">
        <f t="shared" si="208"/>
        <v>-0.2607229298</v>
      </c>
      <c r="O192" s="519">
        <f t="shared" si="208"/>
        <v>0.7847076273</v>
      </c>
      <c r="P192" s="519">
        <f t="shared" si="208"/>
        <v>0.8481971259</v>
      </c>
      <c r="Q192" s="519">
        <f t="shared" si="208"/>
        <v>0.78392981</v>
      </c>
      <c r="R192" s="519">
        <f t="shared" si="208"/>
        <v>0.9087863754</v>
      </c>
      <c r="S192" s="519">
        <f t="shared" si="208"/>
        <v>0.8358980559</v>
      </c>
      <c r="T192" s="519">
        <f t="shared" si="208"/>
        <v>0.8704455742</v>
      </c>
      <c r="U192" s="519">
        <f t="shared" si="208"/>
        <v>0.7911916444</v>
      </c>
      <c r="V192" s="519">
        <f t="shared" si="208"/>
        <v>0.8251121316</v>
      </c>
      <c r="W192" s="519">
        <f t="shared" si="208"/>
        <v>0.8074254542</v>
      </c>
      <c r="X192" s="128">
        <f t="shared" si="208"/>
        <v>0.7973008386</v>
      </c>
      <c r="Y192" s="128">
        <f t="shared" si="208"/>
        <v>0.8502707187</v>
      </c>
      <c r="Z192" s="128">
        <f t="shared" si="208"/>
        <v>0.818182635</v>
      </c>
      <c r="AA192" s="519">
        <f t="shared" si="208"/>
        <v>0.7385529332</v>
      </c>
      <c r="AB192" s="519">
        <f t="shared" si="208"/>
        <v>0.7623193105</v>
      </c>
      <c r="AC192" s="519">
        <f t="shared" si="208"/>
        <v>0.7869403998</v>
      </c>
      <c r="AD192" s="519">
        <f t="shared" si="208"/>
        <v>0.8048157995</v>
      </c>
      <c r="AE192" s="519">
        <f t="shared" si="208"/>
        <v>0.8124845184</v>
      </c>
      <c r="AF192" s="519">
        <f t="shared" si="208"/>
        <v>0.8114660245</v>
      </c>
      <c r="AG192" s="519">
        <f t="shared" si="208"/>
        <v>0.8217557766</v>
      </c>
      <c r="AH192" s="519">
        <f t="shared" si="208"/>
        <v>0.8304194642</v>
      </c>
      <c r="AI192" s="519">
        <f t="shared" si="208"/>
        <v>0.8312634299</v>
      </c>
      <c r="AJ192" s="519">
        <f t="shared" si="208"/>
        <v>0.8072816192</v>
      </c>
      <c r="AK192" s="519">
        <f t="shared" si="208"/>
        <v>0.808529564</v>
      </c>
      <c r="AL192" s="519">
        <f t="shared" si="208"/>
        <v>0.8146084166</v>
      </c>
      <c r="AM192" s="519">
        <f t="shared" si="208"/>
        <v>0.8154106826</v>
      </c>
      <c r="AN192" s="519">
        <f t="shared" si="208"/>
        <v>0.8143029641</v>
      </c>
      <c r="AO192" s="519">
        <f t="shared" si="208"/>
        <v>0.8172521586</v>
      </c>
      <c r="AP192" s="519">
        <f t="shared" si="208"/>
        <v>0.8205703381</v>
      </c>
      <c r="AQ192" s="519">
        <f t="shared" si="208"/>
        <v>0.8196765459</v>
      </c>
      <c r="AR192" s="519">
        <f t="shared" si="208"/>
        <v>0.7986601146</v>
      </c>
      <c r="AS192" s="519">
        <f t="shared" si="208"/>
        <v>0.8021729071</v>
      </c>
      <c r="AT192" s="519">
        <f t="shared" si="208"/>
        <v>0.805849491</v>
      </c>
      <c r="AU192" s="519">
        <f t="shared" si="208"/>
        <v>0.8050426527</v>
      </c>
      <c r="AV192" s="519">
        <f t="shared" si="208"/>
        <v>0.8010534483</v>
      </c>
      <c r="AW192" s="519">
        <f t="shared" si="208"/>
        <v>0.8041619467</v>
      </c>
      <c r="AX192" s="519">
        <f t="shared" si="208"/>
        <v>0.8072065753</v>
      </c>
      <c r="AY192" s="519">
        <f t="shared" si="208"/>
        <v>0.805968861</v>
      </c>
      <c r="AZ192" s="519">
        <f t="shared" si="208"/>
        <v>0.79889097</v>
      </c>
      <c r="BA192" s="519">
        <f t="shared" si="208"/>
        <v>0.8026000516</v>
      </c>
      <c r="BB192" s="519">
        <f t="shared" si="208"/>
        <v>0.8061665839</v>
      </c>
      <c r="BC192" s="519">
        <f t="shared" si="208"/>
        <v>0.8054347854</v>
      </c>
      <c r="BD192" s="519">
        <f t="shared" si="208"/>
        <v>0.8012026387</v>
      </c>
      <c r="BE192" s="519">
        <f t="shared" si="208"/>
        <v>0.8044109854</v>
      </c>
      <c r="BF192" s="519">
        <f t="shared" si="208"/>
        <v>0.8040341836</v>
      </c>
      <c r="BG192" s="519">
        <f t="shared" si="208"/>
        <v>0.803155826</v>
      </c>
      <c r="BH192" s="519">
        <f t="shared" si="208"/>
        <v>0.7987554291</v>
      </c>
      <c r="BI192" s="519">
        <f t="shared" si="208"/>
        <v>0.8018001663</v>
      </c>
      <c r="BJ192" s="519">
        <f t="shared" si="208"/>
        <v>0.804777267</v>
      </c>
      <c r="BK192" s="519">
        <f t="shared" si="208"/>
        <v>0.8038003739</v>
      </c>
      <c r="BL192" s="519">
        <f t="shared" si="208"/>
        <v>0.7333712268</v>
      </c>
      <c r="BM192" s="519">
        <f t="shared" si="208"/>
        <v>0.2714223139</v>
      </c>
      <c r="BN192" s="519">
        <f t="shared" si="208"/>
        <v>0.1240292142</v>
      </c>
      <c r="BO192" s="519">
        <f t="shared" si="208"/>
        <v>0.1278747295</v>
      </c>
      <c r="BP192" s="519">
        <f t="shared" si="208"/>
        <v>0.1040461006</v>
      </c>
      <c r="BQ192" s="519">
        <f t="shared" si="208"/>
        <v>0.1101711007</v>
      </c>
      <c r="BR192" s="519">
        <f t="shared" si="208"/>
        <v>0.1175723998</v>
      </c>
      <c r="BS192" s="519">
        <f t="shared" si="208"/>
        <v>0.118473476</v>
      </c>
      <c r="BT192" s="519">
        <f t="shared" si="208"/>
        <v>0.09420582179</v>
      </c>
      <c r="BU192" s="519">
        <f t="shared" si="208"/>
        <v>0.1015894724</v>
      </c>
      <c r="BV192" s="519">
        <f t="shared" si="208"/>
        <v>0.0710953411</v>
      </c>
      <c r="BW192" s="519">
        <f t="shared" si="208"/>
        <v>0.0750081566</v>
      </c>
      <c r="BX192" s="519">
        <f t="shared" si="208"/>
        <v>0.02003509759</v>
      </c>
      <c r="BY192" s="519">
        <f t="shared" si="208"/>
        <v>0.02115574755</v>
      </c>
      <c r="BZ192" s="519">
        <f t="shared" si="208"/>
        <v>0.02354651739</v>
      </c>
      <c r="CA192" s="519">
        <f t="shared" si="208"/>
        <v>0.02365475061</v>
      </c>
      <c r="CB192" s="519">
        <f t="shared" si="208"/>
        <v>-0.005323503619</v>
      </c>
      <c r="CC192" s="519">
        <f t="shared" si="208"/>
        <v>-0.001479969805</v>
      </c>
      <c r="CD192" s="519">
        <f t="shared" si="208"/>
        <v>0.004029569941</v>
      </c>
      <c r="CE192" s="519">
        <f t="shared" si="208"/>
        <v>0.006527517803</v>
      </c>
      <c r="CF192" s="519">
        <f t="shared" si="208"/>
        <v>-0.02137428829</v>
      </c>
      <c r="CG192" s="519">
        <f t="shared" si="208"/>
        <v>-0.01499767418</v>
      </c>
      <c r="CH192" s="519">
        <f t="shared" si="208"/>
        <v>-0.008529924116</v>
      </c>
      <c r="CI192" s="519">
        <f t="shared" si="208"/>
        <v>-0.005287115401</v>
      </c>
      <c r="CJ192" s="136"/>
      <c r="CK192" s="136"/>
      <c r="CL192" s="519">
        <f t="shared" ref="CL192:CQ192" si="209">CL191/CL170</f>
        <v>-0.1038963049</v>
      </c>
      <c r="CM192" s="519">
        <f t="shared" si="209"/>
        <v>0.01074337786</v>
      </c>
      <c r="CN192" s="519">
        <f t="shared" si="209"/>
        <v>0.5017241379</v>
      </c>
      <c r="CO192" s="519">
        <f t="shared" si="209"/>
        <v>0.8479936113</v>
      </c>
      <c r="CP192" s="519">
        <f t="shared" si="209"/>
        <v>0.8276596357</v>
      </c>
      <c r="CQ192" s="519">
        <f t="shared" si="209"/>
        <v>0.8007367232</v>
      </c>
    </row>
    <row r="193" ht="15.75" customHeight="1" outlineLevel="1">
      <c r="A193" s="136"/>
      <c r="B193" s="136"/>
      <c r="C193" s="517"/>
      <c r="D193" s="520"/>
      <c r="E193" s="520"/>
      <c r="F193" s="520"/>
      <c r="G193" s="520"/>
      <c r="H193" s="520"/>
      <c r="I193" s="520"/>
      <c r="J193" s="520"/>
      <c r="K193" s="520"/>
      <c r="L193" s="520"/>
      <c r="M193" s="520"/>
      <c r="N193" s="520"/>
      <c r="O193" s="519"/>
      <c r="P193" s="519"/>
      <c r="Q193" s="519"/>
      <c r="R193" s="519"/>
      <c r="S193" s="519"/>
      <c r="T193" s="519"/>
      <c r="U193" s="519"/>
      <c r="V193" s="519"/>
      <c r="W193" s="519"/>
      <c r="X193" s="519"/>
      <c r="Y193" s="519"/>
      <c r="Z193" s="125">
        <f>SUM(P191:Y191)/SUM(P170:Y170)</f>
        <v>0.8368153366</v>
      </c>
      <c r="AA193" s="519"/>
      <c r="AB193" s="519"/>
      <c r="AC193" s="519"/>
      <c r="AD193" s="519"/>
      <c r="AE193" s="519"/>
      <c r="AF193" s="519"/>
      <c r="AG193" s="519"/>
      <c r="AH193" s="519"/>
      <c r="AI193" s="519"/>
      <c r="AJ193" s="519"/>
      <c r="AK193" s="519"/>
      <c r="AL193" s="519"/>
      <c r="AM193" s="519"/>
      <c r="AN193" s="519"/>
      <c r="AO193" s="519"/>
      <c r="AP193" s="519"/>
      <c r="AQ193" s="519"/>
      <c r="AR193" s="519"/>
      <c r="AS193" s="519"/>
      <c r="AT193" s="519"/>
      <c r="AU193" s="519"/>
      <c r="AV193" s="519"/>
      <c r="AW193" s="519"/>
      <c r="AX193" s="519"/>
      <c r="AY193" s="519"/>
      <c r="AZ193" s="519"/>
      <c r="BA193" s="519"/>
      <c r="BB193" s="519"/>
      <c r="BC193" s="519"/>
      <c r="BD193" s="519"/>
      <c r="BE193" s="519"/>
      <c r="BF193" s="519"/>
      <c r="BG193" s="519"/>
      <c r="BH193" s="519"/>
      <c r="BI193" s="519"/>
      <c r="BJ193" s="519"/>
      <c r="BK193" s="519"/>
      <c r="BL193" s="519"/>
      <c r="BM193" s="519"/>
      <c r="BN193" s="519"/>
      <c r="BO193" s="519"/>
      <c r="BP193" s="519"/>
      <c r="BQ193" s="519"/>
      <c r="BR193" s="519"/>
      <c r="BS193" s="519"/>
      <c r="BT193" s="519"/>
      <c r="BU193" s="519"/>
      <c r="BV193" s="519"/>
      <c r="BW193" s="519"/>
      <c r="BX193" s="519"/>
      <c r="BY193" s="519"/>
      <c r="BZ193" s="519"/>
      <c r="CA193" s="519"/>
      <c r="CB193" s="519"/>
      <c r="CC193" s="519"/>
      <c r="CD193" s="519"/>
      <c r="CE193" s="519"/>
      <c r="CF193" s="519"/>
      <c r="CG193" s="519"/>
      <c r="CH193" s="519"/>
      <c r="CI193" s="519"/>
      <c r="CJ193" s="136"/>
      <c r="CK193" s="136"/>
      <c r="CL193" s="136"/>
      <c r="CM193" s="136"/>
      <c r="CN193" s="136"/>
      <c r="CO193" s="136"/>
      <c r="CP193" s="136"/>
      <c r="CQ193" s="136"/>
    </row>
    <row r="194" ht="15.75" customHeight="1" outlineLevel="1">
      <c r="C194" s="257" t="s">
        <v>174</v>
      </c>
      <c r="D194" s="117">
        <f>'Opex Departments'!D189*'Opex Departments'!D$169</f>
        <v>2350.986696</v>
      </c>
      <c r="E194" s="117">
        <f>'Opex Departments'!E189*'Opex Departments'!E$169</f>
        <v>1133.262835</v>
      </c>
      <c r="F194" s="117">
        <f>'Opex Departments'!F189*'Opex Departments'!F$169</f>
        <v>2448.314336</v>
      </c>
      <c r="G194" s="117">
        <f>'Opex Departments'!G189*'Opex Departments'!G$169</f>
        <v>2079.253172</v>
      </c>
      <c r="H194" s="117">
        <f>'Opex Departments'!H189*'Opex Departments'!H$169</f>
        <v>1632.538254</v>
      </c>
      <c r="I194" s="117">
        <f>'Opex Departments'!I189*'Opex Departments'!I$169</f>
        <v>1719.925246</v>
      </c>
      <c r="J194" s="117">
        <f>'Opex Departments'!J189*'Opex Departments'!J$169</f>
        <v>1624.291775</v>
      </c>
      <c r="K194" s="117">
        <f>'Opex Departments'!K189*'Opex Departments'!K$169</f>
        <v>2639.849296</v>
      </c>
      <c r="L194" s="117">
        <f>'Opex Departments'!L189*'Opex Departments'!L$169</f>
        <v>2635.508341</v>
      </c>
      <c r="M194" s="117">
        <f>'Opex Departments'!M189*'Opex Departments'!M$169</f>
        <v>1673.574409</v>
      </c>
      <c r="N194" s="117">
        <f>'Opex Departments'!N189*'Opex Departments'!N$169</f>
        <v>1662.307003</v>
      </c>
      <c r="O194" s="117">
        <f>'Opex Departments'!O189*'Opex Departments'!O$169</f>
        <v>10937.85075</v>
      </c>
      <c r="P194" s="117">
        <f>'Opex Departments'!P189*'Opex Departments'!P$169</f>
        <v>9179.050297</v>
      </c>
      <c r="Q194" s="117">
        <f>'Opex Departments'!Q189*'Opex Departments'!Q$169</f>
        <v>10313.55693</v>
      </c>
      <c r="R194" s="117">
        <f>'Opex Departments'!R189*'Opex Departments'!R$169</f>
        <v>11675.68288</v>
      </c>
      <c r="S194" s="117">
        <f>'Opex Departments'!S189*'Opex Departments'!S$169</f>
        <v>13056.08666</v>
      </c>
      <c r="T194" s="117">
        <f>'Opex Departments'!T189*'Opex Departments'!T$169</f>
        <v>12189.47554</v>
      </c>
      <c r="U194" s="117">
        <f>'Opex Departments'!U189*'Opex Departments'!U$169</f>
        <v>10815.86814</v>
      </c>
      <c r="V194" s="117">
        <f>'Opex Departments'!V189*'Opex Departments'!V$169</f>
        <v>10023.10546</v>
      </c>
      <c r="W194" s="117">
        <f>'Opex Departments'!W189*'Opex Departments'!W$169</f>
        <v>11616.669</v>
      </c>
      <c r="X194" s="117">
        <f>'Opex Departments'!X189*'Opex Departments'!X$169</f>
        <v>13090.85547</v>
      </c>
      <c r="Y194" s="117">
        <f>'Opex Departments'!Y189*'Opex Departments'!Y$169</f>
        <v>12118.65983</v>
      </c>
      <c r="Z194" s="117">
        <f>'Opex Departments'!Z189*'Opex Departments'!Z$169</f>
        <v>12670.41602</v>
      </c>
      <c r="AA194" s="117">
        <f>'Opex Departments'!AA189*'Opex Departments'!AA$169</f>
        <v>41073.16539</v>
      </c>
      <c r="AB194" s="117">
        <f>'Opex Departments'!AB189*'Opex Departments'!AB$169</f>
        <v>48258.70604</v>
      </c>
      <c r="AC194" s="117">
        <f>'Opex Departments'!AC189*'Opex Departments'!AC$169</f>
        <v>60954.26531</v>
      </c>
      <c r="AD194" s="117">
        <f>'Opex Departments'!AD189*'Opex Departments'!AD$169</f>
        <v>45280.8118</v>
      </c>
      <c r="AE194" s="117">
        <f>'Opex Departments'!AE189*'Opex Departments'!AE$169</f>
        <v>45439.01311</v>
      </c>
      <c r="AF194" s="117">
        <f>'Opex Departments'!AF189*'Opex Departments'!AF$169</f>
        <v>57321.91893</v>
      </c>
      <c r="AG194" s="117">
        <f>'Opex Departments'!AG189*'Opex Departments'!AG$169</f>
        <v>42975.24809</v>
      </c>
      <c r="AH194" s="117">
        <f>'Opex Departments'!AH189*'Opex Departments'!AH$169</f>
        <v>54083.17457</v>
      </c>
      <c r="AI194" s="117">
        <f>'Opex Departments'!AI189*'Opex Departments'!AI$169</f>
        <v>42960.94301</v>
      </c>
      <c r="AJ194" s="117">
        <f>'Opex Departments'!AJ189*'Opex Departments'!AJ$169</f>
        <v>54161.99549</v>
      </c>
      <c r="AK194" s="117">
        <f>'Opex Departments'!AK189*'Opex Departments'!AK$169</f>
        <v>43844.82087</v>
      </c>
      <c r="AL194" s="117">
        <f>'Opex Departments'!AL189*'Opex Departments'!AL$169</f>
        <v>44411.17497</v>
      </c>
      <c r="AM194" s="117">
        <f>'Opex Departments'!AM189*'Opex Departments'!AM$169</f>
        <v>44362.04125</v>
      </c>
      <c r="AN194" s="117">
        <f>'Opex Departments'!AN189*'Opex Departments'!AN$169</f>
        <v>65032.8074</v>
      </c>
      <c r="AO194" s="117">
        <f>'Opex Departments'!AO189*'Opex Departments'!AO$169</f>
        <v>45066.5545</v>
      </c>
      <c r="AP194" s="117">
        <f>'Opex Departments'!AP189*'Opex Departments'!AP$169</f>
        <v>45086.09203</v>
      </c>
      <c r="AQ194" s="117">
        <f>'Opex Departments'!AQ189*'Opex Departments'!AQ$169</f>
        <v>45071.13906</v>
      </c>
      <c r="AR194" s="117">
        <f>'Opex Departments'!AR189*'Opex Departments'!AR$169</f>
        <v>56543.09811</v>
      </c>
      <c r="AS194" s="117">
        <f>'Opex Departments'!AS189*'Opex Departments'!AS$169</f>
        <v>46036.42013</v>
      </c>
      <c r="AT194" s="117">
        <f>'Opex Departments'!AT189*'Opex Departments'!AT$169</f>
        <v>54795.53384</v>
      </c>
      <c r="AU194" s="117">
        <f>'Opex Departments'!AU189*'Opex Departments'!AU$169</f>
        <v>46288.44363</v>
      </c>
      <c r="AV194" s="117">
        <f>'Opex Departments'!AV189*'Opex Departments'!AV$169</f>
        <v>57893.01316</v>
      </c>
      <c r="AW194" s="117">
        <f>'Opex Departments'!AW189*'Opex Departments'!AW$169</f>
        <v>47336.40326</v>
      </c>
      <c r="AX194" s="117">
        <f>'Opex Departments'!AX189*'Opex Departments'!AX$169</f>
        <v>47186.3497</v>
      </c>
      <c r="AY194" s="117">
        <f>'Opex Departments'!AY189*'Opex Departments'!AY$169</f>
        <v>47042.01229</v>
      </c>
      <c r="AZ194" s="117">
        <f>'Opex Departments'!AZ189*'Opex Departments'!AZ$169</f>
        <v>68567.00869</v>
      </c>
      <c r="BA194" s="117">
        <f>'Opex Departments'!BA189*'Opex Departments'!BA$169</f>
        <v>49148.96426</v>
      </c>
      <c r="BB194" s="117">
        <f>'Opex Departments'!BB189*'Opex Departments'!BB$169</f>
        <v>49164.57069</v>
      </c>
      <c r="BC194" s="117">
        <f>'Opex Departments'!BC189*'Opex Departments'!BC$169</f>
        <v>49187.88552</v>
      </c>
      <c r="BD194" s="117">
        <f>'Opex Departments'!BD189*'Opex Departments'!BD$169</f>
        <v>62285.61945</v>
      </c>
      <c r="BE194" s="117">
        <f>'Opex Departments'!BE189*'Opex Departments'!BE$169</f>
        <v>51990.57946</v>
      </c>
      <c r="BF194" s="117">
        <f>'Opex Departments'!BF189*'Opex Departments'!BF$169</f>
        <v>62085.43925</v>
      </c>
      <c r="BG194" s="117">
        <f>'Opex Departments'!BG189*'Opex Departments'!BG$169</f>
        <v>54020.12718</v>
      </c>
      <c r="BH194" s="117">
        <f>'Opex Departments'!BH189*'Opex Departments'!BH$169</f>
        <v>65994.86236</v>
      </c>
      <c r="BI194" s="117">
        <f>'Opex Departments'!BI189*'Opex Departments'!BI$169</f>
        <v>56973.873</v>
      </c>
      <c r="BJ194" s="117">
        <f>'Opex Departments'!BJ189*'Opex Departments'!BJ$169</f>
        <v>57014.26957</v>
      </c>
      <c r="BK194" s="117">
        <f>'Opex Departments'!BK189*'Opex Departments'!BK$169</f>
        <v>57067.75569</v>
      </c>
      <c r="BL194" s="117">
        <f>'Opex Departments'!CJ189*'Opex Departments'!CJ$169</f>
        <v>0</v>
      </c>
      <c r="BM194" s="117">
        <f>'Opex Departments'!CK189*'Opex Departments'!CK$169</f>
        <v>0</v>
      </c>
      <c r="BN194" s="117">
        <f>'Opex Departments'!CL189*'Opex Departments'!CL$169</f>
        <v>0</v>
      </c>
      <c r="BO194" s="117">
        <f>'Opex Departments'!CM189*'Opex Departments'!CM$169</f>
        <v>0</v>
      </c>
      <c r="BP194" s="117">
        <f>'Opex Departments'!CN189*'Opex Departments'!CN$169</f>
        <v>0</v>
      </c>
      <c r="BQ194" s="117">
        <f>'Opex Departments'!CO189*'Opex Departments'!CO$169</f>
        <v>0</v>
      </c>
      <c r="BR194" s="117">
        <f>'Opex Departments'!CP189*'Opex Departments'!CP$169</f>
        <v>0</v>
      </c>
      <c r="BS194" s="117">
        <f>'Opex Departments'!CQ189*'Opex Departments'!CQ$169</f>
        <v>0</v>
      </c>
      <c r="BT194" s="117">
        <f>'Opex Departments'!CR189*'Opex Departments'!CR$169</f>
        <v>0</v>
      </c>
      <c r="BU194" s="117">
        <f>'Opex Departments'!CS189*'Opex Departments'!CS$169</f>
        <v>0</v>
      </c>
      <c r="BV194" s="117">
        <f>'Opex Departments'!CT189*'Opex Departments'!CT$169</f>
        <v>0</v>
      </c>
      <c r="BW194" s="117">
        <f>'Opex Departments'!CU189*'Opex Departments'!CU$169</f>
        <v>0</v>
      </c>
      <c r="BX194" s="117">
        <f>'Opex Departments'!CV189*'Opex Departments'!CV$169</f>
        <v>0</v>
      </c>
      <c r="BY194" s="117">
        <f>'Opex Departments'!CW189*'Opex Departments'!CW$169</f>
        <v>0</v>
      </c>
      <c r="BZ194" s="117">
        <f>'Opex Departments'!CX189*'Opex Departments'!CX$169</f>
        <v>0</v>
      </c>
      <c r="CA194" s="117">
        <f>'Opex Departments'!CY189*'Opex Departments'!CY$169</f>
        <v>0</v>
      </c>
      <c r="CB194" s="117">
        <f>'Opex Departments'!CZ189*'Opex Departments'!CZ$169</f>
        <v>0</v>
      </c>
      <c r="CC194" s="117">
        <f>'Opex Departments'!DA189*'Opex Departments'!DA$169</f>
        <v>0</v>
      </c>
      <c r="CD194" s="117">
        <f>'Opex Departments'!DB189*'Opex Departments'!DB$169</f>
        <v>0</v>
      </c>
      <c r="CE194" s="117">
        <f>'Opex Departments'!DC189*'Opex Departments'!DC$169</f>
        <v>0</v>
      </c>
      <c r="CF194" s="117">
        <f>'Opex Departments'!DD189*'Opex Departments'!DD$169</f>
        <v>0</v>
      </c>
      <c r="CG194" s="117">
        <f>'Opex Departments'!DE189*'Opex Departments'!DE$169</f>
        <v>0</v>
      </c>
      <c r="CH194" s="117">
        <f>'Opex Departments'!DF189*'Opex Departments'!DF$169</f>
        <v>0</v>
      </c>
      <c r="CI194" s="117">
        <f>'Opex Departments'!DG189*'Opex Departments'!DG$169</f>
        <v>0</v>
      </c>
      <c r="CL194" s="117">
        <f>SUM(D194:G194)</f>
        <v>8011.817039</v>
      </c>
      <c r="CM194" s="117">
        <f>SUM(H194:K194)</f>
        <v>7616.604572</v>
      </c>
      <c r="CN194" s="117">
        <f>SUM(L194:O194)</f>
        <v>16909.2405</v>
      </c>
      <c r="CO194" s="117">
        <f>SUM(P194:S194)</f>
        <v>44224.37677</v>
      </c>
      <c r="CP194" s="117">
        <f>SUM(T194:W194)</f>
        <v>44645.11813</v>
      </c>
      <c r="CQ194" s="117">
        <f>SUM(X194:AA194)</f>
        <v>78953.09671</v>
      </c>
    </row>
    <row r="195" ht="15.75" customHeight="1" outlineLevel="1">
      <c r="C195" s="5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c r="AI195" s="117"/>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7"/>
      <c r="BO195" s="117"/>
      <c r="BP195" s="117"/>
      <c r="BQ195" s="117"/>
      <c r="BR195" s="117"/>
      <c r="BS195" s="117"/>
      <c r="BT195" s="117"/>
      <c r="BU195" s="117"/>
      <c r="BV195" s="117"/>
      <c r="BW195" s="117"/>
      <c r="BX195" s="117"/>
      <c r="BY195" s="117"/>
      <c r="BZ195" s="117"/>
      <c r="CA195" s="117"/>
      <c r="CB195" s="117"/>
      <c r="CC195" s="117"/>
      <c r="CD195" s="117"/>
      <c r="CE195" s="117"/>
      <c r="CF195" s="117"/>
      <c r="CG195" s="117"/>
      <c r="CH195" s="117"/>
      <c r="CI195" s="117"/>
      <c r="CL195" s="117"/>
      <c r="CM195" s="117"/>
      <c r="CN195" s="117"/>
      <c r="CO195" s="117"/>
      <c r="CP195" s="117"/>
      <c r="CQ195" s="117"/>
    </row>
    <row r="196" ht="15.75" customHeight="1">
      <c r="C196" s="257" t="s">
        <v>814</v>
      </c>
      <c r="D196" s="117">
        <f t="shared" ref="D196:CI196" si="210">D191-D194</f>
        <v>-7690.986696</v>
      </c>
      <c r="E196" s="117">
        <f t="shared" si="210"/>
        <v>-9454.262835</v>
      </c>
      <c r="F196" s="117">
        <f t="shared" si="210"/>
        <v>6128.685664</v>
      </c>
      <c r="G196" s="117">
        <f t="shared" si="210"/>
        <v>-10421.25317</v>
      </c>
      <c r="H196" s="117">
        <f t="shared" si="210"/>
        <v>-7392.538254</v>
      </c>
      <c r="I196" s="117">
        <f t="shared" si="210"/>
        <v>6346.074754</v>
      </c>
      <c r="J196" s="117">
        <f t="shared" si="210"/>
        <v>-6839.291775</v>
      </c>
      <c r="K196" s="117">
        <f t="shared" si="210"/>
        <v>1547.150704</v>
      </c>
      <c r="L196" s="117">
        <f t="shared" si="210"/>
        <v>218.4916587</v>
      </c>
      <c r="M196" s="117">
        <f t="shared" si="210"/>
        <v>-1997.574409</v>
      </c>
      <c r="N196" s="117">
        <f t="shared" si="210"/>
        <v>-8233.307003</v>
      </c>
      <c r="O196" s="117">
        <f t="shared" si="210"/>
        <v>126090.1493</v>
      </c>
      <c r="P196" s="117">
        <f t="shared" si="210"/>
        <v>146169.9497</v>
      </c>
      <c r="Q196" s="117">
        <f t="shared" si="210"/>
        <v>118528.4431</v>
      </c>
      <c r="R196" s="117">
        <f t="shared" si="210"/>
        <v>188536.3171</v>
      </c>
      <c r="S196" s="117">
        <f t="shared" si="210"/>
        <v>187439.9133</v>
      </c>
      <c r="T196" s="117">
        <f t="shared" si="210"/>
        <v>186934.5245</v>
      </c>
      <c r="U196" s="117">
        <f t="shared" si="210"/>
        <v>133188.1319</v>
      </c>
      <c r="V196" s="117">
        <f t="shared" si="210"/>
        <v>144135.8945</v>
      </c>
      <c r="W196" s="117">
        <f t="shared" si="210"/>
        <v>95098.331</v>
      </c>
      <c r="X196" s="117">
        <f t="shared" si="210"/>
        <v>96439.14453</v>
      </c>
      <c r="Y196" s="117">
        <f t="shared" si="210"/>
        <v>182610.3402</v>
      </c>
      <c r="Z196" s="117">
        <f t="shared" si="210"/>
        <v>169445.584</v>
      </c>
      <c r="AA196" s="117">
        <f t="shared" si="210"/>
        <v>134176.7753</v>
      </c>
      <c r="AB196" s="117">
        <f t="shared" si="210"/>
        <v>145509.7672</v>
      </c>
      <c r="AC196" s="117">
        <f t="shared" si="210"/>
        <v>150922.0928</v>
      </c>
      <c r="AD196" s="117">
        <f t="shared" si="210"/>
        <v>181892.662</v>
      </c>
      <c r="AE196" s="117">
        <f t="shared" si="210"/>
        <v>193352.6559</v>
      </c>
      <c r="AF196" s="117">
        <f t="shared" si="210"/>
        <v>186155.5883</v>
      </c>
      <c r="AG196" s="117">
        <f t="shared" si="210"/>
        <v>208113.7372</v>
      </c>
      <c r="AH196" s="117">
        <f t="shared" si="210"/>
        <v>202516.9313</v>
      </c>
      <c r="AI196" s="117">
        <f t="shared" si="210"/>
        <v>216379.2708</v>
      </c>
      <c r="AJ196" s="117">
        <f t="shared" si="210"/>
        <v>200864.7777</v>
      </c>
      <c r="AK196" s="117">
        <f t="shared" si="210"/>
        <v>215301.822</v>
      </c>
      <c r="AL196" s="117">
        <f t="shared" si="210"/>
        <v>219963.0012</v>
      </c>
      <c r="AM196" s="117">
        <f t="shared" si="210"/>
        <v>223270.0028</v>
      </c>
      <c r="AN196" s="117">
        <f t="shared" si="210"/>
        <v>204099.0812</v>
      </c>
      <c r="AO196" s="117">
        <f t="shared" si="210"/>
        <v>227622.4305</v>
      </c>
      <c r="AP196" s="117">
        <f t="shared" si="210"/>
        <v>232036.0088</v>
      </c>
      <c r="AQ196" s="117">
        <f t="shared" si="210"/>
        <v>234699.1338</v>
      </c>
      <c r="AR196" s="117">
        <f t="shared" si="210"/>
        <v>218658.3799</v>
      </c>
      <c r="AS196" s="117">
        <f t="shared" si="210"/>
        <v>233004.4605</v>
      </c>
      <c r="AT196" s="117">
        <f t="shared" si="210"/>
        <v>227961.8527</v>
      </c>
      <c r="AU196" s="117">
        <f t="shared" si="210"/>
        <v>238470.2991</v>
      </c>
      <c r="AV196" s="117">
        <f t="shared" si="210"/>
        <v>227616.9472</v>
      </c>
      <c r="AW196" s="117">
        <f t="shared" si="210"/>
        <v>241370.159</v>
      </c>
      <c r="AX196" s="117">
        <f t="shared" si="210"/>
        <v>244649.5532</v>
      </c>
      <c r="AY196" s="117">
        <f t="shared" si="210"/>
        <v>246335.748</v>
      </c>
      <c r="AZ196" s="117">
        <f t="shared" si="210"/>
        <v>224844.5832</v>
      </c>
      <c r="BA196" s="117">
        <f t="shared" si="210"/>
        <v>248171.8073</v>
      </c>
      <c r="BB196" s="117">
        <f t="shared" si="210"/>
        <v>251864.7637</v>
      </c>
      <c r="BC196" s="117">
        <f t="shared" si="210"/>
        <v>253827.016</v>
      </c>
      <c r="BD196" s="117">
        <f t="shared" si="210"/>
        <v>241291.3493</v>
      </c>
      <c r="BE196" s="117">
        <f t="shared" si="210"/>
        <v>254896.598</v>
      </c>
      <c r="BF196" s="117">
        <f t="shared" si="210"/>
        <v>246701.7696</v>
      </c>
      <c r="BG196" s="117">
        <f t="shared" si="210"/>
        <v>256435.368</v>
      </c>
      <c r="BH196" s="117">
        <f t="shared" si="210"/>
        <v>244728.8445</v>
      </c>
      <c r="BI196" s="117">
        <f t="shared" si="210"/>
        <v>256893.0796</v>
      </c>
      <c r="BJ196" s="117">
        <f t="shared" si="210"/>
        <v>259972.0351</v>
      </c>
      <c r="BK196" s="117">
        <f t="shared" si="210"/>
        <v>261477.5731</v>
      </c>
      <c r="BL196" s="117">
        <f t="shared" si="210"/>
        <v>293481.2959</v>
      </c>
      <c r="BM196" s="117">
        <f t="shared" si="210"/>
        <v>109646.5386</v>
      </c>
      <c r="BN196" s="117">
        <f t="shared" si="210"/>
        <v>50485.52564</v>
      </c>
      <c r="BO196" s="117">
        <f t="shared" si="210"/>
        <v>52441.13054</v>
      </c>
      <c r="BP196" s="117">
        <f t="shared" si="210"/>
        <v>42985.10149</v>
      </c>
      <c r="BQ196" s="117">
        <f t="shared" si="210"/>
        <v>45849.24281</v>
      </c>
      <c r="BR196" s="117">
        <f t="shared" si="210"/>
        <v>49285.02985</v>
      </c>
      <c r="BS196" s="117">
        <f t="shared" si="210"/>
        <v>50021.04742</v>
      </c>
      <c r="BT196" s="117">
        <f t="shared" si="210"/>
        <v>40060.0325</v>
      </c>
      <c r="BU196" s="117">
        <f t="shared" si="210"/>
        <v>43507.72602</v>
      </c>
      <c r="BV196" s="117">
        <f t="shared" si="210"/>
        <v>30663.86969</v>
      </c>
      <c r="BW196" s="117">
        <f t="shared" si="210"/>
        <v>32579.75833</v>
      </c>
      <c r="BX196" s="117">
        <f t="shared" si="210"/>
        <v>8765.581252</v>
      </c>
      <c r="BY196" s="117">
        <f t="shared" si="210"/>
        <v>9245.370702</v>
      </c>
      <c r="BZ196" s="117">
        <f t="shared" si="210"/>
        <v>10285.25902</v>
      </c>
      <c r="CA196" s="117">
        <f t="shared" si="210"/>
        <v>10345.20264</v>
      </c>
      <c r="CB196" s="117">
        <f t="shared" si="210"/>
        <v>-2334.010598</v>
      </c>
      <c r="CC196" s="117">
        <f t="shared" si="210"/>
        <v>-651.1095397</v>
      </c>
      <c r="CD196" s="117">
        <f t="shared" si="210"/>
        <v>1780.167422</v>
      </c>
      <c r="CE196" s="117">
        <f t="shared" si="210"/>
        <v>2897.186822</v>
      </c>
      <c r="CF196" s="117">
        <f t="shared" si="210"/>
        <v>-9534.812286</v>
      </c>
      <c r="CG196" s="117">
        <f t="shared" si="210"/>
        <v>-6726.013744</v>
      </c>
      <c r="CH196" s="117">
        <f t="shared" si="210"/>
        <v>-3846.630999</v>
      </c>
      <c r="CI196" s="117">
        <f t="shared" si="210"/>
        <v>-2397.834392</v>
      </c>
      <c r="CL196" s="117">
        <f>SUM(D196:G196)</f>
        <v>-21437.81704</v>
      </c>
      <c r="CM196" s="117">
        <f>SUM(H196:K196)</f>
        <v>-6338.604572</v>
      </c>
      <c r="CN196" s="117">
        <f>SUM(L196:O196)</f>
        <v>116077.7595</v>
      </c>
      <c r="CO196" s="117">
        <f>SUM(P196:S196)</f>
        <v>640674.6232</v>
      </c>
      <c r="CP196" s="117">
        <f>SUM(T196:W196)</f>
        <v>559356.8819</v>
      </c>
      <c r="CQ196" s="117">
        <f>SUM(X196:AA196)</f>
        <v>582671.8439</v>
      </c>
    </row>
    <row r="197" ht="15.75" customHeight="1">
      <c r="C197" s="517" t="s">
        <v>115</v>
      </c>
      <c r="D197" s="519">
        <f t="shared" ref="D197:CI197" si="211">D196/D170</f>
        <v>-0.2392591911</v>
      </c>
      <c r="E197" s="519">
        <f t="shared" si="211"/>
        <v>-0.4721701461</v>
      </c>
      <c r="F197" s="519">
        <f t="shared" si="211"/>
        <v>0.1584663391</v>
      </c>
      <c r="G197" s="519">
        <f t="shared" si="211"/>
        <v>-0.2715140736</v>
      </c>
      <c r="H197" s="519">
        <f t="shared" si="211"/>
        <v>-0.294793566</v>
      </c>
      <c r="I197" s="519">
        <f t="shared" si="211"/>
        <v>0.2029509979</v>
      </c>
      <c r="J197" s="519">
        <f t="shared" si="211"/>
        <v>-0.2562204239</v>
      </c>
      <c r="K197" s="519">
        <f t="shared" si="211"/>
        <v>0.04307452263</v>
      </c>
      <c r="L197" s="519">
        <f t="shared" si="211"/>
        <v>0.005604074555</v>
      </c>
      <c r="M197" s="519">
        <f t="shared" si="211"/>
        <v>-0.07610967037</v>
      </c>
      <c r="N197" s="519">
        <f t="shared" si="211"/>
        <v>-0.3266796414</v>
      </c>
      <c r="O197" s="519">
        <f t="shared" si="211"/>
        <v>0.7220706852</v>
      </c>
      <c r="P197" s="519">
        <f t="shared" si="211"/>
        <v>0.7980800084</v>
      </c>
      <c r="Q197" s="519">
        <f t="shared" si="211"/>
        <v>0.7211777205</v>
      </c>
      <c r="R197" s="519">
        <f t="shared" si="211"/>
        <v>0.8557890449</v>
      </c>
      <c r="S197" s="519">
        <f t="shared" si="211"/>
        <v>0.781465262</v>
      </c>
      <c r="T197" s="519">
        <f t="shared" si="211"/>
        <v>0.8171608118</v>
      </c>
      <c r="U197" s="519">
        <f t="shared" si="211"/>
        <v>0.7317667361</v>
      </c>
      <c r="V197" s="519">
        <f t="shared" si="211"/>
        <v>0.7714650146</v>
      </c>
      <c r="W197" s="519">
        <f t="shared" si="211"/>
        <v>0.7195315851</v>
      </c>
      <c r="X197" s="519">
        <f t="shared" si="211"/>
        <v>0.7020086808</v>
      </c>
      <c r="Y197" s="519">
        <f t="shared" si="211"/>
        <v>0.7973554282</v>
      </c>
      <c r="Z197" s="519">
        <f t="shared" si="211"/>
        <v>0.761258947</v>
      </c>
      <c r="AA197" s="519">
        <f t="shared" si="211"/>
        <v>0.5654589701</v>
      </c>
      <c r="AB197" s="519">
        <f t="shared" si="211"/>
        <v>0.5724610591</v>
      </c>
      <c r="AC197" s="519">
        <f t="shared" si="211"/>
        <v>0.5605471658</v>
      </c>
      <c r="AD197" s="519">
        <f t="shared" si="211"/>
        <v>0.6443978064</v>
      </c>
      <c r="AE197" s="519">
        <f t="shared" si="211"/>
        <v>0.6578790633</v>
      </c>
      <c r="AF197" s="519">
        <f t="shared" si="211"/>
        <v>0.620422547</v>
      </c>
      <c r="AG197" s="519">
        <f t="shared" si="211"/>
        <v>0.6811077975</v>
      </c>
      <c r="AH197" s="519">
        <f t="shared" si="211"/>
        <v>0.6553933445</v>
      </c>
      <c r="AI197" s="519">
        <f t="shared" si="211"/>
        <v>0.6935606791</v>
      </c>
      <c r="AJ197" s="519">
        <f t="shared" si="211"/>
        <v>0.6358330184</v>
      </c>
      <c r="AK197" s="519">
        <f t="shared" si="211"/>
        <v>0.6717350699</v>
      </c>
      <c r="AL197" s="519">
        <f t="shared" si="211"/>
        <v>0.6777655621</v>
      </c>
      <c r="AM197" s="519">
        <f t="shared" si="211"/>
        <v>0.6802501772</v>
      </c>
      <c r="AN197" s="519">
        <f t="shared" si="211"/>
        <v>0.6175354681</v>
      </c>
      <c r="AO197" s="519">
        <f t="shared" si="211"/>
        <v>0.6821871542</v>
      </c>
      <c r="AP197" s="519">
        <f t="shared" si="211"/>
        <v>0.6870685002</v>
      </c>
      <c r="AQ197" s="519">
        <f t="shared" si="211"/>
        <v>0.6876262204</v>
      </c>
      <c r="AR197" s="519">
        <f t="shared" si="211"/>
        <v>0.63456682</v>
      </c>
      <c r="AS197" s="519">
        <f t="shared" si="211"/>
        <v>0.669829686</v>
      </c>
      <c r="AT197" s="519">
        <f t="shared" si="211"/>
        <v>0.6496839754</v>
      </c>
      <c r="AU197" s="519">
        <f t="shared" si="211"/>
        <v>0.6741803969</v>
      </c>
      <c r="AV197" s="519">
        <f t="shared" si="211"/>
        <v>0.6386233959</v>
      </c>
      <c r="AW197" s="519">
        <f t="shared" si="211"/>
        <v>0.6723113442</v>
      </c>
      <c r="AX197" s="519">
        <f t="shared" si="211"/>
        <v>0.6766909966</v>
      </c>
      <c r="AY197" s="519">
        <f t="shared" si="211"/>
        <v>0.6767348078</v>
      </c>
      <c r="AZ197" s="519">
        <f t="shared" si="211"/>
        <v>0.6121990819</v>
      </c>
      <c r="BA197" s="519">
        <f t="shared" si="211"/>
        <v>0.6699252941</v>
      </c>
      <c r="BB197" s="519">
        <f t="shared" si="211"/>
        <v>0.6745022261</v>
      </c>
      <c r="BC197" s="519">
        <f t="shared" si="211"/>
        <v>0.674689948</v>
      </c>
      <c r="BD197" s="519">
        <f t="shared" si="211"/>
        <v>0.6368179594</v>
      </c>
      <c r="BE197" s="519">
        <f t="shared" si="211"/>
        <v>0.6681335638</v>
      </c>
      <c r="BF197" s="519">
        <f t="shared" si="211"/>
        <v>0.6423732921</v>
      </c>
      <c r="BG197" s="519">
        <f t="shared" si="211"/>
        <v>0.6634044589</v>
      </c>
      <c r="BH197" s="519">
        <f t="shared" si="211"/>
        <v>0.6291071098</v>
      </c>
      <c r="BI197" s="519">
        <f t="shared" si="211"/>
        <v>0.6562555001</v>
      </c>
      <c r="BJ197" s="519">
        <f t="shared" si="211"/>
        <v>0.6600272025</v>
      </c>
      <c r="BK197" s="519">
        <f t="shared" si="211"/>
        <v>0.6597986284</v>
      </c>
      <c r="BL197" s="519">
        <f t="shared" si="211"/>
        <v>0.7333712268</v>
      </c>
      <c r="BM197" s="519">
        <f t="shared" si="211"/>
        <v>0.2714223139</v>
      </c>
      <c r="BN197" s="519">
        <f t="shared" si="211"/>
        <v>0.1240292142</v>
      </c>
      <c r="BO197" s="519">
        <f t="shared" si="211"/>
        <v>0.1278747295</v>
      </c>
      <c r="BP197" s="519">
        <f t="shared" si="211"/>
        <v>0.1040461006</v>
      </c>
      <c r="BQ197" s="519">
        <f t="shared" si="211"/>
        <v>0.1101711007</v>
      </c>
      <c r="BR197" s="519">
        <f t="shared" si="211"/>
        <v>0.1175723998</v>
      </c>
      <c r="BS197" s="519">
        <f t="shared" si="211"/>
        <v>0.118473476</v>
      </c>
      <c r="BT197" s="519">
        <f t="shared" si="211"/>
        <v>0.09420582179</v>
      </c>
      <c r="BU197" s="519">
        <f t="shared" si="211"/>
        <v>0.1015894724</v>
      </c>
      <c r="BV197" s="519">
        <f t="shared" si="211"/>
        <v>0.0710953411</v>
      </c>
      <c r="BW197" s="519">
        <f t="shared" si="211"/>
        <v>0.0750081566</v>
      </c>
      <c r="BX197" s="519">
        <f t="shared" si="211"/>
        <v>0.02003509759</v>
      </c>
      <c r="BY197" s="519">
        <f t="shared" si="211"/>
        <v>0.02115574755</v>
      </c>
      <c r="BZ197" s="519">
        <f t="shared" si="211"/>
        <v>0.02354651739</v>
      </c>
      <c r="CA197" s="519">
        <f t="shared" si="211"/>
        <v>0.02365475061</v>
      </c>
      <c r="CB197" s="519">
        <f t="shared" si="211"/>
        <v>-0.005323503619</v>
      </c>
      <c r="CC197" s="519">
        <f t="shared" si="211"/>
        <v>-0.001479969805</v>
      </c>
      <c r="CD197" s="519">
        <f t="shared" si="211"/>
        <v>0.004029569941</v>
      </c>
      <c r="CE197" s="519">
        <f t="shared" si="211"/>
        <v>0.006527517803</v>
      </c>
      <c r="CF197" s="519">
        <f t="shared" si="211"/>
        <v>-0.02137428829</v>
      </c>
      <c r="CG197" s="519">
        <f t="shared" si="211"/>
        <v>-0.01499767418</v>
      </c>
      <c r="CH197" s="519">
        <f t="shared" si="211"/>
        <v>-0.008529924116</v>
      </c>
      <c r="CI197" s="519">
        <f t="shared" si="211"/>
        <v>-0.005287115401</v>
      </c>
      <c r="CL197" s="519">
        <f t="shared" ref="CL197:CQ197" si="212">CL196/CL170</f>
        <v>-0.165895276</v>
      </c>
      <c r="CM197" s="519">
        <f t="shared" si="212"/>
        <v>-0.05328483882</v>
      </c>
      <c r="CN197" s="519">
        <f t="shared" si="212"/>
        <v>0.4379301271</v>
      </c>
      <c r="CO197" s="519">
        <f t="shared" si="212"/>
        <v>0.7932381087</v>
      </c>
      <c r="CP197" s="519">
        <f t="shared" si="212"/>
        <v>0.7664827485</v>
      </c>
      <c r="CQ197" s="519">
        <f t="shared" si="212"/>
        <v>0.7051831246</v>
      </c>
    </row>
    <row r="198" ht="15.75" customHeight="1">
      <c r="A198" s="136"/>
      <c r="B198" s="136"/>
      <c r="C198" s="517"/>
      <c r="D198" s="520"/>
      <c r="E198" s="520"/>
      <c r="F198" s="520"/>
      <c r="G198" s="520"/>
      <c r="H198" s="520"/>
      <c r="I198" s="520"/>
      <c r="J198" s="520"/>
      <c r="K198" s="520"/>
      <c r="L198" s="520"/>
      <c r="M198" s="520"/>
      <c r="N198" s="520"/>
      <c r="O198" s="519"/>
      <c r="P198" s="519"/>
      <c r="Q198" s="519"/>
      <c r="R198" s="519"/>
      <c r="S198" s="519"/>
      <c r="T198" s="519"/>
      <c r="U198" s="519"/>
      <c r="V198" s="519"/>
      <c r="W198" s="519"/>
      <c r="X198" s="519"/>
      <c r="Y198" s="519"/>
      <c r="Z198" s="519"/>
      <c r="AA198" s="519"/>
      <c r="AB198" s="519"/>
      <c r="AC198" s="519"/>
      <c r="AD198" s="519"/>
      <c r="AE198" s="519"/>
      <c r="AF198" s="519"/>
      <c r="AG198" s="519"/>
      <c r="AH198" s="519"/>
      <c r="AI198" s="519"/>
      <c r="AJ198" s="519"/>
      <c r="AK198" s="519"/>
      <c r="AL198" s="519"/>
      <c r="AM198" s="519"/>
      <c r="AN198" s="519"/>
      <c r="AO198" s="519"/>
      <c r="AP198" s="519"/>
      <c r="AQ198" s="519"/>
      <c r="AR198" s="519"/>
      <c r="AS198" s="519"/>
      <c r="AT198" s="519"/>
      <c r="AU198" s="519"/>
      <c r="AV198" s="519"/>
      <c r="AW198" s="519"/>
      <c r="AX198" s="519"/>
      <c r="AY198" s="519"/>
      <c r="AZ198" s="519"/>
      <c r="BA198" s="519"/>
      <c r="BB198" s="519"/>
      <c r="BC198" s="519"/>
      <c r="BD198" s="519"/>
      <c r="BE198" s="519"/>
      <c r="BF198" s="519"/>
      <c r="BG198" s="519"/>
      <c r="BH198" s="519"/>
      <c r="BI198" s="519"/>
      <c r="BJ198" s="519"/>
      <c r="BK198" s="519"/>
      <c r="BL198" s="519"/>
      <c r="BM198" s="519"/>
      <c r="BN198" s="519"/>
      <c r="BO198" s="519"/>
      <c r="BP198" s="519"/>
      <c r="BQ198" s="519"/>
      <c r="BR198" s="519"/>
      <c r="BS198" s="519"/>
      <c r="BT198" s="519"/>
      <c r="BU198" s="519"/>
      <c r="BV198" s="519"/>
      <c r="BW198" s="519"/>
      <c r="BX198" s="519"/>
      <c r="BY198" s="519"/>
      <c r="BZ198" s="519"/>
      <c r="CA198" s="519"/>
      <c r="CB198" s="519"/>
      <c r="CC198" s="519"/>
      <c r="CD198" s="519"/>
      <c r="CE198" s="519"/>
      <c r="CF198" s="519"/>
      <c r="CG198" s="519"/>
      <c r="CH198" s="519"/>
      <c r="CI198" s="519"/>
      <c r="CJ198" s="136"/>
      <c r="CK198" s="136"/>
      <c r="CL198" s="136"/>
      <c r="CM198" s="136"/>
      <c r="CN198" s="136"/>
      <c r="CO198" s="136"/>
      <c r="CP198" s="136"/>
      <c r="CQ198" s="136"/>
    </row>
    <row r="199" ht="15.75" customHeight="1">
      <c r="D199" s="247"/>
      <c r="E199" s="247"/>
      <c r="F199" s="247"/>
      <c r="G199" s="247"/>
      <c r="H199" s="247"/>
      <c r="I199" s="247"/>
      <c r="J199" s="247"/>
      <c r="K199" s="247"/>
      <c r="L199" s="247"/>
      <c r="M199" s="247"/>
      <c r="N199" s="247"/>
      <c r="O199" s="117"/>
      <c r="P199" s="117"/>
      <c r="Q199" s="117"/>
      <c r="R199" s="117"/>
      <c r="S199" s="117"/>
      <c r="T199" s="117"/>
      <c r="U199" s="117"/>
      <c r="V199" s="117"/>
      <c r="W199" s="117"/>
      <c r="X199" s="117"/>
      <c r="Y199" s="117"/>
      <c r="Z199" s="117"/>
      <c r="AA199" s="117"/>
      <c r="AB199" s="117"/>
      <c r="AC199" s="117"/>
      <c r="AD199" s="117"/>
      <c r="AE199" s="117"/>
      <c r="AF199" s="117"/>
      <c r="AG199" s="117"/>
      <c r="AH199" s="117"/>
      <c r="AI199" s="117"/>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7"/>
      <c r="BO199" s="117"/>
      <c r="BP199" s="117"/>
      <c r="BQ199" s="117"/>
      <c r="BR199" s="117"/>
      <c r="BS199" s="117"/>
      <c r="BT199" s="117"/>
      <c r="BU199" s="117"/>
      <c r="BV199" s="117"/>
      <c r="BW199" s="117"/>
      <c r="BX199" s="117"/>
      <c r="BY199" s="117"/>
      <c r="BZ199" s="117"/>
      <c r="CA199" s="117"/>
      <c r="CB199" s="117"/>
      <c r="CC199" s="117"/>
      <c r="CD199" s="117"/>
      <c r="CE199" s="117"/>
      <c r="CF199" s="117"/>
      <c r="CG199" s="117"/>
      <c r="CH199" s="117"/>
      <c r="CI199" s="117"/>
    </row>
    <row r="200" ht="15.75" customHeight="1">
      <c r="C200" s="115" t="s">
        <v>96</v>
      </c>
      <c r="D200" s="247"/>
      <c r="E200" s="247"/>
      <c r="F200" s="247"/>
      <c r="G200" s="247"/>
      <c r="H200" s="247"/>
      <c r="I200" s="247"/>
      <c r="J200" s="247"/>
      <c r="K200" s="247"/>
      <c r="L200" s="247"/>
      <c r="M200" s="247"/>
      <c r="N200" s="247"/>
      <c r="O200" s="117"/>
      <c r="P200" s="117"/>
      <c r="Q200" s="117"/>
      <c r="R200" s="117"/>
      <c r="S200" s="117"/>
      <c r="T200" s="117"/>
      <c r="U200" s="117"/>
      <c r="V200" s="117"/>
      <c r="W200" s="117"/>
      <c r="X200" s="117"/>
      <c r="Y200" s="117"/>
      <c r="Z200" s="117"/>
      <c r="AA200" s="117"/>
      <c r="AB200" s="117"/>
      <c r="AC200" s="117"/>
      <c r="AD200" s="117"/>
      <c r="AE200" s="117"/>
      <c r="AF200" s="117"/>
      <c r="AG200" s="117"/>
      <c r="AH200" s="117"/>
      <c r="AI200" s="117"/>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7"/>
      <c r="BO200" s="117"/>
      <c r="BP200" s="117"/>
      <c r="BQ200" s="117"/>
      <c r="BR200" s="117"/>
      <c r="BS200" s="117"/>
      <c r="BT200" s="117"/>
      <c r="BU200" s="117"/>
      <c r="BV200" s="117"/>
      <c r="BW200" s="117"/>
      <c r="BX200" s="117"/>
      <c r="BY200" s="117"/>
      <c r="BZ200" s="117"/>
      <c r="CA200" s="117"/>
      <c r="CB200" s="117"/>
      <c r="CC200" s="117"/>
      <c r="CD200" s="117"/>
      <c r="CE200" s="117"/>
      <c r="CF200" s="117"/>
      <c r="CG200" s="117"/>
      <c r="CH200" s="117"/>
      <c r="CI200" s="117"/>
    </row>
    <row r="201" ht="15.75" customHeight="1" outlineLevel="1">
      <c r="C201" s="129"/>
      <c r="D201" s="247"/>
      <c r="E201" s="247"/>
      <c r="F201" s="247"/>
      <c r="G201" s="247"/>
      <c r="H201" s="247"/>
      <c r="I201" s="247"/>
      <c r="J201" s="247"/>
      <c r="K201" s="247"/>
      <c r="L201" s="247"/>
      <c r="M201" s="247"/>
      <c r="N201" s="247"/>
      <c r="O201" s="117"/>
      <c r="P201" s="117"/>
      <c r="Q201" s="117"/>
      <c r="R201" s="117"/>
      <c r="S201" s="117"/>
      <c r="T201" s="117"/>
      <c r="U201" s="117"/>
      <c r="V201" s="117"/>
      <c r="W201" s="117"/>
      <c r="X201" s="117"/>
      <c r="Y201" s="117"/>
      <c r="Z201" s="117"/>
      <c r="AA201" s="117"/>
      <c r="AB201" s="117"/>
      <c r="AC201" s="117"/>
      <c r="AD201" s="117"/>
      <c r="AE201" s="117"/>
      <c r="AF201" s="117"/>
      <c r="AG201" s="117"/>
      <c r="AH201" s="117"/>
      <c r="AI201" s="117"/>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7"/>
      <c r="BO201" s="117"/>
      <c r="BP201" s="117"/>
      <c r="BQ201" s="117"/>
      <c r="BR201" s="117"/>
      <c r="BS201" s="117"/>
      <c r="BT201" s="117"/>
      <c r="BU201" s="117"/>
      <c r="BV201" s="117"/>
      <c r="BW201" s="117"/>
      <c r="BX201" s="117"/>
      <c r="BY201" s="117"/>
      <c r="BZ201" s="117"/>
      <c r="CA201" s="117"/>
      <c r="CB201" s="117"/>
      <c r="CC201" s="117"/>
      <c r="CD201" s="117"/>
      <c r="CE201" s="117"/>
      <c r="CF201" s="117"/>
      <c r="CG201" s="117"/>
      <c r="CH201" s="117"/>
      <c r="CI201" s="117"/>
    </row>
    <row r="202" ht="15.75" customHeight="1" outlineLevel="1">
      <c r="C202" s="257" t="s">
        <v>815</v>
      </c>
      <c r="D202" s="247">
        <f>Revenue!C11</f>
        <v>39950</v>
      </c>
      <c r="E202" s="247">
        <f>Revenue!D11</f>
        <v>38867</v>
      </c>
      <c r="F202" s="247">
        <f>Revenue!E11</f>
        <v>36759</v>
      </c>
      <c r="G202" s="247">
        <f>Revenue!F11</f>
        <v>25125</v>
      </c>
      <c r="H202" s="247">
        <f>Revenue!G11</f>
        <v>36781</v>
      </c>
      <c r="I202" s="247">
        <f>Revenue!H11</f>
        <v>37960</v>
      </c>
      <c r="J202" s="247">
        <f>Revenue!I11</f>
        <v>26320</v>
      </c>
      <c r="K202" s="247">
        <f>Revenue!J11</f>
        <v>26527</v>
      </c>
      <c r="L202" s="247">
        <f>Revenue!K11</f>
        <v>20651</v>
      </c>
      <c r="M202" s="247">
        <f>Revenue!L11</f>
        <v>39016</v>
      </c>
      <c r="N202" s="247">
        <f>Revenue!M11</f>
        <v>30718</v>
      </c>
      <c r="O202" s="247">
        <f>Revenue!N11</f>
        <v>20546</v>
      </c>
      <c r="P202" s="247">
        <f>Revenue!O11</f>
        <v>35731</v>
      </c>
      <c r="Q202" s="247">
        <f>Revenue!P11</f>
        <v>22841</v>
      </c>
      <c r="R202" s="247">
        <f>Revenue!Q11</f>
        <v>24132</v>
      </c>
      <c r="S202" s="247">
        <f>Revenue!R11</f>
        <v>24634</v>
      </c>
      <c r="T202" s="247">
        <f>Revenue!S11</f>
        <v>24667</v>
      </c>
      <c r="U202" s="247">
        <f>Revenue!T11</f>
        <v>35176</v>
      </c>
      <c r="V202" s="247">
        <f>Revenue!U11</f>
        <v>37262</v>
      </c>
      <c r="W202" s="247">
        <v>82917.0</v>
      </c>
      <c r="X202" s="247">
        <v>55833.0</v>
      </c>
      <c r="Y202" s="247">
        <f>Revenue!X11</f>
        <v>23322</v>
      </c>
      <c r="Z202" s="247">
        <f>Revenue!Y11</f>
        <v>35512</v>
      </c>
      <c r="AA202" s="117">
        <f>Revenue!Z11</f>
        <v>50000</v>
      </c>
      <c r="AB202" s="117">
        <f>Revenue!AA11</f>
        <v>50000</v>
      </c>
      <c r="AC202" s="117">
        <f>Revenue!AB11</f>
        <v>50000</v>
      </c>
      <c r="AD202" s="117">
        <f>Revenue!AC11</f>
        <v>50000</v>
      </c>
      <c r="AE202" s="117">
        <f>Revenue!AD11</f>
        <v>50000</v>
      </c>
      <c r="AF202" s="117">
        <f>Revenue!AE11</f>
        <v>50000</v>
      </c>
      <c r="AG202" s="117">
        <f>Revenue!AF11</f>
        <v>50000</v>
      </c>
      <c r="AH202" s="117">
        <f>Revenue!AG11</f>
        <v>50000</v>
      </c>
      <c r="AI202" s="117">
        <f>Revenue!AH11</f>
        <v>50000</v>
      </c>
      <c r="AJ202" s="117">
        <f>Revenue!AI11</f>
        <v>50000</v>
      </c>
      <c r="AK202" s="117">
        <f>Revenue!AJ11</f>
        <v>50000</v>
      </c>
      <c r="AL202" s="117">
        <f>Revenue!AK11</f>
        <v>50000</v>
      </c>
      <c r="AM202" s="117">
        <f>Revenue!AL11</f>
        <v>50000</v>
      </c>
      <c r="AN202" s="117">
        <f>Revenue!AM11</f>
        <v>75000</v>
      </c>
      <c r="AO202" s="117">
        <f>Revenue!AN11</f>
        <v>75000</v>
      </c>
      <c r="AP202" s="117">
        <f>Revenue!AO11</f>
        <v>75000</v>
      </c>
      <c r="AQ202" s="117">
        <f>Revenue!AP11</f>
        <v>75000</v>
      </c>
      <c r="AR202" s="117">
        <f>Revenue!AQ11</f>
        <v>75000</v>
      </c>
      <c r="AS202" s="117">
        <f>Revenue!AR11</f>
        <v>75000</v>
      </c>
      <c r="AT202" s="117">
        <f>Revenue!AS11</f>
        <v>75000</v>
      </c>
      <c r="AU202" s="117">
        <f>Revenue!AT11</f>
        <v>75000</v>
      </c>
      <c r="AV202" s="117">
        <f>Revenue!AU11</f>
        <v>75000</v>
      </c>
      <c r="AW202" s="117">
        <f>Revenue!AV11</f>
        <v>75000</v>
      </c>
      <c r="AX202" s="117">
        <f>Revenue!AW11</f>
        <v>75000</v>
      </c>
      <c r="AY202" s="117">
        <f>Revenue!AX11</f>
        <v>75000</v>
      </c>
      <c r="AZ202" s="117">
        <f>Revenue!AY11</f>
        <v>100000</v>
      </c>
      <c r="BA202" s="117">
        <f>Revenue!AZ11</f>
        <v>100000</v>
      </c>
      <c r="BB202" s="117">
        <f>Revenue!BA11</f>
        <v>100000</v>
      </c>
      <c r="BC202" s="117">
        <f>Revenue!BB11</f>
        <v>100000</v>
      </c>
      <c r="BD202" s="117">
        <f>Revenue!BC11</f>
        <v>100000</v>
      </c>
      <c r="BE202" s="117">
        <f>Revenue!BD11</f>
        <v>100000</v>
      </c>
      <c r="BF202" s="117">
        <f>Revenue!BE11</f>
        <v>100000</v>
      </c>
      <c r="BG202" s="117">
        <f>Revenue!BF11</f>
        <v>100000</v>
      </c>
      <c r="BH202" s="117">
        <f>Revenue!BG11</f>
        <v>100000</v>
      </c>
      <c r="BI202" s="117">
        <f>Revenue!BH11</f>
        <v>100000</v>
      </c>
      <c r="BJ202" s="117">
        <f>Revenue!BI11</f>
        <v>100000</v>
      </c>
      <c r="BK202" s="117">
        <f>Revenue!BJ11</f>
        <v>100000</v>
      </c>
      <c r="BL202" s="117">
        <f>Revenue!BK11</f>
        <v>100000</v>
      </c>
      <c r="BM202" s="117">
        <f>Revenue!BL11</f>
        <v>100000</v>
      </c>
      <c r="BN202" s="117">
        <f>Revenue!BM11</f>
        <v>100000</v>
      </c>
      <c r="BO202" s="117">
        <f>Revenue!BN11</f>
        <v>100000</v>
      </c>
      <c r="BP202" s="117">
        <f>Revenue!BO11</f>
        <v>100000</v>
      </c>
      <c r="BQ202" s="117">
        <f>Revenue!BP11</f>
        <v>100000</v>
      </c>
      <c r="BR202" s="117">
        <f>Revenue!BQ11</f>
        <v>100000</v>
      </c>
      <c r="BS202" s="117">
        <f>Revenue!BR11</f>
        <v>100000</v>
      </c>
      <c r="BT202" s="117">
        <f>Revenue!BS11</f>
        <v>100000</v>
      </c>
      <c r="BU202" s="117">
        <f>Revenue!BT11</f>
        <v>100000</v>
      </c>
      <c r="BV202" s="117">
        <f>Revenue!BU11</f>
        <v>100000</v>
      </c>
      <c r="BW202" s="117">
        <f>Revenue!BV11</f>
        <v>100000</v>
      </c>
      <c r="BX202" s="117">
        <f>Revenue!BW11</f>
        <v>100000</v>
      </c>
      <c r="BY202" s="117">
        <f>Revenue!BX11</f>
        <v>100000</v>
      </c>
      <c r="BZ202" s="117">
        <f>Revenue!BY11</f>
        <v>100000</v>
      </c>
      <c r="CA202" s="117">
        <f>Revenue!BZ11</f>
        <v>100000</v>
      </c>
      <c r="CB202" s="117">
        <f>Revenue!CA11</f>
        <v>100000</v>
      </c>
      <c r="CC202" s="117">
        <f>Revenue!CB11</f>
        <v>100000</v>
      </c>
      <c r="CD202" s="117">
        <f>Revenue!CC11</f>
        <v>100000</v>
      </c>
      <c r="CE202" s="117">
        <f>Revenue!CD11</f>
        <v>100000</v>
      </c>
      <c r="CF202" s="117">
        <f>Revenue!CE11</f>
        <v>100000</v>
      </c>
      <c r="CG202" s="117">
        <f>Revenue!CF11</f>
        <v>100000</v>
      </c>
      <c r="CH202" s="117">
        <f>Revenue!CG11</f>
        <v>100000</v>
      </c>
      <c r="CI202" s="117">
        <f>Revenue!CH11</f>
        <v>100000</v>
      </c>
      <c r="CL202" s="117">
        <f>SUM(D202:G202)</f>
        <v>140701</v>
      </c>
      <c r="CM202" s="117">
        <f>SUM(H202:K202)</f>
        <v>127588</v>
      </c>
      <c r="CN202" s="117">
        <f>SUM(L202:O202)</f>
        <v>110931</v>
      </c>
      <c r="CO202" s="117">
        <f>SUM(P202:S202)</f>
        <v>107338</v>
      </c>
      <c r="CP202" s="117">
        <f>SUM(T202:W202)</f>
        <v>180022</v>
      </c>
      <c r="CQ202" s="117">
        <f>SUM(X202:AA202)</f>
        <v>164667</v>
      </c>
    </row>
    <row r="203" ht="15.75" customHeight="1" outlineLevel="1">
      <c r="C203" s="257" t="s">
        <v>799</v>
      </c>
      <c r="D203" s="513">
        <f t="shared" ref="D203:CI203" si="213">D202/D$5</f>
        <v>0.05167159886</v>
      </c>
      <c r="E203" s="513">
        <f t="shared" si="213"/>
        <v>0.04128541717</v>
      </c>
      <c r="F203" s="513">
        <f t="shared" si="213"/>
        <v>0.0411411035</v>
      </c>
      <c r="G203" s="513">
        <f t="shared" si="213"/>
        <v>0.02389559551</v>
      </c>
      <c r="H203" s="513">
        <f t="shared" si="213"/>
        <v>0.04108800951</v>
      </c>
      <c r="I203" s="513">
        <f t="shared" si="213"/>
        <v>0.03906692217</v>
      </c>
      <c r="J203" s="513">
        <f t="shared" si="213"/>
        <v>0.03249791949</v>
      </c>
      <c r="K203" s="513">
        <f t="shared" si="213"/>
        <v>0.03410543152</v>
      </c>
      <c r="L203" s="513">
        <f t="shared" si="213"/>
        <v>0.02459357073</v>
      </c>
      <c r="M203" s="513">
        <f t="shared" si="213"/>
        <v>0.04351230001</v>
      </c>
      <c r="N203" s="513">
        <f t="shared" si="213"/>
        <v>0.03521018594</v>
      </c>
      <c r="O203" s="513">
        <f t="shared" si="213"/>
        <v>0.02044605966</v>
      </c>
      <c r="P203" s="513">
        <f t="shared" si="213"/>
        <v>0.03164625911</v>
      </c>
      <c r="Q203" s="513">
        <f t="shared" si="213"/>
        <v>0.02349739987</v>
      </c>
      <c r="R203" s="513">
        <f t="shared" si="213"/>
        <v>0.02265485795</v>
      </c>
      <c r="S203" s="513">
        <f t="shared" si="213"/>
        <v>0.02114549999</v>
      </c>
      <c r="T203" s="513">
        <f t="shared" si="213"/>
        <v>0.0216146826</v>
      </c>
      <c r="U203" s="513">
        <f t="shared" si="213"/>
        <v>0.03427177353</v>
      </c>
      <c r="V203" s="513">
        <f t="shared" si="213"/>
        <v>0.03436052827</v>
      </c>
      <c r="W203" s="513">
        <f t="shared" si="213"/>
        <v>0.0646808743</v>
      </c>
      <c r="X203" s="513">
        <f t="shared" si="213"/>
        <v>0.04636160273</v>
      </c>
      <c r="Y203" s="513">
        <f t="shared" si="213"/>
        <v>0.02167186115</v>
      </c>
      <c r="Z203" s="513">
        <f t="shared" si="213"/>
        <v>0.03291088797</v>
      </c>
      <c r="AA203" s="130">
        <f t="shared" si="213"/>
        <v>0.03531595627</v>
      </c>
      <c r="AB203" s="130">
        <f t="shared" si="213"/>
        <v>0.02998579168</v>
      </c>
      <c r="AC203" s="130">
        <f t="shared" si="213"/>
        <v>0.02609379573</v>
      </c>
      <c r="AD203" s="130">
        <f t="shared" si="213"/>
        <v>0.02332167986</v>
      </c>
      <c r="AE203" s="130">
        <f t="shared" si="213"/>
        <v>0.02116822772</v>
      </c>
      <c r="AF203" s="130">
        <f t="shared" si="213"/>
        <v>0.01938936137</v>
      </c>
      <c r="AG203" s="130">
        <f t="shared" si="213"/>
        <v>0.01787811887</v>
      </c>
      <c r="AH203" s="130">
        <f t="shared" si="213"/>
        <v>0.01670445779</v>
      </c>
      <c r="AI203" s="130">
        <f t="shared" si="213"/>
        <v>0.01569406209</v>
      </c>
      <c r="AJ203" s="130">
        <f t="shared" si="213"/>
        <v>0.01481662036</v>
      </c>
      <c r="AK203" s="130">
        <f t="shared" si="213"/>
        <v>0.01408459365</v>
      </c>
      <c r="AL203" s="130">
        <f t="shared" si="213"/>
        <v>0.01342759705</v>
      </c>
      <c r="AM203" s="130">
        <f t="shared" si="213"/>
        <v>0.01282196674</v>
      </c>
      <c r="AN203" s="130">
        <f t="shared" si="213"/>
        <v>0.01841250751</v>
      </c>
      <c r="AO203" s="130">
        <f t="shared" si="213"/>
        <v>0.01827367675</v>
      </c>
      <c r="AP203" s="130">
        <f t="shared" si="213"/>
        <v>0.01808251768</v>
      </c>
      <c r="AQ203" s="130">
        <f t="shared" si="213"/>
        <v>0.01784060841</v>
      </c>
      <c r="AR203" s="130">
        <f t="shared" si="213"/>
        <v>0.01759077377</v>
      </c>
      <c r="AS203" s="130">
        <f t="shared" si="213"/>
        <v>0.01733825202</v>
      </c>
      <c r="AT203" s="130">
        <f t="shared" si="213"/>
        <v>0.01709552182</v>
      </c>
      <c r="AU203" s="130">
        <f t="shared" si="213"/>
        <v>0.01681138562</v>
      </c>
      <c r="AV203" s="130">
        <f t="shared" si="213"/>
        <v>0.01658884948</v>
      </c>
      <c r="AW203" s="130">
        <f t="shared" si="213"/>
        <v>0.01637516511</v>
      </c>
      <c r="AX203" s="130">
        <f t="shared" si="213"/>
        <v>0.01616975867</v>
      </c>
      <c r="AY203" s="130">
        <f t="shared" si="213"/>
        <v>0.01597208092</v>
      </c>
      <c r="AZ203" s="130">
        <f t="shared" si="213"/>
        <v>0.02074373508</v>
      </c>
      <c r="BA203" s="130">
        <f t="shared" si="213"/>
        <v>0.02034647518</v>
      </c>
      <c r="BB203" s="130">
        <f t="shared" si="213"/>
        <v>0.01997571785</v>
      </c>
      <c r="BC203" s="130">
        <f t="shared" si="213"/>
        <v>0.01962726969</v>
      </c>
      <c r="BD203" s="130">
        <f t="shared" si="213"/>
        <v>0.01929817401</v>
      </c>
      <c r="BE203" s="130">
        <f t="shared" si="213"/>
        <v>0.01898626786</v>
      </c>
      <c r="BF203" s="130">
        <f t="shared" si="213"/>
        <v>0.01868980847</v>
      </c>
      <c r="BG203" s="130">
        <f t="shared" si="213"/>
        <v>0.01840733777</v>
      </c>
      <c r="BH203" s="130">
        <f t="shared" si="213"/>
        <v>0.01813761109</v>
      </c>
      <c r="BI203" s="130">
        <f t="shared" si="213"/>
        <v>0.01787955094</v>
      </c>
      <c r="BJ203" s="130">
        <f t="shared" si="213"/>
        <v>0.01763221433</v>
      </c>
      <c r="BK203" s="130">
        <f t="shared" si="213"/>
        <v>0.0173947685</v>
      </c>
      <c r="BL203" s="130">
        <f t="shared" si="213"/>
        <v>0.01706268492</v>
      </c>
      <c r="BM203" s="130">
        <f t="shared" si="213"/>
        <v>0.01681352519</v>
      </c>
      <c r="BN203" s="130">
        <f t="shared" si="213"/>
        <v>0.01659407135</v>
      </c>
      <c r="BO203" s="130">
        <f t="shared" si="213"/>
        <v>0.01638444422</v>
      </c>
      <c r="BP203" s="130">
        <f t="shared" si="213"/>
        <v>0.01618104683</v>
      </c>
      <c r="BQ203" s="130">
        <f t="shared" si="213"/>
        <v>0.01598353741</v>
      </c>
      <c r="BR203" s="130">
        <f t="shared" si="213"/>
        <v>0.01579154314</v>
      </c>
      <c r="BS203" s="130">
        <f t="shared" si="213"/>
        <v>0.01560472089</v>
      </c>
      <c r="BT203" s="130">
        <f t="shared" si="213"/>
        <v>0.01542275676</v>
      </c>
      <c r="BU203" s="130">
        <f t="shared" si="213"/>
        <v>0.01524536168</v>
      </c>
      <c r="BV203" s="130">
        <f t="shared" si="213"/>
        <v>0.01507226814</v>
      </c>
      <c r="BW203" s="130">
        <f t="shared" si="213"/>
        <v>0.01490322797</v>
      </c>
      <c r="BX203" s="130">
        <f t="shared" si="213"/>
        <v>0.01467810473</v>
      </c>
      <c r="BY203" s="130">
        <f t="shared" si="213"/>
        <v>0.01457519653</v>
      </c>
      <c r="BZ203" s="130">
        <f t="shared" si="213"/>
        <v>0.01447817081</v>
      </c>
      <c r="CA203" s="130">
        <f t="shared" si="213"/>
        <v>0.01437746582</v>
      </c>
      <c r="CB203" s="130">
        <f t="shared" si="213"/>
        <v>0.01427530306</v>
      </c>
      <c r="CC203" s="130">
        <f t="shared" si="213"/>
        <v>0.0141732875</v>
      </c>
      <c r="CD203" s="130">
        <f t="shared" si="213"/>
        <v>0.01407206778</v>
      </c>
      <c r="CE203" s="130">
        <f t="shared" si="213"/>
        <v>0.01397195564</v>
      </c>
      <c r="CF203" s="130">
        <f t="shared" si="213"/>
        <v>0.01387310977</v>
      </c>
      <c r="CG203" s="130">
        <f t="shared" si="213"/>
        <v>0.01377560555</v>
      </c>
      <c r="CH203" s="130">
        <f t="shared" si="213"/>
        <v>0.01367946782</v>
      </c>
      <c r="CI203" s="130">
        <f t="shared" si="213"/>
        <v>0.01358468902</v>
      </c>
      <c r="CL203" s="130">
        <f t="shared" ref="CL203:CQ203" si="214">CL202/CL$5</f>
        <v>0.0384480541</v>
      </c>
      <c r="CM203" s="130">
        <f t="shared" si="214"/>
        <v>0.03693349088</v>
      </c>
      <c r="CN203" s="130">
        <f t="shared" si="214"/>
        <v>0.03069766052</v>
      </c>
      <c r="CO203" s="130">
        <f t="shared" si="214"/>
        <v>0.02478183315</v>
      </c>
      <c r="CP203" s="130">
        <f t="shared" si="214"/>
        <v>0.03970506273</v>
      </c>
      <c r="CQ203" s="130">
        <f t="shared" si="214"/>
        <v>0.0344833462</v>
      </c>
    </row>
    <row r="204" ht="15.75" customHeight="1" outlineLevel="1">
      <c r="C204" s="129"/>
      <c r="D204" s="247"/>
      <c r="E204" s="247"/>
      <c r="F204" s="247"/>
      <c r="G204" s="247"/>
      <c r="H204" s="247"/>
      <c r="I204" s="247"/>
      <c r="J204" s="247"/>
      <c r="K204" s="247"/>
      <c r="L204" s="247"/>
      <c r="M204" s="247"/>
      <c r="N204" s="247"/>
      <c r="O204" s="247"/>
      <c r="P204" s="247"/>
      <c r="Q204" s="117"/>
      <c r="R204" s="117"/>
      <c r="S204" s="117"/>
      <c r="T204" s="117"/>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7"/>
      <c r="BO204" s="117"/>
      <c r="BP204" s="117"/>
      <c r="BQ204" s="117"/>
      <c r="BR204" s="117"/>
      <c r="BS204" s="117"/>
      <c r="BT204" s="117"/>
      <c r="BU204" s="117"/>
      <c r="BV204" s="117"/>
      <c r="BW204" s="117"/>
      <c r="BX204" s="117"/>
      <c r="BY204" s="117"/>
      <c r="BZ204" s="117"/>
      <c r="CA204" s="117"/>
      <c r="CB204" s="117"/>
      <c r="CC204" s="117"/>
      <c r="CD204" s="117"/>
      <c r="CE204" s="117"/>
      <c r="CF204" s="117"/>
      <c r="CG204" s="117"/>
      <c r="CH204" s="117"/>
      <c r="CI204" s="117"/>
      <c r="CL204" s="117"/>
      <c r="CM204" s="117"/>
      <c r="CN204" s="117"/>
      <c r="CO204" s="117"/>
      <c r="CP204" s="117"/>
      <c r="CQ204" s="117"/>
    </row>
    <row r="205" ht="15.75" customHeight="1" outlineLevel="1">
      <c r="A205" s="1" t="s">
        <v>96</v>
      </c>
      <c r="B205" s="91" t="s">
        <v>63</v>
      </c>
      <c r="C205" s="132" t="s">
        <v>206</v>
      </c>
      <c r="D205" s="247">
        <f t="shared" ref="D205:Z205" si="215">RANDBETWEEN(0,5000)</f>
        <v>4658</v>
      </c>
      <c r="E205" s="247">
        <f t="shared" si="215"/>
        <v>4009</v>
      </c>
      <c r="F205" s="247">
        <f t="shared" si="215"/>
        <v>2634</v>
      </c>
      <c r="G205" s="247">
        <f t="shared" si="215"/>
        <v>4726</v>
      </c>
      <c r="H205" s="247">
        <f t="shared" si="215"/>
        <v>4905</v>
      </c>
      <c r="I205" s="247">
        <f t="shared" si="215"/>
        <v>517</v>
      </c>
      <c r="J205" s="247">
        <f t="shared" si="215"/>
        <v>3220</v>
      </c>
      <c r="K205" s="247">
        <f t="shared" si="215"/>
        <v>3708</v>
      </c>
      <c r="L205" s="247">
        <f t="shared" si="215"/>
        <v>3507</v>
      </c>
      <c r="M205" s="247">
        <f t="shared" si="215"/>
        <v>2480</v>
      </c>
      <c r="N205" s="247">
        <f t="shared" si="215"/>
        <v>4968</v>
      </c>
      <c r="O205" s="247">
        <f t="shared" si="215"/>
        <v>1822</v>
      </c>
      <c r="P205" s="247">
        <f t="shared" si="215"/>
        <v>2417</v>
      </c>
      <c r="Q205" s="247">
        <f t="shared" si="215"/>
        <v>694</v>
      </c>
      <c r="R205" s="247">
        <f t="shared" si="215"/>
        <v>2655</v>
      </c>
      <c r="S205" s="247">
        <f t="shared" si="215"/>
        <v>85</v>
      </c>
      <c r="T205" s="247">
        <f t="shared" si="215"/>
        <v>4675</v>
      </c>
      <c r="U205" s="247">
        <f t="shared" si="215"/>
        <v>3849</v>
      </c>
      <c r="V205" s="247">
        <f t="shared" si="215"/>
        <v>233</v>
      </c>
      <c r="W205" s="247">
        <f t="shared" si="215"/>
        <v>1586</v>
      </c>
      <c r="X205" s="247">
        <f t="shared" si="215"/>
        <v>612</v>
      </c>
      <c r="Y205" s="247">
        <f t="shared" si="215"/>
        <v>429</v>
      </c>
      <c r="Z205" s="247">
        <f t="shared" si="215"/>
        <v>2419</v>
      </c>
      <c r="AA205" s="116">
        <f>Headcount!S83</f>
        <v>2419</v>
      </c>
      <c r="AB205" s="116">
        <f>Headcount!T83</f>
        <v>2527.855</v>
      </c>
      <c r="AC205" s="116">
        <f>Headcount!U83</f>
        <v>2527.855</v>
      </c>
      <c r="AD205" s="116">
        <f>Headcount!V83</f>
        <v>2527.855</v>
      </c>
      <c r="AE205" s="116">
        <f>Headcount!W83</f>
        <v>2527.855</v>
      </c>
      <c r="AF205" s="116">
        <f>Headcount!X83</f>
        <v>2641.608475</v>
      </c>
      <c r="AG205" s="116">
        <f>Headcount!Y83</f>
        <v>2641.608475</v>
      </c>
      <c r="AH205" s="116">
        <f>Headcount!Z83</f>
        <v>2641.608475</v>
      </c>
      <c r="AI205" s="116">
        <f>Headcount!AA83</f>
        <v>2641.608475</v>
      </c>
      <c r="AJ205" s="116">
        <f>Headcount!AB83</f>
        <v>2760.480856</v>
      </c>
      <c r="AK205" s="116">
        <f>Headcount!AC83</f>
        <v>2760.480856</v>
      </c>
      <c r="AL205" s="116">
        <f>Headcount!AD83</f>
        <v>2760.480856</v>
      </c>
      <c r="AM205" s="116">
        <f>Headcount!AE83</f>
        <v>2760.480856</v>
      </c>
      <c r="AN205" s="116">
        <f>Headcount!AF83</f>
        <v>2870.900091</v>
      </c>
      <c r="AO205" s="116">
        <f>Headcount!AG83</f>
        <v>2870.900091</v>
      </c>
      <c r="AP205" s="116">
        <f>Headcount!AH83</f>
        <v>2870.900091</v>
      </c>
      <c r="AQ205" s="116">
        <f>Headcount!AI83</f>
        <v>2870.900091</v>
      </c>
      <c r="AR205" s="116">
        <f>Headcount!AJ83</f>
        <v>2985.736094</v>
      </c>
      <c r="AS205" s="116">
        <f>Headcount!AK83</f>
        <v>2985.736094</v>
      </c>
      <c r="AT205" s="116">
        <f>Headcount!AL83</f>
        <v>2985.736094</v>
      </c>
      <c r="AU205" s="116">
        <f>Headcount!AM83</f>
        <v>2985.736094</v>
      </c>
      <c r="AV205" s="116">
        <f>Headcount!AN83</f>
        <v>3105.165538</v>
      </c>
      <c r="AW205" s="116">
        <f>Headcount!AO83</f>
        <v>3105.165538</v>
      </c>
      <c r="AX205" s="116">
        <f>Headcount!AP83</f>
        <v>3105.165538</v>
      </c>
      <c r="AY205" s="116">
        <f>Headcount!AQ83</f>
        <v>3105.165538</v>
      </c>
      <c r="AZ205" s="116">
        <f>Headcount!AR83</f>
        <v>3229.37216</v>
      </c>
      <c r="BA205" s="116">
        <f>Headcount!AS83</f>
        <v>15395.90118</v>
      </c>
      <c r="BB205" s="116">
        <f>Headcount!AT83</f>
        <v>15395.90118</v>
      </c>
      <c r="BC205" s="116">
        <f>Headcount!AU83</f>
        <v>15395.90118</v>
      </c>
      <c r="BD205" s="116">
        <f>Headcount!AV83</f>
        <v>16011.73723</v>
      </c>
      <c r="BE205" s="116">
        <f>Headcount!AW83</f>
        <v>16011.73723</v>
      </c>
      <c r="BF205" s="116">
        <f>Headcount!AX83</f>
        <v>16011.73723</v>
      </c>
      <c r="BG205" s="116">
        <f>Headcount!AY83</f>
        <v>16011.73723</v>
      </c>
      <c r="BH205" s="116">
        <f>Headcount!AZ83</f>
        <v>16652.20672</v>
      </c>
      <c r="BI205" s="116">
        <f>Headcount!BA83</f>
        <v>16652.20672</v>
      </c>
      <c r="BJ205" s="116">
        <f>Headcount!BB83</f>
        <v>16652.20672</v>
      </c>
      <c r="BK205" s="116">
        <f>Headcount!BC83</f>
        <v>16652.20672</v>
      </c>
      <c r="BL205" s="116">
        <f>Headcount!BD83</f>
        <v>17318.29499</v>
      </c>
      <c r="BM205" s="116">
        <f>Headcount!BE83</f>
        <v>17318.29499</v>
      </c>
      <c r="BN205" s="116">
        <f>Headcount!BF83</f>
        <v>17318.29499</v>
      </c>
      <c r="BO205" s="116">
        <f>Headcount!BG83</f>
        <v>17318.29499</v>
      </c>
      <c r="BP205" s="116">
        <f>Headcount!BH83</f>
        <v>18011.02679</v>
      </c>
      <c r="BQ205" s="116">
        <f>Headcount!BI83</f>
        <v>18011.02679</v>
      </c>
      <c r="BR205" s="116">
        <f>Headcount!BJ83</f>
        <v>18011.02679</v>
      </c>
      <c r="BS205" s="116">
        <f>Headcount!BK83</f>
        <v>18011.02679</v>
      </c>
      <c r="BT205" s="116">
        <f>Headcount!BL83</f>
        <v>18731.46786</v>
      </c>
      <c r="BU205" s="116">
        <f>Headcount!BM83</f>
        <v>18731.46786</v>
      </c>
      <c r="BV205" s="116">
        <f>Headcount!BN83</f>
        <v>18731.46786</v>
      </c>
      <c r="BW205" s="116">
        <f>Headcount!BO83</f>
        <v>18731.46786</v>
      </c>
      <c r="BX205" s="116">
        <f>Headcount!BP83</f>
        <v>19480.72657</v>
      </c>
      <c r="BY205" s="116">
        <f>Headcount!BQ83</f>
        <v>19480.72657</v>
      </c>
      <c r="BZ205" s="116">
        <f>Headcount!BR83</f>
        <v>19480.72657</v>
      </c>
      <c r="CA205" s="116">
        <f>Headcount!BS83</f>
        <v>19480.72657</v>
      </c>
      <c r="CB205" s="116">
        <f>Headcount!BT83</f>
        <v>20259.95564</v>
      </c>
      <c r="CC205" s="116">
        <f>Headcount!BU83</f>
        <v>20259.95564</v>
      </c>
      <c r="CD205" s="116">
        <f>Headcount!BV83</f>
        <v>20259.95564</v>
      </c>
      <c r="CE205" s="116">
        <f>Headcount!BW83</f>
        <v>20259.95564</v>
      </c>
      <c r="CF205" s="116">
        <f>Headcount!BX83</f>
        <v>21070.35386</v>
      </c>
      <c r="CG205" s="116">
        <f>Headcount!BY83</f>
        <v>21070.35386</v>
      </c>
      <c r="CH205" s="116">
        <f>Headcount!BZ83</f>
        <v>21070.35386</v>
      </c>
      <c r="CI205" s="116">
        <f>Headcount!CA83</f>
        <v>21070.35386</v>
      </c>
      <c r="CL205" s="117">
        <f t="shared" ref="CL205:CL216" si="217">SUM(D205:G205)</f>
        <v>16027</v>
      </c>
      <c r="CM205" s="117">
        <f t="shared" ref="CM205:CM216" si="218">SUM(H205:K205)</f>
        <v>12350</v>
      </c>
      <c r="CN205" s="117">
        <f t="shared" ref="CN205:CN216" si="219">SUM(L205:O205)</f>
        <v>12777</v>
      </c>
      <c r="CO205" s="117">
        <f t="shared" ref="CO205:CO216" si="220">SUM(P205:S205)</f>
        <v>5851</v>
      </c>
      <c r="CP205" s="117">
        <f t="shared" ref="CP205:CP216" si="221">SUM(T205:W205)</f>
        <v>10343</v>
      </c>
      <c r="CQ205" s="117">
        <f t="shared" ref="CQ205:CQ216" si="222">SUM(X205:AA205)</f>
        <v>5879</v>
      </c>
    </row>
    <row r="206" ht="15.75" customHeight="1" outlineLevel="1">
      <c r="A206" s="1" t="s">
        <v>96</v>
      </c>
      <c r="B206" s="91" t="s">
        <v>63</v>
      </c>
      <c r="C206" s="132" t="s">
        <v>207</v>
      </c>
      <c r="D206" s="247">
        <f t="shared" ref="D206:Z206" si="216">RANDBETWEEN(0,5000)</f>
        <v>4288</v>
      </c>
      <c r="E206" s="247">
        <f t="shared" si="216"/>
        <v>3956</v>
      </c>
      <c r="F206" s="247">
        <f t="shared" si="216"/>
        <v>639</v>
      </c>
      <c r="G206" s="247">
        <f t="shared" si="216"/>
        <v>1969</v>
      </c>
      <c r="H206" s="247">
        <f t="shared" si="216"/>
        <v>1554</v>
      </c>
      <c r="I206" s="247">
        <f t="shared" si="216"/>
        <v>2317</v>
      </c>
      <c r="J206" s="247">
        <f t="shared" si="216"/>
        <v>2385</v>
      </c>
      <c r="K206" s="247">
        <f t="shared" si="216"/>
        <v>2040</v>
      </c>
      <c r="L206" s="247">
        <f t="shared" si="216"/>
        <v>2967</v>
      </c>
      <c r="M206" s="247">
        <f t="shared" si="216"/>
        <v>1324</v>
      </c>
      <c r="N206" s="247">
        <f t="shared" si="216"/>
        <v>1564</v>
      </c>
      <c r="O206" s="247">
        <f t="shared" si="216"/>
        <v>4747</v>
      </c>
      <c r="P206" s="247">
        <f t="shared" si="216"/>
        <v>4720</v>
      </c>
      <c r="Q206" s="247">
        <f t="shared" si="216"/>
        <v>774</v>
      </c>
      <c r="R206" s="247">
        <f t="shared" si="216"/>
        <v>1477</v>
      </c>
      <c r="S206" s="247">
        <f t="shared" si="216"/>
        <v>531</v>
      </c>
      <c r="T206" s="247">
        <f t="shared" si="216"/>
        <v>902</v>
      </c>
      <c r="U206" s="247">
        <f t="shared" si="216"/>
        <v>3675</v>
      </c>
      <c r="V206" s="247">
        <f t="shared" si="216"/>
        <v>1230</v>
      </c>
      <c r="W206" s="247">
        <f t="shared" si="216"/>
        <v>2404</v>
      </c>
      <c r="X206" s="247">
        <f t="shared" si="216"/>
        <v>2238</v>
      </c>
      <c r="Y206" s="247">
        <f t="shared" si="216"/>
        <v>4252</v>
      </c>
      <c r="Z206" s="247">
        <f t="shared" si="216"/>
        <v>4634</v>
      </c>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7"/>
      <c r="BO206" s="117"/>
      <c r="BP206" s="117"/>
      <c r="BQ206" s="117"/>
      <c r="BR206" s="117"/>
      <c r="BS206" s="117"/>
      <c r="BT206" s="117"/>
      <c r="BU206" s="117"/>
      <c r="BV206" s="117"/>
      <c r="BW206" s="117"/>
      <c r="BX206" s="117"/>
      <c r="BY206" s="117"/>
      <c r="BZ206" s="117"/>
      <c r="CA206" s="117"/>
      <c r="CB206" s="117"/>
      <c r="CC206" s="117"/>
      <c r="CD206" s="117"/>
      <c r="CE206" s="117"/>
      <c r="CF206" s="117"/>
      <c r="CG206" s="117"/>
      <c r="CH206" s="117"/>
      <c r="CI206" s="117"/>
      <c r="CL206" s="117">
        <f t="shared" si="217"/>
        <v>10852</v>
      </c>
      <c r="CM206" s="117">
        <f t="shared" si="218"/>
        <v>8296</v>
      </c>
      <c r="CN206" s="117">
        <f t="shared" si="219"/>
        <v>10602</v>
      </c>
      <c r="CO206" s="117">
        <f t="shared" si="220"/>
        <v>7502</v>
      </c>
      <c r="CP206" s="117">
        <f t="shared" si="221"/>
        <v>8211</v>
      </c>
      <c r="CQ206" s="117">
        <f t="shared" si="222"/>
        <v>11124</v>
      </c>
    </row>
    <row r="207" ht="15.75" customHeight="1" outlineLevel="1">
      <c r="B207" s="91"/>
      <c r="C207" s="132" t="s">
        <v>208</v>
      </c>
      <c r="D207" s="514">
        <f t="shared" ref="D207:CI207" si="223">(D205)+(D206)</f>
        <v>8946</v>
      </c>
      <c r="E207" s="514">
        <f t="shared" si="223"/>
        <v>7965</v>
      </c>
      <c r="F207" s="514">
        <f t="shared" si="223"/>
        <v>3273</v>
      </c>
      <c r="G207" s="514">
        <f t="shared" si="223"/>
        <v>6695</v>
      </c>
      <c r="H207" s="514">
        <f t="shared" si="223"/>
        <v>6459</v>
      </c>
      <c r="I207" s="514">
        <f t="shared" si="223"/>
        <v>2834</v>
      </c>
      <c r="J207" s="514">
        <f t="shared" si="223"/>
        <v>5605</v>
      </c>
      <c r="K207" s="514">
        <f t="shared" si="223"/>
        <v>5748</v>
      </c>
      <c r="L207" s="514">
        <f t="shared" si="223"/>
        <v>6474</v>
      </c>
      <c r="M207" s="514">
        <f t="shared" si="223"/>
        <v>3804</v>
      </c>
      <c r="N207" s="514">
        <f t="shared" si="223"/>
        <v>6532</v>
      </c>
      <c r="O207" s="514">
        <f t="shared" si="223"/>
        <v>6569</v>
      </c>
      <c r="P207" s="514">
        <f t="shared" si="223"/>
        <v>7137</v>
      </c>
      <c r="Q207" s="514">
        <f t="shared" si="223"/>
        <v>1468</v>
      </c>
      <c r="R207" s="514">
        <f t="shared" si="223"/>
        <v>4132</v>
      </c>
      <c r="S207" s="514">
        <f t="shared" si="223"/>
        <v>616</v>
      </c>
      <c r="T207" s="514">
        <f t="shared" si="223"/>
        <v>5577</v>
      </c>
      <c r="U207" s="514">
        <f t="shared" si="223"/>
        <v>7524</v>
      </c>
      <c r="V207" s="514">
        <f t="shared" si="223"/>
        <v>1463</v>
      </c>
      <c r="W207" s="514">
        <f t="shared" si="223"/>
        <v>3990</v>
      </c>
      <c r="X207" s="514">
        <f t="shared" si="223"/>
        <v>2850</v>
      </c>
      <c r="Y207" s="514">
        <f t="shared" si="223"/>
        <v>4681</v>
      </c>
      <c r="Z207" s="514">
        <f t="shared" si="223"/>
        <v>7053</v>
      </c>
      <c r="AA207" s="514">
        <f t="shared" si="223"/>
        <v>2419</v>
      </c>
      <c r="AB207" s="514">
        <f t="shared" si="223"/>
        <v>2527.855</v>
      </c>
      <c r="AC207" s="514">
        <f t="shared" si="223"/>
        <v>2527.855</v>
      </c>
      <c r="AD207" s="514">
        <f t="shared" si="223"/>
        <v>2527.855</v>
      </c>
      <c r="AE207" s="514">
        <f t="shared" si="223"/>
        <v>2527.855</v>
      </c>
      <c r="AF207" s="514">
        <f t="shared" si="223"/>
        <v>2641.608475</v>
      </c>
      <c r="AG207" s="514">
        <f t="shared" si="223"/>
        <v>2641.608475</v>
      </c>
      <c r="AH207" s="514">
        <f t="shared" si="223"/>
        <v>2641.608475</v>
      </c>
      <c r="AI207" s="514">
        <f t="shared" si="223"/>
        <v>2641.608475</v>
      </c>
      <c r="AJ207" s="514">
        <f t="shared" si="223"/>
        <v>2760.480856</v>
      </c>
      <c r="AK207" s="514">
        <f t="shared" si="223"/>
        <v>2760.480856</v>
      </c>
      <c r="AL207" s="514">
        <f t="shared" si="223"/>
        <v>2760.480856</v>
      </c>
      <c r="AM207" s="514">
        <f t="shared" si="223"/>
        <v>2760.480856</v>
      </c>
      <c r="AN207" s="514">
        <f t="shared" si="223"/>
        <v>2870.900091</v>
      </c>
      <c r="AO207" s="514">
        <f t="shared" si="223"/>
        <v>2870.900091</v>
      </c>
      <c r="AP207" s="514">
        <f t="shared" si="223"/>
        <v>2870.900091</v>
      </c>
      <c r="AQ207" s="514">
        <f t="shared" si="223"/>
        <v>2870.900091</v>
      </c>
      <c r="AR207" s="514">
        <f t="shared" si="223"/>
        <v>2985.736094</v>
      </c>
      <c r="AS207" s="514">
        <f t="shared" si="223"/>
        <v>2985.736094</v>
      </c>
      <c r="AT207" s="514">
        <f t="shared" si="223"/>
        <v>2985.736094</v>
      </c>
      <c r="AU207" s="514">
        <f t="shared" si="223"/>
        <v>2985.736094</v>
      </c>
      <c r="AV207" s="514">
        <f t="shared" si="223"/>
        <v>3105.165538</v>
      </c>
      <c r="AW207" s="514">
        <f t="shared" si="223"/>
        <v>3105.165538</v>
      </c>
      <c r="AX207" s="514">
        <f t="shared" si="223"/>
        <v>3105.165538</v>
      </c>
      <c r="AY207" s="514">
        <f t="shared" si="223"/>
        <v>3105.165538</v>
      </c>
      <c r="AZ207" s="514">
        <f t="shared" si="223"/>
        <v>3229.37216</v>
      </c>
      <c r="BA207" s="514">
        <f t="shared" si="223"/>
        <v>15395.90118</v>
      </c>
      <c r="BB207" s="514">
        <f t="shared" si="223"/>
        <v>15395.90118</v>
      </c>
      <c r="BC207" s="514">
        <f t="shared" si="223"/>
        <v>15395.90118</v>
      </c>
      <c r="BD207" s="514">
        <f t="shared" si="223"/>
        <v>16011.73723</v>
      </c>
      <c r="BE207" s="514">
        <f t="shared" si="223"/>
        <v>16011.73723</v>
      </c>
      <c r="BF207" s="514">
        <f t="shared" si="223"/>
        <v>16011.73723</v>
      </c>
      <c r="BG207" s="514">
        <f t="shared" si="223"/>
        <v>16011.73723</v>
      </c>
      <c r="BH207" s="514">
        <f t="shared" si="223"/>
        <v>16652.20672</v>
      </c>
      <c r="BI207" s="514">
        <f t="shared" si="223"/>
        <v>16652.20672</v>
      </c>
      <c r="BJ207" s="514">
        <f t="shared" si="223"/>
        <v>16652.20672</v>
      </c>
      <c r="BK207" s="514">
        <f t="shared" si="223"/>
        <v>16652.20672</v>
      </c>
      <c r="BL207" s="514">
        <f t="shared" si="223"/>
        <v>17318.29499</v>
      </c>
      <c r="BM207" s="514">
        <f t="shared" si="223"/>
        <v>17318.29499</v>
      </c>
      <c r="BN207" s="514">
        <f t="shared" si="223"/>
        <v>17318.29499</v>
      </c>
      <c r="BO207" s="514">
        <f t="shared" si="223"/>
        <v>17318.29499</v>
      </c>
      <c r="BP207" s="514">
        <f t="shared" si="223"/>
        <v>18011.02679</v>
      </c>
      <c r="BQ207" s="514">
        <f t="shared" si="223"/>
        <v>18011.02679</v>
      </c>
      <c r="BR207" s="514">
        <f t="shared" si="223"/>
        <v>18011.02679</v>
      </c>
      <c r="BS207" s="514">
        <f t="shared" si="223"/>
        <v>18011.02679</v>
      </c>
      <c r="BT207" s="514">
        <f t="shared" si="223"/>
        <v>18731.46786</v>
      </c>
      <c r="BU207" s="514">
        <f t="shared" si="223"/>
        <v>18731.46786</v>
      </c>
      <c r="BV207" s="514">
        <f t="shared" si="223"/>
        <v>18731.46786</v>
      </c>
      <c r="BW207" s="514">
        <f t="shared" si="223"/>
        <v>18731.46786</v>
      </c>
      <c r="BX207" s="514">
        <f t="shared" si="223"/>
        <v>19480.72657</v>
      </c>
      <c r="BY207" s="514">
        <f t="shared" si="223"/>
        <v>19480.72657</v>
      </c>
      <c r="BZ207" s="514">
        <f t="shared" si="223"/>
        <v>19480.72657</v>
      </c>
      <c r="CA207" s="514">
        <f t="shared" si="223"/>
        <v>19480.72657</v>
      </c>
      <c r="CB207" s="514">
        <f t="shared" si="223"/>
        <v>20259.95564</v>
      </c>
      <c r="CC207" s="514">
        <f t="shared" si="223"/>
        <v>20259.95564</v>
      </c>
      <c r="CD207" s="514">
        <f t="shared" si="223"/>
        <v>20259.95564</v>
      </c>
      <c r="CE207" s="514">
        <f t="shared" si="223"/>
        <v>20259.95564</v>
      </c>
      <c r="CF207" s="514">
        <f t="shared" si="223"/>
        <v>21070.35386</v>
      </c>
      <c r="CG207" s="514">
        <f t="shared" si="223"/>
        <v>21070.35386</v>
      </c>
      <c r="CH207" s="514">
        <f t="shared" si="223"/>
        <v>21070.35386</v>
      </c>
      <c r="CI207" s="514">
        <f t="shared" si="223"/>
        <v>21070.35386</v>
      </c>
      <c r="CL207" s="514">
        <f t="shared" si="217"/>
        <v>26879</v>
      </c>
      <c r="CM207" s="514">
        <f t="shared" si="218"/>
        <v>20646</v>
      </c>
      <c r="CN207" s="514">
        <f t="shared" si="219"/>
        <v>23379</v>
      </c>
      <c r="CO207" s="514">
        <f t="shared" si="220"/>
        <v>13353</v>
      </c>
      <c r="CP207" s="514">
        <f t="shared" si="221"/>
        <v>18554</v>
      </c>
      <c r="CQ207" s="514">
        <f t="shared" si="222"/>
        <v>17003</v>
      </c>
    </row>
    <row r="208" ht="15.75" customHeight="1" outlineLevel="1">
      <c r="A208" s="1" t="s">
        <v>96</v>
      </c>
      <c r="B208" s="91" t="s">
        <v>63</v>
      </c>
      <c r="C208" s="132" t="s">
        <v>209</v>
      </c>
      <c r="D208" s="247">
        <f t="shared" ref="D208:Z208" si="224">RANDBETWEEN(0,5000)</f>
        <v>206</v>
      </c>
      <c r="E208" s="247">
        <f t="shared" si="224"/>
        <v>2353</v>
      </c>
      <c r="F208" s="247">
        <f t="shared" si="224"/>
        <v>3606</v>
      </c>
      <c r="G208" s="247">
        <f t="shared" si="224"/>
        <v>3412</v>
      </c>
      <c r="H208" s="247">
        <f t="shared" si="224"/>
        <v>2233</v>
      </c>
      <c r="I208" s="247">
        <f t="shared" si="224"/>
        <v>1790</v>
      </c>
      <c r="J208" s="247">
        <f t="shared" si="224"/>
        <v>288</v>
      </c>
      <c r="K208" s="247">
        <f t="shared" si="224"/>
        <v>780</v>
      </c>
      <c r="L208" s="247">
        <f t="shared" si="224"/>
        <v>2055</v>
      </c>
      <c r="M208" s="247">
        <f t="shared" si="224"/>
        <v>2698</v>
      </c>
      <c r="N208" s="247">
        <f t="shared" si="224"/>
        <v>217</v>
      </c>
      <c r="O208" s="247">
        <f t="shared" si="224"/>
        <v>3382</v>
      </c>
      <c r="P208" s="247">
        <f t="shared" si="224"/>
        <v>2164</v>
      </c>
      <c r="Q208" s="247">
        <f t="shared" si="224"/>
        <v>932</v>
      </c>
      <c r="R208" s="247">
        <f t="shared" si="224"/>
        <v>1787</v>
      </c>
      <c r="S208" s="247">
        <f t="shared" si="224"/>
        <v>1188</v>
      </c>
      <c r="T208" s="247">
        <f t="shared" si="224"/>
        <v>4263</v>
      </c>
      <c r="U208" s="247">
        <f t="shared" si="224"/>
        <v>2440</v>
      </c>
      <c r="V208" s="247">
        <f t="shared" si="224"/>
        <v>1319</v>
      </c>
      <c r="W208" s="247">
        <f t="shared" si="224"/>
        <v>1884</v>
      </c>
      <c r="X208" s="247">
        <f t="shared" si="224"/>
        <v>4503</v>
      </c>
      <c r="Y208" s="247">
        <f t="shared" si="224"/>
        <v>1312</v>
      </c>
      <c r="Z208" s="247">
        <f t="shared" si="224"/>
        <v>3920</v>
      </c>
      <c r="AA208" s="511">
        <f>AA$207*Headcount!S$100</f>
        <v>241.9</v>
      </c>
      <c r="AB208" s="511">
        <f>AB$207*Headcount!T$100</f>
        <v>252.7855</v>
      </c>
      <c r="AC208" s="511">
        <f>AC$207*Headcount!U$100</f>
        <v>252.7855</v>
      </c>
      <c r="AD208" s="511">
        <f>AD$207*Headcount!V$100</f>
        <v>252.7855</v>
      </c>
      <c r="AE208" s="511">
        <f>AE$207*Headcount!W$100</f>
        <v>252.7855</v>
      </c>
      <c r="AF208" s="511">
        <f>AF$207*Headcount!X$100</f>
        <v>264.1608475</v>
      </c>
      <c r="AG208" s="511">
        <f>AG$207*Headcount!Y$100</f>
        <v>264.1608475</v>
      </c>
      <c r="AH208" s="511">
        <f>AH$207*Headcount!Z$100</f>
        <v>264.1608475</v>
      </c>
      <c r="AI208" s="511">
        <f>AI$207*Headcount!AA$100</f>
        <v>264.1608475</v>
      </c>
      <c r="AJ208" s="511">
        <f>AJ$207*Headcount!AB$100</f>
        <v>276.0480856</v>
      </c>
      <c r="AK208" s="511">
        <f>AK$207*Headcount!AC$100</f>
        <v>276.0480856</v>
      </c>
      <c r="AL208" s="511">
        <f>AL$207*Headcount!AD$100</f>
        <v>276.0480856</v>
      </c>
      <c r="AM208" s="511">
        <f>AM$207*Headcount!AE$100</f>
        <v>276.0480856</v>
      </c>
      <c r="AN208" s="511">
        <f>AN$207*Headcount!AF$100</f>
        <v>287.0900091</v>
      </c>
      <c r="AO208" s="511">
        <f>AO$207*Headcount!AG$100</f>
        <v>287.0900091</v>
      </c>
      <c r="AP208" s="511">
        <f>AP$207*Headcount!AH$100</f>
        <v>287.0900091</v>
      </c>
      <c r="AQ208" s="511">
        <f>AQ$207*Headcount!AI$100</f>
        <v>287.0900091</v>
      </c>
      <c r="AR208" s="511">
        <f>AR$207*Headcount!AJ$100</f>
        <v>298.5736094</v>
      </c>
      <c r="AS208" s="511">
        <f>AS$207*Headcount!AK$100</f>
        <v>298.5736094</v>
      </c>
      <c r="AT208" s="511">
        <f>AT$207*Headcount!AL$100</f>
        <v>298.5736094</v>
      </c>
      <c r="AU208" s="511">
        <f>AU$207*Headcount!AM$100</f>
        <v>298.5736094</v>
      </c>
      <c r="AV208" s="511">
        <f>AV$207*Headcount!AN$100</f>
        <v>310.5165538</v>
      </c>
      <c r="AW208" s="511">
        <f>AW$207*Headcount!AO$100</f>
        <v>310.5165538</v>
      </c>
      <c r="AX208" s="511">
        <f>AX$207*Headcount!AP$100</f>
        <v>310.5165538</v>
      </c>
      <c r="AY208" s="511">
        <f>AY$207*Headcount!AQ$100</f>
        <v>310.5165538</v>
      </c>
      <c r="AZ208" s="511">
        <f>AZ$207*Headcount!AR$100</f>
        <v>322.937216</v>
      </c>
      <c r="BA208" s="511">
        <f>BA$207*Headcount!AS$100</f>
        <v>1539.590118</v>
      </c>
      <c r="BB208" s="511">
        <f>BB$207*Headcount!AT$100</f>
        <v>1539.590118</v>
      </c>
      <c r="BC208" s="511">
        <f>BC$207*Headcount!AU$100</f>
        <v>1539.590118</v>
      </c>
      <c r="BD208" s="511">
        <f>BD$207*Headcount!AV$100</f>
        <v>1601.173723</v>
      </c>
      <c r="BE208" s="511">
        <f>BE$207*Headcount!AW$100</f>
        <v>1601.173723</v>
      </c>
      <c r="BF208" s="511">
        <f>BF$207*Headcount!AX$100</f>
        <v>1601.173723</v>
      </c>
      <c r="BG208" s="511">
        <f>BG$207*Headcount!AY$100</f>
        <v>1601.173723</v>
      </c>
      <c r="BH208" s="511">
        <f>BH$207*Headcount!AZ$100</f>
        <v>1665.220672</v>
      </c>
      <c r="BI208" s="511">
        <f>BI$207*Headcount!BA$100</f>
        <v>1665.220672</v>
      </c>
      <c r="BJ208" s="511">
        <f>BJ$207*Headcount!BB$100</f>
        <v>1665.220672</v>
      </c>
      <c r="BK208" s="511">
        <f>BK$207*Headcount!BC$100</f>
        <v>1665.220672</v>
      </c>
      <c r="BL208" s="511">
        <f>BL$207*Headcount!BD$100</f>
        <v>1731.829499</v>
      </c>
      <c r="BM208" s="511">
        <f>BM$207*Headcount!BE$100</f>
        <v>1731.829499</v>
      </c>
      <c r="BN208" s="511">
        <f>BN$207*Headcount!BF$100</f>
        <v>1731.829499</v>
      </c>
      <c r="BO208" s="511">
        <f>BO$207*Headcount!BG$100</f>
        <v>1731.829499</v>
      </c>
      <c r="BP208" s="511">
        <f>BP$207*Headcount!BH$100</f>
        <v>1801.102679</v>
      </c>
      <c r="BQ208" s="511">
        <f>BQ$207*Headcount!BI$100</f>
        <v>1801.102679</v>
      </c>
      <c r="BR208" s="511">
        <f>BR$207*Headcount!BJ$100</f>
        <v>1801.102679</v>
      </c>
      <c r="BS208" s="511">
        <f>BS$207*Headcount!BK$100</f>
        <v>1801.102679</v>
      </c>
      <c r="BT208" s="511">
        <f>BT$207*Headcount!BL$100</f>
        <v>1873.146786</v>
      </c>
      <c r="BU208" s="511">
        <f>BU$207*Headcount!BM$100</f>
        <v>1873.146786</v>
      </c>
      <c r="BV208" s="511">
        <f>BV$207*Headcount!BN$100</f>
        <v>1873.146786</v>
      </c>
      <c r="BW208" s="511">
        <f>BW$207*Headcount!BO$100</f>
        <v>1873.146786</v>
      </c>
      <c r="BX208" s="511">
        <f>BX$207*Headcount!BP$100</f>
        <v>1948.072657</v>
      </c>
      <c r="BY208" s="511">
        <f>BY$207*Headcount!BQ$100</f>
        <v>1948.072657</v>
      </c>
      <c r="BZ208" s="511">
        <f>BZ$207*Headcount!BR$100</f>
        <v>1948.072657</v>
      </c>
      <c r="CA208" s="511">
        <f>CA$207*Headcount!BS$100</f>
        <v>1948.072657</v>
      </c>
      <c r="CB208" s="511">
        <f>CB$207*Headcount!BT$100</f>
        <v>2025.995564</v>
      </c>
      <c r="CC208" s="511">
        <f>CC$207*Headcount!BU$100</f>
        <v>2025.995564</v>
      </c>
      <c r="CD208" s="511">
        <f>CD$207*Headcount!BV$100</f>
        <v>2025.995564</v>
      </c>
      <c r="CE208" s="511">
        <f>CE$207*Headcount!BW$100</f>
        <v>2025.995564</v>
      </c>
      <c r="CF208" s="511">
        <f>CF$207*Headcount!BX$100</f>
        <v>2107.035386</v>
      </c>
      <c r="CG208" s="511">
        <f>CG$207*Headcount!BY$100</f>
        <v>2107.035386</v>
      </c>
      <c r="CH208" s="511">
        <f>CH$207*Headcount!BZ$100</f>
        <v>2107.035386</v>
      </c>
      <c r="CI208" s="511">
        <f>CI$207*Headcount!CA$100</f>
        <v>2107.035386</v>
      </c>
      <c r="CL208" s="117">
        <f t="shared" si="217"/>
        <v>9577</v>
      </c>
      <c r="CM208" s="117">
        <f t="shared" si="218"/>
        <v>5091</v>
      </c>
      <c r="CN208" s="117">
        <f t="shared" si="219"/>
        <v>8352</v>
      </c>
      <c r="CO208" s="117">
        <f t="shared" si="220"/>
        <v>6071</v>
      </c>
      <c r="CP208" s="117">
        <f t="shared" si="221"/>
        <v>9906</v>
      </c>
      <c r="CQ208" s="117">
        <f t="shared" si="222"/>
        <v>9976.9</v>
      </c>
    </row>
    <row r="209" ht="15.75" customHeight="1" outlineLevel="1">
      <c r="A209" s="1" t="s">
        <v>96</v>
      </c>
      <c r="B209" s="91" t="s">
        <v>63</v>
      </c>
      <c r="C209" s="132" t="s">
        <v>210</v>
      </c>
      <c r="D209" s="247">
        <f t="shared" ref="D209:Z209" si="225">RANDBETWEEN(0,5000)</f>
        <v>329</v>
      </c>
      <c r="E209" s="247">
        <f t="shared" si="225"/>
        <v>1763</v>
      </c>
      <c r="F209" s="247">
        <f t="shared" si="225"/>
        <v>2262</v>
      </c>
      <c r="G209" s="247">
        <f t="shared" si="225"/>
        <v>1359</v>
      </c>
      <c r="H209" s="247">
        <f t="shared" si="225"/>
        <v>107</v>
      </c>
      <c r="I209" s="247">
        <f t="shared" si="225"/>
        <v>2989</v>
      </c>
      <c r="J209" s="247">
        <f t="shared" si="225"/>
        <v>3094</v>
      </c>
      <c r="K209" s="247">
        <f t="shared" si="225"/>
        <v>774</v>
      </c>
      <c r="L209" s="247">
        <f t="shared" si="225"/>
        <v>2161</v>
      </c>
      <c r="M209" s="247">
        <f t="shared" si="225"/>
        <v>253</v>
      </c>
      <c r="N209" s="247">
        <f t="shared" si="225"/>
        <v>2490</v>
      </c>
      <c r="O209" s="247">
        <f t="shared" si="225"/>
        <v>4979</v>
      </c>
      <c r="P209" s="247">
        <f t="shared" si="225"/>
        <v>4812</v>
      </c>
      <c r="Q209" s="247">
        <f t="shared" si="225"/>
        <v>3147</v>
      </c>
      <c r="R209" s="247">
        <f t="shared" si="225"/>
        <v>2974</v>
      </c>
      <c r="S209" s="247">
        <f t="shared" si="225"/>
        <v>1744</v>
      </c>
      <c r="T209" s="247">
        <f t="shared" si="225"/>
        <v>288</v>
      </c>
      <c r="U209" s="247">
        <f t="shared" si="225"/>
        <v>706</v>
      </c>
      <c r="V209" s="247">
        <f t="shared" si="225"/>
        <v>2137</v>
      </c>
      <c r="W209" s="247">
        <f t="shared" si="225"/>
        <v>4605</v>
      </c>
      <c r="X209" s="247">
        <f t="shared" si="225"/>
        <v>2352</v>
      </c>
      <c r="Y209" s="247">
        <f t="shared" si="225"/>
        <v>4347</v>
      </c>
      <c r="Z209" s="247">
        <f t="shared" si="225"/>
        <v>873</v>
      </c>
      <c r="AA209" s="511">
        <f>AA$207*Headcount!S$101</f>
        <v>362.85</v>
      </c>
      <c r="AB209" s="511">
        <f>AB$207*Headcount!T$101</f>
        <v>379.17825</v>
      </c>
      <c r="AC209" s="511">
        <f>AC$207*Headcount!U$101</f>
        <v>379.17825</v>
      </c>
      <c r="AD209" s="511">
        <f>AD$207*Headcount!V$101</f>
        <v>379.17825</v>
      </c>
      <c r="AE209" s="511">
        <f>AE$207*Headcount!W$101</f>
        <v>379.17825</v>
      </c>
      <c r="AF209" s="511">
        <f>AF$207*Headcount!X$101</f>
        <v>396.2412713</v>
      </c>
      <c r="AG209" s="511">
        <f>AG$207*Headcount!Y$101</f>
        <v>396.2412713</v>
      </c>
      <c r="AH209" s="511">
        <f>AH$207*Headcount!Z$101</f>
        <v>396.2412713</v>
      </c>
      <c r="AI209" s="511">
        <f>AI$207*Headcount!AA$101</f>
        <v>396.2412713</v>
      </c>
      <c r="AJ209" s="511">
        <f>AJ$207*Headcount!AB$101</f>
        <v>414.0721285</v>
      </c>
      <c r="AK209" s="511">
        <f>AK$207*Headcount!AC$101</f>
        <v>414.0721285</v>
      </c>
      <c r="AL209" s="511">
        <f>AL$207*Headcount!AD$101</f>
        <v>414.0721285</v>
      </c>
      <c r="AM209" s="511">
        <f>AM$207*Headcount!AE$101</f>
        <v>414.0721285</v>
      </c>
      <c r="AN209" s="511">
        <f>AN$207*Headcount!AF$101</f>
        <v>189.479406</v>
      </c>
      <c r="AO209" s="511">
        <f>AO$207*Headcount!AG$101</f>
        <v>189.479406</v>
      </c>
      <c r="AP209" s="511">
        <f>AP$207*Headcount!AH$101</f>
        <v>189.479406</v>
      </c>
      <c r="AQ209" s="511">
        <f>AQ$207*Headcount!AI$101</f>
        <v>189.479406</v>
      </c>
      <c r="AR209" s="511">
        <f>AR$207*Headcount!AJ$101</f>
        <v>197.0585822</v>
      </c>
      <c r="AS209" s="511">
        <f>AS$207*Headcount!AK$101</f>
        <v>197.0585822</v>
      </c>
      <c r="AT209" s="511">
        <f>AT$207*Headcount!AL$101</f>
        <v>197.0585822</v>
      </c>
      <c r="AU209" s="511">
        <f>AU$207*Headcount!AM$101</f>
        <v>197.0585822</v>
      </c>
      <c r="AV209" s="511">
        <f>AV$207*Headcount!AN$101</f>
        <v>204.9409255</v>
      </c>
      <c r="AW209" s="511">
        <f>AW$207*Headcount!AO$101</f>
        <v>204.9409255</v>
      </c>
      <c r="AX209" s="511">
        <f>AX$207*Headcount!AP$101</f>
        <v>204.9409255</v>
      </c>
      <c r="AY209" s="511">
        <f>AY$207*Headcount!AQ$101</f>
        <v>204.9409255</v>
      </c>
      <c r="AZ209" s="511">
        <f>AZ$207*Headcount!AR$101</f>
        <v>219.5973068</v>
      </c>
      <c r="BA209" s="511">
        <f>BA$207*Headcount!AS$101</f>
        <v>1046.92128</v>
      </c>
      <c r="BB209" s="511">
        <f>BB$207*Headcount!AT$101</f>
        <v>1046.92128</v>
      </c>
      <c r="BC209" s="511">
        <f>BC$207*Headcount!AU$101</f>
        <v>1046.92128</v>
      </c>
      <c r="BD209" s="511">
        <f>BD$207*Headcount!AV$101</f>
        <v>1088.798132</v>
      </c>
      <c r="BE209" s="511">
        <f>BE$207*Headcount!AW$101</f>
        <v>1088.798132</v>
      </c>
      <c r="BF209" s="511">
        <f>BF$207*Headcount!AX$101</f>
        <v>1088.798132</v>
      </c>
      <c r="BG209" s="511">
        <f>BG$207*Headcount!AY$101</f>
        <v>1088.798132</v>
      </c>
      <c r="BH209" s="511">
        <f>BH$207*Headcount!AZ$101</f>
        <v>1132.350057</v>
      </c>
      <c r="BI209" s="511">
        <f>BI$207*Headcount!BA$101</f>
        <v>1132.350057</v>
      </c>
      <c r="BJ209" s="511">
        <f>BJ$207*Headcount!BB$101</f>
        <v>1132.350057</v>
      </c>
      <c r="BK209" s="511">
        <f>BK$207*Headcount!BC$101</f>
        <v>1132.350057</v>
      </c>
      <c r="BL209" s="511">
        <f>BL$207*Headcount!BD$101</f>
        <v>1212.280649</v>
      </c>
      <c r="BM209" s="511">
        <f>BM$207*Headcount!BE$101</f>
        <v>1212.280649</v>
      </c>
      <c r="BN209" s="511">
        <f>BN$207*Headcount!BF$101</f>
        <v>1212.280649</v>
      </c>
      <c r="BO209" s="511">
        <f>BO$207*Headcount!BG$101</f>
        <v>1212.280649</v>
      </c>
      <c r="BP209" s="511">
        <f>BP$207*Headcount!BH$101</f>
        <v>1260.771875</v>
      </c>
      <c r="BQ209" s="511">
        <f>BQ$207*Headcount!BI$101</f>
        <v>1260.771875</v>
      </c>
      <c r="BR209" s="511">
        <f>BR$207*Headcount!BJ$101</f>
        <v>1260.771875</v>
      </c>
      <c r="BS209" s="511">
        <f>BS$207*Headcount!BK$101</f>
        <v>1260.771875</v>
      </c>
      <c r="BT209" s="511">
        <f>BT$207*Headcount!BL$101</f>
        <v>1311.20275</v>
      </c>
      <c r="BU209" s="511">
        <f>BU$207*Headcount!BM$101</f>
        <v>1311.20275</v>
      </c>
      <c r="BV209" s="511">
        <f>BV$207*Headcount!BN$101</f>
        <v>1311.20275</v>
      </c>
      <c r="BW209" s="511">
        <f>BW$207*Headcount!BO$101</f>
        <v>1311.20275</v>
      </c>
      <c r="BX209" s="511">
        <f>BX$207*Headcount!BP$101</f>
        <v>1363.65086</v>
      </c>
      <c r="BY209" s="511">
        <f>BY$207*Headcount!BQ$101</f>
        <v>1363.65086</v>
      </c>
      <c r="BZ209" s="511">
        <f>BZ$207*Headcount!BR$101</f>
        <v>1363.65086</v>
      </c>
      <c r="CA209" s="511">
        <f>CA$207*Headcount!BS$101</f>
        <v>1363.65086</v>
      </c>
      <c r="CB209" s="511">
        <f>CB$207*Headcount!BT$101</f>
        <v>1418.196895</v>
      </c>
      <c r="CC209" s="511">
        <f>CC$207*Headcount!BU$101</f>
        <v>1418.196895</v>
      </c>
      <c r="CD209" s="511">
        <f>CD$207*Headcount!BV$101</f>
        <v>1418.196895</v>
      </c>
      <c r="CE209" s="511">
        <f>CE$207*Headcount!BW$101</f>
        <v>1418.196895</v>
      </c>
      <c r="CF209" s="511">
        <f>CF$207*Headcount!BX$101</f>
        <v>1474.92477</v>
      </c>
      <c r="CG209" s="511">
        <f>CG$207*Headcount!BY$101</f>
        <v>1474.92477</v>
      </c>
      <c r="CH209" s="511">
        <f>CH$207*Headcount!BZ$101</f>
        <v>1474.92477</v>
      </c>
      <c r="CI209" s="511">
        <f>CI$207*Headcount!CA$101</f>
        <v>1474.92477</v>
      </c>
      <c r="CL209" s="117">
        <f t="shared" si="217"/>
        <v>5713</v>
      </c>
      <c r="CM209" s="117">
        <f t="shared" si="218"/>
        <v>6964</v>
      </c>
      <c r="CN209" s="117">
        <f t="shared" si="219"/>
        <v>9883</v>
      </c>
      <c r="CO209" s="117">
        <f t="shared" si="220"/>
        <v>12677</v>
      </c>
      <c r="CP209" s="117">
        <f t="shared" si="221"/>
        <v>7736</v>
      </c>
      <c r="CQ209" s="117">
        <f t="shared" si="222"/>
        <v>7934.85</v>
      </c>
    </row>
    <row r="210" ht="15.75" customHeight="1" outlineLevel="1">
      <c r="A210" s="1" t="s">
        <v>96</v>
      </c>
      <c r="B210" s="91" t="s">
        <v>63</v>
      </c>
      <c r="C210" s="132" t="s">
        <v>211</v>
      </c>
      <c r="D210" s="247">
        <f t="shared" ref="D210:Z210" si="226">RANDBETWEEN(0,5000)</f>
        <v>4919</v>
      </c>
      <c r="E210" s="247">
        <f t="shared" si="226"/>
        <v>500</v>
      </c>
      <c r="F210" s="247">
        <f t="shared" si="226"/>
        <v>1368</v>
      </c>
      <c r="G210" s="247">
        <f t="shared" si="226"/>
        <v>2997</v>
      </c>
      <c r="H210" s="247">
        <f t="shared" si="226"/>
        <v>4861</v>
      </c>
      <c r="I210" s="247">
        <f t="shared" si="226"/>
        <v>1107</v>
      </c>
      <c r="J210" s="247">
        <f t="shared" si="226"/>
        <v>1583</v>
      </c>
      <c r="K210" s="247">
        <f t="shared" si="226"/>
        <v>1650</v>
      </c>
      <c r="L210" s="247">
        <f t="shared" si="226"/>
        <v>518</v>
      </c>
      <c r="M210" s="247">
        <f t="shared" si="226"/>
        <v>4040</v>
      </c>
      <c r="N210" s="247">
        <f t="shared" si="226"/>
        <v>4180</v>
      </c>
      <c r="O210" s="247">
        <f t="shared" si="226"/>
        <v>3613</v>
      </c>
      <c r="P210" s="247">
        <f t="shared" si="226"/>
        <v>159</v>
      </c>
      <c r="Q210" s="247">
        <f t="shared" si="226"/>
        <v>2013</v>
      </c>
      <c r="R210" s="247">
        <f t="shared" si="226"/>
        <v>972</v>
      </c>
      <c r="S210" s="247">
        <f t="shared" si="226"/>
        <v>2123</v>
      </c>
      <c r="T210" s="247">
        <f t="shared" si="226"/>
        <v>4698</v>
      </c>
      <c r="U210" s="247">
        <f t="shared" si="226"/>
        <v>43</v>
      </c>
      <c r="V210" s="247">
        <f t="shared" si="226"/>
        <v>3928</v>
      </c>
      <c r="W210" s="247">
        <f t="shared" si="226"/>
        <v>1628</v>
      </c>
      <c r="X210" s="247">
        <f t="shared" si="226"/>
        <v>511</v>
      </c>
      <c r="Y210" s="247">
        <f t="shared" si="226"/>
        <v>1069</v>
      </c>
      <c r="Z210" s="247">
        <f t="shared" si="226"/>
        <v>3604</v>
      </c>
      <c r="AA210" s="511">
        <f>AA$207*Headcount!S$102</f>
        <v>48.38</v>
      </c>
      <c r="AB210" s="511">
        <f>AB$207*Headcount!T$102</f>
        <v>50.5571</v>
      </c>
      <c r="AC210" s="511">
        <f>AC$207*Headcount!U$102</f>
        <v>50.5571</v>
      </c>
      <c r="AD210" s="511">
        <f>AD$207*Headcount!V$102</f>
        <v>50.5571</v>
      </c>
      <c r="AE210" s="511">
        <f>AE$207*Headcount!W$102</f>
        <v>50.5571</v>
      </c>
      <c r="AF210" s="511">
        <f>AF$207*Headcount!X$102</f>
        <v>52.8321695</v>
      </c>
      <c r="AG210" s="511">
        <f>AG$207*Headcount!Y$102</f>
        <v>52.8321695</v>
      </c>
      <c r="AH210" s="511">
        <f>AH$207*Headcount!Z$102</f>
        <v>52.8321695</v>
      </c>
      <c r="AI210" s="511">
        <f>AI$207*Headcount!AA$102</f>
        <v>52.8321695</v>
      </c>
      <c r="AJ210" s="511">
        <f>AJ$207*Headcount!AB$102</f>
        <v>55.20961713</v>
      </c>
      <c r="AK210" s="511">
        <f>AK$207*Headcount!AC$102</f>
        <v>55.20961713</v>
      </c>
      <c r="AL210" s="511">
        <f>AL$207*Headcount!AD$102</f>
        <v>55.20961713</v>
      </c>
      <c r="AM210" s="511">
        <f>AM$207*Headcount!AE$102</f>
        <v>55.20961713</v>
      </c>
      <c r="AN210" s="511">
        <f>AN$207*Headcount!AF$102</f>
        <v>57.41800181</v>
      </c>
      <c r="AO210" s="511">
        <f>AO$207*Headcount!AG$102</f>
        <v>57.41800181</v>
      </c>
      <c r="AP210" s="511">
        <f>AP$207*Headcount!AH$102</f>
        <v>57.41800181</v>
      </c>
      <c r="AQ210" s="511">
        <f>AQ$207*Headcount!AI$102</f>
        <v>57.41800181</v>
      </c>
      <c r="AR210" s="511">
        <f>AR$207*Headcount!AJ$102</f>
        <v>59.71472189</v>
      </c>
      <c r="AS210" s="511">
        <f>AS$207*Headcount!AK$102</f>
        <v>59.71472189</v>
      </c>
      <c r="AT210" s="511">
        <f>AT$207*Headcount!AL$102</f>
        <v>59.71472189</v>
      </c>
      <c r="AU210" s="511">
        <f>AU$207*Headcount!AM$102</f>
        <v>59.71472189</v>
      </c>
      <c r="AV210" s="511">
        <f>AV$207*Headcount!AN$102</f>
        <v>62.10331076</v>
      </c>
      <c r="AW210" s="511">
        <f>AW$207*Headcount!AO$102</f>
        <v>62.10331076</v>
      </c>
      <c r="AX210" s="511">
        <f>AX$207*Headcount!AP$102</f>
        <v>62.10331076</v>
      </c>
      <c r="AY210" s="511">
        <f>AY$207*Headcount!AQ$102</f>
        <v>62.10331076</v>
      </c>
      <c r="AZ210" s="511">
        <f>AZ$207*Headcount!AR$102</f>
        <v>64.58744319</v>
      </c>
      <c r="BA210" s="511">
        <f>BA$207*Headcount!AS$102</f>
        <v>307.9180237</v>
      </c>
      <c r="BB210" s="511">
        <f>BB$207*Headcount!AT$102</f>
        <v>307.9180237</v>
      </c>
      <c r="BC210" s="511">
        <f>BC$207*Headcount!AU$102</f>
        <v>307.9180237</v>
      </c>
      <c r="BD210" s="511">
        <f>BD$207*Headcount!AV$102</f>
        <v>320.2347446</v>
      </c>
      <c r="BE210" s="511">
        <f>BE$207*Headcount!AW$102</f>
        <v>320.2347446</v>
      </c>
      <c r="BF210" s="511">
        <f>BF$207*Headcount!AX$102</f>
        <v>320.2347446</v>
      </c>
      <c r="BG210" s="511">
        <f>BG$207*Headcount!AY$102</f>
        <v>320.2347446</v>
      </c>
      <c r="BH210" s="511">
        <f>BH$207*Headcount!AZ$102</f>
        <v>333.0441344</v>
      </c>
      <c r="BI210" s="511">
        <f>BI$207*Headcount!BA$102</f>
        <v>333.0441344</v>
      </c>
      <c r="BJ210" s="511">
        <f>BJ$207*Headcount!BB$102</f>
        <v>333.0441344</v>
      </c>
      <c r="BK210" s="511">
        <f>BK$207*Headcount!BC$102</f>
        <v>333.0441344</v>
      </c>
      <c r="BL210" s="511">
        <f>BL$207*Headcount!BD$102</f>
        <v>346.3658998</v>
      </c>
      <c r="BM210" s="511">
        <f>BM$207*Headcount!BE$102</f>
        <v>346.3658998</v>
      </c>
      <c r="BN210" s="511">
        <f>BN$207*Headcount!BF$102</f>
        <v>346.3658998</v>
      </c>
      <c r="BO210" s="511">
        <f>BO$207*Headcount!BG$102</f>
        <v>346.3658998</v>
      </c>
      <c r="BP210" s="511">
        <f>BP$207*Headcount!BH$102</f>
        <v>360.2205358</v>
      </c>
      <c r="BQ210" s="511">
        <f>BQ$207*Headcount!BI$102</f>
        <v>360.2205358</v>
      </c>
      <c r="BR210" s="511">
        <f>BR$207*Headcount!BJ$102</f>
        <v>360.2205358</v>
      </c>
      <c r="BS210" s="511">
        <f>BS$207*Headcount!BK$102</f>
        <v>360.2205358</v>
      </c>
      <c r="BT210" s="511">
        <f>BT$207*Headcount!BL$102</f>
        <v>374.6293572</v>
      </c>
      <c r="BU210" s="511">
        <f>BU$207*Headcount!BM$102</f>
        <v>374.6293572</v>
      </c>
      <c r="BV210" s="511">
        <f>BV$207*Headcount!BN$102</f>
        <v>374.6293572</v>
      </c>
      <c r="BW210" s="511">
        <f>BW$207*Headcount!BO$102</f>
        <v>374.6293572</v>
      </c>
      <c r="BX210" s="511">
        <f>BX$207*Headcount!BP$102</f>
        <v>389.6145315</v>
      </c>
      <c r="BY210" s="511">
        <f>BY$207*Headcount!BQ$102</f>
        <v>389.6145315</v>
      </c>
      <c r="BZ210" s="511">
        <f>BZ$207*Headcount!BR$102</f>
        <v>389.6145315</v>
      </c>
      <c r="CA210" s="511">
        <f>CA$207*Headcount!BS$102</f>
        <v>389.6145315</v>
      </c>
      <c r="CB210" s="511">
        <f>CB$207*Headcount!BT$102</f>
        <v>405.1991127</v>
      </c>
      <c r="CC210" s="511">
        <f>CC$207*Headcount!BU$102</f>
        <v>405.1991127</v>
      </c>
      <c r="CD210" s="511">
        <f>CD$207*Headcount!BV$102</f>
        <v>405.1991127</v>
      </c>
      <c r="CE210" s="511">
        <f>CE$207*Headcount!BW$102</f>
        <v>405.1991127</v>
      </c>
      <c r="CF210" s="511">
        <f>CF$207*Headcount!BX$102</f>
        <v>421.4070773</v>
      </c>
      <c r="CG210" s="511">
        <f>CG$207*Headcount!BY$102</f>
        <v>421.4070773</v>
      </c>
      <c r="CH210" s="511">
        <f>CH$207*Headcount!BZ$102</f>
        <v>421.4070773</v>
      </c>
      <c r="CI210" s="511">
        <f>CI$207*Headcount!CA$102</f>
        <v>421.4070773</v>
      </c>
      <c r="CL210" s="117">
        <f t="shared" si="217"/>
        <v>9784</v>
      </c>
      <c r="CM210" s="117">
        <f t="shared" si="218"/>
        <v>9201</v>
      </c>
      <c r="CN210" s="117">
        <f t="shared" si="219"/>
        <v>12351</v>
      </c>
      <c r="CO210" s="117">
        <f t="shared" si="220"/>
        <v>5267</v>
      </c>
      <c r="CP210" s="117">
        <f t="shared" si="221"/>
        <v>10297</v>
      </c>
      <c r="CQ210" s="117">
        <f t="shared" si="222"/>
        <v>5232.38</v>
      </c>
    </row>
    <row r="211" ht="15.75" customHeight="1" outlineLevel="1">
      <c r="A211" s="1" t="s">
        <v>96</v>
      </c>
      <c r="B211" s="91" t="s">
        <v>63</v>
      </c>
      <c r="C211" s="132" t="s">
        <v>212</v>
      </c>
      <c r="D211" s="247">
        <f t="shared" ref="D211:Z211" si="227">RANDBETWEEN(0,5000)</f>
        <v>1359</v>
      </c>
      <c r="E211" s="247">
        <f t="shared" si="227"/>
        <v>87</v>
      </c>
      <c r="F211" s="247">
        <f t="shared" si="227"/>
        <v>485</v>
      </c>
      <c r="G211" s="247">
        <f t="shared" si="227"/>
        <v>2635</v>
      </c>
      <c r="H211" s="247">
        <f t="shared" si="227"/>
        <v>3407</v>
      </c>
      <c r="I211" s="247">
        <f t="shared" si="227"/>
        <v>1701</v>
      </c>
      <c r="J211" s="247">
        <f t="shared" si="227"/>
        <v>1892</v>
      </c>
      <c r="K211" s="247">
        <f t="shared" si="227"/>
        <v>3469</v>
      </c>
      <c r="L211" s="247">
        <f t="shared" si="227"/>
        <v>1115</v>
      </c>
      <c r="M211" s="247">
        <f t="shared" si="227"/>
        <v>709</v>
      </c>
      <c r="N211" s="247">
        <f t="shared" si="227"/>
        <v>2985</v>
      </c>
      <c r="O211" s="247">
        <f t="shared" si="227"/>
        <v>2847</v>
      </c>
      <c r="P211" s="247">
        <f t="shared" si="227"/>
        <v>3567</v>
      </c>
      <c r="Q211" s="247">
        <f t="shared" si="227"/>
        <v>1361</v>
      </c>
      <c r="R211" s="247">
        <f t="shared" si="227"/>
        <v>2082</v>
      </c>
      <c r="S211" s="247">
        <f t="shared" si="227"/>
        <v>3012</v>
      </c>
      <c r="T211" s="247">
        <f t="shared" si="227"/>
        <v>3994</v>
      </c>
      <c r="U211" s="247">
        <f t="shared" si="227"/>
        <v>3400</v>
      </c>
      <c r="V211" s="247">
        <f t="shared" si="227"/>
        <v>663</v>
      </c>
      <c r="W211" s="247">
        <f t="shared" si="227"/>
        <v>3363</v>
      </c>
      <c r="X211" s="247">
        <f t="shared" si="227"/>
        <v>3107</v>
      </c>
      <c r="Y211" s="247">
        <f t="shared" si="227"/>
        <v>696</v>
      </c>
      <c r="Z211" s="247">
        <f t="shared" si="227"/>
        <v>2314</v>
      </c>
      <c r="AA211" s="451">
        <v>243.6170224</v>
      </c>
      <c r="AB211" s="451">
        <v>243.6170224</v>
      </c>
      <c r="AC211" s="451">
        <v>243.6170224</v>
      </c>
      <c r="AD211" s="451">
        <v>243.6170224</v>
      </c>
      <c r="AE211" s="451">
        <v>243.6170224</v>
      </c>
      <c r="AF211" s="451">
        <v>243.6170224</v>
      </c>
      <c r="AG211" s="451">
        <v>243.6170224</v>
      </c>
      <c r="AH211" s="451">
        <v>243.6170224</v>
      </c>
      <c r="AI211" s="451">
        <v>243.6170224</v>
      </c>
      <c r="AJ211" s="451">
        <v>243.6170224</v>
      </c>
      <c r="AK211" s="451">
        <v>243.6170224</v>
      </c>
      <c r="AL211" s="451">
        <v>243.6170224</v>
      </c>
      <c r="AM211" s="451">
        <v>243.6170224</v>
      </c>
      <c r="AN211" s="451">
        <v>365.4255336</v>
      </c>
      <c r="AO211" s="451">
        <v>365.4255336</v>
      </c>
      <c r="AP211" s="451">
        <v>365.4255336</v>
      </c>
      <c r="AQ211" s="451">
        <v>365.4255336</v>
      </c>
      <c r="AR211" s="451">
        <v>365.4255336</v>
      </c>
      <c r="AS211" s="451">
        <v>365.4255336</v>
      </c>
      <c r="AT211" s="451">
        <v>365.4255336</v>
      </c>
      <c r="AU211" s="451">
        <v>365.4255336</v>
      </c>
      <c r="AV211" s="451">
        <v>365.4255336</v>
      </c>
      <c r="AW211" s="451">
        <v>365.4255336</v>
      </c>
      <c r="AX211" s="451">
        <v>365.4255336</v>
      </c>
      <c r="AY211" s="451">
        <v>365.4255336</v>
      </c>
      <c r="AZ211" s="451">
        <v>487.2340447</v>
      </c>
      <c r="BA211" s="451">
        <v>487.2340447</v>
      </c>
      <c r="BB211" s="451">
        <v>487.2340447</v>
      </c>
      <c r="BC211" s="451">
        <v>487.2340447</v>
      </c>
      <c r="BD211" s="451">
        <v>487.2340447</v>
      </c>
      <c r="BE211" s="451">
        <v>487.2340447</v>
      </c>
      <c r="BF211" s="451">
        <v>487.2340447</v>
      </c>
      <c r="BG211" s="451">
        <v>487.2340447</v>
      </c>
      <c r="BH211" s="451">
        <v>487.2340447</v>
      </c>
      <c r="BI211" s="451">
        <v>487.2340447</v>
      </c>
      <c r="BJ211" s="451">
        <v>487.2340447</v>
      </c>
      <c r="BK211" s="451">
        <v>487.2340447</v>
      </c>
      <c r="BL211" s="451">
        <v>487.2340447</v>
      </c>
      <c r="BM211" s="451">
        <v>487.2340447</v>
      </c>
      <c r="BN211" s="451">
        <v>487.2340447</v>
      </c>
      <c r="BO211" s="451">
        <v>487.2340447</v>
      </c>
      <c r="BP211" s="451">
        <v>487.2340447</v>
      </c>
      <c r="BQ211" s="451">
        <v>487.2340447</v>
      </c>
      <c r="BR211" s="451">
        <v>487.2340447</v>
      </c>
      <c r="BS211" s="451">
        <v>487.2340447</v>
      </c>
      <c r="BT211" s="451">
        <v>487.2340447</v>
      </c>
      <c r="BU211" s="451">
        <v>487.2340447</v>
      </c>
      <c r="BV211" s="451">
        <v>487.2340447</v>
      </c>
      <c r="BW211" s="451">
        <v>487.2340447</v>
      </c>
      <c r="BX211" s="451">
        <v>487.2340447</v>
      </c>
      <c r="BY211" s="451">
        <v>487.2340447</v>
      </c>
      <c r="BZ211" s="451">
        <v>487.2340447</v>
      </c>
      <c r="CA211" s="451">
        <v>487.2340447</v>
      </c>
      <c r="CB211" s="451">
        <v>487.2340447</v>
      </c>
      <c r="CC211" s="451">
        <v>487.2340447</v>
      </c>
      <c r="CD211" s="451">
        <v>487.2340447</v>
      </c>
      <c r="CE211" s="451">
        <v>487.2340447</v>
      </c>
      <c r="CF211" s="451">
        <v>487.2340447</v>
      </c>
      <c r="CG211" s="451">
        <v>487.2340447</v>
      </c>
      <c r="CH211" s="451">
        <v>487.2340447</v>
      </c>
      <c r="CI211" s="451">
        <v>487.2340447</v>
      </c>
      <c r="CL211" s="117">
        <f t="shared" si="217"/>
        <v>4566</v>
      </c>
      <c r="CM211" s="117">
        <f t="shared" si="218"/>
        <v>10469</v>
      </c>
      <c r="CN211" s="117">
        <f t="shared" si="219"/>
        <v>7656</v>
      </c>
      <c r="CO211" s="117">
        <f t="shared" si="220"/>
        <v>10022</v>
      </c>
      <c r="CP211" s="117">
        <f t="shared" si="221"/>
        <v>11420</v>
      </c>
      <c r="CQ211" s="117">
        <f t="shared" si="222"/>
        <v>6360.617022</v>
      </c>
    </row>
    <row r="212" ht="15.75" customHeight="1" outlineLevel="1">
      <c r="A212" s="1" t="s">
        <v>96</v>
      </c>
      <c r="B212" s="91" t="s">
        <v>63</v>
      </c>
      <c r="C212" s="132" t="s">
        <v>213</v>
      </c>
      <c r="D212" s="247">
        <f t="shared" ref="D212:Z212" si="228">RANDBETWEEN(0,5000)</f>
        <v>4414</v>
      </c>
      <c r="E212" s="247">
        <f t="shared" si="228"/>
        <v>1018</v>
      </c>
      <c r="F212" s="247">
        <f t="shared" si="228"/>
        <v>24</v>
      </c>
      <c r="G212" s="247">
        <f t="shared" si="228"/>
        <v>447</v>
      </c>
      <c r="H212" s="247">
        <f t="shared" si="228"/>
        <v>1572</v>
      </c>
      <c r="I212" s="247">
        <f t="shared" si="228"/>
        <v>1623</v>
      </c>
      <c r="J212" s="247">
        <f t="shared" si="228"/>
        <v>1589</v>
      </c>
      <c r="K212" s="247">
        <f t="shared" si="228"/>
        <v>2972</v>
      </c>
      <c r="L212" s="247">
        <f t="shared" si="228"/>
        <v>4475</v>
      </c>
      <c r="M212" s="247">
        <f t="shared" si="228"/>
        <v>3905</v>
      </c>
      <c r="N212" s="247">
        <f t="shared" si="228"/>
        <v>2815</v>
      </c>
      <c r="O212" s="247">
        <f t="shared" si="228"/>
        <v>2637</v>
      </c>
      <c r="P212" s="247">
        <f t="shared" si="228"/>
        <v>2339</v>
      </c>
      <c r="Q212" s="247">
        <f t="shared" si="228"/>
        <v>3880</v>
      </c>
      <c r="R212" s="247">
        <f t="shared" si="228"/>
        <v>2966</v>
      </c>
      <c r="S212" s="247">
        <f t="shared" si="228"/>
        <v>3892</v>
      </c>
      <c r="T212" s="247">
        <f t="shared" si="228"/>
        <v>3481</v>
      </c>
      <c r="U212" s="247">
        <f t="shared" si="228"/>
        <v>391</v>
      </c>
      <c r="V212" s="247">
        <f t="shared" si="228"/>
        <v>2317</v>
      </c>
      <c r="W212" s="247">
        <f t="shared" si="228"/>
        <v>4837</v>
      </c>
      <c r="X212" s="247">
        <f t="shared" si="228"/>
        <v>1953</v>
      </c>
      <c r="Y212" s="247">
        <f t="shared" si="228"/>
        <v>4567</v>
      </c>
      <c r="Z212" s="247">
        <f t="shared" si="228"/>
        <v>4425</v>
      </c>
      <c r="AA212" s="451">
        <v>397.143022</v>
      </c>
      <c r="AB212" s="451">
        <v>397.143022</v>
      </c>
      <c r="AC212" s="451">
        <v>397.143022</v>
      </c>
      <c r="AD212" s="451">
        <v>397.143022</v>
      </c>
      <c r="AE212" s="451">
        <v>397.143022</v>
      </c>
      <c r="AF212" s="451">
        <v>397.143022</v>
      </c>
      <c r="AG212" s="451">
        <v>397.143022</v>
      </c>
      <c r="AH212" s="451">
        <v>397.143022</v>
      </c>
      <c r="AI212" s="451">
        <v>397.143022</v>
      </c>
      <c r="AJ212" s="451">
        <v>397.143022</v>
      </c>
      <c r="AK212" s="451">
        <v>397.143022</v>
      </c>
      <c r="AL212" s="451">
        <v>397.143022</v>
      </c>
      <c r="AM212" s="451">
        <v>397.143022</v>
      </c>
      <c r="AN212" s="451">
        <v>825.0</v>
      </c>
      <c r="AO212" s="451">
        <v>825.0</v>
      </c>
      <c r="AP212" s="451">
        <v>825.0</v>
      </c>
      <c r="AQ212" s="451">
        <v>825.0</v>
      </c>
      <c r="AR212" s="451">
        <v>825.0</v>
      </c>
      <c r="AS212" s="451">
        <v>825.0</v>
      </c>
      <c r="AT212" s="451">
        <v>825.0</v>
      </c>
      <c r="AU212" s="451">
        <v>825.0</v>
      </c>
      <c r="AV212" s="451">
        <v>825.0</v>
      </c>
      <c r="AW212" s="451">
        <v>825.0</v>
      </c>
      <c r="AX212" s="451">
        <v>825.0</v>
      </c>
      <c r="AY212" s="451">
        <v>825.0</v>
      </c>
      <c r="AZ212" s="451">
        <v>1250.0</v>
      </c>
      <c r="BA212" s="451">
        <v>1250.0</v>
      </c>
      <c r="BB212" s="451">
        <v>1250.0</v>
      </c>
      <c r="BC212" s="451">
        <v>1250.0</v>
      </c>
      <c r="BD212" s="451">
        <v>1250.0</v>
      </c>
      <c r="BE212" s="451">
        <v>1250.0</v>
      </c>
      <c r="BF212" s="451">
        <v>1250.0</v>
      </c>
      <c r="BG212" s="451">
        <v>1250.0</v>
      </c>
      <c r="BH212" s="451">
        <v>1250.0</v>
      </c>
      <c r="BI212" s="451">
        <v>1250.0</v>
      </c>
      <c r="BJ212" s="451">
        <v>1250.0</v>
      </c>
      <c r="BK212" s="451">
        <v>1250.0</v>
      </c>
      <c r="BL212" s="451">
        <v>1400.0</v>
      </c>
      <c r="BM212" s="451">
        <v>1400.0</v>
      </c>
      <c r="BN212" s="451">
        <v>1400.0</v>
      </c>
      <c r="BO212" s="451">
        <v>1400.0</v>
      </c>
      <c r="BP212" s="451">
        <v>1400.0</v>
      </c>
      <c r="BQ212" s="451">
        <v>1400.0</v>
      </c>
      <c r="BR212" s="451">
        <v>1400.0</v>
      </c>
      <c r="BS212" s="451">
        <v>1400.0</v>
      </c>
      <c r="BT212" s="451">
        <v>1400.0</v>
      </c>
      <c r="BU212" s="451">
        <v>1400.0</v>
      </c>
      <c r="BV212" s="451">
        <v>1400.0</v>
      </c>
      <c r="BW212" s="451">
        <v>1400.0</v>
      </c>
      <c r="BX212" s="451">
        <v>1400.0</v>
      </c>
      <c r="BY212" s="451">
        <v>1500.0</v>
      </c>
      <c r="BZ212" s="451">
        <v>1500.0</v>
      </c>
      <c r="CA212" s="451">
        <v>1500.0</v>
      </c>
      <c r="CB212" s="451">
        <v>1500.0</v>
      </c>
      <c r="CC212" s="451">
        <v>1500.0</v>
      </c>
      <c r="CD212" s="451">
        <v>1500.0</v>
      </c>
      <c r="CE212" s="451">
        <v>1500.0</v>
      </c>
      <c r="CF212" s="451">
        <v>1500.0</v>
      </c>
      <c r="CG212" s="451">
        <v>1500.0</v>
      </c>
      <c r="CH212" s="451">
        <v>1500.0</v>
      </c>
      <c r="CI212" s="451">
        <v>1500.0</v>
      </c>
      <c r="CL212" s="117">
        <f t="shared" si="217"/>
        <v>5903</v>
      </c>
      <c r="CM212" s="117">
        <f t="shared" si="218"/>
        <v>7756</v>
      </c>
      <c r="CN212" s="117">
        <f t="shared" si="219"/>
        <v>13832</v>
      </c>
      <c r="CO212" s="117">
        <f t="shared" si="220"/>
        <v>13077</v>
      </c>
      <c r="CP212" s="117">
        <f t="shared" si="221"/>
        <v>11026</v>
      </c>
      <c r="CQ212" s="117">
        <f t="shared" si="222"/>
        <v>11342.14302</v>
      </c>
    </row>
    <row r="213" ht="15.75" customHeight="1" outlineLevel="1">
      <c r="A213" s="1" t="s">
        <v>96</v>
      </c>
      <c r="B213" s="91" t="s">
        <v>63</v>
      </c>
      <c r="C213" s="132" t="s">
        <v>214</v>
      </c>
      <c r="D213" s="247">
        <f t="shared" ref="D213:Z213" si="229">RANDBETWEEN(0,5000)</f>
        <v>3124</v>
      </c>
      <c r="E213" s="247">
        <f t="shared" si="229"/>
        <v>2935</v>
      </c>
      <c r="F213" s="247">
        <f t="shared" si="229"/>
        <v>3995</v>
      </c>
      <c r="G213" s="247">
        <f t="shared" si="229"/>
        <v>730</v>
      </c>
      <c r="H213" s="247">
        <f t="shared" si="229"/>
        <v>1003</v>
      </c>
      <c r="I213" s="247">
        <f t="shared" si="229"/>
        <v>1581</v>
      </c>
      <c r="J213" s="247">
        <f t="shared" si="229"/>
        <v>4334</v>
      </c>
      <c r="K213" s="247">
        <f t="shared" si="229"/>
        <v>3930</v>
      </c>
      <c r="L213" s="247">
        <f t="shared" si="229"/>
        <v>4110</v>
      </c>
      <c r="M213" s="247">
        <f t="shared" si="229"/>
        <v>821</v>
      </c>
      <c r="N213" s="247">
        <f t="shared" si="229"/>
        <v>1764</v>
      </c>
      <c r="O213" s="247">
        <f t="shared" si="229"/>
        <v>3161</v>
      </c>
      <c r="P213" s="247">
        <f t="shared" si="229"/>
        <v>793</v>
      </c>
      <c r="Q213" s="247">
        <f t="shared" si="229"/>
        <v>3603</v>
      </c>
      <c r="R213" s="247">
        <f t="shared" si="229"/>
        <v>4418</v>
      </c>
      <c r="S213" s="247">
        <f t="shared" si="229"/>
        <v>3594</v>
      </c>
      <c r="T213" s="247">
        <f t="shared" si="229"/>
        <v>2630</v>
      </c>
      <c r="U213" s="247">
        <f t="shared" si="229"/>
        <v>1055</v>
      </c>
      <c r="V213" s="247">
        <f t="shared" si="229"/>
        <v>1138</v>
      </c>
      <c r="W213" s="247">
        <f t="shared" si="229"/>
        <v>1216</v>
      </c>
      <c r="X213" s="247">
        <f t="shared" si="229"/>
        <v>4706</v>
      </c>
      <c r="Y213" s="247">
        <f t="shared" si="229"/>
        <v>3082</v>
      </c>
      <c r="Z213" s="247">
        <f t="shared" si="229"/>
        <v>2385</v>
      </c>
      <c r="AA213" s="116">
        <f>Headcount!S141</f>
        <v>250</v>
      </c>
      <c r="AB213" s="116">
        <f>Headcount!T141</f>
        <v>250</v>
      </c>
      <c r="AC213" s="116">
        <f>Headcount!U141</f>
        <v>250</v>
      </c>
      <c r="AD213" s="116">
        <f>Headcount!V141</f>
        <v>250</v>
      </c>
      <c r="AE213" s="116">
        <f>Headcount!W141</f>
        <v>250</v>
      </c>
      <c r="AF213" s="116">
        <f>Headcount!X141</f>
        <v>250</v>
      </c>
      <c r="AG213" s="116">
        <f>Headcount!Y141</f>
        <v>250</v>
      </c>
      <c r="AH213" s="116">
        <f>Headcount!Z141</f>
        <v>250</v>
      </c>
      <c r="AI213" s="116">
        <f>Headcount!AA141</f>
        <v>250</v>
      </c>
      <c r="AJ213" s="116">
        <f>Headcount!AB141</f>
        <v>250</v>
      </c>
      <c r="AK213" s="116">
        <f>Headcount!AC141</f>
        <v>250</v>
      </c>
      <c r="AL213" s="116">
        <f>Headcount!AD141</f>
        <v>250</v>
      </c>
      <c r="AM213" s="116">
        <f>Headcount!AE141</f>
        <v>250</v>
      </c>
      <c r="AN213" s="116">
        <f>Headcount!AF141</f>
        <v>375</v>
      </c>
      <c r="AO213" s="116">
        <f>Headcount!AG141</f>
        <v>375</v>
      </c>
      <c r="AP213" s="116">
        <f>Headcount!AH141</f>
        <v>375</v>
      </c>
      <c r="AQ213" s="116">
        <f>Headcount!AI141</f>
        <v>375</v>
      </c>
      <c r="AR213" s="116">
        <f>Headcount!AJ141</f>
        <v>375</v>
      </c>
      <c r="AS213" s="116">
        <f>Headcount!AK141</f>
        <v>375</v>
      </c>
      <c r="AT213" s="116">
        <f>Headcount!AL141</f>
        <v>375</v>
      </c>
      <c r="AU213" s="116">
        <f>Headcount!AM141</f>
        <v>375</v>
      </c>
      <c r="AV213" s="116">
        <f>Headcount!AN141</f>
        <v>375</v>
      </c>
      <c r="AW213" s="116">
        <f>Headcount!AO141</f>
        <v>375</v>
      </c>
      <c r="AX213" s="116">
        <f>Headcount!AP141</f>
        <v>375</v>
      </c>
      <c r="AY213" s="116">
        <f>Headcount!AQ141</f>
        <v>375</v>
      </c>
      <c r="AZ213" s="116">
        <f>Headcount!AR141</f>
        <v>500</v>
      </c>
      <c r="BA213" s="116">
        <f>Headcount!AS141</f>
        <v>500</v>
      </c>
      <c r="BB213" s="116">
        <f>Headcount!AT141</f>
        <v>500</v>
      </c>
      <c r="BC213" s="116">
        <f>Headcount!AU141</f>
        <v>500</v>
      </c>
      <c r="BD213" s="116">
        <f>Headcount!AV141</f>
        <v>500</v>
      </c>
      <c r="BE213" s="116">
        <f>Headcount!AW141</f>
        <v>500</v>
      </c>
      <c r="BF213" s="116">
        <f>Headcount!AX141</f>
        <v>500</v>
      </c>
      <c r="BG213" s="116">
        <f>Headcount!AY141</f>
        <v>500</v>
      </c>
      <c r="BH213" s="116">
        <f>Headcount!AZ141</f>
        <v>500</v>
      </c>
      <c r="BI213" s="116">
        <f>Headcount!BA141</f>
        <v>500</v>
      </c>
      <c r="BJ213" s="116">
        <f>Headcount!BB141</f>
        <v>500</v>
      </c>
      <c r="BK213" s="116">
        <f>Headcount!BC141</f>
        <v>500</v>
      </c>
      <c r="BL213" s="116">
        <f>Headcount!BD141</f>
        <v>500</v>
      </c>
      <c r="BM213" s="116">
        <f>Headcount!BE141</f>
        <v>500</v>
      </c>
      <c r="BN213" s="116">
        <f>Headcount!BF141</f>
        <v>500</v>
      </c>
      <c r="BO213" s="116">
        <f>Headcount!BG141</f>
        <v>500</v>
      </c>
      <c r="BP213" s="116">
        <f>Headcount!BH141</f>
        <v>500</v>
      </c>
      <c r="BQ213" s="116">
        <f>Headcount!BI141</f>
        <v>500</v>
      </c>
      <c r="BR213" s="116">
        <f>Headcount!BJ141</f>
        <v>500</v>
      </c>
      <c r="BS213" s="116">
        <f>Headcount!BK141</f>
        <v>500</v>
      </c>
      <c r="BT213" s="116">
        <f>Headcount!BL141</f>
        <v>500</v>
      </c>
      <c r="BU213" s="116">
        <f>Headcount!BM141</f>
        <v>500</v>
      </c>
      <c r="BV213" s="116">
        <f>Headcount!BN141</f>
        <v>500</v>
      </c>
      <c r="BW213" s="116">
        <f>Headcount!BO141</f>
        <v>500</v>
      </c>
      <c r="BX213" s="116">
        <f>Headcount!BP141</f>
        <v>500</v>
      </c>
      <c r="BY213" s="116">
        <f>Headcount!BQ141</f>
        <v>500</v>
      </c>
      <c r="BZ213" s="116">
        <f>Headcount!BR141</f>
        <v>500</v>
      </c>
      <c r="CA213" s="116">
        <f>Headcount!BS141</f>
        <v>500</v>
      </c>
      <c r="CB213" s="116">
        <f>Headcount!BT141</f>
        <v>500</v>
      </c>
      <c r="CC213" s="116">
        <f>Headcount!BU141</f>
        <v>500</v>
      </c>
      <c r="CD213" s="116">
        <f>Headcount!BV141</f>
        <v>500</v>
      </c>
      <c r="CE213" s="116">
        <f>Headcount!BW141</f>
        <v>500</v>
      </c>
      <c r="CF213" s="116">
        <f>Headcount!BX141</f>
        <v>500</v>
      </c>
      <c r="CG213" s="116">
        <f>Headcount!BY141</f>
        <v>500</v>
      </c>
      <c r="CH213" s="116">
        <f>Headcount!BZ141</f>
        <v>500</v>
      </c>
      <c r="CI213" s="116">
        <f>Headcount!CA141</f>
        <v>500</v>
      </c>
      <c r="CL213" s="117">
        <f t="shared" si="217"/>
        <v>10784</v>
      </c>
      <c r="CM213" s="117">
        <f t="shared" si="218"/>
        <v>10848</v>
      </c>
      <c r="CN213" s="117">
        <f t="shared" si="219"/>
        <v>9856</v>
      </c>
      <c r="CO213" s="117">
        <f t="shared" si="220"/>
        <v>12408</v>
      </c>
      <c r="CP213" s="117">
        <f t="shared" si="221"/>
        <v>6039</v>
      </c>
      <c r="CQ213" s="117">
        <f t="shared" si="222"/>
        <v>10423</v>
      </c>
    </row>
    <row r="214" ht="15.75" customHeight="1" outlineLevel="1">
      <c r="A214" s="1" t="s">
        <v>96</v>
      </c>
      <c r="B214" s="91" t="s">
        <v>65</v>
      </c>
      <c r="C214" s="132" t="s">
        <v>215</v>
      </c>
      <c r="D214" s="247">
        <f t="shared" ref="D214:Z214" si="230">RANDBETWEEN(0,5000)</f>
        <v>3709</v>
      </c>
      <c r="E214" s="247">
        <f t="shared" si="230"/>
        <v>1400</v>
      </c>
      <c r="F214" s="247">
        <f t="shared" si="230"/>
        <v>452</v>
      </c>
      <c r="G214" s="247">
        <f t="shared" si="230"/>
        <v>4271</v>
      </c>
      <c r="H214" s="247">
        <f t="shared" si="230"/>
        <v>1735</v>
      </c>
      <c r="I214" s="247">
        <f t="shared" si="230"/>
        <v>2075</v>
      </c>
      <c r="J214" s="247">
        <f t="shared" si="230"/>
        <v>398</v>
      </c>
      <c r="K214" s="247">
        <f t="shared" si="230"/>
        <v>2983</v>
      </c>
      <c r="L214" s="247">
        <f t="shared" si="230"/>
        <v>2635</v>
      </c>
      <c r="M214" s="247">
        <f t="shared" si="230"/>
        <v>722</v>
      </c>
      <c r="N214" s="247">
        <f t="shared" si="230"/>
        <v>3697</v>
      </c>
      <c r="O214" s="247">
        <f t="shared" si="230"/>
        <v>3191</v>
      </c>
      <c r="P214" s="247">
        <f t="shared" si="230"/>
        <v>30</v>
      </c>
      <c r="Q214" s="247">
        <f t="shared" si="230"/>
        <v>3735</v>
      </c>
      <c r="R214" s="247">
        <f t="shared" si="230"/>
        <v>336</v>
      </c>
      <c r="S214" s="247">
        <f t="shared" si="230"/>
        <v>2614</v>
      </c>
      <c r="T214" s="247">
        <f t="shared" si="230"/>
        <v>3054</v>
      </c>
      <c r="U214" s="247">
        <f t="shared" si="230"/>
        <v>1136</v>
      </c>
      <c r="V214" s="247">
        <f t="shared" si="230"/>
        <v>2772</v>
      </c>
      <c r="W214" s="247">
        <f t="shared" si="230"/>
        <v>969</v>
      </c>
      <c r="X214" s="247">
        <f t="shared" si="230"/>
        <v>3069</v>
      </c>
      <c r="Y214" s="247">
        <f t="shared" si="230"/>
        <v>1127</v>
      </c>
      <c r="Z214" s="247">
        <f t="shared" si="230"/>
        <v>3273</v>
      </c>
      <c r="AA214" s="247"/>
      <c r="AB214" s="247"/>
      <c r="AC214" s="247"/>
      <c r="AD214" s="247"/>
      <c r="AE214" s="247"/>
      <c r="AF214" s="247"/>
      <c r="AG214" s="247"/>
      <c r="AH214" s="247"/>
      <c r="AI214" s="247"/>
      <c r="AJ214" s="247"/>
      <c r="AK214" s="247"/>
      <c r="AL214" s="247"/>
      <c r="AM214" s="247"/>
      <c r="AN214" s="247"/>
      <c r="AO214" s="247"/>
      <c r="AP214" s="247"/>
      <c r="AQ214" s="247"/>
      <c r="AR214" s="247"/>
      <c r="AS214" s="247"/>
      <c r="AT214" s="247"/>
      <c r="AU214" s="247"/>
      <c r="AV214" s="247"/>
      <c r="AW214" s="247"/>
      <c r="AX214" s="247"/>
      <c r="AY214" s="247"/>
      <c r="AZ214" s="247"/>
      <c r="BA214" s="247"/>
      <c r="BB214" s="247"/>
      <c r="BC214" s="247"/>
      <c r="BD214" s="247"/>
      <c r="BE214" s="247"/>
      <c r="BF214" s="247"/>
      <c r="BG214" s="247"/>
      <c r="BH214" s="247"/>
      <c r="BI214" s="247"/>
      <c r="BJ214" s="247"/>
      <c r="BK214" s="247"/>
      <c r="BL214" s="247"/>
      <c r="BM214" s="247"/>
      <c r="BN214" s="247"/>
      <c r="BO214" s="247"/>
      <c r="BP214" s="247"/>
      <c r="BQ214" s="247"/>
      <c r="BR214" s="247"/>
      <c r="BS214" s="247"/>
      <c r="BT214" s="247"/>
      <c r="BU214" s="247"/>
      <c r="BV214" s="247"/>
      <c r="BW214" s="247"/>
      <c r="BX214" s="247"/>
      <c r="BY214" s="247"/>
      <c r="BZ214" s="247"/>
      <c r="CA214" s="247"/>
      <c r="CB214" s="247"/>
      <c r="CC214" s="247"/>
      <c r="CD214" s="247"/>
      <c r="CE214" s="247"/>
      <c r="CF214" s="247"/>
      <c r="CG214" s="247"/>
      <c r="CH214" s="247"/>
      <c r="CI214" s="247"/>
      <c r="CL214" s="117">
        <f t="shared" si="217"/>
        <v>9832</v>
      </c>
      <c r="CM214" s="117">
        <f t="shared" si="218"/>
        <v>7191</v>
      </c>
      <c r="CN214" s="117">
        <f t="shared" si="219"/>
        <v>10245</v>
      </c>
      <c r="CO214" s="117">
        <f t="shared" si="220"/>
        <v>6715</v>
      </c>
      <c r="CP214" s="117">
        <f t="shared" si="221"/>
        <v>7931</v>
      </c>
      <c r="CQ214" s="117">
        <f t="shared" si="222"/>
        <v>7469</v>
      </c>
    </row>
    <row r="215" ht="15.75" customHeight="1" outlineLevel="1">
      <c r="A215" s="1" t="s">
        <v>96</v>
      </c>
      <c r="B215" s="91" t="s">
        <v>69</v>
      </c>
      <c r="C215" s="132" t="s">
        <v>216</v>
      </c>
      <c r="D215" s="247">
        <f t="shared" ref="D215:Z215" si="231">RANDBETWEEN(0,5000)</f>
        <v>713</v>
      </c>
      <c r="E215" s="247">
        <f t="shared" si="231"/>
        <v>1961</v>
      </c>
      <c r="F215" s="247">
        <f t="shared" si="231"/>
        <v>2668</v>
      </c>
      <c r="G215" s="247">
        <f t="shared" si="231"/>
        <v>969</v>
      </c>
      <c r="H215" s="247">
        <f t="shared" si="231"/>
        <v>4460</v>
      </c>
      <c r="I215" s="247">
        <f t="shared" si="231"/>
        <v>487</v>
      </c>
      <c r="J215" s="247">
        <f t="shared" si="231"/>
        <v>3498</v>
      </c>
      <c r="K215" s="247">
        <f t="shared" si="231"/>
        <v>3037</v>
      </c>
      <c r="L215" s="247">
        <f t="shared" si="231"/>
        <v>2274</v>
      </c>
      <c r="M215" s="247">
        <f t="shared" si="231"/>
        <v>3164</v>
      </c>
      <c r="N215" s="247">
        <f t="shared" si="231"/>
        <v>609</v>
      </c>
      <c r="O215" s="247">
        <f t="shared" si="231"/>
        <v>4229</v>
      </c>
      <c r="P215" s="247">
        <f t="shared" si="231"/>
        <v>2611</v>
      </c>
      <c r="Q215" s="247">
        <f t="shared" si="231"/>
        <v>1149</v>
      </c>
      <c r="R215" s="247">
        <f t="shared" si="231"/>
        <v>832</v>
      </c>
      <c r="S215" s="247">
        <f t="shared" si="231"/>
        <v>1604</v>
      </c>
      <c r="T215" s="247">
        <f t="shared" si="231"/>
        <v>143</v>
      </c>
      <c r="U215" s="247">
        <f t="shared" si="231"/>
        <v>3196</v>
      </c>
      <c r="V215" s="247">
        <f t="shared" si="231"/>
        <v>3804</v>
      </c>
      <c r="W215" s="247">
        <f t="shared" si="231"/>
        <v>4061</v>
      </c>
      <c r="X215" s="247">
        <f t="shared" si="231"/>
        <v>4245</v>
      </c>
      <c r="Y215" s="247">
        <f t="shared" si="231"/>
        <v>4449</v>
      </c>
      <c r="Z215" s="247">
        <f t="shared" si="231"/>
        <v>1064</v>
      </c>
      <c r="AA215" s="511">
        <f>Expenses!T61</f>
        <v>0</v>
      </c>
      <c r="AB215" s="511">
        <f>Expenses!U61</f>
        <v>0</v>
      </c>
      <c r="AC215" s="511">
        <f>Expenses!V61</f>
        <v>0</v>
      </c>
      <c r="AD215" s="511">
        <f>Expenses!W61</f>
        <v>0</v>
      </c>
      <c r="AE215" s="511">
        <f>Expenses!X61</f>
        <v>0</v>
      </c>
      <c r="AF215" s="511">
        <f>Expenses!Y61</f>
        <v>0</v>
      </c>
      <c r="AG215" s="511">
        <f>Expenses!Z61</f>
        <v>0</v>
      </c>
      <c r="AH215" s="511">
        <f>Expenses!AA61</f>
        <v>0</v>
      </c>
      <c r="AI215" s="511">
        <f>Expenses!AB61</f>
        <v>0</v>
      </c>
      <c r="AJ215" s="511">
        <f>Expenses!AC61</f>
        <v>0</v>
      </c>
      <c r="AK215" s="511">
        <f>Expenses!AD61</f>
        <v>0</v>
      </c>
      <c r="AL215" s="511">
        <f>Expenses!AE61</f>
        <v>0</v>
      </c>
      <c r="AM215" s="511">
        <f>Expenses!AF61</f>
        <v>0</v>
      </c>
      <c r="AN215" s="511">
        <f>Expenses!AG61</f>
        <v>0</v>
      </c>
      <c r="AO215" s="511">
        <f>Expenses!AH61</f>
        <v>0</v>
      </c>
      <c r="AP215" s="511">
        <f>Expenses!AI61</f>
        <v>0</v>
      </c>
      <c r="AQ215" s="511">
        <f>Expenses!AJ61</f>
        <v>0</v>
      </c>
      <c r="AR215" s="511">
        <f>Expenses!AK61</f>
        <v>0</v>
      </c>
      <c r="AS215" s="511">
        <f>Expenses!AL61</f>
        <v>0</v>
      </c>
      <c r="AT215" s="511">
        <f>Expenses!AM61</f>
        <v>0</v>
      </c>
      <c r="AU215" s="511">
        <f>Expenses!AN61</f>
        <v>0</v>
      </c>
      <c r="AV215" s="511">
        <f>Expenses!AO61</f>
        <v>0</v>
      </c>
      <c r="AW215" s="511">
        <f>Expenses!AP61</f>
        <v>0</v>
      </c>
      <c r="AX215" s="511">
        <f>Expenses!AQ61</f>
        <v>0</v>
      </c>
      <c r="AY215" s="511">
        <f>Expenses!AR61</f>
        <v>0</v>
      </c>
      <c r="AZ215" s="511">
        <f>Expenses!AS61</f>
        <v>0</v>
      </c>
      <c r="BA215" s="511">
        <f>Expenses!AT61</f>
        <v>0</v>
      </c>
      <c r="BB215" s="511">
        <f>Expenses!AU61</f>
        <v>0</v>
      </c>
      <c r="BC215" s="511">
        <f>Expenses!AV61</f>
        <v>0</v>
      </c>
      <c r="BD215" s="511">
        <f>Expenses!AW61</f>
        <v>0</v>
      </c>
      <c r="BE215" s="511">
        <f>Expenses!AX61</f>
        <v>0</v>
      </c>
      <c r="BF215" s="511">
        <f>Expenses!AY61</f>
        <v>0</v>
      </c>
      <c r="BG215" s="511">
        <f>Expenses!AZ61</f>
        <v>0</v>
      </c>
      <c r="BH215" s="511">
        <f>Expenses!BA61</f>
        <v>0</v>
      </c>
      <c r="BI215" s="511">
        <f>Expenses!BB61</f>
        <v>0</v>
      </c>
      <c r="BJ215" s="511">
        <f>Expenses!BC61</f>
        <v>0</v>
      </c>
      <c r="BK215" s="511">
        <f>Expenses!BD61</f>
        <v>0</v>
      </c>
      <c r="BL215" s="511">
        <f>Expenses!BE61</f>
        <v>0</v>
      </c>
      <c r="BM215" s="511">
        <f>Expenses!BF61</f>
        <v>0</v>
      </c>
      <c r="BN215" s="511">
        <f>Expenses!BG61</f>
        <v>0</v>
      </c>
      <c r="BO215" s="511">
        <f>Expenses!BH61</f>
        <v>0</v>
      </c>
      <c r="BP215" s="511">
        <f>Expenses!BI61</f>
        <v>0</v>
      </c>
      <c r="BQ215" s="511">
        <f>Expenses!BJ61</f>
        <v>0</v>
      </c>
      <c r="BR215" s="511">
        <f>Expenses!BK61</f>
        <v>0</v>
      </c>
      <c r="BS215" s="511">
        <f>Expenses!BL61</f>
        <v>0</v>
      </c>
      <c r="BT215" s="511">
        <f>Expenses!BM61</f>
        <v>0</v>
      </c>
      <c r="BU215" s="511">
        <f>Expenses!BN61</f>
        <v>0</v>
      </c>
      <c r="BV215" s="511">
        <f>Expenses!BO61</f>
        <v>0</v>
      </c>
      <c r="BW215" s="511">
        <f>Expenses!BP61</f>
        <v>0</v>
      </c>
      <c r="BX215" s="511">
        <f>Expenses!BQ61</f>
        <v>0</v>
      </c>
      <c r="BY215" s="511">
        <f>Expenses!BR61</f>
        <v>0</v>
      </c>
      <c r="BZ215" s="511">
        <f>Expenses!BS61</f>
        <v>0</v>
      </c>
      <c r="CA215" s="511">
        <f>Expenses!BT61</f>
        <v>0</v>
      </c>
      <c r="CB215" s="511">
        <f>Expenses!BU61</f>
        <v>0</v>
      </c>
      <c r="CC215" s="511">
        <f>Expenses!BV61</f>
        <v>0</v>
      </c>
      <c r="CD215" s="511">
        <f>Expenses!BW61</f>
        <v>0</v>
      </c>
      <c r="CE215" s="511">
        <f>Expenses!BX61</f>
        <v>0</v>
      </c>
      <c r="CF215" s="511">
        <f>Expenses!BY61</f>
        <v>0</v>
      </c>
      <c r="CG215" s="511">
        <f>Expenses!BZ61</f>
        <v>0</v>
      </c>
      <c r="CH215" s="511">
        <f>Expenses!CA61</f>
        <v>0</v>
      </c>
      <c r="CI215" s="511">
        <f>Expenses!CB61</f>
        <v>0</v>
      </c>
      <c r="CL215" s="117">
        <f t="shared" si="217"/>
        <v>6311</v>
      </c>
      <c r="CM215" s="117">
        <f t="shared" si="218"/>
        <v>11482</v>
      </c>
      <c r="CN215" s="117">
        <f t="shared" si="219"/>
        <v>10276</v>
      </c>
      <c r="CO215" s="117">
        <f t="shared" si="220"/>
        <v>6196</v>
      </c>
      <c r="CP215" s="117">
        <f t="shared" si="221"/>
        <v>11204</v>
      </c>
      <c r="CQ215" s="117">
        <f t="shared" si="222"/>
        <v>9758</v>
      </c>
    </row>
    <row r="216" ht="15.75" customHeight="1" outlineLevel="1">
      <c r="A216" s="1" t="s">
        <v>96</v>
      </c>
      <c r="B216" s="91" t="s">
        <v>71</v>
      </c>
      <c r="C216" s="132" t="s">
        <v>217</v>
      </c>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117">
        <f t="shared" ref="AA216:CI216" si="232">AA264</f>
        <v>6464.928563</v>
      </c>
      <c r="AB216" s="117">
        <f t="shared" si="232"/>
        <v>6188.04886</v>
      </c>
      <c r="AC216" s="117">
        <f t="shared" si="232"/>
        <v>5241.200186</v>
      </c>
      <c r="AD216" s="117">
        <f t="shared" si="232"/>
        <v>4549.538413</v>
      </c>
      <c r="AE216" s="117">
        <f t="shared" si="232"/>
        <v>4324.183998</v>
      </c>
      <c r="AF216" s="117">
        <f t="shared" si="232"/>
        <v>4322.357593</v>
      </c>
      <c r="AG216" s="117">
        <f t="shared" si="232"/>
        <v>3889.43281</v>
      </c>
      <c r="AH216" s="117">
        <f t="shared" si="232"/>
        <v>3512.634681</v>
      </c>
      <c r="AI216" s="117">
        <f t="shared" si="232"/>
        <v>3515.552865</v>
      </c>
      <c r="AJ216" s="117">
        <f t="shared" si="232"/>
        <v>3610.750277</v>
      </c>
      <c r="AK216" s="117">
        <f t="shared" si="232"/>
        <v>3600.062786</v>
      </c>
      <c r="AL216" s="117">
        <f t="shared" si="232"/>
        <v>3341.352897</v>
      </c>
      <c r="AM216" s="117">
        <f t="shared" si="232"/>
        <v>3342.00975</v>
      </c>
      <c r="AN216" s="117">
        <f t="shared" si="232"/>
        <v>5019.111957</v>
      </c>
      <c r="AO216" s="117">
        <f t="shared" si="232"/>
        <v>4855.19021</v>
      </c>
      <c r="AP216" s="117">
        <f t="shared" si="232"/>
        <v>4685.905991</v>
      </c>
      <c r="AQ216" s="117">
        <f t="shared" si="232"/>
        <v>4820.204905</v>
      </c>
      <c r="AR216" s="117">
        <f t="shared" si="232"/>
        <v>4984.332272</v>
      </c>
      <c r="AS216" s="117">
        <f t="shared" si="232"/>
        <v>4791.99914</v>
      </c>
      <c r="AT216" s="117">
        <f t="shared" si="232"/>
        <v>4579.465101</v>
      </c>
      <c r="AU216" s="117">
        <f t="shared" si="232"/>
        <v>4697.257578</v>
      </c>
      <c r="AV216" s="117">
        <f t="shared" si="232"/>
        <v>4868.658539</v>
      </c>
      <c r="AW216" s="117">
        <f t="shared" si="232"/>
        <v>4686.189865</v>
      </c>
      <c r="AX216" s="117">
        <f t="shared" si="232"/>
        <v>4505.796343</v>
      </c>
      <c r="AY216" s="117">
        <f t="shared" si="232"/>
        <v>4644.441746</v>
      </c>
      <c r="AZ216" s="117">
        <f t="shared" si="232"/>
        <v>6218.054184</v>
      </c>
      <c r="BA216" s="117">
        <f t="shared" si="232"/>
        <v>5932.489048</v>
      </c>
      <c r="BB216" s="117">
        <f t="shared" si="232"/>
        <v>5652.39706</v>
      </c>
      <c r="BC216" s="117">
        <f t="shared" si="232"/>
        <v>5796.305494</v>
      </c>
      <c r="BD216" s="117">
        <f t="shared" si="232"/>
        <v>6040.509745</v>
      </c>
      <c r="BE216" s="117">
        <f t="shared" si="232"/>
        <v>5784.450296</v>
      </c>
      <c r="BF216" s="117">
        <f t="shared" si="232"/>
        <v>5884.360697</v>
      </c>
      <c r="BG216" s="117">
        <f t="shared" si="232"/>
        <v>6032.473804</v>
      </c>
      <c r="BH216" s="117">
        <f t="shared" si="232"/>
        <v>6282.703222</v>
      </c>
      <c r="BI216" s="117">
        <f t="shared" si="232"/>
        <v>6037.339214</v>
      </c>
      <c r="BJ216" s="117">
        <f t="shared" si="232"/>
        <v>5797.743415</v>
      </c>
      <c r="BK216" s="117">
        <f t="shared" si="232"/>
        <v>5952.72655</v>
      </c>
      <c r="BL216" s="117">
        <f t="shared" si="232"/>
        <v>6154.030699</v>
      </c>
      <c r="BM216" s="117">
        <f t="shared" si="232"/>
        <v>5913.359126</v>
      </c>
      <c r="BN216" s="117">
        <f t="shared" si="232"/>
        <v>5697.712161</v>
      </c>
      <c r="BO216" s="117">
        <f t="shared" si="232"/>
        <v>5850.410396</v>
      </c>
      <c r="BP216" s="117">
        <f t="shared" si="232"/>
        <v>6079.661219</v>
      </c>
      <c r="BQ216" s="117">
        <f t="shared" si="232"/>
        <v>6002.63986</v>
      </c>
      <c r="BR216" s="117">
        <f t="shared" si="232"/>
        <v>5788.98343</v>
      </c>
      <c r="BS216" s="117">
        <f t="shared" si="232"/>
        <v>6217.255133</v>
      </c>
      <c r="BT216" s="117">
        <f t="shared" si="232"/>
        <v>6447.692433</v>
      </c>
      <c r="BU216" s="117">
        <f t="shared" si="232"/>
        <v>6232.606824</v>
      </c>
      <c r="BV216" s="117">
        <f t="shared" si="232"/>
        <v>6022.662502</v>
      </c>
      <c r="BW216" s="117">
        <f t="shared" si="232"/>
        <v>6168.116398</v>
      </c>
      <c r="BX216" s="117">
        <f t="shared" si="232"/>
        <v>6384.983955</v>
      </c>
      <c r="BY216" s="117">
        <f t="shared" si="232"/>
        <v>6204.019347</v>
      </c>
      <c r="BZ216" s="117">
        <f t="shared" si="232"/>
        <v>6026.643246</v>
      </c>
      <c r="CA216" s="117">
        <f t="shared" si="232"/>
        <v>6189.376919</v>
      </c>
      <c r="CB216" s="117">
        <f t="shared" si="232"/>
        <v>6348.993349</v>
      </c>
      <c r="CC216" s="117">
        <f t="shared" si="232"/>
        <v>6292.080852</v>
      </c>
      <c r="CD216" s="117">
        <f t="shared" si="232"/>
        <v>6114.634271</v>
      </c>
      <c r="CE216" s="117">
        <f t="shared" si="232"/>
        <v>6271.302681</v>
      </c>
      <c r="CF216" s="117">
        <f t="shared" si="232"/>
        <v>6430.14179</v>
      </c>
      <c r="CG216" s="117">
        <f t="shared" si="232"/>
        <v>6254.2789</v>
      </c>
      <c r="CH216" s="117">
        <f t="shared" si="232"/>
        <v>6080.348662</v>
      </c>
      <c r="CI216" s="117">
        <f t="shared" si="232"/>
        <v>6235.802809</v>
      </c>
      <c r="CL216" s="117">
        <f t="shared" si="217"/>
        <v>0</v>
      </c>
      <c r="CM216" s="117">
        <f t="shared" si="218"/>
        <v>0</v>
      </c>
      <c r="CN216" s="117">
        <f t="shared" si="219"/>
        <v>0</v>
      </c>
      <c r="CO216" s="117">
        <f t="shared" si="220"/>
        <v>0</v>
      </c>
      <c r="CP216" s="117">
        <f t="shared" si="221"/>
        <v>0</v>
      </c>
      <c r="CQ216" s="117">
        <f t="shared" si="222"/>
        <v>6464.928563</v>
      </c>
    </row>
    <row r="217" ht="15.75" customHeight="1" outlineLevel="1">
      <c r="A217" s="1" t="s">
        <v>96</v>
      </c>
      <c r="B217" s="91" t="s">
        <v>67</v>
      </c>
      <c r="C217" s="146" t="s">
        <v>218</v>
      </c>
      <c r="D217" s="247">
        <f t="shared" ref="D217:Z217" si="233">RANDBETWEEN(0,5000)</f>
        <v>4542</v>
      </c>
      <c r="E217" s="247">
        <f t="shared" si="233"/>
        <v>4715</v>
      </c>
      <c r="F217" s="247">
        <f t="shared" si="233"/>
        <v>132</v>
      </c>
      <c r="G217" s="247">
        <f t="shared" si="233"/>
        <v>161</v>
      </c>
      <c r="H217" s="247">
        <f t="shared" si="233"/>
        <v>446</v>
      </c>
      <c r="I217" s="247">
        <f t="shared" si="233"/>
        <v>3718</v>
      </c>
      <c r="J217" s="247">
        <f t="shared" si="233"/>
        <v>2838</v>
      </c>
      <c r="K217" s="247">
        <f t="shared" si="233"/>
        <v>196</v>
      </c>
      <c r="L217" s="247">
        <f t="shared" si="233"/>
        <v>603</v>
      </c>
      <c r="M217" s="247">
        <f t="shared" si="233"/>
        <v>2928</v>
      </c>
      <c r="N217" s="247">
        <f t="shared" si="233"/>
        <v>2516</v>
      </c>
      <c r="O217" s="247">
        <f t="shared" si="233"/>
        <v>4119</v>
      </c>
      <c r="P217" s="247">
        <f t="shared" si="233"/>
        <v>3191</v>
      </c>
      <c r="Q217" s="247">
        <f t="shared" si="233"/>
        <v>1747</v>
      </c>
      <c r="R217" s="247">
        <f t="shared" si="233"/>
        <v>4455</v>
      </c>
      <c r="S217" s="247">
        <f t="shared" si="233"/>
        <v>2874</v>
      </c>
      <c r="T217" s="247">
        <f t="shared" si="233"/>
        <v>286</v>
      </c>
      <c r="U217" s="247">
        <f t="shared" si="233"/>
        <v>2760</v>
      </c>
      <c r="V217" s="247">
        <f t="shared" si="233"/>
        <v>3487</v>
      </c>
      <c r="W217" s="247">
        <f t="shared" si="233"/>
        <v>439</v>
      </c>
      <c r="X217" s="247">
        <f t="shared" si="233"/>
        <v>4925</v>
      </c>
      <c r="Y217" s="247">
        <f t="shared" si="233"/>
        <v>2561</v>
      </c>
      <c r="Z217" s="247">
        <f t="shared" si="233"/>
        <v>3740</v>
      </c>
      <c r="AA217" s="116">
        <f>Expenses!T107</f>
        <v>141.165315</v>
      </c>
      <c r="AB217" s="116">
        <f>Expenses!U107</f>
        <v>155.2818465</v>
      </c>
      <c r="AC217" s="116">
        <f>Expenses!V107</f>
        <v>156.834665</v>
      </c>
      <c r="AD217" s="116">
        <f>Expenses!W107</f>
        <v>158.4030116</v>
      </c>
      <c r="AE217" s="116">
        <f>Expenses!X107</f>
        <v>159.9870417</v>
      </c>
      <c r="AF217" s="116">
        <f>Expenses!Y107</f>
        <v>161.5869121</v>
      </c>
      <c r="AG217" s="116">
        <f>Expenses!Z107</f>
        <v>163.2027813</v>
      </c>
      <c r="AH217" s="116">
        <f>Expenses!AA107</f>
        <v>164.8348091</v>
      </c>
      <c r="AI217" s="116">
        <f>Expenses!AB107</f>
        <v>166.4831572</v>
      </c>
      <c r="AJ217" s="116">
        <f>Expenses!AC107</f>
        <v>168.1479887</v>
      </c>
      <c r="AK217" s="116">
        <f>Expenses!AD107</f>
        <v>169.8294686</v>
      </c>
      <c r="AL217" s="116">
        <f>Expenses!AE107</f>
        <v>171.5277633</v>
      </c>
      <c r="AM217" s="116">
        <f>Expenses!AF107</f>
        <v>173.243041</v>
      </c>
      <c r="AN217" s="116">
        <f>Expenses!AG107</f>
        <v>174.9754714</v>
      </c>
      <c r="AO217" s="116">
        <f>Expenses!AH107</f>
        <v>176.7252261</v>
      </c>
      <c r="AP217" s="116">
        <f>Expenses!AI107</f>
        <v>178.4924783</v>
      </c>
      <c r="AQ217" s="116">
        <f>Expenses!AJ107</f>
        <v>180.2774031</v>
      </c>
      <c r="AR217" s="116">
        <f>Expenses!AK107</f>
        <v>182.0801772</v>
      </c>
      <c r="AS217" s="116">
        <f>Expenses!AL107</f>
        <v>183.9009789</v>
      </c>
      <c r="AT217" s="116">
        <f>Expenses!AM107</f>
        <v>185.7399887</v>
      </c>
      <c r="AU217" s="116">
        <f>Expenses!AN107</f>
        <v>187.5973886</v>
      </c>
      <c r="AV217" s="116">
        <f>Expenses!AO107</f>
        <v>189.4733625</v>
      </c>
      <c r="AW217" s="116">
        <f>Expenses!AP107</f>
        <v>191.3680961</v>
      </c>
      <c r="AX217" s="116">
        <f>Expenses!AQ107</f>
        <v>193.2817771</v>
      </c>
      <c r="AY217" s="116">
        <f>Expenses!AR107</f>
        <v>195.2145948</v>
      </c>
      <c r="AZ217" s="116">
        <f>Expenses!AS107</f>
        <v>197.1667408</v>
      </c>
      <c r="BA217" s="116">
        <f>Expenses!AT107</f>
        <v>199.1384082</v>
      </c>
      <c r="BB217" s="116">
        <f>Expenses!AU107</f>
        <v>201.1297923</v>
      </c>
      <c r="BC217" s="116">
        <f>Expenses!AV107</f>
        <v>203.1410902</v>
      </c>
      <c r="BD217" s="116">
        <f>Expenses!AW107</f>
        <v>205.1725011</v>
      </c>
      <c r="BE217" s="116">
        <f>Expenses!AX107</f>
        <v>207.2242261</v>
      </c>
      <c r="BF217" s="116">
        <f>Expenses!AY107</f>
        <v>209.2964684</v>
      </c>
      <c r="BG217" s="116">
        <f>Expenses!AZ107</f>
        <v>211.3894331</v>
      </c>
      <c r="BH217" s="116">
        <f>Expenses!BA107</f>
        <v>213.5033274</v>
      </c>
      <c r="BI217" s="116">
        <f>Expenses!BB107</f>
        <v>215.6383607</v>
      </c>
      <c r="BJ217" s="116">
        <f>Expenses!BC107</f>
        <v>217.7947443</v>
      </c>
      <c r="BK217" s="116">
        <f>Expenses!BD107</f>
        <v>219.9726917</v>
      </c>
      <c r="BL217" s="116">
        <f>Expenses!BE107</f>
        <v>222.1724186</v>
      </c>
      <c r="BM217" s="116">
        <f>Expenses!BF107</f>
        <v>224.3941428</v>
      </c>
      <c r="BN217" s="116">
        <f>Expenses!BG107</f>
        <v>226.6380842</v>
      </c>
      <c r="BO217" s="116">
        <f>Expenses!BH107</f>
        <v>228.9044651</v>
      </c>
      <c r="BP217" s="116">
        <f>Expenses!BI107</f>
        <v>231.1935097</v>
      </c>
      <c r="BQ217" s="116">
        <f>Expenses!BJ107</f>
        <v>233.5054448</v>
      </c>
      <c r="BR217" s="116">
        <f>Expenses!BK107</f>
        <v>235.8404993</v>
      </c>
      <c r="BS217" s="116">
        <f>Expenses!BL107</f>
        <v>238.1989043</v>
      </c>
      <c r="BT217" s="116">
        <f>Expenses!BM107</f>
        <v>240.5808933</v>
      </c>
      <c r="BU217" s="116">
        <f>Expenses!BN107</f>
        <v>242.9867023</v>
      </c>
      <c r="BV217" s="116">
        <f>Expenses!BO107</f>
        <v>245.4165693</v>
      </c>
      <c r="BW217" s="116">
        <f>Expenses!BP107</f>
        <v>247.870735</v>
      </c>
      <c r="BX217" s="116">
        <f>Expenses!BQ107</f>
        <v>250.3494423</v>
      </c>
      <c r="BY217" s="116">
        <f>Expenses!BR107</f>
        <v>252.8529367</v>
      </c>
      <c r="BZ217" s="116">
        <f>Expenses!BS107</f>
        <v>255.3814661</v>
      </c>
      <c r="CA217" s="116">
        <f>Expenses!BT107</f>
        <v>257.9352808</v>
      </c>
      <c r="CB217" s="116">
        <f>Expenses!BU107</f>
        <v>260.5146336</v>
      </c>
      <c r="CC217" s="116">
        <f>Expenses!BV107</f>
        <v>263.1197799</v>
      </c>
      <c r="CD217" s="116">
        <f>Expenses!BW107</f>
        <v>265.7509777</v>
      </c>
      <c r="CE217" s="116">
        <f>Expenses!BX107</f>
        <v>268.4084875</v>
      </c>
      <c r="CF217" s="116">
        <f>Expenses!BY107</f>
        <v>271.0925724</v>
      </c>
      <c r="CG217" s="116">
        <f>Expenses!BZ107</f>
        <v>273.8034981</v>
      </c>
      <c r="CH217" s="116">
        <f>Expenses!CA107</f>
        <v>276.5415331</v>
      </c>
      <c r="CI217" s="116">
        <f>Expenses!CB107</f>
        <v>279.3069484</v>
      </c>
      <c r="CL217" s="117"/>
      <c r="CM217" s="117"/>
      <c r="CN217" s="117"/>
      <c r="CO217" s="117"/>
      <c r="CP217" s="117"/>
      <c r="CQ217" s="117"/>
    </row>
    <row r="218" ht="15.75" customHeight="1" outlineLevel="1">
      <c r="A218" s="1" t="s">
        <v>96</v>
      </c>
      <c r="B218" s="91" t="s">
        <v>67</v>
      </c>
      <c r="C218" s="146" t="s">
        <v>219</v>
      </c>
      <c r="D218" s="247">
        <f t="shared" ref="D218:Z218" si="234">RANDBETWEEN(0,5000)</f>
        <v>1405</v>
      </c>
      <c r="E218" s="247">
        <f t="shared" si="234"/>
        <v>2304</v>
      </c>
      <c r="F218" s="247">
        <f t="shared" si="234"/>
        <v>1749</v>
      </c>
      <c r="G218" s="247">
        <f t="shared" si="234"/>
        <v>3511</v>
      </c>
      <c r="H218" s="247">
        <f t="shared" si="234"/>
        <v>2142</v>
      </c>
      <c r="I218" s="247">
        <f t="shared" si="234"/>
        <v>4083</v>
      </c>
      <c r="J218" s="247">
        <f t="shared" si="234"/>
        <v>1136</v>
      </c>
      <c r="K218" s="247">
        <f t="shared" si="234"/>
        <v>861</v>
      </c>
      <c r="L218" s="247">
        <f t="shared" si="234"/>
        <v>2889</v>
      </c>
      <c r="M218" s="247">
        <f t="shared" si="234"/>
        <v>4650</v>
      </c>
      <c r="N218" s="247">
        <f t="shared" si="234"/>
        <v>1423</v>
      </c>
      <c r="O218" s="247">
        <f t="shared" si="234"/>
        <v>1205</v>
      </c>
      <c r="P218" s="247">
        <f t="shared" si="234"/>
        <v>4637</v>
      </c>
      <c r="Q218" s="247">
        <f t="shared" si="234"/>
        <v>1461</v>
      </c>
      <c r="R218" s="247">
        <f t="shared" si="234"/>
        <v>1315</v>
      </c>
      <c r="S218" s="247">
        <f t="shared" si="234"/>
        <v>4791</v>
      </c>
      <c r="T218" s="247">
        <f t="shared" si="234"/>
        <v>3795</v>
      </c>
      <c r="U218" s="247">
        <f t="shared" si="234"/>
        <v>2338</v>
      </c>
      <c r="V218" s="247">
        <f t="shared" si="234"/>
        <v>3610</v>
      </c>
      <c r="W218" s="247">
        <f t="shared" si="234"/>
        <v>2709</v>
      </c>
      <c r="X218" s="247">
        <f t="shared" si="234"/>
        <v>2537</v>
      </c>
      <c r="Y218" s="247">
        <f t="shared" si="234"/>
        <v>4780</v>
      </c>
      <c r="Z218" s="247">
        <f t="shared" si="234"/>
        <v>81</v>
      </c>
      <c r="AA218" s="116">
        <f>Expenses!T116</f>
        <v>211.7479725</v>
      </c>
      <c r="AB218" s="116">
        <f>Expenses!U116</f>
        <v>232.9227698</v>
      </c>
      <c r="AC218" s="116">
        <f>Expenses!V116</f>
        <v>235.2519974</v>
      </c>
      <c r="AD218" s="116">
        <f>Expenses!W116</f>
        <v>237.6045174</v>
      </c>
      <c r="AE218" s="116">
        <f>Expenses!X116</f>
        <v>239.9805626</v>
      </c>
      <c r="AF218" s="116">
        <f>Expenses!Y116</f>
        <v>242.3803682</v>
      </c>
      <c r="AG218" s="116">
        <f>Expenses!Z116</f>
        <v>244.8041719</v>
      </c>
      <c r="AH218" s="116">
        <f>Expenses!AA116</f>
        <v>247.2522136</v>
      </c>
      <c r="AI218" s="116">
        <f>Expenses!AB116</f>
        <v>249.7247358</v>
      </c>
      <c r="AJ218" s="116">
        <f>Expenses!AC116</f>
        <v>252.2219831</v>
      </c>
      <c r="AK218" s="116">
        <f>Expenses!AD116</f>
        <v>254.7442029</v>
      </c>
      <c r="AL218" s="116">
        <f>Expenses!AE116</f>
        <v>257.291645</v>
      </c>
      <c r="AM218" s="116">
        <f>Expenses!AF116</f>
        <v>259.8645614</v>
      </c>
      <c r="AN218" s="116">
        <f>Expenses!AG116</f>
        <v>262.463207</v>
      </c>
      <c r="AO218" s="116">
        <f>Expenses!AH116</f>
        <v>265.0878391</v>
      </c>
      <c r="AP218" s="116">
        <f>Expenses!AI116</f>
        <v>267.7387175</v>
      </c>
      <c r="AQ218" s="116">
        <f>Expenses!AJ116</f>
        <v>270.4161047</v>
      </c>
      <c r="AR218" s="116">
        <f>Expenses!AK116</f>
        <v>273.1202657</v>
      </c>
      <c r="AS218" s="116">
        <f>Expenses!AL116</f>
        <v>275.8514684</v>
      </c>
      <c r="AT218" s="116">
        <f>Expenses!AM116</f>
        <v>278.6099831</v>
      </c>
      <c r="AU218" s="116">
        <f>Expenses!AN116</f>
        <v>281.3960829</v>
      </c>
      <c r="AV218" s="116">
        <f>Expenses!AO116</f>
        <v>284.2100437</v>
      </c>
      <c r="AW218" s="116">
        <f>Expenses!AP116</f>
        <v>287.0521442</v>
      </c>
      <c r="AX218" s="116">
        <f>Expenses!AQ116</f>
        <v>289.9226656</v>
      </c>
      <c r="AY218" s="116">
        <f>Expenses!AR116</f>
        <v>292.8218923</v>
      </c>
      <c r="AZ218" s="116">
        <f>Expenses!AS116</f>
        <v>295.7501112</v>
      </c>
      <c r="BA218" s="116">
        <f>Expenses!AT116</f>
        <v>298.7076123</v>
      </c>
      <c r="BB218" s="116">
        <f>Expenses!AU116</f>
        <v>301.6946884</v>
      </c>
      <c r="BC218" s="116">
        <f>Expenses!AV116</f>
        <v>304.7116353</v>
      </c>
      <c r="BD218" s="116">
        <f>Expenses!AW116</f>
        <v>307.7587517</v>
      </c>
      <c r="BE218" s="116">
        <f>Expenses!AX116</f>
        <v>310.8363392</v>
      </c>
      <c r="BF218" s="116">
        <f>Expenses!AY116</f>
        <v>313.9447026</v>
      </c>
      <c r="BG218" s="116">
        <f>Expenses!AZ116</f>
        <v>317.0841496</v>
      </c>
      <c r="BH218" s="116">
        <f>Expenses!BA116</f>
        <v>320.2549911</v>
      </c>
      <c r="BI218" s="116">
        <f>Expenses!BB116</f>
        <v>323.457541</v>
      </c>
      <c r="BJ218" s="116">
        <f>Expenses!BC116</f>
        <v>326.6921164</v>
      </c>
      <c r="BK218" s="116">
        <f>Expenses!BD116</f>
        <v>329.9590376</v>
      </c>
      <c r="BL218" s="116">
        <f>Expenses!BE116</f>
        <v>333.2586279</v>
      </c>
      <c r="BM218" s="116">
        <f>Expenses!BF116</f>
        <v>336.5912142</v>
      </c>
      <c r="BN218" s="116">
        <f>Expenses!BG116</f>
        <v>339.9571264</v>
      </c>
      <c r="BO218" s="116">
        <f>Expenses!BH116</f>
        <v>343.3566976</v>
      </c>
      <c r="BP218" s="116">
        <f>Expenses!BI116</f>
        <v>346.7902646</v>
      </c>
      <c r="BQ218" s="116">
        <f>Expenses!BJ116</f>
        <v>350.2581673</v>
      </c>
      <c r="BR218" s="116">
        <f>Expenses!BK116</f>
        <v>353.7607489</v>
      </c>
      <c r="BS218" s="116">
        <f>Expenses!BL116</f>
        <v>357.2983564</v>
      </c>
      <c r="BT218" s="116">
        <f>Expenses!BM116</f>
        <v>360.87134</v>
      </c>
      <c r="BU218" s="116">
        <f>Expenses!BN116</f>
        <v>364.4800534</v>
      </c>
      <c r="BV218" s="116">
        <f>Expenses!BO116</f>
        <v>368.1248539</v>
      </c>
      <c r="BW218" s="116">
        <f>Expenses!BP116</f>
        <v>371.8061025</v>
      </c>
      <c r="BX218" s="116">
        <f>Expenses!BQ116</f>
        <v>375.5241635</v>
      </c>
      <c r="BY218" s="116">
        <f>Expenses!BR116</f>
        <v>379.2794051</v>
      </c>
      <c r="BZ218" s="116">
        <f>Expenses!BS116</f>
        <v>383.0721992</v>
      </c>
      <c r="CA218" s="116">
        <f>Expenses!BT116</f>
        <v>386.9029212</v>
      </c>
      <c r="CB218" s="116">
        <f>Expenses!BU116</f>
        <v>390.7719504</v>
      </c>
      <c r="CC218" s="116">
        <f>Expenses!BV116</f>
        <v>394.6796699</v>
      </c>
      <c r="CD218" s="116">
        <f>Expenses!BW116</f>
        <v>398.6264666</v>
      </c>
      <c r="CE218" s="116">
        <f>Expenses!BX116</f>
        <v>402.6127312</v>
      </c>
      <c r="CF218" s="116">
        <f>Expenses!BY116</f>
        <v>406.6388585</v>
      </c>
      <c r="CG218" s="116">
        <f>Expenses!BZ116</f>
        <v>410.7052471</v>
      </c>
      <c r="CH218" s="116">
        <f>Expenses!CA116</f>
        <v>414.8122996</v>
      </c>
      <c r="CI218" s="116">
        <f>Expenses!CB116</f>
        <v>418.9604226</v>
      </c>
      <c r="CL218" s="117"/>
      <c r="CM218" s="117"/>
      <c r="CN218" s="117"/>
      <c r="CO218" s="117"/>
      <c r="CP218" s="117"/>
      <c r="CQ218" s="117"/>
    </row>
    <row r="219" ht="15.75" customHeight="1" outlineLevel="1">
      <c r="A219" s="1" t="s">
        <v>96</v>
      </c>
      <c r="B219" s="91" t="s">
        <v>67</v>
      </c>
      <c r="C219" s="146" t="s">
        <v>220</v>
      </c>
      <c r="D219" s="247">
        <f t="shared" ref="D219:Z219" si="235">RANDBETWEEN(0,5000)</f>
        <v>4032</v>
      </c>
      <c r="E219" s="247">
        <f t="shared" si="235"/>
        <v>4055</v>
      </c>
      <c r="F219" s="247">
        <f t="shared" si="235"/>
        <v>4978</v>
      </c>
      <c r="G219" s="247">
        <f t="shared" si="235"/>
        <v>3667</v>
      </c>
      <c r="H219" s="247">
        <f t="shared" si="235"/>
        <v>1648</v>
      </c>
      <c r="I219" s="247">
        <f t="shared" si="235"/>
        <v>2050</v>
      </c>
      <c r="J219" s="247">
        <f t="shared" si="235"/>
        <v>525</v>
      </c>
      <c r="K219" s="247">
        <f t="shared" si="235"/>
        <v>1484</v>
      </c>
      <c r="L219" s="247">
        <f t="shared" si="235"/>
        <v>3842</v>
      </c>
      <c r="M219" s="247">
        <f t="shared" si="235"/>
        <v>2385</v>
      </c>
      <c r="N219" s="247">
        <f t="shared" si="235"/>
        <v>4547</v>
      </c>
      <c r="O219" s="247">
        <f t="shared" si="235"/>
        <v>4809</v>
      </c>
      <c r="P219" s="247">
        <f t="shared" si="235"/>
        <v>548</v>
      </c>
      <c r="Q219" s="247">
        <f t="shared" si="235"/>
        <v>3401</v>
      </c>
      <c r="R219" s="247">
        <f t="shared" si="235"/>
        <v>4433</v>
      </c>
      <c r="S219" s="247">
        <f t="shared" si="235"/>
        <v>2776</v>
      </c>
      <c r="T219" s="247">
        <f t="shared" si="235"/>
        <v>1033</v>
      </c>
      <c r="U219" s="247">
        <f t="shared" si="235"/>
        <v>1619</v>
      </c>
      <c r="V219" s="247">
        <f t="shared" si="235"/>
        <v>1650</v>
      </c>
      <c r="W219" s="247">
        <f t="shared" si="235"/>
        <v>2159</v>
      </c>
      <c r="X219" s="247">
        <f t="shared" si="235"/>
        <v>4444</v>
      </c>
      <c r="Y219" s="247">
        <f t="shared" si="235"/>
        <v>4906</v>
      </c>
      <c r="Z219" s="247">
        <f t="shared" si="235"/>
        <v>2043</v>
      </c>
      <c r="AA219" s="116">
        <f>Expenses!T125</f>
        <v>117.6377625</v>
      </c>
      <c r="AB219" s="116">
        <f>Expenses!U125</f>
        <v>129.4015388</v>
      </c>
      <c r="AC219" s="116">
        <f>Expenses!V125</f>
        <v>130.6955541</v>
      </c>
      <c r="AD219" s="116">
        <f>Expenses!W125</f>
        <v>132.0025097</v>
      </c>
      <c r="AE219" s="116">
        <f>Expenses!X125</f>
        <v>133.3225348</v>
      </c>
      <c r="AF219" s="116">
        <f>Expenses!Y125</f>
        <v>134.6557601</v>
      </c>
      <c r="AG219" s="116">
        <f>Expenses!Z125</f>
        <v>136.0023177</v>
      </c>
      <c r="AH219" s="116">
        <f>Expenses!AA125</f>
        <v>137.3623409</v>
      </c>
      <c r="AI219" s="116">
        <f>Expenses!AB125</f>
        <v>138.7359643</v>
      </c>
      <c r="AJ219" s="116">
        <f>Expenses!AC125</f>
        <v>140.123324</v>
      </c>
      <c r="AK219" s="116">
        <f>Expenses!AD125</f>
        <v>141.5245572</v>
      </c>
      <c r="AL219" s="116">
        <f>Expenses!AE125</f>
        <v>142.9398028</v>
      </c>
      <c r="AM219" s="116">
        <f>Expenses!AF125</f>
        <v>144.3692008</v>
      </c>
      <c r="AN219" s="116">
        <f>Expenses!AG125</f>
        <v>145.8128928</v>
      </c>
      <c r="AO219" s="116">
        <f>Expenses!AH125</f>
        <v>147.2710217</v>
      </c>
      <c r="AP219" s="116">
        <f>Expenses!AI125</f>
        <v>148.7437319</v>
      </c>
      <c r="AQ219" s="116">
        <f>Expenses!AJ125</f>
        <v>150.2311693</v>
      </c>
      <c r="AR219" s="116">
        <f>Expenses!AK125</f>
        <v>151.733481</v>
      </c>
      <c r="AS219" s="116">
        <f>Expenses!AL125</f>
        <v>153.2508158</v>
      </c>
      <c r="AT219" s="116">
        <f>Expenses!AM125</f>
        <v>154.7833239</v>
      </c>
      <c r="AU219" s="116">
        <f>Expenses!AN125</f>
        <v>156.3311572</v>
      </c>
      <c r="AV219" s="116">
        <f>Expenses!AO125</f>
        <v>157.8944687</v>
      </c>
      <c r="AW219" s="116">
        <f>Expenses!AP125</f>
        <v>159.4734134</v>
      </c>
      <c r="AX219" s="116">
        <f>Expenses!AQ125</f>
        <v>161.0681476</v>
      </c>
      <c r="AY219" s="116">
        <f>Expenses!AR125</f>
        <v>162.678829</v>
      </c>
      <c r="AZ219" s="116">
        <f>Expenses!AS125</f>
        <v>164.3056173</v>
      </c>
      <c r="BA219" s="116">
        <f>Expenses!AT125</f>
        <v>165.9486735</v>
      </c>
      <c r="BB219" s="116">
        <f>Expenses!AU125</f>
        <v>167.6081602</v>
      </c>
      <c r="BC219" s="116">
        <f>Expenses!AV125</f>
        <v>169.2842418</v>
      </c>
      <c r="BD219" s="116">
        <f>Expenses!AW125</f>
        <v>170.9770843</v>
      </c>
      <c r="BE219" s="116">
        <f>Expenses!AX125</f>
        <v>172.6868551</v>
      </c>
      <c r="BF219" s="116">
        <f>Expenses!AY125</f>
        <v>174.4137236</v>
      </c>
      <c r="BG219" s="116">
        <f>Expenses!AZ125</f>
        <v>176.1578609</v>
      </c>
      <c r="BH219" s="116">
        <f>Expenses!BA125</f>
        <v>177.9194395</v>
      </c>
      <c r="BI219" s="116">
        <f>Expenses!BB125</f>
        <v>179.6986339</v>
      </c>
      <c r="BJ219" s="116">
        <f>Expenses!BC125</f>
        <v>181.4956202</v>
      </c>
      <c r="BK219" s="116">
        <f>Expenses!BD125</f>
        <v>183.3105764</v>
      </c>
      <c r="BL219" s="116">
        <f>Expenses!BE125</f>
        <v>185.1436822</v>
      </c>
      <c r="BM219" s="116">
        <f>Expenses!BF125</f>
        <v>186.995119</v>
      </c>
      <c r="BN219" s="116">
        <f>Expenses!BG125</f>
        <v>188.8650702</v>
      </c>
      <c r="BO219" s="116">
        <f>Expenses!BH125</f>
        <v>190.7537209</v>
      </c>
      <c r="BP219" s="116">
        <f>Expenses!BI125</f>
        <v>192.6612581</v>
      </c>
      <c r="BQ219" s="116">
        <f>Expenses!BJ125</f>
        <v>194.5878707</v>
      </c>
      <c r="BR219" s="116">
        <f>Expenses!BK125</f>
        <v>196.5337494</v>
      </c>
      <c r="BS219" s="116">
        <f>Expenses!BL125</f>
        <v>198.4990869</v>
      </c>
      <c r="BT219" s="116">
        <f>Expenses!BM125</f>
        <v>200.4840778</v>
      </c>
      <c r="BU219" s="116">
        <f>Expenses!BN125</f>
        <v>202.4889185</v>
      </c>
      <c r="BV219" s="116">
        <f>Expenses!BO125</f>
        <v>204.5138077</v>
      </c>
      <c r="BW219" s="116">
        <f>Expenses!BP125</f>
        <v>206.5589458</v>
      </c>
      <c r="BX219" s="116">
        <f>Expenses!BQ125</f>
        <v>208.6245353</v>
      </c>
      <c r="BY219" s="116">
        <f>Expenses!BR125</f>
        <v>210.7107806</v>
      </c>
      <c r="BZ219" s="116">
        <f>Expenses!BS125</f>
        <v>212.8178884</v>
      </c>
      <c r="CA219" s="116">
        <f>Expenses!BT125</f>
        <v>214.9460673</v>
      </c>
      <c r="CB219" s="116">
        <f>Expenses!BU125</f>
        <v>217.095528</v>
      </c>
      <c r="CC219" s="116">
        <f>Expenses!BV125</f>
        <v>219.2664833</v>
      </c>
      <c r="CD219" s="116">
        <f>Expenses!BW125</f>
        <v>221.4591481</v>
      </c>
      <c r="CE219" s="116">
        <f>Expenses!BX125</f>
        <v>223.6737396</v>
      </c>
      <c r="CF219" s="116">
        <f>Expenses!BY125</f>
        <v>225.910477</v>
      </c>
      <c r="CG219" s="116">
        <f>Expenses!BZ125</f>
        <v>228.1695817</v>
      </c>
      <c r="CH219" s="116">
        <f>Expenses!CA125</f>
        <v>230.4512776</v>
      </c>
      <c r="CI219" s="116">
        <f>Expenses!CB125</f>
        <v>232.7557903</v>
      </c>
      <c r="CL219" s="117"/>
      <c r="CM219" s="117"/>
      <c r="CN219" s="117"/>
      <c r="CO219" s="117"/>
      <c r="CP219" s="117"/>
      <c r="CQ219" s="117"/>
    </row>
    <row r="220" ht="15.75" customHeight="1" outlineLevel="1">
      <c r="C220" s="257" t="s">
        <v>221</v>
      </c>
      <c r="D220" s="514">
        <f t="shared" ref="D220:CI220" si="236">SUM(D207:D219)</f>
        <v>37698</v>
      </c>
      <c r="E220" s="514">
        <f t="shared" si="236"/>
        <v>31056</v>
      </c>
      <c r="F220" s="514">
        <f t="shared" si="236"/>
        <v>24992</v>
      </c>
      <c r="G220" s="514">
        <f t="shared" si="236"/>
        <v>30854</v>
      </c>
      <c r="H220" s="514">
        <f t="shared" si="236"/>
        <v>30073</v>
      </c>
      <c r="I220" s="514">
        <f t="shared" si="236"/>
        <v>26038</v>
      </c>
      <c r="J220" s="514">
        <f t="shared" si="236"/>
        <v>26780</v>
      </c>
      <c r="K220" s="514">
        <f t="shared" si="236"/>
        <v>27884</v>
      </c>
      <c r="L220" s="514">
        <f t="shared" si="236"/>
        <v>33151</v>
      </c>
      <c r="M220" s="514">
        <f t="shared" si="236"/>
        <v>30079</v>
      </c>
      <c r="N220" s="514">
        <f t="shared" si="236"/>
        <v>33775</v>
      </c>
      <c r="O220" s="514">
        <f t="shared" si="236"/>
        <v>44741</v>
      </c>
      <c r="P220" s="514">
        <f t="shared" si="236"/>
        <v>31988</v>
      </c>
      <c r="Q220" s="514">
        <f t="shared" si="236"/>
        <v>27897</v>
      </c>
      <c r="R220" s="514">
        <f t="shared" si="236"/>
        <v>30702</v>
      </c>
      <c r="S220" s="514">
        <f t="shared" si="236"/>
        <v>30828</v>
      </c>
      <c r="T220" s="514">
        <f t="shared" si="236"/>
        <v>33242</v>
      </c>
      <c r="U220" s="514">
        <f t="shared" si="236"/>
        <v>26608</v>
      </c>
      <c r="V220" s="514">
        <f t="shared" si="236"/>
        <v>28288</v>
      </c>
      <c r="W220" s="514">
        <f t="shared" si="236"/>
        <v>31860</v>
      </c>
      <c r="X220" s="514">
        <f t="shared" si="236"/>
        <v>39202</v>
      </c>
      <c r="Y220" s="514">
        <f t="shared" si="236"/>
        <v>37577</v>
      </c>
      <c r="Z220" s="514">
        <f t="shared" si="236"/>
        <v>34775</v>
      </c>
      <c r="AA220" s="514">
        <f t="shared" si="236"/>
        <v>10898.36966</v>
      </c>
      <c r="AB220" s="514">
        <f t="shared" si="236"/>
        <v>10806.79091</v>
      </c>
      <c r="AC220" s="514">
        <f t="shared" si="236"/>
        <v>9865.118297</v>
      </c>
      <c r="AD220" s="514">
        <f t="shared" si="236"/>
        <v>9178.684346</v>
      </c>
      <c r="AE220" s="514">
        <f t="shared" si="236"/>
        <v>8958.610031</v>
      </c>
      <c r="AF220" s="514">
        <f t="shared" si="236"/>
        <v>9106.583441</v>
      </c>
      <c r="AG220" s="514">
        <f t="shared" si="236"/>
        <v>8679.044889</v>
      </c>
      <c r="AH220" s="514">
        <f t="shared" si="236"/>
        <v>8307.686852</v>
      </c>
      <c r="AI220" s="514">
        <f t="shared" si="236"/>
        <v>8316.09953</v>
      </c>
      <c r="AJ220" s="514">
        <f t="shared" si="236"/>
        <v>8567.814305</v>
      </c>
      <c r="AK220" s="514">
        <f t="shared" si="236"/>
        <v>8562.731746</v>
      </c>
      <c r="AL220" s="514">
        <f t="shared" si="236"/>
        <v>8309.68284</v>
      </c>
      <c r="AM220" s="514">
        <f t="shared" si="236"/>
        <v>8316.057286</v>
      </c>
      <c r="AN220" s="514">
        <f t="shared" si="236"/>
        <v>10572.67657</v>
      </c>
      <c r="AO220" s="514">
        <f t="shared" si="236"/>
        <v>10414.58734</v>
      </c>
      <c r="AP220" s="514">
        <f t="shared" si="236"/>
        <v>10251.19396</v>
      </c>
      <c r="AQ220" s="514">
        <f t="shared" si="236"/>
        <v>10391.44262</v>
      </c>
      <c r="AR220" s="514">
        <f t="shared" si="236"/>
        <v>10697.77474</v>
      </c>
      <c r="AS220" s="514">
        <f t="shared" si="236"/>
        <v>10511.51094</v>
      </c>
      <c r="AT220" s="514">
        <f t="shared" si="236"/>
        <v>10305.10694</v>
      </c>
      <c r="AU220" s="514">
        <f t="shared" si="236"/>
        <v>10429.09075</v>
      </c>
      <c r="AV220" s="514">
        <f t="shared" si="236"/>
        <v>10748.38828</v>
      </c>
      <c r="AW220" s="514">
        <f t="shared" si="236"/>
        <v>10572.23538</v>
      </c>
      <c r="AX220" s="514">
        <f t="shared" si="236"/>
        <v>10398.2208</v>
      </c>
      <c r="AY220" s="514">
        <f t="shared" si="236"/>
        <v>10543.30892</v>
      </c>
      <c r="AZ220" s="514">
        <f t="shared" si="236"/>
        <v>12949.00482</v>
      </c>
      <c r="BA220" s="514">
        <f t="shared" si="236"/>
        <v>27123.84839</v>
      </c>
      <c r="BB220" s="514">
        <f t="shared" si="236"/>
        <v>26850.39435</v>
      </c>
      <c r="BC220" s="514">
        <f t="shared" si="236"/>
        <v>27001.00711</v>
      </c>
      <c r="BD220" s="514">
        <f t="shared" si="236"/>
        <v>27983.59596</v>
      </c>
      <c r="BE220" s="514">
        <f t="shared" si="236"/>
        <v>27734.37559</v>
      </c>
      <c r="BF220" s="514">
        <f t="shared" si="236"/>
        <v>27841.19347</v>
      </c>
      <c r="BG220" s="514">
        <f t="shared" si="236"/>
        <v>27996.28312</v>
      </c>
      <c r="BH220" s="514">
        <f t="shared" si="236"/>
        <v>29014.43661</v>
      </c>
      <c r="BI220" s="514">
        <f t="shared" si="236"/>
        <v>28776.18938</v>
      </c>
      <c r="BJ220" s="514">
        <f t="shared" si="236"/>
        <v>28543.78152</v>
      </c>
      <c r="BK220" s="514">
        <f t="shared" si="236"/>
        <v>28706.02448</v>
      </c>
      <c r="BL220" s="514">
        <f t="shared" si="236"/>
        <v>29890.61051</v>
      </c>
      <c r="BM220" s="514">
        <f t="shared" si="236"/>
        <v>29657.34468</v>
      </c>
      <c r="BN220" s="514">
        <f t="shared" si="236"/>
        <v>29449.17752</v>
      </c>
      <c r="BO220" s="514">
        <f t="shared" si="236"/>
        <v>29609.43036</v>
      </c>
      <c r="BP220" s="514">
        <f t="shared" si="236"/>
        <v>30670.66217</v>
      </c>
      <c r="BQ220" s="514">
        <f t="shared" si="236"/>
        <v>30601.34727</v>
      </c>
      <c r="BR220" s="514">
        <f t="shared" si="236"/>
        <v>30395.47435</v>
      </c>
      <c r="BS220" s="514">
        <f t="shared" si="236"/>
        <v>30831.6074</v>
      </c>
      <c r="BT220" s="514">
        <f t="shared" si="236"/>
        <v>31927.30954</v>
      </c>
      <c r="BU220" s="514">
        <f t="shared" si="236"/>
        <v>31720.2433</v>
      </c>
      <c r="BV220" s="514">
        <f t="shared" si="236"/>
        <v>31518.39853</v>
      </c>
      <c r="BW220" s="514">
        <f t="shared" si="236"/>
        <v>31672.03298</v>
      </c>
      <c r="BX220" s="514">
        <f t="shared" si="236"/>
        <v>32788.78076</v>
      </c>
      <c r="BY220" s="514">
        <f t="shared" si="236"/>
        <v>32716.16114</v>
      </c>
      <c r="BZ220" s="514">
        <f t="shared" si="236"/>
        <v>32547.21347</v>
      </c>
      <c r="CA220" s="514">
        <f t="shared" si="236"/>
        <v>32718.45986</v>
      </c>
      <c r="CB220" s="514">
        <f t="shared" si="236"/>
        <v>33813.95671</v>
      </c>
      <c r="CC220" s="514">
        <f t="shared" si="236"/>
        <v>33765.72804</v>
      </c>
      <c r="CD220" s="514">
        <f t="shared" si="236"/>
        <v>33597.05212</v>
      </c>
      <c r="CE220" s="514">
        <f t="shared" si="236"/>
        <v>33762.57889</v>
      </c>
      <c r="CF220" s="514">
        <f t="shared" si="236"/>
        <v>34894.73884</v>
      </c>
      <c r="CG220" s="514">
        <f t="shared" si="236"/>
        <v>34727.91237</v>
      </c>
      <c r="CH220" s="514">
        <f t="shared" si="236"/>
        <v>34563.10891</v>
      </c>
      <c r="CI220" s="514">
        <f t="shared" si="236"/>
        <v>34727.78111</v>
      </c>
      <c r="CL220" s="514">
        <f>SUM(D220:G220)</f>
        <v>124600</v>
      </c>
      <c r="CM220" s="514">
        <f>SUM(H220:K220)</f>
        <v>110775</v>
      </c>
      <c r="CN220" s="514">
        <f>SUM(L220:O220)</f>
        <v>141746</v>
      </c>
      <c r="CO220" s="514">
        <f>SUM(P220:S220)</f>
        <v>121415</v>
      </c>
      <c r="CP220" s="514">
        <f>SUM(T220:W220)</f>
        <v>119998</v>
      </c>
      <c r="CQ220" s="514">
        <f>SUM(X220:AA220)</f>
        <v>122452.3697</v>
      </c>
    </row>
    <row r="221" ht="15.75" customHeight="1" outlineLevel="1">
      <c r="C221" s="257" t="s">
        <v>800</v>
      </c>
      <c r="D221" s="122">
        <f t="shared" ref="D221:CI221" si="237">D220/D$284</f>
        <v>2.136106074</v>
      </c>
      <c r="E221" s="122">
        <f t="shared" si="237"/>
        <v>1.79038395</v>
      </c>
      <c r="F221" s="122">
        <f t="shared" si="237"/>
        <v>1.652691443</v>
      </c>
      <c r="G221" s="122">
        <f t="shared" si="237"/>
        <v>1.900813208</v>
      </c>
      <c r="H221" s="122">
        <f t="shared" si="237"/>
        <v>1.663053697</v>
      </c>
      <c r="I221" s="122">
        <f t="shared" si="237"/>
        <v>1.582857143</v>
      </c>
      <c r="J221" s="122">
        <f t="shared" si="237"/>
        <v>1.559969709</v>
      </c>
      <c r="K221" s="122">
        <f t="shared" si="237"/>
        <v>1.496484731</v>
      </c>
      <c r="L221" s="122">
        <f t="shared" si="237"/>
        <v>1.779250751</v>
      </c>
      <c r="M221" s="122">
        <f t="shared" si="237"/>
        <v>1.741993398</v>
      </c>
      <c r="N221" s="122">
        <f t="shared" si="237"/>
        <v>1.734452832</v>
      </c>
      <c r="O221" s="122">
        <f t="shared" si="237"/>
        <v>2.614139644</v>
      </c>
      <c r="P221" s="122">
        <f t="shared" si="237"/>
        <v>1.409349253</v>
      </c>
      <c r="Q221" s="122">
        <f t="shared" si="237"/>
        <v>1.195705285</v>
      </c>
      <c r="R221" s="122">
        <f t="shared" si="237"/>
        <v>1.198641368</v>
      </c>
      <c r="S221" s="122">
        <f t="shared" si="237"/>
        <v>1.282256052</v>
      </c>
      <c r="T221" s="122">
        <f t="shared" si="237"/>
        <v>1.438424924</v>
      </c>
      <c r="U221" s="122">
        <f t="shared" si="237"/>
        <v>1.277204435</v>
      </c>
      <c r="V221" s="122">
        <f t="shared" si="237"/>
        <v>1.141750081</v>
      </c>
      <c r="W221" s="122">
        <f t="shared" si="237"/>
        <v>1.526739505</v>
      </c>
      <c r="X221" s="122">
        <f t="shared" si="237"/>
        <v>1.547651007</v>
      </c>
      <c r="Y221" s="122">
        <f t="shared" si="237"/>
        <v>1.531442312</v>
      </c>
      <c r="Z221" s="122">
        <f t="shared" si="237"/>
        <v>1.626596193</v>
      </c>
      <c r="AA221" s="130">
        <f t="shared" si="237"/>
        <v>0.0585182322</v>
      </c>
      <c r="AB221" s="130">
        <f t="shared" si="237"/>
        <v>0.05490345597</v>
      </c>
      <c r="AC221" s="130">
        <f t="shared" si="237"/>
        <v>0.04664806663</v>
      </c>
      <c r="AD221" s="130">
        <f t="shared" si="237"/>
        <v>0.04060915677</v>
      </c>
      <c r="AE221" s="130">
        <f t="shared" si="237"/>
        <v>0.03829882235</v>
      </c>
      <c r="AF221" s="130">
        <f t="shared" si="237"/>
        <v>0.03730970376</v>
      </c>
      <c r="AG221" s="130">
        <f t="shared" si="237"/>
        <v>0.0353823284</v>
      </c>
      <c r="AH221" s="130">
        <f t="shared" si="237"/>
        <v>0.03099587548</v>
      </c>
      <c r="AI221" s="130">
        <f t="shared" si="237"/>
        <v>0.03015808093</v>
      </c>
      <c r="AJ221" s="130">
        <f t="shared" si="237"/>
        <v>0.02920898101</v>
      </c>
      <c r="AK221" s="130">
        <f t="shared" si="237"/>
        <v>0.02764070986</v>
      </c>
      <c r="AL221" s="130">
        <f t="shared" si="237"/>
        <v>0.02617917943</v>
      </c>
      <c r="AM221" s="130">
        <f t="shared" si="237"/>
        <v>0.02454638744</v>
      </c>
      <c r="AN221" s="130">
        <f t="shared" si="237"/>
        <v>0.02563286633</v>
      </c>
      <c r="AO221" s="130">
        <f t="shared" si="237"/>
        <v>0.02367184031</v>
      </c>
      <c r="AP221" s="130">
        <f t="shared" si="237"/>
        <v>0.02256954549</v>
      </c>
      <c r="AQ221" s="130">
        <f t="shared" si="237"/>
        <v>0.02282319908</v>
      </c>
      <c r="AR221" s="130">
        <f t="shared" si="237"/>
        <v>0.02224419127</v>
      </c>
      <c r="AS221" s="130">
        <f t="shared" si="237"/>
        <v>0.02151652138</v>
      </c>
      <c r="AT221" s="130">
        <f t="shared" si="237"/>
        <v>0.01968161137</v>
      </c>
      <c r="AU221" s="130">
        <f t="shared" si="237"/>
        <v>0.01910663752</v>
      </c>
      <c r="AV221" s="130">
        <f t="shared" si="237"/>
        <v>0.01865326912</v>
      </c>
      <c r="AW221" s="130">
        <f t="shared" si="237"/>
        <v>0.01788144027</v>
      </c>
      <c r="AX221" s="130">
        <f t="shared" si="237"/>
        <v>0.0169576732</v>
      </c>
      <c r="AY221" s="130">
        <f t="shared" si="237"/>
        <v>0.01716284181</v>
      </c>
      <c r="AZ221" s="130">
        <f t="shared" si="237"/>
        <v>0.01968303069</v>
      </c>
      <c r="BA221" s="130">
        <f t="shared" si="237"/>
        <v>0.03857234665</v>
      </c>
      <c r="BB221" s="130">
        <f t="shared" si="237"/>
        <v>0.03694422373</v>
      </c>
      <c r="BC221" s="130">
        <f t="shared" si="237"/>
        <v>0.03488285702</v>
      </c>
      <c r="BD221" s="130">
        <f t="shared" si="237"/>
        <v>0.03491419819</v>
      </c>
      <c r="BE221" s="130">
        <f t="shared" si="237"/>
        <v>0.03391543104</v>
      </c>
      <c r="BF221" s="130">
        <f t="shared" si="237"/>
        <v>0.03306269033</v>
      </c>
      <c r="BG221" s="130">
        <f t="shared" si="237"/>
        <v>0.0328961949</v>
      </c>
      <c r="BH221" s="130">
        <f t="shared" si="237"/>
        <v>0.03238003746</v>
      </c>
      <c r="BI221" s="130">
        <f t="shared" si="237"/>
        <v>0.03126777716</v>
      </c>
      <c r="BJ221" s="130">
        <f t="shared" si="237"/>
        <v>0.03095844266</v>
      </c>
      <c r="BK221" s="130">
        <f t="shared" si="237"/>
        <v>0.02987206025</v>
      </c>
      <c r="BL221" s="130">
        <f t="shared" si="237"/>
        <v>0.02801953397</v>
      </c>
      <c r="BM221" s="130">
        <f t="shared" si="237"/>
        <v>0.02274124133</v>
      </c>
      <c r="BN221" s="130">
        <f t="shared" si="237"/>
        <v>0.02091431906</v>
      </c>
      <c r="BO221" s="130">
        <f t="shared" si="237"/>
        <v>0.02073376043</v>
      </c>
      <c r="BP221" s="130">
        <f t="shared" si="237"/>
        <v>0.02057404759</v>
      </c>
      <c r="BQ221" s="130">
        <f t="shared" si="237"/>
        <v>0.02039170148</v>
      </c>
      <c r="BR221" s="130">
        <f t="shared" si="237"/>
        <v>0.01979719396</v>
      </c>
      <c r="BS221" s="130">
        <f t="shared" si="237"/>
        <v>0.01974031436</v>
      </c>
      <c r="BT221" s="130">
        <f t="shared" si="237"/>
        <v>0.01958563615</v>
      </c>
      <c r="BU221" s="130">
        <f t="shared" si="237"/>
        <v>0.01933732248</v>
      </c>
      <c r="BV221" s="130">
        <f t="shared" si="237"/>
        <v>0.01863558188</v>
      </c>
      <c r="BW221" s="130">
        <f t="shared" si="237"/>
        <v>0.01870341572</v>
      </c>
      <c r="BX221" s="130">
        <f t="shared" si="237"/>
        <v>0.0182930909</v>
      </c>
      <c r="BY221" s="130">
        <f t="shared" si="237"/>
        <v>0.01775735967</v>
      </c>
      <c r="BZ221" s="130">
        <f t="shared" si="237"/>
        <v>0.01749664571</v>
      </c>
      <c r="CA221" s="130">
        <f t="shared" si="237"/>
        <v>0.0173416038</v>
      </c>
      <c r="CB221" s="130">
        <f t="shared" si="237"/>
        <v>0.01734876035</v>
      </c>
      <c r="CC221" s="130">
        <f t="shared" si="237"/>
        <v>0.0170160459</v>
      </c>
      <c r="CD221" s="130">
        <f t="shared" si="237"/>
        <v>0.01677527204</v>
      </c>
      <c r="CE221" s="130">
        <f t="shared" si="237"/>
        <v>0.01684485706</v>
      </c>
      <c r="CF221" s="130">
        <f t="shared" si="237"/>
        <v>0.0167012762</v>
      </c>
      <c r="CG221" s="130">
        <f t="shared" si="237"/>
        <v>0.01660840961</v>
      </c>
      <c r="CH221" s="130">
        <f t="shared" si="237"/>
        <v>0.01625333248</v>
      </c>
      <c r="CI221" s="130">
        <f t="shared" si="237"/>
        <v>0.01612531676</v>
      </c>
      <c r="CL221" s="130">
        <f t="shared" ref="CL221:CQ221" si="238">CL220/CL$284</f>
        <v>1.877976729</v>
      </c>
      <c r="CM221" s="130">
        <f t="shared" si="238"/>
        <v>1.575007464</v>
      </c>
      <c r="CN221" s="130">
        <f t="shared" si="238"/>
        <v>1.955467877</v>
      </c>
      <c r="CO221" s="130">
        <f t="shared" si="238"/>
        <v>1.268916433</v>
      </c>
      <c r="CP221" s="130">
        <f t="shared" si="238"/>
        <v>1.339457734</v>
      </c>
      <c r="CQ221" s="130">
        <f t="shared" si="238"/>
        <v>0.4755711195</v>
      </c>
    </row>
    <row r="222" ht="15.75" customHeight="1" outlineLevel="1">
      <c r="C222" s="25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7"/>
      <c r="AI222" s="117"/>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7"/>
      <c r="BO222" s="117"/>
      <c r="BP222" s="117"/>
      <c r="BQ222" s="117"/>
      <c r="BR222" s="117"/>
      <c r="BS222" s="117"/>
      <c r="BT222" s="117"/>
      <c r="BU222" s="117"/>
      <c r="BV222" s="117"/>
      <c r="BW222" s="117"/>
      <c r="BX222" s="117"/>
      <c r="BY222" s="117"/>
      <c r="BZ222" s="117"/>
      <c r="CA222" s="117"/>
      <c r="CB222" s="117"/>
      <c r="CC222" s="117"/>
      <c r="CD222" s="117"/>
      <c r="CE222" s="117"/>
      <c r="CF222" s="117"/>
      <c r="CG222" s="117"/>
      <c r="CH222" s="117"/>
      <c r="CI222" s="117"/>
      <c r="CL222" s="117"/>
      <c r="CM222" s="117"/>
      <c r="CN222" s="117"/>
      <c r="CO222" s="117"/>
      <c r="CP222" s="117"/>
      <c r="CQ222" s="117"/>
    </row>
    <row r="223" ht="15.75" customHeight="1" outlineLevel="1">
      <c r="C223" s="257" t="s">
        <v>816</v>
      </c>
      <c r="D223" s="117">
        <f t="shared" ref="D223:CI223" si="239">D202-D220</f>
        <v>2252</v>
      </c>
      <c r="E223" s="117">
        <f t="shared" si="239"/>
        <v>7811</v>
      </c>
      <c r="F223" s="117">
        <f t="shared" si="239"/>
        <v>11767</v>
      </c>
      <c r="G223" s="117">
        <f t="shared" si="239"/>
        <v>-5729</v>
      </c>
      <c r="H223" s="117">
        <f t="shared" si="239"/>
        <v>6708</v>
      </c>
      <c r="I223" s="117">
        <f t="shared" si="239"/>
        <v>11922</v>
      </c>
      <c r="J223" s="117">
        <f t="shared" si="239"/>
        <v>-460</v>
      </c>
      <c r="K223" s="117">
        <f t="shared" si="239"/>
        <v>-1357</v>
      </c>
      <c r="L223" s="117">
        <f t="shared" si="239"/>
        <v>-12500</v>
      </c>
      <c r="M223" s="117">
        <f t="shared" si="239"/>
        <v>8937</v>
      </c>
      <c r="N223" s="117">
        <f t="shared" si="239"/>
        <v>-3057</v>
      </c>
      <c r="O223" s="117">
        <f t="shared" si="239"/>
        <v>-24195</v>
      </c>
      <c r="P223" s="117">
        <f t="shared" si="239"/>
        <v>3743</v>
      </c>
      <c r="Q223" s="117">
        <f t="shared" si="239"/>
        <v>-5056</v>
      </c>
      <c r="R223" s="117">
        <f t="shared" si="239"/>
        <v>-6570</v>
      </c>
      <c r="S223" s="117">
        <f t="shared" si="239"/>
        <v>-6194</v>
      </c>
      <c r="T223" s="117">
        <f t="shared" si="239"/>
        <v>-8575</v>
      </c>
      <c r="U223" s="117">
        <f t="shared" si="239"/>
        <v>8568</v>
      </c>
      <c r="V223" s="117">
        <f t="shared" si="239"/>
        <v>8974</v>
      </c>
      <c r="W223" s="117">
        <f t="shared" si="239"/>
        <v>51057</v>
      </c>
      <c r="X223" s="117">
        <f t="shared" si="239"/>
        <v>16631</v>
      </c>
      <c r="Y223" s="117">
        <f t="shared" si="239"/>
        <v>-14255</v>
      </c>
      <c r="Z223" s="117">
        <f t="shared" si="239"/>
        <v>737</v>
      </c>
      <c r="AA223" s="117">
        <f t="shared" si="239"/>
        <v>39101.63034</v>
      </c>
      <c r="AB223" s="117">
        <f t="shared" si="239"/>
        <v>39193.20909</v>
      </c>
      <c r="AC223" s="117">
        <f t="shared" si="239"/>
        <v>40134.8817</v>
      </c>
      <c r="AD223" s="117">
        <f t="shared" si="239"/>
        <v>40821.31565</v>
      </c>
      <c r="AE223" s="117">
        <f t="shared" si="239"/>
        <v>41041.38997</v>
      </c>
      <c r="AF223" s="117">
        <f t="shared" si="239"/>
        <v>40893.41656</v>
      </c>
      <c r="AG223" s="117">
        <f t="shared" si="239"/>
        <v>41320.95511</v>
      </c>
      <c r="AH223" s="117">
        <f t="shared" si="239"/>
        <v>41692.31315</v>
      </c>
      <c r="AI223" s="117">
        <f t="shared" si="239"/>
        <v>41683.90047</v>
      </c>
      <c r="AJ223" s="117">
        <f t="shared" si="239"/>
        <v>41432.1857</v>
      </c>
      <c r="AK223" s="117">
        <f t="shared" si="239"/>
        <v>41437.26825</v>
      </c>
      <c r="AL223" s="117">
        <f t="shared" si="239"/>
        <v>41690.31716</v>
      </c>
      <c r="AM223" s="117">
        <f t="shared" si="239"/>
        <v>41683.94271</v>
      </c>
      <c r="AN223" s="117">
        <f t="shared" si="239"/>
        <v>64427.32343</v>
      </c>
      <c r="AO223" s="117">
        <f t="shared" si="239"/>
        <v>64585.41266</v>
      </c>
      <c r="AP223" s="117">
        <f t="shared" si="239"/>
        <v>64748.80604</v>
      </c>
      <c r="AQ223" s="117">
        <f t="shared" si="239"/>
        <v>64608.55738</v>
      </c>
      <c r="AR223" s="117">
        <f t="shared" si="239"/>
        <v>64302.22526</v>
      </c>
      <c r="AS223" s="117">
        <f t="shared" si="239"/>
        <v>64488.48906</v>
      </c>
      <c r="AT223" s="117">
        <f t="shared" si="239"/>
        <v>64694.89306</v>
      </c>
      <c r="AU223" s="117">
        <f t="shared" si="239"/>
        <v>64570.90925</v>
      </c>
      <c r="AV223" s="117">
        <f t="shared" si="239"/>
        <v>64251.61172</v>
      </c>
      <c r="AW223" s="117">
        <f t="shared" si="239"/>
        <v>64427.76462</v>
      </c>
      <c r="AX223" s="117">
        <f t="shared" si="239"/>
        <v>64601.7792</v>
      </c>
      <c r="AY223" s="117">
        <f t="shared" si="239"/>
        <v>64456.69108</v>
      </c>
      <c r="AZ223" s="117">
        <f t="shared" si="239"/>
        <v>87050.99518</v>
      </c>
      <c r="BA223" s="117">
        <f t="shared" si="239"/>
        <v>72876.15161</v>
      </c>
      <c r="BB223" s="117">
        <f t="shared" si="239"/>
        <v>73149.60565</v>
      </c>
      <c r="BC223" s="117">
        <f t="shared" si="239"/>
        <v>72998.99289</v>
      </c>
      <c r="BD223" s="117">
        <f t="shared" si="239"/>
        <v>72016.40404</v>
      </c>
      <c r="BE223" s="117">
        <f t="shared" si="239"/>
        <v>72265.62441</v>
      </c>
      <c r="BF223" s="117">
        <f t="shared" si="239"/>
        <v>72158.80653</v>
      </c>
      <c r="BG223" s="117">
        <f t="shared" si="239"/>
        <v>72003.71688</v>
      </c>
      <c r="BH223" s="117">
        <f t="shared" si="239"/>
        <v>70985.56339</v>
      </c>
      <c r="BI223" s="117">
        <f t="shared" si="239"/>
        <v>71223.81062</v>
      </c>
      <c r="BJ223" s="117">
        <f t="shared" si="239"/>
        <v>71456.21848</v>
      </c>
      <c r="BK223" s="117">
        <f t="shared" si="239"/>
        <v>71293.97552</v>
      </c>
      <c r="BL223" s="117">
        <f t="shared" si="239"/>
        <v>70109.38949</v>
      </c>
      <c r="BM223" s="117">
        <f t="shared" si="239"/>
        <v>70342.65532</v>
      </c>
      <c r="BN223" s="117">
        <f t="shared" si="239"/>
        <v>70550.82248</v>
      </c>
      <c r="BO223" s="117">
        <f t="shared" si="239"/>
        <v>70390.56964</v>
      </c>
      <c r="BP223" s="117">
        <f t="shared" si="239"/>
        <v>69329.33783</v>
      </c>
      <c r="BQ223" s="117">
        <f t="shared" si="239"/>
        <v>69398.65273</v>
      </c>
      <c r="BR223" s="117">
        <f t="shared" si="239"/>
        <v>69604.52565</v>
      </c>
      <c r="BS223" s="117">
        <f t="shared" si="239"/>
        <v>69168.3926</v>
      </c>
      <c r="BT223" s="117">
        <f t="shared" si="239"/>
        <v>68072.69046</v>
      </c>
      <c r="BU223" s="117">
        <f t="shared" si="239"/>
        <v>68279.7567</v>
      </c>
      <c r="BV223" s="117">
        <f t="shared" si="239"/>
        <v>68481.60147</v>
      </c>
      <c r="BW223" s="117">
        <f t="shared" si="239"/>
        <v>68327.96702</v>
      </c>
      <c r="BX223" s="117">
        <f t="shared" si="239"/>
        <v>67211.21924</v>
      </c>
      <c r="BY223" s="117">
        <f t="shared" si="239"/>
        <v>67283.83886</v>
      </c>
      <c r="BZ223" s="117">
        <f t="shared" si="239"/>
        <v>67452.78653</v>
      </c>
      <c r="CA223" s="117">
        <f t="shared" si="239"/>
        <v>67281.54014</v>
      </c>
      <c r="CB223" s="117">
        <f t="shared" si="239"/>
        <v>66186.04329</v>
      </c>
      <c r="CC223" s="117">
        <f t="shared" si="239"/>
        <v>66234.27196</v>
      </c>
      <c r="CD223" s="117">
        <f t="shared" si="239"/>
        <v>66402.94788</v>
      </c>
      <c r="CE223" s="117">
        <f t="shared" si="239"/>
        <v>66237.42111</v>
      </c>
      <c r="CF223" s="117">
        <f t="shared" si="239"/>
        <v>65105.26116</v>
      </c>
      <c r="CG223" s="117">
        <f t="shared" si="239"/>
        <v>65272.08763</v>
      </c>
      <c r="CH223" s="117">
        <f t="shared" si="239"/>
        <v>65436.89109</v>
      </c>
      <c r="CI223" s="117">
        <f t="shared" si="239"/>
        <v>65272.21889</v>
      </c>
      <c r="CL223" s="117">
        <f>SUM(D223:G223)</f>
        <v>16101</v>
      </c>
      <c r="CM223" s="117">
        <f>SUM(H223:K223)</f>
        <v>16813</v>
      </c>
      <c r="CN223" s="117">
        <f>SUM(L223:O223)</f>
        <v>-30815</v>
      </c>
      <c r="CO223" s="117">
        <f>SUM(P223:S223)</f>
        <v>-14077</v>
      </c>
      <c r="CP223" s="117">
        <f>SUM(T223:W223)</f>
        <v>60024</v>
      </c>
      <c r="CQ223" s="117">
        <f>SUM(X223:AA223)</f>
        <v>42214.63034</v>
      </c>
    </row>
    <row r="224" ht="15.75" customHeight="1" outlineLevel="1">
      <c r="A224" s="136"/>
      <c r="B224" s="136"/>
      <c r="C224" s="517" t="s">
        <v>101</v>
      </c>
      <c r="D224" s="519">
        <f t="shared" ref="D224:CI224" si="240">D223/D202</f>
        <v>0.05637046308</v>
      </c>
      <c r="E224" s="519">
        <f t="shared" si="240"/>
        <v>0.2009674017</v>
      </c>
      <c r="F224" s="519">
        <f t="shared" si="240"/>
        <v>0.3201120814</v>
      </c>
      <c r="G224" s="519">
        <f t="shared" si="240"/>
        <v>-0.2280199005</v>
      </c>
      <c r="H224" s="519">
        <f t="shared" si="240"/>
        <v>0.1823767706</v>
      </c>
      <c r="I224" s="519">
        <f t="shared" si="240"/>
        <v>0.3140674394</v>
      </c>
      <c r="J224" s="519">
        <f t="shared" si="240"/>
        <v>-0.01747720365</v>
      </c>
      <c r="K224" s="519">
        <f t="shared" si="240"/>
        <v>-0.05115542655</v>
      </c>
      <c r="L224" s="519">
        <f t="shared" si="240"/>
        <v>-0.6052975643</v>
      </c>
      <c r="M224" s="519">
        <f t="shared" si="240"/>
        <v>0.2290598729</v>
      </c>
      <c r="N224" s="519">
        <f t="shared" si="240"/>
        <v>-0.0995181978</v>
      </c>
      <c r="O224" s="519">
        <f t="shared" si="240"/>
        <v>-1.17760148</v>
      </c>
      <c r="P224" s="519">
        <f t="shared" si="240"/>
        <v>0.1047549747</v>
      </c>
      <c r="Q224" s="519">
        <f t="shared" si="240"/>
        <v>-0.2213563329</v>
      </c>
      <c r="R224" s="519">
        <f t="shared" si="240"/>
        <v>-0.2722526106</v>
      </c>
      <c r="S224" s="519">
        <f t="shared" si="240"/>
        <v>-0.2514410977</v>
      </c>
      <c r="T224" s="519">
        <f t="shared" si="240"/>
        <v>-0.3476304374</v>
      </c>
      <c r="U224" s="519">
        <f t="shared" si="240"/>
        <v>0.2435751649</v>
      </c>
      <c r="V224" s="519">
        <f t="shared" si="240"/>
        <v>0.2408351672</v>
      </c>
      <c r="W224" s="519">
        <f t="shared" si="240"/>
        <v>0.6157603387</v>
      </c>
      <c r="X224" s="519">
        <f t="shared" si="240"/>
        <v>0.297870435</v>
      </c>
      <c r="Y224" s="519">
        <f t="shared" si="240"/>
        <v>-0.6112254524</v>
      </c>
      <c r="Z224" s="519">
        <f t="shared" si="240"/>
        <v>0.0207535481</v>
      </c>
      <c r="AA224" s="519">
        <f t="shared" si="240"/>
        <v>0.7820326068</v>
      </c>
      <c r="AB224" s="519">
        <f t="shared" si="240"/>
        <v>0.7838641818</v>
      </c>
      <c r="AC224" s="519">
        <f t="shared" si="240"/>
        <v>0.8026976341</v>
      </c>
      <c r="AD224" s="519">
        <f t="shared" si="240"/>
        <v>0.8164263131</v>
      </c>
      <c r="AE224" s="519">
        <f t="shared" si="240"/>
        <v>0.8208277994</v>
      </c>
      <c r="AF224" s="519">
        <f t="shared" si="240"/>
        <v>0.8178683312</v>
      </c>
      <c r="AG224" s="519">
        <f t="shared" si="240"/>
        <v>0.8264191022</v>
      </c>
      <c r="AH224" s="519">
        <f t="shared" si="240"/>
        <v>0.833846263</v>
      </c>
      <c r="AI224" s="519">
        <f t="shared" si="240"/>
        <v>0.8336780094</v>
      </c>
      <c r="AJ224" s="519">
        <f t="shared" si="240"/>
        <v>0.8286437139</v>
      </c>
      <c r="AK224" s="519">
        <f t="shared" si="240"/>
        <v>0.8287453651</v>
      </c>
      <c r="AL224" s="519">
        <f t="shared" si="240"/>
        <v>0.8338063432</v>
      </c>
      <c r="AM224" s="519">
        <f t="shared" si="240"/>
        <v>0.8336788543</v>
      </c>
      <c r="AN224" s="519">
        <f t="shared" si="240"/>
        <v>0.8590309791</v>
      </c>
      <c r="AO224" s="519">
        <f t="shared" si="240"/>
        <v>0.8611388355</v>
      </c>
      <c r="AP224" s="519">
        <f t="shared" si="240"/>
        <v>0.8633174139</v>
      </c>
      <c r="AQ224" s="519">
        <f t="shared" si="240"/>
        <v>0.8614474317</v>
      </c>
      <c r="AR224" s="519">
        <f t="shared" si="240"/>
        <v>0.8573630035</v>
      </c>
      <c r="AS224" s="519">
        <f t="shared" si="240"/>
        <v>0.8598465207</v>
      </c>
      <c r="AT224" s="519">
        <f t="shared" si="240"/>
        <v>0.8625985742</v>
      </c>
      <c r="AU224" s="519">
        <f t="shared" si="240"/>
        <v>0.8609454567</v>
      </c>
      <c r="AV224" s="519">
        <f t="shared" si="240"/>
        <v>0.8566881563</v>
      </c>
      <c r="AW224" s="519">
        <f t="shared" si="240"/>
        <v>0.8590368616</v>
      </c>
      <c r="AX224" s="519">
        <f t="shared" si="240"/>
        <v>0.8613570561</v>
      </c>
      <c r="AY224" s="519">
        <f t="shared" si="240"/>
        <v>0.8594225477</v>
      </c>
      <c r="AZ224" s="519">
        <f t="shared" si="240"/>
        <v>0.8705099518</v>
      </c>
      <c r="BA224" s="519">
        <f t="shared" si="240"/>
        <v>0.7287615161</v>
      </c>
      <c r="BB224" s="519">
        <f t="shared" si="240"/>
        <v>0.7314960565</v>
      </c>
      <c r="BC224" s="519">
        <f t="shared" si="240"/>
        <v>0.7299899289</v>
      </c>
      <c r="BD224" s="519">
        <f t="shared" si="240"/>
        <v>0.7201640404</v>
      </c>
      <c r="BE224" s="519">
        <f t="shared" si="240"/>
        <v>0.7226562441</v>
      </c>
      <c r="BF224" s="519">
        <f t="shared" si="240"/>
        <v>0.7215880653</v>
      </c>
      <c r="BG224" s="519">
        <f t="shared" si="240"/>
        <v>0.7200371688</v>
      </c>
      <c r="BH224" s="519">
        <f t="shared" si="240"/>
        <v>0.7098556339</v>
      </c>
      <c r="BI224" s="519">
        <f t="shared" si="240"/>
        <v>0.7122381062</v>
      </c>
      <c r="BJ224" s="519">
        <f t="shared" si="240"/>
        <v>0.7145621848</v>
      </c>
      <c r="BK224" s="519">
        <f t="shared" si="240"/>
        <v>0.7129397552</v>
      </c>
      <c r="BL224" s="519">
        <f t="shared" si="240"/>
        <v>0.7010938949</v>
      </c>
      <c r="BM224" s="519">
        <f t="shared" si="240"/>
        <v>0.7034265532</v>
      </c>
      <c r="BN224" s="519">
        <f t="shared" si="240"/>
        <v>0.7055082248</v>
      </c>
      <c r="BO224" s="519">
        <f t="shared" si="240"/>
        <v>0.7039056964</v>
      </c>
      <c r="BP224" s="519">
        <f t="shared" si="240"/>
        <v>0.6932933783</v>
      </c>
      <c r="BQ224" s="519">
        <f t="shared" si="240"/>
        <v>0.6939865273</v>
      </c>
      <c r="BR224" s="519">
        <f t="shared" si="240"/>
        <v>0.6960452565</v>
      </c>
      <c r="BS224" s="519">
        <f t="shared" si="240"/>
        <v>0.691683926</v>
      </c>
      <c r="BT224" s="519">
        <f t="shared" si="240"/>
        <v>0.6807269046</v>
      </c>
      <c r="BU224" s="519">
        <f t="shared" si="240"/>
        <v>0.682797567</v>
      </c>
      <c r="BV224" s="519">
        <f t="shared" si="240"/>
        <v>0.6848160147</v>
      </c>
      <c r="BW224" s="519">
        <f t="shared" si="240"/>
        <v>0.6832796702</v>
      </c>
      <c r="BX224" s="519">
        <f t="shared" si="240"/>
        <v>0.6721121924</v>
      </c>
      <c r="BY224" s="519">
        <f t="shared" si="240"/>
        <v>0.6728383886</v>
      </c>
      <c r="BZ224" s="519">
        <f t="shared" si="240"/>
        <v>0.6745278653</v>
      </c>
      <c r="CA224" s="519">
        <f t="shared" si="240"/>
        <v>0.6728154014</v>
      </c>
      <c r="CB224" s="519">
        <f t="shared" si="240"/>
        <v>0.6618604329</v>
      </c>
      <c r="CC224" s="519">
        <f t="shared" si="240"/>
        <v>0.6623427196</v>
      </c>
      <c r="CD224" s="519">
        <f t="shared" si="240"/>
        <v>0.6640294788</v>
      </c>
      <c r="CE224" s="519">
        <f t="shared" si="240"/>
        <v>0.6623742111</v>
      </c>
      <c r="CF224" s="519">
        <f t="shared" si="240"/>
        <v>0.6510526116</v>
      </c>
      <c r="CG224" s="519">
        <f t="shared" si="240"/>
        <v>0.6527208763</v>
      </c>
      <c r="CH224" s="519">
        <f t="shared" si="240"/>
        <v>0.6543689109</v>
      </c>
      <c r="CI224" s="519">
        <f t="shared" si="240"/>
        <v>0.6527221889</v>
      </c>
      <c r="CJ224" s="136"/>
      <c r="CK224" s="136"/>
      <c r="CL224" s="519">
        <f t="shared" ref="CL224:CQ224" si="241">CL223/CL202</f>
        <v>0.1144341547</v>
      </c>
      <c r="CM224" s="519">
        <f t="shared" si="241"/>
        <v>0.1317757156</v>
      </c>
      <c r="CN224" s="519">
        <f t="shared" si="241"/>
        <v>-0.27778529</v>
      </c>
      <c r="CO224" s="519">
        <f t="shared" si="241"/>
        <v>-0.1311464719</v>
      </c>
      <c r="CP224" s="519">
        <f t="shared" si="241"/>
        <v>0.3334259146</v>
      </c>
      <c r="CQ224" s="519">
        <f t="shared" si="241"/>
        <v>0.2563636329</v>
      </c>
    </row>
    <row r="225" ht="15.75" customHeight="1" outlineLevel="1">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25">
        <f>SUM(P223:Y223)/SUM(P202:Y202)</f>
        <v>0.1318445357</v>
      </c>
      <c r="AA225" s="117"/>
      <c r="AB225" s="117"/>
      <c r="AC225" s="117"/>
      <c r="AD225" s="117"/>
      <c r="AE225" s="117"/>
      <c r="AF225" s="117"/>
      <c r="AG225" s="117"/>
      <c r="AH225" s="117"/>
      <c r="AI225" s="117"/>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7"/>
      <c r="BO225" s="117"/>
      <c r="BP225" s="117"/>
      <c r="BQ225" s="117"/>
      <c r="BR225" s="117"/>
      <c r="BS225" s="117"/>
      <c r="BT225" s="117"/>
      <c r="BU225" s="117"/>
      <c r="BV225" s="117"/>
      <c r="BW225" s="117"/>
      <c r="BX225" s="117"/>
      <c r="BY225" s="117"/>
      <c r="BZ225" s="117"/>
      <c r="CA225" s="117"/>
      <c r="CB225" s="117"/>
      <c r="CC225" s="117"/>
      <c r="CD225" s="117"/>
      <c r="CE225" s="117"/>
      <c r="CF225" s="117"/>
      <c r="CG225" s="117"/>
      <c r="CH225" s="117"/>
      <c r="CI225" s="117"/>
    </row>
    <row r="226" ht="15.75" customHeight="1" outlineLevel="1">
      <c r="C226" s="257" t="s">
        <v>174</v>
      </c>
      <c r="D226" s="117">
        <f>'Opex Departments'!D190*'Opex Departments'!D$169</f>
        <v>2921.820455</v>
      </c>
      <c r="E226" s="117">
        <f>'Opex Departments'!E190*'Opex Departments'!E$169</f>
        <v>2199.796564</v>
      </c>
      <c r="F226" s="117">
        <f>'Opex Departments'!F190*'Opex Departments'!F$169</f>
        <v>2327.02228</v>
      </c>
      <c r="G226" s="117">
        <f>'Opex Departments'!G190*'Opex Departments'!G$169</f>
        <v>1361.086862</v>
      </c>
      <c r="H226" s="117">
        <f>'Opex Departments'!H190*'Opex Departments'!H$169</f>
        <v>2394.48058</v>
      </c>
      <c r="I226" s="117">
        <f>'Opex Departments'!I190*'Opex Departments'!I$169</f>
        <v>2087.958117</v>
      </c>
      <c r="J226" s="117">
        <f>'Opex Departments'!J190*'Opex Departments'!J$169</f>
        <v>1601.594408</v>
      </c>
      <c r="K226" s="117">
        <f>'Opex Departments'!K190*'Opex Departments'!K$169</f>
        <v>1949.643139</v>
      </c>
      <c r="L226" s="117">
        <f>'Opex Departments'!L190*'Opex Departments'!L$169</f>
        <v>1395.964983</v>
      </c>
      <c r="M226" s="117">
        <f>'Opex Departments'!M190*'Opex Departments'!M$169</f>
        <v>2487.852592</v>
      </c>
      <c r="N226" s="117">
        <f>'Opex Departments'!N190*'Opex Departments'!N$169</f>
        <v>2026.058267</v>
      </c>
      <c r="O226" s="117">
        <f>'Opex Departments'!O190*'Opex Departments'!O$169</f>
        <v>1286.938613</v>
      </c>
      <c r="P226" s="117">
        <f>'Opex Departments'!P190*'Opex Departments'!P$169</f>
        <v>1790.734724</v>
      </c>
      <c r="Q226" s="117">
        <f>'Opex Departments'!Q190*'Opex Departments'!Q$169</f>
        <v>1433.320477</v>
      </c>
      <c r="R226" s="117">
        <f>'Opex Departments'!R190*'Opex Departments'!R$169</f>
        <v>1278.931579</v>
      </c>
      <c r="S226" s="117">
        <f>'Opex Departments'!S190*'Opex Departments'!S$169</f>
        <v>1340.897446</v>
      </c>
      <c r="T226" s="117">
        <f>'Opex Departments'!T190*'Opex Departments'!T$169</f>
        <v>1314.375235</v>
      </c>
      <c r="U226" s="117">
        <f>'Opex Departments'!U190*'Opex Departments'!U$169</f>
        <v>2090.330574</v>
      </c>
      <c r="V226" s="117">
        <f>'Opex Departments'!V190*'Opex Departments'!V$169</f>
        <v>1998.998874</v>
      </c>
      <c r="W226" s="117">
        <f>'Opex Departments'!W190*'Opex Departments'!W$169</f>
        <v>1107.664273</v>
      </c>
      <c r="X226" s="117">
        <f>'Opex Departments'!X190*'Opex Departments'!X$169</f>
        <v>1853.439605</v>
      </c>
      <c r="Y226" s="117">
        <f>'Opex Departments'!Y190*'Opex Departments'!Y$169</f>
        <v>1234.090405</v>
      </c>
      <c r="Z226" s="117">
        <f>'Opex Departments'!Z190*'Opex Departments'!Z$169</f>
        <v>2021.474008</v>
      </c>
      <c r="AA226" s="117">
        <f>'Opex Departments'!AA190*'Opex Departments'!AA$169</f>
        <v>8654.69816</v>
      </c>
      <c r="AB226" s="117">
        <f>'Opex Departments'!AB190*'Opex Departments'!AB$169</f>
        <v>9492.912571</v>
      </c>
      <c r="AC226" s="117">
        <f>'Opex Departments'!AC190*'Opex Departments'!AC$169</f>
        <v>11319.6617</v>
      </c>
      <c r="AD226" s="117">
        <f>'Opex Departments'!AD190*'Opex Departments'!AD$169</f>
        <v>8020.899654</v>
      </c>
      <c r="AE226" s="117">
        <f>'Opex Departments'!AE190*'Opex Departments'!AE$169</f>
        <v>7730.272759</v>
      </c>
      <c r="AF226" s="117">
        <f>'Opex Departments'!AF190*'Opex Departments'!AF$169</f>
        <v>9552.173876</v>
      </c>
      <c r="AG226" s="117">
        <f>'Opex Departments'!AG190*'Opex Departments'!AG$169</f>
        <v>7032.398959</v>
      </c>
      <c r="AH226" s="117">
        <f>'Opex Departments'!AH190*'Opex Departments'!AH$169</f>
        <v>8751.305985</v>
      </c>
      <c r="AI226" s="117">
        <f>'Opex Departments'!AI190*'Opex Departments'!AI$169</f>
        <v>6885.137542</v>
      </c>
      <c r="AJ226" s="117">
        <f>'Opex Departments'!AJ190*'Opex Departments'!AJ$169</f>
        <v>8572.43004</v>
      </c>
      <c r="AK226" s="117">
        <f>'Opex Departments'!AK190*'Opex Departments'!AK$169</f>
        <v>6839.724704</v>
      </c>
      <c r="AL226" s="117">
        <f>'Opex Departments'!AL190*'Opex Departments'!AL$169</f>
        <v>6842.142724</v>
      </c>
      <c r="AM226" s="117">
        <f>'Opex Departments'!AM190*'Opex Departments'!AM$169</f>
        <v>6758.02527</v>
      </c>
      <c r="AN226" s="117">
        <f>'Opex Departments'!AN190*'Opex Departments'!AN$169</f>
        <v>14757.5622</v>
      </c>
      <c r="AO226" s="117">
        <f>'Opex Departments'!AO190*'Opex Departments'!AO$169</f>
        <v>10129.87533</v>
      </c>
      <c r="AP226" s="117">
        <f>'Opex Departments'!AP190*'Opex Departments'!AP$169</f>
        <v>10012.63784</v>
      </c>
      <c r="AQ226" s="117">
        <f>'Opex Departments'!AQ190*'Opex Departments'!AQ$169</f>
        <v>9903.77441</v>
      </c>
      <c r="AR226" s="117">
        <f>'Opex Departments'!AR190*'Opex Departments'!AR$169</f>
        <v>12306.9971</v>
      </c>
      <c r="AS226" s="117">
        <f>'Opex Departments'!AS190*'Opex Departments'!AS$169</f>
        <v>9925.741584</v>
      </c>
      <c r="AT226" s="117">
        <f>'Opex Departments'!AT190*'Opex Departments'!AT$169</f>
        <v>11712.41367</v>
      </c>
      <c r="AU226" s="117">
        <f>'Opex Departments'!AU190*'Opex Departments'!AU$169</f>
        <v>9814.66919</v>
      </c>
      <c r="AV226" s="117">
        <f>'Opex Departments'!AV190*'Opex Departments'!AV$169</f>
        <v>12182.25393</v>
      </c>
      <c r="AW226" s="117">
        <f>'Opex Departments'!AW190*'Opex Departments'!AW$169</f>
        <v>9888.795191</v>
      </c>
      <c r="AX226" s="117">
        <f>'Opex Departments'!AX190*'Opex Departments'!AX$169</f>
        <v>9788.668399</v>
      </c>
      <c r="AY226" s="117">
        <f>'Opex Departments'!AY190*'Opex Departments'!AY$169</f>
        <v>9692.553986</v>
      </c>
      <c r="AZ226" s="117">
        <f>'Opex Departments'!AZ190*'Opex Departments'!AZ$169</f>
        <v>18669.18881</v>
      </c>
      <c r="BA226" s="117">
        <f>'Opex Departments'!BA190*'Opex Departments'!BA$169</f>
        <v>13267.47575</v>
      </c>
      <c r="BB226" s="117">
        <f>'Opex Departments'!BB190*'Opex Departments'!BB$169</f>
        <v>13166.43578</v>
      </c>
      <c r="BC226" s="117">
        <f>'Opex Departments'!BC190*'Opex Departments'!BC$169</f>
        <v>13074.48374</v>
      </c>
      <c r="BD226" s="117">
        <f>'Opex Departments'!BD190*'Opex Departments'!BD$169</f>
        <v>16438.46793</v>
      </c>
      <c r="BE226" s="117">
        <f>'Opex Departments'!BE190*'Opex Departments'!BE$169</f>
        <v>13627.74216</v>
      </c>
      <c r="BF226" s="117">
        <f>'Opex Departments'!BF190*'Opex Departments'!BF$169</f>
        <v>16166.08915</v>
      </c>
      <c r="BG226" s="117">
        <f>'Opex Departments'!BG190*'Opex Departments'!BG$169</f>
        <v>13975.13671</v>
      </c>
      <c r="BH226" s="117">
        <f>'Opex Departments'!BH190*'Opex Departments'!BH$169</f>
        <v>16964.83192</v>
      </c>
      <c r="BI226" s="117">
        <f>'Opex Departments'!BI190*'Opex Departments'!BI$169</f>
        <v>14554.46662</v>
      </c>
      <c r="BJ226" s="117">
        <f>'Opex Departments'!BJ190*'Opex Departments'!BJ$169</f>
        <v>14475.00645</v>
      </c>
      <c r="BK226" s="117">
        <f>'Opex Departments'!BK190*'Opex Departments'!BK$169</f>
        <v>14400.17455</v>
      </c>
      <c r="BL226" s="117">
        <f>'Opex Departments'!CJ190*'Opex Departments'!CJ$169</f>
        <v>0</v>
      </c>
      <c r="BM226" s="117">
        <f>'Opex Departments'!CK190*'Opex Departments'!CK$169</f>
        <v>0</v>
      </c>
      <c r="BN226" s="117">
        <f>'Opex Departments'!CL190*'Opex Departments'!CL$169</f>
        <v>0</v>
      </c>
      <c r="BO226" s="117">
        <f>'Opex Departments'!CM190*'Opex Departments'!CM$169</f>
        <v>0</v>
      </c>
      <c r="BP226" s="117">
        <f>'Opex Departments'!CN190*'Opex Departments'!CN$169</f>
        <v>0</v>
      </c>
      <c r="BQ226" s="117">
        <f>'Opex Departments'!CO190*'Opex Departments'!CO$169</f>
        <v>0</v>
      </c>
      <c r="BR226" s="117">
        <f>'Opex Departments'!CP190*'Opex Departments'!CP$169</f>
        <v>0</v>
      </c>
      <c r="BS226" s="117">
        <f>'Opex Departments'!CQ190*'Opex Departments'!CQ$169</f>
        <v>0</v>
      </c>
      <c r="BT226" s="117">
        <f>'Opex Departments'!CR190*'Opex Departments'!CR$169</f>
        <v>0</v>
      </c>
      <c r="BU226" s="117">
        <f>'Opex Departments'!CS190*'Opex Departments'!CS$169</f>
        <v>0</v>
      </c>
      <c r="BV226" s="117">
        <f>'Opex Departments'!CT190*'Opex Departments'!CT$169</f>
        <v>0</v>
      </c>
      <c r="BW226" s="117">
        <f>'Opex Departments'!CU190*'Opex Departments'!CU$169</f>
        <v>0</v>
      </c>
      <c r="BX226" s="117">
        <f>'Opex Departments'!CV190*'Opex Departments'!CV$169</f>
        <v>0</v>
      </c>
      <c r="BY226" s="117">
        <f>'Opex Departments'!CW190*'Opex Departments'!CW$169</f>
        <v>0</v>
      </c>
      <c r="BZ226" s="117">
        <f>'Opex Departments'!CX190*'Opex Departments'!CX$169</f>
        <v>0</v>
      </c>
      <c r="CA226" s="117">
        <f>'Opex Departments'!CY190*'Opex Departments'!CY$169</f>
        <v>0</v>
      </c>
      <c r="CB226" s="117">
        <f>'Opex Departments'!CZ190*'Opex Departments'!CZ$169</f>
        <v>0</v>
      </c>
      <c r="CC226" s="117">
        <f>'Opex Departments'!DA190*'Opex Departments'!DA$169</f>
        <v>0</v>
      </c>
      <c r="CD226" s="117">
        <f>'Opex Departments'!DB190*'Opex Departments'!DB$169</f>
        <v>0</v>
      </c>
      <c r="CE226" s="117">
        <f>'Opex Departments'!DC190*'Opex Departments'!DC$169</f>
        <v>0</v>
      </c>
      <c r="CF226" s="117">
        <f>'Opex Departments'!DD190*'Opex Departments'!DD$169</f>
        <v>0</v>
      </c>
      <c r="CG226" s="117">
        <f>'Opex Departments'!DE190*'Opex Departments'!DE$169</f>
        <v>0</v>
      </c>
      <c r="CH226" s="117">
        <f>'Opex Departments'!DF190*'Opex Departments'!DF$169</f>
        <v>0</v>
      </c>
      <c r="CI226" s="117">
        <f>'Opex Departments'!DG190*'Opex Departments'!DG$169</f>
        <v>0</v>
      </c>
      <c r="CL226" s="117">
        <f>SUM(D226:G226)</f>
        <v>8809.726161</v>
      </c>
      <c r="CM226" s="117">
        <f>SUM(H226:K226)</f>
        <v>8033.676244</v>
      </c>
      <c r="CN226" s="117">
        <f>SUM(L226:O226)</f>
        <v>7196.814455</v>
      </c>
      <c r="CO226" s="117">
        <f>SUM(P226:S226)</f>
        <v>5843.884226</v>
      </c>
      <c r="CP226" s="117">
        <f>SUM(T226:W226)</f>
        <v>6511.368957</v>
      </c>
      <c r="CQ226" s="117">
        <f>SUM(X226:AA226)</f>
        <v>13763.70218</v>
      </c>
    </row>
    <row r="227" ht="15.75" customHeight="1" outlineLevel="1">
      <c r="C227" s="5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7"/>
      <c r="AI227" s="117"/>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7"/>
      <c r="BO227" s="117"/>
      <c r="BP227" s="117"/>
      <c r="BQ227" s="117"/>
      <c r="BR227" s="117"/>
      <c r="BS227" s="117"/>
      <c r="BT227" s="117"/>
      <c r="BU227" s="117"/>
      <c r="BV227" s="117"/>
      <c r="BW227" s="117"/>
      <c r="BX227" s="117"/>
      <c r="BY227" s="117"/>
      <c r="BZ227" s="117"/>
      <c r="CA227" s="117"/>
      <c r="CB227" s="117"/>
      <c r="CC227" s="117"/>
      <c r="CD227" s="117"/>
      <c r="CE227" s="117"/>
      <c r="CF227" s="117"/>
      <c r="CG227" s="117"/>
      <c r="CH227" s="117"/>
      <c r="CI227" s="117"/>
      <c r="CL227" s="117"/>
      <c r="CM227" s="117"/>
      <c r="CN227" s="117"/>
      <c r="CO227" s="117"/>
      <c r="CP227" s="117"/>
      <c r="CQ227" s="117"/>
    </row>
    <row r="228" ht="15.75" customHeight="1">
      <c r="C228" s="257" t="s">
        <v>817</v>
      </c>
      <c r="D228" s="117">
        <f t="shared" ref="D228:CI228" si="242">D223-D226</f>
        <v>-669.8204548</v>
      </c>
      <c r="E228" s="117">
        <f t="shared" si="242"/>
        <v>5611.203436</v>
      </c>
      <c r="F228" s="117">
        <f t="shared" si="242"/>
        <v>9439.97772</v>
      </c>
      <c r="G228" s="117">
        <f t="shared" si="242"/>
        <v>-7090.086862</v>
      </c>
      <c r="H228" s="117">
        <f t="shared" si="242"/>
        <v>4313.51942</v>
      </c>
      <c r="I228" s="117">
        <f t="shared" si="242"/>
        <v>9834.041883</v>
      </c>
      <c r="J228" s="117">
        <f t="shared" si="242"/>
        <v>-2061.594408</v>
      </c>
      <c r="K228" s="117">
        <f t="shared" si="242"/>
        <v>-3306.643139</v>
      </c>
      <c r="L228" s="117">
        <f t="shared" si="242"/>
        <v>-13895.96498</v>
      </c>
      <c r="M228" s="117">
        <f t="shared" si="242"/>
        <v>6449.147408</v>
      </c>
      <c r="N228" s="117">
        <f t="shared" si="242"/>
        <v>-5083.058267</v>
      </c>
      <c r="O228" s="117">
        <f t="shared" si="242"/>
        <v>-25481.93861</v>
      </c>
      <c r="P228" s="117">
        <f t="shared" si="242"/>
        <v>1952.265276</v>
      </c>
      <c r="Q228" s="117">
        <f t="shared" si="242"/>
        <v>-6489.320477</v>
      </c>
      <c r="R228" s="117">
        <f t="shared" si="242"/>
        <v>-7848.931579</v>
      </c>
      <c r="S228" s="117">
        <f t="shared" si="242"/>
        <v>-7534.897446</v>
      </c>
      <c r="T228" s="117">
        <f t="shared" si="242"/>
        <v>-9889.375235</v>
      </c>
      <c r="U228" s="117">
        <f t="shared" si="242"/>
        <v>6477.669426</v>
      </c>
      <c r="V228" s="117">
        <f t="shared" si="242"/>
        <v>6975.001126</v>
      </c>
      <c r="W228" s="117">
        <f t="shared" si="242"/>
        <v>49949.33573</v>
      </c>
      <c r="X228" s="117">
        <f t="shared" si="242"/>
        <v>14777.5604</v>
      </c>
      <c r="Y228" s="117">
        <f t="shared" si="242"/>
        <v>-15489.09041</v>
      </c>
      <c r="Z228" s="117">
        <f t="shared" si="242"/>
        <v>-1284.474008</v>
      </c>
      <c r="AA228" s="117">
        <f t="shared" si="242"/>
        <v>30446.93218</v>
      </c>
      <c r="AB228" s="117">
        <f t="shared" si="242"/>
        <v>29700.29652</v>
      </c>
      <c r="AC228" s="117">
        <f t="shared" si="242"/>
        <v>28815.22</v>
      </c>
      <c r="AD228" s="117">
        <f t="shared" si="242"/>
        <v>32800.416</v>
      </c>
      <c r="AE228" s="117">
        <f t="shared" si="242"/>
        <v>33311.11721</v>
      </c>
      <c r="AF228" s="117">
        <f t="shared" si="242"/>
        <v>31341.24268</v>
      </c>
      <c r="AG228" s="117">
        <f t="shared" si="242"/>
        <v>34288.55615</v>
      </c>
      <c r="AH228" s="117">
        <f t="shared" si="242"/>
        <v>32941.00716</v>
      </c>
      <c r="AI228" s="117">
        <f t="shared" si="242"/>
        <v>34798.76293</v>
      </c>
      <c r="AJ228" s="117">
        <f t="shared" si="242"/>
        <v>32859.75566</v>
      </c>
      <c r="AK228" s="117">
        <f t="shared" si="242"/>
        <v>34597.54355</v>
      </c>
      <c r="AL228" s="117">
        <f t="shared" si="242"/>
        <v>34848.17444</v>
      </c>
      <c r="AM228" s="117">
        <f t="shared" si="242"/>
        <v>34925.91744</v>
      </c>
      <c r="AN228" s="117">
        <f t="shared" si="242"/>
        <v>49669.76123</v>
      </c>
      <c r="AO228" s="117">
        <f t="shared" si="242"/>
        <v>54455.53733</v>
      </c>
      <c r="AP228" s="117">
        <f t="shared" si="242"/>
        <v>54736.1682</v>
      </c>
      <c r="AQ228" s="117">
        <f t="shared" si="242"/>
        <v>54704.78297</v>
      </c>
      <c r="AR228" s="117">
        <f t="shared" si="242"/>
        <v>51995.22817</v>
      </c>
      <c r="AS228" s="117">
        <f t="shared" si="242"/>
        <v>54562.74747</v>
      </c>
      <c r="AT228" s="117">
        <f t="shared" si="242"/>
        <v>52982.47939</v>
      </c>
      <c r="AU228" s="117">
        <f t="shared" si="242"/>
        <v>54756.24006</v>
      </c>
      <c r="AV228" s="117">
        <f t="shared" si="242"/>
        <v>52069.35779</v>
      </c>
      <c r="AW228" s="117">
        <f t="shared" si="242"/>
        <v>54538.96943</v>
      </c>
      <c r="AX228" s="117">
        <f t="shared" si="242"/>
        <v>54813.11081</v>
      </c>
      <c r="AY228" s="117">
        <f t="shared" si="242"/>
        <v>54764.13709</v>
      </c>
      <c r="AZ228" s="117">
        <f t="shared" si="242"/>
        <v>68381.80637</v>
      </c>
      <c r="BA228" s="117">
        <f t="shared" si="242"/>
        <v>59608.67586</v>
      </c>
      <c r="BB228" s="117">
        <f t="shared" si="242"/>
        <v>59983.16987</v>
      </c>
      <c r="BC228" s="117">
        <f t="shared" si="242"/>
        <v>59924.50915</v>
      </c>
      <c r="BD228" s="117">
        <f t="shared" si="242"/>
        <v>55577.93611</v>
      </c>
      <c r="BE228" s="117">
        <f t="shared" si="242"/>
        <v>58637.88225</v>
      </c>
      <c r="BF228" s="117">
        <f t="shared" si="242"/>
        <v>55992.71738</v>
      </c>
      <c r="BG228" s="117">
        <f t="shared" si="242"/>
        <v>58028.58017</v>
      </c>
      <c r="BH228" s="117">
        <f t="shared" si="242"/>
        <v>54020.73147</v>
      </c>
      <c r="BI228" s="117">
        <f t="shared" si="242"/>
        <v>56669.344</v>
      </c>
      <c r="BJ228" s="117">
        <f t="shared" si="242"/>
        <v>56981.21203</v>
      </c>
      <c r="BK228" s="117">
        <f t="shared" si="242"/>
        <v>56893.80097</v>
      </c>
      <c r="BL228" s="117">
        <f t="shared" si="242"/>
        <v>70109.38949</v>
      </c>
      <c r="BM228" s="117">
        <f t="shared" si="242"/>
        <v>70342.65532</v>
      </c>
      <c r="BN228" s="117">
        <f t="shared" si="242"/>
        <v>70550.82248</v>
      </c>
      <c r="BO228" s="117">
        <f t="shared" si="242"/>
        <v>70390.56964</v>
      </c>
      <c r="BP228" s="117">
        <f t="shared" si="242"/>
        <v>69329.33783</v>
      </c>
      <c r="BQ228" s="117">
        <f t="shared" si="242"/>
        <v>69398.65273</v>
      </c>
      <c r="BR228" s="117">
        <f t="shared" si="242"/>
        <v>69604.52565</v>
      </c>
      <c r="BS228" s="117">
        <f t="shared" si="242"/>
        <v>69168.3926</v>
      </c>
      <c r="BT228" s="117">
        <f t="shared" si="242"/>
        <v>68072.69046</v>
      </c>
      <c r="BU228" s="117">
        <f t="shared" si="242"/>
        <v>68279.7567</v>
      </c>
      <c r="BV228" s="117">
        <f t="shared" si="242"/>
        <v>68481.60147</v>
      </c>
      <c r="BW228" s="117">
        <f t="shared" si="242"/>
        <v>68327.96702</v>
      </c>
      <c r="BX228" s="117">
        <f t="shared" si="242"/>
        <v>67211.21924</v>
      </c>
      <c r="BY228" s="117">
        <f t="shared" si="242"/>
        <v>67283.83886</v>
      </c>
      <c r="BZ228" s="117">
        <f t="shared" si="242"/>
        <v>67452.78653</v>
      </c>
      <c r="CA228" s="117">
        <f t="shared" si="242"/>
        <v>67281.54014</v>
      </c>
      <c r="CB228" s="117">
        <f t="shared" si="242"/>
        <v>66186.04329</v>
      </c>
      <c r="CC228" s="117">
        <f t="shared" si="242"/>
        <v>66234.27196</v>
      </c>
      <c r="CD228" s="117">
        <f t="shared" si="242"/>
        <v>66402.94788</v>
      </c>
      <c r="CE228" s="117">
        <f t="shared" si="242"/>
        <v>66237.42111</v>
      </c>
      <c r="CF228" s="117">
        <f t="shared" si="242"/>
        <v>65105.26116</v>
      </c>
      <c r="CG228" s="117">
        <f t="shared" si="242"/>
        <v>65272.08763</v>
      </c>
      <c r="CH228" s="117">
        <f t="shared" si="242"/>
        <v>65436.89109</v>
      </c>
      <c r="CI228" s="117">
        <f t="shared" si="242"/>
        <v>65272.21889</v>
      </c>
      <c r="CL228" s="117">
        <f>SUM(D228:G228)</f>
        <v>7291.273839</v>
      </c>
      <c r="CM228" s="117">
        <f>SUM(H228:K228)</f>
        <v>8779.323756</v>
      </c>
      <c r="CN228" s="117">
        <f>SUM(L228:O228)</f>
        <v>-38011.81445</v>
      </c>
      <c r="CO228" s="117">
        <f>SUM(P228:S228)</f>
        <v>-19920.88423</v>
      </c>
      <c r="CP228" s="117">
        <f>SUM(T228:W228)</f>
        <v>53512.63104</v>
      </c>
      <c r="CQ228" s="117">
        <f>SUM(X228:AA228)</f>
        <v>28450.92816</v>
      </c>
    </row>
    <row r="229" ht="15.75" customHeight="1">
      <c r="C229" s="517" t="s">
        <v>115</v>
      </c>
      <c r="D229" s="519">
        <f t="shared" ref="D229:CI229" si="243">D228/D202</f>
        <v>-0.01676646946</v>
      </c>
      <c r="E229" s="519">
        <f t="shared" si="243"/>
        <v>0.1443693477</v>
      </c>
      <c r="F229" s="519">
        <f t="shared" si="243"/>
        <v>0.2568072505</v>
      </c>
      <c r="G229" s="519">
        <f t="shared" si="243"/>
        <v>-0.2821925119</v>
      </c>
      <c r="H229" s="519">
        <f t="shared" si="243"/>
        <v>0.1172757516</v>
      </c>
      <c r="I229" s="519">
        <f t="shared" si="243"/>
        <v>0.2590632741</v>
      </c>
      <c r="J229" s="519">
        <f t="shared" si="243"/>
        <v>-0.07832805501</v>
      </c>
      <c r="K229" s="519">
        <f t="shared" si="243"/>
        <v>-0.1246519825</v>
      </c>
      <c r="L229" s="519">
        <f t="shared" si="243"/>
        <v>-0.6728955006</v>
      </c>
      <c r="M229" s="519">
        <f t="shared" si="243"/>
        <v>0.1652949407</v>
      </c>
      <c r="N229" s="519">
        <f t="shared" si="243"/>
        <v>-0.1654749094</v>
      </c>
      <c r="O229" s="519">
        <f t="shared" si="243"/>
        <v>-1.240238422</v>
      </c>
      <c r="P229" s="519">
        <f t="shared" si="243"/>
        <v>0.05463785721</v>
      </c>
      <c r="Q229" s="519">
        <f t="shared" si="243"/>
        <v>-0.2841084225</v>
      </c>
      <c r="R229" s="519">
        <f t="shared" si="243"/>
        <v>-0.3252499411</v>
      </c>
      <c r="S229" s="519">
        <f t="shared" si="243"/>
        <v>-0.3058738916</v>
      </c>
      <c r="T229" s="519">
        <f t="shared" si="243"/>
        <v>-0.4009151999</v>
      </c>
      <c r="U229" s="519">
        <f t="shared" si="243"/>
        <v>0.1841502566</v>
      </c>
      <c r="V229" s="519">
        <f t="shared" si="243"/>
        <v>0.1871880502</v>
      </c>
      <c r="W229" s="519">
        <f t="shared" si="243"/>
        <v>0.6024016273</v>
      </c>
      <c r="X229" s="519">
        <f t="shared" si="243"/>
        <v>0.2646743036</v>
      </c>
      <c r="Y229" s="519">
        <f t="shared" si="243"/>
        <v>-0.6641407429</v>
      </c>
      <c r="Z229" s="519">
        <f t="shared" si="243"/>
        <v>-0.0361701399</v>
      </c>
      <c r="AA229" s="519">
        <f t="shared" si="243"/>
        <v>0.6089386437</v>
      </c>
      <c r="AB229" s="519">
        <f t="shared" si="243"/>
        <v>0.5940059304</v>
      </c>
      <c r="AC229" s="519">
        <f t="shared" si="243"/>
        <v>0.5763044001</v>
      </c>
      <c r="AD229" s="519">
        <f t="shared" si="243"/>
        <v>0.65600832</v>
      </c>
      <c r="AE229" s="519">
        <f t="shared" si="243"/>
        <v>0.6662223442</v>
      </c>
      <c r="AF229" s="519">
        <f t="shared" si="243"/>
        <v>0.6268248537</v>
      </c>
      <c r="AG229" s="519">
        <f t="shared" si="243"/>
        <v>0.685771123</v>
      </c>
      <c r="AH229" s="519">
        <f t="shared" si="243"/>
        <v>0.6588201433</v>
      </c>
      <c r="AI229" s="519">
        <f t="shared" si="243"/>
        <v>0.6959752586</v>
      </c>
      <c r="AJ229" s="519">
        <f t="shared" si="243"/>
        <v>0.6571951131</v>
      </c>
      <c r="AK229" s="519">
        <f t="shared" si="243"/>
        <v>0.691950871</v>
      </c>
      <c r="AL229" s="519">
        <f t="shared" si="243"/>
        <v>0.6969634887</v>
      </c>
      <c r="AM229" s="519">
        <f t="shared" si="243"/>
        <v>0.6985183489</v>
      </c>
      <c r="AN229" s="519">
        <f t="shared" si="243"/>
        <v>0.662263483</v>
      </c>
      <c r="AO229" s="519">
        <f t="shared" si="243"/>
        <v>0.7260738311</v>
      </c>
      <c r="AP229" s="519">
        <f t="shared" si="243"/>
        <v>0.729815576</v>
      </c>
      <c r="AQ229" s="519">
        <f t="shared" si="243"/>
        <v>0.7293971062</v>
      </c>
      <c r="AR229" s="519">
        <f t="shared" si="243"/>
        <v>0.6932697089</v>
      </c>
      <c r="AS229" s="519">
        <f t="shared" si="243"/>
        <v>0.7275032996</v>
      </c>
      <c r="AT229" s="519">
        <f t="shared" si="243"/>
        <v>0.7064330586</v>
      </c>
      <c r="AU229" s="519">
        <f t="shared" si="243"/>
        <v>0.7300832008</v>
      </c>
      <c r="AV229" s="519">
        <f t="shared" si="243"/>
        <v>0.6942581039</v>
      </c>
      <c r="AW229" s="519">
        <f t="shared" si="243"/>
        <v>0.7271862591</v>
      </c>
      <c r="AX229" s="519">
        <f t="shared" si="243"/>
        <v>0.7308414774</v>
      </c>
      <c r="AY229" s="519">
        <f t="shared" si="243"/>
        <v>0.7301884945</v>
      </c>
      <c r="AZ229" s="519">
        <f t="shared" si="243"/>
        <v>0.6838180637</v>
      </c>
      <c r="BA229" s="519">
        <f t="shared" si="243"/>
        <v>0.5960867586</v>
      </c>
      <c r="BB229" s="519">
        <f t="shared" si="243"/>
        <v>0.5998316987</v>
      </c>
      <c r="BC229" s="519">
        <f t="shared" si="243"/>
        <v>0.5992450915</v>
      </c>
      <c r="BD229" s="519">
        <f t="shared" si="243"/>
        <v>0.5557793611</v>
      </c>
      <c r="BE229" s="519">
        <f t="shared" si="243"/>
        <v>0.5863788225</v>
      </c>
      <c r="BF229" s="519">
        <f t="shared" si="243"/>
        <v>0.5599271738</v>
      </c>
      <c r="BG229" s="519">
        <f t="shared" si="243"/>
        <v>0.5802858017</v>
      </c>
      <c r="BH229" s="519">
        <f t="shared" si="243"/>
        <v>0.5402073147</v>
      </c>
      <c r="BI229" s="519">
        <f t="shared" si="243"/>
        <v>0.56669344</v>
      </c>
      <c r="BJ229" s="519">
        <f t="shared" si="243"/>
        <v>0.5698121203</v>
      </c>
      <c r="BK229" s="519">
        <f t="shared" si="243"/>
        <v>0.5689380097</v>
      </c>
      <c r="BL229" s="519">
        <f t="shared" si="243"/>
        <v>0.7010938949</v>
      </c>
      <c r="BM229" s="519">
        <f t="shared" si="243"/>
        <v>0.7034265532</v>
      </c>
      <c r="BN229" s="519">
        <f t="shared" si="243"/>
        <v>0.7055082248</v>
      </c>
      <c r="BO229" s="519">
        <f t="shared" si="243"/>
        <v>0.7039056964</v>
      </c>
      <c r="BP229" s="519">
        <f t="shared" si="243"/>
        <v>0.6932933783</v>
      </c>
      <c r="BQ229" s="519">
        <f t="shared" si="243"/>
        <v>0.6939865273</v>
      </c>
      <c r="BR229" s="519">
        <f t="shared" si="243"/>
        <v>0.6960452565</v>
      </c>
      <c r="BS229" s="519">
        <f t="shared" si="243"/>
        <v>0.691683926</v>
      </c>
      <c r="BT229" s="519">
        <f t="shared" si="243"/>
        <v>0.6807269046</v>
      </c>
      <c r="BU229" s="519">
        <f t="shared" si="243"/>
        <v>0.682797567</v>
      </c>
      <c r="BV229" s="519">
        <f t="shared" si="243"/>
        <v>0.6848160147</v>
      </c>
      <c r="BW229" s="519">
        <f t="shared" si="243"/>
        <v>0.6832796702</v>
      </c>
      <c r="BX229" s="519">
        <f t="shared" si="243"/>
        <v>0.6721121924</v>
      </c>
      <c r="BY229" s="519">
        <f t="shared" si="243"/>
        <v>0.6728383886</v>
      </c>
      <c r="BZ229" s="519">
        <f t="shared" si="243"/>
        <v>0.6745278653</v>
      </c>
      <c r="CA229" s="519">
        <f t="shared" si="243"/>
        <v>0.6728154014</v>
      </c>
      <c r="CB229" s="519">
        <f t="shared" si="243"/>
        <v>0.6618604329</v>
      </c>
      <c r="CC229" s="519">
        <f t="shared" si="243"/>
        <v>0.6623427196</v>
      </c>
      <c r="CD229" s="519">
        <f t="shared" si="243"/>
        <v>0.6640294788</v>
      </c>
      <c r="CE229" s="519">
        <f t="shared" si="243"/>
        <v>0.6623742111</v>
      </c>
      <c r="CF229" s="519">
        <f t="shared" si="243"/>
        <v>0.6510526116</v>
      </c>
      <c r="CG229" s="519">
        <f t="shared" si="243"/>
        <v>0.6527208763</v>
      </c>
      <c r="CH229" s="519">
        <f t="shared" si="243"/>
        <v>0.6543689109</v>
      </c>
      <c r="CI229" s="519">
        <f t="shared" si="243"/>
        <v>0.6527221889</v>
      </c>
      <c r="CL229" s="519">
        <f t="shared" ref="CL229:CQ229" si="244">CL228/CL202</f>
        <v>0.05182105201</v>
      </c>
      <c r="CM229" s="519">
        <f t="shared" si="244"/>
        <v>0.06880994886</v>
      </c>
      <c r="CN229" s="519">
        <f t="shared" si="244"/>
        <v>-0.3426617848</v>
      </c>
      <c r="CO229" s="519">
        <f t="shared" si="244"/>
        <v>-0.1855902311</v>
      </c>
      <c r="CP229" s="519">
        <f t="shared" si="244"/>
        <v>0.2972560634</v>
      </c>
      <c r="CQ229" s="519">
        <f t="shared" si="244"/>
        <v>0.1727785662</v>
      </c>
    </row>
    <row r="230" ht="15.75" customHeight="1">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7"/>
      <c r="AI230" s="117"/>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7"/>
      <c r="BO230" s="117"/>
      <c r="BP230" s="117"/>
      <c r="BQ230" s="117"/>
      <c r="BR230" s="117"/>
      <c r="BS230" s="117"/>
      <c r="BT230" s="117"/>
      <c r="BU230" s="117"/>
      <c r="BV230" s="117"/>
      <c r="BW230" s="117"/>
      <c r="BX230" s="117"/>
      <c r="BY230" s="117"/>
      <c r="BZ230" s="117"/>
      <c r="CA230" s="117"/>
      <c r="CB230" s="117"/>
      <c r="CC230" s="117"/>
      <c r="CD230" s="117"/>
      <c r="CE230" s="117"/>
      <c r="CF230" s="117"/>
      <c r="CG230" s="117"/>
      <c r="CH230" s="117"/>
      <c r="CI230" s="117"/>
    </row>
    <row r="231" ht="15.75" customHeight="1">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7"/>
      <c r="AI231" s="117"/>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7"/>
      <c r="BO231" s="117"/>
      <c r="BP231" s="117"/>
      <c r="BQ231" s="117"/>
      <c r="BR231" s="117"/>
      <c r="BS231" s="117"/>
      <c r="BT231" s="117"/>
      <c r="BU231" s="117"/>
      <c r="BV231" s="117"/>
      <c r="BW231" s="117"/>
      <c r="BX231" s="117"/>
      <c r="BY231" s="117"/>
      <c r="BZ231" s="117"/>
      <c r="CA231" s="117"/>
      <c r="CB231" s="117"/>
      <c r="CC231" s="117"/>
      <c r="CD231" s="117"/>
      <c r="CE231" s="117"/>
      <c r="CF231" s="117"/>
      <c r="CG231" s="117"/>
      <c r="CH231" s="117"/>
      <c r="CI231" s="117"/>
    </row>
    <row r="232" ht="15.75" customHeight="1">
      <c r="C232" s="115" t="s">
        <v>415</v>
      </c>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7"/>
      <c r="AI232" s="117"/>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7"/>
      <c r="BO232" s="117"/>
      <c r="BP232" s="117"/>
      <c r="BQ232" s="117"/>
      <c r="BR232" s="117"/>
      <c r="BS232" s="117"/>
      <c r="BT232" s="117"/>
      <c r="BU232" s="117"/>
      <c r="BV232" s="117"/>
      <c r="BW232" s="117"/>
      <c r="BX232" s="117"/>
      <c r="BY232" s="117"/>
      <c r="BZ232" s="117"/>
      <c r="CA232" s="117"/>
      <c r="CB232" s="117"/>
      <c r="CC232" s="117"/>
      <c r="CD232" s="117"/>
      <c r="CE232" s="117"/>
      <c r="CF232" s="117"/>
      <c r="CG232" s="117"/>
      <c r="CH232" s="117"/>
      <c r="CI232" s="117"/>
    </row>
    <row r="233" ht="15.75" customHeight="1">
      <c r="A233" s="1" t="s">
        <v>415</v>
      </c>
      <c r="B233" s="91" t="s">
        <v>63</v>
      </c>
      <c r="C233" s="132" t="s">
        <v>206</v>
      </c>
      <c r="D233" s="117">
        <f t="shared" ref="D233:CI233" si="245">D269-SUM(D205,D173,D107,D75,D43,D11)</f>
        <v>-13496</v>
      </c>
      <c r="E233" s="117">
        <f t="shared" si="245"/>
        <v>-11019</v>
      </c>
      <c r="F233" s="117">
        <f t="shared" si="245"/>
        <v>-9693</v>
      </c>
      <c r="G233" s="117">
        <f t="shared" si="245"/>
        <v>-15673</v>
      </c>
      <c r="H233" s="117">
        <f t="shared" si="245"/>
        <v>-11663</v>
      </c>
      <c r="I233" s="117">
        <f t="shared" si="245"/>
        <v>-9729</v>
      </c>
      <c r="J233" s="117">
        <f t="shared" si="245"/>
        <v>-10476</v>
      </c>
      <c r="K233" s="117">
        <f t="shared" si="245"/>
        <v>-12294</v>
      </c>
      <c r="L233" s="117">
        <f t="shared" si="245"/>
        <v>-18070</v>
      </c>
      <c r="M233" s="117">
        <f t="shared" si="245"/>
        <v>-12099</v>
      </c>
      <c r="N233" s="117">
        <f t="shared" si="245"/>
        <v>-14246</v>
      </c>
      <c r="O233" s="117">
        <f t="shared" si="245"/>
        <v>-12741</v>
      </c>
      <c r="P233" s="117">
        <f t="shared" si="245"/>
        <v>-10847</v>
      </c>
      <c r="Q233" s="117">
        <f t="shared" si="245"/>
        <v>-9693</v>
      </c>
      <c r="R233" s="117">
        <f t="shared" si="245"/>
        <v>-14442</v>
      </c>
      <c r="S233" s="117">
        <f t="shared" si="245"/>
        <v>-6156</v>
      </c>
      <c r="T233" s="117">
        <f t="shared" si="245"/>
        <v>-19579</v>
      </c>
      <c r="U233" s="117">
        <f t="shared" si="245"/>
        <v>-14778</v>
      </c>
      <c r="V233" s="117">
        <f t="shared" si="245"/>
        <v>-11622</v>
      </c>
      <c r="W233" s="117">
        <f t="shared" si="245"/>
        <v>-10730</v>
      </c>
      <c r="X233" s="117">
        <f t="shared" si="245"/>
        <v>-12845</v>
      </c>
      <c r="Y233" s="117">
        <f t="shared" si="245"/>
        <v>-13783</v>
      </c>
      <c r="Z233" s="117">
        <f t="shared" si="245"/>
        <v>-13497</v>
      </c>
      <c r="AA233" s="117">
        <f t="shared" si="245"/>
        <v>-3497</v>
      </c>
      <c r="AB233" s="117">
        <f t="shared" si="245"/>
        <v>-55654.365</v>
      </c>
      <c r="AC233" s="117">
        <f t="shared" si="245"/>
        <v>-55654.365</v>
      </c>
      <c r="AD233" s="117">
        <f t="shared" si="245"/>
        <v>-55654.365</v>
      </c>
      <c r="AE233" s="117">
        <f t="shared" si="245"/>
        <v>-55654.365</v>
      </c>
      <c r="AF233" s="117">
        <f t="shared" si="245"/>
        <v>-58158.81143</v>
      </c>
      <c r="AG233" s="117">
        <f t="shared" si="245"/>
        <v>-58158.81143</v>
      </c>
      <c r="AH233" s="117">
        <f t="shared" si="245"/>
        <v>-58158.81143</v>
      </c>
      <c r="AI233" s="117">
        <f t="shared" si="245"/>
        <v>-58158.81143</v>
      </c>
      <c r="AJ233" s="117">
        <f t="shared" si="245"/>
        <v>-60775.95794</v>
      </c>
      <c r="AK233" s="117">
        <f t="shared" si="245"/>
        <v>-53842.27794</v>
      </c>
      <c r="AL233" s="117">
        <f t="shared" si="245"/>
        <v>-53842.27794</v>
      </c>
      <c r="AM233" s="117">
        <f t="shared" si="245"/>
        <v>-53842.27794</v>
      </c>
      <c r="AN233" s="117">
        <f t="shared" si="245"/>
        <v>-55995.96906</v>
      </c>
      <c r="AO233" s="117">
        <f t="shared" si="245"/>
        <v>-55995.96906</v>
      </c>
      <c r="AP233" s="117">
        <f t="shared" si="245"/>
        <v>-55995.96906</v>
      </c>
      <c r="AQ233" s="117">
        <f t="shared" si="245"/>
        <v>-55995.96906</v>
      </c>
      <c r="AR233" s="117">
        <f t="shared" si="245"/>
        <v>-58235.80782</v>
      </c>
      <c r="AS233" s="117">
        <f t="shared" si="245"/>
        <v>-58235.80782</v>
      </c>
      <c r="AT233" s="117">
        <f t="shared" si="245"/>
        <v>-58235.80782</v>
      </c>
      <c r="AU233" s="117">
        <f t="shared" si="245"/>
        <v>-58235.80782</v>
      </c>
      <c r="AV233" s="117">
        <f t="shared" si="245"/>
        <v>-60565.24013</v>
      </c>
      <c r="AW233" s="117">
        <f t="shared" si="245"/>
        <v>-60565.24013</v>
      </c>
      <c r="AX233" s="117">
        <f t="shared" si="245"/>
        <v>-60565.24013</v>
      </c>
      <c r="AY233" s="117">
        <f t="shared" si="245"/>
        <v>-60565.24013</v>
      </c>
      <c r="AZ233" s="117">
        <f t="shared" si="245"/>
        <v>-62987.84974</v>
      </c>
      <c r="BA233" s="117">
        <f t="shared" si="245"/>
        <v>-62987.84974</v>
      </c>
      <c r="BB233" s="117">
        <f t="shared" si="245"/>
        <v>-62987.84974</v>
      </c>
      <c r="BC233" s="117">
        <f t="shared" si="245"/>
        <v>-55188.40272</v>
      </c>
      <c r="BD233" s="117">
        <f t="shared" si="245"/>
        <v>-57395.93883</v>
      </c>
      <c r="BE233" s="117">
        <f t="shared" si="245"/>
        <v>-57395.93883</v>
      </c>
      <c r="BF233" s="117">
        <f t="shared" si="245"/>
        <v>-57395.93883</v>
      </c>
      <c r="BG233" s="117">
        <f t="shared" si="245"/>
        <v>-57395.93883</v>
      </c>
      <c r="BH233" s="117">
        <f t="shared" si="245"/>
        <v>-59691.77638</v>
      </c>
      <c r="BI233" s="117">
        <f t="shared" si="245"/>
        <v>-59691.77638</v>
      </c>
      <c r="BJ233" s="117">
        <f t="shared" si="245"/>
        <v>-59691.77638</v>
      </c>
      <c r="BK233" s="117">
        <f t="shared" si="245"/>
        <v>-59691.77638</v>
      </c>
      <c r="BL233" s="117">
        <f t="shared" si="245"/>
        <v>-62079.44743</v>
      </c>
      <c r="BM233" s="117">
        <f t="shared" si="245"/>
        <v>-62079.44743</v>
      </c>
      <c r="BN233" s="117">
        <f t="shared" si="245"/>
        <v>-62079.44743</v>
      </c>
      <c r="BO233" s="117">
        <f t="shared" si="245"/>
        <v>-53643.56554</v>
      </c>
      <c r="BP233" s="117">
        <f t="shared" si="245"/>
        <v>-55789.30816</v>
      </c>
      <c r="BQ233" s="117">
        <f t="shared" si="245"/>
        <v>-55789.30816</v>
      </c>
      <c r="BR233" s="117">
        <f t="shared" si="245"/>
        <v>-55789.30816</v>
      </c>
      <c r="BS233" s="117">
        <f t="shared" si="245"/>
        <v>-55789.30816</v>
      </c>
      <c r="BT233" s="117">
        <f t="shared" si="245"/>
        <v>-58020.88049</v>
      </c>
      <c r="BU233" s="117">
        <f t="shared" si="245"/>
        <v>-58020.88049</v>
      </c>
      <c r="BV233" s="117">
        <f t="shared" si="245"/>
        <v>-58020.88049</v>
      </c>
      <c r="BW233" s="117">
        <f t="shared" si="245"/>
        <v>-58020.88049</v>
      </c>
      <c r="BX233" s="117">
        <f t="shared" si="245"/>
        <v>-60341.71571</v>
      </c>
      <c r="BY233" s="117">
        <f t="shared" si="245"/>
        <v>-60341.71571</v>
      </c>
      <c r="BZ233" s="117">
        <f t="shared" si="245"/>
        <v>-60341.71571</v>
      </c>
      <c r="CA233" s="117">
        <f t="shared" si="245"/>
        <v>-60341.71571</v>
      </c>
      <c r="CB233" s="117">
        <f t="shared" si="245"/>
        <v>-62755.38433</v>
      </c>
      <c r="CC233" s="117">
        <f t="shared" si="245"/>
        <v>-62755.38433</v>
      </c>
      <c r="CD233" s="117">
        <f t="shared" si="245"/>
        <v>-62755.38433</v>
      </c>
      <c r="CE233" s="117">
        <f t="shared" si="245"/>
        <v>-62755.38433</v>
      </c>
      <c r="CF233" s="117">
        <f t="shared" si="245"/>
        <v>-65265.59971</v>
      </c>
      <c r="CG233" s="117">
        <f t="shared" si="245"/>
        <v>-65265.59971</v>
      </c>
      <c r="CH233" s="117">
        <f t="shared" si="245"/>
        <v>-65265.59971</v>
      </c>
      <c r="CI233" s="117">
        <f t="shared" si="245"/>
        <v>-65265.59971</v>
      </c>
      <c r="CL233" s="117">
        <f t="shared" ref="CL233:CL242" si="247">SUM(D233:G233)</f>
        <v>-49881</v>
      </c>
      <c r="CM233" s="117">
        <f t="shared" ref="CM233:CM242" si="248">SUM(H233:K233)</f>
        <v>-44162</v>
      </c>
      <c r="CN233" s="117">
        <f t="shared" ref="CN233:CN242" si="249">SUM(L233:O233)</f>
        <v>-57156</v>
      </c>
      <c r="CO233" s="117">
        <f t="shared" ref="CO233:CO242" si="250">SUM(P233:S233)</f>
        <v>-41138</v>
      </c>
      <c r="CP233" s="117">
        <f t="shared" ref="CP233:CP242" si="251">SUM(T233:W233)</f>
        <v>-56709</v>
      </c>
      <c r="CQ233" s="117">
        <f t="shared" ref="CQ233:CQ242" si="252">SUM(X233:AA233)</f>
        <v>-43622</v>
      </c>
    </row>
    <row r="234" ht="15.75" customHeight="1">
      <c r="A234" s="1" t="s">
        <v>415</v>
      </c>
      <c r="B234" s="91" t="s">
        <v>63</v>
      </c>
      <c r="C234" s="132" t="s">
        <v>207</v>
      </c>
      <c r="D234" s="117">
        <f t="shared" ref="D234:CI234" si="246">D270-SUM(D206,D174,D108,D76,D44,D12)</f>
        <v>-16475</v>
      </c>
      <c r="E234" s="117">
        <f t="shared" si="246"/>
        <v>-12658</v>
      </c>
      <c r="F234" s="117">
        <f t="shared" si="246"/>
        <v>-11780</v>
      </c>
      <c r="G234" s="117">
        <f t="shared" si="246"/>
        <v>-11878</v>
      </c>
      <c r="H234" s="117">
        <f t="shared" si="246"/>
        <v>-9274</v>
      </c>
      <c r="I234" s="117">
        <f t="shared" si="246"/>
        <v>-8418</v>
      </c>
      <c r="J234" s="117">
        <f t="shared" si="246"/>
        <v>-6532</v>
      </c>
      <c r="K234" s="117">
        <f t="shared" si="246"/>
        <v>-14974</v>
      </c>
      <c r="L234" s="117">
        <f t="shared" si="246"/>
        <v>-17981</v>
      </c>
      <c r="M234" s="117">
        <f t="shared" si="246"/>
        <v>-10627</v>
      </c>
      <c r="N234" s="117">
        <f t="shared" si="246"/>
        <v>-14794</v>
      </c>
      <c r="O234" s="117">
        <f t="shared" si="246"/>
        <v>-13769</v>
      </c>
      <c r="P234" s="117">
        <f t="shared" si="246"/>
        <v>-20198</v>
      </c>
      <c r="Q234" s="117">
        <f t="shared" si="246"/>
        <v>-14274</v>
      </c>
      <c r="R234" s="117">
        <f t="shared" si="246"/>
        <v>-11654</v>
      </c>
      <c r="S234" s="117">
        <f t="shared" si="246"/>
        <v>-10576</v>
      </c>
      <c r="T234" s="117">
        <f t="shared" si="246"/>
        <v>-16998</v>
      </c>
      <c r="U234" s="117">
        <f t="shared" si="246"/>
        <v>-14477</v>
      </c>
      <c r="V234" s="117">
        <f t="shared" si="246"/>
        <v>-10517</v>
      </c>
      <c r="W234" s="133">
        <f t="shared" si="246"/>
        <v>-13353</v>
      </c>
      <c r="X234" s="133">
        <f t="shared" si="246"/>
        <v>-10431</v>
      </c>
      <c r="Y234" s="117">
        <f t="shared" si="246"/>
        <v>-13499</v>
      </c>
      <c r="Z234" s="117">
        <f t="shared" si="246"/>
        <v>-19335</v>
      </c>
      <c r="AA234" s="117">
        <f t="shared" si="246"/>
        <v>-5000</v>
      </c>
      <c r="AB234" s="117">
        <f t="shared" si="246"/>
        <v>-5000</v>
      </c>
      <c r="AC234" s="117">
        <f t="shared" si="246"/>
        <v>-5000</v>
      </c>
      <c r="AD234" s="117">
        <f t="shared" si="246"/>
        <v>-5000</v>
      </c>
      <c r="AE234" s="117">
        <f t="shared" si="246"/>
        <v>-5000</v>
      </c>
      <c r="AF234" s="117">
        <f t="shared" si="246"/>
        <v>-5000</v>
      </c>
      <c r="AG234" s="117">
        <f t="shared" si="246"/>
        <v>-5000</v>
      </c>
      <c r="AH234" s="117">
        <f t="shared" si="246"/>
        <v>-5000</v>
      </c>
      <c r="AI234" s="117">
        <f t="shared" si="246"/>
        <v>-5000</v>
      </c>
      <c r="AJ234" s="117">
        <f t="shared" si="246"/>
        <v>-10000</v>
      </c>
      <c r="AK234" s="117">
        <f t="shared" si="246"/>
        <v>-10000</v>
      </c>
      <c r="AL234" s="117">
        <f t="shared" si="246"/>
        <v>-10000</v>
      </c>
      <c r="AM234" s="117">
        <f t="shared" si="246"/>
        <v>-10000</v>
      </c>
      <c r="AN234" s="117">
        <f t="shared" si="246"/>
        <v>-10000</v>
      </c>
      <c r="AO234" s="117">
        <f t="shared" si="246"/>
        <v>-10000</v>
      </c>
      <c r="AP234" s="117">
        <f t="shared" si="246"/>
        <v>-10000</v>
      </c>
      <c r="AQ234" s="117">
        <f t="shared" si="246"/>
        <v>-10000</v>
      </c>
      <c r="AR234" s="117">
        <f t="shared" si="246"/>
        <v>-15000</v>
      </c>
      <c r="AS234" s="117">
        <f t="shared" si="246"/>
        <v>-15000</v>
      </c>
      <c r="AT234" s="117">
        <f t="shared" si="246"/>
        <v>-15000</v>
      </c>
      <c r="AU234" s="117">
        <f t="shared" si="246"/>
        <v>-15000</v>
      </c>
      <c r="AV234" s="117">
        <f t="shared" si="246"/>
        <v>-15000</v>
      </c>
      <c r="AW234" s="117">
        <f t="shared" si="246"/>
        <v>-15000</v>
      </c>
      <c r="AX234" s="117">
        <f t="shared" si="246"/>
        <v>-15000</v>
      </c>
      <c r="AY234" s="117">
        <f t="shared" si="246"/>
        <v>-15000</v>
      </c>
      <c r="AZ234" s="117">
        <f t="shared" si="246"/>
        <v>-15000</v>
      </c>
      <c r="BA234" s="117">
        <f t="shared" si="246"/>
        <v>-15000</v>
      </c>
      <c r="BB234" s="117">
        <f t="shared" si="246"/>
        <v>-15000</v>
      </c>
      <c r="BC234" s="117">
        <f t="shared" si="246"/>
        <v>-15000</v>
      </c>
      <c r="BD234" s="117">
        <f t="shared" si="246"/>
        <v>-15000</v>
      </c>
      <c r="BE234" s="117">
        <f t="shared" si="246"/>
        <v>-15000</v>
      </c>
      <c r="BF234" s="117">
        <f t="shared" si="246"/>
        <v>-15000</v>
      </c>
      <c r="BG234" s="117">
        <f t="shared" si="246"/>
        <v>-15000</v>
      </c>
      <c r="BH234" s="117">
        <f t="shared" si="246"/>
        <v>-15000</v>
      </c>
      <c r="BI234" s="117">
        <f t="shared" si="246"/>
        <v>-15000</v>
      </c>
      <c r="BJ234" s="117">
        <f t="shared" si="246"/>
        <v>-15000</v>
      </c>
      <c r="BK234" s="117">
        <f t="shared" si="246"/>
        <v>-15000</v>
      </c>
      <c r="BL234" s="117">
        <f t="shared" si="246"/>
        <v>-15000</v>
      </c>
      <c r="BM234" s="117">
        <f t="shared" si="246"/>
        <v>-15000</v>
      </c>
      <c r="BN234" s="117">
        <f t="shared" si="246"/>
        <v>-15000</v>
      </c>
      <c r="BO234" s="117">
        <f t="shared" si="246"/>
        <v>-15000</v>
      </c>
      <c r="BP234" s="117">
        <f t="shared" si="246"/>
        <v>-15000</v>
      </c>
      <c r="BQ234" s="117">
        <f t="shared" si="246"/>
        <v>-15000</v>
      </c>
      <c r="BR234" s="117">
        <f t="shared" si="246"/>
        <v>-15000</v>
      </c>
      <c r="BS234" s="117">
        <f t="shared" si="246"/>
        <v>-15000</v>
      </c>
      <c r="BT234" s="117">
        <f t="shared" si="246"/>
        <v>-15000</v>
      </c>
      <c r="BU234" s="117">
        <f t="shared" si="246"/>
        <v>-15000</v>
      </c>
      <c r="BV234" s="117">
        <f t="shared" si="246"/>
        <v>-15000</v>
      </c>
      <c r="BW234" s="117">
        <f t="shared" si="246"/>
        <v>-15000</v>
      </c>
      <c r="BX234" s="117">
        <f t="shared" si="246"/>
        <v>-15000</v>
      </c>
      <c r="BY234" s="117">
        <f t="shared" si="246"/>
        <v>-15000</v>
      </c>
      <c r="BZ234" s="117">
        <f t="shared" si="246"/>
        <v>-15000</v>
      </c>
      <c r="CA234" s="117">
        <f t="shared" si="246"/>
        <v>-15000</v>
      </c>
      <c r="CB234" s="117">
        <f t="shared" si="246"/>
        <v>-15000</v>
      </c>
      <c r="CC234" s="117">
        <f t="shared" si="246"/>
        <v>-15000</v>
      </c>
      <c r="CD234" s="117">
        <f t="shared" si="246"/>
        <v>-15000</v>
      </c>
      <c r="CE234" s="117">
        <f t="shared" si="246"/>
        <v>-15000</v>
      </c>
      <c r="CF234" s="117">
        <f t="shared" si="246"/>
        <v>-15000</v>
      </c>
      <c r="CG234" s="117">
        <f t="shared" si="246"/>
        <v>-15000</v>
      </c>
      <c r="CH234" s="117">
        <f t="shared" si="246"/>
        <v>-15000</v>
      </c>
      <c r="CI234" s="117">
        <f t="shared" si="246"/>
        <v>-15000</v>
      </c>
      <c r="CL234" s="117">
        <f t="shared" si="247"/>
        <v>-52791</v>
      </c>
      <c r="CM234" s="117">
        <f t="shared" si="248"/>
        <v>-39198</v>
      </c>
      <c r="CN234" s="117">
        <f t="shared" si="249"/>
        <v>-57171</v>
      </c>
      <c r="CO234" s="117">
        <f t="shared" si="250"/>
        <v>-56702</v>
      </c>
      <c r="CP234" s="117">
        <f t="shared" si="251"/>
        <v>-55345</v>
      </c>
      <c r="CQ234" s="117">
        <f t="shared" si="252"/>
        <v>-48265</v>
      </c>
    </row>
    <row r="235" ht="15.75" customHeight="1">
      <c r="B235" s="91"/>
      <c r="C235" s="132" t="s">
        <v>208</v>
      </c>
      <c r="D235" s="514">
        <f t="shared" ref="D235:V235" si="253">(D233)+(D234)</f>
        <v>-29971</v>
      </c>
      <c r="E235" s="514">
        <f t="shared" si="253"/>
        <v>-23677</v>
      </c>
      <c r="F235" s="514">
        <f t="shared" si="253"/>
        <v>-21473</v>
      </c>
      <c r="G235" s="514">
        <f t="shared" si="253"/>
        <v>-27551</v>
      </c>
      <c r="H235" s="514">
        <f t="shared" si="253"/>
        <v>-20937</v>
      </c>
      <c r="I235" s="514">
        <f t="shared" si="253"/>
        <v>-18147</v>
      </c>
      <c r="J235" s="514">
        <f t="shared" si="253"/>
        <v>-17008</v>
      </c>
      <c r="K235" s="514">
        <f t="shared" si="253"/>
        <v>-27268</v>
      </c>
      <c r="L235" s="514">
        <f t="shared" si="253"/>
        <v>-36051</v>
      </c>
      <c r="M235" s="514">
        <f t="shared" si="253"/>
        <v>-22726</v>
      </c>
      <c r="N235" s="514">
        <f t="shared" si="253"/>
        <v>-29040</v>
      </c>
      <c r="O235" s="514">
        <f t="shared" si="253"/>
        <v>-26510</v>
      </c>
      <c r="P235" s="514">
        <f t="shared" si="253"/>
        <v>-31045</v>
      </c>
      <c r="Q235" s="514">
        <f t="shared" si="253"/>
        <v>-23967</v>
      </c>
      <c r="R235" s="514">
        <f t="shared" si="253"/>
        <v>-26096</v>
      </c>
      <c r="S235" s="514">
        <f t="shared" si="253"/>
        <v>-16732</v>
      </c>
      <c r="T235" s="514">
        <f t="shared" si="253"/>
        <v>-36577</v>
      </c>
      <c r="U235" s="514">
        <f t="shared" si="253"/>
        <v>-29255</v>
      </c>
      <c r="V235" s="514">
        <f t="shared" si="253"/>
        <v>-22139</v>
      </c>
      <c r="W235" s="117">
        <f t="shared" ref="W235:X235" si="254">W271-SUM(W207,W175,W109,W77,W45,W13)</f>
        <v>-24083</v>
      </c>
      <c r="X235" s="117">
        <f t="shared" si="254"/>
        <v>-23276</v>
      </c>
      <c r="Y235" s="514">
        <f t="shared" ref="Y235:CI235" si="255">(Y233)+(Y234)</f>
        <v>-27282</v>
      </c>
      <c r="Z235" s="514">
        <f t="shared" si="255"/>
        <v>-32832</v>
      </c>
      <c r="AA235" s="514">
        <f t="shared" si="255"/>
        <v>-8497</v>
      </c>
      <c r="AB235" s="514">
        <f t="shared" si="255"/>
        <v>-60654.365</v>
      </c>
      <c r="AC235" s="514">
        <f t="shared" si="255"/>
        <v>-60654.365</v>
      </c>
      <c r="AD235" s="514">
        <f t="shared" si="255"/>
        <v>-60654.365</v>
      </c>
      <c r="AE235" s="514">
        <f t="shared" si="255"/>
        <v>-60654.365</v>
      </c>
      <c r="AF235" s="514">
        <f t="shared" si="255"/>
        <v>-63158.81143</v>
      </c>
      <c r="AG235" s="514">
        <f t="shared" si="255"/>
        <v>-63158.81143</v>
      </c>
      <c r="AH235" s="514">
        <f t="shared" si="255"/>
        <v>-63158.81143</v>
      </c>
      <c r="AI235" s="514">
        <f t="shared" si="255"/>
        <v>-63158.81143</v>
      </c>
      <c r="AJ235" s="514">
        <f t="shared" si="255"/>
        <v>-70775.95794</v>
      </c>
      <c r="AK235" s="514">
        <f t="shared" si="255"/>
        <v>-63842.27794</v>
      </c>
      <c r="AL235" s="514">
        <f t="shared" si="255"/>
        <v>-63842.27794</v>
      </c>
      <c r="AM235" s="514">
        <f t="shared" si="255"/>
        <v>-63842.27794</v>
      </c>
      <c r="AN235" s="514">
        <f t="shared" si="255"/>
        <v>-65995.96906</v>
      </c>
      <c r="AO235" s="514">
        <f t="shared" si="255"/>
        <v>-65995.96906</v>
      </c>
      <c r="AP235" s="514">
        <f t="shared" si="255"/>
        <v>-65995.96906</v>
      </c>
      <c r="AQ235" s="514">
        <f t="shared" si="255"/>
        <v>-65995.96906</v>
      </c>
      <c r="AR235" s="514">
        <f t="shared" si="255"/>
        <v>-73235.80782</v>
      </c>
      <c r="AS235" s="514">
        <f t="shared" si="255"/>
        <v>-73235.80782</v>
      </c>
      <c r="AT235" s="514">
        <f t="shared" si="255"/>
        <v>-73235.80782</v>
      </c>
      <c r="AU235" s="514">
        <f t="shared" si="255"/>
        <v>-73235.80782</v>
      </c>
      <c r="AV235" s="514">
        <f t="shared" si="255"/>
        <v>-75565.24013</v>
      </c>
      <c r="AW235" s="514">
        <f t="shared" si="255"/>
        <v>-75565.24013</v>
      </c>
      <c r="AX235" s="514">
        <f t="shared" si="255"/>
        <v>-75565.24013</v>
      </c>
      <c r="AY235" s="514">
        <f t="shared" si="255"/>
        <v>-75565.24013</v>
      </c>
      <c r="AZ235" s="514">
        <f t="shared" si="255"/>
        <v>-77987.84974</v>
      </c>
      <c r="BA235" s="514">
        <f t="shared" si="255"/>
        <v>-77987.84974</v>
      </c>
      <c r="BB235" s="514">
        <f t="shared" si="255"/>
        <v>-77987.84974</v>
      </c>
      <c r="BC235" s="514">
        <f t="shared" si="255"/>
        <v>-70188.40272</v>
      </c>
      <c r="BD235" s="514">
        <f t="shared" si="255"/>
        <v>-72395.93883</v>
      </c>
      <c r="BE235" s="514">
        <f t="shared" si="255"/>
        <v>-72395.93883</v>
      </c>
      <c r="BF235" s="514">
        <f t="shared" si="255"/>
        <v>-72395.93883</v>
      </c>
      <c r="BG235" s="514">
        <f t="shared" si="255"/>
        <v>-72395.93883</v>
      </c>
      <c r="BH235" s="514">
        <f t="shared" si="255"/>
        <v>-74691.77638</v>
      </c>
      <c r="BI235" s="514">
        <f t="shared" si="255"/>
        <v>-74691.77638</v>
      </c>
      <c r="BJ235" s="514">
        <f t="shared" si="255"/>
        <v>-74691.77638</v>
      </c>
      <c r="BK235" s="514">
        <f t="shared" si="255"/>
        <v>-74691.77638</v>
      </c>
      <c r="BL235" s="514">
        <f t="shared" si="255"/>
        <v>-77079.44743</v>
      </c>
      <c r="BM235" s="514">
        <f t="shared" si="255"/>
        <v>-77079.44743</v>
      </c>
      <c r="BN235" s="514">
        <f t="shared" si="255"/>
        <v>-77079.44743</v>
      </c>
      <c r="BO235" s="514">
        <f t="shared" si="255"/>
        <v>-68643.56554</v>
      </c>
      <c r="BP235" s="514">
        <f t="shared" si="255"/>
        <v>-70789.30816</v>
      </c>
      <c r="BQ235" s="514">
        <f t="shared" si="255"/>
        <v>-70789.30816</v>
      </c>
      <c r="BR235" s="514">
        <f t="shared" si="255"/>
        <v>-70789.30816</v>
      </c>
      <c r="BS235" s="514">
        <f t="shared" si="255"/>
        <v>-70789.30816</v>
      </c>
      <c r="BT235" s="514">
        <f t="shared" si="255"/>
        <v>-73020.88049</v>
      </c>
      <c r="BU235" s="514">
        <f t="shared" si="255"/>
        <v>-73020.88049</v>
      </c>
      <c r="BV235" s="514">
        <f t="shared" si="255"/>
        <v>-73020.88049</v>
      </c>
      <c r="BW235" s="514">
        <f t="shared" si="255"/>
        <v>-73020.88049</v>
      </c>
      <c r="BX235" s="514">
        <f t="shared" si="255"/>
        <v>-75341.71571</v>
      </c>
      <c r="BY235" s="514">
        <f t="shared" si="255"/>
        <v>-75341.71571</v>
      </c>
      <c r="BZ235" s="514">
        <f t="shared" si="255"/>
        <v>-75341.71571</v>
      </c>
      <c r="CA235" s="514">
        <f t="shared" si="255"/>
        <v>-75341.71571</v>
      </c>
      <c r="CB235" s="514">
        <f t="shared" si="255"/>
        <v>-77755.38433</v>
      </c>
      <c r="CC235" s="514">
        <f t="shared" si="255"/>
        <v>-77755.38433</v>
      </c>
      <c r="CD235" s="514">
        <f t="shared" si="255"/>
        <v>-77755.38433</v>
      </c>
      <c r="CE235" s="514">
        <f t="shared" si="255"/>
        <v>-77755.38433</v>
      </c>
      <c r="CF235" s="514">
        <f t="shared" si="255"/>
        <v>-80265.59971</v>
      </c>
      <c r="CG235" s="514">
        <f t="shared" si="255"/>
        <v>-80265.59971</v>
      </c>
      <c r="CH235" s="514">
        <f t="shared" si="255"/>
        <v>-80265.59971</v>
      </c>
      <c r="CI235" s="514">
        <f t="shared" si="255"/>
        <v>-80265.59971</v>
      </c>
      <c r="CL235" s="514">
        <f t="shared" si="247"/>
        <v>-102672</v>
      </c>
      <c r="CM235" s="514">
        <f t="shared" si="248"/>
        <v>-83360</v>
      </c>
      <c r="CN235" s="514">
        <f t="shared" si="249"/>
        <v>-114327</v>
      </c>
      <c r="CO235" s="514">
        <f t="shared" si="250"/>
        <v>-97840</v>
      </c>
      <c r="CP235" s="514">
        <f t="shared" si="251"/>
        <v>-112054</v>
      </c>
      <c r="CQ235" s="514">
        <f t="shared" si="252"/>
        <v>-91887</v>
      </c>
    </row>
    <row r="236" ht="15.75" customHeight="1">
      <c r="A236" s="1" t="s">
        <v>415</v>
      </c>
      <c r="B236" s="91" t="s">
        <v>63</v>
      </c>
      <c r="C236" s="132" t="s">
        <v>209</v>
      </c>
      <c r="D236" s="117">
        <f t="shared" ref="D236:CI236" si="256">D272-SUM(D208,D176,D110,D78,D46,D14)</f>
        <v>-10443</v>
      </c>
      <c r="E236" s="117">
        <f t="shared" si="256"/>
        <v>-14793</v>
      </c>
      <c r="F236" s="117">
        <f t="shared" si="256"/>
        <v>-20222</v>
      </c>
      <c r="G236" s="117">
        <f t="shared" si="256"/>
        <v>-15858</v>
      </c>
      <c r="H236" s="117">
        <f t="shared" si="256"/>
        <v>-11153</v>
      </c>
      <c r="I236" s="117">
        <f t="shared" si="256"/>
        <v>-11459</v>
      </c>
      <c r="J236" s="117">
        <f t="shared" si="256"/>
        <v>-6464</v>
      </c>
      <c r="K236" s="117">
        <f t="shared" si="256"/>
        <v>-13418</v>
      </c>
      <c r="L236" s="117">
        <f t="shared" si="256"/>
        <v>-6708</v>
      </c>
      <c r="M236" s="117">
        <f t="shared" si="256"/>
        <v>-5504</v>
      </c>
      <c r="N236" s="117">
        <f t="shared" si="256"/>
        <v>-12717</v>
      </c>
      <c r="O236" s="117">
        <f t="shared" si="256"/>
        <v>-13807</v>
      </c>
      <c r="P236" s="117">
        <f t="shared" si="256"/>
        <v>-11934</v>
      </c>
      <c r="Q236" s="117">
        <f t="shared" si="256"/>
        <v>-10151</v>
      </c>
      <c r="R236" s="117">
        <f t="shared" si="256"/>
        <v>-10984</v>
      </c>
      <c r="S236" s="117">
        <f t="shared" si="256"/>
        <v>-10311</v>
      </c>
      <c r="T236" s="117">
        <f t="shared" si="256"/>
        <v>-15613</v>
      </c>
      <c r="U236" s="117">
        <f t="shared" si="256"/>
        <v>-11781</v>
      </c>
      <c r="V236" s="117">
        <f t="shared" si="256"/>
        <v>-15323</v>
      </c>
      <c r="W236" s="117">
        <f t="shared" si="256"/>
        <v>-12840</v>
      </c>
      <c r="X236" s="117">
        <f t="shared" si="256"/>
        <v>-13938</v>
      </c>
      <c r="Y236" s="117">
        <f t="shared" si="256"/>
        <v>-7156</v>
      </c>
      <c r="Z236" s="117">
        <f t="shared" si="256"/>
        <v>-16325</v>
      </c>
      <c r="AA236" s="117">
        <f t="shared" si="256"/>
        <v>-4849.7</v>
      </c>
      <c r="AB236" s="117">
        <f t="shared" si="256"/>
        <v>-10565.4365</v>
      </c>
      <c r="AC236" s="117">
        <f t="shared" si="256"/>
        <v>-10565.4365</v>
      </c>
      <c r="AD236" s="117">
        <f t="shared" si="256"/>
        <v>-10565.4365</v>
      </c>
      <c r="AE236" s="117">
        <f t="shared" si="256"/>
        <v>-10565.4365</v>
      </c>
      <c r="AF236" s="117">
        <f t="shared" si="256"/>
        <v>-10815.88114</v>
      </c>
      <c r="AG236" s="117">
        <f t="shared" si="256"/>
        <v>-10815.88114</v>
      </c>
      <c r="AH236" s="117">
        <f t="shared" si="256"/>
        <v>-12315.88114</v>
      </c>
      <c r="AI236" s="117">
        <f t="shared" si="256"/>
        <v>-12315.88114</v>
      </c>
      <c r="AJ236" s="117">
        <f t="shared" si="256"/>
        <v>-13077.59579</v>
      </c>
      <c r="AK236" s="117">
        <f t="shared" si="256"/>
        <v>-12384.22779</v>
      </c>
      <c r="AL236" s="117">
        <f t="shared" si="256"/>
        <v>-12384.22779</v>
      </c>
      <c r="AM236" s="117">
        <f t="shared" si="256"/>
        <v>-12384.22779</v>
      </c>
      <c r="AN236" s="117">
        <f t="shared" si="256"/>
        <v>-14599.59691</v>
      </c>
      <c r="AO236" s="117">
        <f t="shared" si="256"/>
        <v>-14599.59691</v>
      </c>
      <c r="AP236" s="117">
        <f t="shared" si="256"/>
        <v>-14599.59691</v>
      </c>
      <c r="AQ236" s="117">
        <f t="shared" si="256"/>
        <v>-14599.59691</v>
      </c>
      <c r="AR236" s="117">
        <f t="shared" si="256"/>
        <v>-15323.58078</v>
      </c>
      <c r="AS236" s="117">
        <f t="shared" si="256"/>
        <v>-15323.58078</v>
      </c>
      <c r="AT236" s="117">
        <f t="shared" si="256"/>
        <v>-17323.58078</v>
      </c>
      <c r="AU236" s="117">
        <f t="shared" si="256"/>
        <v>-17323.58078</v>
      </c>
      <c r="AV236" s="117">
        <f t="shared" si="256"/>
        <v>-17556.52401</v>
      </c>
      <c r="AW236" s="117">
        <f t="shared" si="256"/>
        <v>-17556.52401</v>
      </c>
      <c r="AX236" s="117">
        <f t="shared" si="256"/>
        <v>-17556.52401</v>
      </c>
      <c r="AY236" s="117">
        <f t="shared" si="256"/>
        <v>-17556.52401</v>
      </c>
      <c r="AZ236" s="117">
        <f t="shared" si="256"/>
        <v>-17798.78497</v>
      </c>
      <c r="BA236" s="117">
        <f t="shared" si="256"/>
        <v>-17798.78497</v>
      </c>
      <c r="BB236" s="117">
        <f t="shared" si="256"/>
        <v>-17798.78497</v>
      </c>
      <c r="BC236" s="117">
        <f t="shared" si="256"/>
        <v>-17018.84027</v>
      </c>
      <c r="BD236" s="117">
        <f t="shared" si="256"/>
        <v>-17239.59388</v>
      </c>
      <c r="BE236" s="117">
        <f t="shared" si="256"/>
        <v>-17239.59388</v>
      </c>
      <c r="BF236" s="117">
        <f t="shared" si="256"/>
        <v>-17239.59388</v>
      </c>
      <c r="BG236" s="117">
        <f t="shared" si="256"/>
        <v>-17239.59388</v>
      </c>
      <c r="BH236" s="117">
        <f t="shared" si="256"/>
        <v>-17469.17764</v>
      </c>
      <c r="BI236" s="117">
        <f t="shared" si="256"/>
        <v>-17469.17764</v>
      </c>
      <c r="BJ236" s="117">
        <f t="shared" si="256"/>
        <v>-17469.17764</v>
      </c>
      <c r="BK236" s="117">
        <f t="shared" si="256"/>
        <v>-17469.17764</v>
      </c>
      <c r="BL236" s="117">
        <f t="shared" si="256"/>
        <v>-17707.94474</v>
      </c>
      <c r="BM236" s="117">
        <f t="shared" si="256"/>
        <v>-17707.94474</v>
      </c>
      <c r="BN236" s="117">
        <f t="shared" si="256"/>
        <v>-17707.94474</v>
      </c>
      <c r="BO236" s="117">
        <f t="shared" si="256"/>
        <v>-16864.35655</v>
      </c>
      <c r="BP236" s="117">
        <f t="shared" si="256"/>
        <v>-17078.93082</v>
      </c>
      <c r="BQ236" s="117">
        <f t="shared" si="256"/>
        <v>-17078.93082</v>
      </c>
      <c r="BR236" s="117">
        <f t="shared" si="256"/>
        <v>-17078.93082</v>
      </c>
      <c r="BS236" s="117">
        <f t="shared" si="256"/>
        <v>-17078.93082</v>
      </c>
      <c r="BT236" s="117">
        <f t="shared" si="256"/>
        <v>-17302.08805</v>
      </c>
      <c r="BU236" s="117">
        <f t="shared" si="256"/>
        <v>-17302.08805</v>
      </c>
      <c r="BV236" s="117">
        <f t="shared" si="256"/>
        <v>-17302.08805</v>
      </c>
      <c r="BW236" s="117">
        <f t="shared" si="256"/>
        <v>-17302.08805</v>
      </c>
      <c r="BX236" s="117">
        <f t="shared" si="256"/>
        <v>-17534.17157</v>
      </c>
      <c r="BY236" s="117">
        <f t="shared" si="256"/>
        <v>-17534.17157</v>
      </c>
      <c r="BZ236" s="117">
        <f t="shared" si="256"/>
        <v>-17534.17157</v>
      </c>
      <c r="CA236" s="117">
        <f t="shared" si="256"/>
        <v>-17534.17157</v>
      </c>
      <c r="CB236" s="117">
        <f t="shared" si="256"/>
        <v>-17775.53843</v>
      </c>
      <c r="CC236" s="117">
        <f t="shared" si="256"/>
        <v>-17775.53843</v>
      </c>
      <c r="CD236" s="117">
        <f t="shared" si="256"/>
        <v>-17775.53843</v>
      </c>
      <c r="CE236" s="117">
        <f t="shared" si="256"/>
        <v>-17775.53843</v>
      </c>
      <c r="CF236" s="117">
        <f t="shared" si="256"/>
        <v>-18026.55997</v>
      </c>
      <c r="CG236" s="117">
        <f t="shared" si="256"/>
        <v>-18026.55997</v>
      </c>
      <c r="CH236" s="117">
        <f t="shared" si="256"/>
        <v>-18026.55997</v>
      </c>
      <c r="CI236" s="117">
        <f t="shared" si="256"/>
        <v>-18026.55997</v>
      </c>
      <c r="CL236" s="117">
        <f t="shared" si="247"/>
        <v>-61316</v>
      </c>
      <c r="CM236" s="117">
        <f t="shared" si="248"/>
        <v>-42494</v>
      </c>
      <c r="CN236" s="117">
        <f t="shared" si="249"/>
        <v>-38736</v>
      </c>
      <c r="CO236" s="117">
        <f t="shared" si="250"/>
        <v>-43380</v>
      </c>
      <c r="CP236" s="117">
        <f t="shared" si="251"/>
        <v>-55557</v>
      </c>
      <c r="CQ236" s="117">
        <f t="shared" si="252"/>
        <v>-42268.7</v>
      </c>
    </row>
    <row r="237" ht="15.75" customHeight="1">
      <c r="A237" s="1" t="s">
        <v>415</v>
      </c>
      <c r="B237" s="91" t="s">
        <v>63</v>
      </c>
      <c r="C237" s="132" t="s">
        <v>210</v>
      </c>
      <c r="D237" s="117">
        <f t="shared" ref="D237:CI237" si="257">D273-SUM(D209,D177,D111,D79,D47,D15)</f>
        <v>-8824</v>
      </c>
      <c r="E237" s="117">
        <f t="shared" si="257"/>
        <v>-13482</v>
      </c>
      <c r="F237" s="117">
        <f t="shared" si="257"/>
        <v>-4278</v>
      </c>
      <c r="G237" s="117">
        <f t="shared" si="257"/>
        <v>-15687</v>
      </c>
      <c r="H237" s="117">
        <f t="shared" si="257"/>
        <v>-15291</v>
      </c>
      <c r="I237" s="117">
        <f t="shared" si="257"/>
        <v>-12001</v>
      </c>
      <c r="J237" s="117">
        <f t="shared" si="257"/>
        <v>-12676</v>
      </c>
      <c r="K237" s="117">
        <f t="shared" si="257"/>
        <v>-6868</v>
      </c>
      <c r="L237" s="117">
        <f t="shared" si="257"/>
        <v>-15411</v>
      </c>
      <c r="M237" s="117">
        <f t="shared" si="257"/>
        <v>-8246</v>
      </c>
      <c r="N237" s="117">
        <f t="shared" si="257"/>
        <v>-13555</v>
      </c>
      <c r="O237" s="117">
        <f t="shared" si="257"/>
        <v>-9753</v>
      </c>
      <c r="P237" s="117">
        <f t="shared" si="257"/>
        <v>-15696</v>
      </c>
      <c r="Q237" s="117">
        <f t="shared" si="257"/>
        <v>-8944</v>
      </c>
      <c r="R237" s="117">
        <f t="shared" si="257"/>
        <v>-12620</v>
      </c>
      <c r="S237" s="117">
        <f t="shared" si="257"/>
        <v>-20482</v>
      </c>
      <c r="T237" s="117">
        <f t="shared" si="257"/>
        <v>-13509</v>
      </c>
      <c r="U237" s="117">
        <f t="shared" si="257"/>
        <v>-13388</v>
      </c>
      <c r="V237" s="117">
        <f t="shared" si="257"/>
        <v>-13372</v>
      </c>
      <c r="W237" s="117">
        <f t="shared" si="257"/>
        <v>-22731</v>
      </c>
      <c r="X237" s="117">
        <f t="shared" si="257"/>
        <v>-14485</v>
      </c>
      <c r="Y237" s="117">
        <f t="shared" si="257"/>
        <v>-19385</v>
      </c>
      <c r="Z237" s="117">
        <f t="shared" si="257"/>
        <v>-17583</v>
      </c>
      <c r="AA237" s="117">
        <f t="shared" si="257"/>
        <v>-7274.55</v>
      </c>
      <c r="AB237" s="117">
        <f t="shared" si="257"/>
        <v>-15848.15475</v>
      </c>
      <c r="AC237" s="117">
        <f t="shared" si="257"/>
        <v>-15848.15475</v>
      </c>
      <c r="AD237" s="117">
        <f t="shared" si="257"/>
        <v>-15848.15475</v>
      </c>
      <c r="AE237" s="117">
        <f t="shared" si="257"/>
        <v>-15848.15475</v>
      </c>
      <c r="AF237" s="117">
        <f t="shared" si="257"/>
        <v>-16223.82171</v>
      </c>
      <c r="AG237" s="117">
        <f t="shared" si="257"/>
        <v>-16223.82171</v>
      </c>
      <c r="AH237" s="117">
        <f t="shared" si="257"/>
        <v>-18473.82171</v>
      </c>
      <c r="AI237" s="117">
        <f t="shared" si="257"/>
        <v>-18473.82171</v>
      </c>
      <c r="AJ237" s="117">
        <f t="shared" si="257"/>
        <v>-19616.39369</v>
      </c>
      <c r="AK237" s="117">
        <f t="shared" si="257"/>
        <v>-18576.34169</v>
      </c>
      <c r="AL237" s="117">
        <f t="shared" si="257"/>
        <v>-18576.34169</v>
      </c>
      <c r="AM237" s="117">
        <f t="shared" si="257"/>
        <v>-18576.34169</v>
      </c>
      <c r="AN237" s="117">
        <f t="shared" si="257"/>
        <v>-9635.733958</v>
      </c>
      <c r="AO237" s="117">
        <f t="shared" si="257"/>
        <v>-9635.733958</v>
      </c>
      <c r="AP237" s="117">
        <f t="shared" si="257"/>
        <v>-9635.733958</v>
      </c>
      <c r="AQ237" s="117">
        <f t="shared" si="257"/>
        <v>-9635.733958</v>
      </c>
      <c r="AR237" s="117">
        <f t="shared" si="257"/>
        <v>-10113.56332</v>
      </c>
      <c r="AS237" s="117">
        <f t="shared" si="257"/>
        <v>-10113.56332</v>
      </c>
      <c r="AT237" s="117">
        <f t="shared" si="257"/>
        <v>-11433.56332</v>
      </c>
      <c r="AU237" s="117">
        <f t="shared" si="257"/>
        <v>-11433.56332</v>
      </c>
      <c r="AV237" s="117">
        <f t="shared" si="257"/>
        <v>-11587.30585</v>
      </c>
      <c r="AW237" s="117">
        <f t="shared" si="257"/>
        <v>-11587.30585</v>
      </c>
      <c r="AX237" s="117">
        <f t="shared" si="257"/>
        <v>-11587.30585</v>
      </c>
      <c r="AY237" s="117">
        <f t="shared" si="257"/>
        <v>-11587.30585</v>
      </c>
      <c r="AZ237" s="117">
        <f t="shared" si="257"/>
        <v>-12103.17378</v>
      </c>
      <c r="BA237" s="117">
        <f t="shared" si="257"/>
        <v>-12103.17378</v>
      </c>
      <c r="BB237" s="117">
        <f t="shared" si="257"/>
        <v>-12103.17378</v>
      </c>
      <c r="BC237" s="117">
        <f t="shared" si="257"/>
        <v>-11572.81138</v>
      </c>
      <c r="BD237" s="117">
        <f t="shared" si="257"/>
        <v>-11722.92384</v>
      </c>
      <c r="BE237" s="117">
        <f t="shared" si="257"/>
        <v>-11722.92384</v>
      </c>
      <c r="BF237" s="117">
        <f t="shared" si="257"/>
        <v>-11722.92384</v>
      </c>
      <c r="BG237" s="117">
        <f t="shared" si="257"/>
        <v>-11722.92384</v>
      </c>
      <c r="BH237" s="117">
        <f t="shared" si="257"/>
        <v>-11879.04079</v>
      </c>
      <c r="BI237" s="117">
        <f t="shared" si="257"/>
        <v>-11879.04079</v>
      </c>
      <c r="BJ237" s="117">
        <f t="shared" si="257"/>
        <v>-11879.04079</v>
      </c>
      <c r="BK237" s="117">
        <f t="shared" si="257"/>
        <v>-11879.04079</v>
      </c>
      <c r="BL237" s="117">
        <f t="shared" si="257"/>
        <v>-12395.56132</v>
      </c>
      <c r="BM237" s="117">
        <f t="shared" si="257"/>
        <v>-12395.56132</v>
      </c>
      <c r="BN237" s="117">
        <f t="shared" si="257"/>
        <v>-12395.56132</v>
      </c>
      <c r="BO237" s="117">
        <f t="shared" si="257"/>
        <v>-11805.04959</v>
      </c>
      <c r="BP237" s="117">
        <f t="shared" si="257"/>
        <v>-11955.25157</v>
      </c>
      <c r="BQ237" s="117">
        <f t="shared" si="257"/>
        <v>-11955.25157</v>
      </c>
      <c r="BR237" s="117">
        <f t="shared" si="257"/>
        <v>-11955.25157</v>
      </c>
      <c r="BS237" s="117">
        <f t="shared" si="257"/>
        <v>-11955.25157</v>
      </c>
      <c r="BT237" s="117">
        <f t="shared" si="257"/>
        <v>-12111.46163</v>
      </c>
      <c r="BU237" s="117">
        <f t="shared" si="257"/>
        <v>-12111.46163</v>
      </c>
      <c r="BV237" s="117">
        <f t="shared" si="257"/>
        <v>-12111.46163</v>
      </c>
      <c r="BW237" s="117">
        <f t="shared" si="257"/>
        <v>-12111.46163</v>
      </c>
      <c r="BX237" s="117">
        <f t="shared" si="257"/>
        <v>-12273.9201</v>
      </c>
      <c r="BY237" s="117">
        <f t="shared" si="257"/>
        <v>-12273.9201</v>
      </c>
      <c r="BZ237" s="117">
        <f t="shared" si="257"/>
        <v>-12273.9201</v>
      </c>
      <c r="CA237" s="117">
        <f t="shared" si="257"/>
        <v>-12273.9201</v>
      </c>
      <c r="CB237" s="117">
        <f t="shared" si="257"/>
        <v>-12442.8769</v>
      </c>
      <c r="CC237" s="117">
        <f t="shared" si="257"/>
        <v>-12442.8769</v>
      </c>
      <c r="CD237" s="117">
        <f t="shared" si="257"/>
        <v>-12442.8769</v>
      </c>
      <c r="CE237" s="117">
        <f t="shared" si="257"/>
        <v>-12442.8769</v>
      </c>
      <c r="CF237" s="117">
        <f t="shared" si="257"/>
        <v>-12618.59198</v>
      </c>
      <c r="CG237" s="117">
        <f t="shared" si="257"/>
        <v>-12618.59198</v>
      </c>
      <c r="CH237" s="117">
        <f t="shared" si="257"/>
        <v>-12618.59198</v>
      </c>
      <c r="CI237" s="117">
        <f t="shared" si="257"/>
        <v>-12618.59198</v>
      </c>
      <c r="CL237" s="117">
        <f t="shared" si="247"/>
        <v>-42271</v>
      </c>
      <c r="CM237" s="117">
        <f t="shared" si="248"/>
        <v>-46836</v>
      </c>
      <c r="CN237" s="117">
        <f t="shared" si="249"/>
        <v>-46965</v>
      </c>
      <c r="CO237" s="117">
        <f t="shared" si="250"/>
        <v>-57742</v>
      </c>
      <c r="CP237" s="117">
        <f t="shared" si="251"/>
        <v>-63000</v>
      </c>
      <c r="CQ237" s="117">
        <f t="shared" si="252"/>
        <v>-58727.55</v>
      </c>
    </row>
    <row r="238" ht="15.75" customHeight="1">
      <c r="A238" s="1" t="s">
        <v>415</v>
      </c>
      <c r="B238" s="91" t="s">
        <v>63</v>
      </c>
      <c r="C238" s="132" t="s">
        <v>211</v>
      </c>
      <c r="D238" s="117">
        <f t="shared" ref="D238:CI238" si="258">D274-SUM(D210,D178,D112,D80,D48,D16)</f>
        <v>-14000</v>
      </c>
      <c r="E238" s="117">
        <f t="shared" si="258"/>
        <v>-11962</v>
      </c>
      <c r="F238" s="117">
        <f t="shared" si="258"/>
        <v>-10386</v>
      </c>
      <c r="G238" s="117">
        <f t="shared" si="258"/>
        <v>-9864</v>
      </c>
      <c r="H238" s="117">
        <f t="shared" si="258"/>
        <v>-18733</v>
      </c>
      <c r="I238" s="117">
        <f t="shared" si="258"/>
        <v>-16758</v>
      </c>
      <c r="J238" s="117">
        <f t="shared" si="258"/>
        <v>-10377</v>
      </c>
      <c r="K238" s="117">
        <f t="shared" si="258"/>
        <v>-10435</v>
      </c>
      <c r="L238" s="117">
        <f t="shared" si="258"/>
        <v>-14539</v>
      </c>
      <c r="M238" s="117">
        <f t="shared" si="258"/>
        <v>-21244</v>
      </c>
      <c r="N238" s="117">
        <f t="shared" si="258"/>
        <v>-8918</v>
      </c>
      <c r="O238" s="117">
        <f t="shared" si="258"/>
        <v>-14265</v>
      </c>
      <c r="P238" s="117">
        <f t="shared" si="258"/>
        <v>-10055</v>
      </c>
      <c r="Q238" s="117">
        <f t="shared" si="258"/>
        <v>-15374</v>
      </c>
      <c r="R238" s="117">
        <f t="shared" si="258"/>
        <v>-9618</v>
      </c>
      <c r="S238" s="117">
        <f t="shared" si="258"/>
        <v>-14339</v>
      </c>
      <c r="T238" s="117">
        <f t="shared" si="258"/>
        <v>-17900</v>
      </c>
      <c r="U238" s="117">
        <f t="shared" si="258"/>
        <v>-9775</v>
      </c>
      <c r="V238" s="117">
        <f t="shared" si="258"/>
        <v>-11272</v>
      </c>
      <c r="W238" s="117">
        <f t="shared" si="258"/>
        <v>-10668</v>
      </c>
      <c r="X238" s="117">
        <f t="shared" si="258"/>
        <v>-9852</v>
      </c>
      <c r="Y238" s="117">
        <f t="shared" si="258"/>
        <v>-14721</v>
      </c>
      <c r="Z238" s="117">
        <f t="shared" si="258"/>
        <v>-15611</v>
      </c>
      <c r="AA238" s="117">
        <f t="shared" si="258"/>
        <v>-969.94</v>
      </c>
      <c r="AB238" s="117">
        <f t="shared" si="258"/>
        <v>-2113.0873</v>
      </c>
      <c r="AC238" s="117">
        <f t="shared" si="258"/>
        <v>-2113.0873</v>
      </c>
      <c r="AD238" s="117">
        <f t="shared" si="258"/>
        <v>-2113.0873</v>
      </c>
      <c r="AE238" s="117">
        <f t="shared" si="258"/>
        <v>-2113.0873</v>
      </c>
      <c r="AF238" s="117">
        <f t="shared" si="258"/>
        <v>-2163.176229</v>
      </c>
      <c r="AG238" s="117">
        <f t="shared" si="258"/>
        <v>-2163.176229</v>
      </c>
      <c r="AH238" s="117">
        <f t="shared" si="258"/>
        <v>-2463.176229</v>
      </c>
      <c r="AI238" s="117">
        <f t="shared" si="258"/>
        <v>-2463.176229</v>
      </c>
      <c r="AJ238" s="117">
        <f t="shared" si="258"/>
        <v>-2615.519159</v>
      </c>
      <c r="AK238" s="117">
        <f t="shared" si="258"/>
        <v>-2476.845559</v>
      </c>
      <c r="AL238" s="117">
        <f t="shared" si="258"/>
        <v>-2476.845559</v>
      </c>
      <c r="AM238" s="117">
        <f t="shared" si="258"/>
        <v>-2476.845559</v>
      </c>
      <c r="AN238" s="117">
        <f t="shared" si="258"/>
        <v>-2919.919381</v>
      </c>
      <c r="AO238" s="117">
        <f t="shared" si="258"/>
        <v>-2919.919381</v>
      </c>
      <c r="AP238" s="117">
        <f t="shared" si="258"/>
        <v>-2919.919381</v>
      </c>
      <c r="AQ238" s="117">
        <f t="shared" si="258"/>
        <v>-2919.919381</v>
      </c>
      <c r="AR238" s="117">
        <f t="shared" si="258"/>
        <v>-3064.716156</v>
      </c>
      <c r="AS238" s="117">
        <f t="shared" si="258"/>
        <v>-3064.716156</v>
      </c>
      <c r="AT238" s="117">
        <f t="shared" si="258"/>
        <v>-3464.716156</v>
      </c>
      <c r="AU238" s="117">
        <f t="shared" si="258"/>
        <v>-3464.716156</v>
      </c>
      <c r="AV238" s="117">
        <f t="shared" si="258"/>
        <v>-3511.304803</v>
      </c>
      <c r="AW238" s="117">
        <f t="shared" si="258"/>
        <v>-3511.304803</v>
      </c>
      <c r="AX238" s="117">
        <f t="shared" si="258"/>
        <v>-3511.304803</v>
      </c>
      <c r="AY238" s="117">
        <f t="shared" si="258"/>
        <v>-3511.304803</v>
      </c>
      <c r="AZ238" s="117">
        <f t="shared" si="258"/>
        <v>-3559.756995</v>
      </c>
      <c r="BA238" s="117">
        <f t="shared" si="258"/>
        <v>-3559.756995</v>
      </c>
      <c r="BB238" s="117">
        <f t="shared" si="258"/>
        <v>-3559.756995</v>
      </c>
      <c r="BC238" s="117">
        <f t="shared" si="258"/>
        <v>-3403.768054</v>
      </c>
      <c r="BD238" s="117">
        <f t="shared" si="258"/>
        <v>-3447.918777</v>
      </c>
      <c r="BE238" s="117">
        <f t="shared" si="258"/>
        <v>-3447.918777</v>
      </c>
      <c r="BF238" s="117">
        <f t="shared" si="258"/>
        <v>-3447.918777</v>
      </c>
      <c r="BG238" s="117">
        <f t="shared" si="258"/>
        <v>-3447.918777</v>
      </c>
      <c r="BH238" s="117">
        <f t="shared" si="258"/>
        <v>-3493.835528</v>
      </c>
      <c r="BI238" s="117">
        <f t="shared" si="258"/>
        <v>-3493.835528</v>
      </c>
      <c r="BJ238" s="117">
        <f t="shared" si="258"/>
        <v>-3493.835528</v>
      </c>
      <c r="BK238" s="117">
        <f t="shared" si="258"/>
        <v>-3493.835528</v>
      </c>
      <c r="BL238" s="117">
        <f t="shared" si="258"/>
        <v>-3541.588949</v>
      </c>
      <c r="BM238" s="117">
        <f t="shared" si="258"/>
        <v>-3541.588949</v>
      </c>
      <c r="BN238" s="117">
        <f t="shared" si="258"/>
        <v>-3541.588949</v>
      </c>
      <c r="BO238" s="117">
        <f t="shared" si="258"/>
        <v>-3372.871311</v>
      </c>
      <c r="BP238" s="117">
        <f t="shared" si="258"/>
        <v>-3415.786163</v>
      </c>
      <c r="BQ238" s="117">
        <f t="shared" si="258"/>
        <v>-3415.786163</v>
      </c>
      <c r="BR238" s="117">
        <f t="shared" si="258"/>
        <v>-3415.786163</v>
      </c>
      <c r="BS238" s="117">
        <f t="shared" si="258"/>
        <v>-3415.786163</v>
      </c>
      <c r="BT238" s="117">
        <f t="shared" si="258"/>
        <v>-3460.41761</v>
      </c>
      <c r="BU238" s="117">
        <f t="shared" si="258"/>
        <v>-3460.41761</v>
      </c>
      <c r="BV238" s="117">
        <f t="shared" si="258"/>
        <v>-3460.41761</v>
      </c>
      <c r="BW238" s="117">
        <f t="shared" si="258"/>
        <v>-3460.41761</v>
      </c>
      <c r="BX238" s="117">
        <f t="shared" si="258"/>
        <v>-3506.834314</v>
      </c>
      <c r="BY238" s="117">
        <f t="shared" si="258"/>
        <v>-3506.834314</v>
      </c>
      <c r="BZ238" s="117">
        <f t="shared" si="258"/>
        <v>-3506.834314</v>
      </c>
      <c r="CA238" s="117">
        <f t="shared" si="258"/>
        <v>-3506.834314</v>
      </c>
      <c r="CB238" s="117">
        <f t="shared" si="258"/>
        <v>-3555.107687</v>
      </c>
      <c r="CC238" s="117">
        <f t="shared" si="258"/>
        <v>-3555.107687</v>
      </c>
      <c r="CD238" s="117">
        <f t="shared" si="258"/>
        <v>-3555.107687</v>
      </c>
      <c r="CE238" s="117">
        <f t="shared" si="258"/>
        <v>-3555.107687</v>
      </c>
      <c r="CF238" s="117">
        <f t="shared" si="258"/>
        <v>-3605.311994</v>
      </c>
      <c r="CG238" s="117">
        <f t="shared" si="258"/>
        <v>-3605.311994</v>
      </c>
      <c r="CH238" s="117">
        <f t="shared" si="258"/>
        <v>-3605.311994</v>
      </c>
      <c r="CI238" s="117">
        <f t="shared" si="258"/>
        <v>-3605.311994</v>
      </c>
      <c r="CL238" s="117">
        <f t="shared" si="247"/>
        <v>-46212</v>
      </c>
      <c r="CM238" s="117">
        <f t="shared" si="248"/>
        <v>-56303</v>
      </c>
      <c r="CN238" s="117">
        <f t="shared" si="249"/>
        <v>-58966</v>
      </c>
      <c r="CO238" s="117">
        <f t="shared" si="250"/>
        <v>-49386</v>
      </c>
      <c r="CP238" s="117">
        <f t="shared" si="251"/>
        <v>-49615</v>
      </c>
      <c r="CQ238" s="117">
        <f t="shared" si="252"/>
        <v>-41153.94</v>
      </c>
    </row>
    <row r="239" ht="15.75" customHeight="1">
      <c r="A239" s="1" t="s">
        <v>415</v>
      </c>
      <c r="B239" s="91" t="s">
        <v>63</v>
      </c>
      <c r="C239" s="132" t="s">
        <v>212</v>
      </c>
      <c r="D239" s="117">
        <f t="shared" ref="D239:CI239" si="259">D275-SUM(D211,D179,D113,D81,D49,D17)</f>
        <v>-12760</v>
      </c>
      <c r="E239" s="117">
        <f t="shared" si="259"/>
        <v>-5941</v>
      </c>
      <c r="F239" s="117">
        <f t="shared" si="259"/>
        <v>-13298</v>
      </c>
      <c r="G239" s="117">
        <f t="shared" si="259"/>
        <v>-13501</v>
      </c>
      <c r="H239" s="117">
        <f t="shared" si="259"/>
        <v>-15031</v>
      </c>
      <c r="I239" s="117">
        <f t="shared" si="259"/>
        <v>-16873</v>
      </c>
      <c r="J239" s="117">
        <f t="shared" si="259"/>
        <v>-13028</v>
      </c>
      <c r="K239" s="117">
        <f t="shared" si="259"/>
        <v>-13335</v>
      </c>
      <c r="L239" s="117">
        <f t="shared" si="259"/>
        <v>-13586</v>
      </c>
      <c r="M239" s="117">
        <f t="shared" si="259"/>
        <v>-10138</v>
      </c>
      <c r="N239" s="117">
        <f t="shared" si="259"/>
        <v>-11322</v>
      </c>
      <c r="O239" s="117">
        <f t="shared" si="259"/>
        <v>-10569</v>
      </c>
      <c r="P239" s="117">
        <f t="shared" si="259"/>
        <v>-13294</v>
      </c>
      <c r="Q239" s="117">
        <f t="shared" si="259"/>
        <v>-11709</v>
      </c>
      <c r="R239" s="117">
        <f t="shared" si="259"/>
        <v>-14902</v>
      </c>
      <c r="S239" s="117">
        <f t="shared" si="259"/>
        <v>-21550</v>
      </c>
      <c r="T239" s="117">
        <f t="shared" si="259"/>
        <v>-16836</v>
      </c>
      <c r="U239" s="117">
        <f t="shared" si="259"/>
        <v>-11292</v>
      </c>
      <c r="V239" s="117">
        <f t="shared" si="259"/>
        <v>-9778</v>
      </c>
      <c r="W239" s="117">
        <f t="shared" si="259"/>
        <v>-12583</v>
      </c>
      <c r="X239" s="117">
        <f t="shared" si="259"/>
        <v>-9182</v>
      </c>
      <c r="Y239" s="117">
        <f t="shared" si="259"/>
        <v>-8835</v>
      </c>
      <c r="Z239" s="117">
        <f t="shared" si="259"/>
        <v>-11791</v>
      </c>
      <c r="AA239" s="117">
        <f t="shared" si="259"/>
        <v>-8925.268482</v>
      </c>
      <c r="AB239" s="117">
        <f t="shared" si="259"/>
        <v>-9475.752829</v>
      </c>
      <c r="AC239" s="117">
        <f t="shared" si="259"/>
        <v>-9505.58099</v>
      </c>
      <c r="AD239" s="117">
        <f t="shared" si="259"/>
        <v>-9972.61477</v>
      </c>
      <c r="AE239" s="117">
        <f t="shared" si="259"/>
        <v>-10346.55262</v>
      </c>
      <c r="AF239" s="117">
        <f t="shared" si="259"/>
        <v>-10740.08349</v>
      </c>
      <c r="AG239" s="117">
        <f t="shared" si="259"/>
        <v>-11094.44128</v>
      </c>
      <c r="AH239" s="117">
        <f t="shared" si="259"/>
        <v>-11416.69179</v>
      </c>
      <c r="AI239" s="117">
        <f t="shared" si="259"/>
        <v>-11801.0473</v>
      </c>
      <c r="AJ239" s="117">
        <f t="shared" si="259"/>
        <v>-12210.18274</v>
      </c>
      <c r="AK239" s="117">
        <f t="shared" si="259"/>
        <v>-12741.54308</v>
      </c>
      <c r="AL239" s="117">
        <f t="shared" si="259"/>
        <v>-13234.05432</v>
      </c>
      <c r="AM239" s="117">
        <f t="shared" si="259"/>
        <v>-13720.09219</v>
      </c>
      <c r="AN239" s="117">
        <f t="shared" si="259"/>
        <v>-13978.57249</v>
      </c>
      <c r="AO239" s="117">
        <f t="shared" si="259"/>
        <v>-14149.48876</v>
      </c>
      <c r="AP239" s="117">
        <f t="shared" si="259"/>
        <v>-14325.71839</v>
      </c>
      <c r="AQ239" s="117">
        <f t="shared" si="259"/>
        <v>-14527.15231</v>
      </c>
      <c r="AR239" s="117">
        <f t="shared" si="259"/>
        <v>-14735.06632</v>
      </c>
      <c r="AS239" s="117">
        <f t="shared" si="259"/>
        <v>-14949.09745</v>
      </c>
      <c r="AT239" s="117">
        <f t="shared" si="259"/>
        <v>-15165.9376</v>
      </c>
      <c r="AU239" s="117">
        <f t="shared" si="259"/>
        <v>-15442.64757</v>
      </c>
      <c r="AV239" s="117">
        <f t="shared" si="259"/>
        <v>-15667.23899</v>
      </c>
      <c r="AW239" s="117">
        <f t="shared" si="259"/>
        <v>-15895.84126</v>
      </c>
      <c r="AX239" s="117">
        <f t="shared" si="259"/>
        <v>-16128.57565</v>
      </c>
      <c r="AY239" s="117">
        <f t="shared" si="259"/>
        <v>-16365.5692</v>
      </c>
      <c r="AZ239" s="117">
        <f t="shared" si="259"/>
        <v>-16781.14627</v>
      </c>
      <c r="BA239" s="117">
        <f t="shared" si="259"/>
        <v>-16978.7012</v>
      </c>
      <c r="BB239" s="117">
        <f t="shared" si="259"/>
        <v>-17189.80976</v>
      </c>
      <c r="BC239" s="117">
        <f t="shared" si="259"/>
        <v>-17394.62753</v>
      </c>
      <c r="BD239" s="117">
        <f t="shared" si="259"/>
        <v>-17594.089</v>
      </c>
      <c r="BE239" s="117">
        <f t="shared" si="259"/>
        <v>-17788.81931</v>
      </c>
      <c r="BF239" s="117">
        <f t="shared" si="259"/>
        <v>-17979.30157</v>
      </c>
      <c r="BG239" s="117">
        <f t="shared" si="259"/>
        <v>-18165.93016</v>
      </c>
      <c r="BH239" s="117">
        <f t="shared" si="259"/>
        <v>-18349.03647</v>
      </c>
      <c r="BI239" s="117">
        <f t="shared" si="259"/>
        <v>-18528.9049</v>
      </c>
      <c r="BJ239" s="117">
        <f t="shared" si="259"/>
        <v>-18705.78379</v>
      </c>
      <c r="BK239" s="117">
        <f t="shared" si="259"/>
        <v>-18879.89335</v>
      </c>
      <c r="BL239" s="117">
        <f t="shared" si="259"/>
        <v>-19125.99743</v>
      </c>
      <c r="BM239" s="117">
        <f t="shared" si="259"/>
        <v>-19317.31432</v>
      </c>
      <c r="BN239" s="117">
        <f t="shared" si="259"/>
        <v>-19473.55508</v>
      </c>
      <c r="BO239" s="117">
        <f t="shared" si="259"/>
        <v>-19631.83048</v>
      </c>
      <c r="BP239" s="117">
        <f t="shared" si="259"/>
        <v>-19793.05458</v>
      </c>
      <c r="BQ239" s="117">
        <f t="shared" si="259"/>
        <v>-19956.33215</v>
      </c>
      <c r="BR239" s="117">
        <f t="shared" si="259"/>
        <v>-20121.10502</v>
      </c>
      <c r="BS239" s="117">
        <f t="shared" si="259"/>
        <v>-20287.00219</v>
      </c>
      <c r="BT239" s="117">
        <f t="shared" si="259"/>
        <v>-20453.78101</v>
      </c>
      <c r="BU239" s="117">
        <f t="shared" si="259"/>
        <v>-20621.29196</v>
      </c>
      <c r="BV239" s="117">
        <f t="shared" si="259"/>
        <v>-20789.45373</v>
      </c>
      <c r="BW239" s="117">
        <f t="shared" si="259"/>
        <v>-20958.23514</v>
      </c>
      <c r="BX239" s="117">
        <f t="shared" si="259"/>
        <v>-21216.12431</v>
      </c>
      <c r="BY239" s="117">
        <f t="shared" si="259"/>
        <v>-21327.84384</v>
      </c>
      <c r="BZ239" s="117">
        <f t="shared" si="259"/>
        <v>-21437.83077</v>
      </c>
      <c r="CA239" s="117">
        <f t="shared" si="259"/>
        <v>-21546.81018</v>
      </c>
      <c r="CB239" s="117">
        <f t="shared" si="259"/>
        <v>-21655.13422</v>
      </c>
      <c r="CC239" s="117">
        <f t="shared" si="259"/>
        <v>-21762.35373</v>
      </c>
      <c r="CD239" s="117">
        <f t="shared" si="259"/>
        <v>-21868.36115</v>
      </c>
      <c r="CE239" s="117">
        <f t="shared" si="259"/>
        <v>-21973.13285</v>
      </c>
      <c r="CF239" s="117">
        <f t="shared" si="259"/>
        <v>-22076.68623</v>
      </c>
      <c r="CG239" s="117">
        <f t="shared" si="259"/>
        <v>-22179.06639</v>
      </c>
      <c r="CH239" s="117">
        <f t="shared" si="259"/>
        <v>-22280.33797</v>
      </c>
      <c r="CI239" s="117">
        <f t="shared" si="259"/>
        <v>-22380.57885</v>
      </c>
      <c r="CL239" s="117">
        <f t="shared" si="247"/>
        <v>-45500</v>
      </c>
      <c r="CM239" s="117">
        <f t="shared" si="248"/>
        <v>-58267</v>
      </c>
      <c r="CN239" s="117">
        <f t="shared" si="249"/>
        <v>-45615</v>
      </c>
      <c r="CO239" s="117">
        <f t="shared" si="250"/>
        <v>-61455</v>
      </c>
      <c r="CP239" s="117">
        <f t="shared" si="251"/>
        <v>-50489</v>
      </c>
      <c r="CQ239" s="117">
        <f t="shared" si="252"/>
        <v>-38733.26848</v>
      </c>
    </row>
    <row r="240" ht="15.75" customHeight="1">
      <c r="A240" s="1" t="s">
        <v>415</v>
      </c>
      <c r="B240" s="91" t="s">
        <v>63</v>
      </c>
      <c r="C240" s="132" t="s">
        <v>213</v>
      </c>
      <c r="D240" s="117">
        <f t="shared" ref="D240:CI240" si="260">D276-SUM(D212,D180,D114,D82,D50,D18)</f>
        <v>-12688</v>
      </c>
      <c r="E240" s="117">
        <f t="shared" si="260"/>
        <v>-19702</v>
      </c>
      <c r="F240" s="117">
        <f t="shared" si="260"/>
        <v>-6308</v>
      </c>
      <c r="G240" s="117">
        <f t="shared" si="260"/>
        <v>-15335</v>
      </c>
      <c r="H240" s="117">
        <f t="shared" si="260"/>
        <v>-9179</v>
      </c>
      <c r="I240" s="117">
        <f t="shared" si="260"/>
        <v>-7223</v>
      </c>
      <c r="J240" s="117">
        <f t="shared" si="260"/>
        <v>-8906</v>
      </c>
      <c r="K240" s="117">
        <f t="shared" si="260"/>
        <v>-19496</v>
      </c>
      <c r="L240" s="117">
        <f t="shared" si="260"/>
        <v>-13641</v>
      </c>
      <c r="M240" s="117">
        <f t="shared" si="260"/>
        <v>-10031</v>
      </c>
      <c r="N240" s="117">
        <f t="shared" si="260"/>
        <v>-16459</v>
      </c>
      <c r="O240" s="117">
        <f t="shared" si="260"/>
        <v>-14331</v>
      </c>
      <c r="P240" s="117">
        <f t="shared" si="260"/>
        <v>-6760</v>
      </c>
      <c r="Q240" s="117">
        <f t="shared" si="260"/>
        <v>-12968</v>
      </c>
      <c r="R240" s="117">
        <f t="shared" si="260"/>
        <v>-7878</v>
      </c>
      <c r="S240" s="117">
        <f t="shared" si="260"/>
        <v>-15429</v>
      </c>
      <c r="T240" s="117">
        <f t="shared" si="260"/>
        <v>-16686</v>
      </c>
      <c r="U240" s="117">
        <f t="shared" si="260"/>
        <v>-13553</v>
      </c>
      <c r="V240" s="117">
        <f t="shared" si="260"/>
        <v>-12929</v>
      </c>
      <c r="W240" s="117">
        <f t="shared" si="260"/>
        <v>-9828</v>
      </c>
      <c r="X240" s="117">
        <f t="shared" si="260"/>
        <v>-15073</v>
      </c>
      <c r="Y240" s="117">
        <f t="shared" si="260"/>
        <v>-13324</v>
      </c>
      <c r="Z240" s="117">
        <f t="shared" si="260"/>
        <v>-16347</v>
      </c>
      <c r="AA240" s="117">
        <f t="shared" si="260"/>
        <v>-14793.39159</v>
      </c>
      <c r="AB240" s="117">
        <f t="shared" si="260"/>
        <v>-15734.06658</v>
      </c>
      <c r="AC240" s="117">
        <f t="shared" si="260"/>
        <v>-15825.46229</v>
      </c>
      <c r="AD240" s="117">
        <f t="shared" si="260"/>
        <v>-16625.98624</v>
      </c>
      <c r="AE240" s="117">
        <f t="shared" si="260"/>
        <v>-17273.08437</v>
      </c>
      <c r="AF240" s="117">
        <f t="shared" si="260"/>
        <v>-17951.88226</v>
      </c>
      <c r="AG240" s="117">
        <f t="shared" si="260"/>
        <v>-18567.04019</v>
      </c>
      <c r="AH240" s="117">
        <f t="shared" si="260"/>
        <v>-19126.16263</v>
      </c>
      <c r="AI240" s="117">
        <f t="shared" si="260"/>
        <v>-19785.87602</v>
      </c>
      <c r="AJ240" s="117">
        <f t="shared" si="260"/>
        <v>-20485.29163</v>
      </c>
      <c r="AK240" s="117">
        <f t="shared" si="260"/>
        <v>-21381.67363</v>
      </c>
      <c r="AL240" s="117">
        <f t="shared" si="260"/>
        <v>-22214.43288</v>
      </c>
      <c r="AM240" s="117">
        <f t="shared" si="260"/>
        <v>-23037.01539</v>
      </c>
      <c r="AN240" s="117">
        <f t="shared" si="260"/>
        <v>4797.08099</v>
      </c>
      <c r="AO240" s="117">
        <f t="shared" si="260"/>
        <v>4687.418654</v>
      </c>
      <c r="AP240" s="117">
        <f t="shared" si="260"/>
        <v>4676.808813</v>
      </c>
      <c r="AQ240" s="117">
        <f t="shared" si="260"/>
        <v>4724.003375</v>
      </c>
      <c r="AR240" s="117">
        <f t="shared" si="260"/>
        <v>4787.505176</v>
      </c>
      <c r="AS240" s="117">
        <f t="shared" si="260"/>
        <v>4858.534442</v>
      </c>
      <c r="AT240" s="117">
        <f t="shared" si="260"/>
        <v>4917.164889</v>
      </c>
      <c r="AU240" s="117">
        <f t="shared" si="260"/>
        <v>4954.251763</v>
      </c>
      <c r="AV240" s="117">
        <f t="shared" si="260"/>
        <v>4981.358342</v>
      </c>
      <c r="AW240" s="117">
        <f t="shared" si="260"/>
        <v>4991.826337</v>
      </c>
      <c r="AX240" s="117">
        <f t="shared" si="260"/>
        <v>4985.685682</v>
      </c>
      <c r="AY240" s="117">
        <f t="shared" si="260"/>
        <v>4963.002521</v>
      </c>
      <c r="AZ240" s="117">
        <f t="shared" si="260"/>
        <v>5841.808106</v>
      </c>
      <c r="BA240" s="117">
        <f t="shared" si="260"/>
        <v>6289.621354</v>
      </c>
      <c r="BB240" s="117">
        <f t="shared" si="260"/>
        <v>6673.23033</v>
      </c>
      <c r="BC240" s="117">
        <f t="shared" si="260"/>
        <v>7049.169393</v>
      </c>
      <c r="BD240" s="117">
        <f t="shared" si="260"/>
        <v>7418.676947</v>
      </c>
      <c r="BE240" s="117">
        <f t="shared" si="260"/>
        <v>7782.490884</v>
      </c>
      <c r="BF240" s="117">
        <f t="shared" si="260"/>
        <v>8141.156954</v>
      </c>
      <c r="BG240" s="117">
        <f t="shared" si="260"/>
        <v>8495.119266</v>
      </c>
      <c r="BH240" s="117">
        <f t="shared" si="260"/>
        <v>8844.756411</v>
      </c>
      <c r="BI240" s="117">
        <f t="shared" si="260"/>
        <v>9190.400444</v>
      </c>
      <c r="BJ240" s="117">
        <f t="shared" si="260"/>
        <v>9532.348397</v>
      </c>
      <c r="BK240" s="117">
        <f t="shared" si="260"/>
        <v>9870.870268</v>
      </c>
      <c r="BL240" s="117">
        <f t="shared" si="260"/>
        <v>11619.21463</v>
      </c>
      <c r="BM240" s="117">
        <f t="shared" si="260"/>
        <v>12056.06921</v>
      </c>
      <c r="BN240" s="117">
        <f t="shared" si="260"/>
        <v>12500.62534</v>
      </c>
      <c r="BO240" s="117">
        <f t="shared" si="260"/>
        <v>12921.67769</v>
      </c>
      <c r="BP240" s="117">
        <f t="shared" si="260"/>
        <v>13329.92058</v>
      </c>
      <c r="BQ240" s="117">
        <f t="shared" si="260"/>
        <v>13728.2615</v>
      </c>
      <c r="BR240" s="117">
        <f t="shared" si="260"/>
        <v>14118.8819</v>
      </c>
      <c r="BS240" s="117">
        <f t="shared" si="260"/>
        <v>14503.40605</v>
      </c>
      <c r="BT240" s="117">
        <f t="shared" si="260"/>
        <v>14883.05959</v>
      </c>
      <c r="BU240" s="117">
        <f t="shared" si="260"/>
        <v>15258.7803</v>
      </c>
      <c r="BV240" s="117">
        <f t="shared" si="260"/>
        <v>15631.29532</v>
      </c>
      <c r="BW240" s="117">
        <f t="shared" si="260"/>
        <v>16001.17612</v>
      </c>
      <c r="BX240" s="117">
        <f t="shared" si="260"/>
        <v>16429.20728</v>
      </c>
      <c r="BY240" s="117">
        <f t="shared" si="260"/>
        <v>17844.22994</v>
      </c>
      <c r="BZ240" s="117">
        <f t="shared" si="260"/>
        <v>18065.22868</v>
      </c>
      <c r="CA240" s="117">
        <f t="shared" si="260"/>
        <v>18318.53769</v>
      </c>
      <c r="CB240" s="117">
        <f t="shared" si="260"/>
        <v>18590.87659</v>
      </c>
      <c r="CC240" s="117">
        <f t="shared" si="260"/>
        <v>18874.45789</v>
      </c>
      <c r="CD240" s="117">
        <f t="shared" si="260"/>
        <v>19165.77713</v>
      </c>
      <c r="CE240" s="117">
        <f t="shared" si="260"/>
        <v>19462.94493</v>
      </c>
      <c r="CF240" s="117">
        <f t="shared" si="260"/>
        <v>19764.80013</v>
      </c>
      <c r="CG240" s="117">
        <f t="shared" si="260"/>
        <v>20070.56932</v>
      </c>
      <c r="CH240" s="117">
        <f t="shared" si="260"/>
        <v>20379.7158</v>
      </c>
      <c r="CI240" s="117">
        <f t="shared" si="260"/>
        <v>20691.86144</v>
      </c>
      <c r="CL240" s="117">
        <f t="shared" si="247"/>
        <v>-54033</v>
      </c>
      <c r="CM240" s="117">
        <f t="shared" si="248"/>
        <v>-44804</v>
      </c>
      <c r="CN240" s="117">
        <f t="shared" si="249"/>
        <v>-54462</v>
      </c>
      <c r="CO240" s="117">
        <f t="shared" si="250"/>
        <v>-43035</v>
      </c>
      <c r="CP240" s="117">
        <f t="shared" si="251"/>
        <v>-52996</v>
      </c>
      <c r="CQ240" s="117">
        <f t="shared" si="252"/>
        <v>-59537.39159</v>
      </c>
    </row>
    <row r="241" ht="15.75" customHeight="1">
      <c r="A241" s="1" t="s">
        <v>415</v>
      </c>
      <c r="B241" s="91" t="s">
        <v>63</v>
      </c>
      <c r="C241" s="132" t="s">
        <v>214</v>
      </c>
      <c r="D241" s="117">
        <f t="shared" ref="D241:CI241" si="261">D277-SUM(D213,D181,D115,D83,D51,D19)</f>
        <v>-11699</v>
      </c>
      <c r="E241" s="117">
        <f t="shared" si="261"/>
        <v>-10329</v>
      </c>
      <c r="F241" s="117">
        <f t="shared" si="261"/>
        <v>-7878</v>
      </c>
      <c r="G241" s="117">
        <f t="shared" si="261"/>
        <v>-10553</v>
      </c>
      <c r="H241" s="117">
        <f t="shared" si="261"/>
        <v>-9521</v>
      </c>
      <c r="I241" s="117">
        <f t="shared" si="261"/>
        <v>-13201</v>
      </c>
      <c r="J241" s="117">
        <f t="shared" si="261"/>
        <v>-16039</v>
      </c>
      <c r="K241" s="117">
        <f t="shared" si="261"/>
        <v>-13510</v>
      </c>
      <c r="L241" s="117">
        <f t="shared" si="261"/>
        <v>-15650</v>
      </c>
      <c r="M241" s="117">
        <f t="shared" si="261"/>
        <v>-6577</v>
      </c>
      <c r="N241" s="117">
        <f t="shared" si="261"/>
        <v>-14109</v>
      </c>
      <c r="O241" s="117">
        <f t="shared" si="261"/>
        <v>-19603</v>
      </c>
      <c r="P241" s="117">
        <f t="shared" si="261"/>
        <v>-15479</v>
      </c>
      <c r="Q241" s="117">
        <f t="shared" si="261"/>
        <v>-15256</v>
      </c>
      <c r="R241" s="117">
        <f t="shared" si="261"/>
        <v>-11242</v>
      </c>
      <c r="S241" s="117">
        <f t="shared" si="261"/>
        <v>-9580</v>
      </c>
      <c r="T241" s="117">
        <f t="shared" si="261"/>
        <v>-12459</v>
      </c>
      <c r="U241" s="117">
        <f t="shared" si="261"/>
        <v>-13483</v>
      </c>
      <c r="V241" s="117">
        <f t="shared" si="261"/>
        <v>-9729</v>
      </c>
      <c r="W241" s="117">
        <f t="shared" si="261"/>
        <v>-9746</v>
      </c>
      <c r="X241" s="117">
        <f t="shared" si="261"/>
        <v>-14770</v>
      </c>
      <c r="Y241" s="117">
        <f t="shared" si="261"/>
        <v>-14183</v>
      </c>
      <c r="Z241" s="117">
        <f t="shared" si="261"/>
        <v>-16232</v>
      </c>
      <c r="AA241" s="117">
        <f t="shared" si="261"/>
        <v>1186.441301</v>
      </c>
      <c r="AB241" s="117">
        <f t="shared" si="261"/>
        <v>1270.914108</v>
      </c>
      <c r="AC241" s="117">
        <f t="shared" si="261"/>
        <v>1346.203335</v>
      </c>
      <c r="AD241" s="117">
        <f t="shared" si="261"/>
        <v>1411.338309</v>
      </c>
      <c r="AE241" s="117">
        <f t="shared" si="261"/>
        <v>1469.515195</v>
      </c>
      <c r="AF241" s="117">
        <f t="shared" si="261"/>
        <v>1500.232295</v>
      </c>
      <c r="AG241" s="117">
        <f t="shared" si="261"/>
        <v>1527.759174</v>
      </c>
      <c r="AH241" s="117">
        <f t="shared" si="261"/>
        <v>1545.002959</v>
      </c>
      <c r="AI241" s="117">
        <f t="shared" si="261"/>
        <v>1559.915933</v>
      </c>
      <c r="AJ241" s="117">
        <f t="shared" si="261"/>
        <v>1579.540318</v>
      </c>
      <c r="AK241" s="117">
        <f t="shared" si="261"/>
        <v>1602.579883</v>
      </c>
      <c r="AL241" s="117">
        <f t="shared" si="261"/>
        <v>1622.707124</v>
      </c>
      <c r="AM241" s="117">
        <f t="shared" si="261"/>
        <v>1641.087428</v>
      </c>
      <c r="AN241" s="117">
        <f t="shared" si="261"/>
        <v>1652.529221</v>
      </c>
      <c r="AO241" s="117">
        <f t="shared" si="261"/>
        <v>1668.328325</v>
      </c>
      <c r="AP241" s="117">
        <f t="shared" si="261"/>
        <v>1688.594432</v>
      </c>
      <c r="AQ241" s="117">
        <f t="shared" si="261"/>
        <v>1706.589473</v>
      </c>
      <c r="AR241" s="117">
        <f t="shared" si="261"/>
        <v>1722.89484</v>
      </c>
      <c r="AS241" s="117">
        <f t="shared" si="261"/>
        <v>1739.281383</v>
      </c>
      <c r="AT241" s="117">
        <f t="shared" si="261"/>
        <v>1754.40569</v>
      </c>
      <c r="AU241" s="117">
        <f t="shared" si="261"/>
        <v>1768.594134</v>
      </c>
      <c r="AV241" s="117">
        <f t="shared" si="261"/>
        <v>1782.090577</v>
      </c>
      <c r="AW241" s="117">
        <f t="shared" si="261"/>
        <v>1795.077244</v>
      </c>
      <c r="AX241" s="117">
        <f t="shared" si="261"/>
        <v>1807.690323</v>
      </c>
      <c r="AY241" s="117">
        <f t="shared" si="261"/>
        <v>1820.031607</v>
      </c>
      <c r="AZ241" s="117">
        <f t="shared" si="261"/>
        <v>1836.368184</v>
      </c>
      <c r="BA241" s="117">
        <f t="shared" si="261"/>
        <v>1852.234939</v>
      </c>
      <c r="BB241" s="117">
        <f t="shared" si="261"/>
        <v>1867.041753</v>
      </c>
      <c r="BC241" s="117">
        <f t="shared" si="261"/>
        <v>1881.064159</v>
      </c>
      <c r="BD241" s="117">
        <f t="shared" si="261"/>
        <v>1894.508044</v>
      </c>
      <c r="BE241" s="117">
        <f t="shared" si="261"/>
        <v>1907.527265</v>
      </c>
      <c r="BF241" s="117">
        <f t="shared" si="261"/>
        <v>1920.23682</v>
      </c>
      <c r="BG241" s="117">
        <f t="shared" si="261"/>
        <v>1932.722674</v>
      </c>
      <c r="BH241" s="117">
        <f t="shared" si="261"/>
        <v>1945.049107</v>
      </c>
      <c r="BI241" s="117">
        <f t="shared" si="261"/>
        <v>1957.264203</v>
      </c>
      <c r="BJ241" s="117">
        <f t="shared" si="261"/>
        <v>1969.403944</v>
      </c>
      <c r="BK241" s="117">
        <f t="shared" si="261"/>
        <v>1981.495276</v>
      </c>
      <c r="BL241" s="117">
        <f t="shared" si="261"/>
        <v>2000.905443</v>
      </c>
      <c r="BM241" s="117">
        <f t="shared" si="261"/>
        <v>2019.851224</v>
      </c>
      <c r="BN241" s="117">
        <f t="shared" si="261"/>
        <v>2035.227183</v>
      </c>
      <c r="BO241" s="117">
        <f t="shared" si="261"/>
        <v>2050.488425</v>
      </c>
      <c r="BP241" s="117">
        <f t="shared" si="261"/>
        <v>2065.675755</v>
      </c>
      <c r="BQ241" s="117">
        <f t="shared" si="261"/>
        <v>2080.819857</v>
      </c>
      <c r="BR241" s="117">
        <f t="shared" si="261"/>
        <v>2095.943857</v>
      </c>
      <c r="BS241" s="117">
        <f t="shared" si="261"/>
        <v>2111.06524</v>
      </c>
      <c r="BT241" s="117">
        <f t="shared" si="261"/>
        <v>2126.197285</v>
      </c>
      <c r="BU241" s="117">
        <f t="shared" si="261"/>
        <v>2141.350131</v>
      </c>
      <c r="BV241" s="117">
        <f t="shared" si="261"/>
        <v>2156.531582</v>
      </c>
      <c r="BW241" s="117">
        <f t="shared" si="261"/>
        <v>2171.747701</v>
      </c>
      <c r="BX241" s="117">
        <f t="shared" si="261"/>
        <v>2187.556415</v>
      </c>
      <c r="BY241" s="117">
        <f t="shared" si="261"/>
        <v>2185.073035</v>
      </c>
      <c r="BZ241" s="117">
        <f t="shared" si="261"/>
        <v>2184.029775</v>
      </c>
      <c r="CA241" s="117">
        <f t="shared" si="261"/>
        <v>2186.707188</v>
      </c>
      <c r="CB241" s="117">
        <f t="shared" si="261"/>
        <v>2192.175271</v>
      </c>
      <c r="CC241" s="117">
        <f t="shared" si="261"/>
        <v>2199.73927</v>
      </c>
      <c r="CD241" s="117">
        <f t="shared" si="261"/>
        <v>2208.880163</v>
      </c>
      <c r="CE241" s="117">
        <f t="shared" si="261"/>
        <v>2219.210203</v>
      </c>
      <c r="CF241" s="117">
        <f t="shared" si="261"/>
        <v>2230.439712</v>
      </c>
      <c r="CG241" s="117">
        <f t="shared" si="261"/>
        <v>2242.352268</v>
      </c>
      <c r="CH241" s="117">
        <f t="shared" si="261"/>
        <v>2254.786178</v>
      </c>
      <c r="CI241" s="117">
        <f t="shared" si="261"/>
        <v>2267.62063</v>
      </c>
      <c r="CL241" s="117">
        <f t="shared" si="247"/>
        <v>-40459</v>
      </c>
      <c r="CM241" s="117">
        <f t="shared" si="248"/>
        <v>-52271</v>
      </c>
      <c r="CN241" s="117">
        <f t="shared" si="249"/>
        <v>-55939</v>
      </c>
      <c r="CO241" s="117">
        <f t="shared" si="250"/>
        <v>-51557</v>
      </c>
      <c r="CP241" s="117">
        <f t="shared" si="251"/>
        <v>-45417</v>
      </c>
      <c r="CQ241" s="117">
        <f t="shared" si="252"/>
        <v>-43998.5587</v>
      </c>
    </row>
    <row r="242" ht="15.75" customHeight="1">
      <c r="A242" s="1" t="s">
        <v>415</v>
      </c>
      <c r="B242" s="91" t="s">
        <v>65</v>
      </c>
      <c r="C242" s="132" t="s">
        <v>215</v>
      </c>
      <c r="D242" s="117">
        <f t="shared" ref="D242:CI242" si="262">D278-SUM(D214,D182,D116,D84,D52,D20)</f>
        <v>-9074</v>
      </c>
      <c r="E242" s="117">
        <f t="shared" si="262"/>
        <v>-13864</v>
      </c>
      <c r="F242" s="117">
        <f t="shared" si="262"/>
        <v>-5974</v>
      </c>
      <c r="G242" s="117">
        <f t="shared" si="262"/>
        <v>-15017</v>
      </c>
      <c r="H242" s="117">
        <f t="shared" si="262"/>
        <v>-13584</v>
      </c>
      <c r="I242" s="117">
        <f t="shared" si="262"/>
        <v>-8173</v>
      </c>
      <c r="J242" s="117">
        <f t="shared" si="262"/>
        <v>-10473</v>
      </c>
      <c r="K242" s="117">
        <f t="shared" si="262"/>
        <v>-13089</v>
      </c>
      <c r="L242" s="117">
        <f t="shared" si="262"/>
        <v>-14839</v>
      </c>
      <c r="M242" s="117">
        <f t="shared" si="262"/>
        <v>-16405</v>
      </c>
      <c r="N242" s="117">
        <f t="shared" si="262"/>
        <v>-9281</v>
      </c>
      <c r="O242" s="117">
        <f t="shared" si="262"/>
        <v>-18510</v>
      </c>
      <c r="P242" s="117">
        <f t="shared" si="262"/>
        <v>-7371</v>
      </c>
      <c r="Q242" s="117">
        <f t="shared" si="262"/>
        <v>-17850</v>
      </c>
      <c r="R242" s="117">
        <f t="shared" si="262"/>
        <v>-8214</v>
      </c>
      <c r="S242" s="117">
        <f t="shared" si="262"/>
        <v>-11332</v>
      </c>
      <c r="T242" s="117">
        <f t="shared" si="262"/>
        <v>-12291</v>
      </c>
      <c r="U242" s="117">
        <f t="shared" si="262"/>
        <v>-13662</v>
      </c>
      <c r="V242" s="117">
        <f t="shared" si="262"/>
        <v>-15313</v>
      </c>
      <c r="W242" s="117">
        <f t="shared" si="262"/>
        <v>-14777</v>
      </c>
      <c r="X242" s="117">
        <f t="shared" si="262"/>
        <v>-19852</v>
      </c>
      <c r="Y242" s="117">
        <f t="shared" si="262"/>
        <v>-7216</v>
      </c>
      <c r="Z242" s="117">
        <f t="shared" si="262"/>
        <v>-15472</v>
      </c>
      <c r="AA242" s="117">
        <f t="shared" si="262"/>
        <v>0</v>
      </c>
      <c r="AB242" s="117">
        <f t="shared" si="262"/>
        <v>0</v>
      </c>
      <c r="AC242" s="117">
        <f t="shared" si="262"/>
        <v>0</v>
      </c>
      <c r="AD242" s="117">
        <f t="shared" si="262"/>
        <v>0</v>
      </c>
      <c r="AE242" s="117">
        <f t="shared" si="262"/>
        <v>0</v>
      </c>
      <c r="AF242" s="117">
        <f t="shared" si="262"/>
        <v>0</v>
      </c>
      <c r="AG242" s="117">
        <f t="shared" si="262"/>
        <v>0</v>
      </c>
      <c r="AH242" s="117">
        <f t="shared" si="262"/>
        <v>0</v>
      </c>
      <c r="AI242" s="117">
        <f t="shared" si="262"/>
        <v>0</v>
      </c>
      <c r="AJ242" s="117">
        <f t="shared" si="262"/>
        <v>0</v>
      </c>
      <c r="AK242" s="117">
        <f t="shared" si="262"/>
        <v>0</v>
      </c>
      <c r="AL242" s="117">
        <f t="shared" si="262"/>
        <v>0</v>
      </c>
      <c r="AM242" s="117">
        <f t="shared" si="262"/>
        <v>0</v>
      </c>
      <c r="AN242" s="117">
        <f t="shared" si="262"/>
        <v>0</v>
      </c>
      <c r="AO242" s="117">
        <f t="shared" si="262"/>
        <v>0</v>
      </c>
      <c r="AP242" s="117">
        <f t="shared" si="262"/>
        <v>0</v>
      </c>
      <c r="AQ242" s="117">
        <f t="shared" si="262"/>
        <v>0</v>
      </c>
      <c r="AR242" s="117">
        <f t="shared" si="262"/>
        <v>0</v>
      </c>
      <c r="AS242" s="117">
        <f t="shared" si="262"/>
        <v>0</v>
      </c>
      <c r="AT242" s="117">
        <f t="shared" si="262"/>
        <v>0</v>
      </c>
      <c r="AU242" s="117">
        <f t="shared" si="262"/>
        <v>0</v>
      </c>
      <c r="AV242" s="117">
        <f t="shared" si="262"/>
        <v>0</v>
      </c>
      <c r="AW242" s="117">
        <f t="shared" si="262"/>
        <v>0</v>
      </c>
      <c r="AX242" s="117">
        <f t="shared" si="262"/>
        <v>0</v>
      </c>
      <c r="AY242" s="117">
        <f t="shared" si="262"/>
        <v>0</v>
      </c>
      <c r="AZ242" s="117">
        <f t="shared" si="262"/>
        <v>0</v>
      </c>
      <c r="BA242" s="117">
        <f t="shared" si="262"/>
        <v>0</v>
      </c>
      <c r="BB242" s="117">
        <f t="shared" si="262"/>
        <v>0</v>
      </c>
      <c r="BC242" s="117">
        <f t="shared" si="262"/>
        <v>0</v>
      </c>
      <c r="BD242" s="117">
        <f t="shared" si="262"/>
        <v>0</v>
      </c>
      <c r="BE242" s="117">
        <f t="shared" si="262"/>
        <v>0</v>
      </c>
      <c r="BF242" s="117">
        <f t="shared" si="262"/>
        <v>0</v>
      </c>
      <c r="BG242" s="117">
        <f t="shared" si="262"/>
        <v>0</v>
      </c>
      <c r="BH242" s="117">
        <f t="shared" si="262"/>
        <v>0</v>
      </c>
      <c r="BI242" s="117">
        <f t="shared" si="262"/>
        <v>0</v>
      </c>
      <c r="BJ242" s="117">
        <f t="shared" si="262"/>
        <v>0</v>
      </c>
      <c r="BK242" s="117">
        <f t="shared" si="262"/>
        <v>0</v>
      </c>
      <c r="BL242" s="117">
        <f t="shared" si="262"/>
        <v>0</v>
      </c>
      <c r="BM242" s="117">
        <f t="shared" si="262"/>
        <v>0</v>
      </c>
      <c r="BN242" s="117">
        <f t="shared" si="262"/>
        <v>0</v>
      </c>
      <c r="BO242" s="117">
        <f t="shared" si="262"/>
        <v>0</v>
      </c>
      <c r="BP242" s="117">
        <f t="shared" si="262"/>
        <v>0</v>
      </c>
      <c r="BQ242" s="117">
        <f t="shared" si="262"/>
        <v>0</v>
      </c>
      <c r="BR242" s="117">
        <f t="shared" si="262"/>
        <v>0</v>
      </c>
      <c r="BS242" s="117">
        <f t="shared" si="262"/>
        <v>0</v>
      </c>
      <c r="BT242" s="117">
        <f t="shared" si="262"/>
        <v>0</v>
      </c>
      <c r="BU242" s="117">
        <f t="shared" si="262"/>
        <v>0</v>
      </c>
      <c r="BV242" s="117">
        <f t="shared" si="262"/>
        <v>0</v>
      </c>
      <c r="BW242" s="117">
        <f t="shared" si="262"/>
        <v>0</v>
      </c>
      <c r="BX242" s="117">
        <f t="shared" si="262"/>
        <v>0</v>
      </c>
      <c r="BY242" s="117">
        <f t="shared" si="262"/>
        <v>0</v>
      </c>
      <c r="BZ242" s="117">
        <f t="shared" si="262"/>
        <v>0</v>
      </c>
      <c r="CA242" s="117">
        <f t="shared" si="262"/>
        <v>0</v>
      </c>
      <c r="CB242" s="117">
        <f t="shared" si="262"/>
        <v>0</v>
      </c>
      <c r="CC242" s="117">
        <f t="shared" si="262"/>
        <v>0</v>
      </c>
      <c r="CD242" s="117">
        <f t="shared" si="262"/>
        <v>0</v>
      </c>
      <c r="CE242" s="117">
        <f t="shared" si="262"/>
        <v>0</v>
      </c>
      <c r="CF242" s="117">
        <f t="shared" si="262"/>
        <v>0</v>
      </c>
      <c r="CG242" s="117">
        <f t="shared" si="262"/>
        <v>0</v>
      </c>
      <c r="CH242" s="117">
        <f t="shared" si="262"/>
        <v>0</v>
      </c>
      <c r="CI242" s="117">
        <f t="shared" si="262"/>
        <v>0</v>
      </c>
      <c r="CL242" s="117">
        <f t="shared" si="247"/>
        <v>-43929</v>
      </c>
      <c r="CM242" s="117">
        <f t="shared" si="248"/>
        <v>-45319</v>
      </c>
      <c r="CN242" s="117">
        <f t="shared" si="249"/>
        <v>-59035</v>
      </c>
      <c r="CO242" s="117">
        <f t="shared" si="250"/>
        <v>-44767</v>
      </c>
      <c r="CP242" s="117">
        <f t="shared" si="251"/>
        <v>-56043</v>
      </c>
      <c r="CQ242" s="117">
        <f t="shared" si="252"/>
        <v>-42540</v>
      </c>
    </row>
    <row r="243" ht="15.75" customHeight="1">
      <c r="A243" s="1" t="s">
        <v>415</v>
      </c>
      <c r="B243" s="91" t="s">
        <v>69</v>
      </c>
      <c r="C243" s="132" t="s">
        <v>216</v>
      </c>
      <c r="D243" s="117">
        <f t="shared" ref="D243:CI243" si="263">D279-SUM(D215,D183,D117,D85,D53,D21)</f>
        <v>-16804</v>
      </c>
      <c r="E243" s="117">
        <f t="shared" si="263"/>
        <v>-6564</v>
      </c>
      <c r="F243" s="117">
        <f t="shared" si="263"/>
        <v>-16140</v>
      </c>
      <c r="G243" s="117">
        <f t="shared" si="263"/>
        <v>-15571</v>
      </c>
      <c r="H243" s="117">
        <f t="shared" si="263"/>
        <v>-13664</v>
      </c>
      <c r="I243" s="117">
        <f t="shared" si="263"/>
        <v>-7358</v>
      </c>
      <c r="J243" s="117">
        <f t="shared" si="263"/>
        <v>-17138</v>
      </c>
      <c r="K243" s="117">
        <f t="shared" si="263"/>
        <v>-12491</v>
      </c>
      <c r="L243" s="117">
        <f t="shared" si="263"/>
        <v>-13497</v>
      </c>
      <c r="M243" s="117">
        <f t="shared" si="263"/>
        <v>-10785</v>
      </c>
      <c r="N243" s="117">
        <f t="shared" si="263"/>
        <v>-10752</v>
      </c>
      <c r="O243" s="117">
        <f t="shared" si="263"/>
        <v>-19472</v>
      </c>
      <c r="P243" s="117">
        <f t="shared" si="263"/>
        <v>-16966</v>
      </c>
      <c r="Q243" s="117">
        <f t="shared" si="263"/>
        <v>-9047</v>
      </c>
      <c r="R243" s="117">
        <f t="shared" si="263"/>
        <v>-11077</v>
      </c>
      <c r="S243" s="117">
        <f t="shared" si="263"/>
        <v>-11154</v>
      </c>
      <c r="T243" s="117">
        <f t="shared" si="263"/>
        <v>-10836</v>
      </c>
      <c r="U243" s="117">
        <f t="shared" si="263"/>
        <v>-16618</v>
      </c>
      <c r="V243" s="117">
        <f t="shared" si="263"/>
        <v>-9050</v>
      </c>
      <c r="W243" s="117">
        <f t="shared" si="263"/>
        <v>-13478</v>
      </c>
      <c r="X243" s="117">
        <f t="shared" si="263"/>
        <v>-12974</v>
      </c>
      <c r="Y243" s="117">
        <f t="shared" si="263"/>
        <v>-14772</v>
      </c>
      <c r="Z243" s="117">
        <f t="shared" si="263"/>
        <v>-14998</v>
      </c>
      <c r="AA243" s="117">
        <f t="shared" si="263"/>
        <v>399.072</v>
      </c>
      <c r="AB243" s="117">
        <f t="shared" si="263"/>
        <v>879.072</v>
      </c>
      <c r="AC243" s="117">
        <f t="shared" si="263"/>
        <v>879.072</v>
      </c>
      <c r="AD243" s="117">
        <f t="shared" si="263"/>
        <v>879.072</v>
      </c>
      <c r="AE243" s="117">
        <f t="shared" si="263"/>
        <v>879.072</v>
      </c>
      <c r="AF243" s="117">
        <f t="shared" si="263"/>
        <v>1359.072</v>
      </c>
      <c r="AG243" s="117">
        <f t="shared" si="263"/>
        <v>1359.072</v>
      </c>
      <c r="AH243" s="117">
        <f t="shared" si="263"/>
        <v>1359.072</v>
      </c>
      <c r="AI243" s="117">
        <f t="shared" si="263"/>
        <v>1359.072</v>
      </c>
      <c r="AJ243" s="117">
        <f t="shared" si="263"/>
        <v>1839.072</v>
      </c>
      <c r="AK243" s="117">
        <f t="shared" si="263"/>
        <v>1839.072</v>
      </c>
      <c r="AL243" s="117">
        <f t="shared" si="263"/>
        <v>1839.072</v>
      </c>
      <c r="AM243" s="117">
        <f t="shared" si="263"/>
        <v>1839.072</v>
      </c>
      <c r="AN243" s="117">
        <f t="shared" si="263"/>
        <v>1839.072</v>
      </c>
      <c r="AO243" s="117">
        <f t="shared" si="263"/>
        <v>1839.072</v>
      </c>
      <c r="AP243" s="117">
        <f t="shared" si="263"/>
        <v>1839.072</v>
      </c>
      <c r="AQ243" s="117">
        <f t="shared" si="263"/>
        <v>1839.072</v>
      </c>
      <c r="AR243" s="117">
        <f t="shared" si="263"/>
        <v>1839.072</v>
      </c>
      <c r="AS243" s="117">
        <f t="shared" si="263"/>
        <v>1839.072</v>
      </c>
      <c r="AT243" s="117">
        <f t="shared" si="263"/>
        <v>1839.072</v>
      </c>
      <c r="AU243" s="117">
        <f t="shared" si="263"/>
        <v>1839.072</v>
      </c>
      <c r="AV243" s="117">
        <f t="shared" si="263"/>
        <v>2223.072</v>
      </c>
      <c r="AW243" s="117">
        <f t="shared" si="263"/>
        <v>2223.072</v>
      </c>
      <c r="AX243" s="117">
        <f t="shared" si="263"/>
        <v>2223.072</v>
      </c>
      <c r="AY243" s="117">
        <f t="shared" si="263"/>
        <v>2223.072</v>
      </c>
      <c r="AZ243" s="117">
        <f t="shared" si="263"/>
        <v>3183.072</v>
      </c>
      <c r="BA243" s="117">
        <f t="shared" si="263"/>
        <v>3183.072</v>
      </c>
      <c r="BB243" s="117">
        <f t="shared" si="263"/>
        <v>3183.072</v>
      </c>
      <c r="BC243" s="117">
        <f t="shared" si="263"/>
        <v>3183.072</v>
      </c>
      <c r="BD243" s="117">
        <f t="shared" si="263"/>
        <v>4143.072</v>
      </c>
      <c r="BE243" s="117">
        <f t="shared" si="263"/>
        <v>4143.072</v>
      </c>
      <c r="BF243" s="117">
        <f t="shared" si="263"/>
        <v>4143.072</v>
      </c>
      <c r="BG243" s="117">
        <f t="shared" si="263"/>
        <v>4143.072</v>
      </c>
      <c r="BH243" s="117">
        <f t="shared" si="263"/>
        <v>5103.072</v>
      </c>
      <c r="BI243" s="117">
        <f t="shared" si="263"/>
        <v>5103.072</v>
      </c>
      <c r="BJ243" s="117">
        <f t="shared" si="263"/>
        <v>5103.072</v>
      </c>
      <c r="BK243" s="117">
        <f t="shared" si="263"/>
        <v>5103.072</v>
      </c>
      <c r="BL243" s="117">
        <f t="shared" si="263"/>
        <v>5122.272</v>
      </c>
      <c r="BM243" s="117">
        <f t="shared" si="263"/>
        <v>5122.272</v>
      </c>
      <c r="BN243" s="117">
        <f t="shared" si="263"/>
        <v>5122.272</v>
      </c>
      <c r="BO243" s="117">
        <f t="shared" si="263"/>
        <v>5122.272</v>
      </c>
      <c r="BP243" s="117">
        <f t="shared" si="263"/>
        <v>5141.472</v>
      </c>
      <c r="BQ243" s="117">
        <f t="shared" si="263"/>
        <v>5141.472</v>
      </c>
      <c r="BR243" s="117">
        <f t="shared" si="263"/>
        <v>5141.472</v>
      </c>
      <c r="BS243" s="117">
        <f t="shared" si="263"/>
        <v>5141.472</v>
      </c>
      <c r="BT243" s="117">
        <f t="shared" si="263"/>
        <v>5160.672</v>
      </c>
      <c r="BU243" s="117">
        <f t="shared" si="263"/>
        <v>5160.672</v>
      </c>
      <c r="BV243" s="117">
        <f t="shared" si="263"/>
        <v>5160.672</v>
      </c>
      <c r="BW243" s="117">
        <f t="shared" si="263"/>
        <v>5160.672</v>
      </c>
      <c r="BX243" s="117">
        <f t="shared" si="263"/>
        <v>5179.872</v>
      </c>
      <c r="BY243" s="117">
        <f t="shared" si="263"/>
        <v>5179.872</v>
      </c>
      <c r="BZ243" s="117">
        <f t="shared" si="263"/>
        <v>5179.872</v>
      </c>
      <c r="CA243" s="117">
        <f t="shared" si="263"/>
        <v>5179.872</v>
      </c>
      <c r="CB243" s="117">
        <f t="shared" si="263"/>
        <v>5199.072</v>
      </c>
      <c r="CC243" s="117">
        <f t="shared" si="263"/>
        <v>5199.072</v>
      </c>
      <c r="CD243" s="117">
        <f t="shared" si="263"/>
        <v>5199.072</v>
      </c>
      <c r="CE243" s="117">
        <f t="shared" si="263"/>
        <v>5199.072</v>
      </c>
      <c r="CF243" s="117">
        <f t="shared" si="263"/>
        <v>5439.072</v>
      </c>
      <c r="CG243" s="117">
        <f t="shared" si="263"/>
        <v>5439.072</v>
      </c>
      <c r="CH243" s="117">
        <f t="shared" si="263"/>
        <v>5439.072</v>
      </c>
      <c r="CI243" s="117">
        <f t="shared" si="263"/>
        <v>5439.072</v>
      </c>
      <c r="CJ243" s="1"/>
      <c r="CK243" s="1"/>
      <c r="CL243" s="117"/>
      <c r="CM243" s="117"/>
      <c r="CN243" s="117"/>
      <c r="CO243" s="117"/>
      <c r="CP243" s="117"/>
      <c r="CQ243" s="117"/>
    </row>
    <row r="244" ht="15.75" customHeight="1">
      <c r="A244" s="8" t="s">
        <v>415</v>
      </c>
      <c r="B244" s="8" t="s">
        <v>71</v>
      </c>
      <c r="C244" s="521" t="s">
        <v>217</v>
      </c>
      <c r="D244" s="117">
        <f t="shared" ref="D244:T244" si="264">D280-SUM(D216,D184,D118,D86,D54,D22)</f>
        <v>0</v>
      </c>
      <c r="E244" s="117">
        <f t="shared" si="264"/>
        <v>0</v>
      </c>
      <c r="F244" s="117">
        <f t="shared" si="264"/>
        <v>0</v>
      </c>
      <c r="G244" s="117">
        <f t="shared" si="264"/>
        <v>0</v>
      </c>
      <c r="H244" s="117">
        <f t="shared" si="264"/>
        <v>0</v>
      </c>
      <c r="I244" s="117">
        <f t="shared" si="264"/>
        <v>0</v>
      </c>
      <c r="J244" s="117">
        <f t="shared" si="264"/>
        <v>0</v>
      </c>
      <c r="K244" s="117">
        <f t="shared" si="264"/>
        <v>0</v>
      </c>
      <c r="L244" s="117">
        <f t="shared" si="264"/>
        <v>0</v>
      </c>
      <c r="M244" s="117">
        <f t="shared" si="264"/>
        <v>0</v>
      </c>
      <c r="N244" s="117">
        <f t="shared" si="264"/>
        <v>0</v>
      </c>
      <c r="O244" s="117">
        <f t="shared" si="264"/>
        <v>0</v>
      </c>
      <c r="P244" s="117">
        <f t="shared" si="264"/>
        <v>0</v>
      </c>
      <c r="Q244" s="117">
        <f t="shared" si="264"/>
        <v>0</v>
      </c>
      <c r="R244" s="117">
        <f t="shared" si="264"/>
        <v>0</v>
      </c>
      <c r="S244" s="117">
        <f t="shared" si="264"/>
        <v>0</v>
      </c>
      <c r="T244" s="117">
        <f t="shared" si="264"/>
        <v>0</v>
      </c>
      <c r="U244" s="117">
        <v>-71681.9299999999</v>
      </c>
      <c r="V244" s="117">
        <f t="shared" ref="V244:W244" si="265">V280-SUM(V216,V184,V118,V86,V54,V22)</f>
        <v>0</v>
      </c>
      <c r="W244" s="117">
        <f t="shared" si="265"/>
        <v>0</v>
      </c>
      <c r="X244" s="117">
        <f>+X280-SUM(X216,X184,X118,X86,X54,X22)-179</f>
        <v>-179</v>
      </c>
      <c r="Y244" s="117">
        <f t="shared" ref="Y244:CI244" si="266">Y280-SUM(Y216,Y184,Y118,Y86,Y54,Y22)</f>
        <v>0</v>
      </c>
      <c r="Z244" s="117">
        <f t="shared" si="266"/>
        <v>0</v>
      </c>
      <c r="AA244" s="117">
        <f t="shared" si="266"/>
        <v>-129333.5455</v>
      </c>
      <c r="AB244" s="117">
        <f t="shared" si="266"/>
        <v>-145009.5148</v>
      </c>
      <c r="AC244" s="117">
        <f t="shared" si="266"/>
        <v>-140651.4482</v>
      </c>
      <c r="AD244" s="117">
        <f t="shared" si="266"/>
        <v>-136130.6291</v>
      </c>
      <c r="AE244" s="117">
        <f t="shared" si="266"/>
        <v>-141925.616</v>
      </c>
      <c r="AF244" s="117">
        <f t="shared" si="266"/>
        <v>-153539.0066</v>
      </c>
      <c r="AG244" s="117">
        <f t="shared" si="266"/>
        <v>-148300.5136</v>
      </c>
      <c r="AH244" s="117">
        <f t="shared" si="266"/>
        <v>-142418.9003</v>
      </c>
      <c r="AI244" s="117">
        <f t="shared" si="266"/>
        <v>-150827.3391</v>
      </c>
      <c r="AJ244" s="117">
        <f t="shared" si="266"/>
        <v>-162987.899</v>
      </c>
      <c r="AK244" s="117">
        <f t="shared" si="266"/>
        <v>-170011.6289</v>
      </c>
      <c r="AL244" s="117">
        <f t="shared" si="266"/>
        <v>-164382.307</v>
      </c>
      <c r="AM244" s="117">
        <f t="shared" si="266"/>
        <v>-170953.5048</v>
      </c>
      <c r="AN244" s="117">
        <f t="shared" si="266"/>
        <v>-178719.3763</v>
      </c>
      <c r="AO244" s="117">
        <f t="shared" si="266"/>
        <v>-174130.2418</v>
      </c>
      <c r="AP244" s="117">
        <f t="shared" si="266"/>
        <v>-169320.8349</v>
      </c>
      <c r="AQ244" s="117">
        <f t="shared" si="266"/>
        <v>-176024.2983</v>
      </c>
      <c r="AR244" s="117">
        <f t="shared" si="266"/>
        <v>-184152.6245</v>
      </c>
      <c r="AS244" s="117">
        <f t="shared" si="266"/>
        <v>-179250.2436</v>
      </c>
      <c r="AT244" s="117">
        <f t="shared" si="266"/>
        <v>-173408.0301</v>
      </c>
      <c r="AU244" s="117">
        <f t="shared" si="266"/>
        <v>-180005.4048</v>
      </c>
      <c r="AV244" s="117">
        <f t="shared" si="266"/>
        <v>-188762.4544</v>
      </c>
      <c r="AW244" s="117">
        <f t="shared" si="266"/>
        <v>-183769.146</v>
      </c>
      <c r="AX244" s="117">
        <f t="shared" si="266"/>
        <v>-178671.782</v>
      </c>
      <c r="AY244" s="117">
        <f t="shared" si="266"/>
        <v>-186182.8831</v>
      </c>
      <c r="AZ244" s="117">
        <f t="shared" si="266"/>
        <v>-191430.9492</v>
      </c>
      <c r="BA244" s="117">
        <f t="shared" si="266"/>
        <v>-185969.2656</v>
      </c>
      <c r="BB244" s="117">
        <f t="shared" si="266"/>
        <v>-180248.6483</v>
      </c>
      <c r="BC244" s="117">
        <f t="shared" si="266"/>
        <v>-187877.8551</v>
      </c>
      <c r="BD244" s="117">
        <f t="shared" si="266"/>
        <v>-198877.9052</v>
      </c>
      <c r="BE244" s="117">
        <f t="shared" si="266"/>
        <v>-193332.3356</v>
      </c>
      <c r="BF244" s="117">
        <f t="shared" si="266"/>
        <v>-199544.8155</v>
      </c>
      <c r="BG244" s="117">
        <f t="shared" si="266"/>
        <v>-207456.732</v>
      </c>
      <c r="BH244" s="117">
        <f t="shared" si="266"/>
        <v>-219018.4085</v>
      </c>
      <c r="BI244" s="117">
        <f t="shared" si="266"/>
        <v>-213259.6212</v>
      </c>
      <c r="BJ244" s="117">
        <f t="shared" si="266"/>
        <v>-207439.6127</v>
      </c>
      <c r="BK244" s="117">
        <f t="shared" si="266"/>
        <v>-215660.613</v>
      </c>
      <c r="BL244" s="117">
        <f t="shared" si="266"/>
        <v>-226373.2789</v>
      </c>
      <c r="BM244" s="117">
        <f t="shared" si="266"/>
        <v>-220705.5137</v>
      </c>
      <c r="BN244" s="117">
        <f t="shared" si="266"/>
        <v>-215440.9576</v>
      </c>
      <c r="BO244" s="117">
        <f t="shared" si="266"/>
        <v>-223974.8358</v>
      </c>
      <c r="BP244" s="117">
        <f t="shared" si="266"/>
        <v>-235598.7135</v>
      </c>
      <c r="BQ244" s="117">
        <f t="shared" si="266"/>
        <v>-235406.9604</v>
      </c>
      <c r="BR244" s="117">
        <f t="shared" si="266"/>
        <v>-229706.0194</v>
      </c>
      <c r="BS244" s="117">
        <f t="shared" si="266"/>
        <v>-249561.3351</v>
      </c>
      <c r="BT244" s="117">
        <f t="shared" si="266"/>
        <v>-261765.4293</v>
      </c>
      <c r="BU244" s="117">
        <f t="shared" si="266"/>
        <v>-255877.939</v>
      </c>
      <c r="BV244" s="117">
        <f t="shared" si="266"/>
        <v>-249998.369</v>
      </c>
      <c r="BW244" s="117">
        <f t="shared" si="266"/>
        <v>-258834.1055</v>
      </c>
      <c r="BX244" s="117">
        <f t="shared" si="266"/>
        <v>-270988.7912</v>
      </c>
      <c r="BY244" s="117">
        <f t="shared" si="266"/>
        <v>-264968.9991</v>
      </c>
      <c r="BZ244" s="117">
        <f t="shared" si="266"/>
        <v>-258892.8428</v>
      </c>
      <c r="CA244" s="117">
        <f t="shared" si="266"/>
        <v>-267542.5258</v>
      </c>
      <c r="CB244" s="117">
        <f t="shared" si="266"/>
        <v>-276239.5874</v>
      </c>
      <c r="CC244" s="117">
        <f t="shared" si="266"/>
        <v>-275596.4828</v>
      </c>
      <c r="CD244" s="117">
        <f t="shared" si="266"/>
        <v>-269636.1417</v>
      </c>
      <c r="CE244" s="117">
        <f t="shared" si="266"/>
        <v>-278423.0131</v>
      </c>
      <c r="CF244" s="117">
        <f t="shared" si="266"/>
        <v>-287414.044</v>
      </c>
      <c r="CG244" s="117">
        <f t="shared" si="266"/>
        <v>-281447.8814</v>
      </c>
      <c r="CH244" s="117">
        <f t="shared" si="266"/>
        <v>-275468.075</v>
      </c>
      <c r="CI244" s="117">
        <f t="shared" si="266"/>
        <v>-284408.9262</v>
      </c>
      <c r="CJ244" s="8"/>
      <c r="CK244" s="8"/>
      <c r="CL244" s="286"/>
      <c r="CM244" s="286"/>
      <c r="CN244" s="286"/>
      <c r="CO244" s="286"/>
      <c r="CP244" s="286"/>
      <c r="CQ244" s="286"/>
    </row>
    <row r="245" ht="15.75" customHeight="1">
      <c r="A245" s="1" t="s">
        <v>415</v>
      </c>
      <c r="B245" s="91" t="s">
        <v>67</v>
      </c>
      <c r="C245" s="146" t="s">
        <v>218</v>
      </c>
      <c r="D245" s="117"/>
      <c r="E245" s="117"/>
      <c r="F245" s="117"/>
      <c r="G245" s="117"/>
      <c r="H245" s="117"/>
      <c r="I245" s="117"/>
      <c r="J245" s="117"/>
      <c r="K245" s="117"/>
      <c r="L245" s="117"/>
      <c r="M245" s="117"/>
      <c r="N245" s="117"/>
      <c r="O245" s="117"/>
      <c r="P245" s="117"/>
      <c r="Q245" s="117"/>
      <c r="R245" s="117"/>
      <c r="S245" s="117"/>
      <c r="T245" s="117"/>
      <c r="U245" s="117"/>
      <c r="V245" s="117">
        <f t="shared" ref="V245:Z245" si="267">V281-SUM(V217,V185,V119,V87,V55,V23)</f>
        <v>-13921</v>
      </c>
      <c r="W245" s="117">
        <f t="shared" si="267"/>
        <v>-8026</v>
      </c>
      <c r="X245" s="117">
        <f t="shared" si="267"/>
        <v>-19151</v>
      </c>
      <c r="Y245" s="117">
        <f t="shared" si="267"/>
        <v>-12357</v>
      </c>
      <c r="Z245" s="117">
        <f t="shared" si="267"/>
        <v>-14715</v>
      </c>
      <c r="AA245" s="117">
        <f t="shared" ref="AA245:CI245" si="268">AA281-SUM(AA23,AA55,AA87,AA119,AA185,AA217)</f>
        <v>988.157205</v>
      </c>
      <c r="AB245" s="117">
        <f t="shared" si="268"/>
        <v>1086.972926</v>
      </c>
      <c r="AC245" s="117">
        <f t="shared" si="268"/>
        <v>1097.842655</v>
      </c>
      <c r="AD245" s="117">
        <f t="shared" si="268"/>
        <v>1108.821081</v>
      </c>
      <c r="AE245" s="117">
        <f t="shared" si="268"/>
        <v>1119.909292</v>
      </c>
      <c r="AF245" s="117">
        <f t="shared" si="268"/>
        <v>1131.108385</v>
      </c>
      <c r="AG245" s="117">
        <f t="shared" si="268"/>
        <v>1142.419469</v>
      </c>
      <c r="AH245" s="117">
        <f t="shared" si="268"/>
        <v>1153.843664</v>
      </c>
      <c r="AI245" s="117">
        <f t="shared" si="268"/>
        <v>1165.3821</v>
      </c>
      <c r="AJ245" s="117">
        <f t="shared" si="268"/>
        <v>1177.035921</v>
      </c>
      <c r="AK245" s="117">
        <f t="shared" si="268"/>
        <v>1188.80628</v>
      </c>
      <c r="AL245" s="117">
        <f t="shared" si="268"/>
        <v>1200.694343</v>
      </c>
      <c r="AM245" s="117">
        <f t="shared" si="268"/>
        <v>1212.701287</v>
      </c>
      <c r="AN245" s="117">
        <f t="shared" si="268"/>
        <v>1224.8283</v>
      </c>
      <c r="AO245" s="117">
        <f t="shared" si="268"/>
        <v>1237.076583</v>
      </c>
      <c r="AP245" s="117">
        <f t="shared" si="268"/>
        <v>1249.447348</v>
      </c>
      <c r="AQ245" s="117">
        <f t="shared" si="268"/>
        <v>1261.941822</v>
      </c>
      <c r="AR245" s="117">
        <f t="shared" si="268"/>
        <v>1274.56124</v>
      </c>
      <c r="AS245" s="117">
        <f t="shared" si="268"/>
        <v>1287.306852</v>
      </c>
      <c r="AT245" s="117">
        <f t="shared" si="268"/>
        <v>1300.179921</v>
      </c>
      <c r="AU245" s="117">
        <f t="shared" si="268"/>
        <v>1313.18172</v>
      </c>
      <c r="AV245" s="117">
        <f t="shared" si="268"/>
        <v>1326.313537</v>
      </c>
      <c r="AW245" s="117">
        <f t="shared" si="268"/>
        <v>1339.576673</v>
      </c>
      <c r="AX245" s="117">
        <f t="shared" si="268"/>
        <v>1352.972439</v>
      </c>
      <c r="AY245" s="117">
        <f t="shared" si="268"/>
        <v>1366.502164</v>
      </c>
      <c r="AZ245" s="117">
        <f t="shared" si="268"/>
        <v>1380.167186</v>
      </c>
      <c r="BA245" s="117">
        <f t="shared" si="268"/>
        <v>1393.968857</v>
      </c>
      <c r="BB245" s="117">
        <f t="shared" si="268"/>
        <v>1407.908546</v>
      </c>
      <c r="BC245" s="117">
        <f t="shared" si="268"/>
        <v>1421.987631</v>
      </c>
      <c r="BD245" s="117">
        <f t="shared" si="268"/>
        <v>1436.207508</v>
      </c>
      <c r="BE245" s="117">
        <f t="shared" si="268"/>
        <v>1450.569583</v>
      </c>
      <c r="BF245" s="117">
        <f t="shared" si="268"/>
        <v>1465.075279</v>
      </c>
      <c r="BG245" s="117">
        <f t="shared" si="268"/>
        <v>1479.726031</v>
      </c>
      <c r="BH245" s="117">
        <f t="shared" si="268"/>
        <v>1494.523292</v>
      </c>
      <c r="BI245" s="117">
        <f t="shared" si="268"/>
        <v>1509.468525</v>
      </c>
      <c r="BJ245" s="117">
        <f t="shared" si="268"/>
        <v>1524.56321</v>
      </c>
      <c r="BK245" s="117">
        <f t="shared" si="268"/>
        <v>1539.808842</v>
      </c>
      <c r="BL245" s="117">
        <f t="shared" si="268"/>
        <v>1555.20693</v>
      </c>
      <c r="BM245" s="117">
        <f t="shared" si="268"/>
        <v>1570.759</v>
      </c>
      <c r="BN245" s="117">
        <f t="shared" si="268"/>
        <v>1586.46659</v>
      </c>
      <c r="BO245" s="117">
        <f t="shared" si="268"/>
        <v>1602.331256</v>
      </c>
      <c r="BP245" s="117">
        <f t="shared" si="268"/>
        <v>1618.354568</v>
      </c>
      <c r="BQ245" s="117">
        <f t="shared" si="268"/>
        <v>1634.538114</v>
      </c>
      <c r="BR245" s="117">
        <f t="shared" si="268"/>
        <v>1650.883495</v>
      </c>
      <c r="BS245" s="117">
        <f t="shared" si="268"/>
        <v>1667.39233</v>
      </c>
      <c r="BT245" s="117">
        <f t="shared" si="268"/>
        <v>1684.066253</v>
      </c>
      <c r="BU245" s="117">
        <f t="shared" si="268"/>
        <v>1700.906916</v>
      </c>
      <c r="BV245" s="117">
        <f t="shared" si="268"/>
        <v>1717.915985</v>
      </c>
      <c r="BW245" s="117">
        <f t="shared" si="268"/>
        <v>1735.095145</v>
      </c>
      <c r="BX245" s="117">
        <f t="shared" si="268"/>
        <v>1752.446096</v>
      </c>
      <c r="BY245" s="117">
        <f t="shared" si="268"/>
        <v>1769.970557</v>
      </c>
      <c r="BZ245" s="117">
        <f t="shared" si="268"/>
        <v>1787.670263</v>
      </c>
      <c r="CA245" s="117">
        <f t="shared" si="268"/>
        <v>1805.546965</v>
      </c>
      <c r="CB245" s="117">
        <f t="shared" si="268"/>
        <v>1823.602435</v>
      </c>
      <c r="CC245" s="117">
        <f t="shared" si="268"/>
        <v>1841.838459</v>
      </c>
      <c r="CD245" s="117">
        <f t="shared" si="268"/>
        <v>1860.256844</v>
      </c>
      <c r="CE245" s="117">
        <f t="shared" si="268"/>
        <v>1878.859412</v>
      </c>
      <c r="CF245" s="117">
        <f t="shared" si="268"/>
        <v>1897.648007</v>
      </c>
      <c r="CG245" s="117">
        <f t="shared" si="268"/>
        <v>1916.624487</v>
      </c>
      <c r="CH245" s="117">
        <f t="shared" si="268"/>
        <v>1935.790731</v>
      </c>
      <c r="CI245" s="117">
        <f t="shared" si="268"/>
        <v>1955.148639</v>
      </c>
      <c r="CJ245" s="1"/>
      <c r="CK245" s="1"/>
      <c r="CL245" s="117"/>
      <c r="CM245" s="117"/>
      <c r="CN245" s="117"/>
      <c r="CO245" s="117"/>
      <c r="CP245" s="117"/>
      <c r="CQ245" s="117"/>
    </row>
    <row r="246" ht="15.75" customHeight="1">
      <c r="A246" s="1" t="s">
        <v>415</v>
      </c>
      <c r="B246" s="91" t="s">
        <v>67</v>
      </c>
      <c r="C246" s="146" t="s">
        <v>219</v>
      </c>
      <c r="D246" s="117"/>
      <c r="E246" s="117"/>
      <c r="F246" s="117"/>
      <c r="G246" s="117"/>
      <c r="H246" s="117"/>
      <c r="I246" s="117"/>
      <c r="J246" s="117"/>
      <c r="K246" s="117"/>
      <c r="L246" s="117"/>
      <c r="M246" s="117"/>
      <c r="N246" s="117"/>
      <c r="O246" s="117"/>
      <c r="P246" s="117"/>
      <c r="Q246" s="117"/>
      <c r="R246" s="117"/>
      <c r="S246" s="117"/>
      <c r="T246" s="117"/>
      <c r="U246" s="117"/>
      <c r="V246" s="117">
        <f t="shared" ref="V246:Z246" si="269">V282-SUM(V218,V186,V120,V88,V56,V24)</f>
        <v>-15807</v>
      </c>
      <c r="W246" s="117">
        <f t="shared" si="269"/>
        <v>-11970</v>
      </c>
      <c r="X246" s="117">
        <f t="shared" si="269"/>
        <v>-11672</v>
      </c>
      <c r="Y246" s="117">
        <f t="shared" si="269"/>
        <v>-15922</v>
      </c>
      <c r="Z246" s="117">
        <f t="shared" si="269"/>
        <v>-11226</v>
      </c>
      <c r="AA246" s="117">
        <f t="shared" ref="AA246:CI246" si="270">AA282-SUM(AA24,AA56,AA88,AA120,AA186,AA218)</f>
        <v>1482.235808</v>
      </c>
      <c r="AB246" s="117">
        <f t="shared" si="270"/>
        <v>1630.459388</v>
      </c>
      <c r="AC246" s="117">
        <f t="shared" si="270"/>
        <v>1646.763982</v>
      </c>
      <c r="AD246" s="117">
        <f t="shared" si="270"/>
        <v>1663.231622</v>
      </c>
      <c r="AE246" s="117">
        <f t="shared" si="270"/>
        <v>1679.863938</v>
      </c>
      <c r="AF246" s="117">
        <f t="shared" si="270"/>
        <v>1696.662578</v>
      </c>
      <c r="AG246" s="117">
        <f t="shared" si="270"/>
        <v>1713.629203</v>
      </c>
      <c r="AH246" s="117">
        <f t="shared" si="270"/>
        <v>1730.765495</v>
      </c>
      <c r="AI246" s="117">
        <f t="shared" si="270"/>
        <v>1748.07315</v>
      </c>
      <c r="AJ246" s="117">
        <f t="shared" si="270"/>
        <v>1765.553882</v>
      </c>
      <c r="AK246" s="117">
        <f t="shared" si="270"/>
        <v>1783.209421</v>
      </c>
      <c r="AL246" s="117">
        <f t="shared" si="270"/>
        <v>1801.041515</v>
      </c>
      <c r="AM246" s="117">
        <f t="shared" si="270"/>
        <v>1819.05193</v>
      </c>
      <c r="AN246" s="117">
        <f t="shared" si="270"/>
        <v>1837.242449</v>
      </c>
      <c r="AO246" s="117">
        <f t="shared" si="270"/>
        <v>1855.614874</v>
      </c>
      <c r="AP246" s="117">
        <f t="shared" si="270"/>
        <v>1874.171023</v>
      </c>
      <c r="AQ246" s="117">
        <f t="shared" si="270"/>
        <v>1892.912733</v>
      </c>
      <c r="AR246" s="117">
        <f t="shared" si="270"/>
        <v>1911.84186</v>
      </c>
      <c r="AS246" s="117">
        <f t="shared" si="270"/>
        <v>1930.960279</v>
      </c>
      <c r="AT246" s="117">
        <f t="shared" si="270"/>
        <v>1950.269881</v>
      </c>
      <c r="AU246" s="117">
        <f t="shared" si="270"/>
        <v>1969.77258</v>
      </c>
      <c r="AV246" s="117">
        <f t="shared" si="270"/>
        <v>1989.470306</v>
      </c>
      <c r="AW246" s="117">
        <f t="shared" si="270"/>
        <v>2009.365009</v>
      </c>
      <c r="AX246" s="117">
        <f t="shared" si="270"/>
        <v>2029.458659</v>
      </c>
      <c r="AY246" s="117">
        <f t="shared" si="270"/>
        <v>2049.753246</v>
      </c>
      <c r="AZ246" s="117">
        <f t="shared" si="270"/>
        <v>2070.250778</v>
      </c>
      <c r="BA246" s="117">
        <f t="shared" si="270"/>
        <v>2090.953286</v>
      </c>
      <c r="BB246" s="117">
        <f t="shared" si="270"/>
        <v>2111.862819</v>
      </c>
      <c r="BC246" s="117">
        <f t="shared" si="270"/>
        <v>2132.981447</v>
      </c>
      <c r="BD246" s="117">
        <f t="shared" si="270"/>
        <v>2154.311262</v>
      </c>
      <c r="BE246" s="117">
        <f t="shared" si="270"/>
        <v>2175.854374</v>
      </c>
      <c r="BF246" s="117">
        <f t="shared" si="270"/>
        <v>2197.612918</v>
      </c>
      <c r="BG246" s="117">
        <f t="shared" si="270"/>
        <v>2219.589047</v>
      </c>
      <c r="BH246" s="117">
        <f t="shared" si="270"/>
        <v>2241.784938</v>
      </c>
      <c r="BI246" s="117">
        <f t="shared" si="270"/>
        <v>2264.202787</v>
      </c>
      <c r="BJ246" s="117">
        <f t="shared" si="270"/>
        <v>2286.844815</v>
      </c>
      <c r="BK246" s="117">
        <f t="shared" si="270"/>
        <v>2309.713263</v>
      </c>
      <c r="BL246" s="117">
        <f t="shared" si="270"/>
        <v>2332.810396</v>
      </c>
      <c r="BM246" s="117">
        <f t="shared" si="270"/>
        <v>2356.1385</v>
      </c>
      <c r="BN246" s="117">
        <f t="shared" si="270"/>
        <v>2379.699885</v>
      </c>
      <c r="BO246" s="117">
        <f t="shared" si="270"/>
        <v>2403.496883</v>
      </c>
      <c r="BP246" s="117">
        <f t="shared" si="270"/>
        <v>2427.531852</v>
      </c>
      <c r="BQ246" s="117">
        <f t="shared" si="270"/>
        <v>2451.807171</v>
      </c>
      <c r="BR246" s="117">
        <f t="shared" si="270"/>
        <v>2476.325242</v>
      </c>
      <c r="BS246" s="117">
        <f t="shared" si="270"/>
        <v>2501.088495</v>
      </c>
      <c r="BT246" s="117">
        <f t="shared" si="270"/>
        <v>2526.09938</v>
      </c>
      <c r="BU246" s="117">
        <f t="shared" si="270"/>
        <v>2551.360374</v>
      </c>
      <c r="BV246" s="117">
        <f t="shared" si="270"/>
        <v>2576.873977</v>
      </c>
      <c r="BW246" s="117">
        <f t="shared" si="270"/>
        <v>2602.642717</v>
      </c>
      <c r="BX246" s="117">
        <f t="shared" si="270"/>
        <v>2628.669144</v>
      </c>
      <c r="BY246" s="117">
        <f t="shared" si="270"/>
        <v>2654.955836</v>
      </c>
      <c r="BZ246" s="117">
        <f t="shared" si="270"/>
        <v>2681.505394</v>
      </c>
      <c r="CA246" s="117">
        <f t="shared" si="270"/>
        <v>2708.320448</v>
      </c>
      <c r="CB246" s="117">
        <f t="shared" si="270"/>
        <v>2735.403653</v>
      </c>
      <c r="CC246" s="117">
        <f t="shared" si="270"/>
        <v>2762.757689</v>
      </c>
      <c r="CD246" s="117">
        <f t="shared" si="270"/>
        <v>2790.385266</v>
      </c>
      <c r="CE246" s="117">
        <f t="shared" si="270"/>
        <v>2818.289119</v>
      </c>
      <c r="CF246" s="117">
        <f t="shared" si="270"/>
        <v>2846.47201</v>
      </c>
      <c r="CG246" s="117">
        <f t="shared" si="270"/>
        <v>2874.93673</v>
      </c>
      <c r="CH246" s="117">
        <f t="shared" si="270"/>
        <v>2903.686097</v>
      </c>
      <c r="CI246" s="117">
        <f t="shared" si="270"/>
        <v>2932.722958</v>
      </c>
      <c r="CJ246" s="1"/>
      <c r="CK246" s="1"/>
      <c r="CL246" s="117"/>
      <c r="CM246" s="117"/>
      <c r="CN246" s="117"/>
      <c r="CO246" s="117"/>
      <c r="CP246" s="117"/>
      <c r="CQ246" s="117"/>
    </row>
    <row r="247" ht="15.75" customHeight="1">
      <c r="A247" s="1" t="s">
        <v>415</v>
      </c>
      <c r="B247" s="91" t="s">
        <v>67</v>
      </c>
      <c r="C247" s="146" t="s">
        <v>220</v>
      </c>
      <c r="D247" s="117"/>
      <c r="E247" s="117"/>
      <c r="F247" s="117"/>
      <c r="G247" s="117"/>
      <c r="H247" s="117"/>
      <c r="I247" s="117"/>
      <c r="J247" s="117"/>
      <c r="K247" s="117"/>
      <c r="L247" s="117"/>
      <c r="M247" s="117"/>
      <c r="N247" s="117"/>
      <c r="O247" s="117"/>
      <c r="P247" s="117"/>
      <c r="Q247" s="117"/>
      <c r="R247" s="117"/>
      <c r="S247" s="117"/>
      <c r="T247" s="117"/>
      <c r="U247" s="117"/>
      <c r="V247" s="117">
        <f t="shared" ref="V247:Z247" si="271">V283-SUM(V219,V187,V121,V89,V57,V25)</f>
        <v>-14366</v>
      </c>
      <c r="W247" s="117">
        <f t="shared" si="271"/>
        <v>-12495</v>
      </c>
      <c r="X247" s="117">
        <f t="shared" si="271"/>
        <v>-11121</v>
      </c>
      <c r="Y247" s="117">
        <f t="shared" si="271"/>
        <v>-15521</v>
      </c>
      <c r="Z247" s="117">
        <f t="shared" si="271"/>
        <v>-14604</v>
      </c>
      <c r="AA247" s="117">
        <f t="shared" ref="AA247:CI247" si="272">AA283-SUM(AA25,AA57,AA89,AA121,AA187,AA219)</f>
        <v>39.2125875</v>
      </c>
      <c r="AB247" s="117">
        <f t="shared" si="272"/>
        <v>43.13384625</v>
      </c>
      <c r="AC247" s="117">
        <f t="shared" si="272"/>
        <v>43.56518471</v>
      </c>
      <c r="AD247" s="117">
        <f t="shared" si="272"/>
        <v>44.00083656</v>
      </c>
      <c r="AE247" s="117">
        <f t="shared" si="272"/>
        <v>44.44084493</v>
      </c>
      <c r="AF247" s="117">
        <f t="shared" si="272"/>
        <v>44.88525337</v>
      </c>
      <c r="AG247" s="117">
        <f t="shared" si="272"/>
        <v>45.33410591</v>
      </c>
      <c r="AH247" s="117">
        <f t="shared" si="272"/>
        <v>45.78744697</v>
      </c>
      <c r="AI247" s="117">
        <f t="shared" si="272"/>
        <v>46.24532144</v>
      </c>
      <c r="AJ247" s="117">
        <f t="shared" si="272"/>
        <v>46.70777465</v>
      </c>
      <c r="AK247" s="117">
        <f t="shared" si="272"/>
        <v>47.1748524</v>
      </c>
      <c r="AL247" s="117">
        <f t="shared" si="272"/>
        <v>47.64660092</v>
      </c>
      <c r="AM247" s="117">
        <f t="shared" si="272"/>
        <v>48.12306693</v>
      </c>
      <c r="AN247" s="117">
        <f t="shared" si="272"/>
        <v>48.6042976</v>
      </c>
      <c r="AO247" s="117">
        <f t="shared" si="272"/>
        <v>49.09034058</v>
      </c>
      <c r="AP247" s="117">
        <f t="shared" si="272"/>
        <v>49.58124398</v>
      </c>
      <c r="AQ247" s="117">
        <f t="shared" si="272"/>
        <v>50.07705642</v>
      </c>
      <c r="AR247" s="117">
        <f t="shared" si="272"/>
        <v>50.57782699</v>
      </c>
      <c r="AS247" s="117">
        <f t="shared" si="272"/>
        <v>51.08360526</v>
      </c>
      <c r="AT247" s="117">
        <f t="shared" si="272"/>
        <v>51.59444131</v>
      </c>
      <c r="AU247" s="117">
        <f t="shared" si="272"/>
        <v>52.11038572</v>
      </c>
      <c r="AV247" s="117">
        <f t="shared" si="272"/>
        <v>52.63148958</v>
      </c>
      <c r="AW247" s="117">
        <f t="shared" si="272"/>
        <v>53.15780447</v>
      </c>
      <c r="AX247" s="117">
        <f t="shared" si="272"/>
        <v>53.68938252</v>
      </c>
      <c r="AY247" s="117">
        <f t="shared" si="272"/>
        <v>54.22627634</v>
      </c>
      <c r="AZ247" s="117">
        <f t="shared" si="272"/>
        <v>54.76853911</v>
      </c>
      <c r="BA247" s="117">
        <f t="shared" si="272"/>
        <v>55.3162245</v>
      </c>
      <c r="BB247" s="117">
        <f t="shared" si="272"/>
        <v>55.86938674</v>
      </c>
      <c r="BC247" s="117">
        <f t="shared" si="272"/>
        <v>56.42808061</v>
      </c>
      <c r="BD247" s="117">
        <f t="shared" si="272"/>
        <v>56.99236142</v>
      </c>
      <c r="BE247" s="117">
        <f t="shared" si="272"/>
        <v>57.56228503</v>
      </c>
      <c r="BF247" s="117">
        <f t="shared" si="272"/>
        <v>58.13790788</v>
      </c>
      <c r="BG247" s="117">
        <f t="shared" si="272"/>
        <v>58.71928696</v>
      </c>
      <c r="BH247" s="117">
        <f t="shared" si="272"/>
        <v>59.30647983</v>
      </c>
      <c r="BI247" s="117">
        <f t="shared" si="272"/>
        <v>59.89954463</v>
      </c>
      <c r="BJ247" s="117">
        <f t="shared" si="272"/>
        <v>60.49854008</v>
      </c>
      <c r="BK247" s="117">
        <f t="shared" si="272"/>
        <v>61.10352548</v>
      </c>
      <c r="BL247" s="117">
        <f t="shared" si="272"/>
        <v>61.71456073</v>
      </c>
      <c r="BM247" s="117">
        <f t="shared" si="272"/>
        <v>62.33170634</v>
      </c>
      <c r="BN247" s="117">
        <f t="shared" si="272"/>
        <v>62.9550234</v>
      </c>
      <c r="BO247" s="117">
        <f t="shared" si="272"/>
        <v>63.58457364</v>
      </c>
      <c r="BP247" s="117">
        <f t="shared" si="272"/>
        <v>64.22041937</v>
      </c>
      <c r="BQ247" s="117">
        <f t="shared" si="272"/>
        <v>64.86262357</v>
      </c>
      <c r="BR247" s="117">
        <f t="shared" si="272"/>
        <v>65.5112498</v>
      </c>
      <c r="BS247" s="117">
        <f t="shared" si="272"/>
        <v>66.1663623</v>
      </c>
      <c r="BT247" s="117">
        <f t="shared" si="272"/>
        <v>66.82802592</v>
      </c>
      <c r="BU247" s="117">
        <f t="shared" si="272"/>
        <v>67.49630618</v>
      </c>
      <c r="BV247" s="117">
        <f t="shared" si="272"/>
        <v>68.17126924</v>
      </c>
      <c r="BW247" s="117">
        <f t="shared" si="272"/>
        <v>68.85298194</v>
      </c>
      <c r="BX247" s="117">
        <f t="shared" si="272"/>
        <v>69.54151175</v>
      </c>
      <c r="BY247" s="117">
        <f t="shared" si="272"/>
        <v>70.23692687</v>
      </c>
      <c r="BZ247" s="117">
        <f t="shared" si="272"/>
        <v>70.93929614</v>
      </c>
      <c r="CA247" s="117">
        <f t="shared" si="272"/>
        <v>71.6486891</v>
      </c>
      <c r="CB247" s="117">
        <f t="shared" si="272"/>
        <v>72.36517599</v>
      </c>
      <c r="CC247" s="117">
        <f t="shared" si="272"/>
        <v>73.08882775</v>
      </c>
      <c r="CD247" s="117">
        <f t="shared" si="272"/>
        <v>73.81971603</v>
      </c>
      <c r="CE247" s="117">
        <f t="shared" si="272"/>
        <v>74.55791319</v>
      </c>
      <c r="CF247" s="117">
        <f t="shared" si="272"/>
        <v>75.30349232</v>
      </c>
      <c r="CG247" s="117">
        <f t="shared" si="272"/>
        <v>76.05652725</v>
      </c>
      <c r="CH247" s="117">
        <f t="shared" si="272"/>
        <v>76.81709252</v>
      </c>
      <c r="CI247" s="117">
        <f t="shared" si="272"/>
        <v>77.58526344</v>
      </c>
      <c r="CJ247" s="1"/>
      <c r="CK247" s="1"/>
      <c r="CL247" s="117"/>
      <c r="CM247" s="117"/>
      <c r="CN247" s="117"/>
      <c r="CO247" s="117"/>
      <c r="CP247" s="117"/>
      <c r="CQ247" s="117"/>
    </row>
    <row r="248" ht="15.75" customHeight="1">
      <c r="C248" s="257" t="s">
        <v>221</v>
      </c>
      <c r="D248" s="514">
        <f t="shared" ref="D248:CI248" si="273">SUM(D235:D247)</f>
        <v>-126263</v>
      </c>
      <c r="E248" s="514">
        <f t="shared" si="273"/>
        <v>-120314</v>
      </c>
      <c r="F248" s="514">
        <f t="shared" si="273"/>
        <v>-105957</v>
      </c>
      <c r="G248" s="514">
        <f t="shared" si="273"/>
        <v>-138937</v>
      </c>
      <c r="H248" s="514">
        <f t="shared" si="273"/>
        <v>-127093</v>
      </c>
      <c r="I248" s="514">
        <f t="shared" si="273"/>
        <v>-111193</v>
      </c>
      <c r="J248" s="514">
        <f t="shared" si="273"/>
        <v>-112109</v>
      </c>
      <c r="K248" s="514">
        <f t="shared" si="273"/>
        <v>-129910</v>
      </c>
      <c r="L248" s="514">
        <f t="shared" si="273"/>
        <v>-143922</v>
      </c>
      <c r="M248" s="514">
        <f t="shared" si="273"/>
        <v>-111656</v>
      </c>
      <c r="N248" s="514">
        <f t="shared" si="273"/>
        <v>-126153</v>
      </c>
      <c r="O248" s="514">
        <f t="shared" si="273"/>
        <v>-146820</v>
      </c>
      <c r="P248" s="514">
        <f t="shared" si="273"/>
        <v>-128600</v>
      </c>
      <c r="Q248" s="514">
        <f t="shared" si="273"/>
        <v>-125266</v>
      </c>
      <c r="R248" s="514">
        <f t="shared" si="273"/>
        <v>-112631</v>
      </c>
      <c r="S248" s="514">
        <f t="shared" si="273"/>
        <v>-130909</v>
      </c>
      <c r="T248" s="514">
        <f t="shared" si="273"/>
        <v>-152707</v>
      </c>
      <c r="U248" s="514">
        <f t="shared" si="273"/>
        <v>-204488.93</v>
      </c>
      <c r="V248" s="514">
        <f t="shared" si="273"/>
        <v>-162999</v>
      </c>
      <c r="W248" s="514">
        <f t="shared" si="273"/>
        <v>-163225</v>
      </c>
      <c r="X248" s="514">
        <f t="shared" si="273"/>
        <v>-175525</v>
      </c>
      <c r="Y248" s="514">
        <f t="shared" si="273"/>
        <v>-170674</v>
      </c>
      <c r="Z248" s="514">
        <f t="shared" si="273"/>
        <v>-197736</v>
      </c>
      <c r="AA248" s="514">
        <f t="shared" si="273"/>
        <v>-170548.2767</v>
      </c>
      <c r="AB248" s="514">
        <f t="shared" si="273"/>
        <v>-254489.8255</v>
      </c>
      <c r="AC248" s="514">
        <f t="shared" si="273"/>
        <v>-250150.0878</v>
      </c>
      <c r="AD248" s="514">
        <f t="shared" si="273"/>
        <v>-246803.8098</v>
      </c>
      <c r="AE248" s="514">
        <f t="shared" si="273"/>
        <v>-253533.4953</v>
      </c>
      <c r="AF248" s="514">
        <f t="shared" si="273"/>
        <v>-268860.7023</v>
      </c>
      <c r="AG248" s="514">
        <f t="shared" si="273"/>
        <v>-264535.4717</v>
      </c>
      <c r="AH248" s="514">
        <f t="shared" si="273"/>
        <v>-263538.9737</v>
      </c>
      <c r="AI248" s="514">
        <f t="shared" si="273"/>
        <v>-272947.2644</v>
      </c>
      <c r="AJ248" s="514">
        <f t="shared" si="273"/>
        <v>-295360.9301</v>
      </c>
      <c r="AK248" s="514">
        <f t="shared" si="273"/>
        <v>-294953.6962</v>
      </c>
      <c r="AL248" s="514">
        <f t="shared" si="273"/>
        <v>-290599.3256</v>
      </c>
      <c r="AM248" s="514">
        <f t="shared" si="273"/>
        <v>-298430.2697</v>
      </c>
      <c r="AN248" s="514">
        <f t="shared" si="273"/>
        <v>-274449.8108</v>
      </c>
      <c r="AO248" s="514">
        <f t="shared" si="273"/>
        <v>-270094.349</v>
      </c>
      <c r="AP248" s="514">
        <f t="shared" si="273"/>
        <v>-265420.0977</v>
      </c>
      <c r="AQ248" s="514">
        <f t="shared" si="273"/>
        <v>-272228.0735</v>
      </c>
      <c r="AR248" s="514">
        <f t="shared" si="273"/>
        <v>-289038.9059</v>
      </c>
      <c r="AS248" s="514">
        <f t="shared" si="273"/>
        <v>-284230.7705</v>
      </c>
      <c r="AT248" s="514">
        <f t="shared" si="273"/>
        <v>-282218.949</v>
      </c>
      <c r="AU248" s="514">
        <f t="shared" si="273"/>
        <v>-289008.7379</v>
      </c>
      <c r="AV248" s="514">
        <f t="shared" si="273"/>
        <v>-300295.132</v>
      </c>
      <c r="AW248" s="514">
        <f t="shared" si="273"/>
        <v>-295473.287</v>
      </c>
      <c r="AX248" s="514">
        <f t="shared" si="273"/>
        <v>-290568.1639</v>
      </c>
      <c r="AY248" s="514">
        <f t="shared" si="273"/>
        <v>-298292.2393</v>
      </c>
      <c r="AZ248" s="514">
        <f t="shared" si="273"/>
        <v>-305295.2261</v>
      </c>
      <c r="BA248" s="514">
        <f t="shared" si="273"/>
        <v>-299532.3656</v>
      </c>
      <c r="BB248" s="514">
        <f t="shared" si="273"/>
        <v>-293589.0387</v>
      </c>
      <c r="BC248" s="514">
        <f t="shared" si="273"/>
        <v>-291731.6023</v>
      </c>
      <c r="BD248" s="514">
        <f t="shared" si="273"/>
        <v>-304174.6014</v>
      </c>
      <c r="BE248" s="514">
        <f t="shared" si="273"/>
        <v>-298410.4539</v>
      </c>
      <c r="BF248" s="514">
        <f t="shared" si="273"/>
        <v>-304405.2005</v>
      </c>
      <c r="BG248" s="514">
        <f t="shared" si="273"/>
        <v>-312100.0892</v>
      </c>
      <c r="BH248" s="514">
        <f t="shared" si="273"/>
        <v>-325212.7831</v>
      </c>
      <c r="BI248" s="514">
        <f t="shared" si="273"/>
        <v>-319238.049</v>
      </c>
      <c r="BJ248" s="514">
        <f t="shared" si="273"/>
        <v>-313202.4959</v>
      </c>
      <c r="BK248" s="514">
        <f t="shared" si="273"/>
        <v>-321208.2735</v>
      </c>
      <c r="BL248" s="514">
        <f t="shared" si="273"/>
        <v>-333531.6949</v>
      </c>
      <c r="BM248" s="514">
        <f t="shared" si="273"/>
        <v>-327559.9488</v>
      </c>
      <c r="BN248" s="514">
        <f t="shared" si="273"/>
        <v>-321951.8091</v>
      </c>
      <c r="BO248" s="514">
        <f t="shared" si="273"/>
        <v>-320128.6585</v>
      </c>
      <c r="BP248" s="514">
        <f t="shared" si="273"/>
        <v>-333983.8696</v>
      </c>
      <c r="BQ248" s="514">
        <f t="shared" si="273"/>
        <v>-333500.808</v>
      </c>
      <c r="BR248" s="514">
        <f t="shared" si="273"/>
        <v>-327517.3833</v>
      </c>
      <c r="BS248" s="514">
        <f t="shared" si="273"/>
        <v>-347097.0235</v>
      </c>
      <c r="BT248" s="514">
        <f t="shared" si="273"/>
        <v>-361667.1355</v>
      </c>
      <c r="BU248" s="514">
        <f t="shared" si="273"/>
        <v>-355513.5127</v>
      </c>
      <c r="BV248" s="514">
        <f t="shared" si="273"/>
        <v>-349371.2104</v>
      </c>
      <c r="BW248" s="514">
        <f t="shared" si="273"/>
        <v>-357947.0017</v>
      </c>
      <c r="BX248" s="514">
        <f t="shared" si="273"/>
        <v>-372614.2648</v>
      </c>
      <c r="BY248" s="514">
        <f t="shared" si="273"/>
        <v>-365249.1464</v>
      </c>
      <c r="BZ248" s="514">
        <f t="shared" si="273"/>
        <v>-359018.0698</v>
      </c>
      <c r="CA248" s="514">
        <f t="shared" si="273"/>
        <v>-367475.3447</v>
      </c>
      <c r="CB248" s="514">
        <f t="shared" si="273"/>
        <v>-378810.1338</v>
      </c>
      <c r="CC248" s="514">
        <f t="shared" si="273"/>
        <v>-377936.7897</v>
      </c>
      <c r="CD248" s="514">
        <f t="shared" si="273"/>
        <v>-371735.2191</v>
      </c>
      <c r="CE248" s="514">
        <f t="shared" si="273"/>
        <v>-380272.1197</v>
      </c>
      <c r="CF248" s="514">
        <f t="shared" si="273"/>
        <v>-391753.0585</v>
      </c>
      <c r="CG248" s="514">
        <f t="shared" si="273"/>
        <v>-385523.4002</v>
      </c>
      <c r="CH248" s="514">
        <f t="shared" si="273"/>
        <v>-379274.6088</v>
      </c>
      <c r="CI248" s="514">
        <f t="shared" si="273"/>
        <v>-387941.5578</v>
      </c>
      <c r="CL248" s="514">
        <f>SUM(D248:G248)</f>
        <v>-491471</v>
      </c>
      <c r="CM248" s="514">
        <f>SUM(H248:K248)</f>
        <v>-480305</v>
      </c>
      <c r="CN248" s="514">
        <f>SUM(L248:O248)</f>
        <v>-528551</v>
      </c>
      <c r="CO248" s="514">
        <f>SUM(P248:S248)</f>
        <v>-497406</v>
      </c>
      <c r="CP248" s="514">
        <f>SUM(T248:W248)</f>
        <v>-683419.93</v>
      </c>
      <c r="CQ248" s="514">
        <f>SUM(X248:AA248)</f>
        <v>-714483.2767</v>
      </c>
    </row>
    <row r="249" ht="15.75" customHeight="1">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7"/>
      <c r="AI249" s="117"/>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7"/>
      <c r="BO249" s="117"/>
      <c r="BP249" s="117"/>
      <c r="BQ249" s="117"/>
      <c r="BR249" s="117"/>
      <c r="BS249" s="117"/>
      <c r="BT249" s="117"/>
      <c r="BU249" s="117"/>
      <c r="BV249" s="117"/>
      <c r="BW249" s="117"/>
      <c r="BX249" s="117"/>
      <c r="BY249" s="117"/>
      <c r="BZ249" s="117"/>
      <c r="CA249" s="117"/>
      <c r="CB249" s="117"/>
      <c r="CC249" s="117"/>
      <c r="CD249" s="117"/>
      <c r="CE249" s="117"/>
      <c r="CF249" s="117"/>
      <c r="CG249" s="117"/>
      <c r="CH249" s="117"/>
      <c r="CI249" s="117"/>
    </row>
    <row r="250" ht="15.75" customHeight="1">
      <c r="C250" s="257" t="s">
        <v>818</v>
      </c>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7"/>
      <c r="AI250" s="117"/>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7"/>
      <c r="BO250" s="117"/>
      <c r="BP250" s="117"/>
      <c r="BQ250" s="117"/>
      <c r="BR250" s="117"/>
      <c r="BS250" s="117"/>
      <c r="BT250" s="117"/>
      <c r="BU250" s="117"/>
      <c r="BV250" s="117"/>
      <c r="BW250" s="117"/>
      <c r="BX250" s="117"/>
      <c r="BY250" s="117"/>
      <c r="BZ250" s="117"/>
      <c r="CA250" s="117"/>
      <c r="CB250" s="117"/>
      <c r="CC250" s="117"/>
      <c r="CD250" s="117"/>
      <c r="CE250" s="117"/>
      <c r="CF250" s="117"/>
      <c r="CG250" s="117"/>
      <c r="CH250" s="117"/>
      <c r="CI250" s="117"/>
    </row>
    <row r="251" ht="15.75" customHeight="1">
      <c r="C251" s="1" t="s">
        <v>47</v>
      </c>
      <c r="D251" s="122">
        <f t="shared" ref="D251:Z251" si="274">D9</f>
        <v>0.1878298187</v>
      </c>
      <c r="E251" s="122">
        <f t="shared" si="274"/>
        <v>0.2848382553</v>
      </c>
      <c r="F251" s="122">
        <f t="shared" si="274"/>
        <v>0.2267545322</v>
      </c>
      <c r="G251" s="122">
        <f t="shared" si="274"/>
        <v>0.2372297658</v>
      </c>
      <c r="H251" s="122">
        <f t="shared" si="274"/>
        <v>0.280619677</v>
      </c>
      <c r="I251" s="122">
        <f t="shared" si="274"/>
        <v>0.1808594723</v>
      </c>
      <c r="J251" s="122">
        <f t="shared" si="274"/>
        <v>0.2143813172</v>
      </c>
      <c r="K251" s="122">
        <f t="shared" si="274"/>
        <v>0.2099733348</v>
      </c>
      <c r="L251" s="122">
        <f t="shared" si="274"/>
        <v>0.2559584419</v>
      </c>
      <c r="M251" s="122">
        <f t="shared" si="274"/>
        <v>0.2708600527</v>
      </c>
      <c r="N251" s="122">
        <f t="shared" si="274"/>
        <v>0.2690510741</v>
      </c>
      <c r="O251" s="122">
        <f t="shared" si="274"/>
        <v>0.2001914641</v>
      </c>
      <c r="P251" s="122">
        <f t="shared" si="274"/>
        <v>0.1994269646</v>
      </c>
      <c r="Q251" s="122">
        <f t="shared" si="274"/>
        <v>0.2088173116</v>
      </c>
      <c r="R251" s="122">
        <f t="shared" si="274"/>
        <v>0.2160501013</v>
      </c>
      <c r="S251" s="122">
        <f t="shared" si="274"/>
        <v>0.1851626128</v>
      </c>
      <c r="T251" s="122">
        <f t="shared" si="274"/>
        <v>0.2417467348</v>
      </c>
      <c r="U251" s="122">
        <f t="shared" si="274"/>
        <v>0.1913016961</v>
      </c>
      <c r="V251" s="122">
        <f t="shared" si="274"/>
        <v>0.2535580511</v>
      </c>
      <c r="W251" s="122">
        <f t="shared" si="274"/>
        <v>0.816555377</v>
      </c>
      <c r="X251" s="122">
        <f t="shared" si="274"/>
        <v>0.8445050212</v>
      </c>
      <c r="Y251" s="122">
        <f t="shared" si="274"/>
        <v>0.9557998015</v>
      </c>
      <c r="Z251" s="122">
        <f t="shared" si="274"/>
        <v>1.019783418</v>
      </c>
      <c r="AA251" s="253">
        <f>Summary!AM7/SUM(Summary!AM$7:AM$12)</f>
        <v>0.2977151749</v>
      </c>
      <c r="AB251" s="253">
        <f>Summary!AN7/SUM(Summary!AN$7:AN$12)</f>
        <v>0.3008723733</v>
      </c>
      <c r="AC251" s="253">
        <f>Summary!AO7/SUM(Summary!AO$7:AO$12)</f>
        <v>0.302821264</v>
      </c>
      <c r="AD251" s="253">
        <f>Summary!AP7/SUM(Summary!AP$7:AP$12)</f>
        <v>0.3048904028</v>
      </c>
      <c r="AE251" s="253">
        <f>Summary!AQ7/SUM(Summary!AQ$7:AQ$12)</f>
        <v>0.3076731843</v>
      </c>
      <c r="AF251" s="253">
        <f>Summary!AR7/SUM(Summary!AR$7:AR$12)</f>
        <v>0.3134560131</v>
      </c>
      <c r="AG251" s="253">
        <f>Summary!AS7/SUM(Summary!AS$7:AS$12)</f>
        <v>0.3179923621</v>
      </c>
      <c r="AH251" s="253">
        <f>Summary!AT7/SUM(Summary!AT$7:AT$12)</f>
        <v>0.3224020326</v>
      </c>
      <c r="AI251" s="253">
        <f>Summary!AU7/SUM(Summary!AU$7:AU$12)</f>
        <v>0.3263688334</v>
      </c>
      <c r="AJ251" s="253">
        <f>Summary!AV7/SUM(Summary!AV$7:AV$12)</f>
        <v>0.3308803338</v>
      </c>
      <c r="AK251" s="253">
        <f>Summary!AW7/SUM(Summary!AW$7:AW$12)</f>
        <v>0.3345623512</v>
      </c>
      <c r="AL251" s="253">
        <f>Summary!AX7/SUM(Summary!AX$7:AX$12)</f>
        <v>0.3391180926</v>
      </c>
      <c r="AM251" s="253">
        <f>Summary!AY7/SUM(Summary!AY$7:AY$12)</f>
        <v>0.3438298844</v>
      </c>
      <c r="AN251" s="253">
        <f>Summary!AZ7/SUM(Summary!AZ$7:AZ$12)</f>
        <v>0.3440837918</v>
      </c>
      <c r="AO251" s="253">
        <f>Summary!BA7/SUM(Summary!BA$7:BA$12)</f>
        <v>0.3443218756</v>
      </c>
      <c r="AP251" s="253">
        <f>Summary!BB7/SUM(Summary!BB$7:BB$12)</f>
        <v>0.3463003348</v>
      </c>
      <c r="AQ251" s="253">
        <f>Summary!BC7/SUM(Summary!BC$7:BC$12)</f>
        <v>0.3481846233</v>
      </c>
      <c r="AR251" s="253">
        <f>Summary!BD7/SUM(Summary!BD$7:BD$12)</f>
        <v>0.3497670455</v>
      </c>
      <c r="AS251" s="253">
        <f>Summary!BE7/SUM(Summary!BE$7:BE$12)</f>
        <v>0.3511164195</v>
      </c>
      <c r="AT251" s="253">
        <f>Summary!BF7/SUM(Summary!BF$7:BF$12)</f>
        <v>0.3523194995</v>
      </c>
      <c r="AU251" s="253">
        <f>Summary!BG7/SUM(Summary!BG$7:BG$12)</f>
        <v>0.3554245227</v>
      </c>
      <c r="AV251" s="253">
        <f>Summary!BH7/SUM(Summary!BH$7:BH$12)</f>
        <v>0.3564864792</v>
      </c>
      <c r="AW251" s="253">
        <f>Summary!BI7/SUM(Summary!BI$7:BI$12)</f>
        <v>0.3574901776</v>
      </c>
      <c r="AX251" s="253">
        <f>Summary!BJ7/SUM(Summary!BJ$7:BJ$12)</f>
        <v>0.3584421493</v>
      </c>
      <c r="AY251" s="253">
        <f>Summary!BK7/SUM(Summary!BK$7:BK$12)</f>
        <v>0.359347724</v>
      </c>
      <c r="AZ251" s="253">
        <f>Summary!BL7/SUM(Summary!BL$7:BL$12)</f>
        <v>0.3609974872</v>
      </c>
      <c r="BA251" s="253">
        <f>Summary!BM7/SUM(Summary!BM$7:BM$12)</f>
        <v>0.3618003612</v>
      </c>
      <c r="BB251" s="253">
        <f>Summary!BN7/SUM(Summary!BN$7:BN$12)</f>
        <v>0.3626023902</v>
      </c>
      <c r="BC251" s="253">
        <f>Summary!BO7/SUM(Summary!BO$7:BO$12)</f>
        <v>0.3634115246</v>
      </c>
      <c r="BD251" s="253">
        <f>Summary!BP7/SUM(Summary!BP$7:BP$12)</f>
        <v>0.3642155266</v>
      </c>
      <c r="BE251" s="253">
        <f>Summary!BQ7/SUM(Summary!BQ$7:BQ$12)</f>
        <v>0.3650065099</v>
      </c>
      <c r="BF251" s="253">
        <f>Summary!BR7/SUM(Summary!BR$7:BR$12)</f>
        <v>0.3657797472</v>
      </c>
      <c r="BG251" s="253">
        <f>Summary!BS7/SUM(Summary!BS$7:BS$12)</f>
        <v>0.366532547</v>
      </c>
      <c r="BH251" s="253">
        <f>Summary!BT7/SUM(Summary!BT$7:BT$12)</f>
        <v>0.3672635446</v>
      </c>
      <c r="BI251" s="253">
        <f>Summary!BU7/SUM(Summary!BU$7:BU$12)</f>
        <v>0.3679722544</v>
      </c>
      <c r="BJ251" s="253">
        <f>Summary!BV7/SUM(Summary!BV$7:BV$12)</f>
        <v>0.3686587752</v>
      </c>
      <c r="BK251" s="253">
        <f>Summary!BW7/SUM(Summary!BW$7:BW$12)</f>
        <v>0.3693235899</v>
      </c>
      <c r="BL251" s="253">
        <f>Summary!BX7/SUM(Summary!BX$7:BX$12)</f>
        <v>0.3718655439</v>
      </c>
      <c r="BM251" s="253">
        <f>Summary!BY7/SUM(Summary!BY$7:BY$12)</f>
        <v>0.3719620562</v>
      </c>
      <c r="BN251" s="253">
        <f>Summary!BZ7/SUM(Summary!BZ$7:BZ$12)</f>
        <v>0.372031153</v>
      </c>
      <c r="BO251" s="253">
        <f>Summary!CA7/SUM(Summary!CA$7:CA$12)</f>
        <v>0.3722140468</v>
      </c>
      <c r="BP251" s="253">
        <f>Summary!CB7/SUM(Summary!CB$7:CB$12)</f>
        <v>0.3724084597</v>
      </c>
      <c r="BQ251" s="253">
        <f>Summary!CC7/SUM(Summary!CC$7:CC$12)</f>
        <v>0.3726106512</v>
      </c>
      <c r="BR251" s="253">
        <f>Summary!CD7/SUM(Summary!CD$7:CD$12)</f>
        <v>0.3728195323</v>
      </c>
      <c r="BS251" s="253">
        <f>Summary!CE7/SUM(Summary!CE$7:CE$12)</f>
        <v>0.3730346709</v>
      </c>
      <c r="BT251" s="253">
        <f>Summary!CF7/SUM(Summary!CF$7:CF$12)</f>
        <v>0.3732558361</v>
      </c>
      <c r="BU251" s="253">
        <f>Summary!CG7/SUM(Summary!CG$7:CG$12)</f>
        <v>0.3734828729</v>
      </c>
      <c r="BV251" s="253">
        <f>Summary!CH7/SUM(Summary!CH$7:CH$12)</f>
        <v>0.373715662</v>
      </c>
      <c r="BW251" s="253">
        <f>Summary!CI7/SUM(Summary!CI$7:CI$12)</f>
        <v>0.3739541053</v>
      </c>
      <c r="BX251" s="253">
        <f>Summary!CJ7/SUM(Summary!CJ$7:CJ$12)</f>
        <v>0.3763664225</v>
      </c>
      <c r="BY251" s="253">
        <f>Summary!CK7/SUM(Summary!CK$7:CK$12)</f>
        <v>0.3768111882</v>
      </c>
      <c r="BZ251" s="253">
        <f>Summary!CL7/SUM(Summary!CL$7:CL$12)</f>
        <v>0.3773305499</v>
      </c>
      <c r="CA251" s="253">
        <f>Summary!CM7/SUM(Summary!CM$7:CM$12)</f>
        <v>0.3777800847</v>
      </c>
      <c r="CB251" s="253">
        <f>Summary!CN7/SUM(Summary!CN$7:CN$12)</f>
        <v>0.3781310405</v>
      </c>
      <c r="CC251" s="253">
        <f>Summary!CO7/SUM(Summary!CO$7:CO$12)</f>
        <v>0.3784160038</v>
      </c>
      <c r="CD251" s="253">
        <f>Summary!CP7/SUM(Summary!CP$7:CP$12)</f>
        <v>0.3786542821</v>
      </c>
      <c r="CE251" s="253">
        <f>Summary!CQ7/SUM(Summary!CQ$7:CQ$12)</f>
        <v>0.3788580503</v>
      </c>
      <c r="CF251" s="253">
        <f>Summary!CR7/SUM(Summary!CR$7:CR$12)</f>
        <v>0.3790355957</v>
      </c>
      <c r="CG251" s="253">
        <f>Summary!CS7/SUM(Summary!CS$7:CS$12)</f>
        <v>0.3791928749</v>
      </c>
      <c r="CH251" s="253">
        <f>Summary!CT7/SUM(Summary!CT$7:CT$12)</f>
        <v>0.3793343163</v>
      </c>
      <c r="CI251" s="253">
        <f>Summary!CU7/SUM(Summary!CU$7:CU$12)</f>
        <v>0.3794632817</v>
      </c>
    </row>
    <row r="252" ht="15.75" customHeight="1">
      <c r="C252" s="1" t="s">
        <v>85</v>
      </c>
      <c r="D252" s="122">
        <f t="shared" ref="D252:Z252" si="275">D41</f>
        <v>0.2043440358</v>
      </c>
      <c r="E252" s="122">
        <f t="shared" si="275"/>
        <v>0.2783183312</v>
      </c>
      <c r="F252" s="122">
        <f t="shared" si="275"/>
        <v>0.2685201559</v>
      </c>
      <c r="G252" s="122">
        <f t="shared" si="275"/>
        <v>0.2347731559</v>
      </c>
      <c r="H252" s="122">
        <f t="shared" si="275"/>
        <v>0.1885137671</v>
      </c>
      <c r="I252" s="122">
        <f t="shared" si="275"/>
        <v>0.2258255409</v>
      </c>
      <c r="J252" s="122">
        <f t="shared" si="275"/>
        <v>0.2221057466</v>
      </c>
      <c r="K252" s="122">
        <f t="shared" si="275"/>
        <v>0.2128365608</v>
      </c>
      <c r="L252" s="122">
        <f t="shared" si="275"/>
        <v>0.2705519054</v>
      </c>
      <c r="M252" s="122">
        <f t="shared" si="275"/>
        <v>0.2888544899</v>
      </c>
      <c r="N252" s="122">
        <f t="shared" si="275"/>
        <v>0.2687599293</v>
      </c>
      <c r="O252" s="122">
        <f t="shared" si="275"/>
        <v>0.2644652936</v>
      </c>
      <c r="P252" s="122">
        <f t="shared" si="275"/>
        <v>0.2048942719</v>
      </c>
      <c r="Q252" s="122">
        <f t="shared" si="275"/>
        <v>0.2260929053</v>
      </c>
      <c r="R252" s="122">
        <f t="shared" si="275"/>
        <v>0.1319289675</v>
      </c>
      <c r="S252" s="122">
        <f t="shared" si="275"/>
        <v>0.1480906044</v>
      </c>
      <c r="T252" s="122">
        <f t="shared" si="275"/>
        <v>0.1471703404</v>
      </c>
      <c r="U252" s="122">
        <f t="shared" si="275"/>
        <v>0.1787255062</v>
      </c>
      <c r="V252" s="122">
        <f t="shared" si="275"/>
        <v>0.1185328492</v>
      </c>
      <c r="W252" s="122">
        <f t="shared" si="275"/>
        <v>0.4163744013</v>
      </c>
      <c r="X252" s="122">
        <f t="shared" si="275"/>
        <v>0.4412269761</v>
      </c>
      <c r="Y252" s="122">
        <f t="shared" si="275"/>
        <v>0.4881716353</v>
      </c>
      <c r="Z252" s="122">
        <f t="shared" si="275"/>
        <v>0.1720963639</v>
      </c>
      <c r="AA252" s="253">
        <f>Summary!AM8/SUM(Summary!AM$7:AM$12)</f>
        <v>0.19200885</v>
      </c>
      <c r="AB252" s="253">
        <f>Summary!AN8/SUM(Summary!AN$7:AN$12)</f>
        <v>0.1991582022</v>
      </c>
      <c r="AC252" s="253">
        <f>Summary!AO8/SUM(Summary!AO$7:AO$12)</f>
        <v>0.2061995531</v>
      </c>
      <c r="AD252" s="253">
        <f>Summary!AP8/SUM(Summary!AP$7:AP$12)</f>
        <v>0.212216105</v>
      </c>
      <c r="AE252" s="253">
        <f>Summary!AQ8/SUM(Summary!AQ$7:AQ$12)</f>
        <v>0.2180787032</v>
      </c>
      <c r="AF252" s="253">
        <f>Summary!AR8/SUM(Summary!AR$7:AR$12)</f>
        <v>0.2228743656</v>
      </c>
      <c r="AG252" s="253">
        <f>Summary!AS8/SUM(Summary!AS$7:AS$12)</f>
        <v>0.2272882639</v>
      </c>
      <c r="AH252" s="253">
        <f>Summary!AT8/SUM(Summary!AT$7:AT$12)</f>
        <v>0.2305502912</v>
      </c>
      <c r="AI252" s="253">
        <f>Summary!AU8/SUM(Summary!AU$7:AU$12)</f>
        <v>0.2329770677</v>
      </c>
      <c r="AJ252" s="253">
        <f>Summary!AV8/SUM(Summary!AV$7:AV$12)</f>
        <v>0.2349950033</v>
      </c>
      <c r="AK252" s="253">
        <f>Summary!AW8/SUM(Summary!AW$7:AW$12)</f>
        <v>0.2359268175</v>
      </c>
      <c r="AL252" s="253">
        <f>Summary!AX8/SUM(Summary!AX$7:AX$12)</f>
        <v>0.2374225206</v>
      </c>
      <c r="AM252" s="253">
        <f>Summary!AY8/SUM(Summary!AY$7:AY$12)</f>
        <v>0.238616938</v>
      </c>
      <c r="AN252" s="253">
        <f>Summary!AZ8/SUM(Summary!AZ$7:AZ$12)</f>
        <v>0.2365469569</v>
      </c>
      <c r="AO252" s="253">
        <f>Summary!BA8/SUM(Summary!BA$7:BA$12)</f>
        <v>0.2362975854</v>
      </c>
      <c r="AP252" s="253">
        <f>Summary!BB8/SUM(Summary!BB$7:BB$12)</f>
        <v>0.2374848729</v>
      </c>
      <c r="AQ252" s="253">
        <f>Summary!BC8/SUM(Summary!BC$7:BC$12)</f>
        <v>0.2386848121</v>
      </c>
      <c r="AR252" s="253">
        <f>Summary!BD8/SUM(Summary!BD$7:BD$12)</f>
        <v>0.2396905726</v>
      </c>
      <c r="AS252" s="253">
        <f>Summary!BE8/SUM(Summary!BE$7:BE$12)</f>
        <v>0.2405428779</v>
      </c>
      <c r="AT252" s="253">
        <f>Summary!BF8/SUM(Summary!BF$7:BF$12)</f>
        <v>0.2412940241</v>
      </c>
      <c r="AU252" s="253">
        <f>Summary!BG8/SUM(Summary!BG$7:BG$12)</f>
        <v>0.241251913</v>
      </c>
      <c r="AV252" s="253">
        <f>Summary!BH8/SUM(Summary!BH$7:BH$12)</f>
        <v>0.2419029291</v>
      </c>
      <c r="AW252" s="253">
        <f>Summary!BI8/SUM(Summary!BI$7:BI$12)</f>
        <v>0.2425164869</v>
      </c>
      <c r="AX252" s="253">
        <f>Summary!BJ8/SUM(Summary!BJ$7:BJ$12)</f>
        <v>0.2430970819</v>
      </c>
      <c r="AY252" s="253">
        <f>Summary!BK8/SUM(Summary!BK$7:BK$12)</f>
        <v>0.2436483725</v>
      </c>
      <c r="AZ252" s="253">
        <f>Summary!BL8/SUM(Summary!BL$7:BL$12)</f>
        <v>0.2428370643</v>
      </c>
      <c r="BA252" s="253">
        <f>Summary!BM8/SUM(Summary!BM$7:BM$12)</f>
        <v>0.2435276649</v>
      </c>
      <c r="BB252" s="253">
        <f>Summary!BN8/SUM(Summary!BN$7:BN$12)</f>
        <v>0.2442018863</v>
      </c>
      <c r="BC252" s="253">
        <f>Summary!BO8/SUM(Summary!BO$7:BO$12)</f>
        <v>0.2448695452</v>
      </c>
      <c r="BD252" s="253">
        <f>Summary!BP8/SUM(Summary!BP$7:BP$12)</f>
        <v>0.2455239513</v>
      </c>
      <c r="BE252" s="253">
        <f>Summary!BQ8/SUM(Summary!BQ$7:BQ$12)</f>
        <v>0.2461608068</v>
      </c>
      <c r="BF252" s="253">
        <f>Summary!BR8/SUM(Summary!BR$7:BR$12)</f>
        <v>0.2467777722</v>
      </c>
      <c r="BG252" s="253">
        <f>Summary!BS8/SUM(Summary!BS$7:BS$12)</f>
        <v>0.2473737788</v>
      </c>
      <c r="BH252" s="253">
        <f>Summary!BT8/SUM(Summary!BT$7:BT$12)</f>
        <v>0.2479485712</v>
      </c>
      <c r="BI252" s="253">
        <f>Summary!BU8/SUM(Summary!BU$7:BU$12)</f>
        <v>0.2485024182</v>
      </c>
      <c r="BJ252" s="253">
        <f>Summary!BV8/SUM(Summary!BV$7:BV$12)</f>
        <v>0.2490359233</v>
      </c>
      <c r="BK252" s="253">
        <f>Summary!BW8/SUM(Summary!BW$7:BW$12)</f>
        <v>0.2495498965</v>
      </c>
      <c r="BL252" s="253">
        <f>Summary!BX8/SUM(Summary!BX$7:BX$12)</f>
        <v>0.2491916448</v>
      </c>
      <c r="BM252" s="253">
        <f>Summary!BY8/SUM(Summary!BY$7:BY$12)</f>
        <v>0.2492854848</v>
      </c>
      <c r="BN252" s="253">
        <f>Summary!BZ8/SUM(Summary!BZ$7:BZ$12)</f>
        <v>0.2493517247</v>
      </c>
      <c r="BO252" s="253">
        <f>Summary!CA8/SUM(Summary!CA$7:CA$12)</f>
        <v>0.2494965076</v>
      </c>
      <c r="BP252" s="253">
        <f>Summary!CB8/SUM(Summary!CB$7:CB$12)</f>
        <v>0.249648878</v>
      </c>
      <c r="BQ252" s="253">
        <f>Summary!CC8/SUM(Summary!CC$7:CC$12)</f>
        <v>0.2498060648</v>
      </c>
      <c r="BR252" s="253">
        <f>Summary!CD8/SUM(Summary!CD$7:CD$12)</f>
        <v>0.2499673832</v>
      </c>
      <c r="BS252" s="253">
        <f>Summary!CE8/SUM(Summary!CE$7:CE$12)</f>
        <v>0.2501326274</v>
      </c>
      <c r="BT252" s="253">
        <f>Summary!CF8/SUM(Summary!CF$7:CF$12)</f>
        <v>0.2503017256</v>
      </c>
      <c r="BU252" s="253">
        <f>Summary!CG8/SUM(Summary!CG$7:CG$12)</f>
        <v>0.2504746506</v>
      </c>
      <c r="BV252" s="253">
        <f>Summary!CH8/SUM(Summary!CH$7:CH$12)</f>
        <v>0.2506513929</v>
      </c>
      <c r="BW252" s="253">
        <f>Summary!CI8/SUM(Summary!CI$7:CI$12)</f>
        <v>0.2508319513</v>
      </c>
      <c r="BX252" s="253">
        <f>Summary!CJ8/SUM(Summary!CJ$7:CJ$12)</f>
        <v>0.2503340492</v>
      </c>
      <c r="BY252" s="253">
        <f>Summary!CK8/SUM(Summary!CK$7:CK$12)</f>
        <v>0.2505924877</v>
      </c>
      <c r="BZ252" s="253">
        <f>Summary!CL8/SUM(Summary!CL$7:CL$12)</f>
        <v>0.2509338779</v>
      </c>
      <c r="CA252" s="253">
        <f>Summary!CM8/SUM(Summary!CM$7:CM$12)</f>
        <v>0.2512363997</v>
      </c>
      <c r="CB252" s="253">
        <f>Summary!CN8/SUM(Summary!CN$7:CN$12)</f>
        <v>0.2514735168</v>
      </c>
      <c r="CC252" s="253">
        <f>Summary!CO8/SUM(Summary!CO$7:CO$12)</f>
        <v>0.2516659204</v>
      </c>
      <c r="CD252" s="253">
        <f>Summary!CP8/SUM(Summary!CP$7:CP$12)</f>
        <v>0.2518264211</v>
      </c>
      <c r="CE252" s="253">
        <f>Summary!CQ8/SUM(Summary!CQ$7:CQ$12)</f>
        <v>0.2519632189</v>
      </c>
      <c r="CF252" s="253">
        <f>Summary!CR8/SUM(Summary!CR$7:CR$12)</f>
        <v>0.2520819397</v>
      </c>
      <c r="CG252" s="253">
        <f>Summary!CS8/SUM(Summary!CS$7:CS$12)</f>
        <v>0.2521866534</v>
      </c>
      <c r="CH252" s="253">
        <f>Summary!CT8/SUM(Summary!CT$7:CT$12)</f>
        <v>0.2522804046</v>
      </c>
      <c r="CI252" s="253">
        <f>Summary!CU8/SUM(Summary!CU$7:CU$12)</f>
        <v>0.2523655213</v>
      </c>
    </row>
    <row r="253" ht="15.75" customHeight="1">
      <c r="C253" s="1" t="s">
        <v>87</v>
      </c>
      <c r="D253" s="122">
        <f t="shared" ref="D253:Z253" si="276">D73</f>
        <v>0.2629120794</v>
      </c>
      <c r="E253" s="122">
        <f t="shared" si="276"/>
        <v>0.1484870759</v>
      </c>
      <c r="F253" s="122">
        <f t="shared" si="276"/>
        <v>0.1937534556</v>
      </c>
      <c r="G253" s="122">
        <f t="shared" si="276"/>
        <v>0.223191995</v>
      </c>
      <c r="H253" s="122">
        <f t="shared" si="276"/>
        <v>0.2995500326</v>
      </c>
      <c r="I253" s="122">
        <f t="shared" si="276"/>
        <v>0.2708615924</v>
      </c>
      <c r="J253" s="122">
        <f t="shared" si="276"/>
        <v>0.3224010925</v>
      </c>
      <c r="K253" s="122">
        <f t="shared" si="276"/>
        <v>0.2420268092</v>
      </c>
      <c r="L253" s="122">
        <f t="shared" si="276"/>
        <v>0.2162366871</v>
      </c>
      <c r="M253" s="122">
        <f t="shared" si="276"/>
        <v>0.167434697</v>
      </c>
      <c r="N253" s="122">
        <f t="shared" si="276"/>
        <v>0.2116898092</v>
      </c>
      <c r="O253" s="122">
        <f t="shared" si="276"/>
        <v>0.1475567426</v>
      </c>
      <c r="P253" s="122">
        <f t="shared" si="276"/>
        <v>0.1716785865</v>
      </c>
      <c r="Q253" s="122">
        <f t="shared" si="276"/>
        <v>0.1991410039</v>
      </c>
      <c r="R253" s="122">
        <f t="shared" si="276"/>
        <v>0.1908004303</v>
      </c>
      <c r="S253" s="122">
        <f t="shared" si="276"/>
        <v>0.2149537845</v>
      </c>
      <c r="T253" s="122">
        <f t="shared" si="276"/>
        <v>0.2083910569</v>
      </c>
      <c r="U253" s="122">
        <f t="shared" si="276"/>
        <v>0.1542044693</v>
      </c>
      <c r="V253" s="122">
        <f t="shared" si="276"/>
        <v>0.1767111565</v>
      </c>
      <c r="W253" s="122">
        <f t="shared" si="276"/>
        <v>0.2025648626</v>
      </c>
      <c r="X253" s="122">
        <f t="shared" si="276"/>
        <v>0.1601211996</v>
      </c>
      <c r="Y253" s="122">
        <f t="shared" si="276"/>
        <v>0.2400621851</v>
      </c>
      <c r="Z253" s="122">
        <f t="shared" si="276"/>
        <v>0.1922199002</v>
      </c>
      <c r="AA253" s="253">
        <f>Summary!AM9/SUM(Summary!AM$7:AM$12)</f>
        <v>0.1937859017</v>
      </c>
      <c r="AB253" s="253">
        <f>Summary!AN9/SUM(Summary!AN$7:AN$12)</f>
        <v>0.209249002</v>
      </c>
      <c r="AC253" s="253">
        <f>Summary!AO9/SUM(Summary!AO$7:AO$12)</f>
        <v>0.2209484877</v>
      </c>
      <c r="AD253" s="253">
        <f>Summary!AP9/SUM(Summary!AP$7:AP$12)</f>
        <v>0.2294491457</v>
      </c>
      <c r="AE253" s="253">
        <f>Summary!AQ9/SUM(Summary!AQ$7:AQ$12)</f>
        <v>0.2352232178</v>
      </c>
      <c r="AF253" s="253">
        <f>Summary!AR9/SUM(Summary!AR$7:AR$12)</f>
        <v>0.2391919015</v>
      </c>
      <c r="AG253" s="253">
        <f>Summary!AS9/SUM(Summary!AS$7:AS$12)</f>
        <v>0.2429625529</v>
      </c>
      <c r="AH253" s="253">
        <f>Summary!AT9/SUM(Summary!AT$7:AT$12)</f>
        <v>0.246656103</v>
      </c>
      <c r="AI253" s="253">
        <f>Summary!AU9/SUM(Summary!AU$7:AU$12)</f>
        <v>0.250892814</v>
      </c>
      <c r="AJ253" s="253">
        <f>Summary!AV9/SUM(Summary!AV$7:AV$12)</f>
        <v>0.2540824713</v>
      </c>
      <c r="AK253" s="253">
        <f>Summary!AW9/SUM(Summary!AW$7:AW$12)</f>
        <v>0.2562356667</v>
      </c>
      <c r="AL253" s="253">
        <f>Summary!AX9/SUM(Summary!AX$7:AX$12)</f>
        <v>0.2565264145</v>
      </c>
      <c r="AM253" s="253">
        <f>Summary!AY9/SUM(Summary!AY$7:AY$12)</f>
        <v>0.2566321652</v>
      </c>
      <c r="AN253" s="253">
        <f>Summary!AZ9/SUM(Summary!AZ$7:AZ$12)</f>
        <v>0.2568575047</v>
      </c>
      <c r="AO253" s="253">
        <f>Summary!BA9/SUM(Summary!BA$7:BA$12)</f>
        <v>0.2585891704</v>
      </c>
      <c r="AP253" s="253">
        <f>Summary!BB9/SUM(Summary!BB$7:BB$12)</f>
        <v>0.2572991419</v>
      </c>
      <c r="AQ253" s="253">
        <f>Summary!BC9/SUM(Summary!BC$7:BC$12)</f>
        <v>0.2562295462</v>
      </c>
      <c r="AR253" s="253">
        <f>Summary!BD9/SUM(Summary!BD$7:BD$12)</f>
        <v>0.2555169062</v>
      </c>
      <c r="AS253" s="253">
        <f>Summary!BE9/SUM(Summary!BE$7:BE$12)</f>
        <v>0.2549529566</v>
      </c>
      <c r="AT253" s="253">
        <f>Summary!BF9/SUM(Summary!BF$7:BF$12)</f>
        <v>0.2544940987</v>
      </c>
      <c r="AU253" s="253">
        <f>Summary!BG9/SUM(Summary!BG$7:BG$12)</f>
        <v>0.2532644881</v>
      </c>
      <c r="AV253" s="253">
        <f>Summary!BH9/SUM(Summary!BH$7:BH$12)</f>
        <v>0.2528204209</v>
      </c>
      <c r="AW253" s="253">
        <f>Summary!BI9/SUM(Summary!BI$7:BI$12)</f>
        <v>0.2523867858</v>
      </c>
      <c r="AX253" s="253">
        <f>Summary!BJ9/SUM(Summary!BJ$7:BJ$12)</f>
        <v>0.2519643495</v>
      </c>
      <c r="AY253" s="253">
        <f>Summary!BK9/SUM(Summary!BK$7:BK$12)</f>
        <v>0.2515533164</v>
      </c>
      <c r="AZ253" s="253">
        <f>Summary!BL9/SUM(Summary!BL$7:BL$12)</f>
        <v>0.2476471131</v>
      </c>
      <c r="BA253" s="253">
        <f>Summary!BM9/SUM(Summary!BM$7:BM$12)</f>
        <v>0.2475420865</v>
      </c>
      <c r="BB253" s="253">
        <f>Summary!BN9/SUM(Summary!BN$7:BN$12)</f>
        <v>0.2474931969</v>
      </c>
      <c r="BC253" s="253">
        <f>Summary!BO9/SUM(Summary!BO$7:BO$12)</f>
        <v>0.2474534893</v>
      </c>
      <c r="BD253" s="253">
        <f>Summary!BP9/SUM(Summary!BP$7:BP$12)</f>
        <v>0.2474202318</v>
      </c>
      <c r="BE253" s="253">
        <f>Summary!BQ9/SUM(Summary!BQ$7:BQ$12)</f>
        <v>0.2473899307</v>
      </c>
      <c r="BF253" s="253">
        <f>Summary!BR9/SUM(Summary!BR$7:BR$12)</f>
        <v>0.2473593668</v>
      </c>
      <c r="BG253" s="253">
        <f>Summary!BS9/SUM(Summary!BS$7:BS$12)</f>
        <v>0.2473260476</v>
      </c>
      <c r="BH253" s="253">
        <f>Summary!BT9/SUM(Summary!BT$7:BT$12)</f>
        <v>0.2472882146</v>
      </c>
      <c r="BI253" s="253">
        <f>Summary!BU9/SUM(Summary!BU$7:BU$12)</f>
        <v>0.2472447099</v>
      </c>
      <c r="BJ253" s="253">
        <f>Summary!BV9/SUM(Summary!BV$7:BV$12)</f>
        <v>0.2471948261</v>
      </c>
      <c r="BK253" s="253">
        <f>Summary!BW9/SUM(Summary!BW$7:BW$12)</f>
        <v>0.2471381814</v>
      </c>
      <c r="BL253" s="253">
        <f>Summary!BX9/SUM(Summary!BX$7:BX$12)</f>
        <v>0.2460866864</v>
      </c>
      <c r="BM253" s="253">
        <f>Summary!BY9/SUM(Summary!BY$7:BY$12)</f>
        <v>0.2465458987</v>
      </c>
      <c r="BN253" s="253">
        <f>Summary!BZ9/SUM(Summary!BZ$7:BZ$12)</f>
        <v>0.2471333587</v>
      </c>
      <c r="BO253" s="253">
        <f>Summary!CA9/SUM(Summary!CA$7:CA$12)</f>
        <v>0.2474744967</v>
      </c>
      <c r="BP253" s="253">
        <f>Summary!CB9/SUM(Summary!CB$7:CB$12)</f>
        <v>0.2477694408</v>
      </c>
      <c r="BQ253" s="253">
        <f>Summary!CC9/SUM(Summary!CC$7:CC$12)</f>
        <v>0.2480261417</v>
      </c>
      <c r="BR253" s="253">
        <f>Summary!CD9/SUM(Summary!CD$7:CD$12)</f>
        <v>0.248248208</v>
      </c>
      <c r="BS253" s="253">
        <f>Summary!CE9/SUM(Summary!CE$7:CE$12)</f>
        <v>0.2484380016</v>
      </c>
      <c r="BT253" s="253">
        <f>Summary!CF9/SUM(Summary!CF$7:CF$12)</f>
        <v>0.2485974228</v>
      </c>
      <c r="BU253" s="253">
        <f>Summary!CG9/SUM(Summary!CG$7:CG$12)</f>
        <v>0.2487281439</v>
      </c>
      <c r="BV253" s="253">
        <f>Summary!CH9/SUM(Summary!CH$7:CH$12)</f>
        <v>0.2488316895</v>
      </c>
      <c r="BW253" s="253">
        <f>Summary!CI9/SUM(Summary!CI$7:CI$12)</f>
        <v>0.2489094688</v>
      </c>
      <c r="BX253" s="253">
        <f>Summary!CJ9/SUM(Summary!CJ$7:CJ$12)</f>
        <v>0.247949738</v>
      </c>
      <c r="BY253" s="253">
        <f>Summary!CK9/SUM(Summary!CK$7:CK$12)</f>
        <v>0.2482388275</v>
      </c>
      <c r="BZ253" s="253">
        <f>Summary!CL9/SUM(Summary!CL$7:CL$12)</f>
        <v>0.2482686835</v>
      </c>
      <c r="CA253" s="253">
        <f>Summary!CM9/SUM(Summary!CM$7:CM$12)</f>
        <v>0.2482180993</v>
      </c>
      <c r="CB253" s="253">
        <f>Summary!CN9/SUM(Summary!CN$7:CN$12)</f>
        <v>0.2481832296</v>
      </c>
      <c r="CC253" s="253">
        <f>Summary!CO9/SUM(Summary!CO$7:CO$12)</f>
        <v>0.2481413079</v>
      </c>
      <c r="CD253" s="253">
        <f>Summary!CP9/SUM(Summary!CP$7:CP$12)</f>
        <v>0.2480872709</v>
      </c>
      <c r="CE253" s="253">
        <f>Summary!CQ9/SUM(Summary!CQ$7:CQ$12)</f>
        <v>0.2480220804</v>
      </c>
      <c r="CF253" s="253">
        <f>Summary!CR9/SUM(Summary!CR$7:CR$12)</f>
        <v>0.2479481235</v>
      </c>
      <c r="CG253" s="253">
        <f>Summary!CS9/SUM(Summary!CS$7:CS$12)</f>
        <v>0.2478677065</v>
      </c>
      <c r="CH253" s="253">
        <f>Summary!CT9/SUM(Summary!CT$7:CT$12)</f>
        <v>0.2477826743</v>
      </c>
      <c r="CI253" s="253">
        <f>Summary!CU9/SUM(Summary!CU$7:CU$12)</f>
        <v>0.2476943928</v>
      </c>
    </row>
    <row r="254" ht="15.75" customHeight="1">
      <c r="C254" s="1" t="s">
        <v>89</v>
      </c>
      <c r="D254" s="122">
        <f t="shared" ref="D254:Z254" si="277">D105</f>
        <v>0.2531520322</v>
      </c>
      <c r="E254" s="122">
        <f t="shared" si="277"/>
        <v>0.2279668417</v>
      </c>
      <c r="F254" s="122">
        <f t="shared" si="277"/>
        <v>0.2209234392</v>
      </c>
      <c r="G254" s="122">
        <f t="shared" si="277"/>
        <v>0.2456391133</v>
      </c>
      <c r="H254" s="122">
        <f t="shared" si="277"/>
        <v>0.1557481434</v>
      </c>
      <c r="I254" s="122">
        <f t="shared" si="277"/>
        <v>0.2543363666</v>
      </c>
      <c r="J254" s="122">
        <f t="shared" si="277"/>
        <v>0.1722266261</v>
      </c>
      <c r="K254" s="122">
        <f t="shared" si="277"/>
        <v>0.2527237289</v>
      </c>
      <c r="L254" s="122">
        <f t="shared" si="277"/>
        <v>0.1825040402</v>
      </c>
      <c r="M254" s="122">
        <f t="shared" si="277"/>
        <v>0.2021867674</v>
      </c>
      <c r="N254" s="122">
        <f t="shared" si="277"/>
        <v>0.1948320644</v>
      </c>
      <c r="O254" s="122">
        <f t="shared" si="277"/>
        <v>0.1895773459</v>
      </c>
      <c r="P254" s="122">
        <f t="shared" si="277"/>
        <v>0.2363075969</v>
      </c>
      <c r="Q254" s="122">
        <f t="shared" si="277"/>
        <v>0.1762413007</v>
      </c>
      <c r="R254" s="122">
        <f t="shared" si="277"/>
        <v>0.2269635243</v>
      </c>
      <c r="S254" s="122">
        <f t="shared" si="277"/>
        <v>0.2194131038</v>
      </c>
      <c r="T254" s="122">
        <f t="shared" si="277"/>
        <v>0.1798442888</v>
      </c>
      <c r="U254" s="122">
        <f t="shared" si="277"/>
        <v>0.264530624</v>
      </c>
      <c r="V254" s="122">
        <f t="shared" si="277"/>
        <v>0.2364008402</v>
      </c>
      <c r="W254" s="122">
        <f t="shared" si="277"/>
        <v>0.05987565721</v>
      </c>
      <c r="X254" s="122">
        <f t="shared" si="277"/>
        <v>0.05582606905</v>
      </c>
      <c r="Y254" s="122">
        <f t="shared" si="277"/>
        <v>0.1940561747</v>
      </c>
      <c r="Z254" s="122">
        <f t="shared" si="277"/>
        <v>0.1347453975</v>
      </c>
      <c r="AA254" s="253">
        <f>Summary!AM10/SUM(Summary!AM$7:AM$12)</f>
        <v>0.114786447</v>
      </c>
      <c r="AB254" s="253">
        <f>Summary!AN10/SUM(Summary!AN$7:AN$12)</f>
        <v>0.1092196914</v>
      </c>
      <c r="AC254" s="253">
        <f>Summary!AO10/SUM(Summary!AO$7:AO$12)</f>
        <v>0.1041564814</v>
      </c>
      <c r="AD254" s="253">
        <f>Summary!AP10/SUM(Summary!AP$7:AP$12)</f>
        <v>0.09906725998</v>
      </c>
      <c r="AE254" s="253">
        <f>Summary!AQ10/SUM(Summary!AQ$7:AQ$12)</f>
        <v>0.09394055426</v>
      </c>
      <c r="AF254" s="253">
        <f>Summary!AR10/SUM(Summary!AR$7:AR$12)</f>
        <v>0.08916892691</v>
      </c>
      <c r="AG254" s="253">
        <f>Summary!AS10/SUM(Summary!AS$7:AS$12)</f>
        <v>0.08456306978</v>
      </c>
      <c r="AH254" s="253">
        <f>Summary!AT10/SUM(Summary!AT$7:AT$12)</f>
        <v>0.08039672196</v>
      </c>
      <c r="AI254" s="253">
        <f>Summary!AU10/SUM(Summary!AU$7:AU$12)</f>
        <v>0.07608912026</v>
      </c>
      <c r="AJ254" s="253">
        <f>Summary!AV10/SUM(Summary!AV$7:AV$12)</f>
        <v>0.07156264481</v>
      </c>
      <c r="AK254" s="253">
        <f>Summary!AW10/SUM(Summary!AW$7:AW$12)</f>
        <v>0.06885707332</v>
      </c>
      <c r="AL254" s="253">
        <f>Summary!AX10/SUM(Summary!AX$7:AX$12)</f>
        <v>0.06630447409</v>
      </c>
      <c r="AM254" s="253">
        <f>Summary!AY10/SUM(Summary!AY$7:AY$12)</f>
        <v>0.06388839422</v>
      </c>
      <c r="AN254" s="253">
        <f>Summary!AZ10/SUM(Summary!AZ$7:AZ$12)</f>
        <v>0.06291630533</v>
      </c>
      <c r="AO254" s="253">
        <f>Summary!BA10/SUM(Summary!BA$7:BA$12)</f>
        <v>0.06117524731</v>
      </c>
      <c r="AP254" s="253">
        <f>Summary!BB10/SUM(Summary!BB$7:BB$12)</f>
        <v>0.05936261362</v>
      </c>
      <c r="AQ254" s="253">
        <f>Summary!BC10/SUM(Summary!BC$7:BC$12)</f>
        <v>0.05782209128</v>
      </c>
      <c r="AR254" s="253">
        <f>Summary!BD10/SUM(Summary!BD$7:BD$12)</f>
        <v>0.05656759204</v>
      </c>
      <c r="AS254" s="253">
        <f>Summary!BE10/SUM(Summary!BE$7:BE$12)</f>
        <v>0.05558404719</v>
      </c>
      <c r="AT254" s="253">
        <f>Summary!BF10/SUM(Summary!BF$7:BF$12)</f>
        <v>0.05476682275</v>
      </c>
      <c r="AU254" s="253">
        <f>Summary!BG10/SUM(Summary!BG$7:BG$12)</f>
        <v>0.05391026891</v>
      </c>
      <c r="AV254" s="253">
        <f>Summary!BH10/SUM(Summary!BH$7:BH$12)</f>
        <v>0.05331542926</v>
      </c>
      <c r="AW254" s="253">
        <f>Summary!BI10/SUM(Summary!BI$7:BI$12)</f>
        <v>0.05279287481</v>
      </c>
      <c r="AX254" s="253">
        <f>Summary!BJ10/SUM(Summary!BJ$7:BJ$12)</f>
        <v>0.05232648485</v>
      </c>
      <c r="AY254" s="253">
        <f>Summary!BK10/SUM(Summary!BK$7:BK$12)</f>
        <v>0.05190449434</v>
      </c>
      <c r="AZ254" s="253">
        <f>Summary!BL10/SUM(Summary!BL$7:BL$12)</f>
        <v>0.05153073939</v>
      </c>
      <c r="BA254" s="253">
        <f>Summary!BM10/SUM(Summary!BM$7:BM$12)</f>
        <v>0.05135249352</v>
      </c>
      <c r="BB254" s="253">
        <f>Summary!BN10/SUM(Summary!BN$7:BN$12)</f>
        <v>0.05107728745</v>
      </c>
      <c r="BC254" s="253">
        <f>Summary!BO10/SUM(Summary!BO$7:BO$12)</f>
        <v>0.05073875638</v>
      </c>
      <c r="BD254" s="253">
        <f>Summary!BP10/SUM(Summary!BP$7:BP$12)</f>
        <v>0.05036126034</v>
      </c>
      <c r="BE254" s="253">
        <f>Summary!BQ10/SUM(Summary!BQ$7:BQ$12)</f>
        <v>0.04996234754</v>
      </c>
      <c r="BF254" s="253">
        <f>Summary!BR10/SUM(Summary!BR$7:BR$12)</f>
        <v>0.04955430539</v>
      </c>
      <c r="BG254" s="253">
        <f>Summary!BS10/SUM(Summary!BS$7:BS$12)</f>
        <v>0.04914558832</v>
      </c>
      <c r="BH254" s="253">
        <f>Summary!BT10/SUM(Summary!BT$7:BT$12)</f>
        <v>0.04874190303</v>
      </c>
      <c r="BI254" s="253">
        <f>Summary!BU10/SUM(Summary!BU$7:BU$12)</f>
        <v>0.04834700046</v>
      </c>
      <c r="BJ254" s="253">
        <f>Summary!BV10/SUM(Summary!BV$7:BV$12)</f>
        <v>0.04796324691</v>
      </c>
      <c r="BK254" s="253">
        <f>Summary!BW10/SUM(Summary!BW$7:BW$12)</f>
        <v>0.04759203438</v>
      </c>
      <c r="BL254" s="253">
        <f>Summary!BX10/SUM(Summary!BX$7:BX$12)</f>
        <v>0.04744501175</v>
      </c>
      <c r="BM254" s="253">
        <f>Summary!BY10/SUM(Summary!BY$7:BY$12)</f>
        <v>0.04740343643</v>
      </c>
      <c r="BN254" s="253">
        <f>Summary!BZ10/SUM(Summary!BZ$7:BZ$12)</f>
        <v>0.04727501515</v>
      </c>
      <c r="BO254" s="253">
        <f>Summary!CA10/SUM(Summary!CA$7:CA$12)</f>
        <v>0.04716762484</v>
      </c>
      <c r="BP254" s="253">
        <f>Summary!CB10/SUM(Summary!CB$7:CB$12)</f>
        <v>0.04707048759</v>
      </c>
      <c r="BQ254" s="253">
        <f>Summary!CC10/SUM(Summary!CC$7:CC$12)</f>
        <v>0.04698228784</v>
      </c>
      <c r="BR254" s="253">
        <f>Summary!CD10/SUM(Summary!CD$7:CD$12)</f>
        <v>0.04690180907</v>
      </c>
      <c r="BS254" s="253">
        <f>Summary!CE10/SUM(Summary!CE$7:CE$12)</f>
        <v>0.04682804867</v>
      </c>
      <c r="BT254" s="253">
        <f>Summary!CF10/SUM(Summary!CF$7:CF$12)</f>
        <v>0.04676017529</v>
      </c>
      <c r="BU254" s="253">
        <f>Summary!CG10/SUM(Summary!CG$7:CG$12)</f>
        <v>0.04669748642</v>
      </c>
      <c r="BV254" s="253">
        <f>Summary!CH10/SUM(Summary!CH$7:CH$12)</f>
        <v>0.04663937792</v>
      </c>
      <c r="BW254" s="253">
        <f>Summary!CI10/SUM(Summary!CI$7:CI$12)</f>
        <v>0.0465853224</v>
      </c>
      <c r="BX254" s="253">
        <f>Summary!CJ10/SUM(Summary!CJ$7:CJ$12)</f>
        <v>0.04636825747</v>
      </c>
      <c r="BY254" s="253">
        <f>Summary!CK10/SUM(Summary!CK$7:CK$12)</f>
        <v>0.04599940963</v>
      </c>
      <c r="BZ254" s="253">
        <f>Summary!CL10/SUM(Summary!CL$7:CL$12)</f>
        <v>0.045657801</v>
      </c>
      <c r="CA254" s="253">
        <f>Summary!CM10/SUM(Summary!CM$7:CM$12)</f>
        <v>0.04541754808</v>
      </c>
      <c r="CB254" s="253">
        <f>Summary!CN10/SUM(Summary!CN$7:CN$12)</f>
        <v>0.04525467587</v>
      </c>
      <c r="CC254" s="253">
        <f>Summary!CO10/SUM(Summary!CO$7:CO$12)</f>
        <v>0.04515145385</v>
      </c>
      <c r="CD254" s="253">
        <f>Summary!CP10/SUM(Summary!CP$7:CP$12)</f>
        <v>0.04509319932</v>
      </c>
      <c r="CE254" s="253">
        <f>Summary!CQ10/SUM(Summary!CQ$7:CQ$12)</f>
        <v>0.04506863239</v>
      </c>
      <c r="CF254" s="253">
        <f>Summary!CR10/SUM(Summary!CR$7:CR$12)</f>
        <v>0.04506927209</v>
      </c>
      <c r="CG254" s="253">
        <f>Summary!CS10/SUM(Summary!CS$7:CS$12)</f>
        <v>0.04508878384</v>
      </c>
      <c r="CH254" s="253">
        <f>Summary!CT10/SUM(Summary!CT$7:CT$12)</f>
        <v>0.04512244091</v>
      </c>
      <c r="CI254" s="253">
        <f>Summary!CU10/SUM(Summary!CU$7:CU$12)</f>
        <v>0.04516671006</v>
      </c>
    </row>
    <row r="255" ht="15.75" customHeight="1">
      <c r="C255" s="1" t="s">
        <v>94</v>
      </c>
      <c r="D255" s="122">
        <f t="shared" ref="D255:Z255" si="278">D171</f>
        <v>0.04157655933</v>
      </c>
      <c r="E255" s="122">
        <f t="shared" si="278"/>
        <v>0.02126888898</v>
      </c>
      <c r="F255" s="122">
        <f t="shared" si="278"/>
        <v>0.04328551315</v>
      </c>
      <c r="G255" s="122">
        <f t="shared" si="278"/>
        <v>0.03650391032</v>
      </c>
      <c r="H255" s="122">
        <f t="shared" si="278"/>
        <v>0.02801348562</v>
      </c>
      <c r="I255" s="122">
        <f t="shared" si="278"/>
        <v>0.0321808111</v>
      </c>
      <c r="J255" s="122">
        <f t="shared" si="278"/>
        <v>0.03295847131</v>
      </c>
      <c r="K255" s="122">
        <f t="shared" si="278"/>
        <v>0.04617932255</v>
      </c>
      <c r="L255" s="122">
        <f t="shared" si="278"/>
        <v>0.04643136582</v>
      </c>
      <c r="M255" s="122">
        <f t="shared" si="278"/>
        <v>0.02927065373</v>
      </c>
      <c r="N255" s="122">
        <f t="shared" si="278"/>
        <v>0.02888867492</v>
      </c>
      <c r="O255" s="122">
        <f t="shared" si="278"/>
        <v>0.1737735947</v>
      </c>
      <c r="P255" s="122">
        <f t="shared" si="278"/>
        <v>0.1622142019</v>
      </c>
      <c r="Q255" s="122">
        <f t="shared" si="278"/>
        <v>0.1690771708</v>
      </c>
      <c r="R255" s="122">
        <f t="shared" si="278"/>
        <v>0.2068218047</v>
      </c>
      <c r="S255" s="122">
        <f t="shared" si="278"/>
        <v>0.2058900784</v>
      </c>
      <c r="T255" s="122">
        <f t="shared" si="278"/>
        <v>0.2004539022</v>
      </c>
      <c r="U255" s="122">
        <f t="shared" si="278"/>
        <v>0.1773303169</v>
      </c>
      <c r="V255" s="122">
        <f t="shared" si="278"/>
        <v>0.1722858392</v>
      </c>
      <c r="W255" s="122">
        <f t="shared" si="278"/>
        <v>0.103099209</v>
      </c>
      <c r="X255" s="122">
        <f t="shared" si="278"/>
        <v>0.114071813</v>
      </c>
      <c r="Y255" s="122">
        <f t="shared" si="278"/>
        <v>0.2128157808</v>
      </c>
      <c r="Z255" s="122">
        <f t="shared" si="278"/>
        <v>0.2062824654</v>
      </c>
      <c r="AA255" s="253">
        <f>Summary!AM11/SUM(Summary!AM$7:AM$12)</f>
        <v>0.1665988807</v>
      </c>
      <c r="AB255" s="253">
        <f>Summary!AN11/SUM(Summary!AN$7:AN$12)</f>
        <v>0.151666579</v>
      </c>
      <c r="AC255" s="253">
        <f>Summary!AO11/SUM(Summary!AO$7:AO$12)</f>
        <v>0.1398947207</v>
      </c>
      <c r="AD255" s="253">
        <f>Summary!AP11/SUM(Summary!AP$7:AP$12)</f>
        <v>0.1311462542</v>
      </c>
      <c r="AE255" s="253">
        <f>Summary!AQ11/SUM(Summary!AQ$7:AQ$12)</f>
        <v>0.1239905547</v>
      </c>
      <c r="AF255" s="253">
        <f>Summary!AR11/SUM(Summary!AR$7:AR$12)</f>
        <v>0.1159815308</v>
      </c>
      <c r="AG255" s="253">
        <f>Summary!AS11/SUM(Summary!AS$7:AS$12)</f>
        <v>0.1093069429</v>
      </c>
      <c r="AH255" s="253">
        <f>Summary!AT11/SUM(Summary!AT$7:AT$12)</f>
        <v>0.1032825039</v>
      </c>
      <c r="AI255" s="253">
        <f>Summary!AU11/SUM(Summary!AU$7:AU$12)</f>
        <v>0.09797086023</v>
      </c>
      <c r="AJ255" s="253">
        <f>Summary!AV11/SUM(Summary!AV$7:AV$12)</f>
        <v>0.09365621307</v>
      </c>
      <c r="AK255" s="253">
        <f>Summary!AW11/SUM(Summary!AW$7:AW$12)</f>
        <v>0.09032718862</v>
      </c>
      <c r="AL255" s="253">
        <f>Summary!AX11/SUM(Summary!AX$7:AX$12)</f>
        <v>0.08719493767</v>
      </c>
      <c r="AM255" s="253">
        <f>Summary!AY11/SUM(Summary!AY$7:AY$12)</f>
        <v>0.08420499623</v>
      </c>
      <c r="AN255" s="253">
        <f>Summary!AZ11/SUM(Summary!AZ$7:AZ$12)</f>
        <v>0.08117484834</v>
      </c>
      <c r="AO255" s="253">
        <f>Summary!BA11/SUM(Summary!BA$7:BA$12)</f>
        <v>0.08133416189</v>
      </c>
      <c r="AP255" s="253">
        <f>Summary!BB11/SUM(Summary!BB$7:BB$12)</f>
        <v>0.08146208434</v>
      </c>
      <c r="AQ255" s="253">
        <f>Summary!BC11/SUM(Summary!BC$7:BC$12)</f>
        <v>0.08122977954</v>
      </c>
      <c r="AR255" s="253">
        <f>Summary!BD11/SUM(Summary!BD$7:BD$12)</f>
        <v>0.08085847612</v>
      </c>
      <c r="AS255" s="253">
        <f>Summary!BE11/SUM(Summary!BE$7:BE$12)</f>
        <v>0.08045672349</v>
      </c>
      <c r="AT255" s="253">
        <f>Summary!BF11/SUM(Summary!BF$7:BF$12)</f>
        <v>0.08002121306</v>
      </c>
      <c r="AU255" s="253">
        <f>Summary!BG11/SUM(Summary!BG$7:BG$12)</f>
        <v>0.07932855104</v>
      </c>
      <c r="AV255" s="253">
        <f>Summary!BH11/SUM(Summary!BH$7:BH$12)</f>
        <v>0.07887690898</v>
      </c>
      <c r="AW255" s="253">
        <f>Summary!BI11/SUM(Summary!BI$7:BI$12)</f>
        <v>0.07842940649</v>
      </c>
      <c r="AX255" s="253">
        <f>Summary!BJ11/SUM(Summary!BJ$7:BJ$12)</f>
        <v>0.07799094427</v>
      </c>
      <c r="AY255" s="253">
        <f>Summary!BK11/SUM(Summary!BK$7:BK$12)</f>
        <v>0.07756464417</v>
      </c>
      <c r="AZ255" s="253">
        <f>Summary!BL11/SUM(Summary!BL$7:BL$12)</f>
        <v>0.07623153606</v>
      </c>
      <c r="BA255" s="253">
        <f>Summary!BM11/SUM(Summary!BM$7:BM$12)</f>
        <v>0.07541858691</v>
      </c>
      <c r="BB255" s="253">
        <f>Summary!BN11/SUM(Summary!BN$7:BN$12)</f>
        <v>0.07463715929</v>
      </c>
      <c r="BC255" s="253">
        <f>Summary!BO11/SUM(Summary!BO$7:BO$12)</f>
        <v>0.0738870028</v>
      </c>
      <c r="BD255" s="253">
        <f>Summary!BP11/SUM(Summary!BP$7:BP$12)</f>
        <v>0.0731683766</v>
      </c>
      <c r="BE255" s="253">
        <f>Summary!BQ11/SUM(Summary!BQ$7:BQ$12)</f>
        <v>0.07248157451</v>
      </c>
      <c r="BF255" s="253">
        <f>Summary!BR11/SUM(Summary!BR$7:BR$12)</f>
        <v>0.07182633928</v>
      </c>
      <c r="BG255" s="253">
        <f>Summary!BS11/SUM(Summary!BS$7:BS$12)</f>
        <v>0.07120192836</v>
      </c>
      <c r="BH255" s="253">
        <f>Summary!BT11/SUM(Summary!BT$7:BT$12)</f>
        <v>0.07060725861</v>
      </c>
      <c r="BI255" s="253">
        <f>Summary!BU11/SUM(Summary!BU$7:BU$12)</f>
        <v>0.07004103208</v>
      </c>
      <c r="BJ255" s="253">
        <f>Summary!BV11/SUM(Summary!BV$7:BV$12)</f>
        <v>0.06950183094</v>
      </c>
      <c r="BK255" s="253">
        <f>Summary!BW11/SUM(Summary!BW$7:BW$12)</f>
        <v>0.06898818534</v>
      </c>
      <c r="BL255" s="253">
        <f>Summary!BX11/SUM(Summary!BX$7:BX$12)</f>
        <v>0.06833507498</v>
      </c>
      <c r="BM255" s="253">
        <f>Summary!BY11/SUM(Summary!BY$7:BY$12)</f>
        <v>0.06797611387</v>
      </c>
      <c r="BN255" s="253">
        <f>Summary!BZ11/SUM(Summary!BZ$7:BZ$12)</f>
        <v>0.0676010162</v>
      </c>
      <c r="BO255" s="253">
        <f>Summary!CA11/SUM(Summary!CA$7:CA$12)</f>
        <v>0.06724902882</v>
      </c>
      <c r="BP255" s="253">
        <f>Summary!CB11/SUM(Summary!CB$7:CB$12)</f>
        <v>0.06690763723</v>
      </c>
      <c r="BQ255" s="253">
        <f>Summary!CC11/SUM(Summary!CC$7:CC$12)</f>
        <v>0.06657705936</v>
      </c>
      <c r="BR255" s="253">
        <f>Summary!CD11/SUM(Summary!CD$7:CD$12)</f>
        <v>0.06625705009</v>
      </c>
      <c r="BS255" s="253">
        <f>Summary!CE11/SUM(Summary!CE$7:CE$12)</f>
        <v>0.06594723098</v>
      </c>
      <c r="BT255" s="253">
        <f>Summary!CF11/SUM(Summary!CF$7:CF$12)</f>
        <v>0.06564714998</v>
      </c>
      <c r="BU255" s="253">
        <f>Summary!CG11/SUM(Summary!CG$7:CG$12)</f>
        <v>0.06535630858</v>
      </c>
      <c r="BV255" s="253">
        <f>Summary!CH11/SUM(Summary!CH$7:CH$12)</f>
        <v>0.06507418251</v>
      </c>
      <c r="BW255" s="253">
        <f>Summary!CI11/SUM(Summary!CI$7:CI$12)</f>
        <v>0.06480023754</v>
      </c>
      <c r="BX255" s="253">
        <f>Summary!CJ11/SUM(Summary!CJ$7:CJ$12)</f>
        <v>0.06428760261</v>
      </c>
      <c r="BY255" s="253">
        <f>Summary!CK11/SUM(Summary!CK$7:CK$12)</f>
        <v>0.06376666138</v>
      </c>
      <c r="BZ255" s="253">
        <f>Summary!CL11/SUM(Summary!CL$7:CL$12)</f>
        <v>0.06331426192</v>
      </c>
      <c r="CA255" s="253">
        <f>Summary!CM11/SUM(Summary!CM$7:CM$12)</f>
        <v>0.06295332076</v>
      </c>
      <c r="CB255" s="253">
        <f>Summary!CN11/SUM(Summary!CN$7:CN$12)</f>
        <v>0.06266472025</v>
      </c>
      <c r="CC255" s="253">
        <f>Summary!CO11/SUM(Summary!CO$7:CO$12)</f>
        <v>0.06243407069</v>
      </c>
      <c r="CD255" s="253">
        <f>Summary!CP11/SUM(Summary!CP$7:CP$12)</f>
        <v>0.06224834973</v>
      </c>
      <c r="CE255" s="253">
        <f>Summary!CQ11/SUM(Summary!CQ$7:CQ$12)</f>
        <v>0.06209718745</v>
      </c>
      <c r="CF255" s="253">
        <f>Summary!CR11/SUM(Summary!CR$7:CR$12)</f>
        <v>0.06197260537</v>
      </c>
      <c r="CG255" s="253">
        <f>Summary!CS11/SUM(Summary!CS$7:CS$12)</f>
        <v>0.06186852879</v>
      </c>
      <c r="CH255" s="253">
        <f>Summary!CT11/SUM(Summary!CT$7:CT$12)</f>
        <v>0.06178034126</v>
      </c>
      <c r="CI255" s="253">
        <f>Summary!CU11/SUM(Summary!CU$7:CU$12)</f>
        <v>0.0617045274</v>
      </c>
    </row>
    <row r="256" ht="15.75" customHeight="1">
      <c r="C256" s="1" t="s">
        <v>96</v>
      </c>
      <c r="D256" s="122">
        <f t="shared" ref="D256:Z256" si="279">D203</f>
        <v>0.05167159886</v>
      </c>
      <c r="E256" s="122">
        <f t="shared" si="279"/>
        <v>0.04128541717</v>
      </c>
      <c r="F256" s="122">
        <f t="shared" si="279"/>
        <v>0.0411411035</v>
      </c>
      <c r="G256" s="122">
        <f t="shared" si="279"/>
        <v>0.02389559551</v>
      </c>
      <c r="H256" s="122">
        <f t="shared" si="279"/>
        <v>0.04108800951</v>
      </c>
      <c r="I256" s="122">
        <f t="shared" si="279"/>
        <v>0.03906692217</v>
      </c>
      <c r="J256" s="122">
        <f t="shared" si="279"/>
        <v>0.03249791949</v>
      </c>
      <c r="K256" s="122">
        <f t="shared" si="279"/>
        <v>0.03410543152</v>
      </c>
      <c r="L256" s="122">
        <f t="shared" si="279"/>
        <v>0.02459357073</v>
      </c>
      <c r="M256" s="122">
        <f t="shared" si="279"/>
        <v>0.04351230001</v>
      </c>
      <c r="N256" s="122">
        <f t="shared" si="279"/>
        <v>0.03521018594</v>
      </c>
      <c r="O256" s="122">
        <f t="shared" si="279"/>
        <v>0.02044605966</v>
      </c>
      <c r="P256" s="122">
        <f t="shared" si="279"/>
        <v>0.03164625911</v>
      </c>
      <c r="Q256" s="122">
        <f t="shared" si="279"/>
        <v>0.02349739987</v>
      </c>
      <c r="R256" s="122">
        <f t="shared" si="279"/>
        <v>0.02265485795</v>
      </c>
      <c r="S256" s="122">
        <f t="shared" si="279"/>
        <v>0.02114549999</v>
      </c>
      <c r="T256" s="122">
        <f t="shared" si="279"/>
        <v>0.0216146826</v>
      </c>
      <c r="U256" s="122">
        <f t="shared" si="279"/>
        <v>0.03427177353</v>
      </c>
      <c r="V256" s="122">
        <f t="shared" si="279"/>
        <v>0.03436052827</v>
      </c>
      <c r="W256" s="122">
        <f t="shared" si="279"/>
        <v>0.0646808743</v>
      </c>
      <c r="X256" s="122">
        <f t="shared" si="279"/>
        <v>0.04636160273</v>
      </c>
      <c r="Y256" s="122">
        <f t="shared" si="279"/>
        <v>0.02167186115</v>
      </c>
      <c r="Z256" s="122">
        <f t="shared" si="279"/>
        <v>0.03291088797</v>
      </c>
      <c r="AA256" s="253">
        <f>Summary!AM12/SUM(Summary!AM$7:AM$12)</f>
        <v>0.0351047457</v>
      </c>
      <c r="AB256" s="253">
        <f>Summary!AN12/SUM(Summary!AN$7:AN$12)</f>
        <v>0.02983415206</v>
      </c>
      <c r="AC256" s="253">
        <f>Summary!AO12/SUM(Summary!AO$7:AO$12)</f>
        <v>0.02597949306</v>
      </c>
      <c r="AD256" s="253">
        <f>Summary!AP12/SUM(Summary!AP$7:AP$12)</f>
        <v>0.02323083229</v>
      </c>
      <c r="AE256" s="253">
        <f>Summary!AQ12/SUM(Summary!AQ$7:AQ$12)</f>
        <v>0.02109378576</v>
      </c>
      <c r="AF256" s="253">
        <f>Summary!AR12/SUM(Summary!AR$7:AR$12)</f>
        <v>0.01932726205</v>
      </c>
      <c r="AG256" s="253">
        <f>Summary!AS12/SUM(Summary!AS$7:AS$12)</f>
        <v>0.01788680847</v>
      </c>
      <c r="AH256" s="253">
        <f>Summary!AT12/SUM(Summary!AT$7:AT$12)</f>
        <v>0.01671234727</v>
      </c>
      <c r="AI256" s="253">
        <f>Summary!AU12/SUM(Summary!AU$7:AU$12)</f>
        <v>0.0157013045</v>
      </c>
      <c r="AJ256" s="253">
        <f>Summary!AV12/SUM(Summary!AV$7:AV$12)</f>
        <v>0.01482333372</v>
      </c>
      <c r="AK256" s="253">
        <f>Summary!AW12/SUM(Summary!AW$7:AW$12)</f>
        <v>0.01409090267</v>
      </c>
      <c r="AL256" s="253">
        <f>Summary!AX12/SUM(Summary!AX$7:AX$12)</f>
        <v>0.01343356056</v>
      </c>
      <c r="AM256" s="253">
        <f>Summary!AY12/SUM(Summary!AY$7:AY$12)</f>
        <v>0.01282762191</v>
      </c>
      <c r="AN256" s="253">
        <f>Summary!AZ12/SUM(Summary!AZ$7:AZ$12)</f>
        <v>0.01842059295</v>
      </c>
      <c r="AO256" s="253">
        <f>Summary!BA12/SUM(Summary!BA$7:BA$12)</f>
        <v>0.0182819594</v>
      </c>
      <c r="AP256" s="253">
        <f>Summary!BB12/SUM(Summary!BB$7:BB$12)</f>
        <v>0.01809095248</v>
      </c>
      <c r="AQ256" s="253">
        <f>Summary!BC12/SUM(Summary!BC$7:BC$12)</f>
        <v>0.01784914756</v>
      </c>
      <c r="AR256" s="253">
        <f>Summary!BD12/SUM(Summary!BD$7:BD$12)</f>
        <v>0.0175994076</v>
      </c>
      <c r="AS256" s="253">
        <f>Summary!BE12/SUM(Summary!BE$7:BE$12)</f>
        <v>0.01734697537</v>
      </c>
      <c r="AT256" s="253">
        <f>Summary!BF12/SUM(Summary!BF$7:BF$12)</f>
        <v>0.01710434198</v>
      </c>
      <c r="AU256" s="253">
        <f>Summary!BG12/SUM(Summary!BG$7:BG$12)</f>
        <v>0.0168202563</v>
      </c>
      <c r="AV256" s="253">
        <f>Summary!BH12/SUM(Summary!BH$7:BH$12)</f>
        <v>0.01659783248</v>
      </c>
      <c r="AW256" s="253">
        <f>Summary!BI12/SUM(Summary!BI$7:BI$12)</f>
        <v>0.01638426844</v>
      </c>
      <c r="AX256" s="253">
        <f>Summary!BJ12/SUM(Summary!BJ$7:BJ$12)</f>
        <v>0.01617899025</v>
      </c>
      <c r="AY256" s="253">
        <f>Summary!BK12/SUM(Summary!BK$7:BK$12)</f>
        <v>0.01598144859</v>
      </c>
      <c r="AZ256" s="253">
        <f>Summary!BL12/SUM(Summary!BL$7:BL$12)</f>
        <v>0.02075605991</v>
      </c>
      <c r="BA256" s="253">
        <f>Summary!BM12/SUM(Summary!BM$7:BM$12)</f>
        <v>0.0203588069</v>
      </c>
      <c r="BB256" s="253">
        <f>Summary!BN12/SUM(Summary!BN$7:BN$12)</f>
        <v>0.01998807985</v>
      </c>
      <c r="BC256" s="253">
        <f>Summary!BO12/SUM(Summary!BO$7:BO$12)</f>
        <v>0.01963968173</v>
      </c>
      <c r="BD256" s="253">
        <f>Summary!BP12/SUM(Summary!BP$7:BP$12)</f>
        <v>0.01931065345</v>
      </c>
      <c r="BE256" s="253">
        <f>Summary!BQ12/SUM(Summary!BQ$7:BQ$12)</f>
        <v>0.01899883053</v>
      </c>
      <c r="BF256" s="253">
        <f>Summary!BR12/SUM(Summary!BR$7:BR$12)</f>
        <v>0.01870246902</v>
      </c>
      <c r="BG256" s="253">
        <f>Summary!BS12/SUM(Summary!BS$7:BS$12)</f>
        <v>0.01842010996</v>
      </c>
      <c r="BH256" s="253">
        <f>Summary!BT12/SUM(Summary!BT$7:BT$12)</f>
        <v>0.01815050796</v>
      </c>
      <c r="BI256" s="253">
        <f>Summary!BU12/SUM(Summary!BU$7:BU$12)</f>
        <v>0.01789258496</v>
      </c>
      <c r="BJ256" s="253">
        <f>Summary!BV12/SUM(Summary!BV$7:BV$12)</f>
        <v>0.01764539752</v>
      </c>
      <c r="BK256" s="253">
        <f>Summary!BW12/SUM(Summary!BW$7:BW$12)</f>
        <v>0.01740811249</v>
      </c>
      <c r="BL256" s="253">
        <f>Summary!BX12/SUM(Summary!BX$7:BX$12)</f>
        <v>0.01707603805</v>
      </c>
      <c r="BM256" s="253">
        <f>Summary!BY12/SUM(Summary!BY$7:BY$12)</f>
        <v>0.01682701009</v>
      </c>
      <c r="BN256" s="253">
        <f>Summary!BZ12/SUM(Summary!BZ$7:BZ$12)</f>
        <v>0.01660773224</v>
      </c>
      <c r="BO256" s="253">
        <f>Summary!CA12/SUM(Summary!CA$7:CA$12)</f>
        <v>0.01639829516</v>
      </c>
      <c r="BP256" s="253">
        <f>Summary!CB12/SUM(Summary!CB$7:CB$12)</f>
        <v>0.0161950967</v>
      </c>
      <c r="BQ256" s="253">
        <f>Summary!CC12/SUM(Summary!CC$7:CC$12)</f>
        <v>0.01599779508</v>
      </c>
      <c r="BR256" s="253">
        <f>Summary!CD12/SUM(Summary!CD$7:CD$12)</f>
        <v>0.01580601738</v>
      </c>
      <c r="BS256" s="253">
        <f>Summary!CE12/SUM(Summary!CE$7:CE$12)</f>
        <v>0.01561942041</v>
      </c>
      <c r="BT256" s="253">
        <f>Summary!CF12/SUM(Summary!CF$7:CF$12)</f>
        <v>0.0154376902</v>
      </c>
      <c r="BU256" s="253">
        <f>Summary!CG12/SUM(Summary!CG$7:CG$12)</f>
        <v>0.01526053765</v>
      </c>
      <c r="BV256" s="253">
        <f>Summary!CH12/SUM(Summary!CH$7:CH$12)</f>
        <v>0.01508769522</v>
      </c>
      <c r="BW256" s="253">
        <f>Summary!CI12/SUM(Summary!CI$7:CI$12)</f>
        <v>0.01491891473</v>
      </c>
      <c r="BX256" s="253">
        <f>Summary!CJ12/SUM(Summary!CJ$7:CJ$12)</f>
        <v>0.01469393021</v>
      </c>
      <c r="BY256" s="253">
        <f>Summary!CK12/SUM(Summary!CK$7:CK$12)</f>
        <v>0.01459142563</v>
      </c>
      <c r="BZ256" s="253">
        <f>Summary!CL12/SUM(Summary!CL$7:CL$12)</f>
        <v>0.01449482572</v>
      </c>
      <c r="CA256" s="253">
        <f>Summary!CM12/SUM(Summary!CM$7:CM$12)</f>
        <v>0.01439454745</v>
      </c>
      <c r="CB256" s="253">
        <f>Summary!CN12/SUM(Summary!CN$7:CN$12)</f>
        <v>0.01429281706</v>
      </c>
      <c r="CC256" s="253">
        <f>Summary!CO12/SUM(Summary!CO$7:CO$12)</f>
        <v>0.01419124338</v>
      </c>
      <c r="CD256" s="253">
        <f>Summary!CP12/SUM(Summary!CP$7:CP$12)</f>
        <v>0.01409047688</v>
      </c>
      <c r="CE256" s="253">
        <f>Summary!CQ12/SUM(Summary!CQ$7:CQ$12)</f>
        <v>0.01399083047</v>
      </c>
      <c r="CF256" s="253">
        <f>Summary!CR12/SUM(Summary!CR$7:CR$12)</f>
        <v>0.01389246368</v>
      </c>
      <c r="CG256" s="253">
        <f>Summary!CS12/SUM(Summary!CS$7:CS$12)</f>
        <v>0.01379545258</v>
      </c>
      <c r="CH256" s="253">
        <f>Summary!CT12/SUM(Summary!CT$7:CT$12)</f>
        <v>0.0136998226</v>
      </c>
      <c r="CI256" s="253">
        <f>Summary!CU12/SUM(Summary!CU$7:CU$12)</f>
        <v>0.01360556668</v>
      </c>
    </row>
    <row r="257" ht="15.75" customHeight="1">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7"/>
      <c r="AI257" s="117"/>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7"/>
      <c r="BO257" s="117"/>
      <c r="BP257" s="117"/>
      <c r="BQ257" s="117"/>
      <c r="BR257" s="117"/>
      <c r="BS257" s="117"/>
      <c r="BT257" s="117"/>
      <c r="BU257" s="117"/>
      <c r="BV257" s="117"/>
      <c r="BW257" s="117"/>
      <c r="BX257" s="117"/>
      <c r="BY257" s="117"/>
      <c r="BZ257" s="117"/>
      <c r="CA257" s="117"/>
      <c r="CB257" s="117"/>
      <c r="CC257" s="117"/>
      <c r="CD257" s="117"/>
      <c r="CE257" s="117"/>
      <c r="CF257" s="117"/>
      <c r="CG257" s="117"/>
      <c r="CH257" s="117"/>
      <c r="CI257" s="117"/>
    </row>
    <row r="258" ht="15.75" customHeight="1">
      <c r="C258" s="257" t="s">
        <v>819</v>
      </c>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7"/>
      <c r="AI258" s="117"/>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7"/>
      <c r="BO258" s="117"/>
      <c r="BP258" s="117"/>
      <c r="BQ258" s="117"/>
      <c r="BR258" s="117"/>
      <c r="BS258" s="117"/>
      <c r="BT258" s="117"/>
      <c r="BU258" s="117"/>
      <c r="BV258" s="117"/>
      <c r="BW258" s="117"/>
      <c r="BX258" s="117"/>
      <c r="BY258" s="117"/>
      <c r="BZ258" s="117"/>
      <c r="CA258" s="117"/>
      <c r="CB258" s="117"/>
      <c r="CC258" s="117"/>
      <c r="CD258" s="117"/>
      <c r="CE258" s="117"/>
      <c r="CF258" s="117"/>
      <c r="CG258" s="117"/>
      <c r="CH258" s="117"/>
      <c r="CI258" s="117"/>
    </row>
    <row r="259" ht="15.75" customHeight="1">
      <c r="C259" s="1" t="s">
        <v>47</v>
      </c>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f t="shared" ref="AA259:CI259" si="280">AA251*AA$265</f>
        <v>54827.55394</v>
      </c>
      <c r="AB259" s="117">
        <f t="shared" si="280"/>
        <v>62405.42528</v>
      </c>
      <c r="AC259" s="117">
        <f t="shared" si="280"/>
        <v>61092.29545</v>
      </c>
      <c r="AD259" s="117">
        <f t="shared" si="280"/>
        <v>59709.89683</v>
      </c>
      <c r="AE259" s="117">
        <f t="shared" si="280"/>
        <v>63072.38898</v>
      </c>
      <c r="AF259" s="117">
        <f t="shared" si="280"/>
        <v>70101.44401</v>
      </c>
      <c r="AG259" s="117">
        <f t="shared" si="280"/>
        <v>69146.48459</v>
      </c>
      <c r="AH259" s="117">
        <f t="shared" si="280"/>
        <v>67763.10607</v>
      </c>
      <c r="AI259" s="117">
        <f t="shared" si="280"/>
        <v>73074.62174</v>
      </c>
      <c r="AJ259" s="117">
        <f t="shared" si="280"/>
        <v>80597.67656</v>
      </c>
      <c r="AK259" s="117">
        <f t="shared" si="280"/>
        <v>85476.81425</v>
      </c>
      <c r="AL259" s="117">
        <f t="shared" si="280"/>
        <v>84349.43338</v>
      </c>
      <c r="AM259" s="117">
        <f t="shared" si="280"/>
        <v>89578.78816</v>
      </c>
      <c r="AN259" s="117">
        <f t="shared" si="280"/>
        <v>93753.50065</v>
      </c>
      <c r="AO259" s="117">
        <f t="shared" si="280"/>
        <v>91442.50695</v>
      </c>
      <c r="AP259" s="117">
        <f t="shared" si="280"/>
        <v>89698.47306</v>
      </c>
      <c r="AQ259" s="117">
        <f t="shared" si="280"/>
        <v>94028.08863</v>
      </c>
      <c r="AR259" s="117">
        <f t="shared" si="280"/>
        <v>99057.60535</v>
      </c>
      <c r="AS259" s="117">
        <f t="shared" si="280"/>
        <v>96993.83002</v>
      </c>
      <c r="AT259" s="117">
        <f t="shared" si="280"/>
        <v>94328.96363</v>
      </c>
      <c r="AU259" s="117">
        <f t="shared" si="280"/>
        <v>99256.54536</v>
      </c>
      <c r="AV259" s="117">
        <f t="shared" si="280"/>
        <v>104568.5298</v>
      </c>
      <c r="AW259" s="117">
        <f t="shared" si="280"/>
        <v>102248.4985</v>
      </c>
      <c r="AX259" s="117">
        <f t="shared" si="280"/>
        <v>99824.97677</v>
      </c>
      <c r="AY259" s="117">
        <f t="shared" si="280"/>
        <v>104431.6828</v>
      </c>
      <c r="AZ259" s="117">
        <f t="shared" si="280"/>
        <v>108146.8229</v>
      </c>
      <c r="BA259" s="117">
        <f t="shared" si="280"/>
        <v>105427.4296</v>
      </c>
      <c r="BB259" s="117">
        <f t="shared" si="280"/>
        <v>102539.7487</v>
      </c>
      <c r="BC259" s="117">
        <f t="shared" si="280"/>
        <v>107254.4986</v>
      </c>
      <c r="BD259" s="117">
        <f t="shared" si="280"/>
        <v>113929.2071</v>
      </c>
      <c r="BE259" s="117">
        <f t="shared" si="280"/>
        <v>111131.1568</v>
      </c>
      <c r="BF259" s="117">
        <f t="shared" si="280"/>
        <v>115085.338</v>
      </c>
      <c r="BG259" s="117">
        <f t="shared" si="280"/>
        <v>120037.1764</v>
      </c>
      <c r="BH259" s="117">
        <f t="shared" si="280"/>
        <v>127126.3515</v>
      </c>
      <c r="BI259" s="117">
        <f t="shared" si="280"/>
        <v>124161.6751</v>
      </c>
      <c r="BJ259" s="117">
        <f t="shared" si="280"/>
        <v>121130.1125</v>
      </c>
      <c r="BK259" s="117">
        <f t="shared" si="280"/>
        <v>126290.6785</v>
      </c>
      <c r="BL259" s="117">
        <f t="shared" si="280"/>
        <v>134016.5655</v>
      </c>
      <c r="BM259" s="117">
        <f t="shared" si="280"/>
        <v>130715.1542</v>
      </c>
      <c r="BN259" s="117">
        <f t="shared" si="280"/>
        <v>127634.9109</v>
      </c>
      <c r="BO259" s="117">
        <f t="shared" si="280"/>
        <v>132794.5928</v>
      </c>
      <c r="BP259" s="117">
        <f t="shared" si="280"/>
        <v>139802.6397</v>
      </c>
      <c r="BQ259" s="117">
        <f t="shared" si="280"/>
        <v>139809.7385</v>
      </c>
      <c r="BR259" s="117">
        <f t="shared" si="280"/>
        <v>136545.851</v>
      </c>
      <c r="BS259" s="117">
        <f t="shared" si="280"/>
        <v>148485.1334</v>
      </c>
      <c r="BT259" s="117">
        <f t="shared" si="280"/>
        <v>155893.712</v>
      </c>
      <c r="BU259" s="117">
        <f t="shared" si="280"/>
        <v>152535.3795</v>
      </c>
      <c r="BV259" s="117">
        <f t="shared" si="280"/>
        <v>149178.7361</v>
      </c>
      <c r="BW259" s="117">
        <f t="shared" si="280"/>
        <v>154608.5952</v>
      </c>
      <c r="BX259" s="117">
        <f t="shared" si="280"/>
        <v>163543.2818</v>
      </c>
      <c r="BY259" s="117">
        <f t="shared" si="280"/>
        <v>160213.5364</v>
      </c>
      <c r="BZ259" s="117">
        <f t="shared" si="280"/>
        <v>156886.0954</v>
      </c>
      <c r="CA259" s="117">
        <f t="shared" si="280"/>
        <v>162438.1277</v>
      </c>
      <c r="CB259" s="117">
        <f t="shared" si="280"/>
        <v>167969.089</v>
      </c>
      <c r="CC259" s="117">
        <f t="shared" si="280"/>
        <v>167781.2175</v>
      </c>
      <c r="CD259" s="117">
        <f t="shared" si="280"/>
        <v>164318.956</v>
      </c>
      <c r="CE259" s="117">
        <f t="shared" si="280"/>
        <v>169820.7632</v>
      </c>
      <c r="CF259" s="117">
        <f t="shared" si="280"/>
        <v>175437.0341</v>
      </c>
      <c r="CG259" s="117">
        <f t="shared" si="280"/>
        <v>171910.1263</v>
      </c>
      <c r="CH259" s="117">
        <f t="shared" si="280"/>
        <v>168358.7423</v>
      </c>
      <c r="CI259" s="117">
        <f t="shared" si="280"/>
        <v>173918.386</v>
      </c>
    </row>
    <row r="260" ht="15.75" customHeight="1">
      <c r="C260" s="1" t="s">
        <v>85</v>
      </c>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f t="shared" ref="AA260:CI260" si="281">AA252*AA$265</f>
        <v>35360.56091</v>
      </c>
      <c r="AB260" s="117">
        <f t="shared" si="281"/>
        <v>41308.38657</v>
      </c>
      <c r="AC260" s="117">
        <f t="shared" si="281"/>
        <v>41599.46977</v>
      </c>
      <c r="AD260" s="117">
        <f t="shared" si="281"/>
        <v>41560.51361</v>
      </c>
      <c r="AE260" s="117">
        <f t="shared" si="281"/>
        <v>44705.69908</v>
      </c>
      <c r="AF260" s="117">
        <f t="shared" si="281"/>
        <v>49843.72355</v>
      </c>
      <c r="AG260" s="117">
        <f t="shared" si="281"/>
        <v>49423.15071</v>
      </c>
      <c r="AH260" s="117">
        <f t="shared" si="281"/>
        <v>48457.52277</v>
      </c>
      <c r="AI260" s="117">
        <f t="shared" si="281"/>
        <v>52164.02227</v>
      </c>
      <c r="AJ260" s="117">
        <f t="shared" si="281"/>
        <v>57241.39313</v>
      </c>
      <c r="AK260" s="117">
        <f t="shared" si="281"/>
        <v>60276.57531</v>
      </c>
      <c r="AL260" s="117">
        <f t="shared" si="281"/>
        <v>59054.51675</v>
      </c>
      <c r="AM260" s="117">
        <f t="shared" si="281"/>
        <v>62167.41801</v>
      </c>
      <c r="AN260" s="117">
        <f t="shared" si="281"/>
        <v>64452.62989</v>
      </c>
      <c r="AO260" s="117">
        <f t="shared" si="281"/>
        <v>62754.19926</v>
      </c>
      <c r="AP260" s="117">
        <f t="shared" si="281"/>
        <v>61513.16742</v>
      </c>
      <c r="AQ260" s="117">
        <f t="shared" si="281"/>
        <v>64457.40325</v>
      </c>
      <c r="AR260" s="117">
        <f t="shared" si="281"/>
        <v>67882.82215</v>
      </c>
      <c r="AS260" s="117">
        <f t="shared" si="281"/>
        <v>66448.54445</v>
      </c>
      <c r="AT260" s="117">
        <f t="shared" si="281"/>
        <v>64603.33662</v>
      </c>
      <c r="AU260" s="117">
        <f t="shared" si="281"/>
        <v>67372.4797</v>
      </c>
      <c r="AV260" s="117">
        <f t="shared" si="281"/>
        <v>70957.62429</v>
      </c>
      <c r="AW260" s="117">
        <f t="shared" si="281"/>
        <v>69363.99433</v>
      </c>
      <c r="AX260" s="117">
        <f t="shared" si="281"/>
        <v>67701.74937</v>
      </c>
      <c r="AY260" s="117">
        <f t="shared" si="281"/>
        <v>70807.76603</v>
      </c>
      <c r="AZ260" s="117">
        <f t="shared" si="281"/>
        <v>72748.58671</v>
      </c>
      <c r="BA260" s="117">
        <f t="shared" si="281"/>
        <v>70963.15674</v>
      </c>
      <c r="BB260" s="117">
        <f t="shared" si="281"/>
        <v>69057.45996</v>
      </c>
      <c r="BC260" s="117">
        <f t="shared" si="281"/>
        <v>72268.92522</v>
      </c>
      <c r="BD260" s="117">
        <f t="shared" si="281"/>
        <v>76801.63822</v>
      </c>
      <c r="BE260" s="117">
        <f t="shared" si="281"/>
        <v>74946.97892</v>
      </c>
      <c r="BF260" s="117">
        <f t="shared" si="281"/>
        <v>77643.72835</v>
      </c>
      <c r="BG260" s="117">
        <f t="shared" si="281"/>
        <v>81013.40564</v>
      </c>
      <c r="BH260" s="117">
        <f t="shared" si="281"/>
        <v>85826.09865</v>
      </c>
      <c r="BI260" s="117">
        <f t="shared" si="281"/>
        <v>83850.0081</v>
      </c>
      <c r="BJ260" s="117">
        <f t="shared" si="281"/>
        <v>81825.66488</v>
      </c>
      <c r="BK260" s="117">
        <f t="shared" si="281"/>
        <v>85333.90941</v>
      </c>
      <c r="BL260" s="117">
        <f t="shared" si="281"/>
        <v>89806.13813</v>
      </c>
      <c r="BM260" s="117">
        <f t="shared" si="281"/>
        <v>87604.07154</v>
      </c>
      <c r="BN260" s="117">
        <f t="shared" si="281"/>
        <v>85546.55952</v>
      </c>
      <c r="BO260" s="117">
        <f t="shared" si="281"/>
        <v>89012.72647</v>
      </c>
      <c r="BP260" s="117">
        <f t="shared" si="281"/>
        <v>93718.52664</v>
      </c>
      <c r="BQ260" s="117">
        <f t="shared" si="281"/>
        <v>93731.40699</v>
      </c>
      <c r="BR260" s="117">
        <f t="shared" si="281"/>
        <v>91551.02162</v>
      </c>
      <c r="BS260" s="117">
        <f t="shared" si="281"/>
        <v>99564.40901</v>
      </c>
      <c r="BT260" s="117">
        <f t="shared" si="281"/>
        <v>104540.8038</v>
      </c>
      <c r="BU260" s="117">
        <f t="shared" si="281"/>
        <v>102297.1833</v>
      </c>
      <c r="BV260" s="117">
        <f t="shared" si="281"/>
        <v>100054.2974</v>
      </c>
      <c r="BW260" s="117">
        <f t="shared" si="281"/>
        <v>103704.6394</v>
      </c>
      <c r="BX260" s="117">
        <f t="shared" si="281"/>
        <v>108778.1733</v>
      </c>
      <c r="BY260" s="117">
        <f t="shared" si="281"/>
        <v>106547.5493</v>
      </c>
      <c r="BZ260" s="117">
        <f t="shared" si="281"/>
        <v>104333.0213</v>
      </c>
      <c r="CA260" s="117">
        <f t="shared" si="281"/>
        <v>108026.7913</v>
      </c>
      <c r="CB260" s="117">
        <f t="shared" si="281"/>
        <v>111706.718</v>
      </c>
      <c r="CC260" s="117">
        <f t="shared" si="281"/>
        <v>111583.057</v>
      </c>
      <c r="CD260" s="117">
        <f t="shared" si="281"/>
        <v>109281.3592</v>
      </c>
      <c r="CE260" s="117">
        <f t="shared" si="281"/>
        <v>112940.9447</v>
      </c>
      <c r="CF260" s="117">
        <f t="shared" si="281"/>
        <v>116676.3976</v>
      </c>
      <c r="CG260" s="117">
        <f t="shared" si="281"/>
        <v>114330.8388</v>
      </c>
      <c r="CH260" s="117">
        <f t="shared" si="281"/>
        <v>111968.8091</v>
      </c>
      <c r="CI260" s="117">
        <f t="shared" si="281"/>
        <v>115666.0111</v>
      </c>
    </row>
    <row r="261" ht="15.75" customHeight="1">
      <c r="C261" s="1" t="s">
        <v>87</v>
      </c>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f t="shared" ref="AA261:CI261" si="282">AA253*AA$265</f>
        <v>35687.82472</v>
      </c>
      <c r="AB261" s="117">
        <f t="shared" si="282"/>
        <v>43401.3692</v>
      </c>
      <c r="AC261" s="117">
        <f t="shared" si="282"/>
        <v>44574.97504</v>
      </c>
      <c r="AD261" s="117">
        <f t="shared" si="282"/>
        <v>44935.44135</v>
      </c>
      <c r="AE261" s="117">
        <f t="shared" si="282"/>
        <v>48220.29037</v>
      </c>
      <c r="AF261" s="117">
        <f t="shared" si="282"/>
        <v>53492.98463</v>
      </c>
      <c r="AG261" s="117">
        <f t="shared" si="282"/>
        <v>52831.4778</v>
      </c>
      <c r="AH261" s="117">
        <f t="shared" si="282"/>
        <v>51842.67461</v>
      </c>
      <c r="AI261" s="117">
        <f t="shared" si="282"/>
        <v>56175.393</v>
      </c>
      <c r="AJ261" s="117">
        <f t="shared" si="282"/>
        <v>61890.82502</v>
      </c>
      <c r="AK261" s="117">
        <f t="shared" si="282"/>
        <v>65465.25157</v>
      </c>
      <c r="AL261" s="117">
        <f t="shared" si="282"/>
        <v>63806.26154</v>
      </c>
      <c r="AM261" s="117">
        <f t="shared" si="282"/>
        <v>66860.96646</v>
      </c>
      <c r="AN261" s="117">
        <f t="shared" si="282"/>
        <v>69986.70326</v>
      </c>
      <c r="AO261" s="117">
        <f t="shared" si="282"/>
        <v>68674.23677</v>
      </c>
      <c r="AP261" s="117">
        <f t="shared" si="282"/>
        <v>66645.44566</v>
      </c>
      <c r="AQ261" s="117">
        <f t="shared" si="282"/>
        <v>69195.40055</v>
      </c>
      <c r="AR261" s="117">
        <f t="shared" si="282"/>
        <v>72365.00172</v>
      </c>
      <c r="AS261" s="117">
        <f t="shared" si="282"/>
        <v>70429.2433</v>
      </c>
      <c r="AT261" s="117">
        <f t="shared" si="282"/>
        <v>68137.4849</v>
      </c>
      <c r="AU261" s="117">
        <f t="shared" si="282"/>
        <v>70727.13485</v>
      </c>
      <c r="AV261" s="117">
        <f t="shared" si="282"/>
        <v>74160.06291</v>
      </c>
      <c r="AW261" s="117">
        <f t="shared" si="282"/>
        <v>72187.07398</v>
      </c>
      <c r="AX261" s="117">
        <f t="shared" si="282"/>
        <v>70171.25465</v>
      </c>
      <c r="AY261" s="117">
        <f t="shared" si="282"/>
        <v>73105.05787</v>
      </c>
      <c r="AZ261" s="117">
        <f t="shared" si="282"/>
        <v>74189.57042</v>
      </c>
      <c r="BA261" s="117">
        <f t="shared" si="282"/>
        <v>72132.94594</v>
      </c>
      <c r="BB261" s="117">
        <f t="shared" si="282"/>
        <v>69988.2044</v>
      </c>
      <c r="BC261" s="117">
        <f t="shared" si="282"/>
        <v>73031.53071</v>
      </c>
      <c r="BD261" s="117">
        <f t="shared" si="282"/>
        <v>77394.80825</v>
      </c>
      <c r="BE261" s="117">
        <f t="shared" si="282"/>
        <v>75321.20228</v>
      </c>
      <c r="BF261" s="117">
        <f t="shared" si="282"/>
        <v>77826.71555</v>
      </c>
      <c r="BG261" s="117">
        <f t="shared" si="282"/>
        <v>80997.77396</v>
      </c>
      <c r="BH261" s="117">
        <f t="shared" si="282"/>
        <v>85597.5197</v>
      </c>
      <c r="BI261" s="117">
        <f t="shared" si="282"/>
        <v>83425.63052</v>
      </c>
      <c r="BJ261" s="117">
        <f t="shared" si="282"/>
        <v>81220.73606</v>
      </c>
      <c r="BK261" s="117">
        <f t="shared" si="282"/>
        <v>84509.2203</v>
      </c>
      <c r="BL261" s="117">
        <f t="shared" si="282"/>
        <v>88687.14266</v>
      </c>
      <c r="BM261" s="117">
        <f t="shared" si="282"/>
        <v>86641.32437</v>
      </c>
      <c r="BN261" s="117">
        <f t="shared" si="282"/>
        <v>84785.49165</v>
      </c>
      <c r="BO261" s="117">
        <f t="shared" si="282"/>
        <v>88291.33481</v>
      </c>
      <c r="BP261" s="117">
        <f t="shared" si="282"/>
        <v>93012.98338</v>
      </c>
      <c r="BQ261" s="117">
        <f t="shared" si="282"/>
        <v>93063.55014</v>
      </c>
      <c r="BR261" s="117">
        <f t="shared" si="282"/>
        <v>90921.37049</v>
      </c>
      <c r="BS261" s="117">
        <f t="shared" si="282"/>
        <v>98889.86919</v>
      </c>
      <c r="BT261" s="117">
        <f t="shared" si="282"/>
        <v>103828.9861</v>
      </c>
      <c r="BU261" s="117">
        <f t="shared" si="282"/>
        <v>101583.8867</v>
      </c>
      <c r="BV261" s="117">
        <f t="shared" si="282"/>
        <v>99327.91347</v>
      </c>
      <c r="BW261" s="117">
        <f t="shared" si="282"/>
        <v>102909.803</v>
      </c>
      <c r="BX261" s="117">
        <f t="shared" si="282"/>
        <v>107742.1137</v>
      </c>
      <c r="BY261" s="117">
        <f t="shared" si="282"/>
        <v>105546.8141</v>
      </c>
      <c r="BZ261" s="117">
        <f t="shared" si="282"/>
        <v>103224.8896</v>
      </c>
      <c r="CA261" s="117">
        <f t="shared" si="282"/>
        <v>106728.9805</v>
      </c>
      <c r="CB261" s="117">
        <f t="shared" si="282"/>
        <v>110245.1439</v>
      </c>
      <c r="CC261" s="117">
        <f t="shared" si="282"/>
        <v>110020.3224</v>
      </c>
      <c r="CD261" s="117">
        <f t="shared" si="282"/>
        <v>107658.7359</v>
      </c>
      <c r="CE261" s="117">
        <f t="shared" si="282"/>
        <v>111174.3539</v>
      </c>
      <c r="CF261" s="117">
        <f t="shared" si="282"/>
        <v>114763.0563</v>
      </c>
      <c r="CG261" s="117">
        <f t="shared" si="282"/>
        <v>112372.8096</v>
      </c>
      <c r="CH261" s="117">
        <f t="shared" si="282"/>
        <v>109972.5957</v>
      </c>
      <c r="CI261" s="117">
        <f t="shared" si="282"/>
        <v>113525.1053</v>
      </c>
    </row>
    <row r="262" ht="15.75" customHeight="1">
      <c r="C262" s="1" t="s">
        <v>89</v>
      </c>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f t="shared" ref="AA262:CI262" si="283">AA254*AA$265</f>
        <v>21139.19828</v>
      </c>
      <c r="AB262" s="117">
        <f t="shared" si="283"/>
        <v>22653.79575</v>
      </c>
      <c r="AC262" s="117">
        <f t="shared" si="283"/>
        <v>21012.91847</v>
      </c>
      <c r="AD262" s="117">
        <f t="shared" si="283"/>
        <v>19401.38429</v>
      </c>
      <c r="AE262" s="117">
        <f t="shared" si="283"/>
        <v>19257.62621</v>
      </c>
      <c r="AF262" s="117">
        <f t="shared" si="283"/>
        <v>19941.77899</v>
      </c>
      <c r="AG262" s="117">
        <f t="shared" si="283"/>
        <v>18387.98568</v>
      </c>
      <c r="AH262" s="117">
        <f t="shared" si="283"/>
        <v>16897.94433</v>
      </c>
      <c r="AI262" s="117">
        <f t="shared" si="283"/>
        <v>17036.50322</v>
      </c>
      <c r="AJ262" s="117">
        <f t="shared" si="283"/>
        <v>17431.62802</v>
      </c>
      <c r="AK262" s="117">
        <f t="shared" si="283"/>
        <v>17592.18646</v>
      </c>
      <c r="AL262" s="117">
        <f t="shared" si="283"/>
        <v>16492.02724</v>
      </c>
      <c r="AM262" s="117">
        <f t="shared" si="283"/>
        <v>16644.98984</v>
      </c>
      <c r="AN262" s="117">
        <f t="shared" si="283"/>
        <v>17142.98672</v>
      </c>
      <c r="AO262" s="117">
        <f t="shared" si="283"/>
        <v>16246.47858</v>
      </c>
      <c r="AP262" s="117">
        <f t="shared" si="283"/>
        <v>15376.0631</v>
      </c>
      <c r="AQ262" s="117">
        <f t="shared" si="283"/>
        <v>15614.99377</v>
      </c>
      <c r="AR262" s="117">
        <f t="shared" si="283"/>
        <v>16020.52074</v>
      </c>
      <c r="AS262" s="117">
        <f t="shared" si="283"/>
        <v>15354.76362</v>
      </c>
      <c r="AT262" s="117">
        <f t="shared" si="283"/>
        <v>14663.10448</v>
      </c>
      <c r="AU262" s="117">
        <f t="shared" si="283"/>
        <v>15055.08683</v>
      </c>
      <c r="AV262" s="117">
        <f t="shared" si="283"/>
        <v>15639.06734</v>
      </c>
      <c r="AW262" s="117">
        <f t="shared" si="283"/>
        <v>15099.6937</v>
      </c>
      <c r="AX262" s="117">
        <f t="shared" si="283"/>
        <v>14572.75643</v>
      </c>
      <c r="AY262" s="117">
        <f t="shared" si="283"/>
        <v>15084.20209</v>
      </c>
      <c r="AZ262" s="117">
        <f t="shared" si="283"/>
        <v>15437.4641</v>
      </c>
      <c r="BA262" s="117">
        <f t="shared" si="283"/>
        <v>14963.9469</v>
      </c>
      <c r="BB262" s="117">
        <f t="shared" si="283"/>
        <v>14444.06424</v>
      </c>
      <c r="BC262" s="117">
        <f t="shared" si="283"/>
        <v>14974.64859</v>
      </c>
      <c r="BD262" s="117">
        <f t="shared" si="283"/>
        <v>15753.36042</v>
      </c>
      <c r="BE262" s="117">
        <f t="shared" si="283"/>
        <v>15211.71082</v>
      </c>
      <c r="BF262" s="117">
        <f t="shared" si="283"/>
        <v>15591.27871</v>
      </c>
      <c r="BG262" s="117">
        <f t="shared" si="283"/>
        <v>16094.8808</v>
      </c>
      <c r="BH262" s="117">
        <f t="shared" si="283"/>
        <v>16871.75432</v>
      </c>
      <c r="BI262" s="117">
        <f t="shared" si="283"/>
        <v>16313.30757</v>
      </c>
      <c r="BJ262" s="117">
        <f t="shared" si="283"/>
        <v>15759.27086</v>
      </c>
      <c r="BK262" s="117">
        <f t="shared" si="283"/>
        <v>16274.15762</v>
      </c>
      <c r="BL262" s="117">
        <f t="shared" si="283"/>
        <v>17098.70041</v>
      </c>
      <c r="BM262" s="117">
        <f t="shared" si="283"/>
        <v>16658.54729</v>
      </c>
      <c r="BN262" s="117">
        <f t="shared" si="283"/>
        <v>16218.91688</v>
      </c>
      <c r="BO262" s="117">
        <f t="shared" si="283"/>
        <v>16827.96657</v>
      </c>
      <c r="BP262" s="117">
        <f t="shared" si="283"/>
        <v>17670.32474</v>
      </c>
      <c r="BQ262" s="117">
        <f t="shared" si="283"/>
        <v>17628.53895</v>
      </c>
      <c r="BR262" s="117">
        <f t="shared" si="283"/>
        <v>17177.8753</v>
      </c>
      <c r="BS262" s="117">
        <f t="shared" si="283"/>
        <v>18639.7394</v>
      </c>
      <c r="BT262" s="117">
        <f t="shared" si="283"/>
        <v>19529.81465</v>
      </c>
      <c r="BU262" s="117">
        <f t="shared" si="283"/>
        <v>19071.8754</v>
      </c>
      <c r="BV262" s="117">
        <f t="shared" si="283"/>
        <v>18617.37186</v>
      </c>
      <c r="BW262" s="117">
        <f t="shared" si="283"/>
        <v>19260.3615</v>
      </c>
      <c r="BX262" s="117">
        <f t="shared" si="283"/>
        <v>20148.49504</v>
      </c>
      <c r="BY262" s="117">
        <f t="shared" si="283"/>
        <v>19558.14562</v>
      </c>
      <c r="BZ262" s="117">
        <f t="shared" si="283"/>
        <v>18983.55202</v>
      </c>
      <c r="CA262" s="117">
        <f t="shared" si="283"/>
        <v>19528.667</v>
      </c>
      <c r="CB262" s="117">
        <f t="shared" si="283"/>
        <v>20102.51966</v>
      </c>
      <c r="CC262" s="117">
        <f t="shared" si="283"/>
        <v>20019.14777</v>
      </c>
      <c r="CD262" s="117">
        <f t="shared" si="283"/>
        <v>19568.42372</v>
      </c>
      <c r="CE262" s="117">
        <f t="shared" si="283"/>
        <v>20201.73397</v>
      </c>
      <c r="CF262" s="117">
        <f t="shared" si="283"/>
        <v>20860.36118</v>
      </c>
      <c r="CG262" s="117">
        <f t="shared" si="283"/>
        <v>20441.36122</v>
      </c>
      <c r="CH262" s="117">
        <f t="shared" si="283"/>
        <v>20026.54934</v>
      </c>
      <c r="CI262" s="117">
        <f t="shared" si="283"/>
        <v>20701.13682</v>
      </c>
    </row>
    <row r="263" ht="15.75" customHeight="1">
      <c r="C263" s="1" t="s">
        <v>94</v>
      </c>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f t="shared" ref="AA263:CI263" si="284">AA255*AA$265</f>
        <v>30681.03303</v>
      </c>
      <c r="AB263" s="117">
        <f t="shared" si="284"/>
        <v>31457.91438</v>
      </c>
      <c r="AC263" s="117">
        <f t="shared" si="284"/>
        <v>28222.88467</v>
      </c>
      <c r="AD263" s="117">
        <f t="shared" si="284"/>
        <v>25683.75139</v>
      </c>
      <c r="AE263" s="117">
        <f t="shared" si="284"/>
        <v>25417.81636</v>
      </c>
      <c r="AF263" s="117">
        <f t="shared" si="284"/>
        <v>25938.1618</v>
      </c>
      <c r="AG263" s="117">
        <f t="shared" si="284"/>
        <v>23768.46663</v>
      </c>
      <c r="AH263" s="117">
        <f t="shared" si="284"/>
        <v>21708.1239</v>
      </c>
      <c r="AI263" s="117">
        <f t="shared" si="284"/>
        <v>21935.86771</v>
      </c>
      <c r="AJ263" s="117">
        <f t="shared" si="284"/>
        <v>22813.30257</v>
      </c>
      <c r="AK263" s="117">
        <f t="shared" si="284"/>
        <v>23077.5528</v>
      </c>
      <c r="AL263" s="117">
        <f t="shared" si="284"/>
        <v>21688.1486</v>
      </c>
      <c r="AM263" s="117">
        <f t="shared" si="284"/>
        <v>21938.12075</v>
      </c>
      <c r="AN263" s="117">
        <f t="shared" si="284"/>
        <v>22117.94446</v>
      </c>
      <c r="AO263" s="117">
        <f t="shared" si="284"/>
        <v>21600.13694</v>
      </c>
      <c r="AP263" s="117">
        <f t="shared" si="284"/>
        <v>21100.25271</v>
      </c>
      <c r="AQ263" s="117">
        <f t="shared" si="284"/>
        <v>21936.29586</v>
      </c>
      <c r="AR263" s="117">
        <f t="shared" si="284"/>
        <v>22899.94761</v>
      </c>
      <c r="AS263" s="117">
        <f t="shared" si="284"/>
        <v>22225.69304</v>
      </c>
      <c r="AT263" s="117">
        <f t="shared" si="284"/>
        <v>21424.63902</v>
      </c>
      <c r="AU263" s="117">
        <f t="shared" si="284"/>
        <v>22153.44587</v>
      </c>
      <c r="AV263" s="117">
        <f t="shared" si="284"/>
        <v>23137.04135</v>
      </c>
      <c r="AW263" s="117">
        <f t="shared" si="284"/>
        <v>22432.1941</v>
      </c>
      <c r="AX263" s="117">
        <f t="shared" si="284"/>
        <v>21720.22519</v>
      </c>
      <c r="AY263" s="117">
        <f t="shared" si="284"/>
        <v>22541.4154</v>
      </c>
      <c r="AZ263" s="117">
        <f t="shared" si="284"/>
        <v>22837.27374</v>
      </c>
      <c r="BA263" s="117">
        <f t="shared" si="284"/>
        <v>21976.72698</v>
      </c>
      <c r="BB263" s="117">
        <f t="shared" si="284"/>
        <v>21106.52263</v>
      </c>
      <c r="BC263" s="117">
        <f t="shared" si="284"/>
        <v>21806.44504</v>
      </c>
      <c r="BD263" s="117">
        <f t="shared" si="284"/>
        <v>22887.5886</v>
      </c>
      <c r="BE263" s="117">
        <f t="shared" si="284"/>
        <v>22067.99331</v>
      </c>
      <c r="BF263" s="117">
        <f t="shared" si="284"/>
        <v>22598.73215</v>
      </c>
      <c r="BG263" s="117">
        <f t="shared" si="284"/>
        <v>23318.1978</v>
      </c>
      <c r="BH263" s="117">
        <f t="shared" si="284"/>
        <v>24440.33258</v>
      </c>
      <c r="BI263" s="117">
        <f t="shared" si="284"/>
        <v>23633.33584</v>
      </c>
      <c r="BJ263" s="117">
        <f t="shared" si="284"/>
        <v>22836.19749</v>
      </c>
      <c r="BK263" s="117">
        <f t="shared" si="284"/>
        <v>23590.59908</v>
      </c>
      <c r="BL263" s="117">
        <f t="shared" si="284"/>
        <v>24627.26704</v>
      </c>
      <c r="BM263" s="117">
        <f t="shared" si="284"/>
        <v>23888.21134</v>
      </c>
      <c r="BN263" s="117">
        <f t="shared" si="284"/>
        <v>23192.27734</v>
      </c>
      <c r="BO263" s="117">
        <f t="shared" si="284"/>
        <v>23992.39759</v>
      </c>
      <c r="BP263" s="117">
        <f t="shared" si="284"/>
        <v>25117.21756</v>
      </c>
      <c r="BQ263" s="117">
        <f t="shared" si="284"/>
        <v>24980.82444</v>
      </c>
      <c r="BR263" s="117">
        <f t="shared" si="284"/>
        <v>24266.76852</v>
      </c>
      <c r="BS263" s="117">
        <f t="shared" si="284"/>
        <v>26250.0624</v>
      </c>
      <c r="BT263" s="117">
        <f t="shared" si="284"/>
        <v>27418.13228</v>
      </c>
      <c r="BU263" s="117">
        <f t="shared" si="284"/>
        <v>26692.38688</v>
      </c>
      <c r="BV263" s="117">
        <f t="shared" si="284"/>
        <v>25976.12379</v>
      </c>
      <c r="BW263" s="117">
        <f t="shared" si="284"/>
        <v>26791.18521</v>
      </c>
      <c r="BX263" s="117">
        <f t="shared" si="284"/>
        <v>27935.02523</v>
      </c>
      <c r="BY263" s="117">
        <f t="shared" si="284"/>
        <v>27112.47077</v>
      </c>
      <c r="BZ263" s="117">
        <f t="shared" si="284"/>
        <v>26324.73659</v>
      </c>
      <c r="CA263" s="117">
        <f t="shared" si="284"/>
        <v>27068.71</v>
      </c>
      <c r="CB263" s="117">
        <f t="shared" si="284"/>
        <v>27836.21244</v>
      </c>
      <c r="CC263" s="117">
        <f t="shared" si="284"/>
        <v>27681.87468</v>
      </c>
      <c r="CD263" s="117">
        <f t="shared" si="284"/>
        <v>27012.98869</v>
      </c>
      <c r="CE263" s="117">
        <f t="shared" si="284"/>
        <v>27834.6778</v>
      </c>
      <c r="CF263" s="117">
        <f t="shared" si="284"/>
        <v>28684.08721</v>
      </c>
      <c r="CG263" s="117">
        <f t="shared" si="284"/>
        <v>28048.59296</v>
      </c>
      <c r="CH263" s="117">
        <f t="shared" si="284"/>
        <v>27419.77223</v>
      </c>
      <c r="CI263" s="117">
        <f t="shared" si="284"/>
        <v>28280.87019</v>
      </c>
    </row>
    <row r="264" ht="15.75" customHeight="1">
      <c r="C264" s="1" t="s">
        <v>96</v>
      </c>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f t="shared" ref="AA264:CI264" si="285">AA256*AA$265</f>
        <v>6464.928563</v>
      </c>
      <c r="AB264" s="117">
        <f t="shared" si="285"/>
        <v>6188.04886</v>
      </c>
      <c r="AC264" s="117">
        <f t="shared" si="285"/>
        <v>5241.200186</v>
      </c>
      <c r="AD264" s="117">
        <f t="shared" si="285"/>
        <v>4549.538413</v>
      </c>
      <c r="AE264" s="117">
        <f t="shared" si="285"/>
        <v>4324.183998</v>
      </c>
      <c r="AF264" s="117">
        <f t="shared" si="285"/>
        <v>4322.357593</v>
      </c>
      <c r="AG264" s="117">
        <f t="shared" si="285"/>
        <v>3889.43281</v>
      </c>
      <c r="AH264" s="117">
        <f t="shared" si="285"/>
        <v>3512.634681</v>
      </c>
      <c r="AI264" s="117">
        <f t="shared" si="285"/>
        <v>3515.552865</v>
      </c>
      <c r="AJ264" s="117">
        <f t="shared" si="285"/>
        <v>3610.750277</v>
      </c>
      <c r="AK264" s="117">
        <f t="shared" si="285"/>
        <v>3600.062786</v>
      </c>
      <c r="AL264" s="117">
        <f t="shared" si="285"/>
        <v>3341.352897</v>
      </c>
      <c r="AM264" s="117">
        <f t="shared" si="285"/>
        <v>3342.00975</v>
      </c>
      <c r="AN264" s="117">
        <f t="shared" si="285"/>
        <v>5019.111957</v>
      </c>
      <c r="AO264" s="117">
        <f t="shared" si="285"/>
        <v>4855.19021</v>
      </c>
      <c r="AP264" s="117">
        <f t="shared" si="285"/>
        <v>4685.905991</v>
      </c>
      <c r="AQ264" s="117">
        <f t="shared" si="285"/>
        <v>4820.204905</v>
      </c>
      <c r="AR264" s="117">
        <f t="shared" si="285"/>
        <v>4984.332272</v>
      </c>
      <c r="AS264" s="117">
        <f t="shared" si="285"/>
        <v>4791.99914</v>
      </c>
      <c r="AT264" s="117">
        <f t="shared" si="285"/>
        <v>4579.465101</v>
      </c>
      <c r="AU264" s="117">
        <f t="shared" si="285"/>
        <v>4697.257578</v>
      </c>
      <c r="AV264" s="117">
        <f t="shared" si="285"/>
        <v>4868.658539</v>
      </c>
      <c r="AW264" s="117">
        <f t="shared" si="285"/>
        <v>4686.189865</v>
      </c>
      <c r="AX264" s="117">
        <f t="shared" si="285"/>
        <v>4505.796343</v>
      </c>
      <c r="AY264" s="117">
        <f t="shared" si="285"/>
        <v>4644.441746</v>
      </c>
      <c r="AZ264" s="117">
        <f t="shared" si="285"/>
        <v>6218.054184</v>
      </c>
      <c r="BA264" s="117">
        <f t="shared" si="285"/>
        <v>5932.489048</v>
      </c>
      <c r="BB264" s="117">
        <f t="shared" si="285"/>
        <v>5652.39706</v>
      </c>
      <c r="BC264" s="117">
        <f t="shared" si="285"/>
        <v>5796.305494</v>
      </c>
      <c r="BD264" s="117">
        <f t="shared" si="285"/>
        <v>6040.509745</v>
      </c>
      <c r="BE264" s="117">
        <f t="shared" si="285"/>
        <v>5784.450296</v>
      </c>
      <c r="BF264" s="117">
        <f t="shared" si="285"/>
        <v>5884.360697</v>
      </c>
      <c r="BG264" s="117">
        <f t="shared" si="285"/>
        <v>6032.473804</v>
      </c>
      <c r="BH264" s="117">
        <f t="shared" si="285"/>
        <v>6282.703222</v>
      </c>
      <c r="BI264" s="117">
        <f t="shared" si="285"/>
        <v>6037.339214</v>
      </c>
      <c r="BJ264" s="117">
        <f t="shared" si="285"/>
        <v>5797.743415</v>
      </c>
      <c r="BK264" s="117">
        <f t="shared" si="285"/>
        <v>5952.72655</v>
      </c>
      <c r="BL264" s="117">
        <f t="shared" si="285"/>
        <v>6154.030699</v>
      </c>
      <c r="BM264" s="117">
        <f t="shared" si="285"/>
        <v>5913.359126</v>
      </c>
      <c r="BN264" s="117">
        <f t="shared" si="285"/>
        <v>5697.712161</v>
      </c>
      <c r="BO264" s="117">
        <f t="shared" si="285"/>
        <v>5850.410396</v>
      </c>
      <c r="BP264" s="117">
        <f t="shared" si="285"/>
        <v>6079.661219</v>
      </c>
      <c r="BQ264" s="117">
        <f t="shared" si="285"/>
        <v>6002.63986</v>
      </c>
      <c r="BR264" s="117">
        <f t="shared" si="285"/>
        <v>5788.98343</v>
      </c>
      <c r="BS264" s="117">
        <f t="shared" si="285"/>
        <v>6217.255133</v>
      </c>
      <c r="BT264" s="117">
        <f t="shared" si="285"/>
        <v>6447.692433</v>
      </c>
      <c r="BU264" s="117">
        <f t="shared" si="285"/>
        <v>6232.606824</v>
      </c>
      <c r="BV264" s="117">
        <f t="shared" si="285"/>
        <v>6022.662502</v>
      </c>
      <c r="BW264" s="117">
        <f t="shared" si="285"/>
        <v>6168.116398</v>
      </c>
      <c r="BX264" s="117">
        <f t="shared" si="285"/>
        <v>6384.983955</v>
      </c>
      <c r="BY264" s="117">
        <f t="shared" si="285"/>
        <v>6204.019347</v>
      </c>
      <c r="BZ264" s="117">
        <f t="shared" si="285"/>
        <v>6026.643246</v>
      </c>
      <c r="CA264" s="117">
        <f t="shared" si="285"/>
        <v>6189.376919</v>
      </c>
      <c r="CB264" s="117">
        <f t="shared" si="285"/>
        <v>6348.993349</v>
      </c>
      <c r="CC264" s="117">
        <f t="shared" si="285"/>
        <v>6292.080852</v>
      </c>
      <c r="CD264" s="117">
        <f t="shared" si="285"/>
        <v>6114.634271</v>
      </c>
      <c r="CE264" s="117">
        <f t="shared" si="285"/>
        <v>6271.302681</v>
      </c>
      <c r="CF264" s="117">
        <f t="shared" si="285"/>
        <v>6430.14179</v>
      </c>
      <c r="CG264" s="117">
        <f t="shared" si="285"/>
        <v>6254.2789</v>
      </c>
      <c r="CH264" s="117">
        <f t="shared" si="285"/>
        <v>6080.348662</v>
      </c>
      <c r="CI264" s="117">
        <f t="shared" si="285"/>
        <v>6235.802809</v>
      </c>
    </row>
    <row r="265" ht="15.75" customHeight="1">
      <c r="A265" s="522"/>
      <c r="B265" s="523"/>
      <c r="C265" s="524" t="s">
        <v>820</v>
      </c>
      <c r="D265" s="117"/>
      <c r="E265" s="117"/>
      <c r="F265" s="117"/>
      <c r="G265" s="117"/>
      <c r="H265" s="117"/>
      <c r="I265" s="117"/>
      <c r="J265" s="117"/>
      <c r="K265" s="117"/>
      <c r="L265" s="117"/>
      <c r="M265" s="117"/>
      <c r="N265" s="117"/>
      <c r="O265" s="525"/>
      <c r="P265" s="525"/>
      <c r="Q265" s="525"/>
      <c r="R265" s="525"/>
      <c r="S265" s="525"/>
      <c r="T265" s="525"/>
      <c r="U265" s="117"/>
      <c r="V265" s="525"/>
      <c r="W265" s="117"/>
      <c r="X265" s="117"/>
      <c r="Y265" s="525"/>
      <c r="Z265" s="525"/>
      <c r="AA265" s="525">
        <v>184161.09944732272</v>
      </c>
      <c r="AB265" s="525">
        <v>207414.94003806543</v>
      </c>
      <c r="AC265" s="525">
        <v>201743.74360058096</v>
      </c>
      <c r="AD265" s="525">
        <v>195840.52589356375</v>
      </c>
      <c r="AE265" s="525">
        <v>204998.00500663053</v>
      </c>
      <c r="AF265" s="525">
        <v>223640.4505689363</v>
      </c>
      <c r="AG265" s="525">
        <v>217446.99821282388</v>
      </c>
      <c r="AH265" s="525">
        <v>210182.0063633227</v>
      </c>
      <c r="AI265" s="525">
        <v>223901.9608036963</v>
      </c>
      <c r="AJ265" s="525">
        <v>243585.57557009623</v>
      </c>
      <c r="AK265" s="525">
        <v>255488.4431795611</v>
      </c>
      <c r="AL265" s="525">
        <v>248731.74040926117</v>
      </c>
      <c r="AM265" s="525">
        <v>260532.29297430234</v>
      </c>
      <c r="AN265" s="525">
        <v>272472.8769407488</v>
      </c>
      <c r="AO265" s="525">
        <v>265572.7487078088</v>
      </c>
      <c r="AP265" s="525">
        <v>259019.30792872305</v>
      </c>
      <c r="AQ265" s="525">
        <v>270052.38696245884</v>
      </c>
      <c r="AR265" s="525">
        <v>283210.2298386677</v>
      </c>
      <c r="AS265" s="525">
        <v>276244.073582436</v>
      </c>
      <c r="AT265" s="525">
        <v>267736.9937483827</v>
      </c>
      <c r="AU265" s="525">
        <v>279261.9502012075</v>
      </c>
      <c r="AV265" s="525">
        <v>293330.98426214745</v>
      </c>
      <c r="AW265" s="525">
        <v>286017.64449641044</v>
      </c>
      <c r="AX265" s="525">
        <v>278496.7587524215</v>
      </c>
      <c r="AY265" s="525">
        <v>290614.5659626772</v>
      </c>
      <c r="AZ265" s="525">
        <v>299577.7720804258</v>
      </c>
      <c r="BA265" s="525">
        <v>291396.695194439</v>
      </c>
      <c r="BB265" s="525">
        <v>282788.3969663719</v>
      </c>
      <c r="BC265" s="525">
        <v>295132.353678554</v>
      </c>
      <c r="BD265" s="525">
        <v>312807.11238113197</v>
      </c>
      <c r="BE265" s="525">
        <v>304463.4923845103</v>
      </c>
      <c r="BF265" s="525">
        <v>314630.1534507165</v>
      </c>
      <c r="BG265" s="525">
        <v>327493.9083717992</v>
      </c>
      <c r="BH265" s="525">
        <v>346144.75996706827</v>
      </c>
      <c r="BI265" s="525">
        <v>337421.2963495346</v>
      </c>
      <c r="BJ265" s="525">
        <v>328569.7251412671</v>
      </c>
      <c r="BK265" s="525">
        <v>341951.2915101485</v>
      </c>
      <c r="BL265" s="525">
        <v>360389.8444809266</v>
      </c>
      <c r="BM265" s="525">
        <v>351420.667865899</v>
      </c>
      <c r="BN265" s="525">
        <v>343075.8684984338</v>
      </c>
      <c r="BO265" s="525">
        <v>356769.4286751854</v>
      </c>
      <c r="BP265" s="525">
        <v>375401.3532648667</v>
      </c>
      <c r="BQ265" s="525">
        <v>375216.69888878975</v>
      </c>
      <c r="BR265" s="525">
        <v>366251.8703612166</v>
      </c>
      <c r="BS265" s="525">
        <v>398046.468497575</v>
      </c>
      <c r="BT265" s="525">
        <v>417659.1412265436</v>
      </c>
      <c r="BU265" s="525">
        <v>408413.3185285475</v>
      </c>
      <c r="BV265" s="525">
        <v>399177.1050934011</v>
      </c>
      <c r="BW265" s="525">
        <v>413442.7006693204</v>
      </c>
      <c r="BX265" s="525">
        <v>434532.0729645094</v>
      </c>
      <c r="BY265" s="525">
        <v>425182.53556074353</v>
      </c>
      <c r="BZ265" s="525">
        <v>415778.9381335295</v>
      </c>
      <c r="CA265" s="525">
        <v>429980.65345617686</v>
      </c>
      <c r="CB265" s="525">
        <v>444208.67631874705</v>
      </c>
      <c r="CC265" s="525">
        <v>443377.7002842832</v>
      </c>
      <c r="CD265" s="525">
        <v>433955.0976793149</v>
      </c>
      <c r="CE265" s="525">
        <v>448243.77626783244</v>
      </c>
      <c r="CF265" s="525">
        <v>462851.0781048657</v>
      </c>
      <c r="CG265" s="525">
        <v>453358.00777641364</v>
      </c>
      <c r="CH265" s="525">
        <v>443826.8173284379</v>
      </c>
      <c r="CI265" s="525">
        <v>458327.3121951715</v>
      </c>
    </row>
    <row r="266" ht="15.75" customHeight="1">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7"/>
      <c r="BO266" s="117"/>
      <c r="BP266" s="117"/>
      <c r="BQ266" s="117"/>
      <c r="BR266" s="117"/>
      <c r="BS266" s="117"/>
      <c r="BT266" s="117"/>
      <c r="BU266" s="117"/>
      <c r="BV266" s="117"/>
      <c r="BW266" s="117"/>
      <c r="BX266" s="117"/>
      <c r="BY266" s="117"/>
      <c r="BZ266" s="117"/>
      <c r="CA266" s="117"/>
      <c r="CB266" s="117"/>
      <c r="CC266" s="117"/>
      <c r="CD266" s="117"/>
      <c r="CE266" s="117"/>
      <c r="CF266" s="117"/>
      <c r="CG266" s="117"/>
      <c r="CH266" s="117"/>
      <c r="CI266" s="117"/>
    </row>
    <row r="267" ht="15.75" customHeight="1">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7"/>
      <c r="BO267" s="117"/>
      <c r="BP267" s="117"/>
      <c r="BQ267" s="117"/>
      <c r="BR267" s="117"/>
      <c r="BS267" s="117"/>
      <c r="BT267" s="117"/>
      <c r="BU267" s="117"/>
      <c r="BV267" s="117"/>
      <c r="BW267" s="117"/>
      <c r="BX267" s="117"/>
      <c r="BY267" s="117"/>
      <c r="BZ267" s="117"/>
      <c r="CA267" s="117"/>
      <c r="CB267" s="117"/>
      <c r="CC267" s="117"/>
      <c r="CD267" s="117"/>
      <c r="CE267" s="117"/>
      <c r="CF267" s="117"/>
      <c r="CG267" s="117"/>
      <c r="CH267" s="117"/>
      <c r="CI267" s="117"/>
    </row>
    <row r="268" ht="15.75" customHeight="1">
      <c r="C268" s="115" t="s">
        <v>821</v>
      </c>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7"/>
      <c r="BO268" s="117"/>
      <c r="BP268" s="117"/>
      <c r="BQ268" s="117"/>
      <c r="BR268" s="117"/>
      <c r="BS268" s="117"/>
      <c r="BT268" s="117"/>
      <c r="BU268" s="117"/>
      <c r="BV268" s="117"/>
      <c r="BW268" s="117"/>
      <c r="BX268" s="117"/>
      <c r="BY268" s="117"/>
      <c r="BZ268" s="117"/>
      <c r="CA268" s="117"/>
      <c r="CB268" s="117"/>
      <c r="CC268" s="117"/>
      <c r="CD268" s="117"/>
      <c r="CE268" s="117"/>
      <c r="CF268" s="117"/>
      <c r="CG268" s="117"/>
      <c r="CH268" s="117"/>
      <c r="CI268" s="117"/>
    </row>
    <row r="269" ht="15.75" customHeight="1">
      <c r="A269" s="91" t="s">
        <v>118</v>
      </c>
      <c r="C269" s="132" t="s">
        <v>206</v>
      </c>
      <c r="D269" s="116">
        <f>SUMIFS('IS Proforma'!P:P,'IS Proforma'!$C:$C,'Ops Departments'!$C269,'IS Proforma'!$A:$A,'Ops Departments'!$A269)</f>
        <v>2027</v>
      </c>
      <c r="E269" s="116">
        <f>SUMIFS('IS Proforma'!Q:Q,'IS Proforma'!$C:$C,'Ops Departments'!$C269,'IS Proforma'!$A:$A,'Ops Departments'!$A269)</f>
        <v>1601</v>
      </c>
      <c r="F269" s="116">
        <f>SUMIFS('IS Proforma'!R:R,'IS Proforma'!$C:$C,'Ops Departments'!$C269,'IS Proforma'!$A:$A,'Ops Departments'!$A269)</f>
        <v>1938</v>
      </c>
      <c r="G269" s="116">
        <f>SUMIFS('IS Proforma'!S:S,'IS Proforma'!$C:$C,'Ops Departments'!$C269,'IS Proforma'!$A:$A,'Ops Departments'!$A269)</f>
        <v>1362</v>
      </c>
      <c r="H269" s="116">
        <f>SUMIFS('IS Proforma'!T:T,'IS Proforma'!$C:$C,'Ops Departments'!$C269,'IS Proforma'!$A:$A,'Ops Departments'!$A269)</f>
        <v>1809</v>
      </c>
      <c r="I269" s="116">
        <f>SUMIFS('IS Proforma'!U:U,'IS Proforma'!$C:$C,'Ops Departments'!$C269,'IS Proforma'!$A:$A,'Ops Departments'!$A269)</f>
        <v>2259</v>
      </c>
      <c r="J269" s="116">
        <f>SUMIFS('IS Proforma'!V:V,'IS Proforma'!$C:$C,'Ops Departments'!$C269,'IS Proforma'!$A:$A,'Ops Departments'!$A269)</f>
        <v>2068</v>
      </c>
      <c r="K269" s="116">
        <f>SUMIFS('IS Proforma'!W:W,'IS Proforma'!$C:$C,'Ops Departments'!$C269,'IS Proforma'!$A:$A,'Ops Departments'!$A269)</f>
        <v>1649</v>
      </c>
      <c r="L269" s="116">
        <f>SUMIFS('IS Proforma'!X:X,'IS Proforma'!$C:$C,'Ops Departments'!$C269,'IS Proforma'!$A:$A,'Ops Departments'!$A269)</f>
        <v>1704</v>
      </c>
      <c r="M269" s="116">
        <f>SUMIFS('IS Proforma'!Y:Y,'IS Proforma'!$C:$C,'Ops Departments'!$C269,'IS Proforma'!$A:$A,'Ops Departments'!$A269)</f>
        <v>1894</v>
      </c>
      <c r="N269" s="116">
        <f>SUMIFS('IS Proforma'!Z:Z,'IS Proforma'!$C:$C,'Ops Departments'!$C269,'IS Proforma'!$A:$A,'Ops Departments'!$A269)</f>
        <v>1862</v>
      </c>
      <c r="O269" s="116">
        <f>SUMIFS('IS Proforma'!AA:AA,'IS Proforma'!$C:$C,'Ops Departments'!$C269,'IS Proforma'!$A:$A,'Ops Departments'!$A269)</f>
        <v>2477</v>
      </c>
      <c r="P269" s="116">
        <f>SUMIFS('IS Proforma'!AB:AB,'IS Proforma'!$C:$C,'Ops Departments'!$C269,'IS Proforma'!$A:$A,'Ops Departments'!$A269)</f>
        <v>2418</v>
      </c>
      <c r="Q269" s="116">
        <f>SUMIFS('IS Proforma'!AC:AC,'IS Proforma'!$C:$C,'Ops Departments'!$C269,'IS Proforma'!$A:$A,'Ops Departments'!$A269)</f>
        <v>2036</v>
      </c>
      <c r="R269" s="116">
        <f>SUMIFS('IS Proforma'!AD:AD,'IS Proforma'!$C:$C,'Ops Departments'!$C269,'IS Proforma'!$A:$A,'Ops Departments'!$A269)</f>
        <v>1968</v>
      </c>
      <c r="S269" s="116">
        <f>SUMIFS('IS Proforma'!AE:AE,'IS Proforma'!$C:$C,'Ops Departments'!$C269,'IS Proforma'!$A:$A,'Ops Departments'!$A269)</f>
        <v>1396</v>
      </c>
      <c r="T269" s="116">
        <f>SUMIFS('IS Proforma'!AF:AF,'IS Proforma'!$C:$C,'Ops Departments'!$C269,'IS Proforma'!$A:$A,'Ops Departments'!$A269)</f>
        <v>1045</v>
      </c>
      <c r="U269" s="116">
        <f>SUMIFS('IS Proforma'!AG:AG,'IS Proforma'!$C:$C,'Ops Departments'!$C269,'IS Proforma'!$A:$A,'Ops Departments'!$A269)</f>
        <v>2360</v>
      </c>
      <c r="V269" s="116">
        <f>SUMIFS('IS Proforma'!AH:AH,'IS Proforma'!$C:$C,'Ops Departments'!$C269,'IS Proforma'!$A:$A,'Ops Departments'!$A269)</f>
        <v>1206</v>
      </c>
      <c r="W269" s="116">
        <f>SUMIFS('IS Proforma'!AI:AI,'IS Proforma'!$C:$C,'Ops Departments'!$C269,'IS Proforma'!$A:$A,'Ops Departments'!$A269)</f>
        <v>1864</v>
      </c>
      <c r="X269" s="116">
        <f>SUMIFS('IS Proforma'!AJ:AJ,'IS Proforma'!$C:$C,'Ops Departments'!$C269,'IS Proforma'!$A:$A,'Ops Departments'!$A269)</f>
        <v>2313</v>
      </c>
      <c r="Y269" s="116">
        <f>SUMIFS('IS Proforma'!AK:AK,'IS Proforma'!$C:$C,'Ops Departments'!$C269,'IS Proforma'!$A:$A,'Ops Departments'!$A269)</f>
        <v>2093</v>
      </c>
      <c r="Z269" s="116">
        <f>SUMIFS('IS Proforma'!AL:AL,'IS Proforma'!$C:$C,'Ops Departments'!$C269,'IS Proforma'!$A:$A,'Ops Departments'!$A269)</f>
        <v>1547</v>
      </c>
      <c r="AA269" s="116">
        <f>SUMIFS('IS Proforma'!AM:AM,'IS Proforma'!$C:$C,'Ops Departments'!$C269,'IS Proforma'!$A:$A,'Ops Departments'!$A269)</f>
        <v>91547</v>
      </c>
      <c r="AB269" s="116">
        <f>SUMIFS('IS Proforma'!AN:AN,'IS Proforma'!$C:$C,'Ops Departments'!$C269,'IS Proforma'!$A:$A,'Ops Departments'!$A269)</f>
        <v>95666.615</v>
      </c>
      <c r="AC269" s="116">
        <f>SUMIFS('IS Proforma'!AO:AO,'IS Proforma'!$C:$C,'Ops Departments'!$C269,'IS Proforma'!$A:$A,'Ops Departments'!$A269)</f>
        <v>106066.615</v>
      </c>
      <c r="AD269" s="116">
        <f>SUMIFS('IS Proforma'!AP:AP,'IS Proforma'!$C:$C,'Ops Departments'!$C269,'IS Proforma'!$A:$A,'Ops Departments'!$A269)</f>
        <v>116466.615</v>
      </c>
      <c r="AE269" s="116">
        <f>SUMIFS('IS Proforma'!AQ:AQ,'IS Proforma'!$C:$C,'Ops Departments'!$C269,'IS Proforma'!$A:$A,'Ops Departments'!$A269)</f>
        <v>121666.615</v>
      </c>
      <c r="AF269" s="116">
        <f>SUMIFS('IS Proforma'!AR:AR,'IS Proforma'!$C:$C,'Ops Departments'!$C269,'IS Proforma'!$A:$A,'Ops Departments'!$A269)</f>
        <v>127141.6127</v>
      </c>
      <c r="AG269" s="116">
        <f>SUMIFS('IS Proforma'!AS:AS,'IS Proforma'!$C:$C,'Ops Departments'!$C269,'IS Proforma'!$A:$A,'Ops Departments'!$A269)</f>
        <v>127141.6127</v>
      </c>
      <c r="AH269" s="116">
        <f>SUMIFS('IS Proforma'!AT:AT,'IS Proforma'!$C:$C,'Ops Departments'!$C269,'IS Proforma'!$A:$A,'Ops Departments'!$A269)</f>
        <v>132341.6127</v>
      </c>
      <c r="AI269" s="116">
        <f>SUMIFS('IS Proforma'!AU:AU,'IS Proforma'!$C:$C,'Ops Departments'!$C269,'IS Proforma'!$A:$A,'Ops Departments'!$A269)</f>
        <v>137541.6127</v>
      </c>
      <c r="AJ269" s="116">
        <f>SUMIFS('IS Proforma'!AV:AV,'IS Proforma'!$C:$C,'Ops Departments'!$C269,'IS Proforma'!$A:$A,'Ops Departments'!$A269)</f>
        <v>148930.9852</v>
      </c>
      <c r="AK269" s="116">
        <f>SUMIFS('IS Proforma'!AW:AW,'IS Proforma'!$C:$C,'Ops Departments'!$C269,'IS Proforma'!$A:$A,'Ops Departments'!$A269)</f>
        <v>161064.6652</v>
      </c>
      <c r="AL269" s="116">
        <f>SUMIFS('IS Proforma'!AX:AX,'IS Proforma'!$C:$C,'Ops Departments'!$C269,'IS Proforma'!$A:$A,'Ops Departments'!$A269)</f>
        <v>166264.6652</v>
      </c>
      <c r="AM269" s="116">
        <f>SUMIFS('IS Proforma'!AY:AY,'IS Proforma'!$C:$C,'Ops Departments'!$C269,'IS Proforma'!$A:$A,'Ops Departments'!$A269)</f>
        <v>182280.6652</v>
      </c>
      <c r="AN269" s="116">
        <f>SUMIFS('IS Proforma'!AZ:AZ,'IS Proforma'!$C:$C,'Ops Departments'!$C269,'IS Proforma'!$A:$A,'Ops Departments'!$A269)</f>
        <v>200820.5319</v>
      </c>
      <c r="AO269" s="116">
        <f>SUMIFS('IS Proforma'!BA:BA,'IS Proforma'!$C:$C,'Ops Departments'!$C269,'IS Proforma'!$A:$A,'Ops Departments'!$A269)</f>
        <v>223317.8119</v>
      </c>
      <c r="AP269" s="116">
        <f>SUMIFS('IS Proforma'!BB:BB,'IS Proforma'!$C:$C,'Ops Departments'!$C269,'IS Proforma'!$A:$A,'Ops Departments'!$A269)</f>
        <v>234566.4519</v>
      </c>
      <c r="AQ269" s="116">
        <f>SUMIFS('IS Proforma'!BC:BC,'IS Proforma'!$C:$C,'Ops Departments'!$C269,'IS Proforma'!$A:$A,'Ops Departments'!$A269)</f>
        <v>234566.4519</v>
      </c>
      <c r="AR269" s="116">
        <f>SUMIFS('IS Proforma'!BD:BD,'IS Proforma'!$C:$C,'Ops Departments'!$C269,'IS Proforma'!$A:$A,'Ops Departments'!$A269)</f>
        <v>255197.7499</v>
      </c>
      <c r="AS269" s="116">
        <f>SUMIFS('IS Proforma'!BE:BE,'IS Proforma'!$C:$C,'Ops Departments'!$C269,'IS Proforma'!$A:$A,'Ops Departments'!$A269)</f>
        <v>260605.7499</v>
      </c>
      <c r="AT269" s="116">
        <f>SUMIFS('IS Proforma'!BF:BF,'IS Proforma'!$C:$C,'Ops Departments'!$C269,'IS Proforma'!$A:$A,'Ops Departments'!$A269)</f>
        <v>272304.3355</v>
      </c>
      <c r="AU269" s="116">
        <f>SUMIFS('IS Proforma'!BG:BG,'IS Proforma'!$C:$C,'Ops Departments'!$C269,'IS Proforma'!$A:$A,'Ops Departments'!$A269)</f>
        <v>289852.2139</v>
      </c>
      <c r="AV269" s="116">
        <f>SUMIFS('IS Proforma'!BH:BH,'IS Proforma'!$C:$C,'Ops Departments'!$C269,'IS Proforma'!$A:$A,'Ops Departments'!$A269)</f>
        <v>313144.8881</v>
      </c>
      <c r="AW269" s="116">
        <f>SUMIFS('IS Proforma'!BI:BI,'IS Proforma'!$C:$C,'Ops Departments'!$C269,'IS Proforma'!$A:$A,'Ops Departments'!$A269)</f>
        <v>324843.4737</v>
      </c>
      <c r="AX269" s="116">
        <f>SUMIFS('IS Proforma'!BJ:BJ,'IS Proforma'!$C:$C,'Ops Departments'!$C269,'IS Proforma'!$A:$A,'Ops Departments'!$A269)</f>
        <v>342391.3521</v>
      </c>
      <c r="AY269" s="116">
        <f>SUMIFS('IS Proforma'!BK:BK,'IS Proforma'!$C:$C,'Ops Departments'!$C269,'IS Proforma'!$A:$A,'Ops Departments'!$A269)</f>
        <v>342391.3521</v>
      </c>
      <c r="AZ269" s="116">
        <f>SUMIFS('IS Proforma'!BL:BL,'IS Proforma'!$C:$C,'Ops Departments'!$C269,'IS Proforma'!$A:$A,'Ops Departments'!$A269)</f>
        <v>361936.299</v>
      </c>
      <c r="BA269" s="116">
        <f>SUMIFS('IS Proforma'!BM:BM,'IS Proforma'!$C:$C,'Ops Departments'!$C269,'IS Proforma'!$A:$A,'Ops Departments'!$A269)</f>
        <v>398435.886</v>
      </c>
      <c r="BB269" s="116">
        <f>SUMIFS('IS Proforma'!BN:BN,'IS Proforma'!$C:$C,'Ops Departments'!$C269,'IS Proforma'!$A:$A,'Ops Departments'!$A269)</f>
        <v>416685.6796</v>
      </c>
      <c r="BC269" s="116">
        <f>SUMIFS('IS Proforma'!BO:BO,'IS Proforma'!$C:$C,'Ops Departments'!$C269,'IS Proforma'!$A:$A,'Ops Departments'!$A269)</f>
        <v>454901.4492</v>
      </c>
      <c r="BD269" s="116">
        <f>SUMIFS('IS Proforma'!BP:BP,'IS Proforma'!$C:$C,'Ops Departments'!$C269,'IS Proforma'!$A:$A,'Ops Departments'!$A269)</f>
        <v>473097.5071</v>
      </c>
      <c r="BE269" s="116">
        <f>SUMIFS('IS Proforma'!BQ:BQ,'IS Proforma'!$C:$C,'Ops Departments'!$C269,'IS Proforma'!$A:$A,'Ops Departments'!$A269)</f>
        <v>485264.0361</v>
      </c>
      <c r="BF269" s="116">
        <f>SUMIFS('IS Proforma'!BR:BR,'IS Proforma'!$C:$C,'Ops Departments'!$C269,'IS Proforma'!$A:$A,'Ops Departments'!$A269)</f>
        <v>504243.8214</v>
      </c>
      <c r="BG269" s="116">
        <f>SUMIFS('IS Proforma'!BS:BS,'IS Proforma'!$C:$C,'Ops Departments'!$C269,'IS Proforma'!$A:$A,'Ops Departments'!$A269)</f>
        <v>510327.0859</v>
      </c>
      <c r="BH269" s="116">
        <f>SUMIFS('IS Proforma'!BT:BT,'IS Proforma'!$C:$C,'Ops Departments'!$C269,'IS Proforma'!$A:$A,'Ops Departments'!$A269)</f>
        <v>543393.3596</v>
      </c>
      <c r="BI269" s="116">
        <f>SUMIFS('IS Proforma'!BU:BU,'IS Proforma'!$C:$C,'Ops Departments'!$C269,'IS Proforma'!$A:$A,'Ops Departments'!$A269)</f>
        <v>562373.1448</v>
      </c>
      <c r="BJ269" s="116">
        <f>SUMIFS('IS Proforma'!BV:BV,'IS Proforma'!$C:$C,'Ops Departments'!$C269,'IS Proforma'!$A:$A,'Ops Departments'!$A269)</f>
        <v>562373.1448</v>
      </c>
      <c r="BK269" s="116">
        <f>SUMIFS('IS Proforma'!BW:BW,'IS Proforma'!$C:$C,'Ops Departments'!$C269,'IS Proforma'!$A:$A,'Ops Departments'!$A269)</f>
        <v>593762.7897</v>
      </c>
      <c r="BL269" s="116">
        <f>SUMIFS('IS Proforma'!BX:BX,'IS Proforma'!$C:$C,'Ops Departments'!$C269,'IS Proforma'!$A:$A,'Ops Departments'!$A269)</f>
        <v>643578.8731</v>
      </c>
      <c r="BM269" s="116">
        <f>SUMIFS('IS Proforma'!BY:BY,'IS Proforma'!$C:$C,'Ops Departments'!$C269,'IS Proforma'!$A:$A,'Ops Departments'!$A269)</f>
        <v>840968.64</v>
      </c>
      <c r="BN269" s="116">
        <f>SUMIFS('IS Proforma'!BZ:BZ,'IS Proforma'!$C:$C,'Ops Departments'!$C269,'IS Proforma'!$A:$A,'Ops Departments'!$A269)</f>
        <v>926504.2056</v>
      </c>
      <c r="BO269" s="116">
        <f>SUMIFS('IS Proforma'!CA:CA,'IS Proforma'!$C:$C,'Ops Departments'!$C269,'IS Proforma'!$A:$A,'Ops Departments'!$A269)</f>
        <v>941519.7464</v>
      </c>
      <c r="BP269" s="116">
        <f>SUMIFS('IS Proforma'!CB:CB,'IS Proforma'!$C:$C,'Ops Departments'!$C269,'IS Proforma'!$A:$A,'Ops Departments'!$A269)</f>
        <v>992339.8541</v>
      </c>
      <c r="BQ269" s="116">
        <f>SUMIFS('IS Proforma'!CC:CC,'IS Proforma'!$C:$C,'Ops Departments'!$C269,'IS Proforma'!$A:$A,'Ops Departments'!$A269)</f>
        <v>998919.513</v>
      </c>
      <c r="BR269" s="116">
        <f>SUMIFS('IS Proforma'!CD:CD,'IS Proforma'!$C:$C,'Ops Departments'!$C269,'IS Proforma'!$A:$A,'Ops Departments'!$A269)</f>
        <v>1026290.894</v>
      </c>
      <c r="BS269" s="116">
        <f>SUMIFS('IS Proforma'!CE:CE,'IS Proforma'!$C:$C,'Ops Departments'!$C269,'IS Proforma'!$A:$A,'Ops Departments'!$A269)</f>
        <v>1046819.43</v>
      </c>
      <c r="BT269" s="116">
        <f>SUMIFS('IS Proforma'!CF:CF,'IS Proforma'!$C:$C,'Ops Departments'!$C269,'IS Proforma'!$A:$A,'Ops Departments'!$A269)</f>
        <v>1102377.897</v>
      </c>
      <c r="BU269" s="116">
        <f>SUMIFS('IS Proforma'!CG:CG,'IS Proforma'!$C:$C,'Ops Departments'!$C269,'IS Proforma'!$A:$A,'Ops Departments'!$A269)</f>
        <v>1109220.743</v>
      </c>
      <c r="BV269" s="116">
        <f>SUMIFS('IS Proforma'!CH:CH,'IS Proforma'!$C:$C,'Ops Departments'!$C269,'IS Proforma'!$A:$A,'Ops Departments'!$A269)</f>
        <v>1150277.814</v>
      </c>
      <c r="BW269" s="116">
        <f>SUMIFS('IS Proforma'!CI:CI,'IS Proforma'!$C:$C,'Ops Departments'!$C269,'IS Proforma'!$A:$A,'Ops Departments'!$A269)</f>
        <v>1150277.814</v>
      </c>
      <c r="BX269" s="116">
        <f>SUMIFS('IS Proforma'!CJ:CJ,'IS Proforma'!$C:$C,'Ops Departments'!$C269,'IS Proforma'!$A:$A,'Ops Departments'!$A269)</f>
        <v>1210522.045</v>
      </c>
      <c r="BY269" s="116">
        <f>SUMIFS('IS Proforma'!CK:CK,'IS Proforma'!$C:$C,'Ops Departments'!$C269,'IS Proforma'!$A:$A,'Ops Departments'!$A269)</f>
        <v>1246104.84</v>
      </c>
      <c r="BZ269" s="116">
        <f>SUMIFS('IS Proforma'!CL:CL,'IS Proforma'!$C:$C,'Ops Departments'!$C269,'IS Proforma'!$A:$A,'Ops Departments'!$A269)</f>
        <v>1260337.958</v>
      </c>
      <c r="CA269" s="116">
        <f>SUMIFS('IS Proforma'!CM:CM,'IS Proforma'!$C:$C,'Ops Departments'!$C269,'IS Proforma'!$A:$A,'Ops Departments'!$A269)</f>
        <v>1281687.635</v>
      </c>
      <c r="CB269" s="116">
        <f>SUMIFS('IS Proforma'!CN:CN,'IS Proforma'!$C:$C,'Ops Departments'!$C269,'IS Proforma'!$A:$A,'Ops Departments'!$A269)</f>
        <v>1332955.141</v>
      </c>
      <c r="CC269" s="116">
        <f>SUMIFS('IS Proforma'!CO:CO,'IS Proforma'!$C:$C,'Ops Departments'!$C269,'IS Proforma'!$A:$A,'Ops Departments'!$A269)</f>
        <v>1361421.377</v>
      </c>
      <c r="CD269" s="116">
        <f>SUMIFS('IS Proforma'!CP:CP,'IS Proforma'!$C:$C,'Ops Departments'!$C269,'IS Proforma'!$A:$A,'Ops Departments'!$A269)</f>
        <v>1375654.495</v>
      </c>
      <c r="CE269" s="116">
        <f>SUMIFS('IS Proforma'!CQ:CQ,'IS Proforma'!$C:$C,'Ops Departments'!$C269,'IS Proforma'!$A:$A,'Ops Departments'!$A269)</f>
        <v>1375654.495</v>
      </c>
      <c r="CF269" s="116">
        <f>SUMIFS('IS Proforma'!CR:CR,'IS Proforma'!$C:$C,'Ops Departments'!$C269,'IS Proforma'!$A:$A,'Ops Departments'!$A269)</f>
        <v>1444913.793</v>
      </c>
      <c r="CG269" s="116">
        <f>SUMIFS('IS Proforma'!CS:CS,'IS Proforma'!$C:$C,'Ops Departments'!$C269,'IS Proforma'!$A:$A,'Ops Departments'!$A269)</f>
        <v>1444913.793</v>
      </c>
      <c r="CH269" s="116">
        <f>SUMIFS('IS Proforma'!CT:CT,'IS Proforma'!$C:$C,'Ops Departments'!$C269,'IS Proforma'!$A:$A,'Ops Departments'!$A269)</f>
        <v>1473380.029</v>
      </c>
      <c r="CI269" s="116">
        <f>SUMIFS('IS Proforma'!CU:CU,'IS Proforma'!$C:$C,'Ops Departments'!$C269,'IS Proforma'!$A:$A,'Ops Departments'!$A269)</f>
        <v>1494729.707</v>
      </c>
      <c r="CL269" s="117">
        <f t="shared" ref="CL269:CL275" si="286">SUM(D269:G269)</f>
        <v>6928</v>
      </c>
      <c r="CM269" s="117">
        <f t="shared" ref="CM269:CM275" si="287">SUM(H269:K269)</f>
        <v>7785</v>
      </c>
      <c r="CN269" s="117">
        <f t="shared" ref="CN269:CN275" si="288">SUM(L269:O269)</f>
        <v>7937</v>
      </c>
      <c r="CO269" s="117">
        <f t="shared" ref="CO269:CO275" si="289">SUM(P269:S269)</f>
        <v>7818</v>
      </c>
      <c r="CP269" s="117">
        <f t="shared" ref="CP269:CP275" si="290">SUM(T269:W269)</f>
        <v>6475</v>
      </c>
      <c r="CQ269" s="117">
        <f t="shared" ref="CQ269:CQ275" si="291">SUM(X269:AA269)</f>
        <v>97500</v>
      </c>
    </row>
    <row r="270" ht="15.75" customHeight="1">
      <c r="A270" s="91" t="s">
        <v>118</v>
      </c>
      <c r="C270" s="132" t="s">
        <v>207</v>
      </c>
      <c r="D270" s="116">
        <f>SUMIFS('IS Proforma'!P:P,'IS Proforma'!$C:$C,'Ops Departments'!$C270,'IS Proforma'!$A:$A,'Ops Departments'!$A270)</f>
        <v>1201</v>
      </c>
      <c r="E270" s="116">
        <f>SUMIFS('IS Proforma'!Q:Q,'IS Proforma'!$C:$C,'Ops Departments'!$C270,'IS Proforma'!$A:$A,'Ops Departments'!$A270)</f>
        <v>1728</v>
      </c>
      <c r="F270" s="116">
        <f>SUMIFS('IS Proforma'!R:R,'IS Proforma'!$C:$C,'Ops Departments'!$C270,'IS Proforma'!$A:$A,'Ops Departments'!$A270)</f>
        <v>1697</v>
      </c>
      <c r="G270" s="116">
        <f>SUMIFS('IS Proforma'!S:S,'IS Proforma'!$C:$C,'Ops Departments'!$C270,'IS Proforma'!$A:$A,'Ops Departments'!$A270)</f>
        <v>1415</v>
      </c>
      <c r="H270" s="116">
        <f>SUMIFS('IS Proforma'!T:T,'IS Proforma'!$C:$C,'Ops Departments'!$C270,'IS Proforma'!$A:$A,'Ops Departments'!$A270)</f>
        <v>1893</v>
      </c>
      <c r="I270" s="116">
        <f>SUMIFS('IS Proforma'!U:U,'IS Proforma'!$C:$C,'Ops Departments'!$C270,'IS Proforma'!$A:$A,'Ops Departments'!$A270)</f>
        <v>1142</v>
      </c>
      <c r="J270" s="116">
        <f>SUMIFS('IS Proforma'!V:V,'IS Proforma'!$C:$C,'Ops Departments'!$C270,'IS Proforma'!$A:$A,'Ops Departments'!$A270)</f>
        <v>1828</v>
      </c>
      <c r="K270" s="116">
        <f>SUMIFS('IS Proforma'!W:W,'IS Proforma'!$C:$C,'Ops Departments'!$C270,'IS Proforma'!$A:$A,'Ops Departments'!$A270)</f>
        <v>2000</v>
      </c>
      <c r="L270" s="116">
        <f>SUMIFS('IS Proforma'!X:X,'IS Proforma'!$C:$C,'Ops Departments'!$C270,'IS Proforma'!$A:$A,'Ops Departments'!$A270)</f>
        <v>1375</v>
      </c>
      <c r="M270" s="116">
        <f>SUMIFS('IS Proforma'!Y:Y,'IS Proforma'!$C:$C,'Ops Departments'!$C270,'IS Proforma'!$A:$A,'Ops Departments'!$A270)</f>
        <v>1410</v>
      </c>
      <c r="N270" s="116">
        <f>SUMIFS('IS Proforma'!Z:Z,'IS Proforma'!$C:$C,'Ops Departments'!$C270,'IS Proforma'!$A:$A,'Ops Departments'!$A270)</f>
        <v>2441</v>
      </c>
      <c r="O270" s="116">
        <f>SUMIFS('IS Proforma'!AA:AA,'IS Proforma'!$C:$C,'Ops Departments'!$C270,'IS Proforma'!$A:$A,'Ops Departments'!$A270)</f>
        <v>2367</v>
      </c>
      <c r="P270" s="116">
        <f>SUMIFS('IS Proforma'!AB:AB,'IS Proforma'!$C:$C,'Ops Departments'!$C270,'IS Proforma'!$A:$A,'Ops Departments'!$A270)</f>
        <v>1270</v>
      </c>
      <c r="Q270" s="116">
        <f>SUMIFS('IS Proforma'!AC:AC,'IS Proforma'!$C:$C,'Ops Departments'!$C270,'IS Proforma'!$A:$A,'Ops Departments'!$A270)</f>
        <v>1869</v>
      </c>
      <c r="R270" s="116">
        <f>SUMIFS('IS Proforma'!AD:AD,'IS Proforma'!$C:$C,'Ops Departments'!$C270,'IS Proforma'!$A:$A,'Ops Departments'!$A270)</f>
        <v>2247</v>
      </c>
      <c r="S270" s="116">
        <f>SUMIFS('IS Proforma'!AE:AE,'IS Proforma'!$C:$C,'Ops Departments'!$C270,'IS Proforma'!$A:$A,'Ops Departments'!$A270)</f>
        <v>2204</v>
      </c>
      <c r="T270" s="116">
        <f>SUMIFS('IS Proforma'!AF:AF,'IS Proforma'!$C:$C,'Ops Departments'!$C270,'IS Proforma'!$A:$A,'Ops Departments'!$A270)</f>
        <v>1149</v>
      </c>
      <c r="U270" s="116">
        <f>SUMIFS('IS Proforma'!AG:AG,'IS Proforma'!$C:$C,'Ops Departments'!$C270,'IS Proforma'!$A:$A,'Ops Departments'!$A270)</f>
        <v>1066</v>
      </c>
      <c r="V270" s="116">
        <f>SUMIFS('IS Proforma'!AH:AH,'IS Proforma'!$C:$C,'Ops Departments'!$C270,'IS Proforma'!$A:$A,'Ops Departments'!$A270)</f>
        <v>1254</v>
      </c>
      <c r="W270" s="116">
        <f>SUMIFS('IS Proforma'!AI:AI,'IS Proforma'!$C:$C,'Ops Departments'!$C270,'IS Proforma'!$A:$A,'Ops Departments'!$A270)</f>
        <v>1365</v>
      </c>
      <c r="X270" s="116">
        <f>SUMIFS('IS Proforma'!AJ:AJ,'IS Proforma'!$C:$C,'Ops Departments'!$C270,'IS Proforma'!$A:$A,'Ops Departments'!$A270)</f>
        <v>1838</v>
      </c>
      <c r="Y270" s="116">
        <f>SUMIFS('IS Proforma'!AK:AK,'IS Proforma'!$C:$C,'Ops Departments'!$C270,'IS Proforma'!$A:$A,'Ops Departments'!$A270)</f>
        <v>1436</v>
      </c>
      <c r="Z270" s="116">
        <f>SUMIFS('IS Proforma'!AL:AL,'IS Proforma'!$C:$C,'Ops Departments'!$C270,'IS Proforma'!$A:$A,'Ops Departments'!$A270)</f>
        <v>2146</v>
      </c>
      <c r="AA270" s="116">
        <f>SUMIFS('IS Proforma'!AM:AM,'IS Proforma'!$C:$C,'Ops Departments'!$C270,'IS Proforma'!$A:$A,'Ops Departments'!$A270)</f>
        <v>40000</v>
      </c>
      <c r="AB270" s="116">
        <f>SUMIFS('IS Proforma'!AN:AN,'IS Proforma'!$C:$C,'Ops Departments'!$C270,'IS Proforma'!$A:$A,'Ops Departments'!$A270)</f>
        <v>45000</v>
      </c>
      <c r="AC270" s="116">
        <f>SUMIFS('IS Proforma'!AO:AO,'IS Proforma'!$C:$C,'Ops Departments'!$C270,'IS Proforma'!$A:$A,'Ops Departments'!$A270)</f>
        <v>45000</v>
      </c>
      <c r="AD270" s="116">
        <f>SUMIFS('IS Proforma'!AP:AP,'IS Proforma'!$C:$C,'Ops Departments'!$C270,'IS Proforma'!$A:$A,'Ops Departments'!$A270)</f>
        <v>45000</v>
      </c>
      <c r="AE270" s="116">
        <f>SUMIFS('IS Proforma'!AQ:AQ,'IS Proforma'!$C:$C,'Ops Departments'!$C270,'IS Proforma'!$A:$A,'Ops Departments'!$A270)</f>
        <v>45000</v>
      </c>
      <c r="AF270" s="116">
        <f>SUMIFS('IS Proforma'!AR:AR,'IS Proforma'!$C:$C,'Ops Departments'!$C270,'IS Proforma'!$A:$A,'Ops Departments'!$A270)</f>
        <v>45000</v>
      </c>
      <c r="AG270" s="116">
        <f>SUMIFS('IS Proforma'!AS:AS,'IS Proforma'!$C:$C,'Ops Departments'!$C270,'IS Proforma'!$A:$A,'Ops Departments'!$A270)</f>
        <v>45000</v>
      </c>
      <c r="AH270" s="116">
        <f>SUMIFS('IS Proforma'!AT:AT,'IS Proforma'!$C:$C,'Ops Departments'!$C270,'IS Proforma'!$A:$A,'Ops Departments'!$A270)</f>
        <v>60000</v>
      </c>
      <c r="AI270" s="116">
        <f>SUMIFS('IS Proforma'!AU:AU,'IS Proforma'!$C:$C,'Ops Departments'!$C270,'IS Proforma'!$A:$A,'Ops Departments'!$A270)</f>
        <v>60000</v>
      </c>
      <c r="AJ270" s="116">
        <f>SUMIFS('IS Proforma'!AV:AV,'IS Proforma'!$C:$C,'Ops Departments'!$C270,'IS Proforma'!$A:$A,'Ops Departments'!$A270)</f>
        <v>60000</v>
      </c>
      <c r="AK270" s="116">
        <f>SUMIFS('IS Proforma'!AW:AW,'IS Proforma'!$C:$C,'Ops Departments'!$C270,'IS Proforma'!$A:$A,'Ops Departments'!$A270)</f>
        <v>60000</v>
      </c>
      <c r="AL270" s="116">
        <f>SUMIFS('IS Proforma'!AX:AX,'IS Proforma'!$C:$C,'Ops Departments'!$C270,'IS Proforma'!$A:$A,'Ops Departments'!$A270)</f>
        <v>60000</v>
      </c>
      <c r="AM270" s="116">
        <f>SUMIFS('IS Proforma'!AY:AY,'IS Proforma'!$C:$C,'Ops Departments'!$C270,'IS Proforma'!$A:$A,'Ops Departments'!$A270)</f>
        <v>60000</v>
      </c>
      <c r="AN270" s="116">
        <f>SUMIFS('IS Proforma'!AZ:AZ,'IS Proforma'!$C:$C,'Ops Departments'!$C270,'IS Proforma'!$A:$A,'Ops Departments'!$A270)</f>
        <v>80000</v>
      </c>
      <c r="AO270" s="116">
        <f>SUMIFS('IS Proforma'!BA:BA,'IS Proforma'!$C:$C,'Ops Departments'!$C270,'IS Proforma'!$A:$A,'Ops Departments'!$A270)</f>
        <v>80000</v>
      </c>
      <c r="AP270" s="116">
        <f>SUMIFS('IS Proforma'!BB:BB,'IS Proforma'!$C:$C,'Ops Departments'!$C270,'IS Proforma'!$A:$A,'Ops Departments'!$A270)</f>
        <v>80000</v>
      </c>
      <c r="AQ270" s="116">
        <f>SUMIFS('IS Proforma'!BC:BC,'IS Proforma'!$C:$C,'Ops Departments'!$C270,'IS Proforma'!$A:$A,'Ops Departments'!$A270)</f>
        <v>80000</v>
      </c>
      <c r="AR270" s="116">
        <f>SUMIFS('IS Proforma'!BD:BD,'IS Proforma'!$C:$C,'Ops Departments'!$C270,'IS Proforma'!$A:$A,'Ops Departments'!$A270)</f>
        <v>80000</v>
      </c>
      <c r="AS270" s="116">
        <f>SUMIFS('IS Proforma'!BE:BE,'IS Proforma'!$C:$C,'Ops Departments'!$C270,'IS Proforma'!$A:$A,'Ops Departments'!$A270)</f>
        <v>80000</v>
      </c>
      <c r="AT270" s="116">
        <f>SUMIFS('IS Proforma'!BF:BF,'IS Proforma'!$C:$C,'Ops Departments'!$C270,'IS Proforma'!$A:$A,'Ops Departments'!$A270)</f>
        <v>100000</v>
      </c>
      <c r="AU270" s="116">
        <f>SUMIFS('IS Proforma'!BG:BG,'IS Proforma'!$C:$C,'Ops Departments'!$C270,'IS Proforma'!$A:$A,'Ops Departments'!$A270)</f>
        <v>100000</v>
      </c>
      <c r="AV270" s="116">
        <f>SUMIFS('IS Proforma'!BH:BH,'IS Proforma'!$C:$C,'Ops Departments'!$C270,'IS Proforma'!$A:$A,'Ops Departments'!$A270)</f>
        <v>100000</v>
      </c>
      <c r="AW270" s="116">
        <f>SUMIFS('IS Proforma'!BI:BI,'IS Proforma'!$C:$C,'Ops Departments'!$C270,'IS Proforma'!$A:$A,'Ops Departments'!$A270)</f>
        <v>100000</v>
      </c>
      <c r="AX270" s="116">
        <f>SUMIFS('IS Proforma'!BJ:BJ,'IS Proforma'!$C:$C,'Ops Departments'!$C270,'IS Proforma'!$A:$A,'Ops Departments'!$A270)</f>
        <v>100000</v>
      </c>
      <c r="AY270" s="116">
        <f>SUMIFS('IS Proforma'!BK:BK,'IS Proforma'!$C:$C,'Ops Departments'!$C270,'IS Proforma'!$A:$A,'Ops Departments'!$A270)</f>
        <v>100000</v>
      </c>
      <c r="AZ270" s="116">
        <f>SUMIFS('IS Proforma'!BL:BL,'IS Proforma'!$C:$C,'Ops Departments'!$C270,'IS Proforma'!$A:$A,'Ops Departments'!$A270)</f>
        <v>100000</v>
      </c>
      <c r="BA270" s="116">
        <f>SUMIFS('IS Proforma'!BM:BM,'IS Proforma'!$C:$C,'Ops Departments'!$C270,'IS Proforma'!$A:$A,'Ops Departments'!$A270)</f>
        <v>100000</v>
      </c>
      <c r="BB270" s="116">
        <f>SUMIFS('IS Proforma'!BN:BN,'IS Proforma'!$C:$C,'Ops Departments'!$C270,'IS Proforma'!$A:$A,'Ops Departments'!$A270)</f>
        <v>100000</v>
      </c>
      <c r="BC270" s="116">
        <f>SUMIFS('IS Proforma'!BO:BO,'IS Proforma'!$C:$C,'Ops Departments'!$C270,'IS Proforma'!$A:$A,'Ops Departments'!$A270)</f>
        <v>100000</v>
      </c>
      <c r="BD270" s="116">
        <f>SUMIFS('IS Proforma'!BP:BP,'IS Proforma'!$C:$C,'Ops Departments'!$C270,'IS Proforma'!$A:$A,'Ops Departments'!$A270)</f>
        <v>100000</v>
      </c>
      <c r="BE270" s="116">
        <f>SUMIFS('IS Proforma'!BQ:BQ,'IS Proforma'!$C:$C,'Ops Departments'!$C270,'IS Proforma'!$A:$A,'Ops Departments'!$A270)</f>
        <v>100000</v>
      </c>
      <c r="BF270" s="116">
        <f>SUMIFS('IS Proforma'!BR:BR,'IS Proforma'!$C:$C,'Ops Departments'!$C270,'IS Proforma'!$A:$A,'Ops Departments'!$A270)</f>
        <v>100000</v>
      </c>
      <c r="BG270" s="116">
        <f>SUMIFS('IS Proforma'!BS:BS,'IS Proforma'!$C:$C,'Ops Departments'!$C270,'IS Proforma'!$A:$A,'Ops Departments'!$A270)</f>
        <v>100000</v>
      </c>
      <c r="BH270" s="116">
        <f>SUMIFS('IS Proforma'!BT:BT,'IS Proforma'!$C:$C,'Ops Departments'!$C270,'IS Proforma'!$A:$A,'Ops Departments'!$A270)</f>
        <v>100000</v>
      </c>
      <c r="BI270" s="116">
        <f>SUMIFS('IS Proforma'!BU:BU,'IS Proforma'!$C:$C,'Ops Departments'!$C270,'IS Proforma'!$A:$A,'Ops Departments'!$A270)</f>
        <v>100000</v>
      </c>
      <c r="BJ270" s="116">
        <f>SUMIFS('IS Proforma'!BV:BV,'IS Proforma'!$C:$C,'Ops Departments'!$C270,'IS Proforma'!$A:$A,'Ops Departments'!$A270)</f>
        <v>100000</v>
      </c>
      <c r="BK270" s="116">
        <f>SUMIFS('IS Proforma'!BW:BW,'IS Proforma'!$C:$C,'Ops Departments'!$C270,'IS Proforma'!$A:$A,'Ops Departments'!$A270)</f>
        <v>100000</v>
      </c>
      <c r="BL270" s="116">
        <f>SUMIFS('IS Proforma'!BX:BX,'IS Proforma'!$C:$C,'Ops Departments'!$C270,'IS Proforma'!$A:$A,'Ops Departments'!$A270)</f>
        <v>100000</v>
      </c>
      <c r="BM270" s="116">
        <f>SUMIFS('IS Proforma'!BY:BY,'IS Proforma'!$C:$C,'Ops Departments'!$C270,'IS Proforma'!$A:$A,'Ops Departments'!$A270)</f>
        <v>100000</v>
      </c>
      <c r="BN270" s="116">
        <f>SUMIFS('IS Proforma'!BZ:BZ,'IS Proforma'!$C:$C,'Ops Departments'!$C270,'IS Proforma'!$A:$A,'Ops Departments'!$A270)</f>
        <v>100000</v>
      </c>
      <c r="BO270" s="116">
        <f>SUMIFS('IS Proforma'!CA:CA,'IS Proforma'!$C:$C,'Ops Departments'!$C270,'IS Proforma'!$A:$A,'Ops Departments'!$A270)</f>
        <v>100000</v>
      </c>
      <c r="BP270" s="116">
        <f>SUMIFS('IS Proforma'!CB:CB,'IS Proforma'!$C:$C,'Ops Departments'!$C270,'IS Proforma'!$A:$A,'Ops Departments'!$A270)</f>
        <v>100000</v>
      </c>
      <c r="BQ270" s="116">
        <f>SUMIFS('IS Proforma'!CC:CC,'IS Proforma'!$C:$C,'Ops Departments'!$C270,'IS Proforma'!$A:$A,'Ops Departments'!$A270)</f>
        <v>100000</v>
      </c>
      <c r="BR270" s="116">
        <f>SUMIFS('IS Proforma'!CD:CD,'IS Proforma'!$C:$C,'Ops Departments'!$C270,'IS Proforma'!$A:$A,'Ops Departments'!$A270)</f>
        <v>100000</v>
      </c>
      <c r="BS270" s="116">
        <f>SUMIFS('IS Proforma'!CE:CE,'IS Proforma'!$C:$C,'Ops Departments'!$C270,'IS Proforma'!$A:$A,'Ops Departments'!$A270)</f>
        <v>100000</v>
      </c>
      <c r="BT270" s="116">
        <f>SUMIFS('IS Proforma'!CF:CF,'IS Proforma'!$C:$C,'Ops Departments'!$C270,'IS Proforma'!$A:$A,'Ops Departments'!$A270)</f>
        <v>100000</v>
      </c>
      <c r="BU270" s="116">
        <f>SUMIFS('IS Proforma'!CG:CG,'IS Proforma'!$C:$C,'Ops Departments'!$C270,'IS Proforma'!$A:$A,'Ops Departments'!$A270)</f>
        <v>100000</v>
      </c>
      <c r="BV270" s="116">
        <f>SUMIFS('IS Proforma'!CH:CH,'IS Proforma'!$C:$C,'Ops Departments'!$C270,'IS Proforma'!$A:$A,'Ops Departments'!$A270)</f>
        <v>100000</v>
      </c>
      <c r="BW270" s="116">
        <f>SUMIFS('IS Proforma'!CI:CI,'IS Proforma'!$C:$C,'Ops Departments'!$C270,'IS Proforma'!$A:$A,'Ops Departments'!$A270)</f>
        <v>100000</v>
      </c>
      <c r="BX270" s="116">
        <f>SUMIFS('IS Proforma'!CJ:CJ,'IS Proforma'!$C:$C,'Ops Departments'!$C270,'IS Proforma'!$A:$A,'Ops Departments'!$A270)</f>
        <v>100000</v>
      </c>
      <c r="BY270" s="116">
        <f>SUMIFS('IS Proforma'!CK:CK,'IS Proforma'!$C:$C,'Ops Departments'!$C270,'IS Proforma'!$A:$A,'Ops Departments'!$A270)</f>
        <v>100000</v>
      </c>
      <c r="BZ270" s="116">
        <f>SUMIFS('IS Proforma'!CL:CL,'IS Proforma'!$C:$C,'Ops Departments'!$C270,'IS Proforma'!$A:$A,'Ops Departments'!$A270)</f>
        <v>100000</v>
      </c>
      <c r="CA270" s="116">
        <f>SUMIFS('IS Proforma'!CM:CM,'IS Proforma'!$C:$C,'Ops Departments'!$C270,'IS Proforma'!$A:$A,'Ops Departments'!$A270)</f>
        <v>100000</v>
      </c>
      <c r="CB270" s="116">
        <f>SUMIFS('IS Proforma'!CN:CN,'IS Proforma'!$C:$C,'Ops Departments'!$C270,'IS Proforma'!$A:$A,'Ops Departments'!$A270)</f>
        <v>100000</v>
      </c>
      <c r="CC270" s="116">
        <f>SUMIFS('IS Proforma'!CO:CO,'IS Proforma'!$C:$C,'Ops Departments'!$C270,'IS Proforma'!$A:$A,'Ops Departments'!$A270)</f>
        <v>100000</v>
      </c>
      <c r="CD270" s="116">
        <f>SUMIFS('IS Proforma'!CP:CP,'IS Proforma'!$C:$C,'Ops Departments'!$C270,'IS Proforma'!$A:$A,'Ops Departments'!$A270)</f>
        <v>100000</v>
      </c>
      <c r="CE270" s="116">
        <f>SUMIFS('IS Proforma'!CQ:CQ,'IS Proforma'!$C:$C,'Ops Departments'!$C270,'IS Proforma'!$A:$A,'Ops Departments'!$A270)</f>
        <v>100000</v>
      </c>
      <c r="CF270" s="116">
        <f>SUMIFS('IS Proforma'!CR:CR,'IS Proforma'!$C:$C,'Ops Departments'!$C270,'IS Proforma'!$A:$A,'Ops Departments'!$A270)</f>
        <v>100000</v>
      </c>
      <c r="CG270" s="116">
        <f>SUMIFS('IS Proforma'!CS:CS,'IS Proforma'!$C:$C,'Ops Departments'!$C270,'IS Proforma'!$A:$A,'Ops Departments'!$A270)</f>
        <v>100000</v>
      </c>
      <c r="CH270" s="116">
        <f>SUMIFS('IS Proforma'!CT:CT,'IS Proforma'!$C:$C,'Ops Departments'!$C270,'IS Proforma'!$A:$A,'Ops Departments'!$A270)</f>
        <v>100000</v>
      </c>
      <c r="CI270" s="116">
        <f>SUMIFS('IS Proforma'!CU:CU,'IS Proforma'!$C:$C,'Ops Departments'!$C270,'IS Proforma'!$A:$A,'Ops Departments'!$A270)</f>
        <v>100000</v>
      </c>
      <c r="CL270" s="117">
        <f t="shared" si="286"/>
        <v>6041</v>
      </c>
      <c r="CM270" s="117">
        <f t="shared" si="287"/>
        <v>6863</v>
      </c>
      <c r="CN270" s="117">
        <f t="shared" si="288"/>
        <v>7593</v>
      </c>
      <c r="CO270" s="117">
        <f t="shared" si="289"/>
        <v>7590</v>
      </c>
      <c r="CP270" s="117">
        <f t="shared" si="290"/>
        <v>4834</v>
      </c>
      <c r="CQ270" s="117">
        <f t="shared" si="291"/>
        <v>45420</v>
      </c>
    </row>
    <row r="271" ht="15.75" customHeight="1">
      <c r="A271" s="91" t="s">
        <v>118</v>
      </c>
      <c r="C271" s="132" t="s">
        <v>208</v>
      </c>
      <c r="D271" s="514">
        <f t="shared" ref="D271:CI271" si="292">(D269)+(D270)</f>
        <v>3228</v>
      </c>
      <c r="E271" s="514">
        <f t="shared" si="292"/>
        <v>3329</v>
      </c>
      <c r="F271" s="514">
        <f t="shared" si="292"/>
        <v>3635</v>
      </c>
      <c r="G271" s="514">
        <f t="shared" si="292"/>
        <v>2777</v>
      </c>
      <c r="H271" s="514">
        <f t="shared" si="292"/>
        <v>3702</v>
      </c>
      <c r="I271" s="514">
        <f t="shared" si="292"/>
        <v>3401</v>
      </c>
      <c r="J271" s="514">
        <f t="shared" si="292"/>
        <v>3896</v>
      </c>
      <c r="K271" s="514">
        <f t="shared" si="292"/>
        <v>3649</v>
      </c>
      <c r="L271" s="514">
        <f t="shared" si="292"/>
        <v>3079</v>
      </c>
      <c r="M271" s="514">
        <f t="shared" si="292"/>
        <v>3304</v>
      </c>
      <c r="N271" s="514">
        <f t="shared" si="292"/>
        <v>4303</v>
      </c>
      <c r="O271" s="514">
        <f t="shared" si="292"/>
        <v>4844</v>
      </c>
      <c r="P271" s="514">
        <f t="shared" si="292"/>
        <v>3688</v>
      </c>
      <c r="Q271" s="514">
        <f t="shared" si="292"/>
        <v>3905</v>
      </c>
      <c r="R271" s="514">
        <f t="shared" si="292"/>
        <v>4215</v>
      </c>
      <c r="S271" s="514">
        <f t="shared" si="292"/>
        <v>3600</v>
      </c>
      <c r="T271" s="514">
        <f t="shared" si="292"/>
        <v>2194</v>
      </c>
      <c r="U271" s="514">
        <f t="shared" si="292"/>
        <v>3426</v>
      </c>
      <c r="V271" s="514">
        <f t="shared" si="292"/>
        <v>2460</v>
      </c>
      <c r="W271" s="514">
        <f t="shared" si="292"/>
        <v>3229</v>
      </c>
      <c r="X271" s="514">
        <f t="shared" si="292"/>
        <v>4151</v>
      </c>
      <c r="Y271" s="514">
        <f t="shared" si="292"/>
        <v>3529</v>
      </c>
      <c r="Z271" s="514">
        <f t="shared" si="292"/>
        <v>3693</v>
      </c>
      <c r="AA271" s="514">
        <f t="shared" si="292"/>
        <v>131547</v>
      </c>
      <c r="AB271" s="514">
        <f t="shared" si="292"/>
        <v>140666.615</v>
      </c>
      <c r="AC271" s="514">
        <f t="shared" si="292"/>
        <v>151066.615</v>
      </c>
      <c r="AD271" s="514">
        <f t="shared" si="292"/>
        <v>161466.615</v>
      </c>
      <c r="AE271" s="514">
        <f t="shared" si="292"/>
        <v>166666.615</v>
      </c>
      <c r="AF271" s="514">
        <f t="shared" si="292"/>
        <v>172141.6127</v>
      </c>
      <c r="AG271" s="514">
        <f t="shared" si="292"/>
        <v>172141.6127</v>
      </c>
      <c r="AH271" s="514">
        <f t="shared" si="292"/>
        <v>192341.6127</v>
      </c>
      <c r="AI271" s="514">
        <f t="shared" si="292"/>
        <v>197541.6127</v>
      </c>
      <c r="AJ271" s="514">
        <f t="shared" si="292"/>
        <v>208930.9852</v>
      </c>
      <c r="AK271" s="514">
        <f t="shared" si="292"/>
        <v>221064.6652</v>
      </c>
      <c r="AL271" s="514">
        <f t="shared" si="292"/>
        <v>226264.6652</v>
      </c>
      <c r="AM271" s="514">
        <f t="shared" si="292"/>
        <v>242280.6652</v>
      </c>
      <c r="AN271" s="514">
        <f t="shared" si="292"/>
        <v>280820.5319</v>
      </c>
      <c r="AO271" s="514">
        <f t="shared" si="292"/>
        <v>303317.8119</v>
      </c>
      <c r="AP271" s="514">
        <f t="shared" si="292"/>
        <v>314566.4519</v>
      </c>
      <c r="AQ271" s="514">
        <f t="shared" si="292"/>
        <v>314566.4519</v>
      </c>
      <c r="AR271" s="514">
        <f t="shared" si="292"/>
        <v>335197.7499</v>
      </c>
      <c r="AS271" s="514">
        <f t="shared" si="292"/>
        <v>340605.7499</v>
      </c>
      <c r="AT271" s="514">
        <f t="shared" si="292"/>
        <v>372304.3355</v>
      </c>
      <c r="AU271" s="514">
        <f t="shared" si="292"/>
        <v>389852.2139</v>
      </c>
      <c r="AV271" s="514">
        <f t="shared" si="292"/>
        <v>413144.8881</v>
      </c>
      <c r="AW271" s="514">
        <f t="shared" si="292"/>
        <v>424843.4737</v>
      </c>
      <c r="AX271" s="514">
        <f t="shared" si="292"/>
        <v>442391.3521</v>
      </c>
      <c r="AY271" s="514">
        <f t="shared" si="292"/>
        <v>442391.3521</v>
      </c>
      <c r="AZ271" s="514">
        <f t="shared" si="292"/>
        <v>461936.299</v>
      </c>
      <c r="BA271" s="514">
        <f t="shared" si="292"/>
        <v>498435.886</v>
      </c>
      <c r="BB271" s="514">
        <f t="shared" si="292"/>
        <v>516685.6796</v>
      </c>
      <c r="BC271" s="514">
        <f t="shared" si="292"/>
        <v>554901.4492</v>
      </c>
      <c r="BD271" s="514">
        <f t="shared" si="292"/>
        <v>573097.5071</v>
      </c>
      <c r="BE271" s="514">
        <f t="shared" si="292"/>
        <v>585264.0361</v>
      </c>
      <c r="BF271" s="514">
        <f t="shared" si="292"/>
        <v>604243.8214</v>
      </c>
      <c r="BG271" s="514">
        <f t="shared" si="292"/>
        <v>610327.0859</v>
      </c>
      <c r="BH271" s="514">
        <f t="shared" si="292"/>
        <v>643393.3596</v>
      </c>
      <c r="BI271" s="514">
        <f t="shared" si="292"/>
        <v>662373.1448</v>
      </c>
      <c r="BJ271" s="514">
        <f t="shared" si="292"/>
        <v>662373.1448</v>
      </c>
      <c r="BK271" s="514">
        <f t="shared" si="292"/>
        <v>693762.7897</v>
      </c>
      <c r="BL271" s="514">
        <f t="shared" si="292"/>
        <v>743578.8731</v>
      </c>
      <c r="BM271" s="514">
        <f t="shared" si="292"/>
        <v>940968.64</v>
      </c>
      <c r="BN271" s="514">
        <f t="shared" si="292"/>
        <v>1026504.206</v>
      </c>
      <c r="BO271" s="514">
        <f t="shared" si="292"/>
        <v>1041519.746</v>
      </c>
      <c r="BP271" s="514">
        <f t="shared" si="292"/>
        <v>1092339.854</v>
      </c>
      <c r="BQ271" s="514">
        <f t="shared" si="292"/>
        <v>1098919.513</v>
      </c>
      <c r="BR271" s="514">
        <f t="shared" si="292"/>
        <v>1126290.894</v>
      </c>
      <c r="BS271" s="514">
        <f t="shared" si="292"/>
        <v>1146819.43</v>
      </c>
      <c r="BT271" s="514">
        <f t="shared" si="292"/>
        <v>1202377.897</v>
      </c>
      <c r="BU271" s="514">
        <f t="shared" si="292"/>
        <v>1209220.743</v>
      </c>
      <c r="BV271" s="514">
        <f t="shared" si="292"/>
        <v>1250277.814</v>
      </c>
      <c r="BW271" s="514">
        <f t="shared" si="292"/>
        <v>1250277.814</v>
      </c>
      <c r="BX271" s="514">
        <f t="shared" si="292"/>
        <v>1310522.045</v>
      </c>
      <c r="BY271" s="514">
        <f t="shared" si="292"/>
        <v>1346104.84</v>
      </c>
      <c r="BZ271" s="514">
        <f t="shared" si="292"/>
        <v>1360337.958</v>
      </c>
      <c r="CA271" s="514">
        <f t="shared" si="292"/>
        <v>1381687.635</v>
      </c>
      <c r="CB271" s="514">
        <f t="shared" si="292"/>
        <v>1432955.141</v>
      </c>
      <c r="CC271" s="514">
        <f t="shared" si="292"/>
        <v>1461421.377</v>
      </c>
      <c r="CD271" s="514">
        <f t="shared" si="292"/>
        <v>1475654.495</v>
      </c>
      <c r="CE271" s="514">
        <f t="shared" si="292"/>
        <v>1475654.495</v>
      </c>
      <c r="CF271" s="514">
        <f t="shared" si="292"/>
        <v>1544913.793</v>
      </c>
      <c r="CG271" s="514">
        <f t="shared" si="292"/>
        <v>1544913.793</v>
      </c>
      <c r="CH271" s="514">
        <f t="shared" si="292"/>
        <v>1573380.029</v>
      </c>
      <c r="CI271" s="514">
        <f t="shared" si="292"/>
        <v>1594729.707</v>
      </c>
      <c r="CL271" s="514">
        <f t="shared" si="286"/>
        <v>12969</v>
      </c>
      <c r="CM271" s="514">
        <f t="shared" si="287"/>
        <v>14648</v>
      </c>
      <c r="CN271" s="514">
        <f t="shared" si="288"/>
        <v>15530</v>
      </c>
      <c r="CO271" s="514">
        <f t="shared" si="289"/>
        <v>15408</v>
      </c>
      <c r="CP271" s="514">
        <f t="shared" si="290"/>
        <v>11309</v>
      </c>
      <c r="CQ271" s="514">
        <f t="shared" si="291"/>
        <v>142920</v>
      </c>
    </row>
    <row r="272" ht="15.75" customHeight="1">
      <c r="A272" s="91" t="s">
        <v>118</v>
      </c>
      <c r="C272" s="132" t="s">
        <v>209</v>
      </c>
      <c r="D272" s="116">
        <f>SUMIFS('IS Proforma'!P:P,'IS Proforma'!$C:$C,'Ops Departments'!$C272,'IS Proforma'!$A:$A,'Ops Departments'!$A272)</f>
        <v>1292</v>
      </c>
      <c r="E272" s="116">
        <f>SUMIFS('IS Proforma'!Q:Q,'IS Proforma'!$C:$C,'Ops Departments'!$C272,'IS Proforma'!$A:$A,'Ops Departments'!$A272)</f>
        <v>1523</v>
      </c>
      <c r="F272" s="116">
        <f>SUMIFS('IS Proforma'!R:R,'IS Proforma'!$C:$C,'Ops Departments'!$C272,'IS Proforma'!$A:$A,'Ops Departments'!$A272)</f>
        <v>1730</v>
      </c>
      <c r="G272" s="116">
        <f>SUMIFS('IS Proforma'!S:S,'IS Proforma'!$C:$C,'Ops Departments'!$C272,'IS Proforma'!$A:$A,'Ops Departments'!$A272)</f>
        <v>2337</v>
      </c>
      <c r="H272" s="116">
        <f>SUMIFS('IS Proforma'!T:T,'IS Proforma'!$C:$C,'Ops Departments'!$C272,'IS Proforma'!$A:$A,'Ops Departments'!$A272)</f>
        <v>1097</v>
      </c>
      <c r="I272" s="116">
        <f>SUMIFS('IS Proforma'!U:U,'IS Proforma'!$C:$C,'Ops Departments'!$C272,'IS Proforma'!$A:$A,'Ops Departments'!$A272)</f>
        <v>1485</v>
      </c>
      <c r="J272" s="116">
        <f>SUMIFS('IS Proforma'!V:V,'IS Proforma'!$C:$C,'Ops Departments'!$C272,'IS Proforma'!$A:$A,'Ops Departments'!$A272)</f>
        <v>2194</v>
      </c>
      <c r="K272" s="116">
        <f>SUMIFS('IS Proforma'!W:W,'IS Proforma'!$C:$C,'Ops Departments'!$C272,'IS Proforma'!$A:$A,'Ops Departments'!$A272)</f>
        <v>2036</v>
      </c>
      <c r="L272" s="116">
        <f>SUMIFS('IS Proforma'!X:X,'IS Proforma'!$C:$C,'Ops Departments'!$C272,'IS Proforma'!$A:$A,'Ops Departments'!$A272)</f>
        <v>2368</v>
      </c>
      <c r="M272" s="116">
        <f>SUMIFS('IS Proforma'!Y:Y,'IS Proforma'!$C:$C,'Ops Departments'!$C272,'IS Proforma'!$A:$A,'Ops Departments'!$A272)</f>
        <v>1573</v>
      </c>
      <c r="N272" s="116">
        <f>SUMIFS('IS Proforma'!Z:Z,'IS Proforma'!$C:$C,'Ops Departments'!$C272,'IS Proforma'!$A:$A,'Ops Departments'!$A272)</f>
        <v>2007</v>
      </c>
      <c r="O272" s="116">
        <f>SUMIFS('IS Proforma'!AA:AA,'IS Proforma'!$C:$C,'Ops Departments'!$C272,'IS Proforma'!$A:$A,'Ops Departments'!$A272)</f>
        <v>2149</v>
      </c>
      <c r="P272" s="116">
        <f>SUMIFS('IS Proforma'!AB:AB,'IS Proforma'!$C:$C,'Ops Departments'!$C272,'IS Proforma'!$A:$A,'Ops Departments'!$A272)</f>
        <v>1138</v>
      </c>
      <c r="Q272" s="116">
        <f>SUMIFS('IS Proforma'!AC:AC,'IS Proforma'!$C:$C,'Ops Departments'!$C272,'IS Proforma'!$A:$A,'Ops Departments'!$A272)</f>
        <v>1200</v>
      </c>
      <c r="R272" s="116">
        <f>SUMIFS('IS Proforma'!AD:AD,'IS Proforma'!$C:$C,'Ops Departments'!$C272,'IS Proforma'!$A:$A,'Ops Departments'!$A272)</f>
        <v>1358</v>
      </c>
      <c r="S272" s="116">
        <f>SUMIFS('IS Proforma'!AE:AE,'IS Proforma'!$C:$C,'Ops Departments'!$C272,'IS Proforma'!$A:$A,'Ops Departments'!$A272)</f>
        <v>1705</v>
      </c>
      <c r="T272" s="116">
        <f>SUMIFS('IS Proforma'!AF:AF,'IS Proforma'!$C:$C,'Ops Departments'!$C272,'IS Proforma'!$A:$A,'Ops Departments'!$A272)</f>
        <v>1884</v>
      </c>
      <c r="U272" s="116">
        <f>SUMIFS('IS Proforma'!AG:AG,'IS Proforma'!$C:$C,'Ops Departments'!$C272,'IS Proforma'!$A:$A,'Ops Departments'!$A272)</f>
        <v>1796</v>
      </c>
      <c r="V272" s="116">
        <f>SUMIFS('IS Proforma'!AH:AH,'IS Proforma'!$C:$C,'Ops Departments'!$C272,'IS Proforma'!$A:$A,'Ops Departments'!$A272)</f>
        <v>2436</v>
      </c>
      <c r="W272" s="116">
        <f>SUMIFS('IS Proforma'!AI:AI,'IS Proforma'!$C:$C,'Ops Departments'!$C272,'IS Proforma'!$A:$A,'Ops Departments'!$A272)</f>
        <v>2113</v>
      </c>
      <c r="X272" s="116">
        <f>SUMIFS('IS Proforma'!AJ:AJ,'IS Proforma'!$C:$C,'Ops Departments'!$C272,'IS Proforma'!$A:$A,'Ops Departments'!$A272)</f>
        <v>1731</v>
      </c>
      <c r="Y272" s="116">
        <f>SUMIFS('IS Proforma'!AK:AK,'IS Proforma'!$C:$C,'Ops Departments'!$C272,'IS Proforma'!$A:$A,'Ops Departments'!$A272)</f>
        <v>1619</v>
      </c>
      <c r="Z272" s="116">
        <f>SUMIFS('IS Proforma'!AL:AL,'IS Proforma'!$C:$C,'Ops Departments'!$C272,'IS Proforma'!$A:$A,'Ops Departments'!$A272)</f>
        <v>1326</v>
      </c>
      <c r="AA272" s="116">
        <f>SUMIFS('IS Proforma'!AM:AM,'IS Proforma'!$C:$C,'Ops Departments'!$C272,'IS Proforma'!$A:$A,'Ops Departments'!$A272)</f>
        <v>9154.7</v>
      </c>
      <c r="AB272" s="116">
        <f>SUMIFS('IS Proforma'!AN:AN,'IS Proforma'!$C:$C,'Ops Departments'!$C272,'IS Proforma'!$A:$A,'Ops Departments'!$A272)</f>
        <v>9566.6615</v>
      </c>
      <c r="AC272" s="116">
        <f>SUMIFS('IS Proforma'!AO:AO,'IS Proforma'!$C:$C,'Ops Departments'!$C272,'IS Proforma'!$A:$A,'Ops Departments'!$A272)</f>
        <v>10606.6615</v>
      </c>
      <c r="AD272" s="116">
        <f>SUMIFS('IS Proforma'!AP:AP,'IS Proforma'!$C:$C,'Ops Departments'!$C272,'IS Proforma'!$A:$A,'Ops Departments'!$A272)</f>
        <v>11646.6615</v>
      </c>
      <c r="AE272" s="116">
        <f>SUMIFS('IS Proforma'!AQ:AQ,'IS Proforma'!$C:$C,'Ops Departments'!$C272,'IS Proforma'!$A:$A,'Ops Departments'!$A272)</f>
        <v>12166.6615</v>
      </c>
      <c r="AF272" s="116">
        <f>SUMIFS('IS Proforma'!AR:AR,'IS Proforma'!$C:$C,'Ops Departments'!$C272,'IS Proforma'!$A:$A,'Ops Departments'!$A272)</f>
        <v>12714.16127</v>
      </c>
      <c r="AG272" s="116">
        <f>SUMIFS('IS Proforma'!AS:AS,'IS Proforma'!$C:$C,'Ops Departments'!$C272,'IS Proforma'!$A:$A,'Ops Departments'!$A272)</f>
        <v>12714.16127</v>
      </c>
      <c r="AH272" s="116">
        <f>SUMIFS('IS Proforma'!AT:AT,'IS Proforma'!$C:$C,'Ops Departments'!$C272,'IS Proforma'!$A:$A,'Ops Departments'!$A272)</f>
        <v>13234.16127</v>
      </c>
      <c r="AI272" s="116">
        <f>SUMIFS('IS Proforma'!AU:AU,'IS Proforma'!$C:$C,'Ops Departments'!$C272,'IS Proforma'!$A:$A,'Ops Departments'!$A272)</f>
        <v>13754.16127</v>
      </c>
      <c r="AJ272" s="116">
        <f>SUMIFS('IS Proforma'!AV:AV,'IS Proforma'!$C:$C,'Ops Departments'!$C272,'IS Proforma'!$A:$A,'Ops Departments'!$A272)</f>
        <v>14893.09852</v>
      </c>
      <c r="AK272" s="116">
        <f>SUMIFS('IS Proforma'!AW:AW,'IS Proforma'!$C:$C,'Ops Departments'!$C272,'IS Proforma'!$A:$A,'Ops Departments'!$A272)</f>
        <v>16106.46652</v>
      </c>
      <c r="AL272" s="116">
        <f>SUMIFS('IS Proforma'!AX:AX,'IS Proforma'!$C:$C,'Ops Departments'!$C272,'IS Proforma'!$A:$A,'Ops Departments'!$A272)</f>
        <v>16626.46652</v>
      </c>
      <c r="AM272" s="116">
        <f>SUMIFS('IS Proforma'!AY:AY,'IS Proforma'!$C:$C,'Ops Departments'!$C272,'IS Proforma'!$A:$A,'Ops Departments'!$A272)</f>
        <v>18228.06652</v>
      </c>
      <c r="AN272" s="116">
        <f>SUMIFS('IS Proforma'!AZ:AZ,'IS Proforma'!$C:$C,'Ops Departments'!$C272,'IS Proforma'!$A:$A,'Ops Departments'!$A272)</f>
        <v>20082.05319</v>
      </c>
      <c r="AO272" s="116">
        <f>SUMIFS('IS Proforma'!BA:BA,'IS Proforma'!$C:$C,'Ops Departments'!$C272,'IS Proforma'!$A:$A,'Ops Departments'!$A272)</f>
        <v>22331.78119</v>
      </c>
      <c r="AP272" s="116">
        <f>SUMIFS('IS Proforma'!BB:BB,'IS Proforma'!$C:$C,'Ops Departments'!$C272,'IS Proforma'!$A:$A,'Ops Departments'!$A272)</f>
        <v>23456.64519</v>
      </c>
      <c r="AQ272" s="116">
        <f>SUMIFS('IS Proforma'!BC:BC,'IS Proforma'!$C:$C,'Ops Departments'!$C272,'IS Proforma'!$A:$A,'Ops Departments'!$A272)</f>
        <v>23456.64519</v>
      </c>
      <c r="AR272" s="116">
        <f>SUMIFS('IS Proforma'!BD:BD,'IS Proforma'!$C:$C,'Ops Departments'!$C272,'IS Proforma'!$A:$A,'Ops Departments'!$A272)</f>
        <v>25519.77499</v>
      </c>
      <c r="AS272" s="116">
        <f>SUMIFS('IS Proforma'!BE:BE,'IS Proforma'!$C:$C,'Ops Departments'!$C272,'IS Proforma'!$A:$A,'Ops Departments'!$A272)</f>
        <v>26060.57499</v>
      </c>
      <c r="AT272" s="116">
        <f>SUMIFS('IS Proforma'!BF:BF,'IS Proforma'!$C:$C,'Ops Departments'!$C272,'IS Proforma'!$A:$A,'Ops Departments'!$A272)</f>
        <v>27230.43355</v>
      </c>
      <c r="AU272" s="116">
        <f>SUMIFS('IS Proforma'!BG:BG,'IS Proforma'!$C:$C,'Ops Departments'!$C272,'IS Proforma'!$A:$A,'Ops Departments'!$A272)</f>
        <v>28985.22139</v>
      </c>
      <c r="AV272" s="116">
        <f>SUMIFS('IS Proforma'!BH:BH,'IS Proforma'!$C:$C,'Ops Departments'!$C272,'IS Proforma'!$A:$A,'Ops Departments'!$A272)</f>
        <v>31314.48881</v>
      </c>
      <c r="AW272" s="116">
        <f>SUMIFS('IS Proforma'!BI:BI,'IS Proforma'!$C:$C,'Ops Departments'!$C272,'IS Proforma'!$A:$A,'Ops Departments'!$A272)</f>
        <v>32484.34737</v>
      </c>
      <c r="AX272" s="116">
        <f>SUMIFS('IS Proforma'!BJ:BJ,'IS Proforma'!$C:$C,'Ops Departments'!$C272,'IS Proforma'!$A:$A,'Ops Departments'!$A272)</f>
        <v>34239.13521</v>
      </c>
      <c r="AY272" s="116">
        <f>SUMIFS('IS Proforma'!BK:BK,'IS Proforma'!$C:$C,'Ops Departments'!$C272,'IS Proforma'!$A:$A,'Ops Departments'!$A272)</f>
        <v>34239.13521</v>
      </c>
      <c r="AZ272" s="116">
        <f>SUMIFS('IS Proforma'!BL:BL,'IS Proforma'!$C:$C,'Ops Departments'!$C272,'IS Proforma'!$A:$A,'Ops Departments'!$A272)</f>
        <v>36193.6299</v>
      </c>
      <c r="BA272" s="116">
        <f>SUMIFS('IS Proforma'!BM:BM,'IS Proforma'!$C:$C,'Ops Departments'!$C272,'IS Proforma'!$A:$A,'Ops Departments'!$A272)</f>
        <v>39843.5886</v>
      </c>
      <c r="BB272" s="116">
        <f>SUMIFS('IS Proforma'!BN:BN,'IS Proforma'!$C:$C,'Ops Departments'!$C272,'IS Proforma'!$A:$A,'Ops Departments'!$A272)</f>
        <v>41668.56796</v>
      </c>
      <c r="BC272" s="116">
        <f>SUMIFS('IS Proforma'!BO:BO,'IS Proforma'!$C:$C,'Ops Departments'!$C272,'IS Proforma'!$A:$A,'Ops Departments'!$A272)</f>
        <v>45490.14492</v>
      </c>
      <c r="BD272" s="116">
        <f>SUMIFS('IS Proforma'!BP:BP,'IS Proforma'!$C:$C,'Ops Departments'!$C272,'IS Proforma'!$A:$A,'Ops Departments'!$A272)</f>
        <v>47309.75071</v>
      </c>
      <c r="BE272" s="116">
        <f>SUMIFS('IS Proforma'!BQ:BQ,'IS Proforma'!$C:$C,'Ops Departments'!$C272,'IS Proforma'!$A:$A,'Ops Departments'!$A272)</f>
        <v>48526.40361</v>
      </c>
      <c r="BF272" s="116">
        <f>SUMIFS('IS Proforma'!BR:BR,'IS Proforma'!$C:$C,'Ops Departments'!$C272,'IS Proforma'!$A:$A,'Ops Departments'!$A272)</f>
        <v>50424.38214</v>
      </c>
      <c r="BG272" s="116">
        <f>SUMIFS('IS Proforma'!BS:BS,'IS Proforma'!$C:$C,'Ops Departments'!$C272,'IS Proforma'!$A:$A,'Ops Departments'!$A272)</f>
        <v>51032.70859</v>
      </c>
      <c r="BH272" s="116">
        <f>SUMIFS('IS Proforma'!BT:BT,'IS Proforma'!$C:$C,'Ops Departments'!$C272,'IS Proforma'!$A:$A,'Ops Departments'!$A272)</f>
        <v>54339.33596</v>
      </c>
      <c r="BI272" s="116">
        <f>SUMIFS('IS Proforma'!BU:BU,'IS Proforma'!$C:$C,'Ops Departments'!$C272,'IS Proforma'!$A:$A,'Ops Departments'!$A272)</f>
        <v>56237.31448</v>
      </c>
      <c r="BJ272" s="116">
        <f>SUMIFS('IS Proforma'!BV:BV,'IS Proforma'!$C:$C,'Ops Departments'!$C272,'IS Proforma'!$A:$A,'Ops Departments'!$A272)</f>
        <v>56237.31448</v>
      </c>
      <c r="BK272" s="116">
        <f>SUMIFS('IS Proforma'!BW:BW,'IS Proforma'!$C:$C,'Ops Departments'!$C272,'IS Proforma'!$A:$A,'Ops Departments'!$A272)</f>
        <v>59376.27897</v>
      </c>
      <c r="BL272" s="116">
        <f>SUMIFS('IS Proforma'!BX:BX,'IS Proforma'!$C:$C,'Ops Departments'!$C272,'IS Proforma'!$A:$A,'Ops Departments'!$A272)</f>
        <v>64357.88731</v>
      </c>
      <c r="BM272" s="116">
        <f>SUMIFS('IS Proforma'!BY:BY,'IS Proforma'!$C:$C,'Ops Departments'!$C272,'IS Proforma'!$A:$A,'Ops Departments'!$A272)</f>
        <v>84096.864</v>
      </c>
      <c r="BN272" s="116">
        <f>SUMIFS('IS Proforma'!BZ:BZ,'IS Proforma'!$C:$C,'Ops Departments'!$C272,'IS Proforma'!$A:$A,'Ops Departments'!$A272)</f>
        <v>92650.42056</v>
      </c>
      <c r="BO272" s="116">
        <f>SUMIFS('IS Proforma'!CA:CA,'IS Proforma'!$C:$C,'Ops Departments'!$C272,'IS Proforma'!$A:$A,'Ops Departments'!$A272)</f>
        <v>94151.97464</v>
      </c>
      <c r="BP272" s="116">
        <f>SUMIFS('IS Proforma'!CB:CB,'IS Proforma'!$C:$C,'Ops Departments'!$C272,'IS Proforma'!$A:$A,'Ops Departments'!$A272)</f>
        <v>99233.98541</v>
      </c>
      <c r="BQ272" s="116">
        <f>SUMIFS('IS Proforma'!CC:CC,'IS Proforma'!$C:$C,'Ops Departments'!$C272,'IS Proforma'!$A:$A,'Ops Departments'!$A272)</f>
        <v>99891.9513</v>
      </c>
      <c r="BR272" s="116">
        <f>SUMIFS('IS Proforma'!CD:CD,'IS Proforma'!$C:$C,'Ops Departments'!$C272,'IS Proforma'!$A:$A,'Ops Departments'!$A272)</f>
        <v>102629.0894</v>
      </c>
      <c r="BS272" s="116">
        <f>SUMIFS('IS Proforma'!CE:CE,'IS Proforma'!$C:$C,'Ops Departments'!$C272,'IS Proforma'!$A:$A,'Ops Departments'!$A272)</f>
        <v>104681.943</v>
      </c>
      <c r="BT272" s="116">
        <f>SUMIFS('IS Proforma'!CF:CF,'IS Proforma'!$C:$C,'Ops Departments'!$C272,'IS Proforma'!$A:$A,'Ops Departments'!$A272)</f>
        <v>110237.7897</v>
      </c>
      <c r="BU272" s="116">
        <f>SUMIFS('IS Proforma'!CG:CG,'IS Proforma'!$C:$C,'Ops Departments'!$C272,'IS Proforma'!$A:$A,'Ops Departments'!$A272)</f>
        <v>110922.0743</v>
      </c>
      <c r="BV272" s="116">
        <f>SUMIFS('IS Proforma'!CH:CH,'IS Proforma'!$C:$C,'Ops Departments'!$C272,'IS Proforma'!$A:$A,'Ops Departments'!$A272)</f>
        <v>115027.7814</v>
      </c>
      <c r="BW272" s="116">
        <f>SUMIFS('IS Proforma'!CI:CI,'IS Proforma'!$C:$C,'Ops Departments'!$C272,'IS Proforma'!$A:$A,'Ops Departments'!$A272)</f>
        <v>115027.7814</v>
      </c>
      <c r="BX272" s="116">
        <f>SUMIFS('IS Proforma'!CJ:CJ,'IS Proforma'!$C:$C,'Ops Departments'!$C272,'IS Proforma'!$A:$A,'Ops Departments'!$A272)</f>
        <v>121052.2045</v>
      </c>
      <c r="BY272" s="116">
        <f>SUMIFS('IS Proforma'!CK:CK,'IS Proforma'!$C:$C,'Ops Departments'!$C272,'IS Proforma'!$A:$A,'Ops Departments'!$A272)</f>
        <v>124610.484</v>
      </c>
      <c r="BZ272" s="116">
        <f>SUMIFS('IS Proforma'!CL:CL,'IS Proforma'!$C:$C,'Ops Departments'!$C272,'IS Proforma'!$A:$A,'Ops Departments'!$A272)</f>
        <v>126033.7958</v>
      </c>
      <c r="CA272" s="116">
        <f>SUMIFS('IS Proforma'!CM:CM,'IS Proforma'!$C:$C,'Ops Departments'!$C272,'IS Proforma'!$A:$A,'Ops Departments'!$A272)</f>
        <v>128168.7635</v>
      </c>
      <c r="CB272" s="116">
        <f>SUMIFS('IS Proforma'!CN:CN,'IS Proforma'!$C:$C,'Ops Departments'!$C272,'IS Proforma'!$A:$A,'Ops Departments'!$A272)</f>
        <v>133295.5141</v>
      </c>
      <c r="CC272" s="116">
        <f>SUMIFS('IS Proforma'!CO:CO,'IS Proforma'!$C:$C,'Ops Departments'!$C272,'IS Proforma'!$A:$A,'Ops Departments'!$A272)</f>
        <v>136142.1377</v>
      </c>
      <c r="CD272" s="116">
        <f>SUMIFS('IS Proforma'!CP:CP,'IS Proforma'!$C:$C,'Ops Departments'!$C272,'IS Proforma'!$A:$A,'Ops Departments'!$A272)</f>
        <v>137565.4495</v>
      </c>
      <c r="CE272" s="116">
        <f>SUMIFS('IS Proforma'!CQ:CQ,'IS Proforma'!$C:$C,'Ops Departments'!$C272,'IS Proforma'!$A:$A,'Ops Departments'!$A272)</f>
        <v>137565.4495</v>
      </c>
      <c r="CF272" s="116">
        <f>SUMIFS('IS Proforma'!CR:CR,'IS Proforma'!$C:$C,'Ops Departments'!$C272,'IS Proforma'!$A:$A,'Ops Departments'!$A272)</f>
        <v>144491.3793</v>
      </c>
      <c r="CG272" s="116">
        <f>SUMIFS('IS Proforma'!CS:CS,'IS Proforma'!$C:$C,'Ops Departments'!$C272,'IS Proforma'!$A:$A,'Ops Departments'!$A272)</f>
        <v>144491.3793</v>
      </c>
      <c r="CH272" s="116">
        <f>SUMIFS('IS Proforma'!CT:CT,'IS Proforma'!$C:$C,'Ops Departments'!$C272,'IS Proforma'!$A:$A,'Ops Departments'!$A272)</f>
        <v>147338.0029</v>
      </c>
      <c r="CI272" s="116">
        <f>SUMIFS('IS Proforma'!CU:CU,'IS Proforma'!$C:$C,'Ops Departments'!$C272,'IS Proforma'!$A:$A,'Ops Departments'!$A272)</f>
        <v>149472.9707</v>
      </c>
      <c r="CL272" s="117">
        <f t="shared" si="286"/>
        <v>6882</v>
      </c>
      <c r="CM272" s="117">
        <f t="shared" si="287"/>
        <v>6812</v>
      </c>
      <c r="CN272" s="117">
        <f t="shared" si="288"/>
        <v>8097</v>
      </c>
      <c r="CO272" s="117">
        <f t="shared" si="289"/>
        <v>5401</v>
      </c>
      <c r="CP272" s="117">
        <f t="shared" si="290"/>
        <v>8229</v>
      </c>
      <c r="CQ272" s="117">
        <f t="shared" si="291"/>
        <v>13830.7</v>
      </c>
    </row>
    <row r="273" ht="15.75" customHeight="1">
      <c r="A273" s="91" t="s">
        <v>118</v>
      </c>
      <c r="C273" s="132" t="s">
        <v>210</v>
      </c>
      <c r="D273" s="116">
        <f>SUMIFS('IS Proforma'!P:P,'IS Proforma'!$C:$C,'Ops Departments'!$C273,'IS Proforma'!$A:$A,'Ops Departments'!$A273)</f>
        <v>1903</v>
      </c>
      <c r="E273" s="116">
        <f>SUMIFS('IS Proforma'!Q:Q,'IS Proforma'!$C:$C,'Ops Departments'!$C273,'IS Proforma'!$A:$A,'Ops Departments'!$A273)</f>
        <v>1651</v>
      </c>
      <c r="F273" s="116">
        <f>SUMIFS('IS Proforma'!R:R,'IS Proforma'!$C:$C,'Ops Departments'!$C273,'IS Proforma'!$A:$A,'Ops Departments'!$A273)</f>
        <v>2237</v>
      </c>
      <c r="G273" s="116">
        <f>SUMIFS('IS Proforma'!S:S,'IS Proforma'!$C:$C,'Ops Departments'!$C273,'IS Proforma'!$A:$A,'Ops Departments'!$A273)</f>
        <v>1961</v>
      </c>
      <c r="H273" s="116">
        <f>SUMIFS('IS Proforma'!T:T,'IS Proforma'!$C:$C,'Ops Departments'!$C273,'IS Proforma'!$A:$A,'Ops Departments'!$A273)</f>
        <v>1045</v>
      </c>
      <c r="I273" s="116">
        <f>SUMIFS('IS Proforma'!U:U,'IS Proforma'!$C:$C,'Ops Departments'!$C273,'IS Proforma'!$A:$A,'Ops Departments'!$A273)</f>
        <v>2325</v>
      </c>
      <c r="J273" s="116">
        <f>SUMIFS('IS Proforma'!V:V,'IS Proforma'!$C:$C,'Ops Departments'!$C273,'IS Proforma'!$A:$A,'Ops Departments'!$A273)</f>
        <v>1186</v>
      </c>
      <c r="K273" s="116">
        <f>SUMIFS('IS Proforma'!W:W,'IS Proforma'!$C:$C,'Ops Departments'!$C273,'IS Proforma'!$A:$A,'Ops Departments'!$A273)</f>
        <v>2266</v>
      </c>
      <c r="L273" s="116">
        <f>SUMIFS('IS Proforma'!X:X,'IS Proforma'!$C:$C,'Ops Departments'!$C273,'IS Proforma'!$A:$A,'Ops Departments'!$A273)</f>
        <v>1778</v>
      </c>
      <c r="M273" s="116">
        <f>SUMIFS('IS Proforma'!Y:Y,'IS Proforma'!$C:$C,'Ops Departments'!$C273,'IS Proforma'!$A:$A,'Ops Departments'!$A273)</f>
        <v>2235</v>
      </c>
      <c r="N273" s="116">
        <f>SUMIFS('IS Proforma'!Z:Z,'IS Proforma'!$C:$C,'Ops Departments'!$C273,'IS Proforma'!$A:$A,'Ops Departments'!$A273)</f>
        <v>2185</v>
      </c>
      <c r="O273" s="116">
        <f>SUMIFS('IS Proforma'!AA:AA,'IS Proforma'!$C:$C,'Ops Departments'!$C273,'IS Proforma'!$A:$A,'Ops Departments'!$A273)</f>
        <v>1477</v>
      </c>
      <c r="P273" s="116">
        <f>SUMIFS('IS Proforma'!AB:AB,'IS Proforma'!$C:$C,'Ops Departments'!$C273,'IS Proforma'!$A:$A,'Ops Departments'!$A273)</f>
        <v>1443</v>
      </c>
      <c r="Q273" s="116">
        <f>SUMIFS('IS Proforma'!AC:AC,'IS Proforma'!$C:$C,'Ops Departments'!$C273,'IS Proforma'!$A:$A,'Ops Departments'!$A273)</f>
        <v>2226</v>
      </c>
      <c r="R273" s="116">
        <f>SUMIFS('IS Proforma'!AD:AD,'IS Proforma'!$C:$C,'Ops Departments'!$C273,'IS Proforma'!$A:$A,'Ops Departments'!$A273)</f>
        <v>1415</v>
      </c>
      <c r="S273" s="116">
        <f>SUMIFS('IS Proforma'!AE:AE,'IS Proforma'!$C:$C,'Ops Departments'!$C273,'IS Proforma'!$A:$A,'Ops Departments'!$A273)</f>
        <v>1481</v>
      </c>
      <c r="T273" s="116">
        <f>SUMIFS('IS Proforma'!AF:AF,'IS Proforma'!$C:$C,'Ops Departments'!$C273,'IS Proforma'!$A:$A,'Ops Departments'!$A273)</f>
        <v>2385</v>
      </c>
      <c r="U273" s="116">
        <f>SUMIFS('IS Proforma'!AG:AG,'IS Proforma'!$C:$C,'Ops Departments'!$C273,'IS Proforma'!$A:$A,'Ops Departments'!$A273)</f>
        <v>1128</v>
      </c>
      <c r="V273" s="116">
        <f>SUMIFS('IS Proforma'!AH:AH,'IS Proforma'!$C:$C,'Ops Departments'!$C273,'IS Proforma'!$A:$A,'Ops Departments'!$A273)</f>
        <v>2374</v>
      </c>
      <c r="W273" s="116">
        <f>SUMIFS('IS Proforma'!AI:AI,'IS Proforma'!$C:$C,'Ops Departments'!$C273,'IS Proforma'!$A:$A,'Ops Departments'!$A273)</f>
        <v>1131</v>
      </c>
      <c r="X273" s="116">
        <f>SUMIFS('IS Proforma'!AJ:AJ,'IS Proforma'!$C:$C,'Ops Departments'!$C273,'IS Proforma'!$A:$A,'Ops Departments'!$A273)</f>
        <v>2410</v>
      </c>
      <c r="Y273" s="116">
        <f>SUMIFS('IS Proforma'!AK:AK,'IS Proforma'!$C:$C,'Ops Departments'!$C273,'IS Proforma'!$A:$A,'Ops Departments'!$A273)</f>
        <v>2068</v>
      </c>
      <c r="Z273" s="116">
        <f>SUMIFS('IS Proforma'!AL:AL,'IS Proforma'!$C:$C,'Ops Departments'!$C273,'IS Proforma'!$A:$A,'Ops Departments'!$A273)</f>
        <v>2013</v>
      </c>
      <c r="AA273" s="116">
        <f>SUMIFS('IS Proforma'!AM:AM,'IS Proforma'!$C:$C,'Ops Departments'!$C273,'IS Proforma'!$A:$A,'Ops Departments'!$A273)</f>
        <v>13732.05</v>
      </c>
      <c r="AB273" s="116">
        <f>SUMIFS('IS Proforma'!AN:AN,'IS Proforma'!$C:$C,'Ops Departments'!$C273,'IS Proforma'!$A:$A,'Ops Departments'!$A273)</f>
        <v>14349.99225</v>
      </c>
      <c r="AC273" s="116">
        <f>SUMIFS('IS Proforma'!AO:AO,'IS Proforma'!$C:$C,'Ops Departments'!$C273,'IS Proforma'!$A:$A,'Ops Departments'!$A273)</f>
        <v>15909.99225</v>
      </c>
      <c r="AD273" s="116">
        <f>SUMIFS('IS Proforma'!AP:AP,'IS Proforma'!$C:$C,'Ops Departments'!$C273,'IS Proforma'!$A:$A,'Ops Departments'!$A273)</f>
        <v>17469.99225</v>
      </c>
      <c r="AE273" s="116">
        <f>SUMIFS('IS Proforma'!AQ:AQ,'IS Proforma'!$C:$C,'Ops Departments'!$C273,'IS Proforma'!$A:$A,'Ops Departments'!$A273)</f>
        <v>18249.99225</v>
      </c>
      <c r="AF273" s="116">
        <f>SUMIFS('IS Proforma'!AR:AR,'IS Proforma'!$C:$C,'Ops Departments'!$C273,'IS Proforma'!$A:$A,'Ops Departments'!$A273)</f>
        <v>19071.2419</v>
      </c>
      <c r="AG273" s="116">
        <f>SUMIFS('IS Proforma'!AS:AS,'IS Proforma'!$C:$C,'Ops Departments'!$C273,'IS Proforma'!$A:$A,'Ops Departments'!$A273)</f>
        <v>19071.2419</v>
      </c>
      <c r="AH273" s="116">
        <f>SUMIFS('IS Proforma'!AT:AT,'IS Proforma'!$C:$C,'Ops Departments'!$C273,'IS Proforma'!$A:$A,'Ops Departments'!$A273)</f>
        <v>19851.2419</v>
      </c>
      <c r="AI273" s="116">
        <f>SUMIFS('IS Proforma'!AU:AU,'IS Proforma'!$C:$C,'Ops Departments'!$C273,'IS Proforma'!$A:$A,'Ops Departments'!$A273)</f>
        <v>20631.2419</v>
      </c>
      <c r="AJ273" s="116">
        <f>SUMIFS('IS Proforma'!AV:AV,'IS Proforma'!$C:$C,'Ops Departments'!$C273,'IS Proforma'!$A:$A,'Ops Departments'!$A273)</f>
        <v>22339.64779</v>
      </c>
      <c r="AK273" s="116">
        <f>SUMIFS('IS Proforma'!AW:AW,'IS Proforma'!$C:$C,'Ops Departments'!$C273,'IS Proforma'!$A:$A,'Ops Departments'!$A273)</f>
        <v>24159.69979</v>
      </c>
      <c r="AL273" s="116">
        <f>SUMIFS('IS Proforma'!AX:AX,'IS Proforma'!$C:$C,'Ops Departments'!$C273,'IS Proforma'!$A:$A,'Ops Departments'!$A273)</f>
        <v>24939.69979</v>
      </c>
      <c r="AM273" s="116">
        <f>SUMIFS('IS Proforma'!AY:AY,'IS Proforma'!$C:$C,'Ops Departments'!$C273,'IS Proforma'!$A:$A,'Ops Departments'!$A273)</f>
        <v>27342.09979</v>
      </c>
      <c r="AN273" s="116">
        <f>SUMIFS('IS Proforma'!AZ:AZ,'IS Proforma'!$C:$C,'Ops Departments'!$C273,'IS Proforma'!$A:$A,'Ops Departments'!$A273)</f>
        <v>13254.1551</v>
      </c>
      <c r="AO273" s="116">
        <f>SUMIFS('IS Proforma'!BA:BA,'IS Proforma'!$C:$C,'Ops Departments'!$C273,'IS Proforma'!$A:$A,'Ops Departments'!$A273)</f>
        <v>14738.97558</v>
      </c>
      <c r="AP273" s="116">
        <f>SUMIFS('IS Proforma'!BB:BB,'IS Proforma'!$C:$C,'Ops Departments'!$C273,'IS Proforma'!$A:$A,'Ops Departments'!$A273)</f>
        <v>15481.38582</v>
      </c>
      <c r="AQ273" s="116">
        <f>SUMIFS('IS Proforma'!BC:BC,'IS Proforma'!$C:$C,'Ops Departments'!$C273,'IS Proforma'!$A:$A,'Ops Departments'!$A273)</f>
        <v>15481.38582</v>
      </c>
      <c r="AR273" s="116">
        <f>SUMIFS('IS Proforma'!BD:BD,'IS Proforma'!$C:$C,'Ops Departments'!$C273,'IS Proforma'!$A:$A,'Ops Departments'!$A273)</f>
        <v>16843.0515</v>
      </c>
      <c r="AS273" s="116">
        <f>SUMIFS('IS Proforma'!BE:BE,'IS Proforma'!$C:$C,'Ops Departments'!$C273,'IS Proforma'!$A:$A,'Ops Departments'!$A273)</f>
        <v>17199.9795</v>
      </c>
      <c r="AT273" s="116">
        <f>SUMIFS('IS Proforma'!BF:BF,'IS Proforma'!$C:$C,'Ops Departments'!$C273,'IS Proforma'!$A:$A,'Ops Departments'!$A273)</f>
        <v>17972.08614</v>
      </c>
      <c r="AU273" s="116">
        <f>SUMIFS('IS Proforma'!BG:BG,'IS Proforma'!$C:$C,'Ops Departments'!$C273,'IS Proforma'!$A:$A,'Ops Departments'!$A273)</f>
        <v>19130.24612</v>
      </c>
      <c r="AV273" s="116">
        <f>SUMIFS('IS Proforma'!BH:BH,'IS Proforma'!$C:$C,'Ops Departments'!$C273,'IS Proforma'!$A:$A,'Ops Departments'!$A273)</f>
        <v>20667.56261</v>
      </c>
      <c r="AW273" s="116">
        <f>SUMIFS('IS Proforma'!BI:BI,'IS Proforma'!$C:$C,'Ops Departments'!$C273,'IS Proforma'!$A:$A,'Ops Departments'!$A273)</f>
        <v>21439.66926</v>
      </c>
      <c r="AX273" s="116">
        <f>SUMIFS('IS Proforma'!BJ:BJ,'IS Proforma'!$C:$C,'Ops Departments'!$C273,'IS Proforma'!$A:$A,'Ops Departments'!$A273)</f>
        <v>22597.82924</v>
      </c>
      <c r="AY273" s="116">
        <f>SUMIFS('IS Proforma'!BK:BK,'IS Proforma'!$C:$C,'Ops Departments'!$C273,'IS Proforma'!$A:$A,'Ops Departments'!$A273)</f>
        <v>22597.82924</v>
      </c>
      <c r="AZ273" s="116">
        <f>SUMIFS('IS Proforma'!BL:BL,'IS Proforma'!$C:$C,'Ops Departments'!$C273,'IS Proforma'!$A:$A,'Ops Departments'!$A273)</f>
        <v>24611.66833</v>
      </c>
      <c r="BA273" s="116">
        <f>SUMIFS('IS Proforma'!BM:BM,'IS Proforma'!$C:$C,'Ops Departments'!$C273,'IS Proforma'!$A:$A,'Ops Departments'!$A273)</f>
        <v>27093.64025</v>
      </c>
      <c r="BB273" s="116">
        <f>SUMIFS('IS Proforma'!BN:BN,'IS Proforma'!$C:$C,'Ops Departments'!$C273,'IS Proforma'!$A:$A,'Ops Departments'!$A273)</f>
        <v>28334.62621</v>
      </c>
      <c r="BC273" s="116">
        <f>SUMIFS('IS Proforma'!BO:BO,'IS Proforma'!$C:$C,'Ops Departments'!$C273,'IS Proforma'!$A:$A,'Ops Departments'!$A273)</f>
        <v>30933.29854</v>
      </c>
      <c r="BD273" s="116">
        <f>SUMIFS('IS Proforma'!BP:BP,'IS Proforma'!$C:$C,'Ops Departments'!$C273,'IS Proforma'!$A:$A,'Ops Departments'!$A273)</f>
        <v>32170.63048</v>
      </c>
      <c r="BE273" s="116">
        <f>SUMIFS('IS Proforma'!BQ:BQ,'IS Proforma'!$C:$C,'Ops Departments'!$C273,'IS Proforma'!$A:$A,'Ops Departments'!$A273)</f>
        <v>32997.95446</v>
      </c>
      <c r="BF273" s="116">
        <f>SUMIFS('IS Proforma'!BR:BR,'IS Proforma'!$C:$C,'Ops Departments'!$C273,'IS Proforma'!$A:$A,'Ops Departments'!$A273)</f>
        <v>34288.57986</v>
      </c>
      <c r="BG273" s="116">
        <f>SUMIFS('IS Proforma'!BS:BS,'IS Proforma'!$C:$C,'Ops Departments'!$C273,'IS Proforma'!$A:$A,'Ops Departments'!$A273)</f>
        <v>34702.24184</v>
      </c>
      <c r="BH273" s="116">
        <f>SUMIFS('IS Proforma'!BT:BT,'IS Proforma'!$C:$C,'Ops Departments'!$C273,'IS Proforma'!$A:$A,'Ops Departments'!$A273)</f>
        <v>36950.74845</v>
      </c>
      <c r="BI273" s="116">
        <f>SUMIFS('IS Proforma'!BU:BU,'IS Proforma'!$C:$C,'Ops Departments'!$C273,'IS Proforma'!$A:$A,'Ops Departments'!$A273)</f>
        <v>38241.37385</v>
      </c>
      <c r="BJ273" s="116">
        <f>SUMIFS('IS Proforma'!BV:BV,'IS Proforma'!$C:$C,'Ops Departments'!$C273,'IS Proforma'!$A:$A,'Ops Departments'!$A273)</f>
        <v>38241.37385</v>
      </c>
      <c r="BK273" s="116">
        <f>SUMIFS('IS Proforma'!BW:BW,'IS Proforma'!$C:$C,'Ops Departments'!$C273,'IS Proforma'!$A:$A,'Ops Departments'!$A273)</f>
        <v>40375.8697</v>
      </c>
      <c r="BL273" s="116">
        <f>SUMIFS('IS Proforma'!BX:BX,'IS Proforma'!$C:$C,'Ops Departments'!$C273,'IS Proforma'!$A:$A,'Ops Departments'!$A273)</f>
        <v>45050.52112</v>
      </c>
      <c r="BM273" s="116">
        <f>SUMIFS('IS Proforma'!BY:BY,'IS Proforma'!$C:$C,'Ops Departments'!$C273,'IS Proforma'!$A:$A,'Ops Departments'!$A273)</f>
        <v>58867.8048</v>
      </c>
      <c r="BN273" s="116">
        <f>SUMIFS('IS Proforma'!BZ:BZ,'IS Proforma'!$C:$C,'Ops Departments'!$C273,'IS Proforma'!$A:$A,'Ops Departments'!$A273)</f>
        <v>64855.29439</v>
      </c>
      <c r="BO273" s="116">
        <f>SUMIFS('IS Proforma'!CA:CA,'IS Proforma'!$C:$C,'Ops Departments'!$C273,'IS Proforma'!$A:$A,'Ops Departments'!$A273)</f>
        <v>65906.38225</v>
      </c>
      <c r="BP273" s="116">
        <f>SUMIFS('IS Proforma'!CB:CB,'IS Proforma'!$C:$C,'Ops Departments'!$C273,'IS Proforma'!$A:$A,'Ops Departments'!$A273)</f>
        <v>69463.78978</v>
      </c>
      <c r="BQ273" s="116">
        <f>SUMIFS('IS Proforma'!CC:CC,'IS Proforma'!$C:$C,'Ops Departments'!$C273,'IS Proforma'!$A:$A,'Ops Departments'!$A273)</f>
        <v>69924.36591</v>
      </c>
      <c r="BR273" s="116">
        <f>SUMIFS('IS Proforma'!CD:CD,'IS Proforma'!$C:$C,'Ops Departments'!$C273,'IS Proforma'!$A:$A,'Ops Departments'!$A273)</f>
        <v>71840.36258</v>
      </c>
      <c r="BS273" s="116">
        <f>SUMIFS('IS Proforma'!CE:CE,'IS Proforma'!$C:$C,'Ops Departments'!$C273,'IS Proforma'!$A:$A,'Ops Departments'!$A273)</f>
        <v>73277.36008</v>
      </c>
      <c r="BT273" s="116">
        <f>SUMIFS('IS Proforma'!CF:CF,'IS Proforma'!$C:$C,'Ops Departments'!$C273,'IS Proforma'!$A:$A,'Ops Departments'!$A273)</f>
        <v>77166.45282</v>
      </c>
      <c r="BU273" s="116">
        <f>SUMIFS('IS Proforma'!CG:CG,'IS Proforma'!$C:$C,'Ops Departments'!$C273,'IS Proforma'!$A:$A,'Ops Departments'!$A273)</f>
        <v>77645.45199</v>
      </c>
      <c r="BV273" s="116">
        <f>SUMIFS('IS Proforma'!CH:CH,'IS Proforma'!$C:$C,'Ops Departments'!$C273,'IS Proforma'!$A:$A,'Ops Departments'!$A273)</f>
        <v>80519.44699</v>
      </c>
      <c r="BW273" s="116">
        <f>SUMIFS('IS Proforma'!CI:CI,'IS Proforma'!$C:$C,'Ops Departments'!$C273,'IS Proforma'!$A:$A,'Ops Departments'!$A273)</f>
        <v>80519.44699</v>
      </c>
      <c r="BX273" s="116">
        <f>SUMIFS('IS Proforma'!CJ:CJ,'IS Proforma'!$C:$C,'Ops Departments'!$C273,'IS Proforma'!$A:$A,'Ops Departments'!$A273)</f>
        <v>84736.54314</v>
      </c>
      <c r="BY273" s="116">
        <f>SUMIFS('IS Proforma'!CK:CK,'IS Proforma'!$C:$C,'Ops Departments'!$C273,'IS Proforma'!$A:$A,'Ops Departments'!$A273)</f>
        <v>87227.33881</v>
      </c>
      <c r="BZ273" s="116">
        <f>SUMIFS('IS Proforma'!CL:CL,'IS Proforma'!$C:$C,'Ops Departments'!$C273,'IS Proforma'!$A:$A,'Ops Departments'!$A273)</f>
        <v>88223.65708</v>
      </c>
      <c r="CA273" s="116">
        <f>SUMIFS('IS Proforma'!CM:CM,'IS Proforma'!$C:$C,'Ops Departments'!$C273,'IS Proforma'!$A:$A,'Ops Departments'!$A273)</f>
        <v>89718.13448</v>
      </c>
      <c r="CB273" s="116">
        <f>SUMIFS('IS Proforma'!CN:CN,'IS Proforma'!$C:$C,'Ops Departments'!$C273,'IS Proforma'!$A:$A,'Ops Departments'!$A273)</f>
        <v>93306.85986</v>
      </c>
      <c r="CC273" s="116">
        <f>SUMIFS('IS Proforma'!CO:CO,'IS Proforma'!$C:$C,'Ops Departments'!$C273,'IS Proforma'!$A:$A,'Ops Departments'!$A273)</f>
        <v>95299.4964</v>
      </c>
      <c r="CD273" s="116">
        <f>SUMIFS('IS Proforma'!CP:CP,'IS Proforma'!$C:$C,'Ops Departments'!$C273,'IS Proforma'!$A:$A,'Ops Departments'!$A273)</f>
        <v>96295.81467</v>
      </c>
      <c r="CE273" s="116">
        <f>SUMIFS('IS Proforma'!CQ:CQ,'IS Proforma'!$C:$C,'Ops Departments'!$C273,'IS Proforma'!$A:$A,'Ops Departments'!$A273)</f>
        <v>96295.81467</v>
      </c>
      <c r="CF273" s="116">
        <f>SUMIFS('IS Proforma'!CR:CR,'IS Proforma'!$C:$C,'Ops Departments'!$C273,'IS Proforma'!$A:$A,'Ops Departments'!$A273)</f>
        <v>101143.9655</v>
      </c>
      <c r="CG273" s="116">
        <f>SUMIFS('IS Proforma'!CS:CS,'IS Proforma'!$C:$C,'Ops Departments'!$C273,'IS Proforma'!$A:$A,'Ops Departments'!$A273)</f>
        <v>101143.9655</v>
      </c>
      <c r="CH273" s="116">
        <f>SUMIFS('IS Proforma'!CT:CT,'IS Proforma'!$C:$C,'Ops Departments'!$C273,'IS Proforma'!$A:$A,'Ops Departments'!$A273)</f>
        <v>103136.6021</v>
      </c>
      <c r="CI273" s="116">
        <f>SUMIFS('IS Proforma'!CU:CU,'IS Proforma'!$C:$C,'Ops Departments'!$C273,'IS Proforma'!$A:$A,'Ops Departments'!$A273)</f>
        <v>104631.0795</v>
      </c>
      <c r="CL273" s="117">
        <f t="shared" si="286"/>
        <v>7752</v>
      </c>
      <c r="CM273" s="117">
        <f t="shared" si="287"/>
        <v>6822</v>
      </c>
      <c r="CN273" s="117">
        <f t="shared" si="288"/>
        <v>7675</v>
      </c>
      <c r="CO273" s="117">
        <f t="shared" si="289"/>
        <v>6565</v>
      </c>
      <c r="CP273" s="117">
        <f t="shared" si="290"/>
        <v>7018</v>
      </c>
      <c r="CQ273" s="117">
        <f t="shared" si="291"/>
        <v>20223.05</v>
      </c>
    </row>
    <row r="274" ht="15.75" customHeight="1">
      <c r="A274" s="91" t="s">
        <v>118</v>
      </c>
      <c r="C274" s="132" t="s">
        <v>211</v>
      </c>
      <c r="D274" s="116">
        <f>SUMIFS('IS Proforma'!P:P,'IS Proforma'!$C:$C,'Ops Departments'!$C274,'IS Proforma'!$A:$A,'Ops Departments'!$A274)</f>
        <v>1982</v>
      </c>
      <c r="E274" s="116">
        <f>SUMIFS('IS Proforma'!Q:Q,'IS Proforma'!$C:$C,'Ops Departments'!$C274,'IS Proforma'!$A:$A,'Ops Departments'!$A274)</f>
        <v>1185</v>
      </c>
      <c r="F274" s="116">
        <f>SUMIFS('IS Proforma'!R:R,'IS Proforma'!$C:$C,'Ops Departments'!$C274,'IS Proforma'!$A:$A,'Ops Departments'!$A274)</f>
        <v>1412</v>
      </c>
      <c r="G274" s="116">
        <f>SUMIFS('IS Proforma'!S:S,'IS Proforma'!$C:$C,'Ops Departments'!$C274,'IS Proforma'!$A:$A,'Ops Departments'!$A274)</f>
        <v>1100</v>
      </c>
      <c r="H274" s="116">
        <f>SUMIFS('IS Proforma'!T:T,'IS Proforma'!$C:$C,'Ops Departments'!$C274,'IS Proforma'!$A:$A,'Ops Departments'!$A274)</f>
        <v>1310</v>
      </c>
      <c r="I274" s="116">
        <f>SUMIFS('IS Proforma'!U:U,'IS Proforma'!$C:$C,'Ops Departments'!$C274,'IS Proforma'!$A:$A,'Ops Departments'!$A274)</f>
        <v>1834</v>
      </c>
      <c r="J274" s="116">
        <f>SUMIFS('IS Proforma'!V:V,'IS Proforma'!$C:$C,'Ops Departments'!$C274,'IS Proforma'!$A:$A,'Ops Departments'!$A274)</f>
        <v>2137</v>
      </c>
      <c r="K274" s="116">
        <f>SUMIFS('IS Proforma'!W:W,'IS Proforma'!$C:$C,'Ops Departments'!$C274,'IS Proforma'!$A:$A,'Ops Departments'!$A274)</f>
        <v>1747</v>
      </c>
      <c r="L274" s="116">
        <f>SUMIFS('IS Proforma'!X:X,'IS Proforma'!$C:$C,'Ops Departments'!$C274,'IS Proforma'!$A:$A,'Ops Departments'!$A274)</f>
        <v>1093</v>
      </c>
      <c r="M274" s="116">
        <f>SUMIFS('IS Proforma'!Y:Y,'IS Proforma'!$C:$C,'Ops Departments'!$C274,'IS Proforma'!$A:$A,'Ops Departments'!$A274)</f>
        <v>1149</v>
      </c>
      <c r="N274" s="116">
        <f>SUMIFS('IS Proforma'!Z:Z,'IS Proforma'!$C:$C,'Ops Departments'!$C274,'IS Proforma'!$A:$A,'Ops Departments'!$A274)</f>
        <v>2125</v>
      </c>
      <c r="O274" s="116">
        <f>SUMIFS('IS Proforma'!AA:AA,'IS Proforma'!$C:$C,'Ops Departments'!$C274,'IS Proforma'!$A:$A,'Ops Departments'!$A274)</f>
        <v>1818</v>
      </c>
      <c r="P274" s="116">
        <f>SUMIFS('IS Proforma'!AB:AB,'IS Proforma'!$C:$C,'Ops Departments'!$C274,'IS Proforma'!$A:$A,'Ops Departments'!$A274)</f>
        <v>2128</v>
      </c>
      <c r="Q274" s="116">
        <f>SUMIFS('IS Proforma'!AC:AC,'IS Proforma'!$C:$C,'Ops Departments'!$C274,'IS Proforma'!$A:$A,'Ops Departments'!$A274)</f>
        <v>1075</v>
      </c>
      <c r="R274" s="116">
        <f>SUMIFS('IS Proforma'!AD:AD,'IS Proforma'!$C:$C,'Ops Departments'!$C274,'IS Proforma'!$A:$A,'Ops Departments'!$A274)</f>
        <v>2095</v>
      </c>
      <c r="S274" s="116">
        <f>SUMIFS('IS Proforma'!AE:AE,'IS Proforma'!$C:$C,'Ops Departments'!$C274,'IS Proforma'!$A:$A,'Ops Departments'!$A274)</f>
        <v>2190</v>
      </c>
      <c r="T274" s="116">
        <f>SUMIFS('IS Proforma'!AF:AF,'IS Proforma'!$C:$C,'Ops Departments'!$C274,'IS Proforma'!$A:$A,'Ops Departments'!$A274)</f>
        <v>1959</v>
      </c>
      <c r="U274" s="116">
        <f>SUMIFS('IS Proforma'!AG:AG,'IS Proforma'!$C:$C,'Ops Departments'!$C274,'IS Proforma'!$A:$A,'Ops Departments'!$A274)</f>
        <v>1347</v>
      </c>
      <c r="V274" s="116">
        <f>SUMIFS('IS Proforma'!AH:AH,'IS Proforma'!$C:$C,'Ops Departments'!$C274,'IS Proforma'!$A:$A,'Ops Departments'!$A274)</f>
        <v>2373</v>
      </c>
      <c r="W274" s="116">
        <f>SUMIFS('IS Proforma'!AI:AI,'IS Proforma'!$C:$C,'Ops Departments'!$C274,'IS Proforma'!$A:$A,'Ops Departments'!$A274)</f>
        <v>1432</v>
      </c>
      <c r="X274" s="116">
        <f>SUMIFS('IS Proforma'!AJ:AJ,'IS Proforma'!$C:$C,'Ops Departments'!$C274,'IS Proforma'!$A:$A,'Ops Departments'!$A274)</f>
        <v>2189</v>
      </c>
      <c r="Y274" s="116">
        <f>SUMIFS('IS Proforma'!AK:AK,'IS Proforma'!$C:$C,'Ops Departments'!$C274,'IS Proforma'!$A:$A,'Ops Departments'!$A274)</f>
        <v>2390</v>
      </c>
      <c r="Z274" s="116">
        <f>SUMIFS('IS Proforma'!AL:AL,'IS Proforma'!$C:$C,'Ops Departments'!$C274,'IS Proforma'!$A:$A,'Ops Departments'!$A274)</f>
        <v>1379</v>
      </c>
      <c r="AA274" s="116">
        <f>SUMIFS('IS Proforma'!AM:AM,'IS Proforma'!$C:$C,'Ops Departments'!$C274,'IS Proforma'!$A:$A,'Ops Departments'!$A274)</f>
        <v>1830.94</v>
      </c>
      <c r="AB274" s="116">
        <f>SUMIFS('IS Proforma'!AN:AN,'IS Proforma'!$C:$C,'Ops Departments'!$C274,'IS Proforma'!$A:$A,'Ops Departments'!$A274)</f>
        <v>1913.3323</v>
      </c>
      <c r="AC274" s="116">
        <f>SUMIFS('IS Proforma'!AO:AO,'IS Proforma'!$C:$C,'Ops Departments'!$C274,'IS Proforma'!$A:$A,'Ops Departments'!$A274)</f>
        <v>2121.3323</v>
      </c>
      <c r="AD274" s="116">
        <f>SUMIFS('IS Proforma'!AP:AP,'IS Proforma'!$C:$C,'Ops Departments'!$C274,'IS Proforma'!$A:$A,'Ops Departments'!$A274)</f>
        <v>2329.3323</v>
      </c>
      <c r="AE274" s="116">
        <f>SUMIFS('IS Proforma'!AQ:AQ,'IS Proforma'!$C:$C,'Ops Departments'!$C274,'IS Proforma'!$A:$A,'Ops Departments'!$A274)</f>
        <v>2433.3323</v>
      </c>
      <c r="AF274" s="116">
        <f>SUMIFS('IS Proforma'!AR:AR,'IS Proforma'!$C:$C,'Ops Departments'!$C274,'IS Proforma'!$A:$A,'Ops Departments'!$A274)</f>
        <v>2542.832254</v>
      </c>
      <c r="AG274" s="116">
        <f>SUMIFS('IS Proforma'!AS:AS,'IS Proforma'!$C:$C,'Ops Departments'!$C274,'IS Proforma'!$A:$A,'Ops Departments'!$A274)</f>
        <v>2542.832254</v>
      </c>
      <c r="AH274" s="116">
        <f>SUMIFS('IS Proforma'!AT:AT,'IS Proforma'!$C:$C,'Ops Departments'!$C274,'IS Proforma'!$A:$A,'Ops Departments'!$A274)</f>
        <v>2646.832254</v>
      </c>
      <c r="AI274" s="116">
        <f>SUMIFS('IS Proforma'!AU:AU,'IS Proforma'!$C:$C,'Ops Departments'!$C274,'IS Proforma'!$A:$A,'Ops Departments'!$A274)</f>
        <v>2750.832254</v>
      </c>
      <c r="AJ274" s="116">
        <f>SUMIFS('IS Proforma'!AV:AV,'IS Proforma'!$C:$C,'Ops Departments'!$C274,'IS Proforma'!$A:$A,'Ops Departments'!$A274)</f>
        <v>2978.619705</v>
      </c>
      <c r="AK274" s="116">
        <f>SUMIFS('IS Proforma'!AW:AW,'IS Proforma'!$C:$C,'Ops Departments'!$C274,'IS Proforma'!$A:$A,'Ops Departments'!$A274)</f>
        <v>3221.293305</v>
      </c>
      <c r="AL274" s="116">
        <f>SUMIFS('IS Proforma'!AX:AX,'IS Proforma'!$C:$C,'Ops Departments'!$C274,'IS Proforma'!$A:$A,'Ops Departments'!$A274)</f>
        <v>3325.293305</v>
      </c>
      <c r="AM274" s="116">
        <f>SUMIFS('IS Proforma'!AY:AY,'IS Proforma'!$C:$C,'Ops Departments'!$C274,'IS Proforma'!$A:$A,'Ops Departments'!$A274)</f>
        <v>3645.613305</v>
      </c>
      <c r="AN274" s="116">
        <f>SUMIFS('IS Proforma'!AZ:AZ,'IS Proforma'!$C:$C,'Ops Departments'!$C274,'IS Proforma'!$A:$A,'Ops Departments'!$A274)</f>
        <v>4016.410637</v>
      </c>
      <c r="AO274" s="116">
        <f>SUMIFS('IS Proforma'!BA:BA,'IS Proforma'!$C:$C,'Ops Departments'!$C274,'IS Proforma'!$A:$A,'Ops Departments'!$A274)</f>
        <v>4466.356237</v>
      </c>
      <c r="AP274" s="116">
        <f>SUMIFS('IS Proforma'!BB:BB,'IS Proforma'!$C:$C,'Ops Departments'!$C274,'IS Proforma'!$A:$A,'Ops Departments'!$A274)</f>
        <v>4691.329037</v>
      </c>
      <c r="AQ274" s="116">
        <f>SUMIFS('IS Proforma'!BC:BC,'IS Proforma'!$C:$C,'Ops Departments'!$C274,'IS Proforma'!$A:$A,'Ops Departments'!$A274)</f>
        <v>4691.329037</v>
      </c>
      <c r="AR274" s="116">
        <f>SUMIFS('IS Proforma'!BD:BD,'IS Proforma'!$C:$C,'Ops Departments'!$C274,'IS Proforma'!$A:$A,'Ops Departments'!$A274)</f>
        <v>5103.954999</v>
      </c>
      <c r="AS274" s="116">
        <f>SUMIFS('IS Proforma'!BE:BE,'IS Proforma'!$C:$C,'Ops Departments'!$C274,'IS Proforma'!$A:$A,'Ops Departments'!$A274)</f>
        <v>5212.114999</v>
      </c>
      <c r="AT274" s="116">
        <f>SUMIFS('IS Proforma'!BF:BF,'IS Proforma'!$C:$C,'Ops Departments'!$C274,'IS Proforma'!$A:$A,'Ops Departments'!$A274)</f>
        <v>5446.086711</v>
      </c>
      <c r="AU274" s="116">
        <f>SUMIFS('IS Proforma'!BG:BG,'IS Proforma'!$C:$C,'Ops Departments'!$C274,'IS Proforma'!$A:$A,'Ops Departments'!$A274)</f>
        <v>5797.044279</v>
      </c>
      <c r="AV274" s="116">
        <f>SUMIFS('IS Proforma'!BH:BH,'IS Proforma'!$C:$C,'Ops Departments'!$C274,'IS Proforma'!$A:$A,'Ops Departments'!$A274)</f>
        <v>6262.897762</v>
      </c>
      <c r="AW274" s="116">
        <f>SUMIFS('IS Proforma'!BI:BI,'IS Proforma'!$C:$C,'Ops Departments'!$C274,'IS Proforma'!$A:$A,'Ops Departments'!$A274)</f>
        <v>6496.869474</v>
      </c>
      <c r="AX274" s="116">
        <f>SUMIFS('IS Proforma'!BJ:BJ,'IS Proforma'!$C:$C,'Ops Departments'!$C274,'IS Proforma'!$A:$A,'Ops Departments'!$A274)</f>
        <v>6847.827042</v>
      </c>
      <c r="AY274" s="116">
        <f>SUMIFS('IS Proforma'!BK:BK,'IS Proforma'!$C:$C,'Ops Departments'!$C274,'IS Proforma'!$A:$A,'Ops Departments'!$A274)</f>
        <v>6847.827042</v>
      </c>
      <c r="AZ274" s="116">
        <f>SUMIFS('IS Proforma'!BL:BL,'IS Proforma'!$C:$C,'Ops Departments'!$C274,'IS Proforma'!$A:$A,'Ops Departments'!$A274)</f>
        <v>7238.725979</v>
      </c>
      <c r="BA274" s="116">
        <f>SUMIFS('IS Proforma'!BM:BM,'IS Proforma'!$C:$C,'Ops Departments'!$C274,'IS Proforma'!$A:$A,'Ops Departments'!$A274)</f>
        <v>7968.717721</v>
      </c>
      <c r="BB274" s="116">
        <f>SUMIFS('IS Proforma'!BN:BN,'IS Proforma'!$C:$C,'Ops Departments'!$C274,'IS Proforma'!$A:$A,'Ops Departments'!$A274)</f>
        <v>8333.713592</v>
      </c>
      <c r="BC274" s="116">
        <f>SUMIFS('IS Proforma'!BO:BO,'IS Proforma'!$C:$C,'Ops Departments'!$C274,'IS Proforma'!$A:$A,'Ops Departments'!$A274)</f>
        <v>9098.028983</v>
      </c>
      <c r="BD274" s="116">
        <f>SUMIFS('IS Proforma'!BP:BP,'IS Proforma'!$C:$C,'Ops Departments'!$C274,'IS Proforma'!$A:$A,'Ops Departments'!$A274)</f>
        <v>9461.950142</v>
      </c>
      <c r="BE274" s="116">
        <f>SUMIFS('IS Proforma'!BQ:BQ,'IS Proforma'!$C:$C,'Ops Departments'!$C274,'IS Proforma'!$A:$A,'Ops Departments'!$A274)</f>
        <v>9705.280723</v>
      </c>
      <c r="BF274" s="116">
        <f>SUMIFS('IS Proforma'!BR:BR,'IS Proforma'!$C:$C,'Ops Departments'!$C274,'IS Proforma'!$A:$A,'Ops Departments'!$A274)</f>
        <v>10084.87643</v>
      </c>
      <c r="BG274" s="116">
        <f>SUMIFS('IS Proforma'!BS:BS,'IS Proforma'!$C:$C,'Ops Departments'!$C274,'IS Proforma'!$A:$A,'Ops Departments'!$A274)</f>
        <v>10206.54172</v>
      </c>
      <c r="BH274" s="116">
        <f>SUMIFS('IS Proforma'!BT:BT,'IS Proforma'!$C:$C,'Ops Departments'!$C274,'IS Proforma'!$A:$A,'Ops Departments'!$A274)</f>
        <v>10867.86719</v>
      </c>
      <c r="BI274" s="116">
        <f>SUMIFS('IS Proforma'!BU:BU,'IS Proforma'!$C:$C,'Ops Departments'!$C274,'IS Proforma'!$A:$A,'Ops Departments'!$A274)</f>
        <v>11247.4629</v>
      </c>
      <c r="BJ274" s="116">
        <f>SUMIFS('IS Proforma'!BV:BV,'IS Proforma'!$C:$C,'Ops Departments'!$C274,'IS Proforma'!$A:$A,'Ops Departments'!$A274)</f>
        <v>11247.4629</v>
      </c>
      <c r="BK274" s="116">
        <f>SUMIFS('IS Proforma'!BW:BW,'IS Proforma'!$C:$C,'Ops Departments'!$C274,'IS Proforma'!$A:$A,'Ops Departments'!$A274)</f>
        <v>11875.25579</v>
      </c>
      <c r="BL274" s="116">
        <f>SUMIFS('IS Proforma'!BX:BX,'IS Proforma'!$C:$C,'Ops Departments'!$C274,'IS Proforma'!$A:$A,'Ops Departments'!$A274)</f>
        <v>12871.57746</v>
      </c>
      <c r="BM274" s="116">
        <f>SUMIFS('IS Proforma'!BY:BY,'IS Proforma'!$C:$C,'Ops Departments'!$C274,'IS Proforma'!$A:$A,'Ops Departments'!$A274)</f>
        <v>16819.3728</v>
      </c>
      <c r="BN274" s="116">
        <f>SUMIFS('IS Proforma'!BZ:BZ,'IS Proforma'!$C:$C,'Ops Departments'!$C274,'IS Proforma'!$A:$A,'Ops Departments'!$A274)</f>
        <v>18530.08411</v>
      </c>
      <c r="BO274" s="116">
        <f>SUMIFS('IS Proforma'!CA:CA,'IS Proforma'!$C:$C,'Ops Departments'!$C274,'IS Proforma'!$A:$A,'Ops Departments'!$A274)</f>
        <v>18830.39493</v>
      </c>
      <c r="BP274" s="116">
        <f>SUMIFS('IS Proforma'!CB:CB,'IS Proforma'!$C:$C,'Ops Departments'!$C274,'IS Proforma'!$A:$A,'Ops Departments'!$A274)</f>
        <v>19846.79708</v>
      </c>
      <c r="BQ274" s="116">
        <f>SUMIFS('IS Proforma'!CC:CC,'IS Proforma'!$C:$C,'Ops Departments'!$C274,'IS Proforma'!$A:$A,'Ops Departments'!$A274)</f>
        <v>19978.39026</v>
      </c>
      <c r="BR274" s="116">
        <f>SUMIFS('IS Proforma'!CD:CD,'IS Proforma'!$C:$C,'Ops Departments'!$C274,'IS Proforma'!$A:$A,'Ops Departments'!$A274)</f>
        <v>20525.81788</v>
      </c>
      <c r="BS274" s="116">
        <f>SUMIFS('IS Proforma'!CE:CE,'IS Proforma'!$C:$C,'Ops Departments'!$C274,'IS Proforma'!$A:$A,'Ops Departments'!$A274)</f>
        <v>20936.38859</v>
      </c>
      <c r="BT274" s="116">
        <f>SUMIFS('IS Proforma'!CF:CF,'IS Proforma'!$C:$C,'Ops Departments'!$C274,'IS Proforma'!$A:$A,'Ops Departments'!$A274)</f>
        <v>22047.55795</v>
      </c>
      <c r="BU274" s="116">
        <f>SUMIFS('IS Proforma'!CG:CG,'IS Proforma'!$C:$C,'Ops Departments'!$C274,'IS Proforma'!$A:$A,'Ops Departments'!$A274)</f>
        <v>22184.41485</v>
      </c>
      <c r="BV274" s="116">
        <f>SUMIFS('IS Proforma'!CH:CH,'IS Proforma'!$C:$C,'Ops Departments'!$C274,'IS Proforma'!$A:$A,'Ops Departments'!$A274)</f>
        <v>23005.55628</v>
      </c>
      <c r="BW274" s="116">
        <f>SUMIFS('IS Proforma'!CI:CI,'IS Proforma'!$C:$C,'Ops Departments'!$C274,'IS Proforma'!$A:$A,'Ops Departments'!$A274)</f>
        <v>23005.55628</v>
      </c>
      <c r="BX274" s="116">
        <f>SUMIFS('IS Proforma'!CJ:CJ,'IS Proforma'!$C:$C,'Ops Departments'!$C274,'IS Proforma'!$A:$A,'Ops Departments'!$A274)</f>
        <v>24210.4409</v>
      </c>
      <c r="BY274" s="116">
        <f>SUMIFS('IS Proforma'!CK:CK,'IS Proforma'!$C:$C,'Ops Departments'!$C274,'IS Proforma'!$A:$A,'Ops Departments'!$A274)</f>
        <v>24922.0968</v>
      </c>
      <c r="BZ274" s="116">
        <f>SUMIFS('IS Proforma'!CL:CL,'IS Proforma'!$C:$C,'Ops Departments'!$C274,'IS Proforma'!$A:$A,'Ops Departments'!$A274)</f>
        <v>25206.75917</v>
      </c>
      <c r="CA274" s="116">
        <f>SUMIFS('IS Proforma'!CM:CM,'IS Proforma'!$C:$C,'Ops Departments'!$C274,'IS Proforma'!$A:$A,'Ops Departments'!$A274)</f>
        <v>25633.75271</v>
      </c>
      <c r="CB274" s="116">
        <f>SUMIFS('IS Proforma'!CN:CN,'IS Proforma'!$C:$C,'Ops Departments'!$C274,'IS Proforma'!$A:$A,'Ops Departments'!$A274)</f>
        <v>26659.10282</v>
      </c>
      <c r="CC274" s="116">
        <f>SUMIFS('IS Proforma'!CO:CO,'IS Proforma'!$C:$C,'Ops Departments'!$C274,'IS Proforma'!$A:$A,'Ops Departments'!$A274)</f>
        <v>27228.42754</v>
      </c>
      <c r="CD274" s="116">
        <f>SUMIFS('IS Proforma'!CP:CP,'IS Proforma'!$C:$C,'Ops Departments'!$C274,'IS Proforma'!$A:$A,'Ops Departments'!$A274)</f>
        <v>27513.08991</v>
      </c>
      <c r="CE274" s="116">
        <f>SUMIFS('IS Proforma'!CQ:CQ,'IS Proforma'!$C:$C,'Ops Departments'!$C274,'IS Proforma'!$A:$A,'Ops Departments'!$A274)</f>
        <v>27513.08991</v>
      </c>
      <c r="CF274" s="116">
        <f>SUMIFS('IS Proforma'!CR:CR,'IS Proforma'!$C:$C,'Ops Departments'!$C274,'IS Proforma'!$A:$A,'Ops Departments'!$A274)</f>
        <v>28898.27586</v>
      </c>
      <c r="CG274" s="116">
        <f>SUMIFS('IS Proforma'!CS:CS,'IS Proforma'!$C:$C,'Ops Departments'!$C274,'IS Proforma'!$A:$A,'Ops Departments'!$A274)</f>
        <v>28898.27586</v>
      </c>
      <c r="CH274" s="116">
        <f>SUMIFS('IS Proforma'!CT:CT,'IS Proforma'!$C:$C,'Ops Departments'!$C274,'IS Proforma'!$A:$A,'Ops Departments'!$A274)</f>
        <v>29467.60059</v>
      </c>
      <c r="CI274" s="116">
        <f>SUMIFS('IS Proforma'!CU:CU,'IS Proforma'!$C:$C,'Ops Departments'!$C274,'IS Proforma'!$A:$A,'Ops Departments'!$A274)</f>
        <v>29894.59413</v>
      </c>
      <c r="CL274" s="117">
        <f t="shared" si="286"/>
        <v>5679</v>
      </c>
      <c r="CM274" s="117">
        <f t="shared" si="287"/>
        <v>7028</v>
      </c>
      <c r="CN274" s="117">
        <f t="shared" si="288"/>
        <v>6185</v>
      </c>
      <c r="CO274" s="117">
        <f t="shared" si="289"/>
        <v>7488</v>
      </c>
      <c r="CP274" s="117">
        <f t="shared" si="290"/>
        <v>7111</v>
      </c>
      <c r="CQ274" s="117">
        <f t="shared" si="291"/>
        <v>7788.94</v>
      </c>
    </row>
    <row r="275" ht="15.75" customHeight="1">
      <c r="A275" s="91" t="s">
        <v>118</v>
      </c>
      <c r="C275" s="132" t="s">
        <v>212</v>
      </c>
      <c r="D275" s="116">
        <f>SUMIFS('IS Proforma'!P:P,'IS Proforma'!$C:$C,'Ops Departments'!$C275,'IS Proforma'!$A:$A,'Ops Departments'!$A275)</f>
        <v>1319</v>
      </c>
      <c r="E275" s="116">
        <f>SUMIFS('IS Proforma'!Q:Q,'IS Proforma'!$C:$C,'Ops Departments'!$C275,'IS Proforma'!$A:$A,'Ops Departments'!$A275)</f>
        <v>1215</v>
      </c>
      <c r="F275" s="116">
        <f>SUMIFS('IS Proforma'!R:R,'IS Proforma'!$C:$C,'Ops Departments'!$C275,'IS Proforma'!$A:$A,'Ops Departments'!$A275)</f>
        <v>1010</v>
      </c>
      <c r="G275" s="116">
        <f>SUMIFS('IS Proforma'!S:S,'IS Proforma'!$C:$C,'Ops Departments'!$C275,'IS Proforma'!$A:$A,'Ops Departments'!$A275)</f>
        <v>1286</v>
      </c>
      <c r="H275" s="116">
        <f>SUMIFS('IS Proforma'!T:T,'IS Proforma'!$C:$C,'Ops Departments'!$C275,'IS Proforma'!$A:$A,'Ops Departments'!$A275)</f>
        <v>1951</v>
      </c>
      <c r="I275" s="116">
        <f>SUMIFS('IS Proforma'!U:U,'IS Proforma'!$C:$C,'Ops Departments'!$C275,'IS Proforma'!$A:$A,'Ops Departments'!$A275)</f>
        <v>1162</v>
      </c>
      <c r="J275" s="116">
        <f>SUMIFS('IS Proforma'!V:V,'IS Proforma'!$C:$C,'Ops Departments'!$C275,'IS Proforma'!$A:$A,'Ops Departments'!$A275)</f>
        <v>1386</v>
      </c>
      <c r="K275" s="116">
        <f>SUMIFS('IS Proforma'!W:W,'IS Proforma'!$C:$C,'Ops Departments'!$C275,'IS Proforma'!$A:$A,'Ops Departments'!$A275)</f>
        <v>1656</v>
      </c>
      <c r="L275" s="116">
        <f>SUMIFS('IS Proforma'!X:X,'IS Proforma'!$C:$C,'Ops Departments'!$C275,'IS Proforma'!$A:$A,'Ops Departments'!$A275)</f>
        <v>2037</v>
      </c>
      <c r="M275" s="116">
        <f>SUMIFS('IS Proforma'!Y:Y,'IS Proforma'!$C:$C,'Ops Departments'!$C275,'IS Proforma'!$A:$A,'Ops Departments'!$A275)</f>
        <v>1634</v>
      </c>
      <c r="N275" s="116">
        <f>SUMIFS('IS Proforma'!Z:Z,'IS Proforma'!$C:$C,'Ops Departments'!$C275,'IS Proforma'!$A:$A,'Ops Departments'!$A275)</f>
        <v>1865</v>
      </c>
      <c r="O275" s="116">
        <f>SUMIFS('IS Proforma'!AA:AA,'IS Proforma'!$C:$C,'Ops Departments'!$C275,'IS Proforma'!$A:$A,'Ops Departments'!$A275)</f>
        <v>1601</v>
      </c>
      <c r="P275" s="116">
        <f>SUMIFS('IS Proforma'!AB:AB,'IS Proforma'!$C:$C,'Ops Departments'!$C275,'IS Proforma'!$A:$A,'Ops Departments'!$A275)</f>
        <v>1154</v>
      </c>
      <c r="Q275" s="116">
        <f>SUMIFS('IS Proforma'!AC:AC,'IS Proforma'!$C:$C,'Ops Departments'!$C275,'IS Proforma'!$A:$A,'Ops Departments'!$A275)</f>
        <v>2454</v>
      </c>
      <c r="R275" s="116">
        <f>SUMIFS('IS Proforma'!AD:AD,'IS Proforma'!$C:$C,'Ops Departments'!$C275,'IS Proforma'!$A:$A,'Ops Departments'!$A275)</f>
        <v>2140</v>
      </c>
      <c r="S275" s="116">
        <f>SUMIFS('IS Proforma'!AE:AE,'IS Proforma'!$C:$C,'Ops Departments'!$C275,'IS Proforma'!$A:$A,'Ops Departments'!$A275)</f>
        <v>1673</v>
      </c>
      <c r="T275" s="116">
        <f>SUMIFS('IS Proforma'!AF:AF,'IS Proforma'!$C:$C,'Ops Departments'!$C275,'IS Proforma'!$A:$A,'Ops Departments'!$A275)</f>
        <v>1940</v>
      </c>
      <c r="U275" s="116">
        <f>SUMIFS('IS Proforma'!AG:AG,'IS Proforma'!$C:$C,'Ops Departments'!$C275,'IS Proforma'!$A:$A,'Ops Departments'!$A275)</f>
        <v>1188</v>
      </c>
      <c r="V275" s="116">
        <f>SUMIFS('IS Proforma'!AH:AH,'IS Proforma'!$C:$C,'Ops Departments'!$C275,'IS Proforma'!$A:$A,'Ops Departments'!$A275)</f>
        <v>2040</v>
      </c>
      <c r="W275" s="116">
        <f>SUMIFS('IS Proforma'!AI:AI,'IS Proforma'!$C:$C,'Ops Departments'!$C275,'IS Proforma'!$A:$A,'Ops Departments'!$A275)</f>
        <v>2164</v>
      </c>
      <c r="X275" s="116">
        <f>SUMIFS('IS Proforma'!AJ:AJ,'IS Proforma'!$C:$C,'Ops Departments'!$C275,'IS Proforma'!$A:$A,'Ops Departments'!$A275)</f>
        <v>2083</v>
      </c>
      <c r="Y275" s="116">
        <f>SUMIFS('IS Proforma'!AK:AK,'IS Proforma'!$C:$C,'Ops Departments'!$C275,'IS Proforma'!$A:$A,'Ops Departments'!$A275)</f>
        <v>2478</v>
      </c>
      <c r="Z275" s="116">
        <f>SUMIFS('IS Proforma'!AL:AL,'IS Proforma'!$C:$C,'Ops Departments'!$C275,'IS Proforma'!$A:$A,'Ops Departments'!$A275)</f>
        <v>1203</v>
      </c>
      <c r="AA275" s="116">
        <f>SUMIFS('IS Proforma'!AM:AM,'IS Proforma'!$C:$C,'Ops Departments'!$C275,'IS Proforma'!$A:$A,'Ops Departments'!$A275)</f>
        <v>1301.049526</v>
      </c>
      <c r="AB275" s="116">
        <f>SUMIFS('IS Proforma'!AN:AN,'IS Proforma'!$C:$C,'Ops Departments'!$C275,'IS Proforma'!$A:$A,'Ops Departments'!$A275)</f>
        <v>1532.319329</v>
      </c>
      <c r="AC275" s="116">
        <f>SUMIFS('IS Proforma'!AO:AO,'IS Proforma'!$C:$C,'Ops Departments'!$C275,'IS Proforma'!$A:$A,'Ops Departments'!$A275)</f>
        <v>1760.871</v>
      </c>
      <c r="AD275" s="116">
        <f>SUMIFS('IS Proforma'!AP:AP,'IS Proforma'!$C:$C,'Ops Departments'!$C275,'IS Proforma'!$A:$A,'Ops Departments'!$A275)</f>
        <v>1970.175753</v>
      </c>
      <c r="AE275" s="116">
        <f>SUMIFS('IS Proforma'!AQ:AQ,'IS Proforma'!$C:$C,'Ops Departments'!$C275,'IS Proforma'!$A:$A,'Ops Departments'!$A275)</f>
        <v>2170.602508</v>
      </c>
      <c r="AF275" s="116">
        <f>SUMIFS('IS Proforma'!AR:AR,'IS Proforma'!$C:$C,'Ops Departments'!$C275,'IS Proforma'!$A:$A,'Ops Departments'!$A275)</f>
        <v>2369.743247</v>
      </c>
      <c r="AG275" s="116">
        <f>SUMIFS('IS Proforma'!AS:AS,'IS Proforma'!$C:$C,'Ops Departments'!$C275,'IS Proforma'!$A:$A,'Ops Departments'!$A275)</f>
        <v>2570.058322</v>
      </c>
      <c r="AH275" s="116">
        <f>SUMIFS('IS Proforma'!AT:AT,'IS Proforma'!$C:$C,'Ops Departments'!$C275,'IS Proforma'!$A:$A,'Ops Departments'!$A275)</f>
        <v>2750.631523</v>
      </c>
      <c r="AI275" s="116">
        <f>SUMIFS('IS Proforma'!AU:AU,'IS Proforma'!$C:$C,'Ops Departments'!$C275,'IS Proforma'!$A:$A,'Ops Departments'!$A275)</f>
        <v>2927.719281</v>
      </c>
      <c r="AJ275" s="116">
        <f>SUMIFS('IS Proforma'!AV:AV,'IS Proforma'!$C:$C,'Ops Departments'!$C275,'IS Proforma'!$A:$A,'Ops Departments'!$A275)</f>
        <v>3101.099108</v>
      </c>
      <c r="AK275" s="116">
        <f>SUMIFS('IS Proforma'!AW:AW,'IS Proforma'!$C:$C,'Ops Departments'!$C275,'IS Proforma'!$A:$A,'Ops Departments'!$A275)</f>
        <v>3262.274321</v>
      </c>
      <c r="AL275" s="116">
        <f>SUMIFS('IS Proforma'!AX:AX,'IS Proforma'!$C:$C,'Ops Departments'!$C275,'IS Proforma'!$A:$A,'Ops Departments'!$A275)</f>
        <v>3421.893582</v>
      </c>
      <c r="AM275" s="116">
        <f>SUMIFS('IS Proforma'!AY:AY,'IS Proforma'!$C:$C,'Ops Departments'!$C275,'IS Proforma'!$A:$A,'Ops Departments'!$A275)</f>
        <v>3583.522647</v>
      </c>
      <c r="AN275" s="116">
        <f>SUMIFS('IS Proforma'!AZ:AZ,'IS Proforma'!$C:$C,'Ops Departments'!$C275,'IS Proforma'!$A:$A,'Ops Departments'!$A275)</f>
        <v>3743.20077</v>
      </c>
      <c r="AO275" s="116">
        <f>SUMIFS('IS Proforma'!BA:BA,'IS Proforma'!$C:$C,'Ops Departments'!$C275,'IS Proforma'!$A:$A,'Ops Departments'!$A275)</f>
        <v>3771.63902</v>
      </c>
      <c r="AP275" s="116">
        <f>SUMIFS('IS Proforma'!BB:BB,'IS Proforma'!$C:$C,'Ops Departments'!$C275,'IS Proforma'!$A:$A,'Ops Departments'!$A275)</f>
        <v>3811.510845</v>
      </c>
      <c r="AQ275" s="116">
        <f>SUMIFS('IS Proforma'!BC:BC,'IS Proforma'!$C:$C,'Ops Departments'!$C275,'IS Proforma'!$A:$A,'Ops Departments'!$A275)</f>
        <v>3863.192929</v>
      </c>
      <c r="AR275" s="116">
        <f>SUMIFS('IS Proforma'!BD:BD,'IS Proforma'!$C:$C,'Ops Departments'!$C275,'IS Proforma'!$A:$A,'Ops Departments'!$A275)</f>
        <v>3918.060296</v>
      </c>
      <c r="AS275" s="116">
        <f>SUMIFS('IS Proforma'!BE:BE,'IS Proforma'!$C:$C,'Ops Departments'!$C275,'IS Proforma'!$A:$A,'Ops Departments'!$A275)</f>
        <v>3975.124608</v>
      </c>
      <c r="AT275" s="116">
        <f>SUMIFS('IS Proforma'!BF:BF,'IS Proforma'!$C:$C,'Ops Departments'!$C275,'IS Proforma'!$A:$A,'Ops Departments'!$A275)</f>
        <v>4031.565283</v>
      </c>
      <c r="AU275" s="116">
        <f>SUMIFS('IS Proforma'!BG:BG,'IS Proforma'!$C:$C,'Ops Departments'!$C275,'IS Proforma'!$A:$A,'Ops Departments'!$A275)</f>
        <v>4099.704439</v>
      </c>
      <c r="AV275" s="116">
        <f>SUMIFS('IS Proforma'!BH:BH,'IS Proforma'!$C:$C,'Ops Departments'!$C275,'IS Proforma'!$A:$A,'Ops Departments'!$A275)</f>
        <v>4154.701167</v>
      </c>
      <c r="AW275" s="116">
        <f>SUMIFS('IS Proforma'!BI:BI,'IS Proforma'!$C:$C,'Ops Departments'!$C275,'IS Proforma'!$A:$A,'Ops Departments'!$A275)</f>
        <v>4208.91709</v>
      </c>
      <c r="AX275" s="116">
        <f>SUMIFS('IS Proforma'!BJ:BJ,'IS Proforma'!$C:$C,'Ops Departments'!$C275,'IS Proforma'!$A:$A,'Ops Departments'!$A275)</f>
        <v>4262.383482</v>
      </c>
      <c r="AY275" s="116">
        <f>SUMIFS('IS Proforma'!BK:BK,'IS Proforma'!$C:$C,'Ops Departments'!$C275,'IS Proforma'!$A:$A,'Ops Departments'!$A275)</f>
        <v>4315.136683</v>
      </c>
      <c r="AZ275" s="116">
        <f>SUMIFS('IS Proforma'!BL:BL,'IS Proforma'!$C:$C,'Ops Departments'!$C275,'IS Proforma'!$A:$A,'Ops Departments'!$A275)</f>
        <v>4430.041937</v>
      </c>
      <c r="BA275" s="116">
        <f>SUMIFS('IS Proforma'!BM:BM,'IS Proforma'!$C:$C,'Ops Departments'!$C275,'IS Proforma'!$A:$A,'Ops Departments'!$A275)</f>
        <v>4516.537413</v>
      </c>
      <c r="BB275" s="116">
        <f>SUMIFS('IS Proforma'!BN:BN,'IS Proforma'!$C:$C,'Ops Departments'!$C275,'IS Proforma'!$A:$A,'Ops Departments'!$A275)</f>
        <v>4600.366158</v>
      </c>
      <c r="BC275" s="116">
        <f>SUMIFS('IS Proforma'!BO:BO,'IS Proforma'!$C:$C,'Ops Departments'!$C275,'IS Proforma'!$A:$A,'Ops Departments'!$A275)</f>
        <v>4682.037686</v>
      </c>
      <c r="BD275" s="116">
        <f>SUMIFS('IS Proforma'!BP:BP,'IS Proforma'!$C:$C,'Ops Departments'!$C275,'IS Proforma'!$A:$A,'Ops Departments'!$A275)</f>
        <v>4761.881426</v>
      </c>
      <c r="BE275" s="116">
        <f>SUMIFS('IS Proforma'!BQ:BQ,'IS Proforma'!$C:$C,'Ops Departments'!$C275,'IS Proforma'!$A:$A,'Ops Departments'!$A275)</f>
        <v>4840.109547</v>
      </c>
      <c r="BF275" s="116">
        <f>SUMIFS('IS Proforma'!BR:BR,'IS Proforma'!$C:$C,'Ops Departments'!$C275,'IS Proforma'!$A:$A,'Ops Departments'!$A275)</f>
        <v>4916.883794</v>
      </c>
      <c r="BG275" s="116">
        <f>SUMIFS('IS Proforma'!BS:BS,'IS Proforma'!$C:$C,'Ops Departments'!$C275,'IS Proforma'!$A:$A,'Ops Departments'!$A275)</f>
        <v>4992.336072</v>
      </c>
      <c r="BH275" s="116">
        <f>SUMIFS('IS Proforma'!BT:BT,'IS Proforma'!$C:$C,'Ops Departments'!$C275,'IS Proforma'!$A:$A,'Ops Departments'!$A275)</f>
        <v>5066.577726</v>
      </c>
      <c r="BI275" s="116">
        <f>SUMIFS('IS Proforma'!BU:BU,'IS Proforma'!$C:$C,'Ops Departments'!$C275,'IS Proforma'!$A:$A,'Ops Departments'!$A275)</f>
        <v>5139.704944</v>
      </c>
      <c r="BJ275" s="116">
        <f>SUMIFS('IS Proforma'!BV:BV,'IS Proforma'!$C:$C,'Ops Departments'!$C275,'IS Proforma'!$A:$A,'Ops Departments'!$A275)</f>
        <v>5211.802364</v>
      </c>
      <c r="BK275" s="116">
        <f>SUMIFS('IS Proforma'!BW:BW,'IS Proforma'!$C:$C,'Ops Departments'!$C275,'IS Proforma'!$A:$A,'Ops Departments'!$A275)</f>
        <v>5282.945638</v>
      </c>
      <c r="BL275" s="116">
        <f>SUMIFS('IS Proforma'!BX:BX,'IS Proforma'!$C:$C,'Ops Departments'!$C275,'IS Proforma'!$A:$A,'Ops Departments'!$A275)</f>
        <v>5385.765301</v>
      </c>
      <c r="BM275" s="116">
        <f>SUMIFS('IS Proforma'!BY:BY,'IS Proforma'!$C:$C,'Ops Departments'!$C275,'IS Proforma'!$A:$A,'Ops Departments'!$A275)</f>
        <v>5465.576988</v>
      </c>
      <c r="BN275" s="116">
        <f>SUMIFS('IS Proforma'!BZ:BZ,'IS Proforma'!$C:$C,'Ops Departments'!$C275,'IS Proforma'!$A:$A,'Ops Departments'!$A275)</f>
        <v>5537.858335</v>
      </c>
      <c r="BO275" s="116">
        <f>SUMIFS('IS Proforma'!CA:CA,'IS Proforma'!$C:$C,'Ops Departments'!$C275,'IS Proforma'!$A:$A,'Ops Departments'!$A275)</f>
        <v>5608.711234</v>
      </c>
      <c r="BP275" s="116">
        <f>SUMIFS('IS Proforma'!CB:CB,'IS Proforma'!$C:$C,'Ops Departments'!$C275,'IS Proforma'!$A:$A,'Ops Departments'!$A275)</f>
        <v>5679.213299</v>
      </c>
      <c r="BQ275" s="116">
        <f>SUMIFS('IS Proforma'!CC:CC,'IS Proforma'!$C:$C,'Ops Departments'!$C275,'IS Proforma'!$A:$A,'Ops Departments'!$A275)</f>
        <v>5749.39164</v>
      </c>
      <c r="BR275" s="116">
        <f>SUMIFS('IS Proforma'!CD:CD,'IS Proforma'!$C:$C,'Ops Departments'!$C275,'IS Proforma'!$A:$A,'Ops Departments'!$A275)</f>
        <v>5819.292994</v>
      </c>
      <c r="BS275" s="116">
        <f>SUMIFS('IS Proforma'!CE:CE,'IS Proforma'!$C:$C,'Ops Departments'!$C275,'IS Proforma'!$A:$A,'Ops Departments'!$A275)</f>
        <v>5888.962515</v>
      </c>
      <c r="BT275" s="116">
        <f>SUMIFS('IS Proforma'!CF:CF,'IS Proforma'!$C:$C,'Ops Departments'!$C275,'IS Proforma'!$A:$A,'Ops Departments'!$A275)</f>
        <v>5958.442954</v>
      </c>
      <c r="BU275" s="116">
        <f>SUMIFS('IS Proforma'!CG:CG,'IS Proforma'!$C:$C,'Ops Departments'!$C275,'IS Proforma'!$A:$A,'Ops Departments'!$A275)</f>
        <v>6027.775418</v>
      </c>
      <c r="BV275" s="116">
        <f>SUMIFS('IS Proforma'!CH:CH,'IS Proforma'!$C:$C,'Ops Departments'!$C275,'IS Proforma'!$A:$A,'Ops Departments'!$A275)</f>
        <v>6096.999833</v>
      </c>
      <c r="BW275" s="116">
        <f>SUMIFS('IS Proforma'!CI:CI,'IS Proforma'!$C:$C,'Ops Departments'!$C275,'IS Proforma'!$A:$A,'Ops Departments'!$A275)</f>
        <v>6166.155179</v>
      </c>
      <c r="BX275" s="116">
        <f>SUMIFS('IS Proforma'!CJ:CJ,'IS Proforma'!$C:$C,'Ops Departments'!$C275,'IS Proforma'!$A:$A,'Ops Departments'!$A275)</f>
        <v>6260.727664</v>
      </c>
      <c r="BY275" s="116">
        <f>SUMIFS('IS Proforma'!CK:CK,'IS Proforma'!$C:$C,'Ops Departments'!$C275,'IS Proforma'!$A:$A,'Ops Departments'!$A275)</f>
        <v>6304.931543</v>
      </c>
      <c r="BZ275" s="116">
        <f>SUMIFS('IS Proforma'!CL:CL,'IS Proforma'!$C:$C,'Ops Departments'!$C275,'IS Proforma'!$A:$A,'Ops Departments'!$A275)</f>
        <v>6347.184155</v>
      </c>
      <c r="CA275" s="116">
        <f>SUMIFS('IS Proforma'!CM:CM,'IS Proforma'!$C:$C,'Ops Departments'!$C275,'IS Proforma'!$A:$A,'Ops Departments'!$A275)</f>
        <v>6391.642137</v>
      </c>
      <c r="CB275" s="116">
        <f>SUMIFS('IS Proforma'!CN:CN,'IS Proforma'!$C:$C,'Ops Departments'!$C275,'IS Proforma'!$A:$A,'Ops Departments'!$A275)</f>
        <v>6437.38462</v>
      </c>
      <c r="CC275" s="116">
        <f>SUMIFS('IS Proforma'!CO:CO,'IS Proforma'!$C:$C,'Ops Departments'!$C275,'IS Proforma'!$A:$A,'Ops Departments'!$A275)</f>
        <v>6483.719206</v>
      </c>
      <c r="CD275" s="116">
        <f>SUMIFS('IS Proforma'!CP:CP,'IS Proforma'!$C:$C,'Ops Departments'!$C275,'IS Proforma'!$A:$A,'Ops Departments'!$A275)</f>
        <v>6530.356292</v>
      </c>
      <c r="CE275" s="116">
        <f>SUMIFS('IS Proforma'!CQ:CQ,'IS Proforma'!$C:$C,'Ops Departments'!$C275,'IS Proforma'!$A:$A,'Ops Departments'!$A275)</f>
        <v>6577.147734</v>
      </c>
      <c r="CF275" s="116">
        <f>SUMIFS('IS Proforma'!CR:CR,'IS Proforma'!$C:$C,'Ops Departments'!$C275,'IS Proforma'!$A:$A,'Ops Departments'!$A275)</f>
        <v>6624.009895</v>
      </c>
      <c r="CG275" s="116">
        <f>SUMIFS('IS Proforma'!CS:CS,'IS Proforma'!$C:$C,'Ops Departments'!$C275,'IS Proforma'!$A:$A,'Ops Departments'!$A275)</f>
        <v>6670.894868</v>
      </c>
      <c r="CH275" s="116">
        <f>SUMIFS('IS Proforma'!CT:CT,'IS Proforma'!$C:$C,'Ops Departments'!$C275,'IS Proforma'!$A:$A,'Ops Departments'!$A275)</f>
        <v>6717.777153</v>
      </c>
      <c r="CI275" s="116">
        <f>SUMIFS('IS Proforma'!CU:CU,'IS Proforma'!$C:$C,'Ops Departments'!$C275,'IS Proforma'!$A:$A,'Ops Departments'!$A275)</f>
        <v>6764.646305</v>
      </c>
      <c r="CL275" s="117">
        <f t="shared" si="286"/>
        <v>4830</v>
      </c>
      <c r="CM275" s="117">
        <f t="shared" si="287"/>
        <v>6155</v>
      </c>
      <c r="CN275" s="117">
        <f t="shared" si="288"/>
        <v>7137</v>
      </c>
      <c r="CO275" s="117">
        <f t="shared" si="289"/>
        <v>7421</v>
      </c>
      <c r="CP275" s="117">
        <f t="shared" si="290"/>
        <v>7332</v>
      </c>
      <c r="CQ275" s="117">
        <f t="shared" si="291"/>
        <v>7065.049526</v>
      </c>
    </row>
    <row r="276" ht="15.75" customHeight="1">
      <c r="A276" s="91" t="s">
        <v>118</v>
      </c>
      <c r="B276" s="1"/>
      <c r="C276" s="132" t="s">
        <v>213</v>
      </c>
      <c r="D276" s="116">
        <f>SUMIFS('IS Proforma'!P:P,'IS Proforma'!$C:$C,'Ops Departments'!$C276,'IS Proforma'!$A:$A,'Ops Departments'!$A276)</f>
        <v>2141</v>
      </c>
      <c r="E276" s="116">
        <f>SUMIFS('IS Proforma'!Q:Q,'IS Proforma'!$C:$C,'Ops Departments'!$C276,'IS Proforma'!$A:$A,'Ops Departments'!$A276)</f>
        <v>2485</v>
      </c>
      <c r="F276" s="116">
        <f>SUMIFS('IS Proforma'!R:R,'IS Proforma'!$C:$C,'Ops Departments'!$C276,'IS Proforma'!$A:$A,'Ops Departments'!$A276)</f>
        <v>1252</v>
      </c>
      <c r="G276" s="116">
        <f>SUMIFS('IS Proforma'!S:S,'IS Proforma'!$C:$C,'Ops Departments'!$C276,'IS Proforma'!$A:$A,'Ops Departments'!$A276)</f>
        <v>1805</v>
      </c>
      <c r="H276" s="116">
        <f>SUMIFS('IS Proforma'!T:T,'IS Proforma'!$C:$C,'Ops Departments'!$C276,'IS Proforma'!$A:$A,'Ops Departments'!$A276)</f>
        <v>2076</v>
      </c>
      <c r="I276" s="116">
        <f>SUMIFS('IS Proforma'!U:U,'IS Proforma'!$C:$C,'Ops Departments'!$C276,'IS Proforma'!$A:$A,'Ops Departments'!$A276)</f>
        <v>2197</v>
      </c>
      <c r="J276" s="116">
        <f>SUMIFS('IS Proforma'!V:V,'IS Proforma'!$C:$C,'Ops Departments'!$C276,'IS Proforma'!$A:$A,'Ops Departments'!$A276)</f>
        <v>1327</v>
      </c>
      <c r="K276" s="116">
        <f>SUMIFS('IS Proforma'!W:W,'IS Proforma'!$C:$C,'Ops Departments'!$C276,'IS Proforma'!$A:$A,'Ops Departments'!$A276)</f>
        <v>1647</v>
      </c>
      <c r="L276" s="116">
        <f>SUMIFS('IS Proforma'!X:X,'IS Proforma'!$C:$C,'Ops Departments'!$C276,'IS Proforma'!$A:$A,'Ops Departments'!$A276)</f>
        <v>1851</v>
      </c>
      <c r="M276" s="116">
        <f>SUMIFS('IS Proforma'!Y:Y,'IS Proforma'!$C:$C,'Ops Departments'!$C276,'IS Proforma'!$A:$A,'Ops Departments'!$A276)</f>
        <v>1847</v>
      </c>
      <c r="N276" s="116">
        <f>SUMIFS('IS Proforma'!Z:Z,'IS Proforma'!$C:$C,'Ops Departments'!$C276,'IS Proforma'!$A:$A,'Ops Departments'!$A276)</f>
        <v>1751</v>
      </c>
      <c r="O276" s="116">
        <f>SUMIFS('IS Proforma'!AA:AA,'IS Proforma'!$C:$C,'Ops Departments'!$C276,'IS Proforma'!$A:$A,'Ops Departments'!$A276)</f>
        <v>1127</v>
      </c>
      <c r="P276" s="116">
        <f>SUMIFS('IS Proforma'!AB:AB,'IS Proforma'!$C:$C,'Ops Departments'!$C276,'IS Proforma'!$A:$A,'Ops Departments'!$A276)</f>
        <v>1815</v>
      </c>
      <c r="Q276" s="116">
        <f>SUMIFS('IS Proforma'!AC:AC,'IS Proforma'!$C:$C,'Ops Departments'!$C276,'IS Proforma'!$A:$A,'Ops Departments'!$A276)</f>
        <v>1552</v>
      </c>
      <c r="R276" s="116">
        <f>SUMIFS('IS Proforma'!AD:AD,'IS Proforma'!$C:$C,'Ops Departments'!$C276,'IS Proforma'!$A:$A,'Ops Departments'!$A276)</f>
        <v>1970</v>
      </c>
      <c r="S276" s="116">
        <f>SUMIFS('IS Proforma'!AE:AE,'IS Proforma'!$C:$C,'Ops Departments'!$C276,'IS Proforma'!$A:$A,'Ops Departments'!$A276)</f>
        <v>2430</v>
      </c>
      <c r="T276" s="116">
        <f>SUMIFS('IS Proforma'!AF:AF,'IS Proforma'!$C:$C,'Ops Departments'!$C276,'IS Proforma'!$A:$A,'Ops Departments'!$A276)</f>
        <v>1027</v>
      </c>
      <c r="U276" s="116">
        <f>SUMIFS('IS Proforma'!AG:AG,'IS Proforma'!$C:$C,'Ops Departments'!$C276,'IS Proforma'!$A:$A,'Ops Departments'!$A276)</f>
        <v>1980</v>
      </c>
      <c r="V276" s="116">
        <f>SUMIFS('IS Proforma'!AH:AH,'IS Proforma'!$C:$C,'Ops Departments'!$C276,'IS Proforma'!$A:$A,'Ops Departments'!$A276)</f>
        <v>1971</v>
      </c>
      <c r="W276" s="116">
        <f>SUMIFS('IS Proforma'!AI:AI,'IS Proforma'!$C:$C,'Ops Departments'!$C276,'IS Proforma'!$A:$A,'Ops Departments'!$A276)</f>
        <v>1921</v>
      </c>
      <c r="X276" s="116">
        <f>SUMIFS('IS Proforma'!AJ:AJ,'IS Proforma'!$C:$C,'Ops Departments'!$C276,'IS Proforma'!$A:$A,'Ops Departments'!$A276)</f>
        <v>1018</v>
      </c>
      <c r="Y276" s="116">
        <f>SUMIFS('IS Proforma'!AK:AK,'IS Proforma'!$C:$C,'Ops Departments'!$C276,'IS Proforma'!$A:$A,'Ops Departments'!$A276)</f>
        <v>2209</v>
      </c>
      <c r="Z276" s="116">
        <f>SUMIFS('IS Proforma'!AL:AL,'IS Proforma'!$C:$C,'Ops Departments'!$C276,'IS Proforma'!$A:$A,'Ops Departments'!$A276)</f>
        <v>1736</v>
      </c>
      <c r="AA276" s="116">
        <f>SUMIFS('IS Proforma'!AM:AM,'IS Proforma'!$C:$C,'Ops Departments'!$C276,'IS Proforma'!$A:$A,'Ops Departments'!$A276)</f>
        <v>1877.491253</v>
      </c>
      <c r="AB276" s="116">
        <f>SUMIFS('IS Proforma'!AN:AN,'IS Proforma'!$C:$C,'Ops Departments'!$C276,'IS Proforma'!$A:$A,'Ops Departments'!$A276)</f>
        <v>2211.227228</v>
      </c>
      <c r="AC276" s="116">
        <f>SUMIFS('IS Proforma'!AO:AO,'IS Proforma'!$C:$C,'Ops Departments'!$C276,'IS Proforma'!$A:$A,'Ops Departments'!$A276)</f>
        <v>2541.040778</v>
      </c>
      <c r="AD276" s="116">
        <f>SUMIFS('IS Proforma'!AP:AP,'IS Proforma'!$C:$C,'Ops Departments'!$C276,'IS Proforma'!$A:$A,'Ops Departments'!$A276)</f>
        <v>2843.07989</v>
      </c>
      <c r="AE276" s="116">
        <f>SUMIFS('IS Proforma'!AQ:AQ,'IS Proforma'!$C:$C,'Ops Departments'!$C276,'IS Proforma'!$A:$A,'Ops Departments'!$A276)</f>
        <v>3132.307526</v>
      </c>
      <c r="AF276" s="116">
        <f>SUMIFS('IS Proforma'!AR:AR,'IS Proforma'!$C:$C,'Ops Departments'!$C276,'IS Proforma'!$A:$A,'Ops Departments'!$A276)</f>
        <v>3419.679366</v>
      </c>
      <c r="AG276" s="116">
        <f>SUMIFS('IS Proforma'!AS:AS,'IS Proforma'!$C:$C,'Ops Departments'!$C276,'IS Proforma'!$A:$A,'Ops Departments'!$A276)</f>
        <v>3708.745841</v>
      </c>
      <c r="AH276" s="116">
        <f>SUMIFS('IS Proforma'!AT:AT,'IS Proforma'!$C:$C,'Ops Departments'!$C276,'IS Proforma'!$A:$A,'Ops Departments'!$A276)</f>
        <v>3969.323628</v>
      </c>
      <c r="AI276" s="116">
        <f>SUMIFS('IS Proforma'!AU:AU,'IS Proforma'!$C:$C,'Ops Departments'!$C276,'IS Proforma'!$A:$A,'Ops Departments'!$A276)</f>
        <v>4224.871714</v>
      </c>
      <c r="AJ276" s="116">
        <f>SUMIFS('IS Proforma'!AV:AV,'IS Proforma'!$C:$C,'Ops Departments'!$C276,'IS Proforma'!$A:$A,'Ops Departments'!$A276)</f>
        <v>4475.069038</v>
      </c>
      <c r="AK276" s="116">
        <f>SUMIFS('IS Proforma'!AW:AW,'IS Proforma'!$C:$C,'Ops Departments'!$C276,'IS Proforma'!$A:$A,'Ops Departments'!$A276)</f>
        <v>4707.654381</v>
      </c>
      <c r="AL276" s="116">
        <f>SUMIFS('IS Proforma'!AX:AX,'IS Proforma'!$C:$C,'Ops Departments'!$C276,'IS Proforma'!$A:$A,'Ops Departments'!$A276)</f>
        <v>4937.994396</v>
      </c>
      <c r="AM276" s="116">
        <f>SUMIFS('IS Proforma'!AY:AY,'IS Proforma'!$C:$C,'Ops Departments'!$C276,'IS Proforma'!$A:$A,'Ops Departments'!$A276)</f>
        <v>5171.234676</v>
      </c>
      <c r="AN276" s="116">
        <f>SUMIFS('IS Proforma'!AZ:AZ,'IS Proforma'!$C:$C,'Ops Departments'!$C276,'IS Proforma'!$A:$A,'Ops Departments'!$A276)</f>
        <v>44806.49905</v>
      </c>
      <c r="AO276" s="116">
        <f>SUMIFS('IS Proforma'!BA:BA,'IS Proforma'!$C:$C,'Ops Departments'!$C276,'IS Proforma'!$A:$A,'Ops Departments'!$A276)</f>
        <v>45146.90784</v>
      </c>
      <c r="AP276" s="116">
        <f>SUMIFS('IS Proforma'!BB:BB,'IS Proforma'!$C:$C,'Ops Departments'!$C276,'IS Proforma'!$A:$A,'Ops Departments'!$A276)</f>
        <v>45624.17769</v>
      </c>
      <c r="AQ276" s="116">
        <f>SUMIFS('IS Proforma'!BC:BC,'IS Proforma'!$C:$C,'Ops Departments'!$C276,'IS Proforma'!$A:$A,'Ops Departments'!$A276)</f>
        <v>46242.81756</v>
      </c>
      <c r="AR276" s="116">
        <f>SUMIFS('IS Proforma'!BD:BD,'IS Proforma'!$C:$C,'Ops Departments'!$C276,'IS Proforma'!$A:$A,'Ops Departments'!$A276)</f>
        <v>46899.5856</v>
      </c>
      <c r="AS276" s="116">
        <f>SUMIFS('IS Proforma'!BE:BE,'IS Proforma'!$C:$C,'Ops Departments'!$C276,'IS Proforma'!$A:$A,'Ops Departments'!$A276)</f>
        <v>47582.6513</v>
      </c>
      <c r="AT276" s="116">
        <f>SUMIFS('IS Proforma'!BF:BF,'IS Proforma'!$C:$C,'Ops Departments'!$C276,'IS Proforma'!$A:$A,'Ops Departments'!$A276)</f>
        <v>48258.25199</v>
      </c>
      <c r="AU276" s="116">
        <f>SUMIFS('IS Proforma'!BG:BG,'IS Proforma'!$C:$C,'Ops Departments'!$C276,'IS Proforma'!$A:$A,'Ops Departments'!$A276)</f>
        <v>49073.88472</v>
      </c>
      <c r="AV276" s="116">
        <f>SUMIFS('IS Proforma'!BH:BH,'IS Proforma'!$C:$C,'Ops Departments'!$C276,'IS Proforma'!$A:$A,'Ops Departments'!$A276)</f>
        <v>49732.20121</v>
      </c>
      <c r="AW276" s="116">
        <f>SUMIFS('IS Proforma'!BI:BI,'IS Proforma'!$C:$C,'Ops Departments'!$C276,'IS Proforma'!$A:$A,'Ops Departments'!$A276)</f>
        <v>50381.1714</v>
      </c>
      <c r="AX276" s="116">
        <f>SUMIFS('IS Proforma'!BJ:BJ,'IS Proforma'!$C:$C,'Ops Departments'!$C276,'IS Proforma'!$A:$A,'Ops Departments'!$A276)</f>
        <v>51021.16963</v>
      </c>
      <c r="AY276" s="116">
        <f>SUMIFS('IS Proforma'!BK:BK,'IS Proforma'!$C:$C,'Ops Departments'!$C276,'IS Proforma'!$A:$A,'Ops Departments'!$A276)</f>
        <v>51652.63089</v>
      </c>
      <c r="AZ276" s="116">
        <f>SUMIFS('IS Proforma'!BL:BL,'IS Proforma'!$C:$C,'Ops Departments'!$C276,'IS Proforma'!$A:$A,'Ops Departments'!$A276)</f>
        <v>60259.15752</v>
      </c>
      <c r="BA276" s="116">
        <f>SUMIFS('IS Proforma'!BM:BM,'IS Proforma'!$C:$C,'Ops Departments'!$C276,'IS Proforma'!$A:$A,'Ops Departments'!$A276)</f>
        <v>61435.7027</v>
      </c>
      <c r="BB276" s="116">
        <f>SUMIFS('IS Proforma'!BN:BN,'IS Proforma'!$C:$C,'Ops Departments'!$C276,'IS Proforma'!$A:$A,'Ops Departments'!$A276)</f>
        <v>62575.97397</v>
      </c>
      <c r="BC276" s="116">
        <f>SUMIFS('IS Proforma'!BO:BO,'IS Proforma'!$C:$C,'Ops Departments'!$C276,'IS Proforma'!$A:$A,'Ops Departments'!$A276)</f>
        <v>63686.90194</v>
      </c>
      <c r="BD276" s="116">
        <f>SUMIFS('IS Proforma'!BP:BP,'IS Proforma'!$C:$C,'Ops Departments'!$C276,'IS Proforma'!$A:$A,'Ops Departments'!$A276)</f>
        <v>64772.96761</v>
      </c>
      <c r="BE276" s="116">
        <f>SUMIFS('IS Proforma'!BQ:BQ,'IS Proforma'!$C:$C,'Ops Departments'!$C276,'IS Proforma'!$A:$A,'Ops Departments'!$A276)</f>
        <v>65837.05702</v>
      </c>
      <c r="BF276" s="116">
        <f>SUMIFS('IS Proforma'!BR:BR,'IS Proforma'!$C:$C,'Ops Departments'!$C276,'IS Proforma'!$A:$A,'Ops Departments'!$A276)</f>
        <v>66881.37025</v>
      </c>
      <c r="BG276" s="116">
        <f>SUMIFS('IS Proforma'!BS:BS,'IS Proforma'!$C:$C,'Ops Departments'!$C276,'IS Proforma'!$A:$A,'Ops Departments'!$A276)</f>
        <v>67907.70156</v>
      </c>
      <c r="BH276" s="116">
        <f>SUMIFS('IS Proforma'!BT:BT,'IS Proforma'!$C:$C,'Ops Departments'!$C276,'IS Proforma'!$A:$A,'Ops Departments'!$A276)</f>
        <v>68917.56548</v>
      </c>
      <c r="BI276" s="116">
        <f>SUMIFS('IS Proforma'!BU:BU,'IS Proforma'!$C:$C,'Ops Departments'!$C276,'IS Proforma'!$A:$A,'Ops Departments'!$A276)</f>
        <v>69912.2704</v>
      </c>
      <c r="BJ276" s="116">
        <f>SUMIFS('IS Proforma'!BV:BV,'IS Proforma'!$C:$C,'Ops Departments'!$C276,'IS Proforma'!$A:$A,'Ops Departments'!$A276)</f>
        <v>70892.96762</v>
      </c>
      <c r="BK276" s="116">
        <f>SUMIFS('IS Proforma'!BW:BW,'IS Proforma'!$C:$C,'Ops Departments'!$C276,'IS Proforma'!$A:$A,'Ops Departments'!$A276)</f>
        <v>71860.68617</v>
      </c>
      <c r="BL276" s="116">
        <f>SUMIFS('IS Proforma'!BX:BX,'IS Proforma'!$C:$C,'Ops Departments'!$C276,'IS Proforma'!$A:$A,'Ops Departments'!$A276)</f>
        <v>82050.39283</v>
      </c>
      <c r="BM276" s="116">
        <f>SUMIFS('IS Proforma'!BY:BY,'IS Proforma'!$C:$C,'Ops Departments'!$C276,'IS Proforma'!$A:$A,'Ops Departments'!$A276)</f>
        <v>83266.29807</v>
      </c>
      <c r="BN276" s="116">
        <f>SUMIFS('IS Proforma'!BZ:BZ,'IS Proforma'!$C:$C,'Ops Departments'!$C276,'IS Proforma'!$A:$A,'Ops Departments'!$A276)</f>
        <v>84367.48103</v>
      </c>
      <c r="BO276" s="116">
        <f>SUMIFS('IS Proforma'!CA:CA,'IS Proforma'!$C:$C,'Ops Departments'!$C276,'IS Proforma'!$A:$A,'Ops Departments'!$A276)</f>
        <v>85446.90202</v>
      </c>
      <c r="BP276" s="116">
        <f>SUMIFS('IS Proforma'!CB:CB,'IS Proforma'!$C:$C,'Ops Departments'!$C276,'IS Proforma'!$A:$A,'Ops Departments'!$A276)</f>
        <v>86520.97819</v>
      </c>
      <c r="BQ276" s="116">
        <f>SUMIFS('IS Proforma'!CC:CC,'IS Proforma'!$C:$C,'Ops Departments'!$C276,'IS Proforma'!$A:$A,'Ops Departments'!$A276)</f>
        <v>87590.12252</v>
      </c>
      <c r="BR276" s="116">
        <f>SUMIFS('IS Proforma'!CD:CD,'IS Proforma'!$C:$C,'Ops Departments'!$C276,'IS Proforma'!$A:$A,'Ops Departments'!$A276)</f>
        <v>88655.04705</v>
      </c>
      <c r="BS276" s="116">
        <f>SUMIFS('IS Proforma'!CE:CE,'IS Proforma'!$C:$C,'Ops Departments'!$C276,'IS Proforma'!$A:$A,'Ops Departments'!$A276)</f>
        <v>89716.43968</v>
      </c>
      <c r="BT276" s="116">
        <f>SUMIFS('IS Proforma'!CF:CF,'IS Proforma'!$C:$C,'Ops Departments'!$C276,'IS Proforma'!$A:$A,'Ops Departments'!$A276)</f>
        <v>90774.95169</v>
      </c>
      <c r="BU276" s="116">
        <f>SUMIFS('IS Proforma'!CG:CG,'IS Proforma'!$C:$C,'Ops Departments'!$C276,'IS Proforma'!$A:$A,'Ops Departments'!$A276)</f>
        <v>91831.20936</v>
      </c>
      <c r="BV276" s="116">
        <f>SUMIFS('IS Proforma'!CH:CH,'IS Proforma'!$C:$C,'Ops Departments'!$C276,'IS Proforma'!$A:$A,'Ops Departments'!$A276)</f>
        <v>92885.82095</v>
      </c>
      <c r="BW276" s="116">
        <f>SUMIFS('IS Proforma'!CI:CI,'IS Proforma'!$C:$C,'Ops Departments'!$C276,'IS Proforma'!$A:$A,'Ops Departments'!$A276)</f>
        <v>93939.38027</v>
      </c>
      <c r="BX276" s="116">
        <f>SUMIFS('IS Proforma'!CJ:CJ,'IS Proforma'!$C:$C,'Ops Departments'!$C276,'IS Proforma'!$A:$A,'Ops Departments'!$A276)</f>
        <v>95380.1615</v>
      </c>
      <c r="BY276" s="116">
        <f>SUMIFS('IS Proforma'!CK:CK,'IS Proforma'!$C:$C,'Ops Departments'!$C276,'IS Proforma'!$A:$A,'Ops Departments'!$A276)</f>
        <v>102914.5643</v>
      </c>
      <c r="BZ276" s="116">
        <f>SUMIFS('IS Proforma'!CL:CL,'IS Proforma'!$C:$C,'Ops Departments'!$C276,'IS Proforma'!$A:$A,'Ops Departments'!$A276)</f>
        <v>103604.2481</v>
      </c>
      <c r="CA276" s="116">
        <f>SUMIFS('IS Proforma'!CM:CM,'IS Proforma'!$C:$C,'Ops Departments'!$C276,'IS Proforma'!$A:$A,'Ops Departments'!$A276)</f>
        <v>104329.9298</v>
      </c>
      <c r="CB276" s="116">
        <f>SUMIFS('IS Proforma'!CN:CN,'IS Proforma'!$C:$C,'Ops Departments'!$C276,'IS Proforma'!$A:$A,'Ops Departments'!$A276)</f>
        <v>105076.5783</v>
      </c>
      <c r="CC276" s="116">
        <f>SUMIFS('IS Proforma'!CO:CO,'IS Proforma'!$C:$C,'Ops Departments'!$C276,'IS Proforma'!$A:$A,'Ops Departments'!$A276)</f>
        <v>105832.8917</v>
      </c>
      <c r="CD276" s="116">
        <f>SUMIFS('IS Proforma'!CP:CP,'IS Proforma'!$C:$C,'Ops Departments'!$C276,'IS Proforma'!$A:$A,'Ops Departments'!$A276)</f>
        <v>106594.1426</v>
      </c>
      <c r="CE276" s="116">
        <f>SUMIFS('IS Proforma'!CQ:CQ,'IS Proforma'!$C:$C,'Ops Departments'!$C276,'IS Proforma'!$A:$A,'Ops Departments'!$A276)</f>
        <v>107357.9132</v>
      </c>
      <c r="CF276" s="116">
        <f>SUMIFS('IS Proforma'!CR:CR,'IS Proforma'!$C:$C,'Ops Departments'!$C276,'IS Proforma'!$A:$A,'Ops Departments'!$A276)</f>
        <v>108122.838</v>
      </c>
      <c r="CG276" s="116">
        <f>SUMIFS('IS Proforma'!CS:CS,'IS Proforma'!$C:$C,'Ops Departments'!$C276,'IS Proforma'!$A:$A,'Ops Departments'!$A276)</f>
        <v>108888.1352</v>
      </c>
      <c r="CH276" s="116">
        <f>SUMIFS('IS Proforma'!CT:CT,'IS Proforma'!$C:$C,'Ops Departments'!$C276,'IS Proforma'!$A:$A,'Ops Departments'!$A276)</f>
        <v>109653.3886</v>
      </c>
      <c r="CI276" s="116">
        <f>SUMIFS('IS Proforma'!CU:CU,'IS Proforma'!$C:$C,'Ops Departments'!$C276,'IS Proforma'!$A:$A,'Ops Departments'!$A276)</f>
        <v>110418.4276</v>
      </c>
      <c r="CJ276" s="1"/>
      <c r="CK276" s="1"/>
      <c r="CL276" s="117"/>
      <c r="CM276" s="117"/>
      <c r="CN276" s="117"/>
      <c r="CO276" s="117"/>
      <c r="CP276" s="117"/>
      <c r="CQ276" s="117"/>
    </row>
    <row r="277" ht="15.75" customHeight="1">
      <c r="A277" s="91" t="s">
        <v>118</v>
      </c>
      <c r="B277" s="1"/>
      <c r="C277" s="132" t="s">
        <v>214</v>
      </c>
      <c r="D277" s="116">
        <f>SUMIFS('IS Proforma'!P:P,'IS Proforma'!$C:$C,'Ops Departments'!$C277,'IS Proforma'!$A:$A,'Ops Departments'!$A277)</f>
        <v>1234</v>
      </c>
      <c r="E277" s="116">
        <f>SUMIFS('IS Proforma'!Q:Q,'IS Proforma'!$C:$C,'Ops Departments'!$C277,'IS Proforma'!$A:$A,'Ops Departments'!$A277)</f>
        <v>1705</v>
      </c>
      <c r="F277" s="116">
        <f>SUMIFS('IS Proforma'!R:R,'IS Proforma'!$C:$C,'Ops Departments'!$C277,'IS Proforma'!$A:$A,'Ops Departments'!$A277)</f>
        <v>1198</v>
      </c>
      <c r="G277" s="116">
        <f>SUMIFS('IS Proforma'!S:S,'IS Proforma'!$C:$C,'Ops Departments'!$C277,'IS Proforma'!$A:$A,'Ops Departments'!$A277)</f>
        <v>1532</v>
      </c>
      <c r="H277" s="116">
        <f>SUMIFS('IS Proforma'!T:T,'IS Proforma'!$C:$C,'Ops Departments'!$C277,'IS Proforma'!$A:$A,'Ops Departments'!$A277)</f>
        <v>2380</v>
      </c>
      <c r="I277" s="116">
        <f>SUMIFS('IS Proforma'!U:U,'IS Proforma'!$C:$C,'Ops Departments'!$C277,'IS Proforma'!$A:$A,'Ops Departments'!$A277)</f>
        <v>1290</v>
      </c>
      <c r="J277" s="116">
        <f>SUMIFS('IS Proforma'!V:V,'IS Proforma'!$C:$C,'Ops Departments'!$C277,'IS Proforma'!$A:$A,'Ops Departments'!$A277)</f>
        <v>1305</v>
      </c>
      <c r="K277" s="116">
        <f>SUMIFS('IS Proforma'!W:W,'IS Proforma'!$C:$C,'Ops Departments'!$C277,'IS Proforma'!$A:$A,'Ops Departments'!$A277)</f>
        <v>2330</v>
      </c>
      <c r="L277" s="116">
        <f>SUMIFS('IS Proforma'!X:X,'IS Proforma'!$C:$C,'Ops Departments'!$C277,'IS Proforma'!$A:$A,'Ops Departments'!$A277)</f>
        <v>2354</v>
      </c>
      <c r="M277" s="116">
        <f>SUMIFS('IS Proforma'!Y:Y,'IS Proforma'!$C:$C,'Ops Departments'!$C277,'IS Proforma'!$A:$A,'Ops Departments'!$A277)</f>
        <v>1954</v>
      </c>
      <c r="N277" s="116">
        <f>SUMIFS('IS Proforma'!Z:Z,'IS Proforma'!$C:$C,'Ops Departments'!$C277,'IS Proforma'!$A:$A,'Ops Departments'!$A277)</f>
        <v>1398</v>
      </c>
      <c r="O277" s="116">
        <f>SUMIFS('IS Proforma'!AA:AA,'IS Proforma'!$C:$C,'Ops Departments'!$C277,'IS Proforma'!$A:$A,'Ops Departments'!$A277)</f>
        <v>1043</v>
      </c>
      <c r="P277" s="116">
        <f>SUMIFS('IS Proforma'!AB:AB,'IS Proforma'!$C:$C,'Ops Departments'!$C277,'IS Proforma'!$A:$A,'Ops Departments'!$A277)</f>
        <v>1101</v>
      </c>
      <c r="Q277" s="116">
        <f>SUMIFS('IS Proforma'!AC:AC,'IS Proforma'!$C:$C,'Ops Departments'!$C277,'IS Proforma'!$A:$A,'Ops Departments'!$A277)</f>
        <v>1705</v>
      </c>
      <c r="R277" s="116">
        <f>SUMIFS('IS Proforma'!AD:AD,'IS Proforma'!$C:$C,'Ops Departments'!$C277,'IS Proforma'!$A:$A,'Ops Departments'!$A277)</f>
        <v>1605</v>
      </c>
      <c r="S277" s="116">
        <f>SUMIFS('IS Proforma'!AE:AE,'IS Proforma'!$C:$C,'Ops Departments'!$C277,'IS Proforma'!$A:$A,'Ops Departments'!$A277)</f>
        <v>1685</v>
      </c>
      <c r="T277" s="116">
        <f>SUMIFS('IS Proforma'!AF:AF,'IS Proforma'!$C:$C,'Ops Departments'!$C277,'IS Proforma'!$A:$A,'Ops Departments'!$A277)</f>
        <v>1862</v>
      </c>
      <c r="U277" s="116">
        <f>SUMIFS('IS Proforma'!AG:AG,'IS Proforma'!$C:$C,'Ops Departments'!$C277,'IS Proforma'!$A:$A,'Ops Departments'!$A277)</f>
        <v>1316</v>
      </c>
      <c r="V277" s="116">
        <f>SUMIFS('IS Proforma'!AH:AH,'IS Proforma'!$C:$C,'Ops Departments'!$C277,'IS Proforma'!$A:$A,'Ops Departments'!$A277)</f>
        <v>1873</v>
      </c>
      <c r="W277" s="116">
        <f>SUMIFS('IS Proforma'!AI:AI,'IS Proforma'!$C:$C,'Ops Departments'!$C277,'IS Proforma'!$A:$A,'Ops Departments'!$A277)</f>
        <v>1222</v>
      </c>
      <c r="X277" s="116">
        <f>SUMIFS('IS Proforma'!AJ:AJ,'IS Proforma'!$C:$C,'Ops Departments'!$C277,'IS Proforma'!$A:$A,'Ops Departments'!$A277)</f>
        <v>2057</v>
      </c>
      <c r="Y277" s="116">
        <f>SUMIFS('IS Proforma'!AK:AK,'IS Proforma'!$C:$C,'Ops Departments'!$C277,'IS Proforma'!$A:$A,'Ops Departments'!$A277)</f>
        <v>2054</v>
      </c>
      <c r="Z277" s="116">
        <f>SUMIFS('IS Proforma'!AL:AL,'IS Proforma'!$C:$C,'Ops Departments'!$C277,'IS Proforma'!$A:$A,'Ops Departments'!$A277)</f>
        <v>2035</v>
      </c>
      <c r="AA277" s="116">
        <f>SUMIFS('IS Proforma'!AM:AM,'IS Proforma'!$C:$C,'Ops Departments'!$C277,'IS Proforma'!$A:$A,'Ops Departments'!$A277)</f>
        <v>1436.441301</v>
      </c>
      <c r="AB277" s="116">
        <f>SUMIFS('IS Proforma'!AN:AN,'IS Proforma'!$C:$C,'Ops Departments'!$C277,'IS Proforma'!$A:$A,'Ops Departments'!$A277)</f>
        <v>1520.914108</v>
      </c>
      <c r="AC277" s="116">
        <f>SUMIFS('IS Proforma'!AO:AO,'IS Proforma'!$C:$C,'Ops Departments'!$C277,'IS Proforma'!$A:$A,'Ops Departments'!$A277)</f>
        <v>1596.203335</v>
      </c>
      <c r="AD277" s="116">
        <f>SUMIFS('IS Proforma'!AP:AP,'IS Proforma'!$C:$C,'Ops Departments'!$C277,'IS Proforma'!$A:$A,'Ops Departments'!$A277)</f>
        <v>1661.338309</v>
      </c>
      <c r="AE277" s="116">
        <f>SUMIFS('IS Proforma'!AQ:AQ,'IS Proforma'!$C:$C,'Ops Departments'!$C277,'IS Proforma'!$A:$A,'Ops Departments'!$A277)</f>
        <v>1719.515195</v>
      </c>
      <c r="AF277" s="116">
        <f>SUMIFS('IS Proforma'!AR:AR,'IS Proforma'!$C:$C,'Ops Departments'!$C277,'IS Proforma'!$A:$A,'Ops Departments'!$A277)</f>
        <v>1750.232295</v>
      </c>
      <c r="AG277" s="116">
        <f>SUMIFS('IS Proforma'!AS:AS,'IS Proforma'!$C:$C,'Ops Departments'!$C277,'IS Proforma'!$A:$A,'Ops Departments'!$A277)</f>
        <v>1777.759174</v>
      </c>
      <c r="AH277" s="116">
        <f>SUMIFS('IS Proforma'!AT:AT,'IS Proforma'!$C:$C,'Ops Departments'!$C277,'IS Proforma'!$A:$A,'Ops Departments'!$A277)</f>
        <v>1795.002959</v>
      </c>
      <c r="AI277" s="116">
        <f>SUMIFS('IS Proforma'!AU:AU,'IS Proforma'!$C:$C,'Ops Departments'!$C277,'IS Proforma'!$A:$A,'Ops Departments'!$A277)</f>
        <v>1809.915933</v>
      </c>
      <c r="AJ277" s="116">
        <f>SUMIFS('IS Proforma'!AV:AV,'IS Proforma'!$C:$C,'Ops Departments'!$C277,'IS Proforma'!$A:$A,'Ops Departments'!$A277)</f>
        <v>1829.540318</v>
      </c>
      <c r="AK277" s="116">
        <f>SUMIFS('IS Proforma'!AW:AW,'IS Proforma'!$C:$C,'Ops Departments'!$C277,'IS Proforma'!$A:$A,'Ops Departments'!$A277)</f>
        <v>1852.579883</v>
      </c>
      <c r="AL277" s="116">
        <f>SUMIFS('IS Proforma'!AX:AX,'IS Proforma'!$C:$C,'Ops Departments'!$C277,'IS Proforma'!$A:$A,'Ops Departments'!$A277)</f>
        <v>1872.707124</v>
      </c>
      <c r="AM277" s="116">
        <f>SUMIFS('IS Proforma'!AY:AY,'IS Proforma'!$C:$C,'Ops Departments'!$C277,'IS Proforma'!$A:$A,'Ops Departments'!$A277)</f>
        <v>1891.087428</v>
      </c>
      <c r="AN277" s="116">
        <f>SUMIFS('IS Proforma'!AZ:AZ,'IS Proforma'!$C:$C,'Ops Departments'!$C277,'IS Proforma'!$A:$A,'Ops Departments'!$A277)</f>
        <v>2027.529221</v>
      </c>
      <c r="AO277" s="116">
        <f>SUMIFS('IS Proforma'!BA:BA,'IS Proforma'!$C:$C,'Ops Departments'!$C277,'IS Proforma'!$A:$A,'Ops Departments'!$A277)</f>
        <v>2043.328325</v>
      </c>
      <c r="AP277" s="116">
        <f>SUMIFS('IS Proforma'!BB:BB,'IS Proforma'!$C:$C,'Ops Departments'!$C277,'IS Proforma'!$A:$A,'Ops Departments'!$A277)</f>
        <v>2063.594432</v>
      </c>
      <c r="AQ277" s="116">
        <f>SUMIFS('IS Proforma'!BC:BC,'IS Proforma'!$C:$C,'Ops Departments'!$C277,'IS Proforma'!$A:$A,'Ops Departments'!$A277)</f>
        <v>2081.589473</v>
      </c>
      <c r="AR277" s="116">
        <f>SUMIFS('IS Proforma'!BD:BD,'IS Proforma'!$C:$C,'Ops Departments'!$C277,'IS Proforma'!$A:$A,'Ops Departments'!$A277)</f>
        <v>2097.89484</v>
      </c>
      <c r="AS277" s="116">
        <f>SUMIFS('IS Proforma'!BE:BE,'IS Proforma'!$C:$C,'Ops Departments'!$C277,'IS Proforma'!$A:$A,'Ops Departments'!$A277)</f>
        <v>2114.281383</v>
      </c>
      <c r="AT277" s="116">
        <f>SUMIFS('IS Proforma'!BF:BF,'IS Proforma'!$C:$C,'Ops Departments'!$C277,'IS Proforma'!$A:$A,'Ops Departments'!$A277)</f>
        <v>2129.40569</v>
      </c>
      <c r="AU277" s="116">
        <f>SUMIFS('IS Proforma'!BG:BG,'IS Proforma'!$C:$C,'Ops Departments'!$C277,'IS Proforma'!$A:$A,'Ops Departments'!$A277)</f>
        <v>2143.594134</v>
      </c>
      <c r="AV277" s="116">
        <f>SUMIFS('IS Proforma'!BH:BH,'IS Proforma'!$C:$C,'Ops Departments'!$C277,'IS Proforma'!$A:$A,'Ops Departments'!$A277)</f>
        <v>2157.090577</v>
      </c>
      <c r="AW277" s="116">
        <f>SUMIFS('IS Proforma'!BI:BI,'IS Proforma'!$C:$C,'Ops Departments'!$C277,'IS Proforma'!$A:$A,'Ops Departments'!$A277)</f>
        <v>2170.077244</v>
      </c>
      <c r="AX277" s="116">
        <f>SUMIFS('IS Proforma'!BJ:BJ,'IS Proforma'!$C:$C,'Ops Departments'!$C277,'IS Proforma'!$A:$A,'Ops Departments'!$A277)</f>
        <v>2182.690323</v>
      </c>
      <c r="AY277" s="116">
        <f>SUMIFS('IS Proforma'!BK:BK,'IS Proforma'!$C:$C,'Ops Departments'!$C277,'IS Proforma'!$A:$A,'Ops Departments'!$A277)</f>
        <v>2195.031607</v>
      </c>
      <c r="AZ277" s="116">
        <f>SUMIFS('IS Proforma'!BL:BL,'IS Proforma'!$C:$C,'Ops Departments'!$C277,'IS Proforma'!$A:$A,'Ops Departments'!$A277)</f>
        <v>2336.368184</v>
      </c>
      <c r="BA277" s="116">
        <f>SUMIFS('IS Proforma'!BM:BM,'IS Proforma'!$C:$C,'Ops Departments'!$C277,'IS Proforma'!$A:$A,'Ops Departments'!$A277)</f>
        <v>2352.234939</v>
      </c>
      <c r="BB277" s="116">
        <f>SUMIFS('IS Proforma'!BN:BN,'IS Proforma'!$C:$C,'Ops Departments'!$C277,'IS Proforma'!$A:$A,'Ops Departments'!$A277)</f>
        <v>2367.041753</v>
      </c>
      <c r="BC277" s="116">
        <f>SUMIFS('IS Proforma'!BO:BO,'IS Proforma'!$C:$C,'Ops Departments'!$C277,'IS Proforma'!$A:$A,'Ops Departments'!$A277)</f>
        <v>2381.064159</v>
      </c>
      <c r="BD277" s="116">
        <f>SUMIFS('IS Proforma'!BP:BP,'IS Proforma'!$C:$C,'Ops Departments'!$C277,'IS Proforma'!$A:$A,'Ops Departments'!$A277)</f>
        <v>2394.508044</v>
      </c>
      <c r="BE277" s="116">
        <f>SUMIFS('IS Proforma'!BQ:BQ,'IS Proforma'!$C:$C,'Ops Departments'!$C277,'IS Proforma'!$A:$A,'Ops Departments'!$A277)</f>
        <v>2407.527265</v>
      </c>
      <c r="BF277" s="116">
        <f>SUMIFS('IS Proforma'!BR:BR,'IS Proforma'!$C:$C,'Ops Departments'!$C277,'IS Proforma'!$A:$A,'Ops Departments'!$A277)</f>
        <v>2420.23682</v>
      </c>
      <c r="BG277" s="116">
        <f>SUMIFS('IS Proforma'!BS:BS,'IS Proforma'!$C:$C,'Ops Departments'!$C277,'IS Proforma'!$A:$A,'Ops Departments'!$A277)</f>
        <v>2432.722674</v>
      </c>
      <c r="BH277" s="116">
        <f>SUMIFS('IS Proforma'!BT:BT,'IS Proforma'!$C:$C,'Ops Departments'!$C277,'IS Proforma'!$A:$A,'Ops Departments'!$A277)</f>
        <v>2445.049107</v>
      </c>
      <c r="BI277" s="116">
        <f>SUMIFS('IS Proforma'!BU:BU,'IS Proforma'!$C:$C,'Ops Departments'!$C277,'IS Proforma'!$A:$A,'Ops Departments'!$A277)</f>
        <v>2457.264203</v>
      </c>
      <c r="BJ277" s="116">
        <f>SUMIFS('IS Proforma'!BV:BV,'IS Proforma'!$C:$C,'Ops Departments'!$C277,'IS Proforma'!$A:$A,'Ops Departments'!$A277)</f>
        <v>2469.403944</v>
      </c>
      <c r="BK277" s="116">
        <f>SUMIFS('IS Proforma'!BW:BW,'IS Proforma'!$C:$C,'Ops Departments'!$C277,'IS Proforma'!$A:$A,'Ops Departments'!$A277)</f>
        <v>2481.495276</v>
      </c>
      <c r="BL277" s="116">
        <f>SUMIFS('IS Proforma'!BX:BX,'IS Proforma'!$C:$C,'Ops Departments'!$C277,'IS Proforma'!$A:$A,'Ops Departments'!$A277)</f>
        <v>2500.905443</v>
      </c>
      <c r="BM277" s="116">
        <f>SUMIFS('IS Proforma'!BY:BY,'IS Proforma'!$C:$C,'Ops Departments'!$C277,'IS Proforma'!$A:$A,'Ops Departments'!$A277)</f>
        <v>2519.851224</v>
      </c>
      <c r="BN277" s="116">
        <f>SUMIFS('IS Proforma'!BZ:BZ,'IS Proforma'!$C:$C,'Ops Departments'!$C277,'IS Proforma'!$A:$A,'Ops Departments'!$A277)</f>
        <v>2535.227183</v>
      </c>
      <c r="BO277" s="116">
        <f>SUMIFS('IS Proforma'!CA:CA,'IS Proforma'!$C:$C,'Ops Departments'!$C277,'IS Proforma'!$A:$A,'Ops Departments'!$A277)</f>
        <v>2550.488425</v>
      </c>
      <c r="BP277" s="116">
        <f>SUMIFS('IS Proforma'!CB:CB,'IS Proforma'!$C:$C,'Ops Departments'!$C277,'IS Proforma'!$A:$A,'Ops Departments'!$A277)</f>
        <v>2565.675755</v>
      </c>
      <c r="BQ277" s="116">
        <f>SUMIFS('IS Proforma'!CC:CC,'IS Proforma'!$C:$C,'Ops Departments'!$C277,'IS Proforma'!$A:$A,'Ops Departments'!$A277)</f>
        <v>2580.819857</v>
      </c>
      <c r="BR277" s="116">
        <f>SUMIFS('IS Proforma'!CD:CD,'IS Proforma'!$C:$C,'Ops Departments'!$C277,'IS Proforma'!$A:$A,'Ops Departments'!$A277)</f>
        <v>2595.943857</v>
      </c>
      <c r="BS277" s="116">
        <f>SUMIFS('IS Proforma'!CE:CE,'IS Proforma'!$C:$C,'Ops Departments'!$C277,'IS Proforma'!$A:$A,'Ops Departments'!$A277)</f>
        <v>2611.06524</v>
      </c>
      <c r="BT277" s="116">
        <f>SUMIFS('IS Proforma'!CF:CF,'IS Proforma'!$C:$C,'Ops Departments'!$C277,'IS Proforma'!$A:$A,'Ops Departments'!$A277)</f>
        <v>2626.197285</v>
      </c>
      <c r="BU277" s="116">
        <f>SUMIFS('IS Proforma'!CG:CG,'IS Proforma'!$C:$C,'Ops Departments'!$C277,'IS Proforma'!$A:$A,'Ops Departments'!$A277)</f>
        <v>2641.350131</v>
      </c>
      <c r="BV277" s="116">
        <f>SUMIFS('IS Proforma'!CH:CH,'IS Proforma'!$C:$C,'Ops Departments'!$C277,'IS Proforma'!$A:$A,'Ops Departments'!$A277)</f>
        <v>2656.531582</v>
      </c>
      <c r="BW277" s="116">
        <f>SUMIFS('IS Proforma'!CI:CI,'IS Proforma'!$C:$C,'Ops Departments'!$C277,'IS Proforma'!$A:$A,'Ops Departments'!$A277)</f>
        <v>2671.747701</v>
      </c>
      <c r="BX277" s="116">
        <f>SUMIFS('IS Proforma'!CJ:CJ,'IS Proforma'!$C:$C,'Ops Departments'!$C277,'IS Proforma'!$A:$A,'Ops Departments'!$A277)</f>
        <v>2687.556415</v>
      </c>
      <c r="BY277" s="116">
        <f>SUMIFS('IS Proforma'!CK:CK,'IS Proforma'!$C:$C,'Ops Departments'!$C277,'IS Proforma'!$A:$A,'Ops Departments'!$A277)</f>
        <v>2685.073035</v>
      </c>
      <c r="BZ277" s="116">
        <f>SUMIFS('IS Proforma'!CL:CL,'IS Proforma'!$C:$C,'Ops Departments'!$C277,'IS Proforma'!$A:$A,'Ops Departments'!$A277)</f>
        <v>2684.029775</v>
      </c>
      <c r="CA277" s="116">
        <f>SUMIFS('IS Proforma'!CM:CM,'IS Proforma'!$C:$C,'Ops Departments'!$C277,'IS Proforma'!$A:$A,'Ops Departments'!$A277)</f>
        <v>2686.707188</v>
      </c>
      <c r="CB277" s="116">
        <f>SUMIFS('IS Proforma'!CN:CN,'IS Proforma'!$C:$C,'Ops Departments'!$C277,'IS Proforma'!$A:$A,'Ops Departments'!$A277)</f>
        <v>2692.175271</v>
      </c>
      <c r="CC277" s="116">
        <f>SUMIFS('IS Proforma'!CO:CO,'IS Proforma'!$C:$C,'Ops Departments'!$C277,'IS Proforma'!$A:$A,'Ops Departments'!$A277)</f>
        <v>2699.73927</v>
      </c>
      <c r="CD277" s="116">
        <f>SUMIFS('IS Proforma'!CP:CP,'IS Proforma'!$C:$C,'Ops Departments'!$C277,'IS Proforma'!$A:$A,'Ops Departments'!$A277)</f>
        <v>2708.880163</v>
      </c>
      <c r="CE277" s="116">
        <f>SUMIFS('IS Proforma'!CQ:CQ,'IS Proforma'!$C:$C,'Ops Departments'!$C277,'IS Proforma'!$A:$A,'Ops Departments'!$A277)</f>
        <v>2719.210203</v>
      </c>
      <c r="CF277" s="116">
        <f>SUMIFS('IS Proforma'!CR:CR,'IS Proforma'!$C:$C,'Ops Departments'!$C277,'IS Proforma'!$A:$A,'Ops Departments'!$A277)</f>
        <v>2730.439712</v>
      </c>
      <c r="CG277" s="116">
        <f>SUMIFS('IS Proforma'!CS:CS,'IS Proforma'!$C:$C,'Ops Departments'!$C277,'IS Proforma'!$A:$A,'Ops Departments'!$A277)</f>
        <v>2742.352268</v>
      </c>
      <c r="CH277" s="116">
        <f>SUMIFS('IS Proforma'!CT:CT,'IS Proforma'!$C:$C,'Ops Departments'!$C277,'IS Proforma'!$A:$A,'Ops Departments'!$A277)</f>
        <v>2754.786178</v>
      </c>
      <c r="CI277" s="116">
        <f>SUMIFS('IS Proforma'!CU:CU,'IS Proforma'!$C:$C,'Ops Departments'!$C277,'IS Proforma'!$A:$A,'Ops Departments'!$A277)</f>
        <v>2767.62063</v>
      </c>
      <c r="CJ277" s="1"/>
      <c r="CK277" s="1"/>
      <c r="CL277" s="117"/>
      <c r="CM277" s="117"/>
      <c r="CN277" s="117"/>
      <c r="CO277" s="117"/>
      <c r="CP277" s="117"/>
      <c r="CQ277" s="117"/>
    </row>
    <row r="278" ht="15.75" customHeight="1">
      <c r="A278" s="91" t="s">
        <v>118</v>
      </c>
      <c r="B278" s="1"/>
      <c r="C278" s="132" t="s">
        <v>215</v>
      </c>
      <c r="D278" s="116">
        <f>SUMIFS('IS Proforma'!P:P,'IS Proforma'!$C:$C,'Ops Departments'!$C278,'IS Proforma'!$A:$A,'Ops Departments'!$A278)</f>
        <v>2440</v>
      </c>
      <c r="E278" s="116">
        <f>SUMIFS('IS Proforma'!Q:Q,'IS Proforma'!$C:$C,'Ops Departments'!$C278,'IS Proforma'!$A:$A,'Ops Departments'!$A278)</f>
        <v>1911</v>
      </c>
      <c r="F278" s="116">
        <f>SUMIFS('IS Proforma'!R:R,'IS Proforma'!$C:$C,'Ops Departments'!$C278,'IS Proforma'!$A:$A,'Ops Departments'!$A278)</f>
        <v>1377</v>
      </c>
      <c r="G278" s="116">
        <f>SUMIFS('IS Proforma'!S:S,'IS Proforma'!$C:$C,'Ops Departments'!$C278,'IS Proforma'!$A:$A,'Ops Departments'!$A278)</f>
        <v>1679</v>
      </c>
      <c r="H278" s="116">
        <f>SUMIFS('IS Proforma'!T:T,'IS Proforma'!$C:$C,'Ops Departments'!$C278,'IS Proforma'!$A:$A,'Ops Departments'!$A278)</f>
        <v>2302</v>
      </c>
      <c r="I278" s="116">
        <f>SUMIFS('IS Proforma'!U:U,'IS Proforma'!$C:$C,'Ops Departments'!$C278,'IS Proforma'!$A:$A,'Ops Departments'!$A278)</f>
        <v>1343</v>
      </c>
      <c r="J278" s="116">
        <f>SUMIFS('IS Proforma'!V:V,'IS Proforma'!$C:$C,'Ops Departments'!$C278,'IS Proforma'!$A:$A,'Ops Departments'!$A278)</f>
        <v>2083</v>
      </c>
      <c r="K278" s="116">
        <f>SUMIFS('IS Proforma'!W:W,'IS Proforma'!$C:$C,'Ops Departments'!$C278,'IS Proforma'!$A:$A,'Ops Departments'!$A278)</f>
        <v>1448</v>
      </c>
      <c r="L278" s="116">
        <f>SUMIFS('IS Proforma'!X:X,'IS Proforma'!$C:$C,'Ops Departments'!$C278,'IS Proforma'!$A:$A,'Ops Departments'!$A278)</f>
        <v>2059</v>
      </c>
      <c r="M278" s="116">
        <f>SUMIFS('IS Proforma'!Y:Y,'IS Proforma'!$C:$C,'Ops Departments'!$C278,'IS Proforma'!$A:$A,'Ops Departments'!$A278)</f>
        <v>1404</v>
      </c>
      <c r="N278" s="116">
        <f>SUMIFS('IS Proforma'!Z:Z,'IS Proforma'!$C:$C,'Ops Departments'!$C278,'IS Proforma'!$A:$A,'Ops Departments'!$A278)</f>
        <v>2081</v>
      </c>
      <c r="O278" s="116">
        <f>SUMIFS('IS Proforma'!AA:AA,'IS Proforma'!$C:$C,'Ops Departments'!$C278,'IS Proforma'!$A:$A,'Ops Departments'!$A278)</f>
        <v>1884</v>
      </c>
      <c r="P278" s="116">
        <f>SUMIFS('IS Proforma'!AB:AB,'IS Proforma'!$C:$C,'Ops Departments'!$C278,'IS Proforma'!$A:$A,'Ops Departments'!$A278)</f>
        <v>2450</v>
      </c>
      <c r="Q278" s="116">
        <f>SUMIFS('IS Proforma'!AC:AC,'IS Proforma'!$C:$C,'Ops Departments'!$C278,'IS Proforma'!$A:$A,'Ops Departments'!$A278)</f>
        <v>1975</v>
      </c>
      <c r="R278" s="116">
        <f>SUMIFS('IS Proforma'!AD:AD,'IS Proforma'!$C:$C,'Ops Departments'!$C278,'IS Proforma'!$A:$A,'Ops Departments'!$A278)</f>
        <v>2474</v>
      </c>
      <c r="S278" s="116">
        <f>SUMIFS('IS Proforma'!AE:AE,'IS Proforma'!$C:$C,'Ops Departments'!$C278,'IS Proforma'!$A:$A,'Ops Departments'!$A278)</f>
        <v>2340</v>
      </c>
      <c r="T278" s="116">
        <f>SUMIFS('IS Proforma'!AF:AF,'IS Proforma'!$C:$C,'Ops Departments'!$C278,'IS Proforma'!$A:$A,'Ops Departments'!$A278)</f>
        <v>2418</v>
      </c>
      <c r="U278" s="116">
        <f>SUMIFS('IS Proforma'!AG:AG,'IS Proforma'!$C:$C,'Ops Departments'!$C278,'IS Proforma'!$A:$A,'Ops Departments'!$A278)</f>
        <v>1630</v>
      </c>
      <c r="V278" s="116">
        <f>SUMIFS('IS Proforma'!AH:AH,'IS Proforma'!$C:$C,'Ops Departments'!$C278,'IS Proforma'!$A:$A,'Ops Departments'!$A278)</f>
        <v>2073</v>
      </c>
      <c r="W278" s="116">
        <f>SUMIFS('IS Proforma'!AI:AI,'IS Proforma'!$C:$C,'Ops Departments'!$C278,'IS Proforma'!$A:$A,'Ops Departments'!$A278)</f>
        <v>1910</v>
      </c>
      <c r="X278" s="116">
        <f>SUMIFS('IS Proforma'!AJ:AJ,'IS Proforma'!$C:$C,'Ops Departments'!$C278,'IS Proforma'!$A:$A,'Ops Departments'!$A278)</f>
        <v>1214</v>
      </c>
      <c r="Y278" s="116">
        <f>SUMIFS('IS Proforma'!AK:AK,'IS Proforma'!$C:$C,'Ops Departments'!$C278,'IS Proforma'!$A:$A,'Ops Departments'!$A278)</f>
        <v>1332</v>
      </c>
      <c r="Z278" s="116">
        <f>SUMIFS('IS Proforma'!AL:AL,'IS Proforma'!$C:$C,'Ops Departments'!$C278,'IS Proforma'!$A:$A,'Ops Departments'!$A278)</f>
        <v>1186</v>
      </c>
      <c r="AA278" s="116">
        <f>SUMIFS('IS Proforma'!AM:AM,'IS Proforma'!$C:$C,'Ops Departments'!$C278,'IS Proforma'!$A:$A,'Ops Departments'!$A278)</f>
        <v>8011.36665</v>
      </c>
      <c r="AB278" s="116">
        <f>SUMIFS('IS Proforma'!AN:AN,'IS Proforma'!$C:$C,'Ops Departments'!$C278,'IS Proforma'!$A:$A,'Ops Departments'!$A278)</f>
        <v>4155.216578</v>
      </c>
      <c r="AC278" s="116">
        <f>SUMIFS('IS Proforma'!AO:AO,'IS Proforma'!$C:$C,'Ops Departments'!$C278,'IS Proforma'!$A:$A,'Ops Departments'!$A278)</f>
        <v>4788.091968</v>
      </c>
      <c r="AD278" s="116">
        <f>SUMIFS('IS Proforma'!AP:AP,'IS Proforma'!$C:$C,'Ops Departments'!$C278,'IS Proforma'!$A:$A,'Ops Departments'!$A278)</f>
        <v>5374.662657</v>
      </c>
      <c r="AE278" s="116">
        <f>SUMIFS('IS Proforma'!AQ:AQ,'IS Proforma'!$C:$C,'Ops Departments'!$C278,'IS Proforma'!$A:$A,'Ops Departments'!$A278)</f>
        <v>5935.295274</v>
      </c>
      <c r="AF278" s="116">
        <f>SUMIFS('IS Proforma'!AR:AR,'IS Proforma'!$C:$C,'Ops Departments'!$C278,'IS Proforma'!$A:$A,'Ops Departments'!$A278)</f>
        <v>6454.425123</v>
      </c>
      <c r="AG278" s="116">
        <f>SUMIFS('IS Proforma'!AS:AS,'IS Proforma'!$C:$C,'Ops Departments'!$C278,'IS Proforma'!$A:$A,'Ops Departments'!$A278)</f>
        <v>6970.355608</v>
      </c>
      <c r="AH278" s="116">
        <f>SUMIFS('IS Proforma'!AT:AT,'IS Proforma'!$C:$C,'Ops Departments'!$C278,'IS Proforma'!$A:$A,'Ops Departments'!$A278)</f>
        <v>7458.974007</v>
      </c>
      <c r="AI278" s="116">
        <f>SUMIFS('IS Proforma'!AU:AU,'IS Proforma'!$C:$C,'Ops Departments'!$C278,'IS Proforma'!$A:$A,'Ops Departments'!$A278)</f>
        <v>7949.00532</v>
      </c>
      <c r="AJ278" s="116">
        <f>SUMIFS('IS Proforma'!AV:AV,'IS Proforma'!$C:$C,'Ops Departments'!$C278,'IS Proforma'!$A:$A,'Ops Departments'!$A278)</f>
        <v>8434.109954</v>
      </c>
      <c r="AK278" s="116">
        <f>SUMIFS('IS Proforma'!AW:AW,'IS Proforma'!$C:$C,'Ops Departments'!$C278,'IS Proforma'!$A:$A,'Ops Departments'!$A278)</f>
        <v>8879.595258</v>
      </c>
      <c r="AL278" s="116">
        <f>SUMIFS('IS Proforma'!AX:AX,'IS Proforma'!$C:$C,'Ops Departments'!$C278,'IS Proforma'!$A:$A,'Ops Departments'!$A278)</f>
        <v>9305.55021</v>
      </c>
      <c r="AM278" s="116">
        <f>SUMIFS('IS Proforma'!AY:AY,'IS Proforma'!$C:$C,'Ops Departments'!$C278,'IS Proforma'!$A:$A,'Ops Departments'!$A278)</f>
        <v>9735.141139</v>
      </c>
      <c r="AN278" s="116">
        <f>SUMIFS('IS Proforma'!AZ:AZ,'IS Proforma'!$C:$C,'Ops Departments'!$C278,'IS Proforma'!$A:$A,'Ops Departments'!$A278)</f>
        <v>16610.73924</v>
      </c>
      <c r="AO278" s="116">
        <f>SUMIFS('IS Proforma'!BA:BA,'IS Proforma'!$C:$C,'Ops Departments'!$C278,'IS Proforma'!$A:$A,'Ops Departments'!$A278)</f>
        <v>16841.07323</v>
      </c>
      <c r="AP278" s="116">
        <f>SUMIFS('IS Proforma'!BB:BB,'IS Proforma'!$C:$C,'Ops Departments'!$C278,'IS Proforma'!$A:$A,'Ops Departments'!$A278)</f>
        <v>17014.32181</v>
      </c>
      <c r="AQ278" s="116">
        <f>SUMIFS('IS Proforma'!BC:BC,'IS Proforma'!$C:$C,'Ops Departments'!$C278,'IS Proforma'!$A:$A,'Ops Departments'!$A278)</f>
        <v>17224.72177</v>
      </c>
      <c r="AR278" s="116">
        <f>SUMIFS('IS Proforma'!BD:BD,'IS Proforma'!$C:$C,'Ops Departments'!$C278,'IS Proforma'!$A:$A,'Ops Departments'!$A278)</f>
        <v>17450.41496</v>
      </c>
      <c r="AS278" s="116">
        <f>SUMIFS('IS Proforma'!BE:BE,'IS Proforma'!$C:$C,'Ops Departments'!$C278,'IS Proforma'!$A:$A,'Ops Departments'!$A278)</f>
        <v>17685.36119</v>
      </c>
      <c r="AT278" s="116">
        <f>SUMIFS('IS Proforma'!BF:BF,'IS Proforma'!$C:$C,'Ops Departments'!$C278,'IS Proforma'!$A:$A,'Ops Departments'!$A278)</f>
        <v>17917.87027</v>
      </c>
      <c r="AU278" s="116">
        <f>SUMIFS('IS Proforma'!BG:BG,'IS Proforma'!$C:$C,'Ops Departments'!$C278,'IS Proforma'!$A:$A,'Ops Departments'!$A278)</f>
        <v>18247.14468</v>
      </c>
      <c r="AV278" s="116">
        <f>SUMIFS('IS Proforma'!BH:BH,'IS Proforma'!$C:$C,'Ops Departments'!$C278,'IS Proforma'!$A:$A,'Ops Departments'!$A278)</f>
        <v>18470.85675</v>
      </c>
      <c r="AW278" s="116">
        <f>SUMIFS('IS Proforma'!BI:BI,'IS Proforma'!$C:$C,'Ops Departments'!$C278,'IS Proforma'!$A:$A,'Ops Departments'!$A278)</f>
        <v>18690.25925</v>
      </c>
      <c r="AX278" s="116">
        <f>SUMIFS('IS Proforma'!BJ:BJ,'IS Proforma'!$C:$C,'Ops Departments'!$C278,'IS Proforma'!$A:$A,'Ops Departments'!$A278)</f>
        <v>18905.82635</v>
      </c>
      <c r="AY278" s="116">
        <f>SUMIFS('IS Proforma'!BK:BK,'IS Proforma'!$C:$C,'Ops Departments'!$C278,'IS Proforma'!$A:$A,'Ops Departments'!$A278)</f>
        <v>19117.95467</v>
      </c>
      <c r="AZ278" s="116">
        <f>SUMIFS('IS Proforma'!BL:BL,'IS Proforma'!$C:$C,'Ops Departments'!$C278,'IS Proforma'!$A:$A,'Ops Departments'!$A278)</f>
        <v>25700.46904</v>
      </c>
      <c r="BA278" s="116">
        <f>SUMIFS('IS Proforma'!BM:BM,'IS Proforma'!$C:$C,'Ops Departments'!$C278,'IS Proforma'!$A:$A,'Ops Departments'!$A278)</f>
        <v>26158.54929</v>
      </c>
      <c r="BB278" s="116">
        <f>SUMIFS('IS Proforma'!BN:BN,'IS Proforma'!$C:$C,'Ops Departments'!$C278,'IS Proforma'!$A:$A,'Ops Departments'!$A278)</f>
        <v>26605.40948</v>
      </c>
      <c r="BC278" s="116">
        <f>SUMIFS('IS Proforma'!BO:BO,'IS Proforma'!$C:$C,'Ops Departments'!$C278,'IS Proforma'!$A:$A,'Ops Departments'!$A278)</f>
        <v>27041.08254</v>
      </c>
      <c r="BD278" s="116">
        <f>SUMIFS('IS Proforma'!BP:BP,'IS Proforma'!$C:$C,'Ops Departments'!$C278,'IS Proforma'!$A:$A,'Ops Departments'!$A278)</f>
        <v>27467.225</v>
      </c>
      <c r="BE278" s="116">
        <f>SUMIFS('IS Proforma'!BQ:BQ,'IS Proforma'!$C:$C,'Ops Departments'!$C278,'IS Proforma'!$A:$A,'Ops Departments'!$A278)</f>
        <v>27884.85644</v>
      </c>
      <c r="BF278" s="116">
        <f>SUMIFS('IS Proforma'!BR:BR,'IS Proforma'!$C:$C,'Ops Departments'!$C278,'IS Proforma'!$A:$A,'Ops Departments'!$A278)</f>
        <v>28294.72374</v>
      </c>
      <c r="BG278" s="116">
        <f>SUMIFS('IS Proforma'!BS:BS,'IS Proforma'!$C:$C,'Ops Departments'!$C278,'IS Proforma'!$A:$A,'Ops Departments'!$A278)</f>
        <v>28697.43109</v>
      </c>
      <c r="BH278" s="116">
        <f>SUMIFS('IS Proforma'!BT:BT,'IS Proforma'!$C:$C,'Ops Departments'!$C278,'IS Proforma'!$A:$A,'Ops Departments'!$A278)</f>
        <v>29093.4944</v>
      </c>
      <c r="BI278" s="116">
        <f>SUMIFS('IS Proforma'!BU:BU,'IS Proforma'!$C:$C,'Ops Departments'!$C278,'IS Proforma'!$A:$A,'Ops Departments'!$A278)</f>
        <v>29483.36797</v>
      </c>
      <c r="BJ278" s="116">
        <f>SUMIFS('IS Proforma'!BV:BV,'IS Proforma'!$C:$C,'Ops Departments'!$C278,'IS Proforma'!$A:$A,'Ops Departments'!$A278)</f>
        <v>29867.45983</v>
      </c>
      <c r="BK278" s="116">
        <f>SUMIFS('IS Proforma'!BW:BW,'IS Proforma'!$C:$C,'Ops Departments'!$C278,'IS Proforma'!$A:$A,'Ops Departments'!$A278)</f>
        <v>30246.14163</v>
      </c>
      <c r="BL278" s="116">
        <f>SUMIFS('IS Proforma'!BX:BX,'IS Proforma'!$C:$C,'Ops Departments'!$C278,'IS Proforma'!$A:$A,'Ops Departments'!$A278)</f>
        <v>64953.02835</v>
      </c>
      <c r="BM278" s="116">
        <f>SUMIFS('IS Proforma'!BY:BY,'IS Proforma'!$C:$C,'Ops Departments'!$C278,'IS Proforma'!$A:$A,'Ops Departments'!$A278)</f>
        <v>65841.73851</v>
      </c>
      <c r="BN278" s="116">
        <f>SUMIFS('IS Proforma'!BZ:BZ,'IS Proforma'!$C:$C,'Ops Departments'!$C278,'IS Proforma'!$A:$A,'Ops Departments'!$A278)</f>
        <v>66581.4633</v>
      </c>
      <c r="BO278" s="116">
        <f>SUMIFS('IS Proforma'!CA:CA,'IS Proforma'!$C:$C,'Ops Departments'!$C278,'IS Proforma'!$A:$A,'Ops Departments'!$A278)</f>
        <v>67286.92639</v>
      </c>
      <c r="BP278" s="116">
        <f>SUMIFS('IS Proforma'!CB:CB,'IS Proforma'!$C:$C,'Ops Departments'!$C278,'IS Proforma'!$A:$A,'Ops Departments'!$A278)</f>
        <v>67983.91392</v>
      </c>
      <c r="BQ278" s="116">
        <f>SUMIFS('IS Proforma'!CC:CC,'IS Proforma'!$C:$C,'Ops Departments'!$C278,'IS Proforma'!$A:$A,'Ops Departments'!$A278)</f>
        <v>68674.09932</v>
      </c>
      <c r="BR278" s="116">
        <f>SUMIFS('IS Proforma'!CD:CD,'IS Proforma'!$C:$C,'Ops Departments'!$C278,'IS Proforma'!$A:$A,'Ops Departments'!$A278)</f>
        <v>69358.80686</v>
      </c>
      <c r="BS278" s="116">
        <f>SUMIFS('IS Proforma'!CE:CE,'IS Proforma'!$C:$C,'Ops Departments'!$C278,'IS Proforma'!$A:$A,'Ops Departments'!$A278)</f>
        <v>70039.06692</v>
      </c>
      <c r="BT278" s="116">
        <f>SUMIFS('IS Proforma'!CF:CF,'IS Proforma'!$C:$C,'Ops Departments'!$C278,'IS Proforma'!$A:$A,'Ops Departments'!$A278)</f>
        <v>70715.71103</v>
      </c>
      <c r="BU278" s="116">
        <f>SUMIFS('IS Proforma'!CG:CG,'IS Proforma'!$C:$C,'Ops Departments'!$C278,'IS Proforma'!$A:$A,'Ops Departments'!$A278)</f>
        <v>71389.43322</v>
      </c>
      <c r="BV278" s="116">
        <f>SUMIFS('IS Proforma'!CH:CH,'IS Proforma'!$C:$C,'Ops Departments'!$C278,'IS Proforma'!$A:$A,'Ops Departments'!$A278)</f>
        <v>72060.82836</v>
      </c>
      <c r="BW278" s="116">
        <f>SUMIFS('IS Proforma'!CI:CI,'IS Proforma'!$C:$C,'Ops Departments'!$C278,'IS Proforma'!$A:$A,'Ops Departments'!$A278)</f>
        <v>72730.41757</v>
      </c>
      <c r="BX278" s="116">
        <f>SUMIFS('IS Proforma'!CJ:CJ,'IS Proforma'!$C:$C,'Ops Departments'!$C278,'IS Proforma'!$A:$A,'Ops Departments'!$A278)</f>
        <v>98164.28985</v>
      </c>
      <c r="BY278" s="116">
        <f>SUMIFS('IS Proforma'!CK:CK,'IS Proforma'!$C:$C,'Ops Departments'!$C278,'IS Proforma'!$A:$A,'Ops Departments'!$A278)</f>
        <v>97953.19563</v>
      </c>
      <c r="BZ278" s="116">
        <f>SUMIFS('IS Proforma'!CL:CL,'IS Proforma'!$C:$C,'Ops Departments'!$C278,'IS Proforma'!$A:$A,'Ops Departments'!$A278)</f>
        <v>97801.1702</v>
      </c>
      <c r="CA278" s="116">
        <f>SUMIFS('IS Proforma'!CM:CM,'IS Proforma'!$C:$C,'Ops Departments'!$C278,'IS Proforma'!$A:$A,'Ops Departments'!$A278)</f>
        <v>97844.38673</v>
      </c>
      <c r="CB278" s="116">
        <f>SUMIFS('IS Proforma'!CN:CN,'IS Proforma'!$C:$C,'Ops Departments'!$C278,'IS Proforma'!$A:$A,'Ops Departments'!$A278)</f>
        <v>98038.857</v>
      </c>
      <c r="CC278" s="116">
        <f>SUMIFS('IS Proforma'!CO:CO,'IS Proforma'!$C:$C,'Ops Departments'!$C278,'IS Proforma'!$A:$A,'Ops Departments'!$A278)</f>
        <v>98340.19854</v>
      </c>
      <c r="CD278" s="116">
        <f>SUMIFS('IS Proforma'!CP:CP,'IS Proforma'!$C:$C,'Ops Departments'!$C278,'IS Proforma'!$A:$A,'Ops Departments'!$A278)</f>
        <v>98719.50126</v>
      </c>
      <c r="CE278" s="116">
        <f>SUMIFS('IS Proforma'!CQ:CQ,'IS Proforma'!$C:$C,'Ops Departments'!$C278,'IS Proforma'!$A:$A,'Ops Departments'!$A278)</f>
        <v>99156.55297</v>
      </c>
      <c r="CF278" s="116">
        <f>SUMIFS('IS Proforma'!CR:CR,'IS Proforma'!$C:$C,'Ops Departments'!$C278,'IS Proforma'!$A:$A,'Ops Departments'!$A278)</f>
        <v>99636.75486</v>
      </c>
      <c r="CG278" s="116">
        <f>SUMIFS('IS Proforma'!CS:CS,'IS Proforma'!$C:$C,'Ops Departments'!$C278,'IS Proforma'!$A:$A,'Ops Departments'!$A278)</f>
        <v>100149.4082</v>
      </c>
      <c r="CH278" s="116">
        <f>SUMIFS('IS Proforma'!CT:CT,'IS Proforma'!$C:$C,'Ops Departments'!$C278,'IS Proforma'!$A:$A,'Ops Departments'!$A278)</f>
        <v>100686.6266</v>
      </c>
      <c r="CI278" s="116">
        <f>SUMIFS('IS Proforma'!CU:CU,'IS Proforma'!$C:$C,'Ops Departments'!$C278,'IS Proforma'!$A:$A,'Ops Departments'!$A278)</f>
        <v>101242.5877</v>
      </c>
      <c r="CJ278" s="1"/>
      <c r="CK278" s="1"/>
      <c r="CL278" s="117"/>
      <c r="CM278" s="117"/>
      <c r="CN278" s="117"/>
      <c r="CO278" s="117"/>
      <c r="CP278" s="117"/>
      <c r="CQ278" s="117"/>
    </row>
    <row r="279" ht="15.75" customHeight="1">
      <c r="A279" s="91" t="s">
        <v>118</v>
      </c>
      <c r="B279" s="1"/>
      <c r="C279" s="132" t="s">
        <v>216</v>
      </c>
      <c r="D279" s="116">
        <f>SUMIFS('IS Proforma'!P:P,'IS Proforma'!$C:$C,'Ops Departments'!$C279,'IS Proforma'!$A:$A,'Ops Departments'!$A279)</f>
        <v>2109</v>
      </c>
      <c r="E279" s="116">
        <f>SUMIFS('IS Proforma'!Q:Q,'IS Proforma'!$C:$C,'Ops Departments'!$C279,'IS Proforma'!$A:$A,'Ops Departments'!$A279)</f>
        <v>2342</v>
      </c>
      <c r="F279" s="116">
        <f>SUMIFS('IS Proforma'!R:R,'IS Proforma'!$C:$C,'Ops Departments'!$C279,'IS Proforma'!$A:$A,'Ops Departments'!$A279)</f>
        <v>1271</v>
      </c>
      <c r="G279" s="116">
        <f>SUMIFS('IS Proforma'!S:S,'IS Proforma'!$C:$C,'Ops Departments'!$C279,'IS Proforma'!$A:$A,'Ops Departments'!$A279)</f>
        <v>1755</v>
      </c>
      <c r="H279" s="116">
        <f>SUMIFS('IS Proforma'!T:T,'IS Proforma'!$C:$C,'Ops Departments'!$C279,'IS Proforma'!$A:$A,'Ops Departments'!$A279)</f>
        <v>2220</v>
      </c>
      <c r="I279" s="116">
        <f>SUMIFS('IS Proforma'!U:U,'IS Proforma'!$C:$C,'Ops Departments'!$C279,'IS Proforma'!$A:$A,'Ops Departments'!$A279)</f>
        <v>1413</v>
      </c>
      <c r="J279" s="116">
        <f>SUMIFS('IS Proforma'!V:V,'IS Proforma'!$C:$C,'Ops Departments'!$C279,'IS Proforma'!$A:$A,'Ops Departments'!$A279)</f>
        <v>1653</v>
      </c>
      <c r="K279" s="116">
        <f>SUMIFS('IS Proforma'!W:W,'IS Proforma'!$C:$C,'Ops Departments'!$C279,'IS Proforma'!$A:$A,'Ops Departments'!$A279)</f>
        <v>1854</v>
      </c>
      <c r="L279" s="116">
        <f>SUMIFS('IS Proforma'!X:X,'IS Proforma'!$C:$C,'Ops Departments'!$C279,'IS Proforma'!$A:$A,'Ops Departments'!$A279)</f>
        <v>2013</v>
      </c>
      <c r="M279" s="116">
        <f>SUMIFS('IS Proforma'!Y:Y,'IS Proforma'!$C:$C,'Ops Departments'!$C279,'IS Proforma'!$A:$A,'Ops Departments'!$A279)</f>
        <v>2167</v>
      </c>
      <c r="N279" s="116">
        <f>SUMIFS('IS Proforma'!Z:Z,'IS Proforma'!$C:$C,'Ops Departments'!$C279,'IS Proforma'!$A:$A,'Ops Departments'!$A279)</f>
        <v>1758</v>
      </c>
      <c r="O279" s="116">
        <f>SUMIFS('IS Proforma'!AA:AA,'IS Proforma'!$C:$C,'Ops Departments'!$C279,'IS Proforma'!$A:$A,'Ops Departments'!$A279)</f>
        <v>1172</v>
      </c>
      <c r="P279" s="116">
        <f>SUMIFS('IS Proforma'!AB:AB,'IS Proforma'!$C:$C,'Ops Departments'!$C279,'IS Proforma'!$A:$A,'Ops Departments'!$A279)</f>
        <v>1635</v>
      </c>
      <c r="Q279" s="116">
        <f>SUMIFS('IS Proforma'!AC:AC,'IS Proforma'!$C:$C,'Ops Departments'!$C279,'IS Proforma'!$A:$A,'Ops Departments'!$A279)</f>
        <v>1473</v>
      </c>
      <c r="R279" s="116">
        <f>SUMIFS('IS Proforma'!AD:AD,'IS Proforma'!$C:$C,'Ops Departments'!$C279,'IS Proforma'!$A:$A,'Ops Departments'!$A279)</f>
        <v>2190</v>
      </c>
      <c r="S279" s="116">
        <f>SUMIFS('IS Proforma'!AE:AE,'IS Proforma'!$C:$C,'Ops Departments'!$C279,'IS Proforma'!$A:$A,'Ops Departments'!$A279)</f>
        <v>2108</v>
      </c>
      <c r="T279" s="116">
        <f>SUMIFS('IS Proforma'!AF:AF,'IS Proforma'!$C:$C,'Ops Departments'!$C279,'IS Proforma'!$A:$A,'Ops Departments'!$A279)</f>
        <v>2264</v>
      </c>
      <c r="U279" s="116">
        <f>SUMIFS('IS Proforma'!AG:AG,'IS Proforma'!$C:$C,'Ops Departments'!$C279,'IS Proforma'!$A:$A,'Ops Departments'!$A279)</f>
        <v>1583</v>
      </c>
      <c r="V279" s="116">
        <f>SUMIFS('IS Proforma'!AH:AH,'IS Proforma'!$C:$C,'Ops Departments'!$C279,'IS Proforma'!$A:$A,'Ops Departments'!$A279)</f>
        <v>2242</v>
      </c>
      <c r="W279" s="116">
        <f>SUMIFS('IS Proforma'!AI:AI,'IS Proforma'!$C:$C,'Ops Departments'!$C279,'IS Proforma'!$A:$A,'Ops Departments'!$A279)</f>
        <v>1515</v>
      </c>
      <c r="X279" s="116">
        <f>SUMIFS('IS Proforma'!AJ:AJ,'IS Proforma'!$C:$C,'Ops Departments'!$C279,'IS Proforma'!$A:$A,'Ops Departments'!$A279)</f>
        <v>2271</v>
      </c>
      <c r="Y279" s="116">
        <f>SUMIFS('IS Proforma'!AK:AK,'IS Proforma'!$C:$C,'Ops Departments'!$C279,'IS Proforma'!$A:$A,'Ops Departments'!$A279)</f>
        <v>1132</v>
      </c>
      <c r="Z279" s="116">
        <f>SUMIFS('IS Proforma'!AL:AL,'IS Proforma'!$C:$C,'Ops Departments'!$C279,'IS Proforma'!$A:$A,'Ops Departments'!$A279)</f>
        <v>2244</v>
      </c>
      <c r="AA279" s="116">
        <f>SUMIFS('IS Proforma'!AM:AM,'IS Proforma'!$C:$C,'Ops Departments'!$C279,'IS Proforma'!$A:$A,'Ops Departments'!$A279)</f>
        <v>1662.8</v>
      </c>
      <c r="AB279" s="116">
        <f>SUMIFS('IS Proforma'!AN:AN,'IS Proforma'!$C:$C,'Ops Departments'!$C279,'IS Proforma'!$A:$A,'Ops Departments'!$A279)</f>
        <v>3662.8</v>
      </c>
      <c r="AC279" s="116">
        <f>SUMIFS('IS Proforma'!AO:AO,'IS Proforma'!$C:$C,'Ops Departments'!$C279,'IS Proforma'!$A:$A,'Ops Departments'!$A279)</f>
        <v>3662.8</v>
      </c>
      <c r="AD279" s="116">
        <f>SUMIFS('IS Proforma'!AP:AP,'IS Proforma'!$C:$C,'Ops Departments'!$C279,'IS Proforma'!$A:$A,'Ops Departments'!$A279)</f>
        <v>3662.8</v>
      </c>
      <c r="AE279" s="116">
        <f>SUMIFS('IS Proforma'!AQ:AQ,'IS Proforma'!$C:$C,'Ops Departments'!$C279,'IS Proforma'!$A:$A,'Ops Departments'!$A279)</f>
        <v>3662.8</v>
      </c>
      <c r="AF279" s="116">
        <f>SUMIFS('IS Proforma'!AR:AR,'IS Proforma'!$C:$C,'Ops Departments'!$C279,'IS Proforma'!$A:$A,'Ops Departments'!$A279)</f>
        <v>5662.8</v>
      </c>
      <c r="AG279" s="116">
        <f>SUMIFS('IS Proforma'!AS:AS,'IS Proforma'!$C:$C,'Ops Departments'!$C279,'IS Proforma'!$A:$A,'Ops Departments'!$A279)</f>
        <v>5662.8</v>
      </c>
      <c r="AH279" s="116">
        <f>SUMIFS('IS Proforma'!AT:AT,'IS Proforma'!$C:$C,'Ops Departments'!$C279,'IS Proforma'!$A:$A,'Ops Departments'!$A279)</f>
        <v>5662.8</v>
      </c>
      <c r="AI279" s="116">
        <f>SUMIFS('IS Proforma'!AU:AU,'IS Proforma'!$C:$C,'Ops Departments'!$C279,'IS Proforma'!$A:$A,'Ops Departments'!$A279)</f>
        <v>5662.8</v>
      </c>
      <c r="AJ279" s="116">
        <f>SUMIFS('IS Proforma'!AV:AV,'IS Proforma'!$C:$C,'Ops Departments'!$C279,'IS Proforma'!$A:$A,'Ops Departments'!$A279)</f>
        <v>7662.8</v>
      </c>
      <c r="AK279" s="116">
        <f>SUMIFS('IS Proforma'!AW:AW,'IS Proforma'!$C:$C,'Ops Departments'!$C279,'IS Proforma'!$A:$A,'Ops Departments'!$A279)</f>
        <v>7662.8</v>
      </c>
      <c r="AL279" s="116">
        <f>SUMIFS('IS Proforma'!AX:AX,'IS Proforma'!$C:$C,'Ops Departments'!$C279,'IS Proforma'!$A:$A,'Ops Departments'!$A279)</f>
        <v>7662.8</v>
      </c>
      <c r="AM279" s="116">
        <f>SUMIFS('IS Proforma'!AY:AY,'IS Proforma'!$C:$C,'Ops Departments'!$C279,'IS Proforma'!$A:$A,'Ops Departments'!$A279)</f>
        <v>7662.8</v>
      </c>
      <c r="AN279" s="116">
        <f>SUMIFS('IS Proforma'!AZ:AZ,'IS Proforma'!$C:$C,'Ops Departments'!$C279,'IS Proforma'!$A:$A,'Ops Departments'!$A279)</f>
        <v>7662.8</v>
      </c>
      <c r="AO279" s="116">
        <f>SUMIFS('IS Proforma'!BA:BA,'IS Proforma'!$C:$C,'Ops Departments'!$C279,'IS Proforma'!$A:$A,'Ops Departments'!$A279)</f>
        <v>7662.8</v>
      </c>
      <c r="AP279" s="116">
        <f>SUMIFS('IS Proforma'!BB:BB,'IS Proforma'!$C:$C,'Ops Departments'!$C279,'IS Proforma'!$A:$A,'Ops Departments'!$A279)</f>
        <v>7662.8</v>
      </c>
      <c r="AQ279" s="116">
        <f>SUMIFS('IS Proforma'!BC:BC,'IS Proforma'!$C:$C,'Ops Departments'!$C279,'IS Proforma'!$A:$A,'Ops Departments'!$A279)</f>
        <v>7662.8</v>
      </c>
      <c r="AR279" s="116">
        <f>SUMIFS('IS Proforma'!BD:BD,'IS Proforma'!$C:$C,'Ops Departments'!$C279,'IS Proforma'!$A:$A,'Ops Departments'!$A279)</f>
        <v>7662.8</v>
      </c>
      <c r="AS279" s="116">
        <f>SUMIFS('IS Proforma'!BE:BE,'IS Proforma'!$C:$C,'Ops Departments'!$C279,'IS Proforma'!$A:$A,'Ops Departments'!$A279)</f>
        <v>7662.8</v>
      </c>
      <c r="AT279" s="116">
        <f>SUMIFS('IS Proforma'!BF:BF,'IS Proforma'!$C:$C,'Ops Departments'!$C279,'IS Proforma'!$A:$A,'Ops Departments'!$A279)</f>
        <v>7662.8</v>
      </c>
      <c r="AU279" s="116">
        <f>SUMIFS('IS Proforma'!BG:BG,'IS Proforma'!$C:$C,'Ops Departments'!$C279,'IS Proforma'!$A:$A,'Ops Departments'!$A279)</f>
        <v>7662.8</v>
      </c>
      <c r="AV279" s="116">
        <f>SUMIFS('IS Proforma'!BH:BH,'IS Proforma'!$C:$C,'Ops Departments'!$C279,'IS Proforma'!$A:$A,'Ops Departments'!$A279)</f>
        <v>9262.8</v>
      </c>
      <c r="AW279" s="116">
        <f>SUMIFS('IS Proforma'!BI:BI,'IS Proforma'!$C:$C,'Ops Departments'!$C279,'IS Proforma'!$A:$A,'Ops Departments'!$A279)</f>
        <v>9262.8</v>
      </c>
      <c r="AX279" s="116">
        <f>SUMIFS('IS Proforma'!BJ:BJ,'IS Proforma'!$C:$C,'Ops Departments'!$C279,'IS Proforma'!$A:$A,'Ops Departments'!$A279)</f>
        <v>9262.8</v>
      </c>
      <c r="AY279" s="116">
        <f>SUMIFS('IS Proforma'!BK:BK,'IS Proforma'!$C:$C,'Ops Departments'!$C279,'IS Proforma'!$A:$A,'Ops Departments'!$A279)</f>
        <v>9262.8</v>
      </c>
      <c r="AZ279" s="116">
        <f>SUMIFS('IS Proforma'!BL:BL,'IS Proforma'!$C:$C,'Ops Departments'!$C279,'IS Proforma'!$A:$A,'Ops Departments'!$A279)</f>
        <v>13262.8</v>
      </c>
      <c r="BA279" s="116">
        <f>SUMIFS('IS Proforma'!BM:BM,'IS Proforma'!$C:$C,'Ops Departments'!$C279,'IS Proforma'!$A:$A,'Ops Departments'!$A279)</f>
        <v>13262.8</v>
      </c>
      <c r="BB279" s="116">
        <f>SUMIFS('IS Proforma'!BN:BN,'IS Proforma'!$C:$C,'Ops Departments'!$C279,'IS Proforma'!$A:$A,'Ops Departments'!$A279)</f>
        <v>13262.8</v>
      </c>
      <c r="BC279" s="116">
        <f>SUMIFS('IS Proforma'!BO:BO,'IS Proforma'!$C:$C,'Ops Departments'!$C279,'IS Proforma'!$A:$A,'Ops Departments'!$A279)</f>
        <v>13262.8</v>
      </c>
      <c r="BD279" s="116">
        <f>SUMIFS('IS Proforma'!BP:BP,'IS Proforma'!$C:$C,'Ops Departments'!$C279,'IS Proforma'!$A:$A,'Ops Departments'!$A279)</f>
        <v>17262.8</v>
      </c>
      <c r="BE279" s="116">
        <f>SUMIFS('IS Proforma'!BQ:BQ,'IS Proforma'!$C:$C,'Ops Departments'!$C279,'IS Proforma'!$A:$A,'Ops Departments'!$A279)</f>
        <v>17262.8</v>
      </c>
      <c r="BF279" s="116">
        <f>SUMIFS('IS Proforma'!BR:BR,'IS Proforma'!$C:$C,'Ops Departments'!$C279,'IS Proforma'!$A:$A,'Ops Departments'!$A279)</f>
        <v>17262.8</v>
      </c>
      <c r="BG279" s="116">
        <f>SUMIFS('IS Proforma'!BS:BS,'IS Proforma'!$C:$C,'Ops Departments'!$C279,'IS Proforma'!$A:$A,'Ops Departments'!$A279)</f>
        <v>17262.8</v>
      </c>
      <c r="BH279" s="116">
        <f>SUMIFS('IS Proforma'!BT:BT,'IS Proforma'!$C:$C,'Ops Departments'!$C279,'IS Proforma'!$A:$A,'Ops Departments'!$A279)</f>
        <v>21262.8</v>
      </c>
      <c r="BI279" s="116">
        <f>SUMIFS('IS Proforma'!BU:BU,'IS Proforma'!$C:$C,'Ops Departments'!$C279,'IS Proforma'!$A:$A,'Ops Departments'!$A279)</f>
        <v>21262.8</v>
      </c>
      <c r="BJ279" s="116">
        <f>SUMIFS('IS Proforma'!BV:BV,'IS Proforma'!$C:$C,'Ops Departments'!$C279,'IS Proforma'!$A:$A,'Ops Departments'!$A279)</f>
        <v>21262.8</v>
      </c>
      <c r="BK279" s="116">
        <f>SUMIFS('IS Proforma'!BW:BW,'IS Proforma'!$C:$C,'Ops Departments'!$C279,'IS Proforma'!$A:$A,'Ops Departments'!$A279)</f>
        <v>21262.8</v>
      </c>
      <c r="BL279" s="116">
        <f>SUMIFS('IS Proforma'!BX:BX,'IS Proforma'!$C:$C,'Ops Departments'!$C279,'IS Proforma'!$A:$A,'Ops Departments'!$A279)</f>
        <v>21342.8</v>
      </c>
      <c r="BM279" s="116">
        <f>SUMIFS('IS Proforma'!BY:BY,'IS Proforma'!$C:$C,'Ops Departments'!$C279,'IS Proforma'!$A:$A,'Ops Departments'!$A279)</f>
        <v>21342.8</v>
      </c>
      <c r="BN279" s="116">
        <f>SUMIFS('IS Proforma'!BZ:BZ,'IS Proforma'!$C:$C,'Ops Departments'!$C279,'IS Proforma'!$A:$A,'Ops Departments'!$A279)</f>
        <v>21342.8</v>
      </c>
      <c r="BO279" s="116">
        <f>SUMIFS('IS Proforma'!CA:CA,'IS Proforma'!$C:$C,'Ops Departments'!$C279,'IS Proforma'!$A:$A,'Ops Departments'!$A279)</f>
        <v>21342.8</v>
      </c>
      <c r="BP279" s="116">
        <f>SUMIFS('IS Proforma'!CB:CB,'IS Proforma'!$C:$C,'Ops Departments'!$C279,'IS Proforma'!$A:$A,'Ops Departments'!$A279)</f>
        <v>21422.8</v>
      </c>
      <c r="BQ279" s="116">
        <f>SUMIFS('IS Proforma'!CC:CC,'IS Proforma'!$C:$C,'Ops Departments'!$C279,'IS Proforma'!$A:$A,'Ops Departments'!$A279)</f>
        <v>21422.8</v>
      </c>
      <c r="BR279" s="116">
        <f>SUMIFS('IS Proforma'!CD:CD,'IS Proforma'!$C:$C,'Ops Departments'!$C279,'IS Proforma'!$A:$A,'Ops Departments'!$A279)</f>
        <v>21422.8</v>
      </c>
      <c r="BS279" s="116">
        <f>SUMIFS('IS Proforma'!CE:CE,'IS Proforma'!$C:$C,'Ops Departments'!$C279,'IS Proforma'!$A:$A,'Ops Departments'!$A279)</f>
        <v>21422.8</v>
      </c>
      <c r="BT279" s="116">
        <f>SUMIFS('IS Proforma'!CF:CF,'IS Proforma'!$C:$C,'Ops Departments'!$C279,'IS Proforma'!$A:$A,'Ops Departments'!$A279)</f>
        <v>21502.8</v>
      </c>
      <c r="BU279" s="116">
        <f>SUMIFS('IS Proforma'!CG:CG,'IS Proforma'!$C:$C,'Ops Departments'!$C279,'IS Proforma'!$A:$A,'Ops Departments'!$A279)</f>
        <v>21502.8</v>
      </c>
      <c r="BV279" s="116">
        <f>SUMIFS('IS Proforma'!CH:CH,'IS Proforma'!$C:$C,'Ops Departments'!$C279,'IS Proforma'!$A:$A,'Ops Departments'!$A279)</f>
        <v>21502.8</v>
      </c>
      <c r="BW279" s="116">
        <f>SUMIFS('IS Proforma'!CI:CI,'IS Proforma'!$C:$C,'Ops Departments'!$C279,'IS Proforma'!$A:$A,'Ops Departments'!$A279)</f>
        <v>21502.8</v>
      </c>
      <c r="BX279" s="116">
        <f>SUMIFS('IS Proforma'!CJ:CJ,'IS Proforma'!$C:$C,'Ops Departments'!$C279,'IS Proforma'!$A:$A,'Ops Departments'!$A279)</f>
        <v>21582.8</v>
      </c>
      <c r="BY279" s="116">
        <f>SUMIFS('IS Proforma'!CK:CK,'IS Proforma'!$C:$C,'Ops Departments'!$C279,'IS Proforma'!$A:$A,'Ops Departments'!$A279)</f>
        <v>21582.8</v>
      </c>
      <c r="BZ279" s="116">
        <f>SUMIFS('IS Proforma'!CL:CL,'IS Proforma'!$C:$C,'Ops Departments'!$C279,'IS Proforma'!$A:$A,'Ops Departments'!$A279)</f>
        <v>21582.8</v>
      </c>
      <c r="CA279" s="116">
        <f>SUMIFS('IS Proforma'!CM:CM,'IS Proforma'!$C:$C,'Ops Departments'!$C279,'IS Proforma'!$A:$A,'Ops Departments'!$A279)</f>
        <v>21582.8</v>
      </c>
      <c r="CB279" s="116">
        <f>SUMIFS('IS Proforma'!CN:CN,'IS Proforma'!$C:$C,'Ops Departments'!$C279,'IS Proforma'!$A:$A,'Ops Departments'!$A279)</f>
        <v>21662.8</v>
      </c>
      <c r="CC279" s="116">
        <f>SUMIFS('IS Proforma'!CO:CO,'IS Proforma'!$C:$C,'Ops Departments'!$C279,'IS Proforma'!$A:$A,'Ops Departments'!$A279)</f>
        <v>21662.8</v>
      </c>
      <c r="CD279" s="116">
        <f>SUMIFS('IS Proforma'!CP:CP,'IS Proforma'!$C:$C,'Ops Departments'!$C279,'IS Proforma'!$A:$A,'Ops Departments'!$A279)</f>
        <v>21662.8</v>
      </c>
      <c r="CE279" s="116">
        <f>SUMIFS('IS Proforma'!CQ:CQ,'IS Proforma'!$C:$C,'Ops Departments'!$C279,'IS Proforma'!$A:$A,'Ops Departments'!$A279)</f>
        <v>21662.8</v>
      </c>
      <c r="CF279" s="116">
        <f>SUMIFS('IS Proforma'!CR:CR,'IS Proforma'!$C:$C,'Ops Departments'!$C279,'IS Proforma'!$A:$A,'Ops Departments'!$A279)</f>
        <v>22662.8</v>
      </c>
      <c r="CG279" s="116">
        <f>SUMIFS('IS Proforma'!CS:CS,'IS Proforma'!$C:$C,'Ops Departments'!$C279,'IS Proforma'!$A:$A,'Ops Departments'!$A279)</f>
        <v>22662.8</v>
      </c>
      <c r="CH279" s="116">
        <f>SUMIFS('IS Proforma'!CT:CT,'IS Proforma'!$C:$C,'Ops Departments'!$C279,'IS Proforma'!$A:$A,'Ops Departments'!$A279)</f>
        <v>22662.8</v>
      </c>
      <c r="CI279" s="116">
        <f>SUMIFS('IS Proforma'!CU:CU,'IS Proforma'!$C:$C,'Ops Departments'!$C279,'IS Proforma'!$A:$A,'Ops Departments'!$A279)</f>
        <v>22662.8</v>
      </c>
      <c r="CJ279" s="1"/>
      <c r="CK279" s="1"/>
      <c r="CL279" s="117"/>
      <c r="CM279" s="117"/>
      <c r="CN279" s="117"/>
      <c r="CO279" s="117"/>
      <c r="CP279" s="117"/>
      <c r="CQ279" s="117"/>
    </row>
    <row r="280" ht="15.75" customHeight="1">
      <c r="A280" s="91" t="s">
        <v>118</v>
      </c>
      <c r="B280" s="1"/>
      <c r="C280" s="132" t="s">
        <v>217</v>
      </c>
      <c r="D280" s="116">
        <f>SUMIFS('IS Proforma'!P:P,'IS Proforma'!$C:$C,'Ops Departments'!$C280,'IS Proforma'!$A:$A,'Ops Departments'!$A280)</f>
        <v>0</v>
      </c>
      <c r="E280" s="116">
        <f>SUMIFS('IS Proforma'!Q:Q,'IS Proforma'!$C:$C,'Ops Departments'!$C280,'IS Proforma'!$A:$A,'Ops Departments'!$A280)</f>
        <v>0</v>
      </c>
      <c r="F280" s="116">
        <f>SUMIFS('IS Proforma'!R:R,'IS Proforma'!$C:$C,'Ops Departments'!$C280,'IS Proforma'!$A:$A,'Ops Departments'!$A280)</f>
        <v>0</v>
      </c>
      <c r="G280" s="116">
        <f>SUMIFS('IS Proforma'!S:S,'IS Proforma'!$C:$C,'Ops Departments'!$C280,'IS Proforma'!$A:$A,'Ops Departments'!$A280)</f>
        <v>0</v>
      </c>
      <c r="H280" s="116">
        <f>SUMIFS('IS Proforma'!T:T,'IS Proforma'!$C:$C,'Ops Departments'!$C280,'IS Proforma'!$A:$A,'Ops Departments'!$A280)</f>
        <v>0</v>
      </c>
      <c r="I280" s="116">
        <f>SUMIFS('IS Proforma'!U:U,'IS Proforma'!$C:$C,'Ops Departments'!$C280,'IS Proforma'!$A:$A,'Ops Departments'!$A280)</f>
        <v>0</v>
      </c>
      <c r="J280" s="116">
        <f>SUMIFS('IS Proforma'!V:V,'IS Proforma'!$C:$C,'Ops Departments'!$C280,'IS Proforma'!$A:$A,'Ops Departments'!$A280)</f>
        <v>0</v>
      </c>
      <c r="K280" s="116">
        <f>SUMIFS('IS Proforma'!W:W,'IS Proforma'!$C:$C,'Ops Departments'!$C280,'IS Proforma'!$A:$A,'Ops Departments'!$A280)</f>
        <v>0</v>
      </c>
      <c r="L280" s="116">
        <f>SUMIFS('IS Proforma'!X:X,'IS Proforma'!$C:$C,'Ops Departments'!$C280,'IS Proforma'!$A:$A,'Ops Departments'!$A280)</f>
        <v>0</v>
      </c>
      <c r="M280" s="116">
        <f>SUMIFS('IS Proforma'!Y:Y,'IS Proforma'!$C:$C,'Ops Departments'!$C280,'IS Proforma'!$A:$A,'Ops Departments'!$A280)</f>
        <v>0</v>
      </c>
      <c r="N280" s="116">
        <f>SUMIFS('IS Proforma'!Z:Z,'IS Proforma'!$C:$C,'Ops Departments'!$C280,'IS Proforma'!$A:$A,'Ops Departments'!$A280)</f>
        <v>0</v>
      </c>
      <c r="O280" s="116">
        <f>SUMIFS('IS Proforma'!AA:AA,'IS Proforma'!$C:$C,'Ops Departments'!$C280,'IS Proforma'!$A:$A,'Ops Departments'!$A280)</f>
        <v>0</v>
      </c>
      <c r="P280" s="116">
        <f>SUMIFS('IS Proforma'!AB:AB,'IS Proforma'!$C:$C,'Ops Departments'!$C280,'IS Proforma'!$A:$A,'Ops Departments'!$A280)</f>
        <v>0</v>
      </c>
      <c r="Q280" s="116">
        <f>SUMIFS('IS Proforma'!AC:AC,'IS Proforma'!$C:$C,'Ops Departments'!$C280,'IS Proforma'!$A:$A,'Ops Departments'!$A280)</f>
        <v>0</v>
      </c>
      <c r="R280" s="116">
        <f>SUMIFS('IS Proforma'!AD:AD,'IS Proforma'!$C:$C,'Ops Departments'!$C280,'IS Proforma'!$A:$A,'Ops Departments'!$A280)</f>
        <v>0</v>
      </c>
      <c r="S280" s="116">
        <f>SUMIFS('IS Proforma'!AE:AE,'IS Proforma'!$C:$C,'Ops Departments'!$C280,'IS Proforma'!$A:$A,'Ops Departments'!$A280)</f>
        <v>0</v>
      </c>
      <c r="T280" s="116">
        <f>SUMIFS('IS Proforma'!AF:AF,'IS Proforma'!$C:$C,'Ops Departments'!$C280,'IS Proforma'!$A:$A,'Ops Departments'!$A280)</f>
        <v>0</v>
      </c>
      <c r="U280" s="116">
        <f>SUMIFS('IS Proforma'!AG:AG,'IS Proforma'!$C:$C,'Ops Departments'!$C280,'IS Proforma'!$A:$A,'Ops Departments'!$A280)</f>
        <v>0</v>
      </c>
      <c r="V280" s="116">
        <f>SUMIFS('IS Proforma'!AH:AH,'IS Proforma'!$C:$C,'Ops Departments'!$C280,'IS Proforma'!$A:$A,'Ops Departments'!$A280)</f>
        <v>0</v>
      </c>
      <c r="W280" s="116">
        <f>SUMIFS('IS Proforma'!AI:AI,'IS Proforma'!$C:$C,'Ops Departments'!$C280,'IS Proforma'!$A:$A,'Ops Departments'!$A280)</f>
        <v>0</v>
      </c>
      <c r="X280" s="116">
        <f>SUMIFS('IS Proforma'!AJ:AJ,'IS Proforma'!$C:$C,'Ops Departments'!$C280,'IS Proforma'!$A:$A,'Ops Departments'!$A280)</f>
        <v>0</v>
      </c>
      <c r="Y280" s="116">
        <f>SUMIFS('IS Proforma'!AK:AK,'IS Proforma'!$C:$C,'Ops Departments'!$C280,'IS Proforma'!$A:$A,'Ops Departments'!$A280)</f>
        <v>0</v>
      </c>
      <c r="Z280" s="116">
        <f>SUMIFS('IS Proforma'!AL:AL,'IS Proforma'!$C:$C,'Ops Departments'!$C280,'IS Proforma'!$A:$A,'Ops Departments'!$A280)</f>
        <v>0</v>
      </c>
      <c r="AA280" s="116">
        <f>SUMIFS('IS Proforma'!AM:AM,'IS Proforma'!$C:$C,'Ops Departments'!$C280,'IS Proforma'!$A:$A,'Ops Departments'!$A280)</f>
        <v>0</v>
      </c>
      <c r="AB280" s="116">
        <f>SUMIFS('IS Proforma'!AN:AN,'IS Proforma'!$C:$C,'Ops Departments'!$C280,'IS Proforma'!$A:$A,'Ops Departments'!$A280)</f>
        <v>0</v>
      </c>
      <c r="AC280" s="116">
        <f>SUMIFS('IS Proforma'!AO:AO,'IS Proforma'!$C:$C,'Ops Departments'!$C280,'IS Proforma'!$A:$A,'Ops Departments'!$A280)</f>
        <v>0</v>
      </c>
      <c r="AD280" s="116">
        <f>SUMIFS('IS Proforma'!AP:AP,'IS Proforma'!$C:$C,'Ops Departments'!$C280,'IS Proforma'!$A:$A,'Ops Departments'!$A280)</f>
        <v>0</v>
      </c>
      <c r="AE280" s="116">
        <f>SUMIFS('IS Proforma'!AQ:AQ,'IS Proforma'!$C:$C,'Ops Departments'!$C280,'IS Proforma'!$A:$A,'Ops Departments'!$A280)</f>
        <v>0</v>
      </c>
      <c r="AF280" s="116">
        <f>SUMIFS('IS Proforma'!AR:AR,'IS Proforma'!$C:$C,'Ops Departments'!$C280,'IS Proforma'!$A:$A,'Ops Departments'!$A280)</f>
        <v>0</v>
      </c>
      <c r="AG280" s="116">
        <f>SUMIFS('IS Proforma'!AS:AS,'IS Proforma'!$C:$C,'Ops Departments'!$C280,'IS Proforma'!$A:$A,'Ops Departments'!$A280)</f>
        <v>0</v>
      </c>
      <c r="AH280" s="116">
        <f>SUMIFS('IS Proforma'!AT:AT,'IS Proforma'!$C:$C,'Ops Departments'!$C280,'IS Proforma'!$A:$A,'Ops Departments'!$A280)</f>
        <v>0</v>
      </c>
      <c r="AI280" s="116">
        <f>SUMIFS('IS Proforma'!AU:AU,'IS Proforma'!$C:$C,'Ops Departments'!$C280,'IS Proforma'!$A:$A,'Ops Departments'!$A280)</f>
        <v>0</v>
      </c>
      <c r="AJ280" s="116">
        <f>SUMIFS('IS Proforma'!AV:AV,'IS Proforma'!$C:$C,'Ops Departments'!$C280,'IS Proforma'!$A:$A,'Ops Departments'!$A280)</f>
        <v>0</v>
      </c>
      <c r="AK280" s="116">
        <f>SUMIFS('IS Proforma'!AW:AW,'IS Proforma'!$C:$C,'Ops Departments'!$C280,'IS Proforma'!$A:$A,'Ops Departments'!$A280)</f>
        <v>0</v>
      </c>
      <c r="AL280" s="116">
        <f>SUMIFS('IS Proforma'!AX:AX,'IS Proforma'!$C:$C,'Ops Departments'!$C280,'IS Proforma'!$A:$A,'Ops Departments'!$A280)</f>
        <v>0</v>
      </c>
      <c r="AM280" s="116">
        <f>SUMIFS('IS Proforma'!AY:AY,'IS Proforma'!$C:$C,'Ops Departments'!$C280,'IS Proforma'!$A:$A,'Ops Departments'!$A280)</f>
        <v>0</v>
      </c>
      <c r="AN280" s="116">
        <f>SUMIFS('IS Proforma'!AZ:AZ,'IS Proforma'!$C:$C,'Ops Departments'!$C280,'IS Proforma'!$A:$A,'Ops Departments'!$A280)</f>
        <v>0</v>
      </c>
      <c r="AO280" s="116">
        <f>SUMIFS('IS Proforma'!BA:BA,'IS Proforma'!$C:$C,'Ops Departments'!$C280,'IS Proforma'!$A:$A,'Ops Departments'!$A280)</f>
        <v>0</v>
      </c>
      <c r="AP280" s="116">
        <f>SUMIFS('IS Proforma'!BB:BB,'IS Proforma'!$C:$C,'Ops Departments'!$C280,'IS Proforma'!$A:$A,'Ops Departments'!$A280)</f>
        <v>0</v>
      </c>
      <c r="AQ280" s="116">
        <f>SUMIFS('IS Proforma'!BC:BC,'IS Proforma'!$C:$C,'Ops Departments'!$C280,'IS Proforma'!$A:$A,'Ops Departments'!$A280)</f>
        <v>0</v>
      </c>
      <c r="AR280" s="116">
        <f>SUMIFS('IS Proforma'!BD:BD,'IS Proforma'!$C:$C,'Ops Departments'!$C280,'IS Proforma'!$A:$A,'Ops Departments'!$A280)</f>
        <v>0</v>
      </c>
      <c r="AS280" s="116">
        <f>SUMIFS('IS Proforma'!BE:BE,'IS Proforma'!$C:$C,'Ops Departments'!$C280,'IS Proforma'!$A:$A,'Ops Departments'!$A280)</f>
        <v>0</v>
      </c>
      <c r="AT280" s="116">
        <f>SUMIFS('IS Proforma'!BF:BF,'IS Proforma'!$C:$C,'Ops Departments'!$C280,'IS Proforma'!$A:$A,'Ops Departments'!$A280)</f>
        <v>0</v>
      </c>
      <c r="AU280" s="116">
        <f>SUMIFS('IS Proforma'!BG:BG,'IS Proforma'!$C:$C,'Ops Departments'!$C280,'IS Proforma'!$A:$A,'Ops Departments'!$A280)</f>
        <v>0</v>
      </c>
      <c r="AV280" s="116">
        <f>SUMIFS('IS Proforma'!BH:BH,'IS Proforma'!$C:$C,'Ops Departments'!$C280,'IS Proforma'!$A:$A,'Ops Departments'!$A280)</f>
        <v>0</v>
      </c>
      <c r="AW280" s="116">
        <f>SUMIFS('IS Proforma'!BI:BI,'IS Proforma'!$C:$C,'Ops Departments'!$C280,'IS Proforma'!$A:$A,'Ops Departments'!$A280)</f>
        <v>0</v>
      </c>
      <c r="AX280" s="116">
        <f>SUMIFS('IS Proforma'!BJ:BJ,'IS Proforma'!$C:$C,'Ops Departments'!$C280,'IS Proforma'!$A:$A,'Ops Departments'!$A280)</f>
        <v>0</v>
      </c>
      <c r="AY280" s="116">
        <f>SUMIFS('IS Proforma'!BK:BK,'IS Proforma'!$C:$C,'Ops Departments'!$C280,'IS Proforma'!$A:$A,'Ops Departments'!$A280)</f>
        <v>0</v>
      </c>
      <c r="AZ280" s="116">
        <f>SUMIFS('IS Proforma'!BL:BL,'IS Proforma'!$C:$C,'Ops Departments'!$C280,'IS Proforma'!$A:$A,'Ops Departments'!$A280)</f>
        <v>0</v>
      </c>
      <c r="BA280" s="116">
        <f>SUMIFS('IS Proforma'!BM:BM,'IS Proforma'!$C:$C,'Ops Departments'!$C280,'IS Proforma'!$A:$A,'Ops Departments'!$A280)</f>
        <v>0</v>
      </c>
      <c r="BB280" s="116">
        <f>SUMIFS('IS Proforma'!BN:BN,'IS Proforma'!$C:$C,'Ops Departments'!$C280,'IS Proforma'!$A:$A,'Ops Departments'!$A280)</f>
        <v>0</v>
      </c>
      <c r="BC280" s="116">
        <f>SUMIFS('IS Proforma'!BO:BO,'IS Proforma'!$C:$C,'Ops Departments'!$C280,'IS Proforma'!$A:$A,'Ops Departments'!$A280)</f>
        <v>0</v>
      </c>
      <c r="BD280" s="116">
        <f>SUMIFS('IS Proforma'!BP:BP,'IS Proforma'!$C:$C,'Ops Departments'!$C280,'IS Proforma'!$A:$A,'Ops Departments'!$A280)</f>
        <v>0</v>
      </c>
      <c r="BE280" s="116">
        <f>SUMIFS('IS Proforma'!BQ:BQ,'IS Proforma'!$C:$C,'Ops Departments'!$C280,'IS Proforma'!$A:$A,'Ops Departments'!$A280)</f>
        <v>0</v>
      </c>
      <c r="BF280" s="116">
        <f>SUMIFS('IS Proforma'!BR:BR,'IS Proforma'!$C:$C,'Ops Departments'!$C280,'IS Proforma'!$A:$A,'Ops Departments'!$A280)</f>
        <v>0</v>
      </c>
      <c r="BG280" s="116">
        <f>SUMIFS('IS Proforma'!BS:BS,'IS Proforma'!$C:$C,'Ops Departments'!$C280,'IS Proforma'!$A:$A,'Ops Departments'!$A280)</f>
        <v>0</v>
      </c>
      <c r="BH280" s="116">
        <f>SUMIFS('IS Proforma'!BT:BT,'IS Proforma'!$C:$C,'Ops Departments'!$C280,'IS Proforma'!$A:$A,'Ops Departments'!$A280)</f>
        <v>0</v>
      </c>
      <c r="BI280" s="116">
        <f>SUMIFS('IS Proforma'!BU:BU,'IS Proforma'!$C:$C,'Ops Departments'!$C280,'IS Proforma'!$A:$A,'Ops Departments'!$A280)</f>
        <v>0</v>
      </c>
      <c r="BJ280" s="116">
        <f>SUMIFS('IS Proforma'!BV:BV,'IS Proforma'!$C:$C,'Ops Departments'!$C280,'IS Proforma'!$A:$A,'Ops Departments'!$A280)</f>
        <v>0</v>
      </c>
      <c r="BK280" s="116">
        <f>SUMIFS('IS Proforma'!BW:BW,'IS Proforma'!$C:$C,'Ops Departments'!$C280,'IS Proforma'!$A:$A,'Ops Departments'!$A280)</f>
        <v>0</v>
      </c>
      <c r="BL280" s="116">
        <f>SUMIFS('IS Proforma'!BX:BX,'IS Proforma'!$C:$C,'Ops Departments'!$C280,'IS Proforma'!$A:$A,'Ops Departments'!$A280)</f>
        <v>0</v>
      </c>
      <c r="BM280" s="116">
        <f>SUMIFS('IS Proforma'!BY:BY,'IS Proforma'!$C:$C,'Ops Departments'!$C280,'IS Proforma'!$A:$A,'Ops Departments'!$A280)</f>
        <v>0</v>
      </c>
      <c r="BN280" s="116">
        <f>SUMIFS('IS Proforma'!BZ:BZ,'IS Proforma'!$C:$C,'Ops Departments'!$C280,'IS Proforma'!$A:$A,'Ops Departments'!$A280)</f>
        <v>0</v>
      </c>
      <c r="BO280" s="116">
        <f>SUMIFS('IS Proforma'!CA:CA,'IS Proforma'!$C:$C,'Ops Departments'!$C280,'IS Proforma'!$A:$A,'Ops Departments'!$A280)</f>
        <v>0</v>
      </c>
      <c r="BP280" s="116">
        <f>SUMIFS('IS Proforma'!CB:CB,'IS Proforma'!$C:$C,'Ops Departments'!$C280,'IS Proforma'!$A:$A,'Ops Departments'!$A280)</f>
        <v>0</v>
      </c>
      <c r="BQ280" s="116">
        <f>SUMIFS('IS Proforma'!CC:CC,'IS Proforma'!$C:$C,'Ops Departments'!$C280,'IS Proforma'!$A:$A,'Ops Departments'!$A280)</f>
        <v>0</v>
      </c>
      <c r="BR280" s="116">
        <f>SUMIFS('IS Proforma'!CD:CD,'IS Proforma'!$C:$C,'Ops Departments'!$C280,'IS Proforma'!$A:$A,'Ops Departments'!$A280)</f>
        <v>0</v>
      </c>
      <c r="BS280" s="116">
        <f>SUMIFS('IS Proforma'!CE:CE,'IS Proforma'!$C:$C,'Ops Departments'!$C280,'IS Proforma'!$A:$A,'Ops Departments'!$A280)</f>
        <v>0</v>
      </c>
      <c r="BT280" s="116">
        <f>SUMIFS('IS Proforma'!CF:CF,'IS Proforma'!$C:$C,'Ops Departments'!$C280,'IS Proforma'!$A:$A,'Ops Departments'!$A280)</f>
        <v>0</v>
      </c>
      <c r="BU280" s="116">
        <f>SUMIFS('IS Proforma'!CG:CG,'IS Proforma'!$C:$C,'Ops Departments'!$C280,'IS Proforma'!$A:$A,'Ops Departments'!$A280)</f>
        <v>0</v>
      </c>
      <c r="BV280" s="116">
        <f>SUMIFS('IS Proforma'!CH:CH,'IS Proforma'!$C:$C,'Ops Departments'!$C280,'IS Proforma'!$A:$A,'Ops Departments'!$A280)</f>
        <v>0</v>
      </c>
      <c r="BW280" s="116">
        <f>SUMIFS('IS Proforma'!CI:CI,'IS Proforma'!$C:$C,'Ops Departments'!$C280,'IS Proforma'!$A:$A,'Ops Departments'!$A280)</f>
        <v>0</v>
      </c>
      <c r="BX280" s="116">
        <f>SUMIFS('IS Proforma'!CJ:CJ,'IS Proforma'!$C:$C,'Ops Departments'!$C280,'IS Proforma'!$A:$A,'Ops Departments'!$A280)</f>
        <v>0</v>
      </c>
      <c r="BY280" s="116">
        <f>SUMIFS('IS Proforma'!CK:CK,'IS Proforma'!$C:$C,'Ops Departments'!$C280,'IS Proforma'!$A:$A,'Ops Departments'!$A280)</f>
        <v>0</v>
      </c>
      <c r="BZ280" s="116">
        <f>SUMIFS('IS Proforma'!CL:CL,'IS Proforma'!$C:$C,'Ops Departments'!$C280,'IS Proforma'!$A:$A,'Ops Departments'!$A280)</f>
        <v>0</v>
      </c>
      <c r="CA280" s="116">
        <f>SUMIFS('IS Proforma'!CM:CM,'IS Proforma'!$C:$C,'Ops Departments'!$C280,'IS Proforma'!$A:$A,'Ops Departments'!$A280)</f>
        <v>0</v>
      </c>
      <c r="CB280" s="116">
        <f>SUMIFS('IS Proforma'!CN:CN,'IS Proforma'!$C:$C,'Ops Departments'!$C280,'IS Proforma'!$A:$A,'Ops Departments'!$A280)</f>
        <v>0</v>
      </c>
      <c r="CC280" s="116">
        <f>SUMIFS('IS Proforma'!CO:CO,'IS Proforma'!$C:$C,'Ops Departments'!$C280,'IS Proforma'!$A:$A,'Ops Departments'!$A280)</f>
        <v>0</v>
      </c>
      <c r="CD280" s="116">
        <f>SUMIFS('IS Proforma'!CP:CP,'IS Proforma'!$C:$C,'Ops Departments'!$C280,'IS Proforma'!$A:$A,'Ops Departments'!$A280)</f>
        <v>0</v>
      </c>
      <c r="CE280" s="116">
        <f>SUMIFS('IS Proforma'!CQ:CQ,'IS Proforma'!$C:$C,'Ops Departments'!$C280,'IS Proforma'!$A:$A,'Ops Departments'!$A280)</f>
        <v>0</v>
      </c>
      <c r="CF280" s="116">
        <f>SUMIFS('IS Proforma'!CR:CR,'IS Proforma'!$C:$C,'Ops Departments'!$C280,'IS Proforma'!$A:$A,'Ops Departments'!$A280)</f>
        <v>0</v>
      </c>
      <c r="CG280" s="116">
        <f>SUMIFS('IS Proforma'!CS:CS,'IS Proforma'!$C:$C,'Ops Departments'!$C280,'IS Proforma'!$A:$A,'Ops Departments'!$A280)</f>
        <v>0</v>
      </c>
      <c r="CH280" s="116">
        <f>SUMIFS('IS Proforma'!CT:CT,'IS Proforma'!$C:$C,'Ops Departments'!$C280,'IS Proforma'!$A:$A,'Ops Departments'!$A280)</f>
        <v>0</v>
      </c>
      <c r="CI280" s="116">
        <f>SUMIFS('IS Proforma'!CU:CU,'IS Proforma'!$C:$C,'Ops Departments'!$C280,'IS Proforma'!$A:$A,'Ops Departments'!$A280)</f>
        <v>0</v>
      </c>
      <c r="CJ280" s="1"/>
      <c r="CK280" s="1"/>
      <c r="CL280" s="117"/>
      <c r="CM280" s="117"/>
      <c r="CN280" s="117"/>
      <c r="CO280" s="117"/>
      <c r="CP280" s="117"/>
      <c r="CQ280" s="117"/>
    </row>
    <row r="281" ht="15.75" customHeight="1">
      <c r="A281" s="91" t="s">
        <v>118</v>
      </c>
      <c r="C281" s="146" t="s">
        <v>218</v>
      </c>
      <c r="D281" s="116"/>
      <c r="E281" s="116"/>
      <c r="F281" s="116"/>
      <c r="G281" s="116"/>
      <c r="H281" s="116"/>
      <c r="I281" s="116"/>
      <c r="J281" s="116"/>
      <c r="K281" s="116"/>
      <c r="L281" s="116"/>
      <c r="M281" s="116"/>
      <c r="N281" s="116"/>
      <c r="O281" s="116"/>
      <c r="P281" s="116">
        <f>SUMIFS('IS Proforma'!AB:AB,'IS Proforma'!$C:$C,'Ops Departments'!$C281,'IS Proforma'!$A:$A,'Ops Departments'!$A281)</f>
        <v>2489</v>
      </c>
      <c r="Q281" s="116">
        <f>SUMIFS('IS Proforma'!AC:AC,'IS Proforma'!$C:$C,'Ops Departments'!$C281,'IS Proforma'!$A:$A,'Ops Departments'!$A281)</f>
        <v>1478</v>
      </c>
      <c r="R281" s="116">
        <f>SUMIFS('IS Proforma'!AD:AD,'IS Proforma'!$C:$C,'Ops Departments'!$C281,'IS Proforma'!$A:$A,'Ops Departments'!$A281)</f>
        <v>1744</v>
      </c>
      <c r="S281" s="116">
        <f>SUMIFS('IS Proforma'!AE:AE,'IS Proforma'!$C:$C,'Ops Departments'!$C281,'IS Proforma'!$A:$A,'Ops Departments'!$A281)</f>
        <v>2193</v>
      </c>
      <c r="T281" s="116">
        <f>SUMIFS('IS Proforma'!AF:AF,'IS Proforma'!$C:$C,'Ops Departments'!$C281,'IS Proforma'!$A:$A,'Ops Departments'!$A281)</f>
        <v>1598</v>
      </c>
      <c r="U281" s="116">
        <f>SUMIFS('IS Proforma'!AG:AG,'IS Proforma'!$C:$C,'Ops Departments'!$C281,'IS Proforma'!$A:$A,'Ops Departments'!$A281)</f>
        <v>2044</v>
      </c>
      <c r="V281" s="116">
        <f>SUMIFS('IS Proforma'!AH:AH,'IS Proforma'!$C:$C,'Ops Departments'!$C281,'IS Proforma'!$A:$A,'Ops Departments'!$A281)</f>
        <v>1706</v>
      </c>
      <c r="W281" s="116">
        <f>SUMIFS('IS Proforma'!AI:AI,'IS Proforma'!$C:$C,'Ops Departments'!$C281,'IS Proforma'!$A:$A,'Ops Departments'!$A281)</f>
        <v>1556</v>
      </c>
      <c r="X281" s="116">
        <f>SUMIFS('IS Proforma'!AJ:AJ,'IS Proforma'!$C:$C,'Ops Departments'!$C281,'IS Proforma'!$A:$A,'Ops Departments'!$A281)</f>
        <v>2429</v>
      </c>
      <c r="Y281" s="116">
        <f>SUMIFS('IS Proforma'!AK:AK,'IS Proforma'!$C:$C,'Ops Departments'!$C281,'IS Proforma'!$A:$A,'Ops Departments'!$A281)</f>
        <v>2326</v>
      </c>
      <c r="Z281" s="116">
        <f>SUMIFS('IS Proforma'!AL:AL,'IS Proforma'!$C:$C,'Ops Departments'!$C281,'IS Proforma'!$A:$A,'Ops Departments'!$A281)</f>
        <v>1699</v>
      </c>
      <c r="AA281" s="116">
        <f>SUMIFS('IS Proforma'!AM:AM,'IS Proforma'!$C:$C,'Ops Departments'!$C281,'IS Proforma'!$A:$A,'Ops Departments'!$A281)</f>
        <v>4705.5105</v>
      </c>
      <c r="AB281" s="116">
        <f>SUMIFS('IS Proforma'!AN:AN,'IS Proforma'!$C:$C,'Ops Departments'!$C281,'IS Proforma'!$A:$A,'Ops Departments'!$A281)</f>
        <v>5176.06155</v>
      </c>
      <c r="AC281" s="116">
        <f>SUMIFS('IS Proforma'!AO:AO,'IS Proforma'!$C:$C,'Ops Departments'!$C281,'IS Proforma'!$A:$A,'Ops Departments'!$A281)</f>
        <v>5227.822166</v>
      </c>
      <c r="AD281" s="116">
        <f>SUMIFS('IS Proforma'!AP:AP,'IS Proforma'!$C:$C,'Ops Departments'!$C281,'IS Proforma'!$A:$A,'Ops Departments'!$A281)</f>
        <v>5280.100387</v>
      </c>
      <c r="AE281" s="116">
        <f>SUMIFS('IS Proforma'!AQ:AQ,'IS Proforma'!$C:$C,'Ops Departments'!$C281,'IS Proforma'!$A:$A,'Ops Departments'!$A281)</f>
        <v>5332.901391</v>
      </c>
      <c r="AF281" s="116">
        <f>SUMIFS('IS Proforma'!AR:AR,'IS Proforma'!$C:$C,'Ops Departments'!$C281,'IS Proforma'!$A:$A,'Ops Departments'!$A281)</f>
        <v>5386.230405</v>
      </c>
      <c r="AG281" s="116">
        <f>SUMIFS('IS Proforma'!AS:AS,'IS Proforma'!$C:$C,'Ops Departments'!$C281,'IS Proforma'!$A:$A,'Ops Departments'!$A281)</f>
        <v>5440.092709</v>
      </c>
      <c r="AH281" s="116">
        <f>SUMIFS('IS Proforma'!AT:AT,'IS Proforma'!$C:$C,'Ops Departments'!$C281,'IS Proforma'!$A:$A,'Ops Departments'!$A281)</f>
        <v>5494.493636</v>
      </c>
      <c r="AI281" s="116">
        <f>SUMIFS('IS Proforma'!AU:AU,'IS Proforma'!$C:$C,'Ops Departments'!$C281,'IS Proforma'!$A:$A,'Ops Departments'!$A281)</f>
        <v>5549.438572</v>
      </c>
      <c r="AJ281" s="116">
        <f>SUMIFS('IS Proforma'!AV:AV,'IS Proforma'!$C:$C,'Ops Departments'!$C281,'IS Proforma'!$A:$A,'Ops Departments'!$A281)</f>
        <v>5604.932958</v>
      </c>
      <c r="AK281" s="116">
        <f>SUMIFS('IS Proforma'!AW:AW,'IS Proforma'!$C:$C,'Ops Departments'!$C281,'IS Proforma'!$A:$A,'Ops Departments'!$A281)</f>
        <v>5660.982288</v>
      </c>
      <c r="AL281" s="116">
        <f>SUMIFS('IS Proforma'!AX:AX,'IS Proforma'!$C:$C,'Ops Departments'!$C281,'IS Proforma'!$A:$A,'Ops Departments'!$A281)</f>
        <v>5717.592111</v>
      </c>
      <c r="AM281" s="116">
        <f>SUMIFS('IS Proforma'!AY:AY,'IS Proforma'!$C:$C,'Ops Departments'!$C281,'IS Proforma'!$A:$A,'Ops Departments'!$A281)</f>
        <v>5774.768032</v>
      </c>
      <c r="AN281" s="116">
        <f>SUMIFS('IS Proforma'!AZ:AZ,'IS Proforma'!$C:$C,'Ops Departments'!$C281,'IS Proforma'!$A:$A,'Ops Departments'!$A281)</f>
        <v>5832.515712</v>
      </c>
      <c r="AO281" s="116">
        <f>SUMIFS('IS Proforma'!BA:BA,'IS Proforma'!$C:$C,'Ops Departments'!$C281,'IS Proforma'!$A:$A,'Ops Departments'!$A281)</f>
        <v>5890.840869</v>
      </c>
      <c r="AP281" s="116">
        <f>SUMIFS('IS Proforma'!BB:BB,'IS Proforma'!$C:$C,'Ops Departments'!$C281,'IS Proforma'!$A:$A,'Ops Departments'!$A281)</f>
        <v>5949.749278</v>
      </c>
      <c r="AQ281" s="116">
        <f>SUMIFS('IS Proforma'!BC:BC,'IS Proforma'!$C:$C,'Ops Departments'!$C281,'IS Proforma'!$A:$A,'Ops Departments'!$A281)</f>
        <v>6009.246771</v>
      </c>
      <c r="AR281" s="116">
        <f>SUMIFS('IS Proforma'!BD:BD,'IS Proforma'!$C:$C,'Ops Departments'!$C281,'IS Proforma'!$A:$A,'Ops Departments'!$A281)</f>
        <v>6069.339238</v>
      </c>
      <c r="AS281" s="116">
        <f>SUMIFS('IS Proforma'!BE:BE,'IS Proforma'!$C:$C,'Ops Departments'!$C281,'IS Proforma'!$A:$A,'Ops Departments'!$A281)</f>
        <v>6130.032631</v>
      </c>
      <c r="AT281" s="116">
        <f>SUMIFS('IS Proforma'!BF:BF,'IS Proforma'!$C:$C,'Ops Departments'!$C281,'IS Proforma'!$A:$A,'Ops Departments'!$A281)</f>
        <v>6191.332957</v>
      </c>
      <c r="AU281" s="116">
        <f>SUMIFS('IS Proforma'!BG:BG,'IS Proforma'!$C:$C,'Ops Departments'!$C281,'IS Proforma'!$A:$A,'Ops Departments'!$A281)</f>
        <v>6253.246287</v>
      </c>
      <c r="AV281" s="116">
        <f>SUMIFS('IS Proforma'!BH:BH,'IS Proforma'!$C:$C,'Ops Departments'!$C281,'IS Proforma'!$A:$A,'Ops Departments'!$A281)</f>
        <v>6315.778749</v>
      </c>
      <c r="AW281" s="116">
        <f>SUMIFS('IS Proforma'!BI:BI,'IS Proforma'!$C:$C,'Ops Departments'!$C281,'IS Proforma'!$A:$A,'Ops Departments'!$A281)</f>
        <v>6378.936537</v>
      </c>
      <c r="AX281" s="116">
        <f>SUMIFS('IS Proforma'!BJ:BJ,'IS Proforma'!$C:$C,'Ops Departments'!$C281,'IS Proforma'!$A:$A,'Ops Departments'!$A281)</f>
        <v>6442.725902</v>
      </c>
      <c r="AY281" s="116">
        <f>SUMIFS('IS Proforma'!BK:BK,'IS Proforma'!$C:$C,'Ops Departments'!$C281,'IS Proforma'!$A:$A,'Ops Departments'!$A281)</f>
        <v>6507.153161</v>
      </c>
      <c r="AZ281" s="116">
        <f>SUMIFS('IS Proforma'!BL:BL,'IS Proforma'!$C:$C,'Ops Departments'!$C281,'IS Proforma'!$A:$A,'Ops Departments'!$A281)</f>
        <v>6572.224693</v>
      </c>
      <c r="BA281" s="116">
        <f>SUMIFS('IS Proforma'!BM:BM,'IS Proforma'!$C:$C,'Ops Departments'!$C281,'IS Proforma'!$A:$A,'Ops Departments'!$A281)</f>
        <v>6637.94694</v>
      </c>
      <c r="BB281" s="116">
        <f>SUMIFS('IS Proforma'!BN:BN,'IS Proforma'!$C:$C,'Ops Departments'!$C281,'IS Proforma'!$A:$A,'Ops Departments'!$A281)</f>
        <v>6704.326409</v>
      </c>
      <c r="BC281" s="116">
        <f>SUMIFS('IS Proforma'!BO:BO,'IS Proforma'!$C:$C,'Ops Departments'!$C281,'IS Proforma'!$A:$A,'Ops Departments'!$A281)</f>
        <v>6771.369673</v>
      </c>
      <c r="BD281" s="116">
        <f>SUMIFS('IS Proforma'!BP:BP,'IS Proforma'!$C:$C,'Ops Departments'!$C281,'IS Proforma'!$A:$A,'Ops Departments'!$A281)</f>
        <v>6839.08337</v>
      </c>
      <c r="BE281" s="116">
        <f>SUMIFS('IS Proforma'!BQ:BQ,'IS Proforma'!$C:$C,'Ops Departments'!$C281,'IS Proforma'!$A:$A,'Ops Departments'!$A281)</f>
        <v>6907.474204</v>
      </c>
      <c r="BF281" s="116">
        <f>SUMIFS('IS Proforma'!BR:BR,'IS Proforma'!$C:$C,'Ops Departments'!$C281,'IS Proforma'!$A:$A,'Ops Departments'!$A281)</f>
        <v>6976.548946</v>
      </c>
      <c r="BG281" s="116">
        <f>SUMIFS('IS Proforma'!BS:BS,'IS Proforma'!$C:$C,'Ops Departments'!$C281,'IS Proforma'!$A:$A,'Ops Departments'!$A281)</f>
        <v>7046.314435</v>
      </c>
      <c r="BH281" s="116">
        <f>SUMIFS('IS Proforma'!BT:BT,'IS Proforma'!$C:$C,'Ops Departments'!$C281,'IS Proforma'!$A:$A,'Ops Departments'!$A281)</f>
        <v>7116.77758</v>
      </c>
      <c r="BI281" s="116">
        <f>SUMIFS('IS Proforma'!BU:BU,'IS Proforma'!$C:$C,'Ops Departments'!$C281,'IS Proforma'!$A:$A,'Ops Departments'!$A281)</f>
        <v>7187.945355</v>
      </c>
      <c r="BJ281" s="116">
        <f>SUMIFS('IS Proforma'!BV:BV,'IS Proforma'!$C:$C,'Ops Departments'!$C281,'IS Proforma'!$A:$A,'Ops Departments'!$A281)</f>
        <v>7259.824809</v>
      </c>
      <c r="BK281" s="116">
        <f>SUMIFS('IS Proforma'!BW:BW,'IS Proforma'!$C:$C,'Ops Departments'!$C281,'IS Proforma'!$A:$A,'Ops Departments'!$A281)</f>
        <v>7332.423057</v>
      </c>
      <c r="BL281" s="116">
        <f>SUMIFS('IS Proforma'!BX:BX,'IS Proforma'!$C:$C,'Ops Departments'!$C281,'IS Proforma'!$A:$A,'Ops Departments'!$A281)</f>
        <v>7405.747288</v>
      </c>
      <c r="BM281" s="116">
        <f>SUMIFS('IS Proforma'!BY:BY,'IS Proforma'!$C:$C,'Ops Departments'!$C281,'IS Proforma'!$A:$A,'Ops Departments'!$A281)</f>
        <v>7479.804761</v>
      </c>
      <c r="BN281" s="116">
        <f>SUMIFS('IS Proforma'!BZ:BZ,'IS Proforma'!$C:$C,'Ops Departments'!$C281,'IS Proforma'!$A:$A,'Ops Departments'!$A281)</f>
        <v>7554.602808</v>
      </c>
      <c r="BO281" s="116">
        <f>SUMIFS('IS Proforma'!CA:CA,'IS Proforma'!$C:$C,'Ops Departments'!$C281,'IS Proforma'!$A:$A,'Ops Departments'!$A281)</f>
        <v>7630.148836</v>
      </c>
      <c r="BP281" s="116">
        <f>SUMIFS('IS Proforma'!CB:CB,'IS Proforma'!$C:$C,'Ops Departments'!$C281,'IS Proforma'!$A:$A,'Ops Departments'!$A281)</f>
        <v>7706.450325</v>
      </c>
      <c r="BQ281" s="116">
        <f>SUMIFS('IS Proforma'!CC:CC,'IS Proforma'!$C:$C,'Ops Departments'!$C281,'IS Proforma'!$A:$A,'Ops Departments'!$A281)</f>
        <v>7783.514828</v>
      </c>
      <c r="BR281" s="116">
        <f>SUMIFS('IS Proforma'!CD:CD,'IS Proforma'!$C:$C,'Ops Departments'!$C281,'IS Proforma'!$A:$A,'Ops Departments'!$A281)</f>
        <v>7861.349976</v>
      </c>
      <c r="BS281" s="116">
        <f>SUMIFS('IS Proforma'!CE:CE,'IS Proforma'!$C:$C,'Ops Departments'!$C281,'IS Proforma'!$A:$A,'Ops Departments'!$A281)</f>
        <v>7939.963476</v>
      </c>
      <c r="BT281" s="116">
        <f>SUMIFS('IS Proforma'!CF:CF,'IS Proforma'!$C:$C,'Ops Departments'!$C281,'IS Proforma'!$A:$A,'Ops Departments'!$A281)</f>
        <v>8019.363111</v>
      </c>
      <c r="BU281" s="116">
        <f>SUMIFS('IS Proforma'!CG:CG,'IS Proforma'!$C:$C,'Ops Departments'!$C281,'IS Proforma'!$A:$A,'Ops Departments'!$A281)</f>
        <v>8099.556742</v>
      </c>
      <c r="BV281" s="116">
        <f>SUMIFS('IS Proforma'!CH:CH,'IS Proforma'!$C:$C,'Ops Departments'!$C281,'IS Proforma'!$A:$A,'Ops Departments'!$A281)</f>
        <v>8180.552309</v>
      </c>
      <c r="BW281" s="116">
        <f>SUMIFS('IS Proforma'!CI:CI,'IS Proforma'!$C:$C,'Ops Departments'!$C281,'IS Proforma'!$A:$A,'Ops Departments'!$A281)</f>
        <v>8262.357832</v>
      </c>
      <c r="BX281" s="116">
        <f>SUMIFS('IS Proforma'!CJ:CJ,'IS Proforma'!$C:$C,'Ops Departments'!$C281,'IS Proforma'!$A:$A,'Ops Departments'!$A281)</f>
        <v>8344.981411</v>
      </c>
      <c r="BY281" s="116">
        <f>SUMIFS('IS Proforma'!CK:CK,'IS Proforma'!$C:$C,'Ops Departments'!$C281,'IS Proforma'!$A:$A,'Ops Departments'!$A281)</f>
        <v>8428.431225</v>
      </c>
      <c r="BZ281" s="116">
        <f>SUMIFS('IS Proforma'!CL:CL,'IS Proforma'!$C:$C,'Ops Departments'!$C281,'IS Proforma'!$A:$A,'Ops Departments'!$A281)</f>
        <v>8512.715537</v>
      </c>
      <c r="CA281" s="116">
        <f>SUMIFS('IS Proforma'!CM:CM,'IS Proforma'!$C:$C,'Ops Departments'!$C281,'IS Proforma'!$A:$A,'Ops Departments'!$A281)</f>
        <v>8597.842692</v>
      </c>
      <c r="CB281" s="116">
        <f>SUMIFS('IS Proforma'!CN:CN,'IS Proforma'!$C:$C,'Ops Departments'!$C281,'IS Proforma'!$A:$A,'Ops Departments'!$A281)</f>
        <v>8683.821119</v>
      </c>
      <c r="CC281" s="116">
        <f>SUMIFS('IS Proforma'!CO:CO,'IS Proforma'!$C:$C,'Ops Departments'!$C281,'IS Proforma'!$A:$A,'Ops Departments'!$A281)</f>
        <v>8770.65933</v>
      </c>
      <c r="CD281" s="116">
        <f>SUMIFS('IS Proforma'!CP:CP,'IS Proforma'!$C:$C,'Ops Departments'!$C281,'IS Proforma'!$A:$A,'Ops Departments'!$A281)</f>
        <v>8858.365924</v>
      </c>
      <c r="CE281" s="116">
        <f>SUMIFS('IS Proforma'!CQ:CQ,'IS Proforma'!$C:$C,'Ops Departments'!$C281,'IS Proforma'!$A:$A,'Ops Departments'!$A281)</f>
        <v>8946.949583</v>
      </c>
      <c r="CF281" s="116">
        <f>SUMIFS('IS Proforma'!CR:CR,'IS Proforma'!$C:$C,'Ops Departments'!$C281,'IS Proforma'!$A:$A,'Ops Departments'!$A281)</f>
        <v>9036.419079</v>
      </c>
      <c r="CG281" s="116">
        <f>SUMIFS('IS Proforma'!CS:CS,'IS Proforma'!$C:$C,'Ops Departments'!$C281,'IS Proforma'!$A:$A,'Ops Departments'!$A281)</f>
        <v>9126.78327</v>
      </c>
      <c r="CH281" s="116">
        <f>SUMIFS('IS Proforma'!CT:CT,'IS Proforma'!$C:$C,'Ops Departments'!$C281,'IS Proforma'!$A:$A,'Ops Departments'!$A281)</f>
        <v>9218.051102</v>
      </c>
      <c r="CI281" s="116">
        <f>SUMIFS('IS Proforma'!CU:CU,'IS Proforma'!$C:$C,'Ops Departments'!$C281,'IS Proforma'!$A:$A,'Ops Departments'!$A281)</f>
        <v>9310.231613</v>
      </c>
      <c r="CL281" s="117"/>
      <c r="CM281" s="117"/>
      <c r="CN281" s="117"/>
      <c r="CO281" s="117"/>
      <c r="CP281" s="117"/>
      <c r="CQ281" s="117"/>
    </row>
    <row r="282" ht="15.75" customHeight="1">
      <c r="A282" s="91" t="s">
        <v>118</v>
      </c>
      <c r="C282" s="146" t="s">
        <v>219</v>
      </c>
      <c r="D282" s="116"/>
      <c r="E282" s="116"/>
      <c r="F282" s="116"/>
      <c r="G282" s="116"/>
      <c r="H282" s="116"/>
      <c r="I282" s="116"/>
      <c r="J282" s="116"/>
      <c r="K282" s="116"/>
      <c r="L282" s="116"/>
      <c r="M282" s="116"/>
      <c r="N282" s="116"/>
      <c r="O282" s="116"/>
      <c r="P282" s="116">
        <f>SUMIFS('IS Proforma'!AB:AB,'IS Proforma'!$C:$C,'Ops Departments'!$C282,'IS Proforma'!$A:$A,'Ops Departments'!$A282)</f>
        <v>2217</v>
      </c>
      <c r="Q282" s="116">
        <f>SUMIFS('IS Proforma'!AC:AC,'IS Proforma'!$C:$C,'Ops Departments'!$C282,'IS Proforma'!$A:$A,'Ops Departments'!$A282)</f>
        <v>2073</v>
      </c>
      <c r="R282" s="116">
        <f>SUMIFS('IS Proforma'!AD:AD,'IS Proforma'!$C:$C,'Ops Departments'!$C282,'IS Proforma'!$A:$A,'Ops Departments'!$A282)</f>
        <v>1939</v>
      </c>
      <c r="S282" s="116">
        <f>SUMIFS('IS Proforma'!AE:AE,'IS Proforma'!$C:$C,'Ops Departments'!$C282,'IS Proforma'!$A:$A,'Ops Departments'!$A282)</f>
        <v>1529</v>
      </c>
      <c r="T282" s="116">
        <f>SUMIFS('IS Proforma'!AF:AF,'IS Proforma'!$C:$C,'Ops Departments'!$C282,'IS Proforma'!$A:$A,'Ops Departments'!$A282)</f>
        <v>1317</v>
      </c>
      <c r="U282" s="116">
        <f>SUMIFS('IS Proforma'!AG:AG,'IS Proforma'!$C:$C,'Ops Departments'!$C282,'IS Proforma'!$A:$A,'Ops Departments'!$A282)</f>
        <v>2285</v>
      </c>
      <c r="V282" s="116">
        <f>SUMIFS('IS Proforma'!AH:AH,'IS Proforma'!$C:$C,'Ops Departments'!$C282,'IS Proforma'!$A:$A,'Ops Departments'!$A282)</f>
        <v>1905</v>
      </c>
      <c r="W282" s="116">
        <f>SUMIFS('IS Proforma'!AI:AI,'IS Proforma'!$C:$C,'Ops Departments'!$C282,'IS Proforma'!$A:$A,'Ops Departments'!$A282)</f>
        <v>1643</v>
      </c>
      <c r="X282" s="116">
        <f>SUMIFS('IS Proforma'!AJ:AJ,'IS Proforma'!$C:$C,'Ops Departments'!$C282,'IS Proforma'!$A:$A,'Ops Departments'!$A282)</f>
        <v>1323</v>
      </c>
      <c r="Y282" s="116">
        <f>SUMIFS('IS Proforma'!AK:AK,'IS Proforma'!$C:$C,'Ops Departments'!$C282,'IS Proforma'!$A:$A,'Ops Departments'!$A282)</f>
        <v>1038</v>
      </c>
      <c r="Z282" s="116">
        <f>SUMIFS('IS Proforma'!AL:AL,'IS Proforma'!$C:$C,'Ops Departments'!$C282,'IS Proforma'!$A:$A,'Ops Departments'!$A282)</f>
        <v>1723</v>
      </c>
      <c r="AA282" s="116">
        <f>SUMIFS('IS Proforma'!AM:AM,'IS Proforma'!$C:$C,'Ops Departments'!$C282,'IS Proforma'!$A:$A,'Ops Departments'!$A282)</f>
        <v>7058.26575</v>
      </c>
      <c r="AB282" s="116">
        <f>SUMIFS('IS Proforma'!AN:AN,'IS Proforma'!$C:$C,'Ops Departments'!$C282,'IS Proforma'!$A:$A,'Ops Departments'!$A282)</f>
        <v>7764.092325</v>
      </c>
      <c r="AC282" s="116">
        <f>SUMIFS('IS Proforma'!AO:AO,'IS Proforma'!$C:$C,'Ops Departments'!$C282,'IS Proforma'!$A:$A,'Ops Departments'!$A282)</f>
        <v>7841.733248</v>
      </c>
      <c r="AD282" s="116">
        <f>SUMIFS('IS Proforma'!AP:AP,'IS Proforma'!$C:$C,'Ops Departments'!$C282,'IS Proforma'!$A:$A,'Ops Departments'!$A282)</f>
        <v>7920.150581</v>
      </c>
      <c r="AE282" s="116">
        <f>SUMIFS('IS Proforma'!AQ:AQ,'IS Proforma'!$C:$C,'Ops Departments'!$C282,'IS Proforma'!$A:$A,'Ops Departments'!$A282)</f>
        <v>7999.352087</v>
      </c>
      <c r="AF282" s="116">
        <f>SUMIFS('IS Proforma'!AR:AR,'IS Proforma'!$C:$C,'Ops Departments'!$C282,'IS Proforma'!$A:$A,'Ops Departments'!$A282)</f>
        <v>8079.345607</v>
      </c>
      <c r="AG282" s="116">
        <f>SUMIFS('IS Proforma'!AS:AS,'IS Proforma'!$C:$C,'Ops Departments'!$C282,'IS Proforma'!$A:$A,'Ops Departments'!$A282)</f>
        <v>8160.139063</v>
      </c>
      <c r="AH282" s="116">
        <f>SUMIFS('IS Proforma'!AT:AT,'IS Proforma'!$C:$C,'Ops Departments'!$C282,'IS Proforma'!$A:$A,'Ops Departments'!$A282)</f>
        <v>8241.740454</v>
      </c>
      <c r="AI282" s="116">
        <f>SUMIFS('IS Proforma'!AU:AU,'IS Proforma'!$C:$C,'Ops Departments'!$C282,'IS Proforma'!$A:$A,'Ops Departments'!$A282)</f>
        <v>8324.157859</v>
      </c>
      <c r="AJ282" s="116">
        <f>SUMIFS('IS Proforma'!AV:AV,'IS Proforma'!$C:$C,'Ops Departments'!$C282,'IS Proforma'!$A:$A,'Ops Departments'!$A282)</f>
        <v>8407.399437</v>
      </c>
      <c r="AK282" s="116">
        <f>SUMIFS('IS Proforma'!AW:AW,'IS Proforma'!$C:$C,'Ops Departments'!$C282,'IS Proforma'!$A:$A,'Ops Departments'!$A282)</f>
        <v>8491.473432</v>
      </c>
      <c r="AL282" s="116">
        <f>SUMIFS('IS Proforma'!AX:AX,'IS Proforma'!$C:$C,'Ops Departments'!$C282,'IS Proforma'!$A:$A,'Ops Departments'!$A282)</f>
        <v>8576.388166</v>
      </c>
      <c r="AM282" s="116">
        <f>SUMIFS('IS Proforma'!AY:AY,'IS Proforma'!$C:$C,'Ops Departments'!$C282,'IS Proforma'!$A:$A,'Ops Departments'!$A282)</f>
        <v>8662.152048</v>
      </c>
      <c r="AN282" s="116">
        <f>SUMIFS('IS Proforma'!AZ:AZ,'IS Proforma'!$C:$C,'Ops Departments'!$C282,'IS Proforma'!$A:$A,'Ops Departments'!$A282)</f>
        <v>8748.773568</v>
      </c>
      <c r="AO282" s="116">
        <f>SUMIFS('IS Proforma'!BA:BA,'IS Proforma'!$C:$C,'Ops Departments'!$C282,'IS Proforma'!$A:$A,'Ops Departments'!$A282)</f>
        <v>8836.261304</v>
      </c>
      <c r="AP282" s="116">
        <f>SUMIFS('IS Proforma'!BB:BB,'IS Proforma'!$C:$C,'Ops Departments'!$C282,'IS Proforma'!$A:$A,'Ops Departments'!$A282)</f>
        <v>8924.623917</v>
      </c>
      <c r="AQ282" s="116">
        <f>SUMIFS('IS Proforma'!BC:BC,'IS Proforma'!$C:$C,'Ops Departments'!$C282,'IS Proforma'!$A:$A,'Ops Departments'!$A282)</f>
        <v>9013.870156</v>
      </c>
      <c r="AR282" s="116">
        <f>SUMIFS('IS Proforma'!BD:BD,'IS Proforma'!$C:$C,'Ops Departments'!$C282,'IS Proforma'!$A:$A,'Ops Departments'!$A282)</f>
        <v>9104.008858</v>
      </c>
      <c r="AS282" s="116">
        <f>SUMIFS('IS Proforma'!BE:BE,'IS Proforma'!$C:$C,'Ops Departments'!$C282,'IS Proforma'!$A:$A,'Ops Departments'!$A282)</f>
        <v>9195.048946</v>
      </c>
      <c r="AT282" s="116">
        <f>SUMIFS('IS Proforma'!BF:BF,'IS Proforma'!$C:$C,'Ops Departments'!$C282,'IS Proforma'!$A:$A,'Ops Departments'!$A282)</f>
        <v>9286.999436</v>
      </c>
      <c r="AU282" s="116">
        <f>SUMIFS('IS Proforma'!BG:BG,'IS Proforma'!$C:$C,'Ops Departments'!$C282,'IS Proforma'!$A:$A,'Ops Departments'!$A282)</f>
        <v>9379.86943</v>
      </c>
      <c r="AV282" s="116">
        <f>SUMIFS('IS Proforma'!BH:BH,'IS Proforma'!$C:$C,'Ops Departments'!$C282,'IS Proforma'!$A:$A,'Ops Departments'!$A282)</f>
        <v>9473.668124</v>
      </c>
      <c r="AW282" s="116">
        <f>SUMIFS('IS Proforma'!BI:BI,'IS Proforma'!$C:$C,'Ops Departments'!$C282,'IS Proforma'!$A:$A,'Ops Departments'!$A282)</f>
        <v>9568.404805</v>
      </c>
      <c r="AX282" s="116">
        <f>SUMIFS('IS Proforma'!BJ:BJ,'IS Proforma'!$C:$C,'Ops Departments'!$C282,'IS Proforma'!$A:$A,'Ops Departments'!$A282)</f>
        <v>9664.088853</v>
      </c>
      <c r="AY282" s="116">
        <f>SUMIFS('IS Proforma'!BK:BK,'IS Proforma'!$C:$C,'Ops Departments'!$C282,'IS Proforma'!$A:$A,'Ops Departments'!$A282)</f>
        <v>9760.729742</v>
      </c>
      <c r="AZ282" s="116">
        <f>SUMIFS('IS Proforma'!BL:BL,'IS Proforma'!$C:$C,'Ops Departments'!$C282,'IS Proforma'!$A:$A,'Ops Departments'!$A282)</f>
        <v>9858.337039</v>
      </c>
      <c r="BA282" s="116">
        <f>SUMIFS('IS Proforma'!BM:BM,'IS Proforma'!$C:$C,'Ops Departments'!$C282,'IS Proforma'!$A:$A,'Ops Departments'!$A282)</f>
        <v>9956.92041</v>
      </c>
      <c r="BB282" s="116">
        <f>SUMIFS('IS Proforma'!BN:BN,'IS Proforma'!$C:$C,'Ops Departments'!$C282,'IS Proforma'!$A:$A,'Ops Departments'!$A282)</f>
        <v>10056.48961</v>
      </c>
      <c r="BC282" s="116">
        <f>SUMIFS('IS Proforma'!BO:BO,'IS Proforma'!$C:$C,'Ops Departments'!$C282,'IS Proforma'!$A:$A,'Ops Departments'!$A282)</f>
        <v>10157.05451</v>
      </c>
      <c r="BD282" s="116">
        <f>SUMIFS('IS Proforma'!BP:BP,'IS Proforma'!$C:$C,'Ops Departments'!$C282,'IS Proforma'!$A:$A,'Ops Departments'!$A282)</f>
        <v>10258.62506</v>
      </c>
      <c r="BE282" s="116">
        <f>SUMIFS('IS Proforma'!BQ:BQ,'IS Proforma'!$C:$C,'Ops Departments'!$C282,'IS Proforma'!$A:$A,'Ops Departments'!$A282)</f>
        <v>10361.21131</v>
      </c>
      <c r="BF282" s="116">
        <f>SUMIFS('IS Proforma'!BR:BR,'IS Proforma'!$C:$C,'Ops Departments'!$C282,'IS Proforma'!$A:$A,'Ops Departments'!$A282)</f>
        <v>10464.82342</v>
      </c>
      <c r="BG282" s="116">
        <f>SUMIFS('IS Proforma'!BS:BS,'IS Proforma'!$C:$C,'Ops Departments'!$C282,'IS Proforma'!$A:$A,'Ops Departments'!$A282)</f>
        <v>10569.47165</v>
      </c>
      <c r="BH282" s="116">
        <f>SUMIFS('IS Proforma'!BT:BT,'IS Proforma'!$C:$C,'Ops Departments'!$C282,'IS Proforma'!$A:$A,'Ops Departments'!$A282)</f>
        <v>10675.16637</v>
      </c>
      <c r="BI282" s="116">
        <f>SUMIFS('IS Proforma'!BU:BU,'IS Proforma'!$C:$C,'Ops Departments'!$C282,'IS Proforma'!$A:$A,'Ops Departments'!$A282)</f>
        <v>10781.91803</v>
      </c>
      <c r="BJ282" s="116">
        <f>SUMIFS('IS Proforma'!BV:BV,'IS Proforma'!$C:$C,'Ops Departments'!$C282,'IS Proforma'!$A:$A,'Ops Departments'!$A282)</f>
        <v>10889.73721</v>
      </c>
      <c r="BK282" s="116">
        <f>SUMIFS('IS Proforma'!BW:BW,'IS Proforma'!$C:$C,'Ops Departments'!$C282,'IS Proforma'!$A:$A,'Ops Departments'!$A282)</f>
        <v>10998.63459</v>
      </c>
      <c r="BL282" s="116">
        <f>SUMIFS('IS Proforma'!BX:BX,'IS Proforma'!$C:$C,'Ops Departments'!$C282,'IS Proforma'!$A:$A,'Ops Departments'!$A282)</f>
        <v>11108.62093</v>
      </c>
      <c r="BM282" s="116">
        <f>SUMIFS('IS Proforma'!BY:BY,'IS Proforma'!$C:$C,'Ops Departments'!$C282,'IS Proforma'!$A:$A,'Ops Departments'!$A282)</f>
        <v>11219.70714</v>
      </c>
      <c r="BN282" s="116">
        <f>SUMIFS('IS Proforma'!BZ:BZ,'IS Proforma'!$C:$C,'Ops Departments'!$C282,'IS Proforma'!$A:$A,'Ops Departments'!$A282)</f>
        <v>11331.90421</v>
      </c>
      <c r="BO282" s="116">
        <f>SUMIFS('IS Proforma'!CA:CA,'IS Proforma'!$C:$C,'Ops Departments'!$C282,'IS Proforma'!$A:$A,'Ops Departments'!$A282)</f>
        <v>11445.22325</v>
      </c>
      <c r="BP282" s="116">
        <f>SUMIFS('IS Proforma'!CB:CB,'IS Proforma'!$C:$C,'Ops Departments'!$C282,'IS Proforma'!$A:$A,'Ops Departments'!$A282)</f>
        <v>11559.67549</v>
      </c>
      <c r="BQ282" s="116">
        <f>SUMIFS('IS Proforma'!CC:CC,'IS Proforma'!$C:$C,'Ops Departments'!$C282,'IS Proforma'!$A:$A,'Ops Departments'!$A282)</f>
        <v>11675.27224</v>
      </c>
      <c r="BR282" s="116">
        <f>SUMIFS('IS Proforma'!CD:CD,'IS Proforma'!$C:$C,'Ops Departments'!$C282,'IS Proforma'!$A:$A,'Ops Departments'!$A282)</f>
        <v>11792.02496</v>
      </c>
      <c r="BS282" s="116">
        <f>SUMIFS('IS Proforma'!CE:CE,'IS Proforma'!$C:$C,'Ops Departments'!$C282,'IS Proforma'!$A:$A,'Ops Departments'!$A282)</f>
        <v>11909.94521</v>
      </c>
      <c r="BT282" s="116">
        <f>SUMIFS('IS Proforma'!CF:CF,'IS Proforma'!$C:$C,'Ops Departments'!$C282,'IS Proforma'!$A:$A,'Ops Departments'!$A282)</f>
        <v>12029.04467</v>
      </c>
      <c r="BU282" s="116">
        <f>SUMIFS('IS Proforma'!CG:CG,'IS Proforma'!$C:$C,'Ops Departments'!$C282,'IS Proforma'!$A:$A,'Ops Departments'!$A282)</f>
        <v>12149.33511</v>
      </c>
      <c r="BV282" s="116">
        <f>SUMIFS('IS Proforma'!CH:CH,'IS Proforma'!$C:$C,'Ops Departments'!$C282,'IS Proforma'!$A:$A,'Ops Departments'!$A282)</f>
        <v>12270.82846</v>
      </c>
      <c r="BW282" s="116">
        <f>SUMIFS('IS Proforma'!CI:CI,'IS Proforma'!$C:$C,'Ops Departments'!$C282,'IS Proforma'!$A:$A,'Ops Departments'!$A282)</f>
        <v>12393.53675</v>
      </c>
      <c r="BX282" s="116">
        <f>SUMIFS('IS Proforma'!CJ:CJ,'IS Proforma'!$C:$C,'Ops Departments'!$C282,'IS Proforma'!$A:$A,'Ops Departments'!$A282)</f>
        <v>12517.47212</v>
      </c>
      <c r="BY282" s="116">
        <f>SUMIFS('IS Proforma'!CK:CK,'IS Proforma'!$C:$C,'Ops Departments'!$C282,'IS Proforma'!$A:$A,'Ops Departments'!$A282)</f>
        <v>12642.64684</v>
      </c>
      <c r="BZ282" s="116">
        <f>SUMIFS('IS Proforma'!CL:CL,'IS Proforma'!$C:$C,'Ops Departments'!$C282,'IS Proforma'!$A:$A,'Ops Departments'!$A282)</f>
        <v>12769.07331</v>
      </c>
      <c r="CA282" s="116">
        <f>SUMIFS('IS Proforma'!CM:CM,'IS Proforma'!$C:$C,'Ops Departments'!$C282,'IS Proforma'!$A:$A,'Ops Departments'!$A282)</f>
        <v>12896.76404</v>
      </c>
      <c r="CB282" s="116">
        <f>SUMIFS('IS Proforma'!CN:CN,'IS Proforma'!$C:$C,'Ops Departments'!$C282,'IS Proforma'!$A:$A,'Ops Departments'!$A282)</f>
        <v>13025.73168</v>
      </c>
      <c r="CC282" s="116">
        <f>SUMIFS('IS Proforma'!CO:CO,'IS Proforma'!$C:$C,'Ops Departments'!$C282,'IS Proforma'!$A:$A,'Ops Departments'!$A282)</f>
        <v>13155.989</v>
      </c>
      <c r="CD282" s="116">
        <f>SUMIFS('IS Proforma'!CP:CP,'IS Proforma'!$C:$C,'Ops Departments'!$C282,'IS Proforma'!$A:$A,'Ops Departments'!$A282)</f>
        <v>13287.54889</v>
      </c>
      <c r="CE282" s="116">
        <f>SUMIFS('IS Proforma'!CQ:CQ,'IS Proforma'!$C:$C,'Ops Departments'!$C282,'IS Proforma'!$A:$A,'Ops Departments'!$A282)</f>
        <v>13420.42437</v>
      </c>
      <c r="CF282" s="116">
        <f>SUMIFS('IS Proforma'!CR:CR,'IS Proforma'!$C:$C,'Ops Departments'!$C282,'IS Proforma'!$A:$A,'Ops Departments'!$A282)</f>
        <v>13554.62862</v>
      </c>
      <c r="CG282" s="116">
        <f>SUMIFS('IS Proforma'!CS:CS,'IS Proforma'!$C:$C,'Ops Departments'!$C282,'IS Proforma'!$A:$A,'Ops Departments'!$A282)</f>
        <v>13690.1749</v>
      </c>
      <c r="CH282" s="116">
        <f>SUMIFS('IS Proforma'!CT:CT,'IS Proforma'!$C:$C,'Ops Departments'!$C282,'IS Proforma'!$A:$A,'Ops Departments'!$A282)</f>
        <v>13827.07665</v>
      </c>
      <c r="CI282" s="116">
        <f>SUMIFS('IS Proforma'!CU:CU,'IS Proforma'!$C:$C,'Ops Departments'!$C282,'IS Proforma'!$A:$A,'Ops Departments'!$A282)</f>
        <v>13965.34742</v>
      </c>
      <c r="CL282" s="117"/>
      <c r="CM282" s="117"/>
      <c r="CN282" s="117"/>
      <c r="CO282" s="117"/>
      <c r="CP282" s="117"/>
      <c r="CQ282" s="117"/>
    </row>
    <row r="283" ht="15.75" customHeight="1">
      <c r="A283" s="91" t="s">
        <v>118</v>
      </c>
      <c r="C283" s="146" t="s">
        <v>220</v>
      </c>
      <c r="D283" s="116"/>
      <c r="E283" s="116"/>
      <c r="F283" s="116"/>
      <c r="G283" s="116"/>
      <c r="H283" s="116"/>
      <c r="I283" s="116"/>
      <c r="J283" s="116"/>
      <c r="K283" s="116"/>
      <c r="L283" s="116"/>
      <c r="M283" s="116"/>
      <c r="N283" s="116"/>
      <c r="O283" s="116"/>
      <c r="P283" s="116">
        <f>SUMIFS('IS Proforma'!AB:AB,'IS Proforma'!$C:$C,'Ops Departments'!$C283,'IS Proforma'!$A:$A,'Ops Departments'!$A283)</f>
        <v>1439</v>
      </c>
      <c r="Q283" s="116">
        <f>SUMIFS('IS Proforma'!AC:AC,'IS Proforma'!$C:$C,'Ops Departments'!$C283,'IS Proforma'!$A:$A,'Ops Departments'!$A283)</f>
        <v>2215</v>
      </c>
      <c r="R283" s="116">
        <f>SUMIFS('IS Proforma'!AD:AD,'IS Proforma'!$C:$C,'Ops Departments'!$C283,'IS Proforma'!$A:$A,'Ops Departments'!$A283)</f>
        <v>2469</v>
      </c>
      <c r="S283" s="116">
        <f>SUMIFS('IS Proforma'!AE:AE,'IS Proforma'!$C:$C,'Ops Departments'!$C283,'IS Proforma'!$A:$A,'Ops Departments'!$A283)</f>
        <v>1108</v>
      </c>
      <c r="T283" s="116">
        <f>SUMIFS('IS Proforma'!AF:AF,'IS Proforma'!$C:$C,'Ops Departments'!$C283,'IS Proforma'!$A:$A,'Ops Departments'!$A283)</f>
        <v>2262</v>
      </c>
      <c r="U283" s="116">
        <f>SUMIFS('IS Proforma'!AG:AG,'IS Proforma'!$C:$C,'Ops Departments'!$C283,'IS Proforma'!$A:$A,'Ops Departments'!$A283)</f>
        <v>1110</v>
      </c>
      <c r="V283" s="116">
        <f>SUMIFS('IS Proforma'!AH:AH,'IS Proforma'!$C:$C,'Ops Departments'!$C283,'IS Proforma'!$A:$A,'Ops Departments'!$A283)</f>
        <v>1323</v>
      </c>
      <c r="W283" s="116">
        <f>SUMIFS('IS Proforma'!AI:AI,'IS Proforma'!$C:$C,'Ops Departments'!$C283,'IS Proforma'!$A:$A,'Ops Departments'!$A283)</f>
        <v>1032</v>
      </c>
      <c r="X283" s="116">
        <f>SUMIFS('IS Proforma'!AJ:AJ,'IS Proforma'!$C:$C,'Ops Departments'!$C283,'IS Proforma'!$A:$A,'Ops Departments'!$A283)</f>
        <v>2454</v>
      </c>
      <c r="Y283" s="116">
        <f>SUMIFS('IS Proforma'!AK:AK,'IS Proforma'!$C:$C,'Ops Departments'!$C283,'IS Proforma'!$A:$A,'Ops Departments'!$A283)</f>
        <v>2362</v>
      </c>
      <c r="Z283" s="116">
        <f>SUMIFS('IS Proforma'!AL:AL,'IS Proforma'!$C:$C,'Ops Departments'!$C283,'IS Proforma'!$A:$A,'Ops Departments'!$A283)</f>
        <v>1142</v>
      </c>
      <c r="AA283" s="116">
        <f>SUMIFS('IS Proforma'!AM:AM,'IS Proforma'!$C:$C,'Ops Departments'!$C283,'IS Proforma'!$A:$A,'Ops Departments'!$A283)</f>
        <v>3921.25875</v>
      </c>
      <c r="AB283" s="116">
        <f>SUMIFS('IS Proforma'!AN:AN,'IS Proforma'!$C:$C,'Ops Departments'!$C283,'IS Proforma'!$A:$A,'Ops Departments'!$A283)</f>
        <v>4313.384625</v>
      </c>
      <c r="AC283" s="116">
        <f>SUMIFS('IS Proforma'!AO:AO,'IS Proforma'!$C:$C,'Ops Departments'!$C283,'IS Proforma'!$A:$A,'Ops Departments'!$A283)</f>
        <v>4356.518471</v>
      </c>
      <c r="AD283" s="116">
        <f>SUMIFS('IS Proforma'!AP:AP,'IS Proforma'!$C:$C,'Ops Departments'!$C283,'IS Proforma'!$A:$A,'Ops Departments'!$A283)</f>
        <v>4400.083656</v>
      </c>
      <c r="AE283" s="116">
        <f>SUMIFS('IS Proforma'!AQ:AQ,'IS Proforma'!$C:$C,'Ops Departments'!$C283,'IS Proforma'!$A:$A,'Ops Departments'!$A283)</f>
        <v>4444.084493</v>
      </c>
      <c r="AF283" s="116">
        <f>SUMIFS('IS Proforma'!AR:AR,'IS Proforma'!$C:$C,'Ops Departments'!$C283,'IS Proforma'!$A:$A,'Ops Departments'!$A283)</f>
        <v>4488.525337</v>
      </c>
      <c r="AG283" s="116">
        <f>SUMIFS('IS Proforma'!AS:AS,'IS Proforma'!$C:$C,'Ops Departments'!$C283,'IS Proforma'!$A:$A,'Ops Departments'!$A283)</f>
        <v>4533.410591</v>
      </c>
      <c r="AH283" s="116">
        <f>SUMIFS('IS Proforma'!AT:AT,'IS Proforma'!$C:$C,'Ops Departments'!$C283,'IS Proforma'!$A:$A,'Ops Departments'!$A283)</f>
        <v>4578.744697</v>
      </c>
      <c r="AI283" s="116">
        <f>SUMIFS('IS Proforma'!AU:AU,'IS Proforma'!$C:$C,'Ops Departments'!$C283,'IS Proforma'!$A:$A,'Ops Departments'!$A283)</f>
        <v>4624.532144</v>
      </c>
      <c r="AJ283" s="116">
        <f>SUMIFS('IS Proforma'!AV:AV,'IS Proforma'!$C:$C,'Ops Departments'!$C283,'IS Proforma'!$A:$A,'Ops Departments'!$A283)</f>
        <v>4670.777465</v>
      </c>
      <c r="AK283" s="116">
        <f>SUMIFS('IS Proforma'!AW:AW,'IS Proforma'!$C:$C,'Ops Departments'!$C283,'IS Proforma'!$A:$A,'Ops Departments'!$A283)</f>
        <v>4717.48524</v>
      </c>
      <c r="AL283" s="116">
        <f>SUMIFS('IS Proforma'!AX:AX,'IS Proforma'!$C:$C,'Ops Departments'!$C283,'IS Proforma'!$A:$A,'Ops Departments'!$A283)</f>
        <v>4764.660092</v>
      </c>
      <c r="AM283" s="116">
        <f>SUMIFS('IS Proforma'!AY:AY,'IS Proforma'!$C:$C,'Ops Departments'!$C283,'IS Proforma'!$A:$A,'Ops Departments'!$A283)</f>
        <v>4812.306693</v>
      </c>
      <c r="AN283" s="116">
        <f>SUMIFS('IS Proforma'!AZ:AZ,'IS Proforma'!$C:$C,'Ops Departments'!$C283,'IS Proforma'!$A:$A,'Ops Departments'!$A283)</f>
        <v>4860.42976</v>
      </c>
      <c r="AO283" s="116">
        <f>SUMIFS('IS Proforma'!BA:BA,'IS Proforma'!$C:$C,'Ops Departments'!$C283,'IS Proforma'!$A:$A,'Ops Departments'!$A283)</f>
        <v>4909.034058</v>
      </c>
      <c r="AP283" s="116">
        <f>SUMIFS('IS Proforma'!BB:BB,'IS Proforma'!$C:$C,'Ops Departments'!$C283,'IS Proforma'!$A:$A,'Ops Departments'!$A283)</f>
        <v>4958.124398</v>
      </c>
      <c r="AQ283" s="116">
        <f>SUMIFS('IS Proforma'!BC:BC,'IS Proforma'!$C:$C,'Ops Departments'!$C283,'IS Proforma'!$A:$A,'Ops Departments'!$A283)</f>
        <v>5007.705642</v>
      </c>
      <c r="AR283" s="116">
        <f>SUMIFS('IS Proforma'!BD:BD,'IS Proforma'!$C:$C,'Ops Departments'!$C283,'IS Proforma'!$A:$A,'Ops Departments'!$A283)</f>
        <v>5057.782699</v>
      </c>
      <c r="AS283" s="116">
        <f>SUMIFS('IS Proforma'!BE:BE,'IS Proforma'!$C:$C,'Ops Departments'!$C283,'IS Proforma'!$A:$A,'Ops Departments'!$A283)</f>
        <v>5108.360526</v>
      </c>
      <c r="AT283" s="116">
        <f>SUMIFS('IS Proforma'!BF:BF,'IS Proforma'!$C:$C,'Ops Departments'!$C283,'IS Proforma'!$A:$A,'Ops Departments'!$A283)</f>
        <v>5159.444131</v>
      </c>
      <c r="AU283" s="116">
        <f>SUMIFS('IS Proforma'!BG:BG,'IS Proforma'!$C:$C,'Ops Departments'!$C283,'IS Proforma'!$A:$A,'Ops Departments'!$A283)</f>
        <v>5211.038572</v>
      </c>
      <c r="AV283" s="116">
        <f>SUMIFS('IS Proforma'!BH:BH,'IS Proforma'!$C:$C,'Ops Departments'!$C283,'IS Proforma'!$A:$A,'Ops Departments'!$A283)</f>
        <v>5263.148958</v>
      </c>
      <c r="AW283" s="116">
        <f>SUMIFS('IS Proforma'!BI:BI,'IS Proforma'!$C:$C,'Ops Departments'!$C283,'IS Proforma'!$A:$A,'Ops Departments'!$A283)</f>
        <v>5315.780447</v>
      </c>
      <c r="AX283" s="116">
        <f>SUMIFS('IS Proforma'!BJ:BJ,'IS Proforma'!$C:$C,'Ops Departments'!$C283,'IS Proforma'!$A:$A,'Ops Departments'!$A283)</f>
        <v>5368.938252</v>
      </c>
      <c r="AY283" s="116">
        <f>SUMIFS('IS Proforma'!BK:BK,'IS Proforma'!$C:$C,'Ops Departments'!$C283,'IS Proforma'!$A:$A,'Ops Departments'!$A283)</f>
        <v>5422.627634</v>
      </c>
      <c r="AZ283" s="116">
        <f>SUMIFS('IS Proforma'!BL:BL,'IS Proforma'!$C:$C,'Ops Departments'!$C283,'IS Proforma'!$A:$A,'Ops Departments'!$A283)</f>
        <v>5476.853911</v>
      </c>
      <c r="BA283" s="116">
        <f>SUMIFS('IS Proforma'!BM:BM,'IS Proforma'!$C:$C,'Ops Departments'!$C283,'IS Proforma'!$A:$A,'Ops Departments'!$A283)</f>
        <v>5531.62245</v>
      </c>
      <c r="BB283" s="116">
        <f>SUMIFS('IS Proforma'!BN:BN,'IS Proforma'!$C:$C,'Ops Departments'!$C283,'IS Proforma'!$A:$A,'Ops Departments'!$A283)</f>
        <v>5586.938674</v>
      </c>
      <c r="BC283" s="116">
        <f>SUMIFS('IS Proforma'!BO:BO,'IS Proforma'!$C:$C,'Ops Departments'!$C283,'IS Proforma'!$A:$A,'Ops Departments'!$A283)</f>
        <v>5642.808061</v>
      </c>
      <c r="BD283" s="116">
        <f>SUMIFS('IS Proforma'!BP:BP,'IS Proforma'!$C:$C,'Ops Departments'!$C283,'IS Proforma'!$A:$A,'Ops Departments'!$A283)</f>
        <v>5699.236142</v>
      </c>
      <c r="BE283" s="116">
        <f>SUMIFS('IS Proforma'!BQ:BQ,'IS Proforma'!$C:$C,'Ops Departments'!$C283,'IS Proforma'!$A:$A,'Ops Departments'!$A283)</f>
        <v>5756.228503</v>
      </c>
      <c r="BF283" s="116">
        <f>SUMIFS('IS Proforma'!BR:BR,'IS Proforma'!$C:$C,'Ops Departments'!$C283,'IS Proforma'!$A:$A,'Ops Departments'!$A283)</f>
        <v>5813.790788</v>
      </c>
      <c r="BG283" s="116">
        <f>SUMIFS('IS Proforma'!BS:BS,'IS Proforma'!$C:$C,'Ops Departments'!$C283,'IS Proforma'!$A:$A,'Ops Departments'!$A283)</f>
        <v>5871.928696</v>
      </c>
      <c r="BH283" s="116">
        <f>SUMIFS('IS Proforma'!BT:BT,'IS Proforma'!$C:$C,'Ops Departments'!$C283,'IS Proforma'!$A:$A,'Ops Departments'!$A283)</f>
        <v>5930.647983</v>
      </c>
      <c r="BI283" s="116">
        <f>SUMIFS('IS Proforma'!BU:BU,'IS Proforma'!$C:$C,'Ops Departments'!$C283,'IS Proforma'!$A:$A,'Ops Departments'!$A283)</f>
        <v>5989.954463</v>
      </c>
      <c r="BJ283" s="116">
        <f>SUMIFS('IS Proforma'!BV:BV,'IS Proforma'!$C:$C,'Ops Departments'!$C283,'IS Proforma'!$A:$A,'Ops Departments'!$A283)</f>
        <v>6049.854008</v>
      </c>
      <c r="BK283" s="116">
        <f>SUMIFS('IS Proforma'!BW:BW,'IS Proforma'!$C:$C,'Ops Departments'!$C283,'IS Proforma'!$A:$A,'Ops Departments'!$A283)</f>
        <v>6110.352548</v>
      </c>
      <c r="BL283" s="116">
        <f>SUMIFS('IS Proforma'!BX:BX,'IS Proforma'!$C:$C,'Ops Departments'!$C283,'IS Proforma'!$A:$A,'Ops Departments'!$A283)</f>
        <v>6171.456073</v>
      </c>
      <c r="BM283" s="116">
        <f>SUMIFS('IS Proforma'!BY:BY,'IS Proforma'!$C:$C,'Ops Departments'!$C283,'IS Proforma'!$A:$A,'Ops Departments'!$A283)</f>
        <v>6233.170634</v>
      </c>
      <c r="BN283" s="116">
        <f>SUMIFS('IS Proforma'!BZ:BZ,'IS Proforma'!$C:$C,'Ops Departments'!$C283,'IS Proforma'!$A:$A,'Ops Departments'!$A283)</f>
        <v>6295.50234</v>
      </c>
      <c r="BO283" s="116">
        <f>SUMIFS('IS Proforma'!CA:CA,'IS Proforma'!$C:$C,'Ops Departments'!$C283,'IS Proforma'!$A:$A,'Ops Departments'!$A283)</f>
        <v>6358.457364</v>
      </c>
      <c r="BP283" s="116">
        <f>SUMIFS('IS Proforma'!CB:CB,'IS Proforma'!$C:$C,'Ops Departments'!$C283,'IS Proforma'!$A:$A,'Ops Departments'!$A283)</f>
        <v>6422.041937</v>
      </c>
      <c r="BQ283" s="116">
        <f>SUMIFS('IS Proforma'!CC:CC,'IS Proforma'!$C:$C,'Ops Departments'!$C283,'IS Proforma'!$A:$A,'Ops Departments'!$A283)</f>
        <v>6486.262357</v>
      </c>
      <c r="BR283" s="116">
        <f>SUMIFS('IS Proforma'!CD:CD,'IS Proforma'!$C:$C,'Ops Departments'!$C283,'IS Proforma'!$A:$A,'Ops Departments'!$A283)</f>
        <v>6551.12498</v>
      </c>
      <c r="BS283" s="116">
        <f>SUMIFS('IS Proforma'!CE:CE,'IS Proforma'!$C:$C,'Ops Departments'!$C283,'IS Proforma'!$A:$A,'Ops Departments'!$A283)</f>
        <v>6616.63623</v>
      </c>
      <c r="BT283" s="116">
        <f>SUMIFS('IS Proforma'!CF:CF,'IS Proforma'!$C:$C,'Ops Departments'!$C283,'IS Proforma'!$A:$A,'Ops Departments'!$A283)</f>
        <v>6682.802592</v>
      </c>
      <c r="BU283" s="116">
        <f>SUMIFS('IS Proforma'!CG:CG,'IS Proforma'!$C:$C,'Ops Departments'!$C283,'IS Proforma'!$A:$A,'Ops Departments'!$A283)</f>
        <v>6749.630618</v>
      </c>
      <c r="BV283" s="116">
        <f>SUMIFS('IS Proforma'!CH:CH,'IS Proforma'!$C:$C,'Ops Departments'!$C283,'IS Proforma'!$A:$A,'Ops Departments'!$A283)</f>
        <v>6817.126924</v>
      </c>
      <c r="BW283" s="116">
        <f>SUMIFS('IS Proforma'!CI:CI,'IS Proforma'!$C:$C,'Ops Departments'!$C283,'IS Proforma'!$A:$A,'Ops Departments'!$A283)</f>
        <v>6885.298194</v>
      </c>
      <c r="BX283" s="116">
        <f>SUMIFS('IS Proforma'!CJ:CJ,'IS Proforma'!$C:$C,'Ops Departments'!$C283,'IS Proforma'!$A:$A,'Ops Departments'!$A283)</f>
        <v>6954.151175</v>
      </c>
      <c r="BY283" s="116">
        <f>SUMIFS('IS Proforma'!CK:CK,'IS Proforma'!$C:$C,'Ops Departments'!$C283,'IS Proforma'!$A:$A,'Ops Departments'!$A283)</f>
        <v>7023.692687</v>
      </c>
      <c r="BZ283" s="116">
        <f>SUMIFS('IS Proforma'!CL:CL,'IS Proforma'!$C:$C,'Ops Departments'!$C283,'IS Proforma'!$A:$A,'Ops Departments'!$A283)</f>
        <v>7093.929614</v>
      </c>
      <c r="CA283" s="116">
        <f>SUMIFS('IS Proforma'!CM:CM,'IS Proforma'!$C:$C,'Ops Departments'!$C283,'IS Proforma'!$A:$A,'Ops Departments'!$A283)</f>
        <v>7164.86891</v>
      </c>
      <c r="CB283" s="116">
        <f>SUMIFS('IS Proforma'!CN:CN,'IS Proforma'!$C:$C,'Ops Departments'!$C283,'IS Proforma'!$A:$A,'Ops Departments'!$A283)</f>
        <v>7236.517599</v>
      </c>
      <c r="CC283" s="116">
        <f>SUMIFS('IS Proforma'!CO:CO,'IS Proforma'!$C:$C,'Ops Departments'!$C283,'IS Proforma'!$A:$A,'Ops Departments'!$A283)</f>
        <v>7308.882775</v>
      </c>
      <c r="CD283" s="116">
        <f>SUMIFS('IS Proforma'!CP:CP,'IS Proforma'!$C:$C,'Ops Departments'!$C283,'IS Proforma'!$A:$A,'Ops Departments'!$A283)</f>
        <v>7381.971603</v>
      </c>
      <c r="CE283" s="116">
        <f>SUMIFS('IS Proforma'!CQ:CQ,'IS Proforma'!$C:$C,'Ops Departments'!$C283,'IS Proforma'!$A:$A,'Ops Departments'!$A283)</f>
        <v>7455.791319</v>
      </c>
      <c r="CF283" s="116">
        <f>SUMIFS('IS Proforma'!CR:CR,'IS Proforma'!$C:$C,'Ops Departments'!$C283,'IS Proforma'!$A:$A,'Ops Departments'!$A283)</f>
        <v>7530.349232</v>
      </c>
      <c r="CG283" s="116">
        <f>SUMIFS('IS Proforma'!CS:CS,'IS Proforma'!$C:$C,'Ops Departments'!$C283,'IS Proforma'!$A:$A,'Ops Departments'!$A283)</f>
        <v>7605.652725</v>
      </c>
      <c r="CH283" s="116">
        <f>SUMIFS('IS Proforma'!CT:CT,'IS Proforma'!$C:$C,'Ops Departments'!$C283,'IS Proforma'!$A:$A,'Ops Departments'!$A283)</f>
        <v>7681.709252</v>
      </c>
      <c r="CI283" s="116">
        <f>SUMIFS('IS Proforma'!CU:CU,'IS Proforma'!$C:$C,'Ops Departments'!$C283,'IS Proforma'!$A:$A,'Ops Departments'!$A283)</f>
        <v>7758.526344</v>
      </c>
      <c r="CL283" s="117"/>
      <c r="CM283" s="117"/>
      <c r="CN283" s="117"/>
      <c r="CO283" s="117"/>
      <c r="CP283" s="117"/>
      <c r="CQ283" s="117"/>
    </row>
    <row r="284" ht="15.75" customHeight="1">
      <c r="C284" s="257" t="s">
        <v>221</v>
      </c>
      <c r="D284" s="514">
        <f t="shared" ref="D284:CI284" si="293">SUM(D271:D283)</f>
        <v>17648</v>
      </c>
      <c r="E284" s="514">
        <f t="shared" si="293"/>
        <v>17346</v>
      </c>
      <c r="F284" s="514">
        <f t="shared" si="293"/>
        <v>15122</v>
      </c>
      <c r="G284" s="514">
        <f t="shared" si="293"/>
        <v>16232</v>
      </c>
      <c r="H284" s="514">
        <f t="shared" si="293"/>
        <v>18083</v>
      </c>
      <c r="I284" s="514">
        <f t="shared" si="293"/>
        <v>16450</v>
      </c>
      <c r="J284" s="514">
        <f t="shared" si="293"/>
        <v>17167</v>
      </c>
      <c r="K284" s="514">
        <f t="shared" si="293"/>
        <v>18633</v>
      </c>
      <c r="L284" s="514">
        <f t="shared" si="293"/>
        <v>18632</v>
      </c>
      <c r="M284" s="514">
        <f t="shared" si="293"/>
        <v>17267</v>
      </c>
      <c r="N284" s="514">
        <f t="shared" si="293"/>
        <v>19473</v>
      </c>
      <c r="O284" s="514">
        <f t="shared" si="293"/>
        <v>17115</v>
      </c>
      <c r="P284" s="514">
        <f t="shared" si="293"/>
        <v>22697</v>
      </c>
      <c r="Q284" s="514">
        <f t="shared" si="293"/>
        <v>23331</v>
      </c>
      <c r="R284" s="514">
        <f t="shared" si="293"/>
        <v>25614</v>
      </c>
      <c r="S284" s="514">
        <f t="shared" si="293"/>
        <v>24042</v>
      </c>
      <c r="T284" s="514">
        <f t="shared" si="293"/>
        <v>23110</v>
      </c>
      <c r="U284" s="514">
        <f t="shared" si="293"/>
        <v>20833</v>
      </c>
      <c r="V284" s="514">
        <f t="shared" si="293"/>
        <v>24776</v>
      </c>
      <c r="W284" s="514">
        <f t="shared" si="293"/>
        <v>20868</v>
      </c>
      <c r="X284" s="514">
        <f t="shared" si="293"/>
        <v>25330</v>
      </c>
      <c r="Y284" s="514">
        <f t="shared" si="293"/>
        <v>24537</v>
      </c>
      <c r="Z284" s="514">
        <f t="shared" si="293"/>
        <v>21379</v>
      </c>
      <c r="AA284" s="514">
        <f t="shared" si="293"/>
        <v>186238.8737</v>
      </c>
      <c r="AB284" s="514">
        <f t="shared" si="293"/>
        <v>196832.6168</v>
      </c>
      <c r="AC284" s="514">
        <f t="shared" si="293"/>
        <v>211479.682</v>
      </c>
      <c r="AD284" s="514">
        <f t="shared" si="293"/>
        <v>226024.9923</v>
      </c>
      <c r="AE284" s="514">
        <f t="shared" si="293"/>
        <v>233913.4595</v>
      </c>
      <c r="AF284" s="514">
        <f t="shared" si="293"/>
        <v>244080.8295</v>
      </c>
      <c r="AG284" s="514">
        <f t="shared" si="293"/>
        <v>245293.2094</v>
      </c>
      <c r="AH284" s="514">
        <f t="shared" si="293"/>
        <v>268025.559</v>
      </c>
      <c r="AI284" s="514">
        <f t="shared" si="293"/>
        <v>275750.2889</v>
      </c>
      <c r="AJ284" s="514">
        <f t="shared" si="293"/>
        <v>293328.0795</v>
      </c>
      <c r="AK284" s="514">
        <f t="shared" si="293"/>
        <v>309786.9697</v>
      </c>
      <c r="AL284" s="514">
        <f t="shared" si="293"/>
        <v>317415.7105</v>
      </c>
      <c r="AM284" s="514">
        <f t="shared" si="293"/>
        <v>338789.4575</v>
      </c>
      <c r="AN284" s="514">
        <f t="shared" si="293"/>
        <v>412465.6381</v>
      </c>
      <c r="AO284" s="514">
        <f t="shared" si="293"/>
        <v>439956.8095</v>
      </c>
      <c r="AP284" s="514">
        <f t="shared" si="293"/>
        <v>454204.7143</v>
      </c>
      <c r="AQ284" s="514">
        <f t="shared" si="293"/>
        <v>455301.7562</v>
      </c>
      <c r="AR284" s="514">
        <f t="shared" si="293"/>
        <v>480924.4179</v>
      </c>
      <c r="AS284" s="514">
        <f t="shared" si="293"/>
        <v>488532.08</v>
      </c>
      <c r="AT284" s="514">
        <f t="shared" si="293"/>
        <v>523590.6117</v>
      </c>
      <c r="AU284" s="514">
        <f t="shared" si="293"/>
        <v>545836.008</v>
      </c>
      <c r="AV284" s="514">
        <f t="shared" si="293"/>
        <v>576220.0828</v>
      </c>
      <c r="AW284" s="514">
        <f t="shared" si="293"/>
        <v>591240.7066</v>
      </c>
      <c r="AX284" s="514">
        <f t="shared" si="293"/>
        <v>613186.7664</v>
      </c>
      <c r="AY284" s="514">
        <f t="shared" si="293"/>
        <v>614310.208</v>
      </c>
      <c r="AZ284" s="514">
        <f t="shared" si="293"/>
        <v>657876.5755</v>
      </c>
      <c r="BA284" s="514">
        <f t="shared" si="293"/>
        <v>703194.1468</v>
      </c>
      <c r="BB284" s="514">
        <f t="shared" si="293"/>
        <v>726781.9334</v>
      </c>
      <c r="BC284" s="514">
        <f t="shared" si="293"/>
        <v>774048.0402</v>
      </c>
      <c r="BD284" s="514">
        <f t="shared" si="293"/>
        <v>801496.1651</v>
      </c>
      <c r="BE284" s="514">
        <f t="shared" si="293"/>
        <v>817750.9392</v>
      </c>
      <c r="BF284" s="514">
        <f t="shared" si="293"/>
        <v>842072.8376</v>
      </c>
      <c r="BG284" s="514">
        <f t="shared" si="293"/>
        <v>851049.2843</v>
      </c>
      <c r="BH284" s="514">
        <f t="shared" si="293"/>
        <v>896059.3898</v>
      </c>
      <c r="BI284" s="514">
        <f t="shared" si="293"/>
        <v>920314.5214</v>
      </c>
      <c r="BJ284" s="514">
        <f t="shared" si="293"/>
        <v>922003.1459</v>
      </c>
      <c r="BK284" s="514">
        <f t="shared" si="293"/>
        <v>960965.6731</v>
      </c>
      <c r="BL284" s="514">
        <f t="shared" si="293"/>
        <v>1066777.575</v>
      </c>
      <c r="BM284" s="514">
        <f t="shared" si="293"/>
        <v>1304121.629</v>
      </c>
      <c r="BN284" s="514">
        <f t="shared" si="293"/>
        <v>1408086.844</v>
      </c>
      <c r="BO284" s="514">
        <f t="shared" si="293"/>
        <v>1428078.156</v>
      </c>
      <c r="BP284" s="514">
        <f t="shared" si="293"/>
        <v>1490745.175</v>
      </c>
      <c r="BQ284" s="514">
        <f t="shared" si="293"/>
        <v>1500676.503</v>
      </c>
      <c r="BR284" s="514">
        <f t="shared" si="293"/>
        <v>1535342.555</v>
      </c>
      <c r="BS284" s="514">
        <f t="shared" si="293"/>
        <v>1561860.001</v>
      </c>
      <c r="BT284" s="514">
        <f t="shared" si="293"/>
        <v>1630139.011</v>
      </c>
      <c r="BU284" s="514">
        <f t="shared" si="293"/>
        <v>1640363.774</v>
      </c>
      <c r="BV284" s="514">
        <f t="shared" si="293"/>
        <v>1691302.087</v>
      </c>
      <c r="BW284" s="514">
        <f t="shared" si="293"/>
        <v>1693382.292</v>
      </c>
      <c r="BX284" s="514">
        <f t="shared" si="293"/>
        <v>1792413.374</v>
      </c>
      <c r="BY284" s="514">
        <f t="shared" si="293"/>
        <v>1842400.095</v>
      </c>
      <c r="BZ284" s="514">
        <f t="shared" si="293"/>
        <v>1860197.321</v>
      </c>
      <c r="CA284" s="514">
        <f t="shared" si="293"/>
        <v>1886703.228</v>
      </c>
      <c r="CB284" s="514">
        <f t="shared" si="293"/>
        <v>1949070.483</v>
      </c>
      <c r="CC284" s="514">
        <f t="shared" si="293"/>
        <v>1984346.319</v>
      </c>
      <c r="CD284" s="514">
        <f t="shared" si="293"/>
        <v>2002772.416</v>
      </c>
      <c r="CE284" s="514">
        <f t="shared" si="293"/>
        <v>2004325.639</v>
      </c>
      <c r="CF284" s="514">
        <f t="shared" si="293"/>
        <v>2089345.653</v>
      </c>
      <c r="CG284" s="514">
        <f t="shared" si="293"/>
        <v>2090983.615</v>
      </c>
      <c r="CH284" s="514">
        <f t="shared" si="293"/>
        <v>2126524.451</v>
      </c>
      <c r="CI284" s="514">
        <f t="shared" si="293"/>
        <v>2153618.538</v>
      </c>
      <c r="CL284" s="514">
        <f>SUM(D284:G284)</f>
        <v>66348</v>
      </c>
      <c r="CM284" s="514">
        <f>SUM(H284:K284)</f>
        <v>70333</v>
      </c>
      <c r="CN284" s="514">
        <f>SUM(L284:O284)</f>
        <v>72487</v>
      </c>
      <c r="CO284" s="514">
        <f>SUM(P284:S284)</f>
        <v>95684</v>
      </c>
      <c r="CP284" s="514">
        <f>SUM(T284:W284)</f>
        <v>89587</v>
      </c>
      <c r="CQ284" s="514">
        <f>SUM(X284:AA284)</f>
        <v>257484.8737</v>
      </c>
    </row>
    <row r="285" ht="15.75" customHeight="1">
      <c r="C285" s="1" t="s">
        <v>101</v>
      </c>
      <c r="P285" s="125">
        <f t="shared" ref="P285:CI285" si="294">(P5-P284)/P5</f>
        <v>0.9798977039</v>
      </c>
      <c r="Q285" s="125">
        <f t="shared" si="294"/>
        <v>0.9759985186</v>
      </c>
      <c r="R285" s="125">
        <f t="shared" si="294"/>
        <v>0.9759538566</v>
      </c>
      <c r="S285" s="125">
        <f t="shared" si="294"/>
        <v>0.979362665</v>
      </c>
      <c r="T285" s="125">
        <f t="shared" si="294"/>
        <v>0.9797496528</v>
      </c>
      <c r="U285" s="125">
        <f t="shared" si="294"/>
        <v>0.9797025285</v>
      </c>
      <c r="V285" s="125">
        <f t="shared" si="294"/>
        <v>0.9771532272</v>
      </c>
      <c r="W285" s="125">
        <f t="shared" si="294"/>
        <v>0.983721547</v>
      </c>
      <c r="X285" s="125">
        <f t="shared" si="294"/>
        <v>0.97896693</v>
      </c>
      <c r="Y285" s="125">
        <f t="shared" si="294"/>
        <v>0.9771991057</v>
      </c>
      <c r="Z285" s="125">
        <f t="shared" si="294"/>
        <v>0.9801869263</v>
      </c>
      <c r="AA285" s="125">
        <f t="shared" si="294"/>
        <v>0.8684559216</v>
      </c>
      <c r="AB285" s="125">
        <f t="shared" si="294"/>
        <v>0.8819563631</v>
      </c>
      <c r="AC285" s="125">
        <f t="shared" si="294"/>
        <v>0.8896338475</v>
      </c>
      <c r="AD285" s="125">
        <f t="shared" si="294"/>
        <v>0.8945743498</v>
      </c>
      <c r="AE285" s="125">
        <f t="shared" si="294"/>
        <v>0.9009693324</v>
      </c>
      <c r="AF285" s="125">
        <f t="shared" si="294"/>
        <v>0.9053485719</v>
      </c>
      <c r="AG285" s="125">
        <f t="shared" si="294"/>
        <v>0.9122923769</v>
      </c>
      <c r="AH285" s="125">
        <f t="shared" si="294"/>
        <v>0.9104555673</v>
      </c>
      <c r="AI285" s="125">
        <f t="shared" si="294"/>
        <v>0.9134471569</v>
      </c>
      <c r="AJ285" s="125">
        <f t="shared" si="294"/>
        <v>0.9130773841</v>
      </c>
      <c r="AK285" s="125">
        <f t="shared" si="294"/>
        <v>0.9127355283</v>
      </c>
      <c r="AL285" s="125">
        <f t="shared" si="294"/>
        <v>0.9147573948</v>
      </c>
      <c r="AM285" s="125">
        <f t="shared" si="294"/>
        <v>0.9131210569</v>
      </c>
      <c r="AN285" s="125">
        <f t="shared" si="294"/>
        <v>0.8987396446</v>
      </c>
      <c r="AO285" s="125">
        <f t="shared" si="294"/>
        <v>0.8928049531</v>
      </c>
      <c r="AP285" s="125">
        <f t="shared" si="294"/>
        <v>0.8904911363</v>
      </c>
      <c r="AQ285" s="125">
        <f t="shared" si="294"/>
        <v>0.8916951954</v>
      </c>
      <c r="AR285" s="125">
        <f t="shared" si="294"/>
        <v>0.8872022315</v>
      </c>
      <c r="AS285" s="125">
        <f t="shared" si="294"/>
        <v>0.887062769</v>
      </c>
      <c r="AT285" s="125">
        <f t="shared" si="294"/>
        <v>0.8806526036</v>
      </c>
      <c r="AU285" s="125">
        <f t="shared" si="294"/>
        <v>0.8776498718</v>
      </c>
      <c r="AV285" s="125">
        <f t="shared" si="294"/>
        <v>0.8725489571</v>
      </c>
      <c r="AW285" s="125">
        <f t="shared" si="294"/>
        <v>0.8709111442</v>
      </c>
      <c r="AX285" s="125">
        <f t="shared" si="294"/>
        <v>0.8677989062</v>
      </c>
      <c r="AY285" s="125">
        <f t="shared" si="294"/>
        <v>0.8691758353</v>
      </c>
      <c r="AZ285" s="125">
        <f t="shared" si="294"/>
        <v>0.863531826</v>
      </c>
      <c r="BA285" s="125">
        <f t="shared" si="294"/>
        <v>0.8569247775</v>
      </c>
      <c r="BB285" s="125">
        <f t="shared" si="294"/>
        <v>0.8548200916</v>
      </c>
      <c r="BC285" s="125">
        <f t="shared" si="294"/>
        <v>0.8480755036</v>
      </c>
      <c r="BD285" s="125">
        <f t="shared" si="294"/>
        <v>0.8453258754</v>
      </c>
      <c r="BE285" s="125">
        <f t="shared" si="294"/>
        <v>0.8447396162</v>
      </c>
      <c r="BF285" s="125">
        <f t="shared" si="294"/>
        <v>0.8426181995</v>
      </c>
      <c r="BG285" s="125">
        <f t="shared" si="294"/>
        <v>0.8433444836</v>
      </c>
      <c r="BH285" s="125">
        <f t="shared" si="294"/>
        <v>0.8374762327</v>
      </c>
      <c r="BI285" s="125">
        <f t="shared" si="294"/>
        <v>0.8354518963</v>
      </c>
      <c r="BJ285" s="125">
        <f t="shared" si="294"/>
        <v>0.8374304291</v>
      </c>
      <c r="BK285" s="125">
        <f t="shared" si="294"/>
        <v>0.8328422458</v>
      </c>
      <c r="BL285" s="125">
        <f t="shared" si="294"/>
        <v>0.8179791036</v>
      </c>
      <c r="BM285" s="125">
        <f t="shared" si="294"/>
        <v>0.7807311814</v>
      </c>
      <c r="BN285" s="125">
        <f t="shared" si="294"/>
        <v>0.7663410644</v>
      </c>
      <c r="BO285" s="125">
        <f t="shared" si="294"/>
        <v>0.7660173311</v>
      </c>
      <c r="BP285" s="125">
        <f t="shared" si="294"/>
        <v>0.7587818251</v>
      </c>
      <c r="BQ285" s="125">
        <f t="shared" si="294"/>
        <v>0.7601388097</v>
      </c>
      <c r="BR285" s="125">
        <f t="shared" si="294"/>
        <v>0.7575457182</v>
      </c>
      <c r="BS285" s="125">
        <f t="shared" si="294"/>
        <v>0.7562761063</v>
      </c>
      <c r="BT285" s="125">
        <f t="shared" si="294"/>
        <v>0.7485876254</v>
      </c>
      <c r="BU285" s="125">
        <f t="shared" si="294"/>
        <v>0.7499206098</v>
      </c>
      <c r="BV285" s="125">
        <f t="shared" si="294"/>
        <v>0.7450824143</v>
      </c>
      <c r="BW285" s="125">
        <f t="shared" si="294"/>
        <v>0.7476313765</v>
      </c>
      <c r="BX285" s="125">
        <f t="shared" si="294"/>
        <v>0.7369076878</v>
      </c>
      <c r="BY285" s="125">
        <f t="shared" si="294"/>
        <v>0.7314665652</v>
      </c>
      <c r="BZ285" s="125">
        <f t="shared" si="294"/>
        <v>0.7306774545</v>
      </c>
      <c r="CA285" s="125">
        <f t="shared" si="294"/>
        <v>0.7287398883</v>
      </c>
      <c r="CB285" s="125">
        <f t="shared" si="294"/>
        <v>0.7217642817</v>
      </c>
      <c r="CC285" s="125">
        <f t="shared" si="294"/>
        <v>0.7187528913</v>
      </c>
      <c r="CD285" s="125">
        <f t="shared" si="294"/>
        <v>0.7181685081</v>
      </c>
      <c r="CE285" s="125">
        <f t="shared" si="294"/>
        <v>0.7199565109</v>
      </c>
      <c r="CF285" s="125">
        <f t="shared" si="294"/>
        <v>0.7101427841</v>
      </c>
      <c r="CG285" s="125">
        <f t="shared" si="294"/>
        <v>0.711954345</v>
      </c>
      <c r="CH285" s="125">
        <f t="shared" si="294"/>
        <v>0.7091027722</v>
      </c>
      <c r="CI285" s="125">
        <f t="shared" si="294"/>
        <v>0.707437619</v>
      </c>
    </row>
    <row r="286" ht="15.75" customHeight="1">
      <c r="A286" s="1"/>
      <c r="B286" s="1"/>
      <c r="C286" s="1" t="s">
        <v>822</v>
      </c>
      <c r="Y286" s="137">
        <f t="shared" ref="Y286:AA286" si="295">Y5*(1-$C$288)</f>
        <v>0</v>
      </c>
      <c r="Z286" s="137">
        <f t="shared" si="295"/>
        <v>0</v>
      </c>
      <c r="AA286" s="137">
        <f t="shared" si="295"/>
        <v>0</v>
      </c>
      <c r="AB286" s="137">
        <f t="shared" ref="AB286:AM286" si="296">AB5*(1-$C$289)</f>
        <v>0</v>
      </c>
      <c r="AC286" s="137">
        <f t="shared" si="296"/>
        <v>0</v>
      </c>
      <c r="AD286" s="137">
        <f t="shared" si="296"/>
        <v>0</v>
      </c>
      <c r="AE286" s="137">
        <f t="shared" si="296"/>
        <v>0</v>
      </c>
      <c r="AF286" s="137">
        <f t="shared" si="296"/>
        <v>0</v>
      </c>
      <c r="AG286" s="137">
        <f t="shared" si="296"/>
        <v>0</v>
      </c>
      <c r="AH286" s="137">
        <f t="shared" si="296"/>
        <v>0</v>
      </c>
      <c r="AI286" s="137">
        <f t="shared" si="296"/>
        <v>0</v>
      </c>
      <c r="AJ286" s="137">
        <f t="shared" si="296"/>
        <v>0</v>
      </c>
      <c r="AK286" s="137">
        <f t="shared" si="296"/>
        <v>0</v>
      </c>
      <c r="AL286" s="137">
        <f t="shared" si="296"/>
        <v>0</v>
      </c>
      <c r="AM286" s="137">
        <f t="shared" si="296"/>
        <v>0</v>
      </c>
      <c r="AN286" s="137">
        <f t="shared" ref="AN286:AZ286" si="297">AN5*(1-$C$290)</f>
        <v>0</v>
      </c>
      <c r="AO286" s="137">
        <f t="shared" si="297"/>
        <v>0</v>
      </c>
      <c r="AP286" s="137">
        <f t="shared" si="297"/>
        <v>0</v>
      </c>
      <c r="AQ286" s="137">
        <f t="shared" si="297"/>
        <v>0</v>
      </c>
      <c r="AR286" s="137">
        <f t="shared" si="297"/>
        <v>0</v>
      </c>
      <c r="AS286" s="137">
        <f t="shared" si="297"/>
        <v>0</v>
      </c>
      <c r="AT286" s="137">
        <f t="shared" si="297"/>
        <v>0</v>
      </c>
      <c r="AU286" s="137">
        <f t="shared" si="297"/>
        <v>0</v>
      </c>
      <c r="AV286" s="137">
        <f t="shared" si="297"/>
        <v>0</v>
      </c>
      <c r="AW286" s="137">
        <f t="shared" si="297"/>
        <v>0</v>
      </c>
      <c r="AX286" s="137">
        <f t="shared" si="297"/>
        <v>0</v>
      </c>
      <c r="AY286" s="137">
        <f t="shared" si="297"/>
        <v>0</v>
      </c>
      <c r="AZ286" s="137">
        <f t="shared" si="297"/>
        <v>0</v>
      </c>
      <c r="BA286" s="137">
        <f t="shared" ref="BA286:BK286" si="298">BA5*(1-$C$291)</f>
        <v>0</v>
      </c>
      <c r="BB286" s="137">
        <f t="shared" si="298"/>
        <v>0</v>
      </c>
      <c r="BC286" s="137">
        <f t="shared" si="298"/>
        <v>0</v>
      </c>
      <c r="BD286" s="137">
        <f t="shared" si="298"/>
        <v>0</v>
      </c>
      <c r="BE286" s="137">
        <f t="shared" si="298"/>
        <v>0</v>
      </c>
      <c r="BF286" s="137">
        <f t="shared" si="298"/>
        <v>0</v>
      </c>
      <c r="BG286" s="137">
        <f t="shared" si="298"/>
        <v>0</v>
      </c>
      <c r="BH286" s="137">
        <f t="shared" si="298"/>
        <v>0</v>
      </c>
      <c r="BI286" s="137">
        <f t="shared" si="298"/>
        <v>0</v>
      </c>
      <c r="BJ286" s="137">
        <f t="shared" si="298"/>
        <v>0</v>
      </c>
      <c r="BK286" s="137">
        <f t="shared" si="298"/>
        <v>0</v>
      </c>
      <c r="BL286" s="137">
        <f t="shared" ref="BL286:BX286" si="299">BL5*(1-$C$292)</f>
        <v>0</v>
      </c>
      <c r="BM286" s="137">
        <f t="shared" si="299"/>
        <v>0</v>
      </c>
      <c r="BN286" s="137">
        <f t="shared" si="299"/>
        <v>0</v>
      </c>
      <c r="BO286" s="137">
        <f t="shared" si="299"/>
        <v>0</v>
      </c>
      <c r="BP286" s="137">
        <f t="shared" si="299"/>
        <v>0</v>
      </c>
      <c r="BQ286" s="137">
        <f t="shared" si="299"/>
        <v>0</v>
      </c>
      <c r="BR286" s="137">
        <f t="shared" si="299"/>
        <v>0</v>
      </c>
      <c r="BS286" s="137">
        <f t="shared" si="299"/>
        <v>0</v>
      </c>
      <c r="BT286" s="137">
        <f t="shared" si="299"/>
        <v>0</v>
      </c>
      <c r="BU286" s="137">
        <f t="shared" si="299"/>
        <v>0</v>
      </c>
      <c r="BV286" s="137">
        <f t="shared" si="299"/>
        <v>0</v>
      </c>
      <c r="BW286" s="137">
        <f t="shared" si="299"/>
        <v>0</v>
      </c>
      <c r="BX286" s="137">
        <f t="shared" si="299"/>
        <v>0</v>
      </c>
      <c r="BY286" s="137">
        <f t="shared" ref="BY286:CI286" si="300">BY5*(1-$C$293)</f>
        <v>0</v>
      </c>
      <c r="BZ286" s="137">
        <f t="shared" si="300"/>
        <v>0</v>
      </c>
      <c r="CA286" s="137">
        <f t="shared" si="300"/>
        <v>0</v>
      </c>
      <c r="CB286" s="137">
        <f t="shared" si="300"/>
        <v>0</v>
      </c>
      <c r="CC286" s="137">
        <f t="shared" si="300"/>
        <v>0</v>
      </c>
      <c r="CD286" s="137">
        <f t="shared" si="300"/>
        <v>0</v>
      </c>
      <c r="CE286" s="137">
        <f t="shared" si="300"/>
        <v>0</v>
      </c>
      <c r="CF286" s="137">
        <f t="shared" si="300"/>
        <v>0</v>
      </c>
      <c r="CG286" s="137">
        <f t="shared" si="300"/>
        <v>0</v>
      </c>
      <c r="CH286" s="137">
        <f t="shared" si="300"/>
        <v>0</v>
      </c>
      <c r="CI286" s="137">
        <f t="shared" si="300"/>
        <v>0</v>
      </c>
    </row>
    <row r="287" ht="15.75" customHeight="1">
      <c r="A287" s="1"/>
      <c r="B287" s="1"/>
      <c r="C287" s="1" t="s">
        <v>823</v>
      </c>
      <c r="Y287" s="1">
        <f t="shared" ref="Y287:CI287" si="301">IF(Y284&gt;Y286,0,Y286-Y284)</f>
        <v>0</v>
      </c>
      <c r="Z287" s="137">
        <f t="shared" si="301"/>
        <v>0</v>
      </c>
      <c r="AA287" s="137">
        <f t="shared" si="301"/>
        <v>0</v>
      </c>
      <c r="AB287" s="137">
        <f t="shared" si="301"/>
        <v>0</v>
      </c>
      <c r="AC287" s="137">
        <f t="shared" si="301"/>
        <v>0</v>
      </c>
      <c r="AD287" s="137">
        <f t="shared" si="301"/>
        <v>0</v>
      </c>
      <c r="AE287" s="137">
        <f t="shared" si="301"/>
        <v>0</v>
      </c>
      <c r="AF287" s="137">
        <f t="shared" si="301"/>
        <v>0</v>
      </c>
      <c r="AG287" s="137">
        <f t="shared" si="301"/>
        <v>0</v>
      </c>
      <c r="AH287" s="137">
        <f t="shared" si="301"/>
        <v>0</v>
      </c>
      <c r="AI287" s="137">
        <f t="shared" si="301"/>
        <v>0</v>
      </c>
      <c r="AJ287" s="137">
        <f t="shared" si="301"/>
        <v>0</v>
      </c>
      <c r="AK287" s="137">
        <f t="shared" si="301"/>
        <v>0</v>
      </c>
      <c r="AL287" s="137">
        <f t="shared" si="301"/>
        <v>0</v>
      </c>
      <c r="AM287" s="137">
        <f t="shared" si="301"/>
        <v>0</v>
      </c>
      <c r="AN287" s="137">
        <f t="shared" si="301"/>
        <v>0</v>
      </c>
      <c r="AO287" s="137">
        <f t="shared" si="301"/>
        <v>0</v>
      </c>
      <c r="AP287" s="137">
        <f t="shared" si="301"/>
        <v>0</v>
      </c>
      <c r="AQ287" s="137">
        <f t="shared" si="301"/>
        <v>0</v>
      </c>
      <c r="AR287" s="137">
        <f t="shared" si="301"/>
        <v>0</v>
      </c>
      <c r="AS287" s="137">
        <f t="shared" si="301"/>
        <v>0</v>
      </c>
      <c r="AT287" s="137">
        <f t="shared" si="301"/>
        <v>0</v>
      </c>
      <c r="AU287" s="137">
        <f t="shared" si="301"/>
        <v>0</v>
      </c>
      <c r="AV287" s="137">
        <f t="shared" si="301"/>
        <v>0</v>
      </c>
      <c r="AW287" s="137">
        <f t="shared" si="301"/>
        <v>0</v>
      </c>
      <c r="AX287" s="137">
        <f t="shared" si="301"/>
        <v>0</v>
      </c>
      <c r="AY287" s="137">
        <f t="shared" si="301"/>
        <v>0</v>
      </c>
      <c r="AZ287" s="137">
        <f t="shared" si="301"/>
        <v>0</v>
      </c>
      <c r="BA287" s="137">
        <f t="shared" si="301"/>
        <v>0</v>
      </c>
      <c r="BB287" s="137">
        <f t="shared" si="301"/>
        <v>0</v>
      </c>
      <c r="BC287" s="137">
        <f t="shared" si="301"/>
        <v>0</v>
      </c>
      <c r="BD287" s="137">
        <f t="shared" si="301"/>
        <v>0</v>
      </c>
      <c r="BE287" s="137">
        <f t="shared" si="301"/>
        <v>0</v>
      </c>
      <c r="BF287" s="137">
        <f t="shared" si="301"/>
        <v>0</v>
      </c>
      <c r="BG287" s="137">
        <f t="shared" si="301"/>
        <v>0</v>
      </c>
      <c r="BH287" s="137">
        <f t="shared" si="301"/>
        <v>0</v>
      </c>
      <c r="BI287" s="137">
        <f t="shared" si="301"/>
        <v>0</v>
      </c>
      <c r="BJ287" s="137">
        <f t="shared" si="301"/>
        <v>0</v>
      </c>
      <c r="BK287" s="137">
        <f t="shared" si="301"/>
        <v>0</v>
      </c>
      <c r="BL287" s="137">
        <f t="shared" si="301"/>
        <v>0</v>
      </c>
      <c r="BM287" s="137">
        <f t="shared" si="301"/>
        <v>0</v>
      </c>
      <c r="BN287" s="137">
        <f t="shared" si="301"/>
        <v>0</v>
      </c>
      <c r="BO287" s="137">
        <f t="shared" si="301"/>
        <v>0</v>
      </c>
      <c r="BP287" s="137">
        <f t="shared" si="301"/>
        <v>0</v>
      </c>
      <c r="BQ287" s="137">
        <f t="shared" si="301"/>
        <v>0</v>
      </c>
      <c r="BR287" s="137">
        <f t="shared" si="301"/>
        <v>0</v>
      </c>
      <c r="BS287" s="137">
        <f t="shared" si="301"/>
        <v>0</v>
      </c>
      <c r="BT287" s="137">
        <f t="shared" si="301"/>
        <v>0</v>
      </c>
      <c r="BU287" s="137">
        <f t="shared" si="301"/>
        <v>0</v>
      </c>
      <c r="BV287" s="137">
        <f t="shared" si="301"/>
        <v>0</v>
      </c>
      <c r="BW287" s="137">
        <f t="shared" si="301"/>
        <v>0</v>
      </c>
      <c r="BX287" s="137">
        <f t="shared" si="301"/>
        <v>0</v>
      </c>
      <c r="BY287" s="137">
        <f t="shared" si="301"/>
        <v>0</v>
      </c>
      <c r="BZ287" s="137">
        <f t="shared" si="301"/>
        <v>0</v>
      </c>
      <c r="CA287" s="137">
        <f t="shared" si="301"/>
        <v>0</v>
      </c>
      <c r="CB287" s="137">
        <f t="shared" si="301"/>
        <v>0</v>
      </c>
      <c r="CC287" s="137">
        <f t="shared" si="301"/>
        <v>0</v>
      </c>
      <c r="CD287" s="137">
        <f t="shared" si="301"/>
        <v>0</v>
      </c>
      <c r="CE287" s="137">
        <f t="shared" si="301"/>
        <v>0</v>
      </c>
      <c r="CF287" s="137">
        <f t="shared" si="301"/>
        <v>0</v>
      </c>
      <c r="CG287" s="137">
        <f t="shared" si="301"/>
        <v>0</v>
      </c>
      <c r="CH287" s="137">
        <f t="shared" si="301"/>
        <v>0</v>
      </c>
      <c r="CI287" s="137">
        <f t="shared" si="301"/>
        <v>0</v>
      </c>
    </row>
    <row r="288" ht="15.75" customHeight="1">
      <c r="A288" s="1" t="s">
        <v>824</v>
      </c>
      <c r="B288" s="1">
        <v>2022.0</v>
      </c>
      <c r="C288" s="252">
        <v>1.0</v>
      </c>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row>
    <row r="289" ht="15.75" customHeight="1">
      <c r="B289" s="1">
        <v>2023.0</v>
      </c>
      <c r="C289" s="252">
        <v>1.0</v>
      </c>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row>
    <row r="290" ht="15.75" customHeight="1">
      <c r="B290" s="1">
        <v>2024.0</v>
      </c>
      <c r="C290" s="252">
        <v>1.0</v>
      </c>
    </row>
    <row r="291" ht="15.75" customHeight="1">
      <c r="B291" s="1">
        <v>2025.0</v>
      </c>
      <c r="C291" s="252">
        <v>1.0</v>
      </c>
    </row>
    <row r="292" ht="15.75" customHeight="1">
      <c r="B292" s="1">
        <v>2026.0</v>
      </c>
      <c r="C292" s="252">
        <v>1.0</v>
      </c>
    </row>
    <row r="293" ht="15.75" customHeight="1">
      <c r="B293" s="1">
        <v>2027.0</v>
      </c>
      <c r="C293" s="252">
        <v>1.0</v>
      </c>
    </row>
  </sheetData>
  <mergeCells count="1">
    <mergeCell ref="C265:C267"/>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outlineLevelRow="1"/>
  <cols>
    <col customWidth="1" min="1" max="1" width="23.0"/>
    <col customWidth="1" min="2" max="2" width="19.71"/>
    <col customWidth="1" min="3" max="3" width="43.57"/>
    <col customWidth="1" min="4" max="7" width="12.71" outlineLevel="1"/>
    <col customWidth="1" min="8" max="15" width="14.29" outlineLevel="1"/>
    <col customWidth="1" min="16" max="27" width="14.29"/>
    <col customWidth="1" min="28" max="29" width="11.57"/>
  </cols>
  <sheetData>
    <row r="1">
      <c r="A1" s="1"/>
      <c r="B1" s="1"/>
      <c r="C1" s="1"/>
      <c r="D1" s="1"/>
      <c r="E1" s="1"/>
      <c r="F1" s="1"/>
      <c r="G1" s="1"/>
      <c r="H1" s="1"/>
      <c r="I1" s="1"/>
      <c r="J1" s="1"/>
      <c r="K1" s="1"/>
      <c r="L1" s="1"/>
      <c r="M1" s="1"/>
      <c r="N1" s="1"/>
      <c r="O1" s="1"/>
      <c r="P1" s="1"/>
      <c r="Q1" s="1"/>
      <c r="R1" s="1"/>
      <c r="S1" s="1"/>
      <c r="T1" s="117"/>
      <c r="U1" s="1"/>
      <c r="V1" s="1"/>
      <c r="W1" s="1"/>
      <c r="X1" s="1"/>
      <c r="Y1" s="1"/>
      <c r="Z1" s="1"/>
      <c r="AA1" s="1"/>
      <c r="AB1" s="1"/>
      <c r="AC1" s="1"/>
    </row>
    <row r="2">
      <c r="A2" s="1"/>
      <c r="B2" s="1"/>
      <c r="C2" s="1"/>
      <c r="D2" s="1"/>
      <c r="E2" s="1"/>
      <c r="F2" s="1"/>
      <c r="G2" s="1"/>
      <c r="H2" s="1"/>
      <c r="I2" s="1"/>
      <c r="J2" s="1"/>
      <c r="K2" s="1"/>
      <c r="L2" s="1"/>
      <c r="M2" s="1"/>
      <c r="N2" s="1"/>
      <c r="O2" s="1"/>
      <c r="P2" s="1"/>
      <c r="Q2" s="1"/>
      <c r="R2" s="1"/>
      <c r="S2" s="1"/>
      <c r="T2" s="117"/>
      <c r="U2" s="1"/>
      <c r="V2" s="1"/>
      <c r="W2" s="1"/>
      <c r="X2" s="1"/>
      <c r="Y2" s="1"/>
      <c r="Z2" s="1"/>
      <c r="AA2" s="1"/>
      <c r="AB2" s="1"/>
      <c r="AC2" s="1"/>
    </row>
    <row r="3">
      <c r="A3" s="1"/>
      <c r="B3" s="1"/>
      <c r="C3" s="1"/>
      <c r="D3" s="1"/>
      <c r="E3" s="1"/>
      <c r="F3" s="1"/>
      <c r="G3" s="1"/>
      <c r="H3" s="1"/>
      <c r="I3" s="1"/>
      <c r="J3" s="1"/>
      <c r="K3" s="1"/>
      <c r="L3" s="1"/>
      <c r="M3" s="1"/>
      <c r="N3" s="1"/>
      <c r="O3" s="1"/>
      <c r="P3" s="1"/>
      <c r="Q3" s="1"/>
      <c r="R3" s="1"/>
      <c r="S3" s="1"/>
      <c r="T3" s="117"/>
      <c r="U3" s="1"/>
      <c r="V3" s="1"/>
      <c r="W3" s="1"/>
      <c r="X3" s="1"/>
      <c r="Y3" s="1"/>
      <c r="Z3" s="1"/>
      <c r="AA3" s="1"/>
      <c r="AB3" s="1"/>
      <c r="AC3" s="1"/>
    </row>
    <row r="4">
      <c r="A4" s="91"/>
      <c r="B4" s="91"/>
      <c r="C4" s="91"/>
      <c r="D4" s="241">
        <v>44197.0</v>
      </c>
      <c r="E4" s="241">
        <v>44228.0</v>
      </c>
      <c r="F4" s="241">
        <v>44256.0</v>
      </c>
      <c r="G4" s="241">
        <v>44287.0</v>
      </c>
      <c r="H4" s="241">
        <v>44317.0</v>
      </c>
      <c r="I4" s="241">
        <v>44348.0</v>
      </c>
      <c r="J4" s="241">
        <v>44378.0</v>
      </c>
      <c r="K4" s="241">
        <v>44409.0</v>
      </c>
      <c r="L4" s="241">
        <v>44440.0</v>
      </c>
      <c r="M4" s="241">
        <v>44470.0</v>
      </c>
      <c r="N4" s="241">
        <v>44501.0</v>
      </c>
      <c r="O4" s="241">
        <v>44531.0</v>
      </c>
      <c r="P4" s="92">
        <v>44562.0</v>
      </c>
      <c r="Q4" s="93">
        <v>44593.0</v>
      </c>
      <c r="R4" s="93">
        <v>44621.0</v>
      </c>
      <c r="S4" s="93">
        <v>44652.0</v>
      </c>
      <c r="T4" s="93">
        <v>44682.0</v>
      </c>
      <c r="U4" s="93">
        <v>44713.0</v>
      </c>
      <c r="V4" s="93">
        <v>44743.0</v>
      </c>
      <c r="W4" s="93">
        <v>44774.0</v>
      </c>
      <c r="X4" s="95">
        <v>44805.0</v>
      </c>
      <c r="Y4" s="95">
        <v>44835.0</v>
      </c>
      <c r="Z4" s="95">
        <v>44866.0</v>
      </c>
      <c r="AA4" s="95">
        <v>44896.0</v>
      </c>
      <c r="AB4" s="150">
        <v>44927.0</v>
      </c>
      <c r="AC4" s="97">
        <v>44958.0</v>
      </c>
      <c r="AD4" s="97">
        <v>44986.0</v>
      </c>
      <c r="AE4" s="97">
        <v>45017.0</v>
      </c>
      <c r="AF4" s="98">
        <v>45047.0</v>
      </c>
      <c r="AG4" s="98">
        <v>45078.0</v>
      </c>
      <c r="AH4" s="98">
        <v>45108.0</v>
      </c>
      <c r="AI4" s="98">
        <v>45139.0</v>
      </c>
      <c r="AJ4" s="98">
        <v>45170.0</v>
      </c>
      <c r="AK4" s="98">
        <v>45200.0</v>
      </c>
      <c r="AL4" s="98">
        <v>45231.0</v>
      </c>
      <c r="AM4" s="99">
        <v>45261.0</v>
      </c>
      <c r="AN4" s="100">
        <v>45292.0</v>
      </c>
      <c r="AO4" s="98">
        <v>45323.0</v>
      </c>
      <c r="AP4" s="98">
        <v>45352.0</v>
      </c>
      <c r="AQ4" s="98">
        <v>45383.0</v>
      </c>
      <c r="AR4" s="98">
        <v>45413.0</v>
      </c>
      <c r="AS4" s="98">
        <v>45444.0</v>
      </c>
      <c r="AT4" s="98">
        <v>45474.0</v>
      </c>
      <c r="AU4" s="98">
        <v>45505.0</v>
      </c>
      <c r="AV4" s="98">
        <v>45536.0</v>
      </c>
      <c r="AW4" s="98">
        <v>45566.0</v>
      </c>
      <c r="AX4" s="98">
        <v>45597.0</v>
      </c>
      <c r="AY4" s="99">
        <v>45627.0</v>
      </c>
      <c r="AZ4" s="100">
        <v>45658.0</v>
      </c>
      <c r="BA4" s="98">
        <v>45689.0</v>
      </c>
      <c r="BB4" s="98">
        <v>45717.0</v>
      </c>
      <c r="BC4" s="98">
        <v>45748.0</v>
      </c>
      <c r="BD4" s="98">
        <v>45778.0</v>
      </c>
      <c r="BE4" s="98">
        <v>45809.0</v>
      </c>
      <c r="BF4" s="98">
        <v>45839.0</v>
      </c>
      <c r="BG4" s="98">
        <v>45870.0</v>
      </c>
      <c r="BH4" s="98">
        <v>45901.0</v>
      </c>
      <c r="BI4" s="98">
        <v>45931.0</v>
      </c>
      <c r="BJ4" s="98">
        <v>45962.0</v>
      </c>
      <c r="BK4" s="99">
        <v>45992.0</v>
      </c>
      <c r="BL4" s="100">
        <v>46023.0</v>
      </c>
      <c r="BM4" s="98">
        <v>46054.0</v>
      </c>
      <c r="BN4" s="98">
        <v>46082.0</v>
      </c>
      <c r="BO4" s="98">
        <v>46113.0</v>
      </c>
      <c r="BP4" s="98">
        <v>46143.0</v>
      </c>
      <c r="BQ4" s="98">
        <v>46174.0</v>
      </c>
      <c r="BR4" s="98">
        <v>46204.0</v>
      </c>
      <c r="BS4" s="98">
        <v>46235.0</v>
      </c>
      <c r="BT4" s="98">
        <v>46266.0</v>
      </c>
      <c r="BU4" s="98">
        <v>46296.0</v>
      </c>
      <c r="BV4" s="98">
        <v>46327.0</v>
      </c>
      <c r="BW4" s="99">
        <v>46357.0</v>
      </c>
      <c r="BX4" s="100">
        <v>46388.0</v>
      </c>
      <c r="BY4" s="98">
        <v>46419.0</v>
      </c>
      <c r="BZ4" s="98">
        <v>46447.0</v>
      </c>
      <c r="CA4" s="98">
        <v>46478.0</v>
      </c>
      <c r="CB4" s="98">
        <v>46508.0</v>
      </c>
      <c r="CC4" s="98">
        <v>46539.0</v>
      </c>
      <c r="CD4" s="98">
        <v>46569.0</v>
      </c>
      <c r="CE4" s="98">
        <v>46600.0</v>
      </c>
      <c r="CF4" s="98">
        <v>46631.0</v>
      </c>
      <c r="CG4" s="98">
        <v>46661.0</v>
      </c>
      <c r="CH4" s="98">
        <v>46692.0</v>
      </c>
      <c r="CI4" s="99">
        <v>46722.0</v>
      </c>
    </row>
    <row r="5">
      <c r="A5" s="1" t="s">
        <v>164</v>
      </c>
      <c r="B5" s="1" t="s">
        <v>165</v>
      </c>
      <c r="C5" s="1"/>
      <c r="D5" s="1"/>
      <c r="E5" s="1"/>
      <c r="F5" s="1"/>
      <c r="G5" s="1"/>
      <c r="H5" s="1"/>
      <c r="I5" s="1"/>
      <c r="J5" s="1"/>
      <c r="K5" s="1"/>
      <c r="L5" s="1"/>
      <c r="M5" s="1"/>
      <c r="N5" s="1"/>
      <c r="O5" s="1"/>
      <c r="P5" s="1"/>
      <c r="Q5" s="1"/>
      <c r="R5" s="1"/>
      <c r="S5" s="1"/>
      <c r="T5" s="117"/>
      <c r="U5" s="1"/>
      <c r="V5" s="1"/>
      <c r="W5" s="1"/>
      <c r="X5" s="1"/>
      <c r="Y5" s="1"/>
      <c r="Z5" s="1"/>
      <c r="AA5" s="1"/>
      <c r="AB5" s="1"/>
      <c r="AC5" s="1"/>
    </row>
    <row r="6">
      <c r="A6" s="1"/>
      <c r="B6" s="91"/>
      <c r="C6" s="115" t="s">
        <v>825</v>
      </c>
      <c r="D6" s="1"/>
      <c r="E6" s="1"/>
      <c r="F6" s="1"/>
      <c r="G6" s="1"/>
      <c r="H6" s="1"/>
      <c r="I6" s="1"/>
      <c r="J6" s="1"/>
      <c r="K6" s="1"/>
      <c r="L6" s="1"/>
      <c r="M6" s="1"/>
      <c r="N6" s="1"/>
      <c r="O6" s="1"/>
      <c r="P6" s="1"/>
      <c r="Q6" s="1"/>
      <c r="R6" s="1"/>
      <c r="S6" s="1"/>
      <c r="T6" s="117"/>
      <c r="U6" s="1"/>
      <c r="V6" s="1"/>
      <c r="W6" s="1"/>
      <c r="X6" s="1"/>
      <c r="Y6" s="1"/>
      <c r="Z6" s="1"/>
      <c r="AA6" s="1"/>
      <c r="AB6" s="1"/>
      <c r="AC6" s="1"/>
    </row>
    <row r="7" outlineLevel="1">
      <c r="A7" s="1" t="s">
        <v>119</v>
      </c>
      <c r="B7" s="91" t="s">
        <v>175</v>
      </c>
      <c r="C7" s="132" t="s">
        <v>222</v>
      </c>
      <c r="D7" s="247">
        <f t="shared" ref="D7:Z7" si="1">RANDBETWEEN(0,5000)</f>
        <v>4965</v>
      </c>
      <c r="E7" s="247">
        <f t="shared" si="1"/>
        <v>4149</v>
      </c>
      <c r="F7" s="247">
        <f t="shared" si="1"/>
        <v>1797</v>
      </c>
      <c r="G7" s="247">
        <f t="shared" si="1"/>
        <v>1217</v>
      </c>
      <c r="H7" s="247">
        <f t="shared" si="1"/>
        <v>210</v>
      </c>
      <c r="I7" s="247">
        <f t="shared" si="1"/>
        <v>2046</v>
      </c>
      <c r="J7" s="247">
        <f t="shared" si="1"/>
        <v>3490</v>
      </c>
      <c r="K7" s="247">
        <f t="shared" si="1"/>
        <v>1415</v>
      </c>
      <c r="L7" s="247">
        <f t="shared" si="1"/>
        <v>1915</v>
      </c>
      <c r="M7" s="247">
        <f t="shared" si="1"/>
        <v>2675</v>
      </c>
      <c r="N7" s="247">
        <f t="shared" si="1"/>
        <v>787</v>
      </c>
      <c r="O7" s="247">
        <f t="shared" si="1"/>
        <v>4156</v>
      </c>
      <c r="P7" s="247">
        <f t="shared" si="1"/>
        <v>70</v>
      </c>
      <c r="Q7" s="247">
        <f t="shared" si="1"/>
        <v>4577</v>
      </c>
      <c r="R7" s="247">
        <f t="shared" si="1"/>
        <v>762</v>
      </c>
      <c r="S7" s="247">
        <f t="shared" si="1"/>
        <v>3197</v>
      </c>
      <c r="T7" s="247">
        <f t="shared" si="1"/>
        <v>4312</v>
      </c>
      <c r="U7" s="247">
        <f t="shared" si="1"/>
        <v>1668</v>
      </c>
      <c r="V7" s="247">
        <f t="shared" si="1"/>
        <v>2715</v>
      </c>
      <c r="W7" s="247">
        <f t="shared" si="1"/>
        <v>821</v>
      </c>
      <c r="X7" s="247">
        <f t="shared" si="1"/>
        <v>3111</v>
      </c>
      <c r="Y7" s="247">
        <f t="shared" si="1"/>
        <v>1852</v>
      </c>
      <c r="Z7" s="247">
        <f t="shared" si="1"/>
        <v>1985</v>
      </c>
      <c r="AA7" s="116">
        <f>Headcount!S87</f>
        <v>31985</v>
      </c>
      <c r="AB7" s="116">
        <f>Headcount!T87</f>
        <v>33424.325</v>
      </c>
      <c r="AC7" s="116">
        <f>Headcount!U87</f>
        <v>41424.325</v>
      </c>
      <c r="AD7" s="116">
        <f>Headcount!V87</f>
        <v>49424.325</v>
      </c>
      <c r="AE7" s="116">
        <f>Headcount!W87</f>
        <v>57424.325</v>
      </c>
      <c r="AF7" s="116">
        <f>Headcount!X87</f>
        <v>60008.41963</v>
      </c>
      <c r="AG7" s="116">
        <f>Headcount!Y87</f>
        <v>60008.41963</v>
      </c>
      <c r="AH7" s="116">
        <f>Headcount!Z87</f>
        <v>60008.41963</v>
      </c>
      <c r="AI7" s="116">
        <f>Headcount!AA87</f>
        <v>60008.41963</v>
      </c>
      <c r="AJ7" s="116">
        <f>Headcount!AB87</f>
        <v>62708.79851</v>
      </c>
      <c r="AK7" s="116">
        <f>Headcount!AC87</f>
        <v>62708.79851</v>
      </c>
      <c r="AL7" s="116">
        <f>Headcount!AD87</f>
        <v>62708.79851</v>
      </c>
      <c r="AM7" s="116">
        <f>Headcount!AE87</f>
        <v>62708.79851</v>
      </c>
      <c r="AN7" s="116">
        <f>Headcount!AF87</f>
        <v>65217.15045</v>
      </c>
      <c r="AO7" s="116">
        <f>Headcount!AG87</f>
        <v>65217.15045</v>
      </c>
      <c r="AP7" s="116">
        <f>Headcount!AH87</f>
        <v>65217.15045</v>
      </c>
      <c r="AQ7" s="116">
        <f>Headcount!AI87</f>
        <v>65217.15045</v>
      </c>
      <c r="AR7" s="116">
        <f>Headcount!AJ87</f>
        <v>67825.83647</v>
      </c>
      <c r="AS7" s="116">
        <f>Headcount!AK87</f>
        <v>67825.83647</v>
      </c>
      <c r="AT7" s="116">
        <f>Headcount!AL87</f>
        <v>67825.83647</v>
      </c>
      <c r="AU7" s="116">
        <f>Headcount!AM87</f>
        <v>67825.83647</v>
      </c>
      <c r="AV7" s="116">
        <f>Headcount!AN87</f>
        <v>70538.86993</v>
      </c>
      <c r="AW7" s="116">
        <f>Headcount!AO87</f>
        <v>70538.86993</v>
      </c>
      <c r="AX7" s="116">
        <f>Headcount!AP87</f>
        <v>70538.86993</v>
      </c>
      <c r="AY7" s="116">
        <f>Headcount!AQ87</f>
        <v>70538.86993</v>
      </c>
      <c r="AZ7" s="116">
        <f>Headcount!AR87</f>
        <v>73360.42472</v>
      </c>
      <c r="BA7" s="116">
        <f>Headcount!AS87</f>
        <v>73360.42472</v>
      </c>
      <c r="BB7" s="116">
        <f>Headcount!AT87</f>
        <v>73360.42472</v>
      </c>
      <c r="BC7" s="116">
        <f>Headcount!AU87</f>
        <v>73360.42472</v>
      </c>
      <c r="BD7" s="116">
        <f>Headcount!AV87</f>
        <v>76294.84171</v>
      </c>
      <c r="BE7" s="116">
        <f>Headcount!AW87</f>
        <v>76294.84171</v>
      </c>
      <c r="BF7" s="116">
        <f>Headcount!AX87</f>
        <v>76294.84171</v>
      </c>
      <c r="BG7" s="116">
        <f>Headcount!AY87</f>
        <v>76294.84171</v>
      </c>
      <c r="BH7" s="116">
        <f>Headcount!AZ87</f>
        <v>79346.63538</v>
      </c>
      <c r="BI7" s="116">
        <f>Headcount!BA87</f>
        <v>79346.63538</v>
      </c>
      <c r="BJ7" s="116">
        <f>Headcount!BB87</f>
        <v>79346.63538</v>
      </c>
      <c r="BK7" s="116">
        <f>Headcount!BC87</f>
        <v>79346.63538</v>
      </c>
      <c r="BL7" s="116">
        <f>Headcount!BD87</f>
        <v>82520.50079</v>
      </c>
      <c r="BM7" s="116">
        <f>Headcount!BE87</f>
        <v>82520.50079</v>
      </c>
      <c r="BN7" s="116">
        <f>Headcount!BF87</f>
        <v>82520.50079</v>
      </c>
      <c r="BO7" s="116">
        <f>Headcount!BG87</f>
        <v>82520.50079</v>
      </c>
      <c r="BP7" s="116">
        <f>Headcount!BH87</f>
        <v>85821.32083</v>
      </c>
      <c r="BQ7" s="116">
        <f>Headcount!BI87</f>
        <v>85821.32083</v>
      </c>
      <c r="BR7" s="116">
        <f>Headcount!BJ87</f>
        <v>85821.32083</v>
      </c>
      <c r="BS7" s="116">
        <f>Headcount!BK87</f>
        <v>85821.32083</v>
      </c>
      <c r="BT7" s="116">
        <f>Headcount!BL87</f>
        <v>89254.17366</v>
      </c>
      <c r="BU7" s="116">
        <f>Headcount!BM87</f>
        <v>89254.17366</v>
      </c>
      <c r="BV7" s="116">
        <f>Headcount!BN87</f>
        <v>89254.17366</v>
      </c>
      <c r="BW7" s="116">
        <f>Headcount!BO87</f>
        <v>89254.17366</v>
      </c>
      <c r="BX7" s="116">
        <f>Headcount!BP87</f>
        <v>92824.34061</v>
      </c>
      <c r="BY7" s="116">
        <f>Headcount!BQ87</f>
        <v>92824.34061</v>
      </c>
      <c r="BZ7" s="116">
        <f>Headcount!BR87</f>
        <v>92824.34061</v>
      </c>
      <c r="CA7" s="116">
        <f>Headcount!BS87</f>
        <v>92824.34061</v>
      </c>
      <c r="CB7" s="116">
        <f>Headcount!BT87</f>
        <v>96537.31423</v>
      </c>
      <c r="CC7" s="116">
        <f>Headcount!BU87</f>
        <v>96537.31423</v>
      </c>
      <c r="CD7" s="116">
        <f>Headcount!BV87</f>
        <v>96537.31423</v>
      </c>
      <c r="CE7" s="116">
        <f>Headcount!BW87</f>
        <v>96537.31423</v>
      </c>
      <c r="CF7" s="116">
        <f>Headcount!BX87</f>
        <v>100398.8068</v>
      </c>
      <c r="CG7" s="116">
        <f>Headcount!BY87</f>
        <v>100398.8068</v>
      </c>
      <c r="CH7" s="116">
        <f>Headcount!BZ87</f>
        <v>100398.8068</v>
      </c>
      <c r="CI7" s="116">
        <f>Headcount!CA87</f>
        <v>100398.8068</v>
      </c>
    </row>
    <row r="8" outlineLevel="1">
      <c r="A8" s="1" t="s">
        <v>119</v>
      </c>
      <c r="B8" s="91" t="s">
        <v>175</v>
      </c>
      <c r="C8" s="132" t="s">
        <v>225</v>
      </c>
      <c r="D8" s="247">
        <f t="shared" ref="D8:Z8" si="2">RANDBETWEEN(0,5000)</f>
        <v>72</v>
      </c>
      <c r="E8" s="247">
        <f t="shared" si="2"/>
        <v>1708</v>
      </c>
      <c r="F8" s="247">
        <f t="shared" si="2"/>
        <v>3499</v>
      </c>
      <c r="G8" s="247">
        <f t="shared" si="2"/>
        <v>4184</v>
      </c>
      <c r="H8" s="247">
        <f t="shared" si="2"/>
        <v>2331</v>
      </c>
      <c r="I8" s="247">
        <f t="shared" si="2"/>
        <v>3823</v>
      </c>
      <c r="J8" s="247">
        <f t="shared" si="2"/>
        <v>2667</v>
      </c>
      <c r="K8" s="247">
        <f t="shared" si="2"/>
        <v>690</v>
      </c>
      <c r="L8" s="247">
        <f t="shared" si="2"/>
        <v>770</v>
      </c>
      <c r="M8" s="247">
        <f t="shared" si="2"/>
        <v>3158</v>
      </c>
      <c r="N8" s="247">
        <f t="shared" si="2"/>
        <v>86</v>
      </c>
      <c r="O8" s="247">
        <f t="shared" si="2"/>
        <v>360</v>
      </c>
      <c r="P8" s="247">
        <f t="shared" si="2"/>
        <v>2786</v>
      </c>
      <c r="Q8" s="247">
        <f t="shared" si="2"/>
        <v>387</v>
      </c>
      <c r="R8" s="247">
        <f t="shared" si="2"/>
        <v>1081</v>
      </c>
      <c r="S8" s="247">
        <f t="shared" si="2"/>
        <v>102</v>
      </c>
      <c r="T8" s="247">
        <f t="shared" si="2"/>
        <v>4822</v>
      </c>
      <c r="U8" s="247">
        <f t="shared" si="2"/>
        <v>3705</v>
      </c>
      <c r="V8" s="247">
        <f t="shared" si="2"/>
        <v>3128</v>
      </c>
      <c r="W8" s="247">
        <f t="shared" si="2"/>
        <v>3428</v>
      </c>
      <c r="X8" s="247">
        <f t="shared" si="2"/>
        <v>4057</v>
      </c>
      <c r="Y8" s="247">
        <f t="shared" si="2"/>
        <v>1991</v>
      </c>
      <c r="Z8" s="247">
        <f t="shared" si="2"/>
        <v>2559</v>
      </c>
      <c r="AA8" s="117">
        <f t="shared" ref="AA8:CI8" si="3">AVERAGE(X8:Z8)/AVERAGE(X$7:Z$7)*AA$7</f>
        <v>39622.17832</v>
      </c>
      <c r="AB8" s="117">
        <f t="shared" si="3"/>
        <v>41215.60059</v>
      </c>
      <c r="AC8" s="117">
        <f t="shared" si="3"/>
        <v>51260.32902</v>
      </c>
      <c r="AD8" s="117">
        <f t="shared" si="3"/>
        <v>61112.39126</v>
      </c>
      <c r="AE8" s="117">
        <f t="shared" si="3"/>
        <v>70970.42341</v>
      </c>
      <c r="AF8" s="117">
        <f t="shared" si="3"/>
        <v>74201.87193</v>
      </c>
      <c r="AG8" s="117">
        <f t="shared" si="3"/>
        <v>74188.15435</v>
      </c>
      <c r="AH8" s="117">
        <f t="shared" si="3"/>
        <v>74185.00645</v>
      </c>
      <c r="AI8" s="117">
        <f t="shared" si="3"/>
        <v>74191.67758</v>
      </c>
      <c r="AJ8" s="117">
        <f t="shared" si="3"/>
        <v>77526.75203</v>
      </c>
      <c r="AK8" s="117">
        <f t="shared" si="3"/>
        <v>77526.79497</v>
      </c>
      <c r="AL8" s="117">
        <f t="shared" si="3"/>
        <v>77527.91575</v>
      </c>
      <c r="AM8" s="117">
        <f t="shared" si="3"/>
        <v>77527.15425</v>
      </c>
      <c r="AN8" s="117">
        <f t="shared" si="3"/>
        <v>80628.37986</v>
      </c>
      <c r="AO8" s="117">
        <f t="shared" si="3"/>
        <v>80628.54864</v>
      </c>
      <c r="AP8" s="117">
        <f t="shared" si="3"/>
        <v>80628.39158</v>
      </c>
      <c r="AQ8" s="117">
        <f t="shared" si="3"/>
        <v>80628.44002</v>
      </c>
      <c r="AR8" s="117">
        <f t="shared" si="3"/>
        <v>83853.59848</v>
      </c>
      <c r="AS8" s="117">
        <f t="shared" si="3"/>
        <v>83853.56819</v>
      </c>
      <c r="AT8" s="117">
        <f t="shared" si="3"/>
        <v>83853.58148</v>
      </c>
      <c r="AU8" s="117">
        <f t="shared" si="3"/>
        <v>83853.58272</v>
      </c>
      <c r="AV8" s="117">
        <f t="shared" si="3"/>
        <v>87207.72056</v>
      </c>
      <c r="AW8" s="117">
        <f t="shared" si="3"/>
        <v>87207.72373</v>
      </c>
      <c r="AX8" s="117">
        <f t="shared" si="3"/>
        <v>87207.72341</v>
      </c>
      <c r="AY8" s="117">
        <f t="shared" si="3"/>
        <v>87207.72257</v>
      </c>
      <c r="AZ8" s="117">
        <f t="shared" si="3"/>
        <v>90696.03216</v>
      </c>
      <c r="BA8" s="117">
        <f t="shared" si="3"/>
        <v>90696.03199</v>
      </c>
      <c r="BB8" s="117">
        <f t="shared" si="3"/>
        <v>90696.03188</v>
      </c>
      <c r="BC8" s="117">
        <f t="shared" si="3"/>
        <v>90696.03201</v>
      </c>
      <c r="BD8" s="117">
        <f t="shared" si="3"/>
        <v>94323.87324</v>
      </c>
      <c r="BE8" s="117">
        <f t="shared" si="3"/>
        <v>94323.87323</v>
      </c>
      <c r="BF8" s="117">
        <f t="shared" si="3"/>
        <v>94323.87325</v>
      </c>
      <c r="BG8" s="117">
        <f t="shared" si="3"/>
        <v>94323.87324</v>
      </c>
      <c r="BH8" s="117">
        <f t="shared" si="3"/>
        <v>98096.82817</v>
      </c>
      <c r="BI8" s="117">
        <f t="shared" si="3"/>
        <v>98096.82818</v>
      </c>
      <c r="BJ8" s="117">
        <f t="shared" si="3"/>
        <v>98096.82817</v>
      </c>
      <c r="BK8" s="117">
        <f t="shared" si="3"/>
        <v>98096.82817</v>
      </c>
      <c r="BL8" s="117">
        <f t="shared" si="3"/>
        <v>102020.7013</v>
      </c>
      <c r="BM8" s="117">
        <f t="shared" si="3"/>
        <v>102020.7013</v>
      </c>
      <c r="BN8" s="117">
        <f t="shared" si="3"/>
        <v>102020.7013</v>
      </c>
      <c r="BO8" s="117">
        <f t="shared" si="3"/>
        <v>102020.7013</v>
      </c>
      <c r="BP8" s="117">
        <f t="shared" si="3"/>
        <v>106101.5294</v>
      </c>
      <c r="BQ8" s="117">
        <f t="shared" si="3"/>
        <v>106101.5294</v>
      </c>
      <c r="BR8" s="117">
        <f t="shared" si="3"/>
        <v>106101.5294</v>
      </c>
      <c r="BS8" s="117">
        <f t="shared" si="3"/>
        <v>106101.5294</v>
      </c>
      <c r="BT8" s="117">
        <f t="shared" si="3"/>
        <v>110345.5905</v>
      </c>
      <c r="BU8" s="117">
        <f t="shared" si="3"/>
        <v>110345.5905</v>
      </c>
      <c r="BV8" s="117">
        <f t="shared" si="3"/>
        <v>110345.5905</v>
      </c>
      <c r="BW8" s="117">
        <f t="shared" si="3"/>
        <v>110345.5905</v>
      </c>
      <c r="BX8" s="117">
        <f t="shared" si="3"/>
        <v>114759.4141</v>
      </c>
      <c r="BY8" s="117">
        <f t="shared" si="3"/>
        <v>114759.4141</v>
      </c>
      <c r="BZ8" s="117">
        <f t="shared" si="3"/>
        <v>114759.4141</v>
      </c>
      <c r="CA8" s="117">
        <f t="shared" si="3"/>
        <v>114759.4141</v>
      </c>
      <c r="CB8" s="117">
        <f t="shared" si="3"/>
        <v>119349.7907</v>
      </c>
      <c r="CC8" s="117">
        <f t="shared" si="3"/>
        <v>119349.7907</v>
      </c>
      <c r="CD8" s="117">
        <f t="shared" si="3"/>
        <v>119349.7907</v>
      </c>
      <c r="CE8" s="117">
        <f t="shared" si="3"/>
        <v>119349.7907</v>
      </c>
      <c r="CF8" s="117">
        <f t="shared" si="3"/>
        <v>124123.7823</v>
      </c>
      <c r="CG8" s="117">
        <f t="shared" si="3"/>
        <v>124123.7823</v>
      </c>
      <c r="CH8" s="117">
        <f t="shared" si="3"/>
        <v>124123.7823</v>
      </c>
      <c r="CI8" s="117">
        <f t="shared" si="3"/>
        <v>124123.7823</v>
      </c>
    </row>
    <row r="9" outlineLevel="1">
      <c r="A9" s="1" t="s">
        <v>119</v>
      </c>
      <c r="B9" s="91" t="s">
        <v>175</v>
      </c>
      <c r="C9" s="132" t="s">
        <v>226</v>
      </c>
      <c r="D9" s="247">
        <f t="shared" ref="D9:Z9" si="4">RANDBETWEEN(0,5000)</f>
        <v>277</v>
      </c>
      <c r="E9" s="247">
        <f t="shared" si="4"/>
        <v>215</v>
      </c>
      <c r="F9" s="247">
        <f t="shared" si="4"/>
        <v>1267</v>
      </c>
      <c r="G9" s="247">
        <f t="shared" si="4"/>
        <v>3141</v>
      </c>
      <c r="H9" s="247">
        <f t="shared" si="4"/>
        <v>2347</v>
      </c>
      <c r="I9" s="247">
        <f t="shared" si="4"/>
        <v>2643</v>
      </c>
      <c r="J9" s="247">
        <f t="shared" si="4"/>
        <v>148</v>
      </c>
      <c r="K9" s="247">
        <f t="shared" si="4"/>
        <v>2345</v>
      </c>
      <c r="L9" s="247">
        <f t="shared" si="4"/>
        <v>3856</v>
      </c>
      <c r="M9" s="247">
        <f t="shared" si="4"/>
        <v>2597</v>
      </c>
      <c r="N9" s="247">
        <f t="shared" si="4"/>
        <v>2647</v>
      </c>
      <c r="O9" s="247">
        <f t="shared" si="4"/>
        <v>4942</v>
      </c>
      <c r="P9" s="247">
        <f t="shared" si="4"/>
        <v>3701</v>
      </c>
      <c r="Q9" s="247">
        <f t="shared" si="4"/>
        <v>333</v>
      </c>
      <c r="R9" s="247">
        <f t="shared" si="4"/>
        <v>2437</v>
      </c>
      <c r="S9" s="247">
        <f t="shared" si="4"/>
        <v>3376</v>
      </c>
      <c r="T9" s="247">
        <f t="shared" si="4"/>
        <v>2894</v>
      </c>
      <c r="U9" s="247">
        <f t="shared" si="4"/>
        <v>1125</v>
      </c>
      <c r="V9" s="247">
        <f t="shared" si="4"/>
        <v>2404</v>
      </c>
      <c r="W9" s="247">
        <f t="shared" si="4"/>
        <v>1246</v>
      </c>
      <c r="X9" s="247">
        <f t="shared" si="4"/>
        <v>981</v>
      </c>
      <c r="Y9" s="247">
        <f t="shared" si="4"/>
        <v>544</v>
      </c>
      <c r="Z9" s="247">
        <f t="shared" si="4"/>
        <v>2081</v>
      </c>
      <c r="AA9" s="117">
        <f t="shared" ref="AA9:CI9" si="5">AVERAGE(X9:Z9)/AVERAGE(X$7:Z$7)*AA$7</f>
        <v>16600.15976</v>
      </c>
      <c r="AB9" s="117">
        <f t="shared" si="5"/>
        <v>17938.36156</v>
      </c>
      <c r="AC9" s="117">
        <f t="shared" si="5"/>
        <v>22508.40783</v>
      </c>
      <c r="AD9" s="117">
        <f t="shared" si="5"/>
        <v>26391.55329</v>
      </c>
      <c r="AE9" s="117">
        <f t="shared" si="5"/>
        <v>30884.79667</v>
      </c>
      <c r="AF9" s="117">
        <f t="shared" si="5"/>
        <v>32290.15419</v>
      </c>
      <c r="AG9" s="117">
        <f t="shared" si="5"/>
        <v>32211.66701</v>
      </c>
      <c r="AH9" s="117">
        <f t="shared" si="5"/>
        <v>32258.58112</v>
      </c>
      <c r="AI9" s="117">
        <f t="shared" si="5"/>
        <v>32253.46744</v>
      </c>
      <c r="AJ9" s="117">
        <f t="shared" si="5"/>
        <v>33692.09426</v>
      </c>
      <c r="AK9" s="117">
        <f t="shared" si="5"/>
        <v>33702.24277</v>
      </c>
      <c r="AL9" s="117">
        <f t="shared" si="5"/>
        <v>33699.66203</v>
      </c>
      <c r="AM9" s="117">
        <f t="shared" si="5"/>
        <v>33697.99969</v>
      </c>
      <c r="AN9" s="117">
        <f t="shared" si="5"/>
        <v>35047.96689</v>
      </c>
      <c r="AO9" s="117">
        <f t="shared" si="5"/>
        <v>35047.18873</v>
      </c>
      <c r="AP9" s="117">
        <f t="shared" si="5"/>
        <v>35047.03946</v>
      </c>
      <c r="AQ9" s="117">
        <f t="shared" si="5"/>
        <v>35047.39836</v>
      </c>
      <c r="AR9" s="117">
        <f t="shared" si="5"/>
        <v>36449.0972</v>
      </c>
      <c r="AS9" s="117">
        <f t="shared" si="5"/>
        <v>36449.10409</v>
      </c>
      <c r="AT9" s="117">
        <f t="shared" si="5"/>
        <v>36449.16352</v>
      </c>
      <c r="AU9" s="117">
        <f t="shared" si="5"/>
        <v>36449.1216</v>
      </c>
      <c r="AV9" s="117">
        <f t="shared" si="5"/>
        <v>37907.09492</v>
      </c>
      <c r="AW9" s="117">
        <f t="shared" si="5"/>
        <v>37907.1037</v>
      </c>
      <c r="AX9" s="117">
        <f t="shared" si="5"/>
        <v>37907.09514</v>
      </c>
      <c r="AY9" s="117">
        <f t="shared" si="5"/>
        <v>37907.09792</v>
      </c>
      <c r="AZ9" s="117">
        <f t="shared" si="5"/>
        <v>39423.38288</v>
      </c>
      <c r="BA9" s="117">
        <f t="shared" si="5"/>
        <v>39423.38124</v>
      </c>
      <c r="BB9" s="117">
        <f t="shared" si="5"/>
        <v>39423.38199</v>
      </c>
      <c r="BC9" s="117">
        <f t="shared" si="5"/>
        <v>39423.38204</v>
      </c>
      <c r="BD9" s="117">
        <f t="shared" si="5"/>
        <v>41000.31703</v>
      </c>
      <c r="BE9" s="117">
        <f t="shared" si="5"/>
        <v>41000.3172</v>
      </c>
      <c r="BF9" s="117">
        <f t="shared" si="5"/>
        <v>41000.31718</v>
      </c>
      <c r="BG9" s="117">
        <f t="shared" si="5"/>
        <v>41000.31714</v>
      </c>
      <c r="BH9" s="117">
        <f t="shared" si="5"/>
        <v>42640.32986</v>
      </c>
      <c r="BI9" s="117">
        <f t="shared" si="5"/>
        <v>42640.32985</v>
      </c>
      <c r="BJ9" s="117">
        <f t="shared" si="5"/>
        <v>42640.32984</v>
      </c>
      <c r="BK9" s="117">
        <f t="shared" si="5"/>
        <v>42640.32985</v>
      </c>
      <c r="BL9" s="117">
        <f t="shared" si="5"/>
        <v>44345.94304</v>
      </c>
      <c r="BM9" s="117">
        <f t="shared" si="5"/>
        <v>44345.94304</v>
      </c>
      <c r="BN9" s="117">
        <f t="shared" si="5"/>
        <v>44345.94304</v>
      </c>
      <c r="BO9" s="117">
        <f t="shared" si="5"/>
        <v>44345.94304</v>
      </c>
      <c r="BP9" s="117">
        <f t="shared" si="5"/>
        <v>46119.78076</v>
      </c>
      <c r="BQ9" s="117">
        <f t="shared" si="5"/>
        <v>46119.78076</v>
      </c>
      <c r="BR9" s="117">
        <f t="shared" si="5"/>
        <v>46119.78076</v>
      </c>
      <c r="BS9" s="117">
        <f t="shared" si="5"/>
        <v>46119.78076</v>
      </c>
      <c r="BT9" s="117">
        <f t="shared" si="5"/>
        <v>47964.57199</v>
      </c>
      <c r="BU9" s="117">
        <f t="shared" si="5"/>
        <v>47964.57199</v>
      </c>
      <c r="BV9" s="117">
        <f t="shared" si="5"/>
        <v>47964.57199</v>
      </c>
      <c r="BW9" s="117">
        <f t="shared" si="5"/>
        <v>47964.57199</v>
      </c>
      <c r="BX9" s="117">
        <f t="shared" si="5"/>
        <v>49883.15487</v>
      </c>
      <c r="BY9" s="117">
        <f t="shared" si="5"/>
        <v>49883.15487</v>
      </c>
      <c r="BZ9" s="117">
        <f t="shared" si="5"/>
        <v>49883.15487</v>
      </c>
      <c r="CA9" s="117">
        <f t="shared" si="5"/>
        <v>49883.15487</v>
      </c>
      <c r="CB9" s="117">
        <f t="shared" si="5"/>
        <v>51878.48107</v>
      </c>
      <c r="CC9" s="117">
        <f t="shared" si="5"/>
        <v>51878.48107</v>
      </c>
      <c r="CD9" s="117">
        <f t="shared" si="5"/>
        <v>51878.48107</v>
      </c>
      <c r="CE9" s="117">
        <f t="shared" si="5"/>
        <v>51878.48107</v>
      </c>
      <c r="CF9" s="117">
        <f t="shared" si="5"/>
        <v>53953.62031</v>
      </c>
      <c r="CG9" s="117">
        <f t="shared" si="5"/>
        <v>53953.62031</v>
      </c>
      <c r="CH9" s="117">
        <f t="shared" si="5"/>
        <v>53953.62031</v>
      </c>
      <c r="CI9" s="117">
        <f t="shared" si="5"/>
        <v>53953.62031</v>
      </c>
    </row>
    <row r="10" outlineLevel="1">
      <c r="A10" s="1" t="s">
        <v>119</v>
      </c>
      <c r="B10" s="91" t="s">
        <v>175</v>
      </c>
      <c r="C10" s="132" t="s">
        <v>227</v>
      </c>
      <c r="D10" s="247">
        <f t="shared" ref="D10:Z10" si="6">RANDBETWEEN(0,5000)</f>
        <v>2111</v>
      </c>
      <c r="E10" s="247">
        <f t="shared" si="6"/>
        <v>4307</v>
      </c>
      <c r="F10" s="247">
        <f t="shared" si="6"/>
        <v>2729</v>
      </c>
      <c r="G10" s="247">
        <f t="shared" si="6"/>
        <v>1746</v>
      </c>
      <c r="H10" s="247">
        <f t="shared" si="6"/>
        <v>160</v>
      </c>
      <c r="I10" s="247">
        <f t="shared" si="6"/>
        <v>2130</v>
      </c>
      <c r="J10" s="247">
        <f t="shared" si="6"/>
        <v>1045</v>
      </c>
      <c r="K10" s="247">
        <f t="shared" si="6"/>
        <v>3389</v>
      </c>
      <c r="L10" s="247">
        <f t="shared" si="6"/>
        <v>3102</v>
      </c>
      <c r="M10" s="247">
        <f t="shared" si="6"/>
        <v>3858</v>
      </c>
      <c r="N10" s="247">
        <f t="shared" si="6"/>
        <v>1756</v>
      </c>
      <c r="O10" s="247">
        <f t="shared" si="6"/>
        <v>4345</v>
      </c>
      <c r="P10" s="247">
        <f t="shared" si="6"/>
        <v>3573</v>
      </c>
      <c r="Q10" s="247">
        <f t="shared" si="6"/>
        <v>244</v>
      </c>
      <c r="R10" s="247">
        <f t="shared" si="6"/>
        <v>782</v>
      </c>
      <c r="S10" s="247">
        <f t="shared" si="6"/>
        <v>3636</v>
      </c>
      <c r="T10" s="247">
        <f t="shared" si="6"/>
        <v>2497</v>
      </c>
      <c r="U10" s="247">
        <f t="shared" si="6"/>
        <v>1555</v>
      </c>
      <c r="V10" s="247">
        <f t="shared" si="6"/>
        <v>4407</v>
      </c>
      <c r="W10" s="247">
        <f t="shared" si="6"/>
        <v>2890</v>
      </c>
      <c r="X10" s="247">
        <f t="shared" si="6"/>
        <v>39</v>
      </c>
      <c r="Y10" s="247">
        <f t="shared" si="6"/>
        <v>2584</v>
      </c>
      <c r="Z10" s="247">
        <f t="shared" si="6"/>
        <v>2895</v>
      </c>
      <c r="AA10" s="117">
        <f t="shared" ref="AA10:CI10" si="7">AVERAGE(X10:Z10)/AVERAGE(X$7:Z$7)*AA$7</f>
        <v>25402.01929</v>
      </c>
      <c r="AB10" s="117">
        <f t="shared" si="7"/>
        <v>28814.0591</v>
      </c>
      <c r="AC10" s="117">
        <f t="shared" si="7"/>
        <v>35103.66595</v>
      </c>
      <c r="AD10" s="117">
        <f t="shared" si="7"/>
        <v>41321.88756</v>
      </c>
      <c r="AE10" s="117">
        <f t="shared" si="7"/>
        <v>48629.34775</v>
      </c>
      <c r="AF10" s="117">
        <f t="shared" si="7"/>
        <v>50611.69772</v>
      </c>
      <c r="AG10" s="117">
        <f t="shared" si="7"/>
        <v>50552.00531</v>
      </c>
      <c r="AH10" s="117">
        <f t="shared" si="7"/>
        <v>50658.16766</v>
      </c>
      <c r="AI10" s="117">
        <f t="shared" si="7"/>
        <v>50607.29023</v>
      </c>
      <c r="AJ10" s="117">
        <f t="shared" si="7"/>
        <v>52883.08301</v>
      </c>
      <c r="AK10" s="117">
        <f t="shared" si="7"/>
        <v>52901.55181</v>
      </c>
      <c r="AL10" s="117">
        <f t="shared" si="7"/>
        <v>52889.82579</v>
      </c>
      <c r="AM10" s="117">
        <f t="shared" si="7"/>
        <v>52891.48687</v>
      </c>
      <c r="AN10" s="117">
        <f t="shared" si="7"/>
        <v>55010.05968</v>
      </c>
      <c r="AO10" s="117">
        <f t="shared" si="7"/>
        <v>55007.57475</v>
      </c>
      <c r="AP10" s="117">
        <f t="shared" si="7"/>
        <v>55008.27472</v>
      </c>
      <c r="AQ10" s="117">
        <f t="shared" si="7"/>
        <v>55008.63638</v>
      </c>
      <c r="AR10" s="117">
        <f t="shared" si="7"/>
        <v>57208.48843</v>
      </c>
      <c r="AS10" s="117">
        <f t="shared" si="7"/>
        <v>57208.68931</v>
      </c>
      <c r="AT10" s="117">
        <f t="shared" si="7"/>
        <v>57208.71646</v>
      </c>
      <c r="AU10" s="117">
        <f t="shared" si="7"/>
        <v>57208.6314</v>
      </c>
      <c r="AV10" s="117">
        <f t="shared" si="7"/>
        <v>59497.02622</v>
      </c>
      <c r="AW10" s="117">
        <f t="shared" si="7"/>
        <v>59497.02271</v>
      </c>
      <c r="AX10" s="117">
        <f t="shared" si="7"/>
        <v>59497.00894</v>
      </c>
      <c r="AY10" s="117">
        <f t="shared" si="7"/>
        <v>59497.01929</v>
      </c>
      <c r="AZ10" s="117">
        <f t="shared" si="7"/>
        <v>61876.89766</v>
      </c>
      <c r="BA10" s="117">
        <f t="shared" si="7"/>
        <v>61876.8957</v>
      </c>
      <c r="BB10" s="117">
        <f t="shared" si="7"/>
        <v>61876.89778</v>
      </c>
      <c r="BC10" s="117">
        <f t="shared" si="7"/>
        <v>61876.89705</v>
      </c>
      <c r="BD10" s="117">
        <f t="shared" si="7"/>
        <v>64351.97272</v>
      </c>
      <c r="BE10" s="117">
        <f t="shared" si="7"/>
        <v>64351.97311</v>
      </c>
      <c r="BF10" s="117">
        <f t="shared" si="7"/>
        <v>64351.97292</v>
      </c>
      <c r="BG10" s="117">
        <f t="shared" si="7"/>
        <v>64351.97291</v>
      </c>
      <c r="BH10" s="117">
        <f t="shared" si="7"/>
        <v>66926.0519</v>
      </c>
      <c r="BI10" s="117">
        <f t="shared" si="7"/>
        <v>66926.05185</v>
      </c>
      <c r="BJ10" s="117">
        <f t="shared" si="7"/>
        <v>66926.05186</v>
      </c>
      <c r="BK10" s="117">
        <f t="shared" si="7"/>
        <v>66926.05187</v>
      </c>
      <c r="BL10" s="117">
        <f t="shared" si="7"/>
        <v>69603.09394</v>
      </c>
      <c r="BM10" s="117">
        <f t="shared" si="7"/>
        <v>69603.09394</v>
      </c>
      <c r="BN10" s="117">
        <f t="shared" si="7"/>
        <v>69603.09394</v>
      </c>
      <c r="BO10" s="117">
        <f t="shared" si="7"/>
        <v>69603.09394</v>
      </c>
      <c r="BP10" s="117">
        <f t="shared" si="7"/>
        <v>72387.2177</v>
      </c>
      <c r="BQ10" s="117">
        <f t="shared" si="7"/>
        <v>72387.2177</v>
      </c>
      <c r="BR10" s="117">
        <f t="shared" si="7"/>
        <v>72387.2177</v>
      </c>
      <c r="BS10" s="117">
        <f t="shared" si="7"/>
        <v>72387.2177</v>
      </c>
      <c r="BT10" s="117">
        <f t="shared" si="7"/>
        <v>75282.7064</v>
      </c>
      <c r="BU10" s="117">
        <f t="shared" si="7"/>
        <v>75282.7064</v>
      </c>
      <c r="BV10" s="117">
        <f t="shared" si="7"/>
        <v>75282.7064</v>
      </c>
      <c r="BW10" s="117">
        <f t="shared" si="7"/>
        <v>75282.7064</v>
      </c>
      <c r="BX10" s="117">
        <f t="shared" si="7"/>
        <v>78294.01466</v>
      </c>
      <c r="BY10" s="117">
        <f t="shared" si="7"/>
        <v>78294.01466</v>
      </c>
      <c r="BZ10" s="117">
        <f t="shared" si="7"/>
        <v>78294.01466</v>
      </c>
      <c r="CA10" s="117">
        <f t="shared" si="7"/>
        <v>78294.01466</v>
      </c>
      <c r="CB10" s="117">
        <f t="shared" si="7"/>
        <v>81425.77525</v>
      </c>
      <c r="CC10" s="117">
        <f t="shared" si="7"/>
        <v>81425.77525</v>
      </c>
      <c r="CD10" s="117">
        <f t="shared" si="7"/>
        <v>81425.77525</v>
      </c>
      <c r="CE10" s="117">
        <f t="shared" si="7"/>
        <v>81425.77525</v>
      </c>
      <c r="CF10" s="117">
        <f t="shared" si="7"/>
        <v>84682.80626</v>
      </c>
      <c r="CG10" s="117">
        <f t="shared" si="7"/>
        <v>84682.80626</v>
      </c>
      <c r="CH10" s="117">
        <f t="shared" si="7"/>
        <v>84682.80626</v>
      </c>
      <c r="CI10" s="117">
        <f t="shared" si="7"/>
        <v>84682.80626</v>
      </c>
    </row>
    <row r="11" outlineLevel="1">
      <c r="A11" s="1" t="s">
        <v>119</v>
      </c>
      <c r="B11" s="91" t="s">
        <v>175</v>
      </c>
      <c r="C11" s="132" t="s">
        <v>228</v>
      </c>
      <c r="D11" s="247">
        <f t="shared" ref="D11:Z11" si="8">RANDBETWEEN(0,5000)</f>
        <v>1028</v>
      </c>
      <c r="E11" s="247">
        <f t="shared" si="8"/>
        <v>3111</v>
      </c>
      <c r="F11" s="247">
        <f t="shared" si="8"/>
        <v>2760</v>
      </c>
      <c r="G11" s="247">
        <f t="shared" si="8"/>
        <v>4729</v>
      </c>
      <c r="H11" s="247">
        <f t="shared" si="8"/>
        <v>4662</v>
      </c>
      <c r="I11" s="247">
        <f t="shared" si="8"/>
        <v>2651</v>
      </c>
      <c r="J11" s="247">
        <f t="shared" si="8"/>
        <v>1507</v>
      </c>
      <c r="K11" s="247">
        <f t="shared" si="8"/>
        <v>1175</v>
      </c>
      <c r="L11" s="247">
        <f t="shared" si="8"/>
        <v>2038</v>
      </c>
      <c r="M11" s="247">
        <f t="shared" si="8"/>
        <v>567</v>
      </c>
      <c r="N11" s="247">
        <f t="shared" si="8"/>
        <v>1160</v>
      </c>
      <c r="O11" s="247">
        <f t="shared" si="8"/>
        <v>2803</v>
      </c>
      <c r="P11" s="247">
        <f t="shared" si="8"/>
        <v>3617</v>
      </c>
      <c r="Q11" s="247">
        <f t="shared" si="8"/>
        <v>227</v>
      </c>
      <c r="R11" s="247">
        <f t="shared" si="8"/>
        <v>2355</v>
      </c>
      <c r="S11" s="247">
        <f t="shared" si="8"/>
        <v>997</v>
      </c>
      <c r="T11" s="247">
        <f t="shared" si="8"/>
        <v>1065</v>
      </c>
      <c r="U11" s="247">
        <f t="shared" si="8"/>
        <v>1395</v>
      </c>
      <c r="V11" s="247">
        <f t="shared" si="8"/>
        <v>1602</v>
      </c>
      <c r="W11" s="247">
        <f t="shared" si="8"/>
        <v>1356</v>
      </c>
      <c r="X11" s="247">
        <f t="shared" si="8"/>
        <v>3278</v>
      </c>
      <c r="Y11" s="247">
        <f t="shared" si="8"/>
        <v>825</v>
      </c>
      <c r="Z11" s="247">
        <f t="shared" si="8"/>
        <v>2233</v>
      </c>
      <c r="AA11" s="117">
        <f t="shared" ref="AA11:CI11" si="9">AVERAGE(X11:Z11)/AVERAGE(X$7:Z$7)*AA$7</f>
        <v>29167.66839</v>
      </c>
      <c r="AB11" s="117">
        <f t="shared" si="9"/>
        <v>30068.70677</v>
      </c>
      <c r="AC11" s="117">
        <f t="shared" si="9"/>
        <v>37782.51914</v>
      </c>
      <c r="AD11" s="117">
        <f t="shared" si="9"/>
        <v>44883.73619</v>
      </c>
      <c r="AE11" s="117">
        <f t="shared" si="9"/>
        <v>52092.81505</v>
      </c>
      <c r="AF11" s="117">
        <f t="shared" si="9"/>
        <v>54539.12855</v>
      </c>
      <c r="AG11" s="117">
        <f t="shared" si="9"/>
        <v>54491.04741</v>
      </c>
      <c r="AH11" s="117">
        <f t="shared" si="9"/>
        <v>54489.81411</v>
      </c>
      <c r="AI11" s="117">
        <f t="shared" si="9"/>
        <v>54506.66336</v>
      </c>
      <c r="AJ11" s="117">
        <f t="shared" si="9"/>
        <v>56948.1545</v>
      </c>
      <c r="AK11" s="117">
        <f t="shared" si="9"/>
        <v>56949.79981</v>
      </c>
      <c r="AL11" s="117">
        <f t="shared" si="9"/>
        <v>56952.3707</v>
      </c>
      <c r="AM11" s="117">
        <f t="shared" si="9"/>
        <v>56950.10833</v>
      </c>
      <c r="AN11" s="117">
        <f t="shared" si="9"/>
        <v>59228.79</v>
      </c>
      <c r="AO11" s="117">
        <f t="shared" si="9"/>
        <v>59229.11835</v>
      </c>
      <c r="AP11" s="117">
        <f t="shared" si="9"/>
        <v>59228.68096</v>
      </c>
      <c r="AQ11" s="117">
        <f t="shared" si="9"/>
        <v>59228.8631</v>
      </c>
      <c r="AR11" s="117">
        <f t="shared" si="9"/>
        <v>61598.04297</v>
      </c>
      <c r="AS11" s="117">
        <f t="shared" si="9"/>
        <v>61597.96398</v>
      </c>
      <c r="AT11" s="117">
        <f t="shared" si="9"/>
        <v>61598.00807</v>
      </c>
      <c r="AU11" s="117">
        <f t="shared" si="9"/>
        <v>61598.00501</v>
      </c>
      <c r="AV11" s="117">
        <f t="shared" si="9"/>
        <v>64061.91205</v>
      </c>
      <c r="AW11" s="117">
        <f t="shared" si="9"/>
        <v>64061.92175</v>
      </c>
      <c r="AX11" s="117">
        <f t="shared" si="9"/>
        <v>64061.9196</v>
      </c>
      <c r="AY11" s="117">
        <f t="shared" si="9"/>
        <v>64061.9178</v>
      </c>
      <c r="AZ11" s="117">
        <f t="shared" si="9"/>
        <v>66624.39651</v>
      </c>
      <c r="BA11" s="117">
        <f t="shared" si="9"/>
        <v>66624.39581</v>
      </c>
      <c r="BB11" s="117">
        <f t="shared" si="9"/>
        <v>66624.39562</v>
      </c>
      <c r="BC11" s="117">
        <f t="shared" si="9"/>
        <v>66624.39598</v>
      </c>
      <c r="BD11" s="117">
        <f t="shared" si="9"/>
        <v>69289.37164</v>
      </c>
      <c r="BE11" s="117">
        <f t="shared" si="9"/>
        <v>69289.37164</v>
      </c>
      <c r="BF11" s="117">
        <f t="shared" si="9"/>
        <v>69289.3717</v>
      </c>
      <c r="BG11" s="117">
        <f t="shared" si="9"/>
        <v>69289.37166</v>
      </c>
      <c r="BH11" s="117">
        <f t="shared" si="9"/>
        <v>72060.94653</v>
      </c>
      <c r="BI11" s="117">
        <f t="shared" si="9"/>
        <v>72060.94654</v>
      </c>
      <c r="BJ11" s="117">
        <f t="shared" si="9"/>
        <v>72060.94653</v>
      </c>
      <c r="BK11" s="117">
        <f t="shared" si="9"/>
        <v>72060.94653</v>
      </c>
      <c r="BL11" s="117">
        <f t="shared" si="9"/>
        <v>74943.38439</v>
      </c>
      <c r="BM11" s="117">
        <f t="shared" si="9"/>
        <v>74943.38439</v>
      </c>
      <c r="BN11" s="117">
        <f t="shared" si="9"/>
        <v>74943.38439</v>
      </c>
      <c r="BO11" s="117">
        <f t="shared" si="9"/>
        <v>74943.38439</v>
      </c>
      <c r="BP11" s="117">
        <f t="shared" si="9"/>
        <v>77941.11977</v>
      </c>
      <c r="BQ11" s="117">
        <f t="shared" si="9"/>
        <v>77941.11977</v>
      </c>
      <c r="BR11" s="117">
        <f t="shared" si="9"/>
        <v>77941.11977</v>
      </c>
      <c r="BS11" s="117">
        <f t="shared" si="9"/>
        <v>77941.11977</v>
      </c>
      <c r="BT11" s="117">
        <f t="shared" si="9"/>
        <v>81058.76456</v>
      </c>
      <c r="BU11" s="117">
        <f t="shared" si="9"/>
        <v>81058.76456</v>
      </c>
      <c r="BV11" s="117">
        <f t="shared" si="9"/>
        <v>81058.76456</v>
      </c>
      <c r="BW11" s="117">
        <f t="shared" si="9"/>
        <v>81058.76456</v>
      </c>
      <c r="BX11" s="117">
        <f t="shared" si="9"/>
        <v>84301.11514</v>
      </c>
      <c r="BY11" s="117">
        <f t="shared" si="9"/>
        <v>84301.11514</v>
      </c>
      <c r="BZ11" s="117">
        <f t="shared" si="9"/>
        <v>84301.11514</v>
      </c>
      <c r="CA11" s="117">
        <f t="shared" si="9"/>
        <v>84301.11514</v>
      </c>
      <c r="CB11" s="117">
        <f t="shared" si="9"/>
        <v>87673.15975</v>
      </c>
      <c r="CC11" s="117">
        <f t="shared" si="9"/>
        <v>87673.15975</v>
      </c>
      <c r="CD11" s="117">
        <f t="shared" si="9"/>
        <v>87673.15975</v>
      </c>
      <c r="CE11" s="117">
        <f t="shared" si="9"/>
        <v>87673.15975</v>
      </c>
      <c r="CF11" s="117">
        <f t="shared" si="9"/>
        <v>91180.08614</v>
      </c>
      <c r="CG11" s="117">
        <f t="shared" si="9"/>
        <v>91180.08614</v>
      </c>
      <c r="CH11" s="117">
        <f t="shared" si="9"/>
        <v>91180.08614</v>
      </c>
      <c r="CI11" s="117">
        <f t="shared" si="9"/>
        <v>91180.08614</v>
      </c>
    </row>
    <row r="12" outlineLevel="1">
      <c r="A12" s="1" t="s">
        <v>119</v>
      </c>
      <c r="B12" s="91" t="s">
        <v>175</v>
      </c>
      <c r="C12" s="132" t="s">
        <v>229</v>
      </c>
      <c r="D12" s="247">
        <f t="shared" ref="D12:Z12" si="10">RANDBETWEEN(0,5000)</f>
        <v>586</v>
      </c>
      <c r="E12" s="247">
        <f t="shared" si="10"/>
        <v>4867</v>
      </c>
      <c r="F12" s="247">
        <f t="shared" si="10"/>
        <v>557</v>
      </c>
      <c r="G12" s="247">
        <f t="shared" si="10"/>
        <v>696</v>
      </c>
      <c r="H12" s="247">
        <f t="shared" si="10"/>
        <v>508</v>
      </c>
      <c r="I12" s="247">
        <f t="shared" si="10"/>
        <v>2044</v>
      </c>
      <c r="J12" s="247">
        <f t="shared" si="10"/>
        <v>2966</v>
      </c>
      <c r="K12" s="247">
        <f t="shared" si="10"/>
        <v>2785</v>
      </c>
      <c r="L12" s="247">
        <f t="shared" si="10"/>
        <v>4147</v>
      </c>
      <c r="M12" s="247">
        <f t="shared" si="10"/>
        <v>1749</v>
      </c>
      <c r="N12" s="247">
        <f t="shared" si="10"/>
        <v>2360</v>
      </c>
      <c r="O12" s="247">
        <f t="shared" si="10"/>
        <v>974</v>
      </c>
      <c r="P12" s="247">
        <f t="shared" si="10"/>
        <v>544</v>
      </c>
      <c r="Q12" s="247">
        <f t="shared" si="10"/>
        <v>887</v>
      </c>
      <c r="R12" s="247">
        <f t="shared" si="10"/>
        <v>1335</v>
      </c>
      <c r="S12" s="247">
        <f t="shared" si="10"/>
        <v>1402</v>
      </c>
      <c r="T12" s="247">
        <f t="shared" si="10"/>
        <v>4274</v>
      </c>
      <c r="U12" s="247">
        <f t="shared" si="10"/>
        <v>4213</v>
      </c>
      <c r="V12" s="247">
        <f t="shared" si="10"/>
        <v>1044</v>
      </c>
      <c r="W12" s="247">
        <f t="shared" si="10"/>
        <v>2757</v>
      </c>
      <c r="X12" s="247">
        <f t="shared" si="10"/>
        <v>867</v>
      </c>
      <c r="Y12" s="247">
        <f t="shared" si="10"/>
        <v>2638</v>
      </c>
      <c r="Z12" s="247">
        <f t="shared" si="10"/>
        <v>4435</v>
      </c>
      <c r="AA12" s="117">
        <f t="shared" ref="AA12:CI12" si="11">AVERAGE(X12:Z12)/AVERAGE(X$7:Z$7)*AA$7</f>
        <v>36551.65515</v>
      </c>
      <c r="AB12" s="117">
        <f t="shared" si="11"/>
        <v>40704.7248</v>
      </c>
      <c r="AC12" s="117">
        <f t="shared" si="11"/>
        <v>50212.09535</v>
      </c>
      <c r="AD12" s="117">
        <f t="shared" si="11"/>
        <v>58970.5898</v>
      </c>
      <c r="AE12" s="117">
        <f t="shared" si="11"/>
        <v>69260.29849</v>
      </c>
      <c r="AF12" s="117">
        <f t="shared" si="11"/>
        <v>72218.6996</v>
      </c>
      <c r="AG12" s="117">
        <f t="shared" si="11"/>
        <v>72089.62144</v>
      </c>
      <c r="AH12" s="117">
        <f t="shared" si="11"/>
        <v>72226.28071</v>
      </c>
      <c r="AI12" s="117">
        <f t="shared" si="11"/>
        <v>72178.20059</v>
      </c>
      <c r="AJ12" s="117">
        <f t="shared" si="11"/>
        <v>75412.11245</v>
      </c>
      <c r="AK12" s="117">
        <f t="shared" si="11"/>
        <v>75437.87864</v>
      </c>
      <c r="AL12" s="117">
        <f t="shared" si="11"/>
        <v>75425.39169</v>
      </c>
      <c r="AM12" s="117">
        <f t="shared" si="11"/>
        <v>75425.12759</v>
      </c>
      <c r="AN12" s="117">
        <f t="shared" si="11"/>
        <v>78446.64461</v>
      </c>
      <c r="AO12" s="117">
        <f t="shared" si="11"/>
        <v>78443.7666</v>
      </c>
      <c r="AP12" s="117">
        <f t="shared" si="11"/>
        <v>78444.20791</v>
      </c>
      <c r="AQ12" s="117">
        <f t="shared" si="11"/>
        <v>78444.87304</v>
      </c>
      <c r="AR12" s="117">
        <f t="shared" si="11"/>
        <v>81582.05381</v>
      </c>
      <c r="AS12" s="117">
        <f t="shared" si="11"/>
        <v>81582.23031</v>
      </c>
      <c r="AT12" s="117">
        <f t="shared" si="11"/>
        <v>81582.31281</v>
      </c>
      <c r="AU12" s="117">
        <f t="shared" si="11"/>
        <v>81582.19898</v>
      </c>
      <c r="AV12" s="117">
        <f t="shared" si="11"/>
        <v>84845.53726</v>
      </c>
      <c r="AW12" s="117">
        <f t="shared" si="11"/>
        <v>84845.5431</v>
      </c>
      <c r="AX12" s="117">
        <f t="shared" si="11"/>
        <v>84845.52289</v>
      </c>
      <c r="AY12" s="117">
        <f t="shared" si="11"/>
        <v>84845.53442</v>
      </c>
      <c r="AZ12" s="117">
        <f t="shared" si="11"/>
        <v>88239.35481</v>
      </c>
      <c r="BA12" s="117">
        <f t="shared" si="11"/>
        <v>88239.35151</v>
      </c>
      <c r="BB12" s="117">
        <f t="shared" si="11"/>
        <v>88239.35402</v>
      </c>
      <c r="BC12" s="117">
        <f t="shared" si="11"/>
        <v>88239.35345</v>
      </c>
      <c r="BD12" s="117">
        <f t="shared" si="11"/>
        <v>91768.92711</v>
      </c>
      <c r="BE12" s="117">
        <f t="shared" si="11"/>
        <v>91768.92762</v>
      </c>
      <c r="BF12" s="117">
        <f t="shared" si="11"/>
        <v>91768.92744</v>
      </c>
      <c r="BG12" s="117">
        <f t="shared" si="11"/>
        <v>91768.92739</v>
      </c>
      <c r="BH12" s="117">
        <f t="shared" si="11"/>
        <v>95439.68458</v>
      </c>
      <c r="BI12" s="117">
        <f t="shared" si="11"/>
        <v>95439.68453</v>
      </c>
      <c r="BJ12" s="117">
        <f t="shared" si="11"/>
        <v>95439.68453</v>
      </c>
      <c r="BK12" s="117">
        <f t="shared" si="11"/>
        <v>95439.68455</v>
      </c>
      <c r="BL12" s="117">
        <f t="shared" si="11"/>
        <v>99257.27192</v>
      </c>
      <c r="BM12" s="117">
        <f t="shared" si="11"/>
        <v>99257.27192</v>
      </c>
      <c r="BN12" s="117">
        <f t="shared" si="11"/>
        <v>99257.27192</v>
      </c>
      <c r="BO12" s="117">
        <f t="shared" si="11"/>
        <v>99257.27192</v>
      </c>
      <c r="BP12" s="117">
        <f t="shared" si="11"/>
        <v>103227.5628</v>
      </c>
      <c r="BQ12" s="117">
        <f t="shared" si="11"/>
        <v>103227.5628</v>
      </c>
      <c r="BR12" s="117">
        <f t="shared" si="11"/>
        <v>103227.5628</v>
      </c>
      <c r="BS12" s="117">
        <f t="shared" si="11"/>
        <v>103227.5628</v>
      </c>
      <c r="BT12" s="117">
        <f t="shared" si="11"/>
        <v>107356.6653</v>
      </c>
      <c r="BU12" s="117">
        <f t="shared" si="11"/>
        <v>107356.6653</v>
      </c>
      <c r="BV12" s="117">
        <f t="shared" si="11"/>
        <v>107356.6653</v>
      </c>
      <c r="BW12" s="117">
        <f t="shared" si="11"/>
        <v>107356.6653</v>
      </c>
      <c r="BX12" s="117">
        <f t="shared" si="11"/>
        <v>111650.9319</v>
      </c>
      <c r="BY12" s="117">
        <f t="shared" si="11"/>
        <v>111650.9319</v>
      </c>
      <c r="BZ12" s="117">
        <f t="shared" si="11"/>
        <v>111650.9319</v>
      </c>
      <c r="CA12" s="117">
        <f t="shared" si="11"/>
        <v>111650.9319</v>
      </c>
      <c r="CB12" s="117">
        <f t="shared" si="11"/>
        <v>116116.9692</v>
      </c>
      <c r="CC12" s="117">
        <f t="shared" si="11"/>
        <v>116116.9692</v>
      </c>
      <c r="CD12" s="117">
        <f t="shared" si="11"/>
        <v>116116.9692</v>
      </c>
      <c r="CE12" s="117">
        <f t="shared" si="11"/>
        <v>116116.9692</v>
      </c>
      <c r="CF12" s="117">
        <f t="shared" si="11"/>
        <v>120761.648</v>
      </c>
      <c r="CG12" s="117">
        <f t="shared" si="11"/>
        <v>120761.648</v>
      </c>
      <c r="CH12" s="117">
        <f t="shared" si="11"/>
        <v>120761.648</v>
      </c>
      <c r="CI12" s="117">
        <f t="shared" si="11"/>
        <v>120761.648</v>
      </c>
    </row>
    <row r="13" outlineLevel="1">
      <c r="A13" s="1" t="s">
        <v>119</v>
      </c>
      <c r="B13" s="91" t="s">
        <v>177</v>
      </c>
      <c r="C13" s="132" t="s">
        <v>230</v>
      </c>
      <c r="D13" s="247">
        <f t="shared" ref="D13:Z13" si="12">RANDBETWEEN(0,5000)</f>
        <v>4485</v>
      </c>
      <c r="E13" s="247">
        <f t="shared" si="12"/>
        <v>3461</v>
      </c>
      <c r="F13" s="247">
        <f t="shared" si="12"/>
        <v>2806</v>
      </c>
      <c r="G13" s="247">
        <f t="shared" si="12"/>
        <v>1570</v>
      </c>
      <c r="H13" s="247">
        <f t="shared" si="12"/>
        <v>4134</v>
      </c>
      <c r="I13" s="247">
        <f t="shared" si="12"/>
        <v>2790</v>
      </c>
      <c r="J13" s="247">
        <f t="shared" si="12"/>
        <v>3285</v>
      </c>
      <c r="K13" s="247">
        <f t="shared" si="12"/>
        <v>4697</v>
      </c>
      <c r="L13" s="247">
        <f t="shared" si="12"/>
        <v>138</v>
      </c>
      <c r="M13" s="247">
        <f t="shared" si="12"/>
        <v>1856</v>
      </c>
      <c r="N13" s="247">
        <f t="shared" si="12"/>
        <v>3454</v>
      </c>
      <c r="O13" s="247">
        <f t="shared" si="12"/>
        <v>3163</v>
      </c>
      <c r="P13" s="247">
        <f t="shared" si="12"/>
        <v>257</v>
      </c>
      <c r="Q13" s="247">
        <f t="shared" si="12"/>
        <v>1979</v>
      </c>
      <c r="R13" s="247">
        <f t="shared" si="12"/>
        <v>596</v>
      </c>
      <c r="S13" s="247">
        <f t="shared" si="12"/>
        <v>4514</v>
      </c>
      <c r="T13" s="247">
        <f t="shared" si="12"/>
        <v>3701</v>
      </c>
      <c r="U13" s="247">
        <f t="shared" si="12"/>
        <v>3073</v>
      </c>
      <c r="V13" s="247">
        <f t="shared" si="12"/>
        <v>2815</v>
      </c>
      <c r="W13" s="247">
        <f t="shared" si="12"/>
        <v>2125</v>
      </c>
      <c r="X13" s="247">
        <f t="shared" si="12"/>
        <v>2261</v>
      </c>
      <c r="Y13" s="247">
        <f t="shared" si="12"/>
        <v>1297</v>
      </c>
      <c r="Z13" s="247">
        <f t="shared" si="12"/>
        <v>1497</v>
      </c>
      <c r="AA13" s="116">
        <f>Headcount!S156</f>
        <v>39336.9375</v>
      </c>
      <c r="AB13" s="116">
        <f>Headcount!T156</f>
        <v>65462.39687</v>
      </c>
      <c r="AC13" s="116">
        <f>Headcount!U156</f>
        <v>72873.98023</v>
      </c>
      <c r="AD13" s="116">
        <f>Headcount!V156</f>
        <v>75204.09349</v>
      </c>
      <c r="AE13" s="116">
        <f>Headcount!W156</f>
        <v>77035.53214</v>
      </c>
      <c r="AF13" s="116">
        <f>Headcount!X156</f>
        <v>87013.87002</v>
      </c>
      <c r="AG13" s="116">
        <f>Headcount!Y156</f>
        <v>88595.58488</v>
      </c>
      <c r="AH13" s="116">
        <f>Headcount!Z156</f>
        <v>89121.39255</v>
      </c>
      <c r="AI13" s="116">
        <f>Headcount!AA156</f>
        <v>89607.56763</v>
      </c>
      <c r="AJ13" s="116">
        <f>Headcount!AB156</f>
        <v>91419.98819</v>
      </c>
      <c r="AK13" s="116">
        <f>Headcount!AC156</f>
        <v>90114.26979</v>
      </c>
      <c r="AL13" s="116">
        <f>Headcount!AD156</f>
        <v>91197.11396</v>
      </c>
      <c r="AM13" s="116">
        <f>Headcount!AE156</f>
        <v>92671.81397</v>
      </c>
      <c r="AN13" s="116">
        <f>Headcount!AF156</f>
        <v>83832.90752</v>
      </c>
      <c r="AO13" s="116">
        <f>Headcount!AG156</f>
        <v>72801.51798</v>
      </c>
      <c r="AP13" s="116">
        <f>Headcount!AH156</f>
        <v>71412.43937</v>
      </c>
      <c r="AQ13" s="116">
        <f>Headcount!AI156</f>
        <v>71874.95258</v>
      </c>
      <c r="AR13" s="116">
        <f>Headcount!AJ156</f>
        <v>72341.71707</v>
      </c>
      <c r="AS13" s="116">
        <f>Headcount!AK156</f>
        <v>73068.8989</v>
      </c>
      <c r="AT13" s="116">
        <f>Headcount!AL156</f>
        <v>73545.58381</v>
      </c>
      <c r="AU13" s="116">
        <f>Headcount!AM156</f>
        <v>74026.66473</v>
      </c>
      <c r="AV13" s="116">
        <f>Headcount!AN156</f>
        <v>74512.18892</v>
      </c>
      <c r="AW13" s="116">
        <f>Headcount!AO156</f>
        <v>75002.20416</v>
      </c>
      <c r="AX13" s="116">
        <f>Headcount!AP156</f>
        <v>75496.75881</v>
      </c>
      <c r="AY13" s="116">
        <f>Headcount!AQ156</f>
        <v>75995.9018</v>
      </c>
      <c r="AZ13" s="116">
        <f>Headcount!AR156</f>
        <v>76764.59193</v>
      </c>
      <c r="BA13" s="116">
        <f>Headcount!AS156</f>
        <v>77448.94923</v>
      </c>
      <c r="BB13" s="116">
        <f>Headcount!AT156</f>
        <v>77953.04767</v>
      </c>
      <c r="BC13" s="116">
        <f>Headcount!AU156</f>
        <v>78461.66771</v>
      </c>
      <c r="BD13" s="116">
        <f>Headcount!AV156</f>
        <v>78974.856</v>
      </c>
      <c r="BE13" s="116">
        <f>Headcount!AW156</f>
        <v>79112.92389</v>
      </c>
      <c r="BF13" s="116">
        <f>Headcount!AX156</f>
        <v>79633.49204</v>
      </c>
      <c r="BG13" s="116">
        <f>Headcount!AY156</f>
        <v>80158.76203</v>
      </c>
      <c r="BH13" s="116">
        <f>Headcount!AZ156</f>
        <v>80688.7826</v>
      </c>
      <c r="BI13" s="116">
        <f>Headcount!BA156</f>
        <v>81223.60302</v>
      </c>
      <c r="BJ13" s="116">
        <f>Headcount!BB156</f>
        <v>81763.2731</v>
      </c>
      <c r="BK13" s="116">
        <f>Headcount!BC156</f>
        <v>82307.84322</v>
      </c>
      <c r="BL13" s="116">
        <f>Headcount!BD156</f>
        <v>84993.22926</v>
      </c>
      <c r="BM13" s="116">
        <f>Headcount!BE156</f>
        <v>85633.20029</v>
      </c>
      <c r="BN13" s="116">
        <f>Headcount!BF156</f>
        <v>85209.3806</v>
      </c>
      <c r="BO13" s="116">
        <f>Headcount!BG156</f>
        <v>84858.38343</v>
      </c>
      <c r="BP13" s="116">
        <f>Headcount!BH156</f>
        <v>85496.37225</v>
      </c>
      <c r="BQ13" s="116">
        <f>Headcount!BI156</f>
        <v>86143.02053</v>
      </c>
      <c r="BR13" s="116">
        <f>Headcount!BJ156</f>
        <v>86798.51139</v>
      </c>
      <c r="BS13" s="116">
        <f>Headcount!BK156</f>
        <v>87463.03299</v>
      </c>
      <c r="BT13" s="116">
        <f>Headcount!BL156</f>
        <v>88136.77864</v>
      </c>
      <c r="BU13" s="116">
        <f>Headcount!BM156</f>
        <v>88819.94696</v>
      </c>
      <c r="BV13" s="116">
        <f>Headcount!BN156</f>
        <v>89512.74207</v>
      </c>
      <c r="BW13" s="116">
        <f>Headcount!BO156</f>
        <v>90215.37374</v>
      </c>
      <c r="BX13" s="116">
        <f>Headcount!BP156</f>
        <v>99253.04967</v>
      </c>
      <c r="BY13" s="116">
        <f>Headcount!BQ156</f>
        <v>99672.60472</v>
      </c>
      <c r="BZ13" s="116">
        <f>Headcount!BR156</f>
        <v>97542.5219</v>
      </c>
      <c r="CA13" s="116">
        <f>Headcount!BS156</f>
        <v>92596.4892</v>
      </c>
      <c r="CB13" s="116">
        <f>Headcount!BT156</f>
        <v>92984.80585</v>
      </c>
      <c r="CC13" s="116">
        <f>Headcount!BU156</f>
        <v>93381.39487</v>
      </c>
      <c r="CD13" s="116">
        <f>Headcount!BV156</f>
        <v>93786.20512</v>
      </c>
      <c r="CE13" s="116">
        <f>Headcount!BW156</f>
        <v>94199.18854</v>
      </c>
      <c r="CF13" s="116">
        <f>Headcount!BX156</f>
        <v>94620.29999</v>
      </c>
      <c r="CG13" s="116">
        <f>Headcount!BY156</f>
        <v>95049.49731</v>
      </c>
      <c r="CH13" s="116">
        <f>Headcount!BZ156</f>
        <v>95486.74117</v>
      </c>
      <c r="CI13" s="116">
        <f>Headcount!CA156</f>
        <v>95931.99506</v>
      </c>
    </row>
    <row r="14" outlineLevel="1">
      <c r="A14" s="1" t="s">
        <v>119</v>
      </c>
      <c r="B14" s="91" t="s">
        <v>175</v>
      </c>
      <c r="C14" s="132" t="s">
        <v>231</v>
      </c>
      <c r="D14" s="247">
        <f t="shared" ref="D14:Z14" si="13">RANDBETWEEN(0,5000)</f>
        <v>4908</v>
      </c>
      <c r="E14" s="247">
        <f t="shared" si="13"/>
        <v>195</v>
      </c>
      <c r="F14" s="247">
        <f t="shared" si="13"/>
        <v>3221</v>
      </c>
      <c r="G14" s="247">
        <f t="shared" si="13"/>
        <v>196</v>
      </c>
      <c r="H14" s="247">
        <f t="shared" si="13"/>
        <v>4129</v>
      </c>
      <c r="I14" s="247">
        <f t="shared" si="13"/>
        <v>1492</v>
      </c>
      <c r="J14" s="247">
        <f t="shared" si="13"/>
        <v>4830</v>
      </c>
      <c r="K14" s="247">
        <f t="shared" si="13"/>
        <v>3910</v>
      </c>
      <c r="L14" s="247">
        <f t="shared" si="13"/>
        <v>4320</v>
      </c>
      <c r="M14" s="247">
        <f t="shared" si="13"/>
        <v>1824</v>
      </c>
      <c r="N14" s="247">
        <f t="shared" si="13"/>
        <v>3623</v>
      </c>
      <c r="O14" s="247">
        <f t="shared" si="13"/>
        <v>3708</v>
      </c>
      <c r="P14" s="247">
        <f t="shared" si="13"/>
        <v>3840</v>
      </c>
      <c r="Q14" s="247">
        <f t="shared" si="13"/>
        <v>4299</v>
      </c>
      <c r="R14" s="247">
        <f t="shared" si="13"/>
        <v>4465</v>
      </c>
      <c r="S14" s="247">
        <f t="shared" si="13"/>
        <v>2473</v>
      </c>
      <c r="T14" s="247">
        <f t="shared" si="13"/>
        <v>640</v>
      </c>
      <c r="U14" s="247">
        <f t="shared" si="13"/>
        <v>4129</v>
      </c>
      <c r="V14" s="247">
        <f t="shared" si="13"/>
        <v>4313</v>
      </c>
      <c r="W14" s="247">
        <f t="shared" si="13"/>
        <v>657</v>
      </c>
      <c r="X14" s="247">
        <f t="shared" si="13"/>
        <v>470</v>
      </c>
      <c r="Y14" s="247">
        <f t="shared" si="13"/>
        <v>4806</v>
      </c>
      <c r="Z14" s="247">
        <f t="shared" si="13"/>
        <v>900</v>
      </c>
      <c r="AA14" s="117">
        <v>0.0</v>
      </c>
      <c r="AB14" s="117">
        <v>0.0</v>
      </c>
      <c r="AC14" s="117">
        <v>0.0</v>
      </c>
      <c r="AD14" s="117">
        <v>0.0</v>
      </c>
      <c r="AE14" s="117">
        <v>0.0</v>
      </c>
      <c r="AF14" s="117">
        <v>0.0</v>
      </c>
      <c r="AG14" s="117">
        <v>0.0</v>
      </c>
      <c r="AH14" s="117">
        <v>0.0</v>
      </c>
      <c r="AI14" s="117">
        <v>0.0</v>
      </c>
      <c r="AJ14" s="117">
        <v>0.0</v>
      </c>
      <c r="AK14" s="117">
        <v>0.0</v>
      </c>
      <c r="AL14" s="117">
        <v>0.0</v>
      </c>
      <c r="AM14" s="117">
        <v>0.0</v>
      </c>
      <c r="AN14" s="117">
        <v>0.0</v>
      </c>
      <c r="AO14" s="117">
        <v>0.0</v>
      </c>
      <c r="AP14" s="117">
        <v>0.0</v>
      </c>
      <c r="AQ14" s="117">
        <v>0.0</v>
      </c>
      <c r="AR14" s="117">
        <v>0.0</v>
      </c>
      <c r="AS14" s="117">
        <v>0.0</v>
      </c>
      <c r="AT14" s="117">
        <v>0.0</v>
      </c>
      <c r="AU14" s="117">
        <v>0.0</v>
      </c>
      <c r="AV14" s="117">
        <v>0.0</v>
      </c>
      <c r="AW14" s="117">
        <v>0.0</v>
      </c>
      <c r="AX14" s="117">
        <v>0.0</v>
      </c>
      <c r="AY14" s="117">
        <v>0.0</v>
      </c>
      <c r="AZ14" s="117">
        <v>0.0</v>
      </c>
      <c r="BA14" s="117">
        <v>0.0</v>
      </c>
      <c r="BB14" s="117">
        <v>0.0</v>
      </c>
      <c r="BC14" s="117">
        <v>0.0</v>
      </c>
      <c r="BD14" s="117">
        <v>0.0</v>
      </c>
      <c r="BE14" s="117">
        <v>0.0</v>
      </c>
      <c r="BF14" s="117">
        <v>0.0</v>
      </c>
      <c r="BG14" s="117">
        <v>0.0</v>
      </c>
      <c r="BH14" s="117">
        <v>0.0</v>
      </c>
      <c r="BI14" s="117">
        <v>0.0</v>
      </c>
      <c r="BJ14" s="117">
        <v>0.0</v>
      </c>
      <c r="BK14" s="117">
        <v>0.0</v>
      </c>
      <c r="BL14" s="117">
        <v>0.0</v>
      </c>
      <c r="BM14" s="117">
        <v>0.0</v>
      </c>
      <c r="BN14" s="117">
        <v>0.0</v>
      </c>
      <c r="BO14" s="117">
        <v>0.0</v>
      </c>
      <c r="BP14" s="117">
        <v>0.0</v>
      </c>
      <c r="BQ14" s="117">
        <v>0.0</v>
      </c>
      <c r="BR14" s="117">
        <v>0.0</v>
      </c>
      <c r="BS14" s="117">
        <v>0.0</v>
      </c>
      <c r="BT14" s="117">
        <v>0.0</v>
      </c>
      <c r="BU14" s="117">
        <v>0.0</v>
      </c>
      <c r="BV14" s="117">
        <v>0.0</v>
      </c>
      <c r="BW14" s="117">
        <v>0.0</v>
      </c>
      <c r="BX14" s="117">
        <v>0.0</v>
      </c>
      <c r="BY14" s="117">
        <v>0.0</v>
      </c>
      <c r="BZ14" s="117">
        <v>0.0</v>
      </c>
      <c r="CA14" s="117">
        <v>0.0</v>
      </c>
      <c r="CB14" s="117">
        <v>0.0</v>
      </c>
      <c r="CC14" s="117">
        <v>0.0</v>
      </c>
      <c r="CD14" s="117">
        <v>0.0</v>
      </c>
      <c r="CE14" s="117">
        <v>0.0</v>
      </c>
      <c r="CF14" s="117">
        <v>0.0</v>
      </c>
      <c r="CG14" s="117">
        <v>0.0</v>
      </c>
      <c r="CH14" s="117">
        <v>0.0</v>
      </c>
      <c r="CI14" s="117">
        <v>0.0</v>
      </c>
    </row>
    <row r="15" outlineLevel="1">
      <c r="A15" s="1" t="s">
        <v>119</v>
      </c>
      <c r="B15" s="91" t="s">
        <v>175</v>
      </c>
      <c r="C15" s="132" t="s">
        <v>234</v>
      </c>
      <c r="D15" s="247">
        <f t="shared" ref="D15:Z15" si="14">RANDBETWEEN(0,5000)</f>
        <v>2508</v>
      </c>
      <c r="E15" s="247">
        <f t="shared" si="14"/>
        <v>981</v>
      </c>
      <c r="F15" s="247">
        <f t="shared" si="14"/>
        <v>2942</v>
      </c>
      <c r="G15" s="247">
        <f t="shared" si="14"/>
        <v>3831</v>
      </c>
      <c r="H15" s="247">
        <f t="shared" si="14"/>
        <v>582</v>
      </c>
      <c r="I15" s="247">
        <f t="shared" si="14"/>
        <v>3095</v>
      </c>
      <c r="J15" s="247">
        <f t="shared" si="14"/>
        <v>3734</v>
      </c>
      <c r="K15" s="247">
        <f t="shared" si="14"/>
        <v>2008</v>
      </c>
      <c r="L15" s="247">
        <f t="shared" si="14"/>
        <v>1729</v>
      </c>
      <c r="M15" s="247">
        <f t="shared" si="14"/>
        <v>2645</v>
      </c>
      <c r="N15" s="247">
        <f t="shared" si="14"/>
        <v>2766</v>
      </c>
      <c r="O15" s="247">
        <f t="shared" si="14"/>
        <v>1363</v>
      </c>
      <c r="P15" s="247">
        <f t="shared" si="14"/>
        <v>890</v>
      </c>
      <c r="Q15" s="247">
        <f t="shared" si="14"/>
        <v>3912</v>
      </c>
      <c r="R15" s="247">
        <f t="shared" si="14"/>
        <v>3465</v>
      </c>
      <c r="S15" s="247">
        <f t="shared" si="14"/>
        <v>2157</v>
      </c>
      <c r="T15" s="247">
        <f t="shared" si="14"/>
        <v>1719</v>
      </c>
      <c r="U15" s="247">
        <f t="shared" si="14"/>
        <v>669</v>
      </c>
      <c r="V15" s="247">
        <f t="shared" si="14"/>
        <v>3233</v>
      </c>
      <c r="W15" s="247">
        <f t="shared" si="14"/>
        <v>2632</v>
      </c>
      <c r="X15" s="247">
        <f t="shared" si="14"/>
        <v>1449</v>
      </c>
      <c r="Y15" s="247">
        <f t="shared" si="14"/>
        <v>787</v>
      </c>
      <c r="Z15" s="247">
        <f t="shared" si="14"/>
        <v>3563</v>
      </c>
      <c r="AA15" s="117">
        <f t="shared" ref="AA15:CI15" si="15">AVERAGE(X15:Z15)/AVERAGE(X$7:Z$7)*AA$7</f>
        <v>26695.59801</v>
      </c>
      <c r="AB15" s="117">
        <f t="shared" si="15"/>
        <v>28967.62207</v>
      </c>
      <c r="AC15" s="117">
        <f t="shared" si="15"/>
        <v>36403.75045</v>
      </c>
      <c r="AD15" s="117">
        <f t="shared" si="15"/>
        <v>42592.83357</v>
      </c>
      <c r="AE15" s="117">
        <f t="shared" si="15"/>
        <v>49888.3338</v>
      </c>
      <c r="AF15" s="117">
        <f t="shared" si="15"/>
        <v>52161.76604</v>
      </c>
      <c r="AG15" s="117">
        <f t="shared" si="15"/>
        <v>52019.33525</v>
      </c>
      <c r="AH15" s="117">
        <f t="shared" si="15"/>
        <v>52104.38824</v>
      </c>
      <c r="AI15" s="117">
        <f t="shared" si="15"/>
        <v>52095.16318</v>
      </c>
      <c r="AJ15" s="117">
        <f t="shared" si="15"/>
        <v>54416.24552</v>
      </c>
      <c r="AK15" s="117">
        <f t="shared" si="15"/>
        <v>54434.64952</v>
      </c>
      <c r="AL15" s="117">
        <f t="shared" si="15"/>
        <v>54429.97762</v>
      </c>
      <c r="AM15" s="117">
        <f t="shared" si="15"/>
        <v>54426.95756</v>
      </c>
      <c r="AN15" s="117">
        <f t="shared" si="15"/>
        <v>56607.74936</v>
      </c>
      <c r="AO15" s="117">
        <f t="shared" si="15"/>
        <v>56606.33945</v>
      </c>
      <c r="AP15" s="117">
        <f t="shared" si="15"/>
        <v>56606.0676</v>
      </c>
      <c r="AQ15" s="117">
        <f t="shared" si="15"/>
        <v>56606.7188</v>
      </c>
      <c r="AR15" s="117">
        <f t="shared" si="15"/>
        <v>58870.6303</v>
      </c>
      <c r="AS15" s="117">
        <f t="shared" si="15"/>
        <v>58870.64256</v>
      </c>
      <c r="AT15" s="117">
        <f t="shared" si="15"/>
        <v>58870.75043</v>
      </c>
      <c r="AU15" s="117">
        <f t="shared" si="15"/>
        <v>58870.67443</v>
      </c>
      <c r="AV15" s="117">
        <f t="shared" si="15"/>
        <v>61225.5167</v>
      </c>
      <c r="AW15" s="117">
        <f t="shared" si="15"/>
        <v>61225.53264</v>
      </c>
      <c r="AX15" s="117">
        <f t="shared" si="15"/>
        <v>61225.51712</v>
      </c>
      <c r="AY15" s="117">
        <f t="shared" si="15"/>
        <v>61225.52215</v>
      </c>
      <c r="AZ15" s="117">
        <f t="shared" si="15"/>
        <v>63674.54493</v>
      </c>
      <c r="BA15" s="117">
        <f t="shared" si="15"/>
        <v>63674.54196</v>
      </c>
      <c r="BB15" s="117">
        <f t="shared" si="15"/>
        <v>63674.54331</v>
      </c>
      <c r="BC15" s="117">
        <f t="shared" si="15"/>
        <v>63674.5434</v>
      </c>
      <c r="BD15" s="117">
        <f t="shared" si="15"/>
        <v>66221.52461</v>
      </c>
      <c r="BE15" s="117">
        <f t="shared" si="15"/>
        <v>66221.52493</v>
      </c>
      <c r="BF15" s="117">
        <f t="shared" si="15"/>
        <v>66221.52489</v>
      </c>
      <c r="BG15" s="117">
        <f t="shared" si="15"/>
        <v>66221.52481</v>
      </c>
      <c r="BH15" s="117">
        <f t="shared" si="15"/>
        <v>68870.38587</v>
      </c>
      <c r="BI15" s="117">
        <f t="shared" si="15"/>
        <v>68870.38585</v>
      </c>
      <c r="BJ15" s="117">
        <f t="shared" si="15"/>
        <v>68870.38584</v>
      </c>
      <c r="BK15" s="117">
        <f t="shared" si="15"/>
        <v>68870.38585</v>
      </c>
      <c r="BL15" s="117">
        <f t="shared" si="15"/>
        <v>71625.20128</v>
      </c>
      <c r="BM15" s="117">
        <f t="shared" si="15"/>
        <v>71625.20128</v>
      </c>
      <c r="BN15" s="117">
        <f t="shared" si="15"/>
        <v>71625.20128</v>
      </c>
      <c r="BO15" s="117">
        <f t="shared" si="15"/>
        <v>71625.20128</v>
      </c>
      <c r="BP15" s="117">
        <f t="shared" si="15"/>
        <v>74490.20933</v>
      </c>
      <c r="BQ15" s="117">
        <f t="shared" si="15"/>
        <v>74490.20933</v>
      </c>
      <c r="BR15" s="117">
        <f t="shared" si="15"/>
        <v>74490.20933</v>
      </c>
      <c r="BS15" s="117">
        <f t="shared" si="15"/>
        <v>74490.20933</v>
      </c>
      <c r="BT15" s="117">
        <f t="shared" si="15"/>
        <v>77469.81771</v>
      </c>
      <c r="BU15" s="117">
        <f t="shared" si="15"/>
        <v>77469.81771</v>
      </c>
      <c r="BV15" s="117">
        <f t="shared" si="15"/>
        <v>77469.81771</v>
      </c>
      <c r="BW15" s="117">
        <f t="shared" si="15"/>
        <v>77469.81771</v>
      </c>
      <c r="BX15" s="117">
        <f t="shared" si="15"/>
        <v>80568.61042</v>
      </c>
      <c r="BY15" s="117">
        <f t="shared" si="15"/>
        <v>80568.61042</v>
      </c>
      <c r="BZ15" s="117">
        <f t="shared" si="15"/>
        <v>80568.61042</v>
      </c>
      <c r="CA15" s="117">
        <f t="shared" si="15"/>
        <v>80568.61042</v>
      </c>
      <c r="CB15" s="117">
        <f t="shared" si="15"/>
        <v>83791.35483</v>
      </c>
      <c r="CC15" s="117">
        <f t="shared" si="15"/>
        <v>83791.35483</v>
      </c>
      <c r="CD15" s="117">
        <f t="shared" si="15"/>
        <v>83791.35483</v>
      </c>
      <c r="CE15" s="117">
        <f t="shared" si="15"/>
        <v>83791.35483</v>
      </c>
      <c r="CF15" s="117">
        <f t="shared" si="15"/>
        <v>87143.00903</v>
      </c>
      <c r="CG15" s="117">
        <f t="shared" si="15"/>
        <v>87143.00903</v>
      </c>
      <c r="CH15" s="117">
        <f t="shared" si="15"/>
        <v>87143.00903</v>
      </c>
      <c r="CI15" s="117">
        <f t="shared" si="15"/>
        <v>87143.00903</v>
      </c>
    </row>
    <row r="16" outlineLevel="1">
      <c r="A16" s="1" t="s">
        <v>119</v>
      </c>
      <c r="B16" s="91" t="s">
        <v>66</v>
      </c>
      <c r="C16" s="132" t="s">
        <v>236</v>
      </c>
      <c r="D16" s="247">
        <f t="shared" ref="D16:Z16" si="16">RANDBETWEEN(0,5000)</f>
        <v>2504</v>
      </c>
      <c r="E16" s="247">
        <f t="shared" si="16"/>
        <v>764</v>
      </c>
      <c r="F16" s="247">
        <f t="shared" si="16"/>
        <v>2239</v>
      </c>
      <c r="G16" s="247">
        <f t="shared" si="16"/>
        <v>1859</v>
      </c>
      <c r="H16" s="247">
        <f t="shared" si="16"/>
        <v>3625</v>
      </c>
      <c r="I16" s="247">
        <f t="shared" si="16"/>
        <v>3019</v>
      </c>
      <c r="J16" s="247">
        <f t="shared" si="16"/>
        <v>2135</v>
      </c>
      <c r="K16" s="247">
        <f t="shared" si="16"/>
        <v>610</v>
      </c>
      <c r="L16" s="247">
        <f t="shared" si="16"/>
        <v>4890</v>
      </c>
      <c r="M16" s="247">
        <f t="shared" si="16"/>
        <v>3531</v>
      </c>
      <c r="N16" s="247">
        <f t="shared" si="16"/>
        <v>2260</v>
      </c>
      <c r="O16" s="247">
        <f t="shared" si="16"/>
        <v>4240</v>
      </c>
      <c r="P16" s="247">
        <f t="shared" si="16"/>
        <v>3548</v>
      </c>
      <c r="Q16" s="247">
        <f t="shared" si="16"/>
        <v>3212</v>
      </c>
      <c r="R16" s="247">
        <f t="shared" si="16"/>
        <v>3232</v>
      </c>
      <c r="S16" s="247">
        <f t="shared" si="16"/>
        <v>3923</v>
      </c>
      <c r="T16" s="247">
        <f t="shared" si="16"/>
        <v>558</v>
      </c>
      <c r="U16" s="247">
        <f t="shared" si="16"/>
        <v>1783</v>
      </c>
      <c r="V16" s="247">
        <f t="shared" si="16"/>
        <v>1453</v>
      </c>
      <c r="W16" s="247">
        <f t="shared" si="16"/>
        <v>1604</v>
      </c>
      <c r="X16" s="247">
        <f t="shared" si="16"/>
        <v>3028</v>
      </c>
      <c r="Y16" s="247">
        <f t="shared" si="16"/>
        <v>4515</v>
      </c>
      <c r="Z16" s="247">
        <f t="shared" si="16"/>
        <v>2181</v>
      </c>
      <c r="AA16" s="116">
        <f>Expenses!T16</f>
        <v>0</v>
      </c>
      <c r="AB16" s="116">
        <f>Expenses!U16</f>
        <v>5000</v>
      </c>
      <c r="AC16" s="116">
        <f>Expenses!V16</f>
        <v>5025</v>
      </c>
      <c r="AD16" s="116">
        <f>Expenses!W16</f>
        <v>5050.125</v>
      </c>
      <c r="AE16" s="116">
        <f>Expenses!X16</f>
        <v>5075.375625</v>
      </c>
      <c r="AF16" s="116">
        <f>Expenses!Y16</f>
        <v>5100.752503</v>
      </c>
      <c r="AG16" s="116">
        <f>Expenses!Z16</f>
        <v>5126.256266</v>
      </c>
      <c r="AH16" s="116">
        <f>Expenses!AA16</f>
        <v>5151.887547</v>
      </c>
      <c r="AI16" s="116">
        <f>Expenses!AB16</f>
        <v>5177.646985</v>
      </c>
      <c r="AJ16" s="116">
        <f>Expenses!AC16</f>
        <v>5203.53522</v>
      </c>
      <c r="AK16" s="116">
        <f>Expenses!AD16</f>
        <v>5229.552896</v>
      </c>
      <c r="AL16" s="116">
        <f>Expenses!AE16</f>
        <v>5255.70066</v>
      </c>
      <c r="AM16" s="116">
        <f>Expenses!AF16</f>
        <v>5281.979164</v>
      </c>
      <c r="AN16" s="116">
        <f>Expenses!AG16</f>
        <v>5308.389059</v>
      </c>
      <c r="AO16" s="116">
        <f>Expenses!AH16</f>
        <v>5334.931005</v>
      </c>
      <c r="AP16" s="116">
        <f>Expenses!AI16</f>
        <v>5361.60566</v>
      </c>
      <c r="AQ16" s="116">
        <f>Expenses!AJ16</f>
        <v>5388.413688</v>
      </c>
      <c r="AR16" s="116">
        <f>Expenses!AK16</f>
        <v>5415.355756</v>
      </c>
      <c r="AS16" s="116">
        <f>Expenses!AL16</f>
        <v>5442.432535</v>
      </c>
      <c r="AT16" s="116">
        <f>Expenses!AM16</f>
        <v>5469.644698</v>
      </c>
      <c r="AU16" s="116">
        <f>Expenses!AN16</f>
        <v>5496.992921</v>
      </c>
      <c r="AV16" s="116">
        <f>Expenses!AO16</f>
        <v>5524.477886</v>
      </c>
      <c r="AW16" s="116">
        <f>Expenses!AP16</f>
        <v>5552.100275</v>
      </c>
      <c r="AX16" s="116">
        <f>Expenses!AQ16</f>
        <v>5579.860777</v>
      </c>
      <c r="AY16" s="116">
        <f>Expenses!AR16</f>
        <v>5607.760081</v>
      </c>
      <c r="AZ16" s="116">
        <f>Expenses!AS16</f>
        <v>5635.798881</v>
      </c>
      <c r="BA16" s="116">
        <f>Expenses!AT16</f>
        <v>5663.977875</v>
      </c>
      <c r="BB16" s="116">
        <f>Expenses!AU16</f>
        <v>5692.297765</v>
      </c>
      <c r="BC16" s="116">
        <f>Expenses!AV16</f>
        <v>5720.759254</v>
      </c>
      <c r="BD16" s="116">
        <f>Expenses!AW16</f>
        <v>5749.36305</v>
      </c>
      <c r="BE16" s="116">
        <f>Expenses!AX16</f>
        <v>5778.109865</v>
      </c>
      <c r="BF16" s="116">
        <f>Expenses!AY16</f>
        <v>5807.000414</v>
      </c>
      <c r="BG16" s="116">
        <f>Expenses!AZ16</f>
        <v>5836.035417</v>
      </c>
      <c r="BH16" s="116">
        <f>Expenses!BA16</f>
        <v>5865.215594</v>
      </c>
      <c r="BI16" s="116">
        <f>Expenses!BB16</f>
        <v>5894.541672</v>
      </c>
      <c r="BJ16" s="116">
        <f>Expenses!BC16</f>
        <v>5924.01438</v>
      </c>
      <c r="BK16" s="116">
        <f>Expenses!BD16</f>
        <v>5953.634452</v>
      </c>
      <c r="BL16" s="116">
        <f>Expenses!BE16</f>
        <v>5983.402624</v>
      </c>
      <c r="BM16" s="116">
        <f>Expenses!BF16</f>
        <v>6013.319637</v>
      </c>
      <c r="BN16" s="116">
        <f>Expenses!BG16</f>
        <v>6043.386235</v>
      </c>
      <c r="BO16" s="116">
        <f>Expenses!BH16</f>
        <v>6073.603167</v>
      </c>
      <c r="BP16" s="116">
        <f>Expenses!BI16</f>
        <v>6103.971182</v>
      </c>
      <c r="BQ16" s="116">
        <f>Expenses!BJ16</f>
        <v>6134.491038</v>
      </c>
      <c r="BR16" s="116">
        <f>Expenses!BK16</f>
        <v>6165.163494</v>
      </c>
      <c r="BS16" s="116">
        <f>Expenses!BL16</f>
        <v>6195.989311</v>
      </c>
      <c r="BT16" s="116">
        <f>Expenses!BM16</f>
        <v>6226.969258</v>
      </c>
      <c r="BU16" s="116">
        <f>Expenses!BN16</f>
        <v>6258.104104</v>
      </c>
      <c r="BV16" s="116">
        <f>Expenses!BO16</f>
        <v>6289.394624</v>
      </c>
      <c r="BW16" s="116">
        <f>Expenses!BP16</f>
        <v>6320.841597</v>
      </c>
      <c r="BX16" s="116">
        <f>Expenses!BQ16</f>
        <v>6352.445805</v>
      </c>
      <c r="BY16" s="116">
        <f>Expenses!BR16</f>
        <v>6384.208035</v>
      </c>
      <c r="BZ16" s="116">
        <f>Expenses!BS16</f>
        <v>6416.129075</v>
      </c>
      <c r="CA16" s="116">
        <f>Expenses!BT16</f>
        <v>6448.20972</v>
      </c>
      <c r="CB16" s="116">
        <f>Expenses!BU16</f>
        <v>6480.450769</v>
      </c>
      <c r="CC16" s="116">
        <f>Expenses!BV16</f>
        <v>6512.853022</v>
      </c>
      <c r="CD16" s="116">
        <f>Expenses!BW16</f>
        <v>6545.417288</v>
      </c>
      <c r="CE16" s="116">
        <f>Expenses!BX16</f>
        <v>6578.144374</v>
      </c>
      <c r="CF16" s="116">
        <f>Expenses!BY16</f>
        <v>6611.035096</v>
      </c>
      <c r="CG16" s="116">
        <f>Expenses!BZ16</f>
        <v>6644.090271</v>
      </c>
      <c r="CH16" s="116">
        <f>Expenses!CA16</f>
        <v>6677.310723</v>
      </c>
      <c r="CI16" s="116">
        <f>Expenses!CB16</f>
        <v>6710.697276</v>
      </c>
    </row>
    <row r="17" outlineLevel="1">
      <c r="A17" s="1" t="s">
        <v>119</v>
      </c>
      <c r="B17" s="91" t="s">
        <v>66</v>
      </c>
      <c r="C17" s="132" t="s">
        <v>237</v>
      </c>
      <c r="D17" s="247">
        <f t="shared" ref="D17:Z17" si="17">RANDBETWEEN(0,5000)</f>
        <v>2176</v>
      </c>
      <c r="E17" s="247">
        <f t="shared" si="17"/>
        <v>1505</v>
      </c>
      <c r="F17" s="247">
        <f t="shared" si="17"/>
        <v>2868</v>
      </c>
      <c r="G17" s="247">
        <f t="shared" si="17"/>
        <v>897</v>
      </c>
      <c r="H17" s="247">
        <f t="shared" si="17"/>
        <v>4725</v>
      </c>
      <c r="I17" s="247">
        <f t="shared" si="17"/>
        <v>3370</v>
      </c>
      <c r="J17" s="247">
        <f t="shared" si="17"/>
        <v>2493</v>
      </c>
      <c r="K17" s="247">
        <f t="shared" si="17"/>
        <v>4363</v>
      </c>
      <c r="L17" s="247">
        <f t="shared" si="17"/>
        <v>4348</v>
      </c>
      <c r="M17" s="247">
        <f t="shared" si="17"/>
        <v>815</v>
      </c>
      <c r="N17" s="247">
        <f t="shared" si="17"/>
        <v>807</v>
      </c>
      <c r="O17" s="247">
        <f t="shared" si="17"/>
        <v>1503</v>
      </c>
      <c r="P17" s="247">
        <f t="shared" si="17"/>
        <v>2060</v>
      </c>
      <c r="Q17" s="247">
        <f t="shared" si="17"/>
        <v>2074</v>
      </c>
      <c r="R17" s="247">
        <f t="shared" si="17"/>
        <v>1595</v>
      </c>
      <c r="S17" s="247">
        <f t="shared" si="17"/>
        <v>3317</v>
      </c>
      <c r="T17" s="247">
        <f t="shared" si="17"/>
        <v>309</v>
      </c>
      <c r="U17" s="247">
        <f t="shared" si="17"/>
        <v>2454</v>
      </c>
      <c r="V17" s="247">
        <f t="shared" si="17"/>
        <v>1491</v>
      </c>
      <c r="W17" s="247">
        <f t="shared" si="17"/>
        <v>3488</v>
      </c>
      <c r="X17" s="247">
        <f t="shared" si="17"/>
        <v>3347</v>
      </c>
      <c r="Y17" s="247">
        <f t="shared" si="17"/>
        <v>3890</v>
      </c>
      <c r="Z17" s="247">
        <f t="shared" si="17"/>
        <v>1989</v>
      </c>
      <c r="AA17" s="116">
        <f>Expenses!T33</f>
        <v>2100</v>
      </c>
      <c r="AB17" s="116">
        <f>Expenses!U33</f>
        <v>2110.5</v>
      </c>
      <c r="AC17" s="116">
        <f>Expenses!V33</f>
        <v>2121.0525</v>
      </c>
      <c r="AD17" s="116">
        <f>Expenses!W33</f>
        <v>2131.657763</v>
      </c>
      <c r="AE17" s="116">
        <f>Expenses!X33</f>
        <v>2142.316051</v>
      </c>
      <c r="AF17" s="116">
        <f>Expenses!Y33</f>
        <v>2153.027632</v>
      </c>
      <c r="AG17" s="116">
        <f>Expenses!Z33</f>
        <v>2163.79277</v>
      </c>
      <c r="AH17" s="116">
        <f>Expenses!AA33</f>
        <v>2174.611734</v>
      </c>
      <c r="AI17" s="116">
        <f>Expenses!AB33</f>
        <v>2185.484792</v>
      </c>
      <c r="AJ17" s="116">
        <f>Expenses!AC33</f>
        <v>2196.412216</v>
      </c>
      <c r="AK17" s="116">
        <f>Expenses!AD33</f>
        <v>2207.394277</v>
      </c>
      <c r="AL17" s="116">
        <f>Expenses!AE33</f>
        <v>2218.431249</v>
      </c>
      <c r="AM17" s="116">
        <f>Expenses!AF33</f>
        <v>2229.523405</v>
      </c>
      <c r="AN17" s="116">
        <f>Expenses!AG33</f>
        <v>2240.671022</v>
      </c>
      <c r="AO17" s="116">
        <f>Expenses!AH33</f>
        <v>2251.874377</v>
      </c>
      <c r="AP17" s="116">
        <f>Expenses!AI33</f>
        <v>2263.133749</v>
      </c>
      <c r="AQ17" s="116">
        <f>Expenses!AJ33</f>
        <v>2274.449418</v>
      </c>
      <c r="AR17" s="116">
        <f>Expenses!AK33</f>
        <v>2285.821665</v>
      </c>
      <c r="AS17" s="116">
        <f>Expenses!AL33</f>
        <v>2297.250773</v>
      </c>
      <c r="AT17" s="116">
        <f>Expenses!AM33</f>
        <v>2308.737027</v>
      </c>
      <c r="AU17" s="116">
        <f>Expenses!AN33</f>
        <v>2320.280712</v>
      </c>
      <c r="AV17" s="116">
        <f>Expenses!AO33</f>
        <v>2331.882116</v>
      </c>
      <c r="AW17" s="116">
        <f>Expenses!AP33</f>
        <v>2343.541526</v>
      </c>
      <c r="AX17" s="116">
        <f>Expenses!AQ33</f>
        <v>2355.259234</v>
      </c>
      <c r="AY17" s="116">
        <f>Expenses!AR33</f>
        <v>2367.03553</v>
      </c>
      <c r="AZ17" s="116">
        <f>Expenses!AS33</f>
        <v>2378.870708</v>
      </c>
      <c r="BA17" s="116">
        <f>Expenses!AT33</f>
        <v>2390.765061</v>
      </c>
      <c r="BB17" s="116">
        <f>Expenses!AU33</f>
        <v>2402.718887</v>
      </c>
      <c r="BC17" s="116">
        <f>Expenses!AV33</f>
        <v>2414.732481</v>
      </c>
      <c r="BD17" s="116">
        <f>Expenses!AW33</f>
        <v>2426.806143</v>
      </c>
      <c r="BE17" s="116">
        <f>Expenses!AX33</f>
        <v>2438.940174</v>
      </c>
      <c r="BF17" s="116">
        <f>Expenses!AY33</f>
        <v>2451.134875</v>
      </c>
      <c r="BG17" s="116">
        <f>Expenses!AZ33</f>
        <v>2463.390549</v>
      </c>
      <c r="BH17" s="116">
        <f>Expenses!BA33</f>
        <v>2475.707502</v>
      </c>
      <c r="BI17" s="116">
        <f>Expenses!BB33</f>
        <v>2488.08604</v>
      </c>
      <c r="BJ17" s="116">
        <f>Expenses!BC33</f>
        <v>2500.52647</v>
      </c>
      <c r="BK17" s="116">
        <f>Expenses!BD33</f>
        <v>2513.029102</v>
      </c>
      <c r="BL17" s="116">
        <f>Expenses!BE33</f>
        <v>2525.594248</v>
      </c>
      <c r="BM17" s="116">
        <f>Expenses!BF33</f>
        <v>2538.222219</v>
      </c>
      <c r="BN17" s="116">
        <f>Expenses!BG33</f>
        <v>2550.91333</v>
      </c>
      <c r="BO17" s="116">
        <f>Expenses!BH33</f>
        <v>2563.667897</v>
      </c>
      <c r="BP17" s="116">
        <f>Expenses!BI33</f>
        <v>2576.486236</v>
      </c>
      <c r="BQ17" s="116">
        <f>Expenses!BJ33</f>
        <v>2589.368667</v>
      </c>
      <c r="BR17" s="116">
        <f>Expenses!BK33</f>
        <v>2602.315511</v>
      </c>
      <c r="BS17" s="116">
        <f>Expenses!BL33</f>
        <v>2615.327088</v>
      </c>
      <c r="BT17" s="116">
        <f>Expenses!BM33</f>
        <v>2628.403724</v>
      </c>
      <c r="BU17" s="116">
        <f>Expenses!BN33</f>
        <v>2641.545742</v>
      </c>
      <c r="BV17" s="116">
        <f>Expenses!BO33</f>
        <v>2654.753471</v>
      </c>
      <c r="BW17" s="116">
        <f>Expenses!BP33</f>
        <v>2668.027238</v>
      </c>
      <c r="BX17" s="116">
        <f>Expenses!BQ33</f>
        <v>2681.367374</v>
      </c>
      <c r="BY17" s="116">
        <f>Expenses!BR33</f>
        <v>2694.774211</v>
      </c>
      <c r="BZ17" s="116">
        <f>Expenses!BS33</f>
        <v>2708.248082</v>
      </c>
      <c r="CA17" s="116">
        <f>Expenses!BT33</f>
        <v>2721.789323</v>
      </c>
      <c r="CB17" s="116">
        <f>Expenses!BU33</f>
        <v>2735.398269</v>
      </c>
      <c r="CC17" s="116">
        <f>Expenses!BV33</f>
        <v>2749.075261</v>
      </c>
      <c r="CD17" s="116">
        <f>Expenses!BW33</f>
        <v>2762.820637</v>
      </c>
      <c r="CE17" s="116">
        <f>Expenses!BX33</f>
        <v>2776.63474</v>
      </c>
      <c r="CF17" s="116">
        <f>Expenses!BY33</f>
        <v>2790.517914</v>
      </c>
      <c r="CG17" s="116">
        <f>Expenses!BZ33</f>
        <v>2804.470504</v>
      </c>
      <c r="CH17" s="116">
        <f>Expenses!CA33</f>
        <v>2818.492856</v>
      </c>
      <c r="CI17" s="116">
        <f>Expenses!CB33</f>
        <v>2832.58532</v>
      </c>
    </row>
    <row r="18" outlineLevel="1">
      <c r="A18" s="1" t="s">
        <v>119</v>
      </c>
      <c r="B18" s="91" t="s">
        <v>70</v>
      </c>
      <c r="C18" s="132" t="s">
        <v>243</v>
      </c>
      <c r="D18" s="247">
        <f t="shared" ref="D18:Z18" si="18">RANDBETWEEN(0,5000)</f>
        <v>3649</v>
      </c>
      <c r="E18" s="247">
        <f t="shared" si="18"/>
        <v>1143</v>
      </c>
      <c r="F18" s="247">
        <f t="shared" si="18"/>
        <v>3374</v>
      </c>
      <c r="G18" s="247">
        <f t="shared" si="18"/>
        <v>1320</v>
      </c>
      <c r="H18" s="247">
        <f t="shared" si="18"/>
        <v>4296</v>
      </c>
      <c r="I18" s="247">
        <f t="shared" si="18"/>
        <v>415</v>
      </c>
      <c r="J18" s="247">
        <f t="shared" si="18"/>
        <v>1239</v>
      </c>
      <c r="K18" s="247">
        <f t="shared" si="18"/>
        <v>3445</v>
      </c>
      <c r="L18" s="247">
        <f t="shared" si="18"/>
        <v>4204</v>
      </c>
      <c r="M18" s="247">
        <f t="shared" si="18"/>
        <v>4106</v>
      </c>
      <c r="N18" s="247">
        <f t="shared" si="18"/>
        <v>1917</v>
      </c>
      <c r="O18" s="247">
        <f t="shared" si="18"/>
        <v>4162</v>
      </c>
      <c r="P18" s="247">
        <f t="shared" si="18"/>
        <v>4529</v>
      </c>
      <c r="Q18" s="247">
        <f t="shared" si="18"/>
        <v>3354</v>
      </c>
      <c r="R18" s="247">
        <f t="shared" si="18"/>
        <v>1037</v>
      </c>
      <c r="S18" s="247">
        <f t="shared" si="18"/>
        <v>1038</v>
      </c>
      <c r="T18" s="247">
        <f t="shared" si="18"/>
        <v>3256</v>
      </c>
      <c r="U18" s="247">
        <f t="shared" si="18"/>
        <v>1992</v>
      </c>
      <c r="V18" s="247">
        <f t="shared" si="18"/>
        <v>4373</v>
      </c>
      <c r="W18" s="247">
        <f t="shared" si="18"/>
        <v>71</v>
      </c>
      <c r="X18" s="247">
        <f t="shared" si="18"/>
        <v>1443</v>
      </c>
      <c r="Y18" s="247">
        <f t="shared" si="18"/>
        <v>4670</v>
      </c>
      <c r="Z18" s="247">
        <f t="shared" si="18"/>
        <v>2366</v>
      </c>
      <c r="AA18" s="116">
        <f>Expenses!T65</f>
        <v>623.55</v>
      </c>
      <c r="AB18" s="116">
        <f>Expenses!U65</f>
        <v>1373.55</v>
      </c>
      <c r="AC18" s="116">
        <f>Expenses!V65</f>
        <v>1373.55</v>
      </c>
      <c r="AD18" s="116">
        <f>Expenses!W65</f>
        <v>1373.55</v>
      </c>
      <c r="AE18" s="116">
        <f>Expenses!X65</f>
        <v>1373.55</v>
      </c>
      <c r="AF18" s="116">
        <f>Expenses!Y65</f>
        <v>2123.55</v>
      </c>
      <c r="AG18" s="116">
        <f>Expenses!Z65</f>
        <v>2123.55</v>
      </c>
      <c r="AH18" s="116">
        <f>Expenses!AA65</f>
        <v>2123.55</v>
      </c>
      <c r="AI18" s="116">
        <f>Expenses!AB65</f>
        <v>2123.55</v>
      </c>
      <c r="AJ18" s="116">
        <f>Expenses!AC65</f>
        <v>2873.55</v>
      </c>
      <c r="AK18" s="116">
        <f>Expenses!AD65</f>
        <v>2873.55</v>
      </c>
      <c r="AL18" s="116">
        <f>Expenses!AE65</f>
        <v>2873.55</v>
      </c>
      <c r="AM18" s="116">
        <f>Expenses!AF65</f>
        <v>2873.55</v>
      </c>
      <c r="AN18" s="116">
        <f>Expenses!AG65</f>
        <v>2873.55</v>
      </c>
      <c r="AO18" s="116">
        <f>Expenses!AH65</f>
        <v>2873.55</v>
      </c>
      <c r="AP18" s="116">
        <f>Expenses!AI65</f>
        <v>2873.55</v>
      </c>
      <c r="AQ18" s="116">
        <f>Expenses!AJ65</f>
        <v>2873.55</v>
      </c>
      <c r="AR18" s="116">
        <f>Expenses!AK65</f>
        <v>2873.55</v>
      </c>
      <c r="AS18" s="116">
        <f>Expenses!AL65</f>
        <v>2873.55</v>
      </c>
      <c r="AT18" s="116">
        <f>Expenses!AM65</f>
        <v>2873.55</v>
      </c>
      <c r="AU18" s="116">
        <f>Expenses!AN65</f>
        <v>2873.55</v>
      </c>
      <c r="AV18" s="116">
        <f>Expenses!AO65</f>
        <v>3473.55</v>
      </c>
      <c r="AW18" s="116">
        <f>Expenses!AP65</f>
        <v>3473.55</v>
      </c>
      <c r="AX18" s="116">
        <f>Expenses!AQ65</f>
        <v>3473.55</v>
      </c>
      <c r="AY18" s="116">
        <f>Expenses!AR65</f>
        <v>3473.55</v>
      </c>
      <c r="AZ18" s="116">
        <f>Expenses!AS65</f>
        <v>4973.55</v>
      </c>
      <c r="BA18" s="116">
        <f>Expenses!AT65</f>
        <v>4973.55</v>
      </c>
      <c r="BB18" s="116">
        <f>Expenses!AU65</f>
        <v>4973.55</v>
      </c>
      <c r="BC18" s="116">
        <f>Expenses!AV65</f>
        <v>4973.55</v>
      </c>
      <c r="BD18" s="116">
        <f>Expenses!AW65</f>
        <v>6473.55</v>
      </c>
      <c r="BE18" s="116">
        <f>Expenses!AX65</f>
        <v>6473.55</v>
      </c>
      <c r="BF18" s="116">
        <f>Expenses!AY65</f>
        <v>6473.55</v>
      </c>
      <c r="BG18" s="116">
        <f>Expenses!AZ65</f>
        <v>6473.55</v>
      </c>
      <c r="BH18" s="116">
        <f>Expenses!BA65</f>
        <v>7973.55</v>
      </c>
      <c r="BI18" s="116">
        <f>Expenses!BB65</f>
        <v>7973.55</v>
      </c>
      <c r="BJ18" s="116">
        <f>Expenses!BC65</f>
        <v>7973.55</v>
      </c>
      <c r="BK18" s="116">
        <f>Expenses!BD65</f>
        <v>7973.55</v>
      </c>
      <c r="BL18" s="116">
        <f>Expenses!BE65</f>
        <v>8003.55</v>
      </c>
      <c r="BM18" s="116">
        <f>Expenses!BF65</f>
        <v>8003.55</v>
      </c>
      <c r="BN18" s="116">
        <f>Expenses!BG65</f>
        <v>8003.55</v>
      </c>
      <c r="BO18" s="116">
        <f>Expenses!BH65</f>
        <v>8003.55</v>
      </c>
      <c r="BP18" s="116">
        <f>Expenses!BI65</f>
        <v>8033.55</v>
      </c>
      <c r="BQ18" s="116">
        <f>Expenses!BJ65</f>
        <v>8033.55</v>
      </c>
      <c r="BR18" s="116">
        <f>Expenses!BK65</f>
        <v>8033.55</v>
      </c>
      <c r="BS18" s="116">
        <f>Expenses!BL65</f>
        <v>8033.55</v>
      </c>
      <c r="BT18" s="116">
        <f>Expenses!BM65</f>
        <v>8063.55</v>
      </c>
      <c r="BU18" s="116">
        <f>Expenses!BN65</f>
        <v>8063.55</v>
      </c>
      <c r="BV18" s="116">
        <f>Expenses!BO65</f>
        <v>8063.55</v>
      </c>
      <c r="BW18" s="116">
        <f>Expenses!BP65</f>
        <v>8063.55</v>
      </c>
      <c r="BX18" s="116">
        <f>Expenses!BQ65</f>
        <v>8093.55</v>
      </c>
      <c r="BY18" s="116">
        <f>Expenses!BR65</f>
        <v>8093.55</v>
      </c>
      <c r="BZ18" s="116">
        <f>Expenses!BS65</f>
        <v>8093.55</v>
      </c>
      <c r="CA18" s="116">
        <f>Expenses!BT65</f>
        <v>8093.55</v>
      </c>
      <c r="CB18" s="116">
        <f>Expenses!BU65</f>
        <v>8123.55</v>
      </c>
      <c r="CC18" s="116">
        <f>Expenses!BV65</f>
        <v>8123.55</v>
      </c>
      <c r="CD18" s="116">
        <f>Expenses!BW65</f>
        <v>8123.55</v>
      </c>
      <c r="CE18" s="116">
        <f>Expenses!BX65</f>
        <v>8123.55</v>
      </c>
      <c r="CF18" s="116">
        <f>Expenses!BY65</f>
        <v>8498.55</v>
      </c>
      <c r="CG18" s="116">
        <f>Expenses!BZ65</f>
        <v>8498.55</v>
      </c>
      <c r="CH18" s="116">
        <f>Expenses!CA65</f>
        <v>8498.55</v>
      </c>
      <c r="CI18" s="116">
        <f>Expenses!CB65</f>
        <v>8498.55</v>
      </c>
    </row>
    <row r="19" outlineLevel="1">
      <c r="A19" s="1" t="s">
        <v>119</v>
      </c>
      <c r="B19" s="91" t="s">
        <v>120</v>
      </c>
      <c r="C19" s="132" t="s">
        <v>244</v>
      </c>
      <c r="D19" s="247">
        <f t="shared" ref="D19:Z19" si="19">RANDBETWEEN(0,5000)</f>
        <v>3869</v>
      </c>
      <c r="E19" s="247">
        <f t="shared" si="19"/>
        <v>1973</v>
      </c>
      <c r="F19" s="247">
        <f t="shared" si="19"/>
        <v>286</v>
      </c>
      <c r="G19" s="247">
        <f t="shared" si="19"/>
        <v>3793</v>
      </c>
      <c r="H19" s="247">
        <f t="shared" si="19"/>
        <v>437</v>
      </c>
      <c r="I19" s="247">
        <f t="shared" si="19"/>
        <v>3898</v>
      </c>
      <c r="J19" s="247">
        <f t="shared" si="19"/>
        <v>3547</v>
      </c>
      <c r="K19" s="247">
        <f t="shared" si="19"/>
        <v>216</v>
      </c>
      <c r="L19" s="247">
        <f t="shared" si="19"/>
        <v>433</v>
      </c>
      <c r="M19" s="247">
        <f t="shared" si="19"/>
        <v>418</v>
      </c>
      <c r="N19" s="247">
        <f t="shared" si="19"/>
        <v>4242</v>
      </c>
      <c r="O19" s="247">
        <f t="shared" si="19"/>
        <v>3222</v>
      </c>
      <c r="P19" s="247">
        <f t="shared" si="19"/>
        <v>800</v>
      </c>
      <c r="Q19" s="247">
        <f t="shared" si="19"/>
        <v>3912</v>
      </c>
      <c r="R19" s="247">
        <f t="shared" si="19"/>
        <v>3061</v>
      </c>
      <c r="S19" s="247">
        <f t="shared" si="19"/>
        <v>4144</v>
      </c>
      <c r="T19" s="247">
        <f t="shared" si="19"/>
        <v>359</v>
      </c>
      <c r="U19" s="247">
        <f t="shared" si="19"/>
        <v>2393</v>
      </c>
      <c r="V19" s="247">
        <f t="shared" si="19"/>
        <v>4454</v>
      </c>
      <c r="W19" s="247">
        <f t="shared" si="19"/>
        <v>2641</v>
      </c>
      <c r="X19" s="247">
        <f t="shared" si="19"/>
        <v>570</v>
      </c>
      <c r="Y19" s="247">
        <f t="shared" si="19"/>
        <v>153</v>
      </c>
      <c r="Z19" s="247">
        <f t="shared" si="19"/>
        <v>2938</v>
      </c>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1"/>
      <c r="BK19" s="511"/>
      <c r="BL19" s="511"/>
      <c r="BM19" s="511"/>
      <c r="BN19" s="511"/>
      <c r="BO19" s="511"/>
      <c r="BP19" s="511"/>
      <c r="BQ19" s="511"/>
      <c r="BR19" s="511"/>
      <c r="BS19" s="511"/>
      <c r="BT19" s="511"/>
      <c r="BU19" s="511"/>
      <c r="BV19" s="511"/>
      <c r="BW19" s="511"/>
      <c r="BX19" s="511"/>
      <c r="BY19" s="511"/>
      <c r="BZ19" s="511"/>
      <c r="CA19" s="511"/>
      <c r="CB19" s="511"/>
      <c r="CC19" s="511"/>
      <c r="CD19" s="511"/>
      <c r="CE19" s="511"/>
      <c r="CF19" s="511"/>
      <c r="CG19" s="511"/>
      <c r="CH19" s="511"/>
      <c r="CI19" s="511"/>
    </row>
    <row r="20" ht="15.75" customHeight="1" outlineLevel="1">
      <c r="A20" s="1" t="s">
        <v>119</v>
      </c>
      <c r="B20" s="91" t="s">
        <v>826</v>
      </c>
      <c r="C20" s="132" t="s">
        <v>241</v>
      </c>
      <c r="D20" s="247">
        <f t="shared" ref="D20:Z20" si="20">RANDBETWEEN(0,5000)</f>
        <v>1784</v>
      </c>
      <c r="E20" s="247">
        <f t="shared" si="20"/>
        <v>3064</v>
      </c>
      <c r="F20" s="247">
        <f t="shared" si="20"/>
        <v>30</v>
      </c>
      <c r="G20" s="247">
        <f t="shared" si="20"/>
        <v>2984</v>
      </c>
      <c r="H20" s="247">
        <f t="shared" si="20"/>
        <v>3124</v>
      </c>
      <c r="I20" s="247">
        <f t="shared" si="20"/>
        <v>3372</v>
      </c>
      <c r="J20" s="247">
        <f t="shared" si="20"/>
        <v>4597</v>
      </c>
      <c r="K20" s="247">
        <f t="shared" si="20"/>
        <v>2181</v>
      </c>
      <c r="L20" s="247">
        <f t="shared" si="20"/>
        <v>2412</v>
      </c>
      <c r="M20" s="247">
        <f t="shared" si="20"/>
        <v>3559</v>
      </c>
      <c r="N20" s="247">
        <f t="shared" si="20"/>
        <v>2622</v>
      </c>
      <c r="O20" s="247">
        <f t="shared" si="20"/>
        <v>665</v>
      </c>
      <c r="P20" s="247">
        <f t="shared" si="20"/>
        <v>2345</v>
      </c>
      <c r="Q20" s="247">
        <f t="shared" si="20"/>
        <v>3717</v>
      </c>
      <c r="R20" s="247">
        <f t="shared" si="20"/>
        <v>1687</v>
      </c>
      <c r="S20" s="247">
        <f t="shared" si="20"/>
        <v>3501</v>
      </c>
      <c r="T20" s="247">
        <f t="shared" si="20"/>
        <v>485</v>
      </c>
      <c r="U20" s="247">
        <f t="shared" si="20"/>
        <v>1886</v>
      </c>
      <c r="V20" s="247">
        <f t="shared" si="20"/>
        <v>2009</v>
      </c>
      <c r="W20" s="247">
        <f t="shared" si="20"/>
        <v>2057</v>
      </c>
      <c r="X20" s="247">
        <f t="shared" si="20"/>
        <v>1991</v>
      </c>
      <c r="Y20" s="247">
        <f t="shared" si="20"/>
        <v>2497</v>
      </c>
      <c r="Z20" s="247">
        <f t="shared" si="20"/>
        <v>2621</v>
      </c>
      <c r="AA20" s="511"/>
      <c r="AB20" s="511"/>
      <c r="AC20" s="511"/>
      <c r="AD20" s="511"/>
      <c r="AE20" s="511"/>
      <c r="AF20" s="511"/>
      <c r="AG20" s="511"/>
      <c r="AH20" s="511"/>
      <c r="AI20" s="511"/>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1"/>
      <c r="BY20" s="511"/>
      <c r="BZ20" s="511"/>
      <c r="CA20" s="511"/>
      <c r="CB20" s="511"/>
      <c r="CC20" s="511"/>
      <c r="CD20" s="511"/>
      <c r="CE20" s="511"/>
      <c r="CF20" s="511"/>
      <c r="CG20" s="511"/>
      <c r="CH20" s="511"/>
      <c r="CI20" s="511"/>
    </row>
    <row r="21" ht="15.75" customHeight="1" outlineLevel="1">
      <c r="A21" s="1" t="s">
        <v>119</v>
      </c>
      <c r="B21" s="91" t="s">
        <v>120</v>
      </c>
      <c r="C21" s="132" t="s">
        <v>246</v>
      </c>
      <c r="D21" s="247">
        <f t="shared" ref="D21:Z21" si="21">RANDBETWEEN(0,5000)</f>
        <v>2589</v>
      </c>
      <c r="E21" s="247">
        <f t="shared" si="21"/>
        <v>2749</v>
      </c>
      <c r="F21" s="247">
        <f t="shared" si="21"/>
        <v>2748</v>
      </c>
      <c r="G21" s="247">
        <f t="shared" si="21"/>
        <v>2321</v>
      </c>
      <c r="H21" s="247">
        <f t="shared" si="21"/>
        <v>67</v>
      </c>
      <c r="I21" s="247">
        <f t="shared" si="21"/>
        <v>3280</v>
      </c>
      <c r="J21" s="247">
        <f t="shared" si="21"/>
        <v>328</v>
      </c>
      <c r="K21" s="247">
        <f t="shared" si="21"/>
        <v>1173</v>
      </c>
      <c r="L21" s="247">
        <f t="shared" si="21"/>
        <v>4474</v>
      </c>
      <c r="M21" s="247">
        <f t="shared" si="21"/>
        <v>4710</v>
      </c>
      <c r="N21" s="247">
        <f t="shared" si="21"/>
        <v>4650</v>
      </c>
      <c r="O21" s="247">
        <f t="shared" si="21"/>
        <v>2527</v>
      </c>
      <c r="P21" s="247">
        <f t="shared" si="21"/>
        <v>4291</v>
      </c>
      <c r="Q21" s="247">
        <f t="shared" si="21"/>
        <v>4344</v>
      </c>
      <c r="R21" s="247">
        <f t="shared" si="21"/>
        <v>3271</v>
      </c>
      <c r="S21" s="247">
        <f t="shared" si="21"/>
        <v>3181</v>
      </c>
      <c r="T21" s="247">
        <f t="shared" si="21"/>
        <v>412</v>
      </c>
      <c r="U21" s="247">
        <f t="shared" si="21"/>
        <v>1547</v>
      </c>
      <c r="V21" s="247">
        <f t="shared" si="21"/>
        <v>1885</v>
      </c>
      <c r="W21" s="247">
        <f t="shared" si="21"/>
        <v>747</v>
      </c>
      <c r="X21" s="247">
        <f t="shared" si="21"/>
        <v>285</v>
      </c>
      <c r="Y21" s="247">
        <f t="shared" si="21"/>
        <v>3735</v>
      </c>
      <c r="Z21" s="247">
        <f t="shared" si="21"/>
        <v>421</v>
      </c>
      <c r="AA21" s="511">
        <f>Expenses!T85</f>
        <v>1861.5</v>
      </c>
      <c r="AB21" s="511">
        <f>Expenses!U85</f>
        <v>1880.115</v>
      </c>
      <c r="AC21" s="511">
        <f>Expenses!V85</f>
        <v>53583.2775</v>
      </c>
      <c r="AD21" s="511">
        <f>Expenses!W85</f>
        <v>2143.3311</v>
      </c>
      <c r="AE21" s="511">
        <f>Expenses!X85</f>
        <v>2154.047756</v>
      </c>
      <c r="AF21" s="511">
        <f>Expenses!Y85</f>
        <v>2164.817994</v>
      </c>
      <c r="AG21" s="511">
        <f>Expenses!Z85</f>
        <v>2175.642084</v>
      </c>
      <c r="AH21" s="511">
        <f>Expenses!AA85</f>
        <v>56566.69419</v>
      </c>
      <c r="AI21" s="511">
        <f>Expenses!AB85</f>
        <v>2262.667768</v>
      </c>
      <c r="AJ21" s="511">
        <f>Expenses!AC85</f>
        <v>2273.981106</v>
      </c>
      <c r="AK21" s="511">
        <f>Expenses!AD85</f>
        <v>2285.351012</v>
      </c>
      <c r="AL21" s="511">
        <f>Expenses!AE85</f>
        <v>2296.777767</v>
      </c>
      <c r="AM21" s="511">
        <f>Expenses!AF85</f>
        <v>2308.261656</v>
      </c>
      <c r="AN21" s="511">
        <f>Expenses!AG85</f>
        <v>57706.5414</v>
      </c>
      <c r="AO21" s="511">
        <f>Expenses!AH85</f>
        <v>2308.261656</v>
      </c>
      <c r="AP21" s="511">
        <f>Expenses!AI85</f>
        <v>2319.802964</v>
      </c>
      <c r="AQ21" s="511">
        <f>Expenses!AJ85</f>
        <v>2331.401979</v>
      </c>
      <c r="AR21" s="511">
        <f>Expenses!AK85</f>
        <v>2343.058989</v>
      </c>
      <c r="AS21" s="511">
        <f>Expenses!AL85</f>
        <v>2354.774284</v>
      </c>
      <c r="AT21" s="511">
        <f>Expenses!AM85</f>
        <v>54159.80853</v>
      </c>
      <c r="AU21" s="511">
        <f>Expenses!AN85</f>
        <v>2707.990426</v>
      </c>
      <c r="AV21" s="511">
        <f>Expenses!AO85</f>
        <v>2721.530379</v>
      </c>
      <c r="AW21" s="511">
        <f>Expenses!AP85</f>
        <v>2735.13803</v>
      </c>
      <c r="AX21" s="511">
        <f>Expenses!AQ85</f>
        <v>2748.813721</v>
      </c>
      <c r="AY21" s="511">
        <f>Expenses!AR85</f>
        <v>2762.557789</v>
      </c>
      <c r="AZ21" s="511">
        <f>Expenses!AS85</f>
        <v>63538.82915</v>
      </c>
      <c r="BA21" s="511">
        <f>Expenses!AT85</f>
        <v>3176.941458</v>
      </c>
      <c r="BB21" s="511">
        <f>Expenses!AU85</f>
        <v>3192.826165</v>
      </c>
      <c r="BC21" s="511">
        <f>Expenses!AV85</f>
        <v>3208.790296</v>
      </c>
      <c r="BD21" s="511">
        <f>Expenses!AW85</f>
        <v>3224.834247</v>
      </c>
      <c r="BE21" s="511">
        <f>Expenses!AX85</f>
        <v>3240.958418</v>
      </c>
      <c r="BF21" s="511">
        <f>Expenses!AY85</f>
        <v>68060.12679</v>
      </c>
      <c r="BG21" s="511">
        <f>Expenses!AZ85</f>
        <v>3403.006339</v>
      </c>
      <c r="BH21" s="511">
        <f>Expenses!BA85</f>
        <v>3420.021371</v>
      </c>
      <c r="BI21" s="511">
        <f>Expenses!BB85</f>
        <v>3437.121478</v>
      </c>
      <c r="BJ21" s="511">
        <f>Expenses!BC85</f>
        <v>3454.307085</v>
      </c>
      <c r="BK21" s="511">
        <f>Expenses!BD85</f>
        <v>3471.578621</v>
      </c>
      <c r="BL21" s="511">
        <f>Expenses!BE85</f>
        <v>65959.99379</v>
      </c>
      <c r="BM21" s="511">
        <f>Expenses!BF85</f>
        <v>3297.99969</v>
      </c>
      <c r="BN21" s="511">
        <f>Expenses!BG85</f>
        <v>3314.489688</v>
      </c>
      <c r="BO21" s="511">
        <f>Expenses!BH85</f>
        <v>3331.062137</v>
      </c>
      <c r="BP21" s="511">
        <f>Expenses!BI85</f>
        <v>3347.717447</v>
      </c>
      <c r="BQ21" s="511">
        <f>Expenses!BJ85</f>
        <v>3364.456034</v>
      </c>
      <c r="BR21" s="511">
        <f>Expenses!BK85</f>
        <v>63924.66465</v>
      </c>
      <c r="BS21" s="511">
        <f>Expenses!BL85</f>
        <v>3196.233233</v>
      </c>
      <c r="BT21" s="511">
        <f>Expenses!BM85</f>
        <v>3212.214399</v>
      </c>
      <c r="BU21" s="511">
        <f>Expenses!BN85</f>
        <v>3228.275471</v>
      </c>
      <c r="BV21" s="511">
        <f>Expenses!BO85</f>
        <v>3244.416848</v>
      </c>
      <c r="BW21" s="511">
        <f>Expenses!BP85</f>
        <v>3260.638932</v>
      </c>
      <c r="BX21" s="511">
        <f>Expenses!BQ85</f>
        <v>61952.13972</v>
      </c>
      <c r="BY21" s="511">
        <f>Expenses!BR85</f>
        <v>3097.606986</v>
      </c>
      <c r="BZ21" s="511">
        <f>Expenses!BS85</f>
        <v>3113.095021</v>
      </c>
      <c r="CA21" s="511">
        <f>Expenses!BT85</f>
        <v>3128.660496</v>
      </c>
      <c r="CB21" s="511">
        <f>Expenses!BU85</f>
        <v>3144.303798</v>
      </c>
      <c r="CC21" s="511">
        <f>Expenses!BV85</f>
        <v>3160.025317</v>
      </c>
      <c r="CD21" s="511">
        <f>Expenses!BW85</f>
        <v>53720.43039</v>
      </c>
      <c r="CE21" s="511">
        <f>Expenses!BX85</f>
        <v>2686.02152</v>
      </c>
      <c r="CF21" s="511">
        <f>Expenses!BY85</f>
        <v>2699.451627</v>
      </c>
      <c r="CG21" s="511">
        <f>Expenses!BZ85</f>
        <v>2712.948885</v>
      </c>
      <c r="CH21" s="511">
        <f>Expenses!CA85</f>
        <v>2726.51363</v>
      </c>
      <c r="CI21" s="511">
        <f>Expenses!CB85</f>
        <v>2740.146198</v>
      </c>
    </row>
    <row r="22" ht="15.75" customHeight="1" outlineLevel="1">
      <c r="A22" s="1" t="s">
        <v>119</v>
      </c>
      <c r="B22" s="91" t="s">
        <v>120</v>
      </c>
      <c r="C22" s="132" t="s">
        <v>247</v>
      </c>
      <c r="D22" s="247">
        <f t="shared" ref="D22:Z22" si="22">RANDBETWEEN(0,5000)</f>
        <v>2590</v>
      </c>
      <c r="E22" s="247">
        <f t="shared" si="22"/>
        <v>2245</v>
      </c>
      <c r="F22" s="247">
        <f t="shared" si="22"/>
        <v>2487</v>
      </c>
      <c r="G22" s="247">
        <f t="shared" si="22"/>
        <v>734</v>
      </c>
      <c r="H22" s="247">
        <f t="shared" si="22"/>
        <v>988</v>
      </c>
      <c r="I22" s="247">
        <f t="shared" si="22"/>
        <v>4607</v>
      </c>
      <c r="J22" s="247">
        <f t="shared" si="22"/>
        <v>2759</v>
      </c>
      <c r="K22" s="247">
        <f t="shared" si="22"/>
        <v>3104</v>
      </c>
      <c r="L22" s="247">
        <f t="shared" si="22"/>
        <v>4746</v>
      </c>
      <c r="M22" s="247">
        <f t="shared" si="22"/>
        <v>334</v>
      </c>
      <c r="N22" s="247">
        <f t="shared" si="22"/>
        <v>2279</v>
      </c>
      <c r="O22" s="247">
        <f t="shared" si="22"/>
        <v>1397</v>
      </c>
      <c r="P22" s="247">
        <f t="shared" si="22"/>
        <v>985</v>
      </c>
      <c r="Q22" s="247">
        <f t="shared" si="22"/>
        <v>2247</v>
      </c>
      <c r="R22" s="247">
        <f t="shared" si="22"/>
        <v>3186</v>
      </c>
      <c r="S22" s="247">
        <f t="shared" si="22"/>
        <v>2626</v>
      </c>
      <c r="T22" s="247">
        <f t="shared" si="22"/>
        <v>3746</v>
      </c>
      <c r="U22" s="247">
        <f t="shared" si="22"/>
        <v>2617</v>
      </c>
      <c r="V22" s="247">
        <f t="shared" si="22"/>
        <v>1544</v>
      </c>
      <c r="W22" s="247">
        <f t="shared" si="22"/>
        <v>4648</v>
      </c>
      <c r="X22" s="247">
        <f t="shared" si="22"/>
        <v>4025</v>
      </c>
      <c r="Y22" s="247">
        <f t="shared" si="22"/>
        <v>4005</v>
      </c>
      <c r="Z22" s="247">
        <f t="shared" si="22"/>
        <v>3501</v>
      </c>
      <c r="AA22" s="511">
        <v>0.0</v>
      </c>
      <c r="AB22" s="511">
        <v>0.0</v>
      </c>
      <c r="AC22" s="511">
        <v>0.0</v>
      </c>
      <c r="AD22" s="511">
        <v>0.0</v>
      </c>
      <c r="AE22" s="511">
        <v>0.0</v>
      </c>
      <c r="AF22" s="511">
        <v>0.0</v>
      </c>
      <c r="AG22" s="511">
        <v>0.0</v>
      </c>
      <c r="AH22" s="511">
        <v>0.0</v>
      </c>
      <c r="AI22" s="511">
        <v>0.0</v>
      </c>
      <c r="AJ22" s="511">
        <v>0.0</v>
      </c>
      <c r="AK22" s="511">
        <v>0.0</v>
      </c>
      <c r="AL22" s="511">
        <v>0.0</v>
      </c>
      <c r="AM22" s="511">
        <v>0.0</v>
      </c>
      <c r="AN22" s="511">
        <v>0.0</v>
      </c>
      <c r="AO22" s="511">
        <v>0.0</v>
      </c>
      <c r="AP22" s="511">
        <v>0.0</v>
      </c>
      <c r="AQ22" s="511">
        <v>0.0</v>
      </c>
      <c r="AR22" s="511">
        <v>0.0</v>
      </c>
      <c r="AS22" s="511">
        <v>0.0</v>
      </c>
      <c r="AT22" s="511">
        <v>0.0</v>
      </c>
      <c r="AU22" s="511">
        <v>0.0</v>
      </c>
      <c r="AV22" s="511">
        <v>0.0</v>
      </c>
      <c r="AW22" s="511">
        <v>0.0</v>
      </c>
      <c r="AX22" s="511">
        <v>0.0</v>
      </c>
      <c r="AY22" s="511">
        <v>0.0</v>
      </c>
      <c r="AZ22" s="511">
        <v>0.0</v>
      </c>
      <c r="BA22" s="511">
        <v>0.0</v>
      </c>
      <c r="BB22" s="511">
        <v>0.0</v>
      </c>
      <c r="BC22" s="511">
        <v>0.0</v>
      </c>
      <c r="BD22" s="511">
        <v>0.0</v>
      </c>
      <c r="BE22" s="511">
        <v>0.0</v>
      </c>
      <c r="BF22" s="511">
        <v>0.0</v>
      </c>
      <c r="BG22" s="511">
        <v>0.0</v>
      </c>
      <c r="BH22" s="511">
        <v>0.0</v>
      </c>
      <c r="BI22" s="511">
        <v>0.0</v>
      </c>
      <c r="BJ22" s="511">
        <v>0.0</v>
      </c>
      <c r="BK22" s="511">
        <v>0.0</v>
      </c>
      <c r="BL22" s="511">
        <v>0.0</v>
      </c>
      <c r="BM22" s="511">
        <v>0.0</v>
      </c>
      <c r="BN22" s="511">
        <v>0.0</v>
      </c>
      <c r="BO22" s="511">
        <v>0.0</v>
      </c>
      <c r="BP22" s="511">
        <v>0.0</v>
      </c>
      <c r="BQ22" s="511">
        <v>0.0</v>
      </c>
      <c r="BR22" s="511">
        <v>0.0</v>
      </c>
      <c r="BS22" s="511">
        <v>0.0</v>
      </c>
      <c r="BT22" s="511">
        <v>0.0</v>
      </c>
      <c r="BU22" s="511">
        <v>0.0</v>
      </c>
      <c r="BV22" s="511">
        <v>0.0</v>
      </c>
      <c r="BW22" s="511">
        <v>0.0</v>
      </c>
      <c r="BX22" s="511">
        <v>0.0</v>
      </c>
      <c r="BY22" s="511">
        <v>0.0</v>
      </c>
      <c r="BZ22" s="511">
        <v>0.0</v>
      </c>
      <c r="CA22" s="511">
        <v>0.0</v>
      </c>
      <c r="CB22" s="511">
        <v>0.0</v>
      </c>
      <c r="CC22" s="511">
        <v>0.0</v>
      </c>
      <c r="CD22" s="511">
        <v>0.0</v>
      </c>
      <c r="CE22" s="511">
        <v>0.0</v>
      </c>
      <c r="CF22" s="511">
        <v>0.0</v>
      </c>
      <c r="CG22" s="511">
        <v>0.0</v>
      </c>
      <c r="CH22" s="511">
        <v>0.0</v>
      </c>
      <c r="CI22" s="511">
        <v>0.0</v>
      </c>
    </row>
    <row r="23" ht="15.75" customHeight="1" outlineLevel="1">
      <c r="A23" s="1" t="s">
        <v>119</v>
      </c>
      <c r="B23" s="91" t="s">
        <v>120</v>
      </c>
      <c r="C23" s="132" t="s">
        <v>248</v>
      </c>
      <c r="D23" s="247">
        <f t="shared" ref="D23:Z23" si="23">RANDBETWEEN(0,5000)</f>
        <v>4762</v>
      </c>
      <c r="E23" s="247">
        <f t="shared" si="23"/>
        <v>891</v>
      </c>
      <c r="F23" s="247">
        <f t="shared" si="23"/>
        <v>4045</v>
      </c>
      <c r="G23" s="247">
        <f t="shared" si="23"/>
        <v>2404</v>
      </c>
      <c r="H23" s="247">
        <f t="shared" si="23"/>
        <v>2887</v>
      </c>
      <c r="I23" s="247">
        <f t="shared" si="23"/>
        <v>3721</v>
      </c>
      <c r="J23" s="247">
        <f t="shared" si="23"/>
        <v>4351</v>
      </c>
      <c r="K23" s="247">
        <f t="shared" si="23"/>
        <v>3525</v>
      </c>
      <c r="L23" s="247">
        <f t="shared" si="23"/>
        <v>4410</v>
      </c>
      <c r="M23" s="247">
        <f t="shared" si="23"/>
        <v>3057</v>
      </c>
      <c r="N23" s="247">
        <f t="shared" si="23"/>
        <v>3619</v>
      </c>
      <c r="O23" s="247">
        <f t="shared" si="23"/>
        <v>240</v>
      </c>
      <c r="P23" s="247">
        <f t="shared" si="23"/>
        <v>1684</v>
      </c>
      <c r="Q23" s="247">
        <f t="shared" si="23"/>
        <v>350</v>
      </c>
      <c r="R23" s="247">
        <f t="shared" si="23"/>
        <v>2537</v>
      </c>
      <c r="S23" s="247">
        <f t="shared" si="23"/>
        <v>1456</v>
      </c>
      <c r="T23" s="247">
        <f t="shared" si="23"/>
        <v>3765</v>
      </c>
      <c r="U23" s="247">
        <f t="shared" si="23"/>
        <v>4112</v>
      </c>
      <c r="V23" s="247">
        <f t="shared" si="23"/>
        <v>492</v>
      </c>
      <c r="W23" s="247">
        <f t="shared" si="23"/>
        <v>1018</v>
      </c>
      <c r="X23" s="247">
        <f t="shared" si="23"/>
        <v>62</v>
      </c>
      <c r="Y23" s="247">
        <f t="shared" si="23"/>
        <v>3617</v>
      </c>
      <c r="Z23" s="247">
        <f t="shared" si="23"/>
        <v>108</v>
      </c>
      <c r="AA23" s="511">
        <f>Expenses!T88</f>
        <v>392.1</v>
      </c>
      <c r="AB23" s="511">
        <f>Expenses!U88</f>
        <v>394.0605</v>
      </c>
      <c r="AC23" s="511">
        <f>Expenses!V88</f>
        <v>396.0308025</v>
      </c>
      <c r="AD23" s="511">
        <f>Expenses!W88</f>
        <v>398.0109565</v>
      </c>
      <c r="AE23" s="511">
        <f>Expenses!X88</f>
        <v>400.0010113</v>
      </c>
      <c r="AF23" s="511">
        <f>Expenses!Y88</f>
        <v>402.0010164</v>
      </c>
      <c r="AG23" s="511">
        <f>Expenses!Z88</f>
        <v>404.0110214</v>
      </c>
      <c r="AH23" s="511">
        <f>Expenses!AA88</f>
        <v>406.0310765</v>
      </c>
      <c r="AI23" s="511">
        <f>Expenses!AB88</f>
        <v>408.0612319</v>
      </c>
      <c r="AJ23" s="511">
        <f>Expenses!AC88</f>
        <v>410.1015381</v>
      </c>
      <c r="AK23" s="511">
        <f>Expenses!AD88</f>
        <v>412.1520458</v>
      </c>
      <c r="AL23" s="511">
        <f>Expenses!AE88</f>
        <v>414.212806</v>
      </c>
      <c r="AM23" s="511">
        <f>Expenses!AF88</f>
        <v>416.28387</v>
      </c>
      <c r="AN23" s="511">
        <f>Expenses!AG88</f>
        <v>418.3652894</v>
      </c>
      <c r="AO23" s="511">
        <f>Expenses!AH88</f>
        <v>420.4571158</v>
      </c>
      <c r="AP23" s="511">
        <f>Expenses!AI88</f>
        <v>422.5594014</v>
      </c>
      <c r="AQ23" s="511">
        <f>Expenses!AJ88</f>
        <v>424.6721984</v>
      </c>
      <c r="AR23" s="511">
        <f>Expenses!AK88</f>
        <v>426.7955594</v>
      </c>
      <c r="AS23" s="511">
        <f>Expenses!AL88</f>
        <v>428.9295372</v>
      </c>
      <c r="AT23" s="511">
        <f>Expenses!AM88</f>
        <v>431.0741849</v>
      </c>
      <c r="AU23" s="511">
        <f>Expenses!AN88</f>
        <v>433.2295558</v>
      </c>
      <c r="AV23" s="511">
        <f>Expenses!AO88</f>
        <v>435.3957036</v>
      </c>
      <c r="AW23" s="511">
        <f>Expenses!AP88</f>
        <v>437.5726821</v>
      </c>
      <c r="AX23" s="511">
        <f>Expenses!AQ88</f>
        <v>439.7605455</v>
      </c>
      <c r="AY23" s="511">
        <f>Expenses!AR88</f>
        <v>441.9593483</v>
      </c>
      <c r="AZ23" s="511">
        <f>Expenses!AS88</f>
        <v>444.169145</v>
      </c>
      <c r="BA23" s="511">
        <f>Expenses!AT88</f>
        <v>446.3899907</v>
      </c>
      <c r="BB23" s="511">
        <f>Expenses!AU88</f>
        <v>448.6219407</v>
      </c>
      <c r="BC23" s="511">
        <f>Expenses!AV88</f>
        <v>450.8650504</v>
      </c>
      <c r="BD23" s="511">
        <f>Expenses!AW88</f>
        <v>453.1193756</v>
      </c>
      <c r="BE23" s="511">
        <f>Expenses!AX88</f>
        <v>455.3849725</v>
      </c>
      <c r="BF23" s="511">
        <f>Expenses!AY88</f>
        <v>457.6618974</v>
      </c>
      <c r="BG23" s="511">
        <f>Expenses!AZ88</f>
        <v>459.9502069</v>
      </c>
      <c r="BH23" s="511">
        <f>Expenses!BA88</f>
        <v>462.2499579</v>
      </c>
      <c r="BI23" s="511">
        <f>Expenses!BB88</f>
        <v>464.5612077</v>
      </c>
      <c r="BJ23" s="511">
        <f>Expenses!BC88</f>
        <v>466.8840137</v>
      </c>
      <c r="BK23" s="511">
        <f>Expenses!BD88</f>
        <v>469.2184338</v>
      </c>
      <c r="BL23" s="511">
        <f>Expenses!BE88</f>
        <v>471.564526</v>
      </c>
      <c r="BM23" s="511">
        <f>Expenses!BF88</f>
        <v>473.9223486</v>
      </c>
      <c r="BN23" s="511">
        <f>Expenses!BG88</f>
        <v>476.2919603</v>
      </c>
      <c r="BO23" s="511">
        <f>Expenses!BH88</f>
        <v>478.6734201</v>
      </c>
      <c r="BP23" s="511">
        <f>Expenses!BI88</f>
        <v>481.0667872</v>
      </c>
      <c r="BQ23" s="511">
        <f>Expenses!BJ88</f>
        <v>483.4721212</v>
      </c>
      <c r="BR23" s="511">
        <f>Expenses!BK88</f>
        <v>485.8894818</v>
      </c>
      <c r="BS23" s="511">
        <f>Expenses!BL88</f>
        <v>488.3189292</v>
      </c>
      <c r="BT23" s="511">
        <f>Expenses!BM88</f>
        <v>490.7605238</v>
      </c>
      <c r="BU23" s="511">
        <f>Expenses!BN88</f>
        <v>493.2143264</v>
      </c>
      <c r="BV23" s="511">
        <f>Expenses!BO88</f>
        <v>495.6803981</v>
      </c>
      <c r="BW23" s="511">
        <f>Expenses!BP88</f>
        <v>498.1588001</v>
      </c>
      <c r="BX23" s="511">
        <f>Expenses!BQ88</f>
        <v>500.6495941</v>
      </c>
      <c r="BY23" s="511">
        <f>Expenses!BR88</f>
        <v>503.152842</v>
      </c>
      <c r="BZ23" s="511">
        <f>Expenses!BS88</f>
        <v>505.6686062</v>
      </c>
      <c r="CA23" s="511">
        <f>Expenses!BT88</f>
        <v>508.1969493</v>
      </c>
      <c r="CB23" s="511">
        <f>Expenses!BU88</f>
        <v>510.737934</v>
      </c>
      <c r="CC23" s="511">
        <f>Expenses!BV88</f>
        <v>513.2916237</v>
      </c>
      <c r="CD23" s="511">
        <f>Expenses!BW88</f>
        <v>515.8580818</v>
      </c>
      <c r="CE23" s="511">
        <f>Expenses!BX88</f>
        <v>518.4373722</v>
      </c>
      <c r="CF23" s="511">
        <f>Expenses!BY88</f>
        <v>521.0295591</v>
      </c>
      <c r="CG23" s="511">
        <f>Expenses!BZ88</f>
        <v>523.6347069</v>
      </c>
      <c r="CH23" s="511">
        <f>Expenses!CA88</f>
        <v>526.2528804</v>
      </c>
      <c r="CI23" s="511">
        <f>Expenses!CB88</f>
        <v>528.8841448</v>
      </c>
    </row>
    <row r="24" ht="15.75" customHeight="1" outlineLevel="1">
      <c r="A24" s="1" t="s">
        <v>119</v>
      </c>
      <c r="B24" s="132" t="s">
        <v>179</v>
      </c>
      <c r="C24" s="132" t="s">
        <v>249</v>
      </c>
      <c r="D24" s="247">
        <f t="shared" ref="D24:Z24" si="24">RANDBETWEEN(0,5000)</f>
        <v>4678</v>
      </c>
      <c r="E24" s="247">
        <f t="shared" si="24"/>
        <v>3099</v>
      </c>
      <c r="F24" s="247">
        <f t="shared" si="24"/>
        <v>4268</v>
      </c>
      <c r="G24" s="247">
        <f t="shared" si="24"/>
        <v>663</v>
      </c>
      <c r="H24" s="247">
        <f t="shared" si="24"/>
        <v>4592</v>
      </c>
      <c r="I24" s="247">
        <f t="shared" si="24"/>
        <v>1286</v>
      </c>
      <c r="J24" s="247">
        <f t="shared" si="24"/>
        <v>675</v>
      </c>
      <c r="K24" s="247">
        <f t="shared" si="24"/>
        <v>1591</v>
      </c>
      <c r="L24" s="247">
        <f t="shared" si="24"/>
        <v>1927</v>
      </c>
      <c r="M24" s="247">
        <f t="shared" si="24"/>
        <v>3758</v>
      </c>
      <c r="N24" s="247">
        <f t="shared" si="24"/>
        <v>3740</v>
      </c>
      <c r="O24" s="247">
        <f t="shared" si="24"/>
        <v>1170</v>
      </c>
      <c r="P24" s="247">
        <f t="shared" si="24"/>
        <v>3962</v>
      </c>
      <c r="Q24" s="247">
        <f t="shared" si="24"/>
        <v>1398</v>
      </c>
      <c r="R24" s="247">
        <f t="shared" si="24"/>
        <v>1991</v>
      </c>
      <c r="S24" s="247">
        <f t="shared" si="24"/>
        <v>4913</v>
      </c>
      <c r="T24" s="247">
        <f t="shared" si="24"/>
        <v>4512</v>
      </c>
      <c r="U24" s="247">
        <f t="shared" si="24"/>
        <v>4143</v>
      </c>
      <c r="V24" s="247">
        <f t="shared" si="24"/>
        <v>3102</v>
      </c>
      <c r="W24" s="247">
        <f t="shared" si="24"/>
        <v>3777</v>
      </c>
      <c r="X24" s="247">
        <f t="shared" si="24"/>
        <v>243</v>
      </c>
      <c r="Y24" s="247">
        <f t="shared" si="24"/>
        <v>4407</v>
      </c>
      <c r="Z24" s="247">
        <f t="shared" si="24"/>
        <v>1463</v>
      </c>
      <c r="AA24" s="116">
        <f>Expenses!T129</f>
        <v>4170.11</v>
      </c>
      <c r="AB24" s="116">
        <f>Expenses!U129</f>
        <v>2244.9</v>
      </c>
      <c r="AC24" s="116">
        <f>Expenses!V129</f>
        <v>1036.851396</v>
      </c>
      <c r="AD24" s="116">
        <f>Expenses!W129</f>
        <v>1047.21991</v>
      </c>
      <c r="AE24" s="116">
        <f>Expenses!X129</f>
        <v>1057.692109</v>
      </c>
      <c r="AF24" s="116">
        <f>Expenses!Y129</f>
        <v>8417.5</v>
      </c>
      <c r="AG24" s="116">
        <f>Expenses!Z129</f>
        <v>1078.951721</v>
      </c>
      <c r="AH24" s="116">
        <f>Expenses!AA129</f>
        <v>1089.741238</v>
      </c>
      <c r="AI24" s="116">
        <f>Expenses!AB129</f>
        <v>1100.63865</v>
      </c>
      <c r="AJ24" s="116">
        <f>Expenses!AC129</f>
        <v>8645</v>
      </c>
      <c r="AK24" s="116">
        <f>Expenses!AD129</f>
        <v>1122.761487</v>
      </c>
      <c r="AL24" s="116">
        <f>Expenses!AE129</f>
        <v>1133.989102</v>
      </c>
      <c r="AM24" s="116">
        <f>Expenses!AF129</f>
        <v>1145.328993</v>
      </c>
      <c r="AN24" s="116">
        <f>Expenses!AG129</f>
        <v>9145.5</v>
      </c>
      <c r="AO24" s="116">
        <f>Expenses!AH129</f>
        <v>343.632384</v>
      </c>
      <c r="AP24" s="116">
        <f>Expenses!AI129</f>
        <v>347.0687079</v>
      </c>
      <c r="AQ24" s="116">
        <f>Expenses!AJ129</f>
        <v>350.539395</v>
      </c>
      <c r="AR24" s="116">
        <f>Expenses!AK129</f>
        <v>9373</v>
      </c>
      <c r="AS24" s="116">
        <f>Expenses!AL129</f>
        <v>357.5852368</v>
      </c>
      <c r="AT24" s="116">
        <f>Expenses!AM129</f>
        <v>361.1610892</v>
      </c>
      <c r="AU24" s="116">
        <f>Expenses!AN129</f>
        <v>364.7727001</v>
      </c>
      <c r="AV24" s="116">
        <f>Expenses!AO129</f>
        <v>9600.5</v>
      </c>
      <c r="AW24" s="116">
        <f>Expenses!AP129</f>
        <v>372.1046313</v>
      </c>
      <c r="AX24" s="116">
        <f>Expenses!AQ129</f>
        <v>375.8256776</v>
      </c>
      <c r="AY24" s="116">
        <f>Expenses!AR129</f>
        <v>379.5839344</v>
      </c>
      <c r="AZ24" s="116">
        <f>Expenses!AS129</f>
        <v>9782.5</v>
      </c>
      <c r="BA24" s="116">
        <f>Expenses!AT129</f>
        <v>387.2135715</v>
      </c>
      <c r="BB24" s="116">
        <f>Expenses!AU129</f>
        <v>391.0857072</v>
      </c>
      <c r="BC24" s="116">
        <f>Expenses!AV129</f>
        <v>394.9965643</v>
      </c>
      <c r="BD24" s="116">
        <f>Expenses!AW129</f>
        <v>10237.5</v>
      </c>
      <c r="BE24" s="116">
        <f>Expenses!AX129</f>
        <v>402.9359952</v>
      </c>
      <c r="BF24" s="116">
        <f>Expenses!AY129</f>
        <v>406.9653552</v>
      </c>
      <c r="BG24" s="116">
        <f>Expenses!AZ129</f>
        <v>411.0350087</v>
      </c>
      <c r="BH24" s="116">
        <f>Expenses!BA129</f>
        <v>10556</v>
      </c>
      <c r="BI24" s="116">
        <f>Expenses!BB129</f>
        <v>419.2968124</v>
      </c>
      <c r="BJ24" s="116">
        <f>Expenses!BC129</f>
        <v>423.4897805</v>
      </c>
      <c r="BK24" s="116">
        <f>Expenses!BD129</f>
        <v>427.7246783</v>
      </c>
      <c r="BL24" s="116">
        <f>Expenses!BE129</f>
        <v>10874.5</v>
      </c>
      <c r="BM24" s="116">
        <f>Expenses!BF129</f>
        <v>436.3219444</v>
      </c>
      <c r="BN24" s="116">
        <f>Expenses!BG129</f>
        <v>440.6851638</v>
      </c>
      <c r="BO24" s="116">
        <f>Expenses!BH129</f>
        <v>445.0920154</v>
      </c>
      <c r="BP24" s="116">
        <f>Expenses!BI129</f>
        <v>12194</v>
      </c>
      <c r="BQ24" s="116">
        <f>Expenses!BJ129</f>
        <v>454.038365</v>
      </c>
      <c r="BR24" s="116">
        <f>Expenses!BK129</f>
        <v>458.5787486</v>
      </c>
      <c r="BS24" s="116">
        <f>Expenses!BL129</f>
        <v>463.1645361</v>
      </c>
      <c r="BT24" s="116">
        <f>Expenses!BM129</f>
        <v>12558</v>
      </c>
      <c r="BU24" s="116">
        <f>Expenses!BN129</f>
        <v>472.4741433</v>
      </c>
      <c r="BV24" s="116">
        <f>Expenses!BO129</f>
        <v>477.1988847</v>
      </c>
      <c r="BW24" s="116">
        <f>Expenses!BP129</f>
        <v>481.9708735</v>
      </c>
      <c r="BX24" s="116">
        <f>Expenses!BQ129</f>
        <v>12831</v>
      </c>
      <c r="BY24" s="116">
        <f>Expenses!BR129</f>
        <v>491.6584881</v>
      </c>
      <c r="BZ24" s="116">
        <f>Expenses!BS129</f>
        <v>496.575073</v>
      </c>
      <c r="CA24" s="116">
        <f>Expenses!BT129</f>
        <v>501.5408237</v>
      </c>
      <c r="CB24" s="116">
        <f>Expenses!BU129</f>
        <v>13195</v>
      </c>
      <c r="CC24" s="116">
        <f>Expenses!BV129</f>
        <v>511.6217943</v>
      </c>
      <c r="CD24" s="116">
        <f>Expenses!BW129</f>
        <v>516.7380122</v>
      </c>
      <c r="CE24" s="116">
        <f>Expenses!BX129</f>
        <v>521.9053923</v>
      </c>
      <c r="CF24" s="116">
        <f>Expenses!BY129</f>
        <v>13377</v>
      </c>
      <c r="CG24" s="116">
        <f>Expenses!BZ129</f>
        <v>532.3956907</v>
      </c>
      <c r="CH24" s="116">
        <f>Expenses!CA129</f>
        <v>537.7196476</v>
      </c>
      <c r="CI24" s="116">
        <f>Expenses!CB129</f>
        <v>543.0968441</v>
      </c>
    </row>
    <row r="25" ht="15.75" customHeight="1" outlineLevel="1">
      <c r="A25" s="1" t="s">
        <v>119</v>
      </c>
      <c r="B25" s="132" t="s">
        <v>179</v>
      </c>
      <c r="C25" s="132" t="s">
        <v>250</v>
      </c>
      <c r="D25" s="247">
        <f t="shared" ref="D25:Z25" si="25">RANDBETWEEN(0,5000)</f>
        <v>4935</v>
      </c>
      <c r="E25" s="247">
        <f t="shared" si="25"/>
        <v>3074</v>
      </c>
      <c r="F25" s="247">
        <f t="shared" si="25"/>
        <v>3671</v>
      </c>
      <c r="G25" s="247">
        <f t="shared" si="25"/>
        <v>2073</v>
      </c>
      <c r="H25" s="247">
        <f t="shared" si="25"/>
        <v>1003</v>
      </c>
      <c r="I25" s="247">
        <f t="shared" si="25"/>
        <v>1950</v>
      </c>
      <c r="J25" s="247">
        <f t="shared" si="25"/>
        <v>740</v>
      </c>
      <c r="K25" s="247">
        <f t="shared" si="25"/>
        <v>4882</v>
      </c>
      <c r="L25" s="247">
        <f t="shared" si="25"/>
        <v>4556</v>
      </c>
      <c r="M25" s="247">
        <f t="shared" si="25"/>
        <v>516</v>
      </c>
      <c r="N25" s="247">
        <f t="shared" si="25"/>
        <v>458</v>
      </c>
      <c r="O25" s="247">
        <f t="shared" si="25"/>
        <v>866</v>
      </c>
      <c r="P25" s="247">
        <f t="shared" si="25"/>
        <v>3746</v>
      </c>
      <c r="Q25" s="247">
        <f t="shared" si="25"/>
        <v>2109</v>
      </c>
      <c r="R25" s="247">
        <f t="shared" si="25"/>
        <v>4595</v>
      </c>
      <c r="S25" s="247">
        <f t="shared" si="25"/>
        <v>3076</v>
      </c>
      <c r="T25" s="247">
        <f t="shared" si="25"/>
        <v>2715</v>
      </c>
      <c r="U25" s="247">
        <f t="shared" si="25"/>
        <v>1473</v>
      </c>
      <c r="V25" s="247">
        <f t="shared" si="25"/>
        <v>704</v>
      </c>
      <c r="W25" s="247">
        <f t="shared" si="25"/>
        <v>114</v>
      </c>
      <c r="X25" s="247">
        <f t="shared" si="25"/>
        <v>4040</v>
      </c>
      <c r="Y25" s="247">
        <f t="shared" si="25"/>
        <v>1702</v>
      </c>
      <c r="Z25" s="247">
        <f t="shared" si="25"/>
        <v>1846</v>
      </c>
      <c r="AA25" s="116">
        <f>Expenses!T136</f>
        <v>4170.11</v>
      </c>
      <c r="AB25" s="116">
        <f>Expenses!U136</f>
        <v>2244.9</v>
      </c>
      <c r="AC25" s="116">
        <f>Expenses!V136</f>
        <v>1036.851396</v>
      </c>
      <c r="AD25" s="116">
        <f>Expenses!W136</f>
        <v>1047.21991</v>
      </c>
      <c r="AE25" s="116">
        <f>Expenses!X136</f>
        <v>1057.692109</v>
      </c>
      <c r="AF25" s="116">
        <f>Expenses!Y136</f>
        <v>8417.5</v>
      </c>
      <c r="AG25" s="116">
        <f>Expenses!Z136</f>
        <v>1078.951721</v>
      </c>
      <c r="AH25" s="116">
        <f>Expenses!AA136</f>
        <v>1089.741238</v>
      </c>
      <c r="AI25" s="116">
        <f>Expenses!AB136</f>
        <v>1100.63865</v>
      </c>
      <c r="AJ25" s="116">
        <f>Expenses!AC136</f>
        <v>8645</v>
      </c>
      <c r="AK25" s="116">
        <f>Expenses!AD136</f>
        <v>1122.761487</v>
      </c>
      <c r="AL25" s="116">
        <f>Expenses!AE136</f>
        <v>1133.989102</v>
      </c>
      <c r="AM25" s="116">
        <f>Expenses!AF136</f>
        <v>1145.328993</v>
      </c>
      <c r="AN25" s="116">
        <f>Expenses!AG136</f>
        <v>9145.5</v>
      </c>
      <c r="AO25" s="116">
        <f>Expenses!AH136</f>
        <v>343.632384</v>
      </c>
      <c r="AP25" s="116">
        <f>Expenses!AI136</f>
        <v>347.0687079</v>
      </c>
      <c r="AQ25" s="116">
        <f>Expenses!AJ136</f>
        <v>350.539395</v>
      </c>
      <c r="AR25" s="116">
        <f>Expenses!AK136</f>
        <v>9373</v>
      </c>
      <c r="AS25" s="116">
        <f>Expenses!AL136</f>
        <v>357.5852368</v>
      </c>
      <c r="AT25" s="116">
        <f>Expenses!AM136</f>
        <v>361.1610892</v>
      </c>
      <c r="AU25" s="116">
        <f>Expenses!AN136</f>
        <v>364.7727001</v>
      </c>
      <c r="AV25" s="116">
        <f>Expenses!AO136</f>
        <v>9600.5</v>
      </c>
      <c r="AW25" s="116">
        <f>Expenses!AP136</f>
        <v>372.1046313</v>
      </c>
      <c r="AX25" s="116">
        <f>Expenses!AQ136</f>
        <v>375.8256776</v>
      </c>
      <c r="AY25" s="116">
        <f>Expenses!AR136</f>
        <v>379.5839344</v>
      </c>
      <c r="AZ25" s="116">
        <f>Expenses!AS136</f>
        <v>9782.5</v>
      </c>
      <c r="BA25" s="116">
        <f>Expenses!AT136</f>
        <v>387.2135715</v>
      </c>
      <c r="BB25" s="116">
        <f>Expenses!AU136</f>
        <v>391.0857072</v>
      </c>
      <c r="BC25" s="116">
        <f>Expenses!AV136</f>
        <v>394.9965643</v>
      </c>
      <c r="BD25" s="116">
        <f>Expenses!AW136</f>
        <v>10237.5</v>
      </c>
      <c r="BE25" s="116">
        <f>Expenses!AX136</f>
        <v>402.9359952</v>
      </c>
      <c r="BF25" s="116">
        <f>Expenses!AY136</f>
        <v>406.9653552</v>
      </c>
      <c r="BG25" s="116">
        <f>Expenses!AZ136</f>
        <v>411.0350087</v>
      </c>
      <c r="BH25" s="116">
        <f>Expenses!BA136</f>
        <v>10556</v>
      </c>
      <c r="BI25" s="116">
        <f>Expenses!BB136</f>
        <v>419.2968124</v>
      </c>
      <c r="BJ25" s="116">
        <f>Expenses!BC136</f>
        <v>423.4897805</v>
      </c>
      <c r="BK25" s="116">
        <f>Expenses!BD136</f>
        <v>427.7246783</v>
      </c>
      <c r="BL25" s="116">
        <f>Expenses!BE136</f>
        <v>10874.5</v>
      </c>
      <c r="BM25" s="116">
        <f>Expenses!BF136</f>
        <v>436.3219444</v>
      </c>
      <c r="BN25" s="116">
        <f>Expenses!BG136</f>
        <v>440.6851638</v>
      </c>
      <c r="BO25" s="116">
        <f>Expenses!BH136</f>
        <v>445.0920154</v>
      </c>
      <c r="BP25" s="116">
        <f>Expenses!BI136</f>
        <v>12194</v>
      </c>
      <c r="BQ25" s="116">
        <f>Expenses!BJ136</f>
        <v>454.038365</v>
      </c>
      <c r="BR25" s="116">
        <f>Expenses!BK136</f>
        <v>458.5787486</v>
      </c>
      <c r="BS25" s="116">
        <f>Expenses!BL136</f>
        <v>463.1645361</v>
      </c>
      <c r="BT25" s="116">
        <f>Expenses!BM136</f>
        <v>12558</v>
      </c>
      <c r="BU25" s="116">
        <f>Expenses!BN136</f>
        <v>472.4741433</v>
      </c>
      <c r="BV25" s="116">
        <f>Expenses!BO136</f>
        <v>477.1988847</v>
      </c>
      <c r="BW25" s="116">
        <f>Expenses!BP136</f>
        <v>481.9708735</v>
      </c>
      <c r="BX25" s="116">
        <f>Expenses!BQ136</f>
        <v>12831</v>
      </c>
      <c r="BY25" s="116">
        <f>Expenses!BR136</f>
        <v>491.6584881</v>
      </c>
      <c r="BZ25" s="116">
        <f>Expenses!BS136</f>
        <v>496.575073</v>
      </c>
      <c r="CA25" s="116">
        <f>Expenses!BT136</f>
        <v>501.5408237</v>
      </c>
      <c r="CB25" s="116">
        <f>Expenses!BU136</f>
        <v>13195</v>
      </c>
      <c r="CC25" s="116">
        <f>Expenses!BV136</f>
        <v>511.6217943</v>
      </c>
      <c r="CD25" s="116">
        <f>Expenses!BW136</f>
        <v>516.7380122</v>
      </c>
      <c r="CE25" s="116">
        <f>Expenses!BX136</f>
        <v>521.9053923</v>
      </c>
      <c r="CF25" s="116">
        <f>Expenses!BY136</f>
        <v>13377</v>
      </c>
      <c r="CG25" s="116">
        <f>Expenses!BZ136</f>
        <v>532.3956907</v>
      </c>
      <c r="CH25" s="116">
        <f>Expenses!CA136</f>
        <v>537.7196476</v>
      </c>
      <c r="CI25" s="116">
        <f>Expenses!CB136</f>
        <v>543.0968441</v>
      </c>
    </row>
    <row r="26" ht="15.75" customHeight="1" outlineLevel="1">
      <c r="A26" s="1" t="s">
        <v>119</v>
      </c>
      <c r="B26" s="132" t="s">
        <v>179</v>
      </c>
      <c r="C26" s="132" t="s">
        <v>253</v>
      </c>
      <c r="D26" s="247">
        <f t="shared" ref="D26:Z26" si="26">RANDBETWEEN(0,5000)</f>
        <v>4002</v>
      </c>
      <c r="E26" s="247">
        <f t="shared" si="26"/>
        <v>1412</v>
      </c>
      <c r="F26" s="247">
        <f t="shared" si="26"/>
        <v>3342</v>
      </c>
      <c r="G26" s="247">
        <f t="shared" si="26"/>
        <v>687</v>
      </c>
      <c r="H26" s="247">
        <f t="shared" si="26"/>
        <v>782</v>
      </c>
      <c r="I26" s="247">
        <f t="shared" si="26"/>
        <v>4293</v>
      </c>
      <c r="J26" s="247">
        <f t="shared" si="26"/>
        <v>4419</v>
      </c>
      <c r="K26" s="247">
        <f t="shared" si="26"/>
        <v>175</v>
      </c>
      <c r="L26" s="247">
        <f t="shared" si="26"/>
        <v>4724</v>
      </c>
      <c r="M26" s="247">
        <f t="shared" si="26"/>
        <v>2164</v>
      </c>
      <c r="N26" s="247">
        <f t="shared" si="26"/>
        <v>1969</v>
      </c>
      <c r="O26" s="247">
        <f t="shared" si="26"/>
        <v>4262</v>
      </c>
      <c r="P26" s="247">
        <f t="shared" si="26"/>
        <v>1433</v>
      </c>
      <c r="Q26" s="247">
        <f t="shared" si="26"/>
        <v>2216</v>
      </c>
      <c r="R26" s="247">
        <f t="shared" si="26"/>
        <v>3183</v>
      </c>
      <c r="S26" s="247">
        <f t="shared" si="26"/>
        <v>4786</v>
      </c>
      <c r="T26" s="247">
        <f t="shared" si="26"/>
        <v>4514</v>
      </c>
      <c r="U26" s="247">
        <f t="shared" si="26"/>
        <v>3428</v>
      </c>
      <c r="V26" s="247">
        <f t="shared" si="26"/>
        <v>4358</v>
      </c>
      <c r="W26" s="247">
        <f t="shared" si="26"/>
        <v>314</v>
      </c>
      <c r="X26" s="247">
        <f t="shared" si="26"/>
        <v>217</v>
      </c>
      <c r="Y26" s="247">
        <f t="shared" si="26"/>
        <v>901</v>
      </c>
      <c r="Z26" s="247">
        <f t="shared" si="26"/>
        <v>4466</v>
      </c>
      <c r="AA26" s="116">
        <f>Expenses!T143</f>
        <v>12510.33</v>
      </c>
      <c r="AB26" s="116">
        <f>Expenses!U143</f>
        <v>6734.7</v>
      </c>
      <c r="AC26" s="116">
        <f>Expenses!V143</f>
        <v>3110.554188</v>
      </c>
      <c r="AD26" s="116">
        <f>Expenses!W143</f>
        <v>3141.65973</v>
      </c>
      <c r="AE26" s="116">
        <f>Expenses!X143</f>
        <v>3173.076328</v>
      </c>
      <c r="AF26" s="116">
        <f>Expenses!Y143</f>
        <v>25252.5</v>
      </c>
      <c r="AG26" s="116">
        <f>Expenses!Z143</f>
        <v>3236.855162</v>
      </c>
      <c r="AH26" s="116">
        <f>Expenses!AA143</f>
        <v>3269.223713</v>
      </c>
      <c r="AI26" s="116">
        <f>Expenses!AB143</f>
        <v>3301.915951</v>
      </c>
      <c r="AJ26" s="116">
        <f>Expenses!AC143</f>
        <v>25935</v>
      </c>
      <c r="AK26" s="116">
        <f>Expenses!AD143</f>
        <v>3368.284461</v>
      </c>
      <c r="AL26" s="116">
        <f>Expenses!AE143</f>
        <v>3401.967306</v>
      </c>
      <c r="AM26" s="116">
        <f>Expenses!AF143</f>
        <v>3435.986979</v>
      </c>
      <c r="AN26" s="116">
        <f>Expenses!AG143</f>
        <v>27436.5</v>
      </c>
      <c r="AO26" s="116">
        <f>Expenses!AH143</f>
        <v>1030.897152</v>
      </c>
      <c r="AP26" s="116">
        <f>Expenses!AI143</f>
        <v>1041.206124</v>
      </c>
      <c r="AQ26" s="116">
        <f>Expenses!AJ143</f>
        <v>1051.618185</v>
      </c>
      <c r="AR26" s="116">
        <f>Expenses!AK143</f>
        <v>28119</v>
      </c>
      <c r="AS26" s="116">
        <f>Expenses!AL143</f>
        <v>1072.75571</v>
      </c>
      <c r="AT26" s="116">
        <f>Expenses!AM143</f>
        <v>1083.483267</v>
      </c>
      <c r="AU26" s="116">
        <f>Expenses!AN143</f>
        <v>1094.3181</v>
      </c>
      <c r="AV26" s="116">
        <f>Expenses!AO143</f>
        <v>28801.5</v>
      </c>
      <c r="AW26" s="116">
        <f>Expenses!AP143</f>
        <v>1116.313894</v>
      </c>
      <c r="AX26" s="116">
        <f>Expenses!AQ143</f>
        <v>1127.477033</v>
      </c>
      <c r="AY26" s="116">
        <f>Expenses!AR143</f>
        <v>1138.751803</v>
      </c>
      <c r="AZ26" s="116">
        <f>Expenses!AS143</f>
        <v>29347.5</v>
      </c>
      <c r="BA26" s="116">
        <f>Expenses!AT143</f>
        <v>1161.640714</v>
      </c>
      <c r="BB26" s="116">
        <f>Expenses!AU143</f>
        <v>1173.257122</v>
      </c>
      <c r="BC26" s="116">
        <f>Expenses!AV143</f>
        <v>1184.989693</v>
      </c>
      <c r="BD26" s="116">
        <f>Expenses!AW143</f>
        <v>30712.5</v>
      </c>
      <c r="BE26" s="116">
        <f>Expenses!AX143</f>
        <v>1208.807986</v>
      </c>
      <c r="BF26" s="116">
        <f>Expenses!AY143</f>
        <v>1220.896066</v>
      </c>
      <c r="BG26" s="116">
        <f>Expenses!AZ143</f>
        <v>1233.105026</v>
      </c>
      <c r="BH26" s="116">
        <f>Expenses!BA143</f>
        <v>31668</v>
      </c>
      <c r="BI26" s="116">
        <f>Expenses!BB143</f>
        <v>1257.890437</v>
      </c>
      <c r="BJ26" s="116">
        <f>Expenses!BC143</f>
        <v>1270.469342</v>
      </c>
      <c r="BK26" s="116">
        <f>Expenses!BD143</f>
        <v>1283.174035</v>
      </c>
      <c r="BL26" s="116">
        <f>Expenses!BE143</f>
        <v>32623.5</v>
      </c>
      <c r="BM26" s="116">
        <f>Expenses!BF143</f>
        <v>1308.965833</v>
      </c>
      <c r="BN26" s="116">
        <f>Expenses!BG143</f>
        <v>1322.055491</v>
      </c>
      <c r="BO26" s="116">
        <f>Expenses!BH143</f>
        <v>1335.276046</v>
      </c>
      <c r="BP26" s="116">
        <f>Expenses!BI143</f>
        <v>36582</v>
      </c>
      <c r="BQ26" s="116">
        <f>Expenses!BJ143</f>
        <v>1362.115095</v>
      </c>
      <c r="BR26" s="116">
        <f>Expenses!BK143</f>
        <v>1375.736246</v>
      </c>
      <c r="BS26" s="116">
        <f>Expenses!BL143</f>
        <v>1389.493608</v>
      </c>
      <c r="BT26" s="116">
        <f>Expenses!BM143</f>
        <v>37674</v>
      </c>
      <c r="BU26" s="116">
        <f>Expenses!BN143</f>
        <v>1417.42243</v>
      </c>
      <c r="BV26" s="116">
        <f>Expenses!BO143</f>
        <v>1431.596654</v>
      </c>
      <c r="BW26" s="116">
        <f>Expenses!BP143</f>
        <v>1445.912621</v>
      </c>
      <c r="BX26" s="116">
        <f>Expenses!BQ143</f>
        <v>38493</v>
      </c>
      <c r="BY26" s="116">
        <f>Expenses!BR143</f>
        <v>1474.975464</v>
      </c>
      <c r="BZ26" s="116">
        <f>Expenses!BS143</f>
        <v>1489.725219</v>
      </c>
      <c r="CA26" s="116">
        <f>Expenses!BT143</f>
        <v>1504.622471</v>
      </c>
      <c r="CB26" s="116">
        <f>Expenses!BU143</f>
        <v>39585</v>
      </c>
      <c r="CC26" s="116">
        <f>Expenses!BV143</f>
        <v>1534.865383</v>
      </c>
      <c r="CD26" s="116">
        <f>Expenses!BW143</f>
        <v>1550.214037</v>
      </c>
      <c r="CE26" s="116">
        <f>Expenses!BX143</f>
        <v>1565.716177</v>
      </c>
      <c r="CF26" s="116">
        <f>Expenses!BY143</f>
        <v>40131</v>
      </c>
      <c r="CG26" s="116">
        <f>Expenses!BZ143</f>
        <v>1597.187072</v>
      </c>
      <c r="CH26" s="116">
        <f>Expenses!CA143</f>
        <v>1613.158943</v>
      </c>
      <c r="CI26" s="116">
        <f>Expenses!CB143</f>
        <v>1629.290532</v>
      </c>
    </row>
    <row r="27" ht="15.75" customHeight="1">
      <c r="A27" s="1"/>
      <c r="B27" s="91"/>
      <c r="C27" s="257" t="s">
        <v>261</v>
      </c>
      <c r="D27" s="514">
        <f t="shared" ref="D27:CI27" si="27">SUM(D7:D26)</f>
        <v>58478</v>
      </c>
      <c r="E27" s="514">
        <f t="shared" si="27"/>
        <v>44913</v>
      </c>
      <c r="F27" s="514">
        <f t="shared" si="27"/>
        <v>50936</v>
      </c>
      <c r="G27" s="514">
        <f t="shared" si="27"/>
        <v>41045</v>
      </c>
      <c r="H27" s="514">
        <f t="shared" si="27"/>
        <v>45589</v>
      </c>
      <c r="I27" s="514">
        <f t="shared" si="27"/>
        <v>55925</v>
      </c>
      <c r="J27" s="514">
        <f t="shared" si="27"/>
        <v>50955</v>
      </c>
      <c r="K27" s="514">
        <f t="shared" si="27"/>
        <v>47679</v>
      </c>
      <c r="L27" s="514">
        <f t="shared" si="27"/>
        <v>63139</v>
      </c>
      <c r="M27" s="514">
        <f t="shared" si="27"/>
        <v>47897</v>
      </c>
      <c r="N27" s="514">
        <f t="shared" si="27"/>
        <v>47202</v>
      </c>
      <c r="O27" s="514">
        <f t="shared" si="27"/>
        <v>50068</v>
      </c>
      <c r="P27" s="514">
        <f t="shared" si="27"/>
        <v>48661</v>
      </c>
      <c r="Q27" s="514">
        <f t="shared" si="27"/>
        <v>45778</v>
      </c>
      <c r="R27" s="514">
        <f t="shared" si="27"/>
        <v>46653</v>
      </c>
      <c r="S27" s="514">
        <f t="shared" si="27"/>
        <v>57815</v>
      </c>
      <c r="T27" s="514">
        <f t="shared" si="27"/>
        <v>50555</v>
      </c>
      <c r="U27" s="514">
        <f t="shared" si="27"/>
        <v>49360</v>
      </c>
      <c r="V27" s="514">
        <f t="shared" si="27"/>
        <v>51526</v>
      </c>
      <c r="W27" s="514">
        <f t="shared" si="27"/>
        <v>38391</v>
      </c>
      <c r="X27" s="514">
        <f t="shared" si="27"/>
        <v>35764</v>
      </c>
      <c r="Y27" s="514">
        <f t="shared" si="27"/>
        <v>51416</v>
      </c>
      <c r="Z27" s="514">
        <f t="shared" si="27"/>
        <v>46048</v>
      </c>
      <c r="AA27" s="514">
        <f t="shared" si="27"/>
        <v>271188.9164</v>
      </c>
      <c r="AB27" s="514">
        <f t="shared" si="27"/>
        <v>308578.5223</v>
      </c>
      <c r="AC27" s="514">
        <f t="shared" si="27"/>
        <v>415252.2408</v>
      </c>
      <c r="AD27" s="514">
        <f t="shared" si="27"/>
        <v>416234.1845</v>
      </c>
      <c r="AE27" s="514">
        <f t="shared" si="27"/>
        <v>472619.6233</v>
      </c>
      <c r="AF27" s="514">
        <f t="shared" si="27"/>
        <v>537077.2568</v>
      </c>
      <c r="AG27" s="514">
        <f t="shared" si="27"/>
        <v>501543.846</v>
      </c>
      <c r="AH27" s="514">
        <f t="shared" si="27"/>
        <v>556923.5312</v>
      </c>
      <c r="AI27" s="514">
        <f t="shared" si="27"/>
        <v>503109.0536</v>
      </c>
      <c r="AJ27" s="514">
        <f t="shared" si="27"/>
        <v>561189.8086</v>
      </c>
      <c r="AK27" s="514">
        <f t="shared" si="27"/>
        <v>522397.7935</v>
      </c>
      <c r="AL27" s="514">
        <f t="shared" si="27"/>
        <v>523559.674</v>
      </c>
      <c r="AM27" s="514">
        <f t="shared" si="27"/>
        <v>525135.6898</v>
      </c>
      <c r="AN27" s="514">
        <f t="shared" si="27"/>
        <v>628294.6651</v>
      </c>
      <c r="AO27" s="514">
        <f t="shared" si="27"/>
        <v>517888.441</v>
      </c>
      <c r="AP27" s="514">
        <f t="shared" si="27"/>
        <v>516568.2474</v>
      </c>
      <c r="AQ27" s="514">
        <f t="shared" si="27"/>
        <v>517102.217</v>
      </c>
      <c r="AR27" s="514">
        <f t="shared" si="27"/>
        <v>579939.0467</v>
      </c>
      <c r="AS27" s="514">
        <f t="shared" si="27"/>
        <v>535641.7971</v>
      </c>
      <c r="AT27" s="514">
        <f t="shared" si="27"/>
        <v>587982.5729</v>
      </c>
      <c r="AU27" s="514">
        <f t="shared" si="27"/>
        <v>537070.6224</v>
      </c>
      <c r="AV27" s="514">
        <f t="shared" si="27"/>
        <v>602285.2026</v>
      </c>
      <c r="AW27" s="514">
        <f t="shared" si="27"/>
        <v>556688.3474</v>
      </c>
      <c r="AX27" s="514">
        <f t="shared" si="27"/>
        <v>557256.7885</v>
      </c>
      <c r="AY27" s="514">
        <f t="shared" si="27"/>
        <v>557830.3683</v>
      </c>
      <c r="AZ27" s="514">
        <f t="shared" si="27"/>
        <v>686543.3435</v>
      </c>
      <c r="BA27" s="514">
        <f t="shared" si="27"/>
        <v>579931.6644</v>
      </c>
      <c r="BB27" s="514">
        <f t="shared" si="27"/>
        <v>580513.5203</v>
      </c>
      <c r="BC27" s="514">
        <f t="shared" si="27"/>
        <v>581100.3763</v>
      </c>
      <c r="BD27" s="514">
        <f t="shared" si="27"/>
        <v>651740.8569</v>
      </c>
      <c r="BE27" s="514">
        <f t="shared" si="27"/>
        <v>602765.3767</v>
      </c>
      <c r="BF27" s="514">
        <f t="shared" si="27"/>
        <v>668168.6219</v>
      </c>
      <c r="BG27" s="514">
        <f t="shared" si="27"/>
        <v>604100.6984</v>
      </c>
      <c r="BH27" s="514">
        <f t="shared" si="27"/>
        <v>677046.3893</v>
      </c>
      <c r="BI27" s="514">
        <f t="shared" si="27"/>
        <v>626958.8097</v>
      </c>
      <c r="BJ27" s="514">
        <f t="shared" si="27"/>
        <v>627580.8661</v>
      </c>
      <c r="BK27" s="514">
        <f t="shared" si="27"/>
        <v>628208.3394</v>
      </c>
      <c r="BL27" s="514">
        <f t="shared" si="27"/>
        <v>766625.9311</v>
      </c>
      <c r="BM27" s="514">
        <f t="shared" si="27"/>
        <v>652457.9206</v>
      </c>
      <c r="BN27" s="514">
        <f t="shared" si="27"/>
        <v>652117.5343</v>
      </c>
      <c r="BO27" s="514">
        <f t="shared" si="27"/>
        <v>651850.4968</v>
      </c>
      <c r="BP27" s="514">
        <f t="shared" si="27"/>
        <v>733097.9044</v>
      </c>
      <c r="BQ27" s="514">
        <f t="shared" si="27"/>
        <v>675107.2908</v>
      </c>
      <c r="BR27" s="514">
        <f t="shared" si="27"/>
        <v>736391.7288</v>
      </c>
      <c r="BS27" s="514">
        <f t="shared" si="27"/>
        <v>676397.0148</v>
      </c>
      <c r="BT27" s="514">
        <f t="shared" si="27"/>
        <v>760280.9667</v>
      </c>
      <c r="BU27" s="514">
        <f t="shared" si="27"/>
        <v>700599.2975</v>
      </c>
      <c r="BV27" s="514">
        <f t="shared" si="27"/>
        <v>701378.822</v>
      </c>
      <c r="BW27" s="514">
        <f t="shared" si="27"/>
        <v>702168.7348</v>
      </c>
      <c r="BX27" s="514">
        <f t="shared" si="27"/>
        <v>855269.7839</v>
      </c>
      <c r="BY27" s="514">
        <f t="shared" si="27"/>
        <v>735185.771</v>
      </c>
      <c r="BZ27" s="514">
        <f t="shared" si="27"/>
        <v>733143.6698</v>
      </c>
      <c r="CA27" s="514">
        <f t="shared" si="27"/>
        <v>728286.1816</v>
      </c>
      <c r="CB27" s="514">
        <f t="shared" si="27"/>
        <v>816727.0917</v>
      </c>
      <c r="CC27" s="514">
        <f t="shared" si="27"/>
        <v>753771.1441</v>
      </c>
      <c r="CD27" s="514">
        <f t="shared" si="27"/>
        <v>804810.8166</v>
      </c>
      <c r="CE27" s="514">
        <f t="shared" si="27"/>
        <v>754264.3485</v>
      </c>
      <c r="CF27" s="514">
        <f t="shared" si="27"/>
        <v>844869.643</v>
      </c>
      <c r="CG27" s="514">
        <f t="shared" si="27"/>
        <v>781138.929</v>
      </c>
      <c r="CH27" s="514">
        <f t="shared" si="27"/>
        <v>781666.2183</v>
      </c>
      <c r="CI27" s="514">
        <f t="shared" si="27"/>
        <v>782202.1011</v>
      </c>
    </row>
    <row r="28" ht="15.75" customHeight="1">
      <c r="A28" s="1"/>
      <c r="B28" s="1"/>
      <c r="C28" s="1"/>
      <c r="D28" s="247"/>
      <c r="E28" s="247"/>
      <c r="F28" s="247"/>
      <c r="G28" s="247"/>
      <c r="H28" s="247"/>
      <c r="I28" s="247"/>
      <c r="J28" s="247"/>
      <c r="K28" s="247"/>
      <c r="L28" s="247"/>
      <c r="M28" s="247"/>
      <c r="N28" s="247"/>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7"/>
      <c r="CI28" s="117"/>
    </row>
    <row r="29" ht="15.75" customHeight="1">
      <c r="A29" s="1"/>
      <c r="B29" s="91"/>
      <c r="C29" s="115" t="s">
        <v>827</v>
      </c>
      <c r="D29" s="247"/>
      <c r="E29" s="247"/>
      <c r="F29" s="247"/>
      <c r="G29" s="247"/>
      <c r="H29" s="247"/>
      <c r="I29" s="247"/>
      <c r="J29" s="247"/>
      <c r="K29" s="247"/>
      <c r="L29" s="247"/>
      <c r="M29" s="247"/>
      <c r="N29" s="247"/>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c r="BR29" s="117"/>
      <c r="BS29" s="117"/>
      <c r="BT29" s="117"/>
      <c r="BU29" s="117"/>
      <c r="BV29" s="117"/>
      <c r="BW29" s="117"/>
      <c r="BX29" s="117"/>
      <c r="BY29" s="117"/>
      <c r="BZ29" s="117"/>
      <c r="CA29" s="117"/>
      <c r="CB29" s="117"/>
      <c r="CC29" s="117"/>
      <c r="CD29" s="117"/>
      <c r="CE29" s="117"/>
      <c r="CF29" s="117"/>
      <c r="CG29" s="117"/>
      <c r="CH29" s="117"/>
      <c r="CI29" s="117"/>
    </row>
    <row r="30" ht="15.75" customHeight="1" outlineLevel="1">
      <c r="A30" s="1" t="s">
        <v>120</v>
      </c>
      <c r="B30" s="91" t="s">
        <v>175</v>
      </c>
      <c r="C30" s="132" t="s">
        <v>222</v>
      </c>
      <c r="D30" s="247">
        <f t="shared" ref="D30:Z30" si="28">RANDBETWEEN(0,5000)</f>
        <v>2632</v>
      </c>
      <c r="E30" s="247">
        <f t="shared" si="28"/>
        <v>1173</v>
      </c>
      <c r="F30" s="247">
        <f t="shared" si="28"/>
        <v>770</v>
      </c>
      <c r="G30" s="247">
        <f t="shared" si="28"/>
        <v>763</v>
      </c>
      <c r="H30" s="247">
        <f t="shared" si="28"/>
        <v>419</v>
      </c>
      <c r="I30" s="247">
        <f t="shared" si="28"/>
        <v>1158</v>
      </c>
      <c r="J30" s="247">
        <f t="shared" si="28"/>
        <v>4444</v>
      </c>
      <c r="K30" s="247">
        <f t="shared" si="28"/>
        <v>3160</v>
      </c>
      <c r="L30" s="247">
        <f t="shared" si="28"/>
        <v>3861</v>
      </c>
      <c r="M30" s="247">
        <f t="shared" si="28"/>
        <v>1934</v>
      </c>
      <c r="N30" s="247">
        <f t="shared" si="28"/>
        <v>335</v>
      </c>
      <c r="O30" s="247">
        <f t="shared" si="28"/>
        <v>2630</v>
      </c>
      <c r="P30" s="247">
        <f t="shared" si="28"/>
        <v>373</v>
      </c>
      <c r="Q30" s="247">
        <f t="shared" si="28"/>
        <v>2229</v>
      </c>
      <c r="R30" s="247">
        <f t="shared" si="28"/>
        <v>4380</v>
      </c>
      <c r="S30" s="247">
        <f t="shared" si="28"/>
        <v>4018</v>
      </c>
      <c r="T30" s="247">
        <f t="shared" si="28"/>
        <v>513</v>
      </c>
      <c r="U30" s="247">
        <f t="shared" si="28"/>
        <v>4103</v>
      </c>
      <c r="V30" s="247">
        <f t="shared" si="28"/>
        <v>3878</v>
      </c>
      <c r="W30" s="247">
        <f t="shared" si="28"/>
        <v>3858</v>
      </c>
      <c r="X30" s="247">
        <f t="shared" si="28"/>
        <v>1118</v>
      </c>
      <c r="Y30" s="247">
        <f t="shared" si="28"/>
        <v>3044</v>
      </c>
      <c r="Z30" s="247">
        <f t="shared" si="28"/>
        <v>3963</v>
      </c>
      <c r="AA30" s="116">
        <f>Headcount!S88</f>
        <v>23963</v>
      </c>
      <c r="AB30" s="116">
        <f>Headcount!T88</f>
        <v>66641.335</v>
      </c>
      <c r="AC30" s="116">
        <f>Headcount!U88</f>
        <v>77041.335</v>
      </c>
      <c r="AD30" s="116">
        <f>Headcount!V88</f>
        <v>77041.335</v>
      </c>
      <c r="AE30" s="116">
        <f>Headcount!W88</f>
        <v>77041.335</v>
      </c>
      <c r="AF30" s="116">
        <f>Headcount!X88</f>
        <v>80508.19508</v>
      </c>
      <c r="AG30" s="116">
        <f>Headcount!Y88</f>
        <v>80508.19508</v>
      </c>
      <c r="AH30" s="116">
        <f>Headcount!Z88</f>
        <v>80508.19508</v>
      </c>
      <c r="AI30" s="116">
        <f>Headcount!AA88</f>
        <v>80508.19508</v>
      </c>
      <c r="AJ30" s="116">
        <f>Headcount!AB88</f>
        <v>84131.06385</v>
      </c>
      <c r="AK30" s="116">
        <f>Headcount!AC88</f>
        <v>84131.06385</v>
      </c>
      <c r="AL30" s="116">
        <f>Headcount!AD88</f>
        <v>84131.06385</v>
      </c>
      <c r="AM30" s="116">
        <f>Headcount!AE88</f>
        <v>84131.06385</v>
      </c>
      <c r="AN30" s="116">
        <f>Headcount!AF88</f>
        <v>87496.30641</v>
      </c>
      <c r="AO30" s="116">
        <f>Headcount!AG88</f>
        <v>87496.30641</v>
      </c>
      <c r="AP30" s="116">
        <f>Headcount!AH88</f>
        <v>87496.30641</v>
      </c>
      <c r="AQ30" s="116">
        <f>Headcount!AI88</f>
        <v>87496.30641</v>
      </c>
      <c r="AR30" s="116">
        <f>Headcount!AJ88</f>
        <v>90996.15866</v>
      </c>
      <c r="AS30" s="116">
        <f>Headcount!AK88</f>
        <v>90996.15866</v>
      </c>
      <c r="AT30" s="116">
        <f>Headcount!AL88</f>
        <v>90996.15866</v>
      </c>
      <c r="AU30" s="116">
        <f>Headcount!AM88</f>
        <v>90996.15866</v>
      </c>
      <c r="AV30" s="116">
        <f>Headcount!AN88</f>
        <v>94636.00501</v>
      </c>
      <c r="AW30" s="116">
        <f>Headcount!AO88</f>
        <v>94636.00501</v>
      </c>
      <c r="AX30" s="116">
        <f>Headcount!AP88</f>
        <v>94636.00501</v>
      </c>
      <c r="AY30" s="116">
        <f>Headcount!AQ88</f>
        <v>94636.00501</v>
      </c>
      <c r="AZ30" s="116">
        <f>Headcount!AR88</f>
        <v>98421.44521</v>
      </c>
      <c r="BA30" s="116">
        <f>Headcount!AS88</f>
        <v>98421.44521</v>
      </c>
      <c r="BB30" s="116">
        <f>Headcount!AT88</f>
        <v>98421.44521</v>
      </c>
      <c r="BC30" s="116">
        <f>Headcount!AU88</f>
        <v>98421.44521</v>
      </c>
      <c r="BD30" s="116">
        <f>Headcount!AV88</f>
        <v>102358.303</v>
      </c>
      <c r="BE30" s="116">
        <f>Headcount!AW88</f>
        <v>102358.303</v>
      </c>
      <c r="BF30" s="116">
        <f>Headcount!AX88</f>
        <v>102358.303</v>
      </c>
      <c r="BG30" s="116">
        <f>Headcount!AY88</f>
        <v>102358.303</v>
      </c>
      <c r="BH30" s="116">
        <f>Headcount!AZ88</f>
        <v>106452.6351</v>
      </c>
      <c r="BI30" s="116">
        <f>Headcount!BA88</f>
        <v>106452.6351</v>
      </c>
      <c r="BJ30" s="116">
        <f>Headcount!BB88</f>
        <v>106452.6351</v>
      </c>
      <c r="BK30" s="116">
        <f>Headcount!BC88</f>
        <v>106452.6351</v>
      </c>
      <c r="BL30" s="116">
        <f>Headcount!BD88</f>
        <v>110710.7405</v>
      </c>
      <c r="BM30" s="116">
        <f>Headcount!BE88</f>
        <v>110710.7405</v>
      </c>
      <c r="BN30" s="116">
        <f>Headcount!BF88</f>
        <v>110710.7405</v>
      </c>
      <c r="BO30" s="116">
        <f>Headcount!BG88</f>
        <v>110710.7405</v>
      </c>
      <c r="BP30" s="116">
        <f>Headcount!BH88</f>
        <v>115139.1702</v>
      </c>
      <c r="BQ30" s="116">
        <f>Headcount!BI88</f>
        <v>115139.1702</v>
      </c>
      <c r="BR30" s="116">
        <f>Headcount!BJ88</f>
        <v>115139.1702</v>
      </c>
      <c r="BS30" s="116">
        <f>Headcount!BK88</f>
        <v>115139.1702</v>
      </c>
      <c r="BT30" s="116">
        <f>Headcount!BL88</f>
        <v>119744.737</v>
      </c>
      <c r="BU30" s="116">
        <f>Headcount!BM88</f>
        <v>119744.737</v>
      </c>
      <c r="BV30" s="116">
        <f>Headcount!BN88</f>
        <v>119744.737</v>
      </c>
      <c r="BW30" s="116">
        <f>Headcount!BO88</f>
        <v>119744.737</v>
      </c>
      <c r="BX30" s="116">
        <f>Headcount!BP88</f>
        <v>124534.5265</v>
      </c>
      <c r="BY30" s="116">
        <f>Headcount!BQ88</f>
        <v>124534.5265</v>
      </c>
      <c r="BZ30" s="116">
        <f>Headcount!BR88</f>
        <v>124534.5265</v>
      </c>
      <c r="CA30" s="116">
        <f>Headcount!BS88</f>
        <v>124534.5265</v>
      </c>
      <c r="CB30" s="116">
        <f>Headcount!BT88</f>
        <v>129515.9075</v>
      </c>
      <c r="CC30" s="116">
        <f>Headcount!BU88</f>
        <v>129515.9075</v>
      </c>
      <c r="CD30" s="116">
        <f>Headcount!BV88</f>
        <v>129515.9075</v>
      </c>
      <c r="CE30" s="116">
        <f>Headcount!BW88</f>
        <v>129515.9075</v>
      </c>
      <c r="CF30" s="116">
        <f>Headcount!BX88</f>
        <v>134696.5438</v>
      </c>
      <c r="CG30" s="116">
        <f>Headcount!BY88</f>
        <v>134696.5438</v>
      </c>
      <c r="CH30" s="116">
        <f>Headcount!BZ88</f>
        <v>134696.5438</v>
      </c>
      <c r="CI30" s="116">
        <f>Headcount!CA88</f>
        <v>134696.5438</v>
      </c>
    </row>
    <row r="31" ht="15.75" customHeight="1" outlineLevel="1">
      <c r="A31" s="1" t="s">
        <v>120</v>
      </c>
      <c r="B31" s="91" t="s">
        <v>175</v>
      </c>
      <c r="C31" s="132" t="s">
        <v>828</v>
      </c>
      <c r="D31" s="247">
        <f t="shared" ref="D31:Z31" si="29">RANDBETWEEN(0,5000)</f>
        <v>2694</v>
      </c>
      <c r="E31" s="247">
        <f t="shared" si="29"/>
        <v>3088</v>
      </c>
      <c r="F31" s="247">
        <f t="shared" si="29"/>
        <v>1473</v>
      </c>
      <c r="G31" s="247">
        <f t="shared" si="29"/>
        <v>2008</v>
      </c>
      <c r="H31" s="247">
        <f t="shared" si="29"/>
        <v>1433</v>
      </c>
      <c r="I31" s="247">
        <f t="shared" si="29"/>
        <v>1164</v>
      </c>
      <c r="J31" s="247">
        <f t="shared" si="29"/>
        <v>4964</v>
      </c>
      <c r="K31" s="247">
        <f t="shared" si="29"/>
        <v>2171</v>
      </c>
      <c r="L31" s="247">
        <f t="shared" si="29"/>
        <v>2924</v>
      </c>
      <c r="M31" s="247">
        <f t="shared" si="29"/>
        <v>3459</v>
      </c>
      <c r="N31" s="247">
        <f t="shared" si="29"/>
        <v>3237</v>
      </c>
      <c r="O31" s="247">
        <f t="shared" si="29"/>
        <v>16</v>
      </c>
      <c r="P31" s="247">
        <f t="shared" si="29"/>
        <v>998</v>
      </c>
      <c r="Q31" s="247">
        <f t="shared" si="29"/>
        <v>4170</v>
      </c>
      <c r="R31" s="247">
        <f t="shared" si="29"/>
        <v>1038</v>
      </c>
      <c r="S31" s="247">
        <f t="shared" si="29"/>
        <v>4162</v>
      </c>
      <c r="T31" s="247">
        <f t="shared" si="29"/>
        <v>2376</v>
      </c>
      <c r="U31" s="247">
        <f t="shared" si="29"/>
        <v>170</v>
      </c>
      <c r="V31" s="247">
        <f t="shared" si="29"/>
        <v>2632</v>
      </c>
      <c r="W31" s="247">
        <f t="shared" si="29"/>
        <v>3045</v>
      </c>
      <c r="X31" s="247">
        <f t="shared" si="29"/>
        <v>4268</v>
      </c>
      <c r="Y31" s="247">
        <f t="shared" si="29"/>
        <v>4261</v>
      </c>
      <c r="Z31" s="247">
        <f t="shared" si="29"/>
        <v>3450</v>
      </c>
      <c r="AA31" s="116">
        <f>'IS Proforma'!AM46</f>
        <v>0</v>
      </c>
      <c r="AB31" s="116">
        <f>'IS Proforma'!AN46</f>
        <v>0</v>
      </c>
      <c r="AC31" s="116">
        <f>'IS Proforma'!AO46</f>
        <v>0</v>
      </c>
      <c r="AD31" s="116">
        <f>'IS Proforma'!AP46</f>
        <v>0</v>
      </c>
      <c r="AE31" s="116">
        <f>'IS Proforma'!AQ46</f>
        <v>0</v>
      </c>
      <c r="AF31" s="116">
        <f>'IS Proforma'!AR46</f>
        <v>0</v>
      </c>
      <c r="AG31" s="116">
        <f>'IS Proforma'!AS46</f>
        <v>0</v>
      </c>
      <c r="AH31" s="116">
        <f>'IS Proforma'!AT46</f>
        <v>5000</v>
      </c>
      <c r="AI31" s="116">
        <f>'IS Proforma'!AU46</f>
        <v>5000</v>
      </c>
      <c r="AJ31" s="116">
        <f>'IS Proforma'!AV46</f>
        <v>5000</v>
      </c>
      <c r="AK31" s="116">
        <f>'IS Proforma'!AW46</f>
        <v>5000</v>
      </c>
      <c r="AL31" s="116">
        <f>'IS Proforma'!AX46</f>
        <v>5000</v>
      </c>
      <c r="AM31" s="116">
        <f>'IS Proforma'!AY46</f>
        <v>5000</v>
      </c>
      <c r="AN31" s="116">
        <f>'IS Proforma'!AZ46</f>
        <v>10000</v>
      </c>
      <c r="AO31" s="116">
        <f>'IS Proforma'!BA46</f>
        <v>10000</v>
      </c>
      <c r="AP31" s="116">
        <f>'IS Proforma'!BB46</f>
        <v>10000</v>
      </c>
      <c r="AQ31" s="116">
        <f>'IS Proforma'!BC46</f>
        <v>10000</v>
      </c>
      <c r="AR31" s="116">
        <f>'IS Proforma'!BD46</f>
        <v>10000</v>
      </c>
      <c r="AS31" s="116">
        <f>'IS Proforma'!BE46</f>
        <v>10000</v>
      </c>
      <c r="AT31" s="116">
        <f>'IS Proforma'!BF46</f>
        <v>15000</v>
      </c>
      <c r="AU31" s="116">
        <f>'IS Proforma'!BG46</f>
        <v>15000</v>
      </c>
      <c r="AV31" s="116">
        <f>'IS Proforma'!BH46</f>
        <v>15000</v>
      </c>
      <c r="AW31" s="116">
        <f>'IS Proforma'!BI46</f>
        <v>15000</v>
      </c>
      <c r="AX31" s="116">
        <f>'IS Proforma'!BJ46</f>
        <v>15000</v>
      </c>
      <c r="AY31" s="116">
        <f>'IS Proforma'!BK46</f>
        <v>15000</v>
      </c>
      <c r="AZ31" s="116">
        <f>'IS Proforma'!BL46</f>
        <v>20000</v>
      </c>
      <c r="BA31" s="116">
        <f>'IS Proforma'!BM46</f>
        <v>25000</v>
      </c>
      <c r="BB31" s="116">
        <f>'IS Proforma'!BN46</f>
        <v>30000</v>
      </c>
      <c r="BC31" s="116">
        <f>'IS Proforma'!BO46</f>
        <v>35000</v>
      </c>
      <c r="BD31" s="116">
        <f>'IS Proforma'!BP46</f>
        <v>40000</v>
      </c>
      <c r="BE31" s="116">
        <f>'IS Proforma'!BQ46</f>
        <v>45000</v>
      </c>
      <c r="BF31" s="116">
        <f>'IS Proforma'!BR46</f>
        <v>50000</v>
      </c>
      <c r="BG31" s="116">
        <f>'IS Proforma'!BS46</f>
        <v>55000</v>
      </c>
      <c r="BH31" s="116">
        <f>'IS Proforma'!BT46</f>
        <v>60000</v>
      </c>
      <c r="BI31" s="116">
        <f>'IS Proforma'!BU46</f>
        <v>65000</v>
      </c>
      <c r="BJ31" s="116">
        <f>'IS Proforma'!BV46</f>
        <v>70000</v>
      </c>
      <c r="BK31" s="116">
        <f>'IS Proforma'!BW46</f>
        <v>75000</v>
      </c>
      <c r="BL31" s="116">
        <f>'IS Proforma'!BX46</f>
        <v>80000</v>
      </c>
      <c r="BM31" s="116">
        <f>'IS Proforma'!BY46</f>
        <v>85000</v>
      </c>
      <c r="BN31" s="116">
        <f>'IS Proforma'!BZ46</f>
        <v>90000</v>
      </c>
      <c r="BO31" s="116">
        <f>'IS Proforma'!CA46</f>
        <v>95000</v>
      </c>
      <c r="BP31" s="116">
        <f>'IS Proforma'!CB46</f>
        <v>100000</v>
      </c>
      <c r="BQ31" s="116">
        <f>'IS Proforma'!CC46</f>
        <v>105000</v>
      </c>
      <c r="BR31" s="116">
        <f>'IS Proforma'!CD46</f>
        <v>110000</v>
      </c>
      <c r="BS31" s="116">
        <f>'IS Proforma'!CE46</f>
        <v>115000</v>
      </c>
      <c r="BT31" s="116">
        <f>'IS Proforma'!CF46</f>
        <v>120000</v>
      </c>
      <c r="BU31" s="116">
        <f>'IS Proforma'!CG46</f>
        <v>125000</v>
      </c>
      <c r="BV31" s="116">
        <f>'IS Proforma'!CH46</f>
        <v>130000</v>
      </c>
      <c r="BW31" s="116">
        <f>'IS Proforma'!CI46</f>
        <v>135000</v>
      </c>
      <c r="BX31" s="116">
        <f>'IS Proforma'!CJ46</f>
        <v>140000</v>
      </c>
      <c r="BY31" s="116">
        <f>'IS Proforma'!CK46</f>
        <v>145000</v>
      </c>
      <c r="BZ31" s="116">
        <f>'IS Proforma'!CL46</f>
        <v>150000</v>
      </c>
      <c r="CA31" s="116">
        <f>'IS Proforma'!CM46</f>
        <v>155000</v>
      </c>
      <c r="CB31" s="116">
        <f>'IS Proforma'!CN46</f>
        <v>160000</v>
      </c>
      <c r="CC31" s="116">
        <f>'IS Proforma'!CO46</f>
        <v>165000</v>
      </c>
      <c r="CD31" s="116">
        <f>'IS Proforma'!CP46</f>
        <v>170000</v>
      </c>
      <c r="CE31" s="116">
        <f>'IS Proforma'!CQ46</f>
        <v>175000</v>
      </c>
      <c r="CF31" s="116">
        <f>'IS Proforma'!CR46</f>
        <v>180000</v>
      </c>
      <c r="CG31" s="116">
        <f>'IS Proforma'!CS46</f>
        <v>185000</v>
      </c>
      <c r="CH31" s="116">
        <f>'IS Proforma'!CT46</f>
        <v>190000</v>
      </c>
      <c r="CI31" s="116">
        <f>'IS Proforma'!CU46</f>
        <v>195000</v>
      </c>
    </row>
    <row r="32" ht="15.75" customHeight="1" outlineLevel="1">
      <c r="A32" s="1"/>
      <c r="B32" s="91"/>
      <c r="C32" s="254" t="s">
        <v>224</v>
      </c>
      <c r="D32" s="514">
        <f t="shared" ref="D32:CI32" si="30">SUM(D30:D31)</f>
        <v>5326</v>
      </c>
      <c r="E32" s="514">
        <f t="shared" si="30"/>
        <v>4261</v>
      </c>
      <c r="F32" s="514">
        <f t="shared" si="30"/>
        <v>2243</v>
      </c>
      <c r="G32" s="514">
        <f t="shared" si="30"/>
        <v>2771</v>
      </c>
      <c r="H32" s="514">
        <f t="shared" si="30"/>
        <v>1852</v>
      </c>
      <c r="I32" s="514">
        <f t="shared" si="30"/>
        <v>2322</v>
      </c>
      <c r="J32" s="514">
        <f t="shared" si="30"/>
        <v>9408</v>
      </c>
      <c r="K32" s="514">
        <f t="shared" si="30"/>
        <v>5331</v>
      </c>
      <c r="L32" s="514">
        <f t="shared" si="30"/>
        <v>6785</v>
      </c>
      <c r="M32" s="514">
        <f t="shared" si="30"/>
        <v>5393</v>
      </c>
      <c r="N32" s="514">
        <f t="shared" si="30"/>
        <v>3572</v>
      </c>
      <c r="O32" s="514">
        <f t="shared" si="30"/>
        <v>2646</v>
      </c>
      <c r="P32" s="514">
        <f t="shared" si="30"/>
        <v>1371</v>
      </c>
      <c r="Q32" s="514">
        <f t="shared" si="30"/>
        <v>6399</v>
      </c>
      <c r="R32" s="514">
        <f t="shared" si="30"/>
        <v>5418</v>
      </c>
      <c r="S32" s="514">
        <f t="shared" si="30"/>
        <v>8180</v>
      </c>
      <c r="T32" s="514">
        <f t="shared" si="30"/>
        <v>2889</v>
      </c>
      <c r="U32" s="514">
        <f t="shared" si="30"/>
        <v>4273</v>
      </c>
      <c r="V32" s="514">
        <f t="shared" si="30"/>
        <v>6510</v>
      </c>
      <c r="W32" s="514">
        <f t="shared" si="30"/>
        <v>6903</v>
      </c>
      <c r="X32" s="514">
        <f t="shared" si="30"/>
        <v>5386</v>
      </c>
      <c r="Y32" s="514">
        <f t="shared" si="30"/>
        <v>7305</v>
      </c>
      <c r="Z32" s="514">
        <f t="shared" si="30"/>
        <v>7413</v>
      </c>
      <c r="AA32" s="514">
        <f t="shared" si="30"/>
        <v>23963</v>
      </c>
      <c r="AB32" s="514">
        <f t="shared" si="30"/>
        <v>66641.335</v>
      </c>
      <c r="AC32" s="514">
        <f t="shared" si="30"/>
        <v>77041.335</v>
      </c>
      <c r="AD32" s="514">
        <f t="shared" si="30"/>
        <v>77041.335</v>
      </c>
      <c r="AE32" s="514">
        <f t="shared" si="30"/>
        <v>77041.335</v>
      </c>
      <c r="AF32" s="514">
        <f t="shared" si="30"/>
        <v>80508.19508</v>
      </c>
      <c r="AG32" s="514">
        <f t="shared" si="30"/>
        <v>80508.19508</v>
      </c>
      <c r="AH32" s="514">
        <f t="shared" si="30"/>
        <v>85508.19508</v>
      </c>
      <c r="AI32" s="514">
        <f t="shared" si="30"/>
        <v>85508.19508</v>
      </c>
      <c r="AJ32" s="514">
        <f t="shared" si="30"/>
        <v>89131.06385</v>
      </c>
      <c r="AK32" s="514">
        <f t="shared" si="30"/>
        <v>89131.06385</v>
      </c>
      <c r="AL32" s="514">
        <f t="shared" si="30"/>
        <v>89131.06385</v>
      </c>
      <c r="AM32" s="514">
        <f t="shared" si="30"/>
        <v>89131.06385</v>
      </c>
      <c r="AN32" s="514">
        <f t="shared" si="30"/>
        <v>97496.30641</v>
      </c>
      <c r="AO32" s="514">
        <f t="shared" si="30"/>
        <v>97496.30641</v>
      </c>
      <c r="AP32" s="514">
        <f t="shared" si="30"/>
        <v>97496.30641</v>
      </c>
      <c r="AQ32" s="514">
        <f t="shared" si="30"/>
        <v>97496.30641</v>
      </c>
      <c r="AR32" s="514">
        <f t="shared" si="30"/>
        <v>100996.1587</v>
      </c>
      <c r="AS32" s="514">
        <f t="shared" si="30"/>
        <v>100996.1587</v>
      </c>
      <c r="AT32" s="514">
        <f t="shared" si="30"/>
        <v>105996.1587</v>
      </c>
      <c r="AU32" s="514">
        <f t="shared" si="30"/>
        <v>105996.1587</v>
      </c>
      <c r="AV32" s="514">
        <f t="shared" si="30"/>
        <v>109636.005</v>
      </c>
      <c r="AW32" s="514">
        <f t="shared" si="30"/>
        <v>109636.005</v>
      </c>
      <c r="AX32" s="514">
        <f t="shared" si="30"/>
        <v>109636.005</v>
      </c>
      <c r="AY32" s="514">
        <f t="shared" si="30"/>
        <v>109636.005</v>
      </c>
      <c r="AZ32" s="514">
        <f t="shared" si="30"/>
        <v>118421.4452</v>
      </c>
      <c r="BA32" s="514">
        <f t="shared" si="30"/>
        <v>123421.4452</v>
      </c>
      <c r="BB32" s="514">
        <f t="shared" si="30"/>
        <v>128421.4452</v>
      </c>
      <c r="BC32" s="514">
        <f t="shared" si="30"/>
        <v>133421.4452</v>
      </c>
      <c r="BD32" s="514">
        <f t="shared" si="30"/>
        <v>142358.303</v>
      </c>
      <c r="BE32" s="514">
        <f t="shared" si="30"/>
        <v>147358.303</v>
      </c>
      <c r="BF32" s="514">
        <f t="shared" si="30"/>
        <v>152358.303</v>
      </c>
      <c r="BG32" s="514">
        <f t="shared" si="30"/>
        <v>157358.303</v>
      </c>
      <c r="BH32" s="514">
        <f t="shared" si="30"/>
        <v>166452.6351</v>
      </c>
      <c r="BI32" s="514">
        <f t="shared" si="30"/>
        <v>171452.6351</v>
      </c>
      <c r="BJ32" s="514">
        <f t="shared" si="30"/>
        <v>176452.6351</v>
      </c>
      <c r="BK32" s="514">
        <f t="shared" si="30"/>
        <v>181452.6351</v>
      </c>
      <c r="BL32" s="514">
        <f t="shared" si="30"/>
        <v>190710.7405</v>
      </c>
      <c r="BM32" s="514">
        <f t="shared" si="30"/>
        <v>195710.7405</v>
      </c>
      <c r="BN32" s="514">
        <f t="shared" si="30"/>
        <v>200710.7405</v>
      </c>
      <c r="BO32" s="514">
        <f t="shared" si="30"/>
        <v>205710.7405</v>
      </c>
      <c r="BP32" s="514">
        <f t="shared" si="30"/>
        <v>215139.1702</v>
      </c>
      <c r="BQ32" s="514">
        <f t="shared" si="30"/>
        <v>220139.1702</v>
      </c>
      <c r="BR32" s="514">
        <f t="shared" si="30"/>
        <v>225139.1702</v>
      </c>
      <c r="BS32" s="514">
        <f t="shared" si="30"/>
        <v>230139.1702</v>
      </c>
      <c r="BT32" s="514">
        <f t="shared" si="30"/>
        <v>239744.737</v>
      </c>
      <c r="BU32" s="514">
        <f t="shared" si="30"/>
        <v>244744.737</v>
      </c>
      <c r="BV32" s="514">
        <f t="shared" si="30"/>
        <v>249744.737</v>
      </c>
      <c r="BW32" s="514">
        <f t="shared" si="30"/>
        <v>254744.737</v>
      </c>
      <c r="BX32" s="514">
        <f t="shared" si="30"/>
        <v>264534.5265</v>
      </c>
      <c r="BY32" s="514">
        <f t="shared" si="30"/>
        <v>269534.5265</v>
      </c>
      <c r="BZ32" s="514">
        <f t="shared" si="30"/>
        <v>274534.5265</v>
      </c>
      <c r="CA32" s="514">
        <f t="shared" si="30"/>
        <v>279534.5265</v>
      </c>
      <c r="CB32" s="514">
        <f t="shared" si="30"/>
        <v>289515.9075</v>
      </c>
      <c r="CC32" s="514">
        <f t="shared" si="30"/>
        <v>294515.9075</v>
      </c>
      <c r="CD32" s="514">
        <f t="shared" si="30"/>
        <v>299515.9075</v>
      </c>
      <c r="CE32" s="514">
        <f t="shared" si="30"/>
        <v>304515.9075</v>
      </c>
      <c r="CF32" s="514">
        <f t="shared" si="30"/>
        <v>314696.5438</v>
      </c>
      <c r="CG32" s="514">
        <f t="shared" si="30"/>
        <v>319696.5438</v>
      </c>
      <c r="CH32" s="514">
        <f t="shared" si="30"/>
        <v>324696.5438</v>
      </c>
      <c r="CI32" s="514">
        <f t="shared" si="30"/>
        <v>329696.5438</v>
      </c>
    </row>
    <row r="33" ht="15.75" customHeight="1" outlineLevel="1">
      <c r="A33" s="1" t="s">
        <v>120</v>
      </c>
      <c r="B33" s="91" t="s">
        <v>175</v>
      </c>
      <c r="C33" s="132" t="s">
        <v>225</v>
      </c>
      <c r="D33" s="247">
        <f t="shared" ref="D33:Z33" si="31">RANDBETWEEN(0,5000)</f>
        <v>637</v>
      </c>
      <c r="E33" s="247">
        <f t="shared" si="31"/>
        <v>1757</v>
      </c>
      <c r="F33" s="247">
        <f t="shared" si="31"/>
        <v>1933</v>
      </c>
      <c r="G33" s="247">
        <f t="shared" si="31"/>
        <v>1378</v>
      </c>
      <c r="H33" s="247">
        <f t="shared" si="31"/>
        <v>2483</v>
      </c>
      <c r="I33" s="247">
        <f t="shared" si="31"/>
        <v>3850</v>
      </c>
      <c r="J33" s="247">
        <f t="shared" si="31"/>
        <v>629</v>
      </c>
      <c r="K33" s="247">
        <f t="shared" si="31"/>
        <v>256</v>
      </c>
      <c r="L33" s="247">
        <f t="shared" si="31"/>
        <v>595</v>
      </c>
      <c r="M33" s="247">
        <f t="shared" si="31"/>
        <v>2248</v>
      </c>
      <c r="N33" s="247">
        <f t="shared" si="31"/>
        <v>376</v>
      </c>
      <c r="O33" s="247">
        <f t="shared" si="31"/>
        <v>808</v>
      </c>
      <c r="P33" s="247">
        <f t="shared" si="31"/>
        <v>1715</v>
      </c>
      <c r="Q33" s="247">
        <f t="shared" si="31"/>
        <v>2067</v>
      </c>
      <c r="R33" s="247">
        <f t="shared" si="31"/>
        <v>405</v>
      </c>
      <c r="S33" s="247">
        <f t="shared" si="31"/>
        <v>3896</v>
      </c>
      <c r="T33" s="247">
        <f t="shared" si="31"/>
        <v>1776</v>
      </c>
      <c r="U33" s="247">
        <f t="shared" si="31"/>
        <v>2739</v>
      </c>
      <c r="V33" s="247">
        <f t="shared" si="31"/>
        <v>1274</v>
      </c>
      <c r="W33" s="247">
        <f t="shared" si="31"/>
        <v>3699</v>
      </c>
      <c r="X33" s="247">
        <f t="shared" si="31"/>
        <v>4002</v>
      </c>
      <c r="Y33" s="247">
        <f t="shared" si="31"/>
        <v>246</v>
      </c>
      <c r="Z33" s="247">
        <f t="shared" si="31"/>
        <v>1166</v>
      </c>
      <c r="AA33" s="117">
        <f t="shared" ref="AA33:CI33" si="32">AVERAGE(X33:Z33)/AVERAGE(X$30:Z$30)*AA$30</f>
        <v>15967.46855</v>
      </c>
      <c r="AB33" s="117">
        <f t="shared" si="32"/>
        <v>37397.19038</v>
      </c>
      <c r="AC33" s="117">
        <f t="shared" si="32"/>
        <v>44424.58659</v>
      </c>
      <c r="AD33" s="117">
        <f t="shared" si="32"/>
        <v>44938.91208</v>
      </c>
      <c r="AE33" s="117">
        <f t="shared" si="32"/>
        <v>44244.4523</v>
      </c>
      <c r="AF33" s="117">
        <f t="shared" si="32"/>
        <v>46540.10292</v>
      </c>
      <c r="AG33" s="117">
        <f t="shared" si="32"/>
        <v>46578.33278</v>
      </c>
      <c r="AH33" s="117">
        <f t="shared" si="32"/>
        <v>46454.43947</v>
      </c>
      <c r="AI33" s="117">
        <f t="shared" si="32"/>
        <v>46524.29172</v>
      </c>
      <c r="AJ33" s="117">
        <f t="shared" si="32"/>
        <v>48612.37728</v>
      </c>
      <c r="AK33" s="117">
        <f t="shared" si="32"/>
        <v>48592.02245</v>
      </c>
      <c r="AL33" s="117">
        <f t="shared" si="32"/>
        <v>48607.27591</v>
      </c>
      <c r="AM33" s="117">
        <f t="shared" si="32"/>
        <v>48603.89188</v>
      </c>
      <c r="AN33" s="117">
        <f t="shared" si="32"/>
        <v>50545.10595</v>
      </c>
      <c r="AO33" s="117">
        <f t="shared" si="32"/>
        <v>50548.19891</v>
      </c>
      <c r="AP33" s="117">
        <f t="shared" si="32"/>
        <v>50547.10539</v>
      </c>
      <c r="AQ33" s="117">
        <f t="shared" si="32"/>
        <v>50546.80342</v>
      </c>
      <c r="AR33" s="117">
        <f t="shared" si="32"/>
        <v>52569.26401</v>
      </c>
      <c r="AS33" s="117">
        <f t="shared" si="32"/>
        <v>52568.98018</v>
      </c>
      <c r="AT33" s="117">
        <f t="shared" si="32"/>
        <v>52568.97711</v>
      </c>
      <c r="AU33" s="117">
        <f t="shared" si="32"/>
        <v>52569.07377</v>
      </c>
      <c r="AV33" s="117">
        <f t="shared" si="32"/>
        <v>54671.77077</v>
      </c>
      <c r="AW33" s="117">
        <f t="shared" si="32"/>
        <v>54671.78109</v>
      </c>
      <c r="AX33" s="117">
        <f t="shared" si="32"/>
        <v>54671.79567</v>
      </c>
      <c r="AY33" s="117">
        <f t="shared" si="32"/>
        <v>54671.78251</v>
      </c>
      <c r="AZ33" s="117">
        <f t="shared" si="32"/>
        <v>56858.65788</v>
      </c>
      <c r="BA33" s="117">
        <f t="shared" si="32"/>
        <v>56858.6597</v>
      </c>
      <c r="BB33" s="117">
        <f t="shared" si="32"/>
        <v>56858.65717</v>
      </c>
      <c r="BC33" s="117">
        <f t="shared" si="32"/>
        <v>56858.65825</v>
      </c>
      <c r="BD33" s="117">
        <f t="shared" si="32"/>
        <v>59133.00471</v>
      </c>
      <c r="BE33" s="117">
        <f t="shared" si="32"/>
        <v>59133.00426</v>
      </c>
      <c r="BF33" s="117">
        <f t="shared" si="32"/>
        <v>59133.00451</v>
      </c>
      <c r="BG33" s="117">
        <f t="shared" si="32"/>
        <v>59133.00449</v>
      </c>
      <c r="BH33" s="117">
        <f t="shared" si="32"/>
        <v>61498.3246</v>
      </c>
      <c r="BI33" s="117">
        <f t="shared" si="32"/>
        <v>61498.32465</v>
      </c>
      <c r="BJ33" s="117">
        <f t="shared" si="32"/>
        <v>61498.32464</v>
      </c>
      <c r="BK33" s="117">
        <f t="shared" si="32"/>
        <v>61498.32463</v>
      </c>
      <c r="BL33" s="117">
        <f t="shared" si="32"/>
        <v>63958.25763</v>
      </c>
      <c r="BM33" s="117">
        <f t="shared" si="32"/>
        <v>63958.25762</v>
      </c>
      <c r="BN33" s="117">
        <f t="shared" si="32"/>
        <v>63958.25762</v>
      </c>
      <c r="BO33" s="117">
        <f t="shared" si="32"/>
        <v>63958.25763</v>
      </c>
      <c r="BP33" s="117">
        <f t="shared" si="32"/>
        <v>66516.58793</v>
      </c>
      <c r="BQ33" s="117">
        <f t="shared" si="32"/>
        <v>66516.58793</v>
      </c>
      <c r="BR33" s="117">
        <f t="shared" si="32"/>
        <v>66516.58793</v>
      </c>
      <c r="BS33" s="117">
        <f t="shared" si="32"/>
        <v>66516.58793</v>
      </c>
      <c r="BT33" s="117">
        <f t="shared" si="32"/>
        <v>69177.25145</v>
      </c>
      <c r="BU33" s="117">
        <f t="shared" si="32"/>
        <v>69177.25145</v>
      </c>
      <c r="BV33" s="117">
        <f t="shared" si="32"/>
        <v>69177.25145</v>
      </c>
      <c r="BW33" s="117">
        <f t="shared" si="32"/>
        <v>69177.25145</v>
      </c>
      <c r="BX33" s="117">
        <f t="shared" si="32"/>
        <v>71944.3415</v>
      </c>
      <c r="BY33" s="117">
        <f t="shared" si="32"/>
        <v>71944.3415</v>
      </c>
      <c r="BZ33" s="117">
        <f t="shared" si="32"/>
        <v>71944.3415</v>
      </c>
      <c r="CA33" s="117">
        <f t="shared" si="32"/>
        <v>71944.3415</v>
      </c>
      <c r="CB33" s="117">
        <f t="shared" si="32"/>
        <v>74822.11516</v>
      </c>
      <c r="CC33" s="117">
        <f t="shared" si="32"/>
        <v>74822.11516</v>
      </c>
      <c r="CD33" s="117">
        <f t="shared" si="32"/>
        <v>74822.11516</v>
      </c>
      <c r="CE33" s="117">
        <f t="shared" si="32"/>
        <v>74822.11516</v>
      </c>
      <c r="CF33" s="117">
        <f t="shared" si="32"/>
        <v>77814.99977</v>
      </c>
      <c r="CG33" s="117">
        <f t="shared" si="32"/>
        <v>77814.99977</v>
      </c>
      <c r="CH33" s="117">
        <f t="shared" si="32"/>
        <v>77814.99977</v>
      </c>
      <c r="CI33" s="117">
        <f t="shared" si="32"/>
        <v>77814.99977</v>
      </c>
    </row>
    <row r="34" ht="15.75" customHeight="1" outlineLevel="1">
      <c r="A34" s="1" t="s">
        <v>120</v>
      </c>
      <c r="B34" s="91" t="s">
        <v>175</v>
      </c>
      <c r="C34" s="132" t="s">
        <v>226</v>
      </c>
      <c r="D34" s="247">
        <f t="shared" ref="D34:Z34" si="33">RANDBETWEEN(0,5000)</f>
        <v>1493</v>
      </c>
      <c r="E34" s="247">
        <f t="shared" si="33"/>
        <v>9</v>
      </c>
      <c r="F34" s="247">
        <f t="shared" si="33"/>
        <v>4972</v>
      </c>
      <c r="G34" s="247">
        <f t="shared" si="33"/>
        <v>4481</v>
      </c>
      <c r="H34" s="247">
        <f t="shared" si="33"/>
        <v>836</v>
      </c>
      <c r="I34" s="247">
        <f t="shared" si="33"/>
        <v>3360</v>
      </c>
      <c r="J34" s="247">
        <f t="shared" si="33"/>
        <v>3630</v>
      </c>
      <c r="K34" s="247">
        <f t="shared" si="33"/>
        <v>4599</v>
      </c>
      <c r="L34" s="247">
        <f t="shared" si="33"/>
        <v>3652</v>
      </c>
      <c r="M34" s="247">
        <f t="shared" si="33"/>
        <v>112</v>
      </c>
      <c r="N34" s="247">
        <f t="shared" si="33"/>
        <v>980</v>
      </c>
      <c r="O34" s="247">
        <f t="shared" si="33"/>
        <v>1545</v>
      </c>
      <c r="P34" s="247">
        <f t="shared" si="33"/>
        <v>736</v>
      </c>
      <c r="Q34" s="247">
        <f t="shared" si="33"/>
        <v>4462</v>
      </c>
      <c r="R34" s="247">
        <f t="shared" si="33"/>
        <v>3742</v>
      </c>
      <c r="S34" s="247">
        <f t="shared" si="33"/>
        <v>2040</v>
      </c>
      <c r="T34" s="247">
        <f t="shared" si="33"/>
        <v>1151</v>
      </c>
      <c r="U34" s="247">
        <f t="shared" si="33"/>
        <v>4408</v>
      </c>
      <c r="V34" s="247">
        <f t="shared" si="33"/>
        <v>3101</v>
      </c>
      <c r="W34" s="247">
        <f t="shared" si="33"/>
        <v>4690</v>
      </c>
      <c r="X34" s="247">
        <f t="shared" si="33"/>
        <v>4999</v>
      </c>
      <c r="Y34" s="247">
        <f t="shared" si="33"/>
        <v>846</v>
      </c>
      <c r="Z34" s="247">
        <f t="shared" si="33"/>
        <v>2237</v>
      </c>
      <c r="AA34" s="117">
        <f t="shared" ref="AA34:CI34" si="34">AVERAGE(X34:Z34)/AVERAGE(X$30:Z$30)*AA$30</f>
        <v>23836.18043</v>
      </c>
      <c r="AB34" s="117">
        <f t="shared" si="34"/>
        <v>57924.76981</v>
      </c>
      <c r="AC34" s="117">
        <f t="shared" si="34"/>
        <v>68430.75597</v>
      </c>
      <c r="AD34" s="117">
        <f t="shared" si="34"/>
        <v>69020.39016</v>
      </c>
      <c r="AE34" s="117">
        <f t="shared" si="34"/>
        <v>68193.85771</v>
      </c>
      <c r="AF34" s="117">
        <f t="shared" si="34"/>
        <v>71633.00967</v>
      </c>
      <c r="AG34" s="117">
        <f t="shared" si="34"/>
        <v>71673.36096</v>
      </c>
      <c r="AH34" s="117">
        <f t="shared" si="34"/>
        <v>71526.77625</v>
      </c>
      <c r="AI34" s="117">
        <f t="shared" si="34"/>
        <v>71611.04896</v>
      </c>
      <c r="AJ34" s="117">
        <f t="shared" si="34"/>
        <v>74825.89652</v>
      </c>
      <c r="AK34" s="117">
        <f t="shared" si="34"/>
        <v>74801.99974</v>
      </c>
      <c r="AL34" s="117">
        <f t="shared" si="34"/>
        <v>74820.29054</v>
      </c>
      <c r="AM34" s="117">
        <f t="shared" si="34"/>
        <v>74816.06227</v>
      </c>
      <c r="AN34" s="117">
        <f t="shared" si="34"/>
        <v>77805.29555</v>
      </c>
      <c r="AO34" s="117">
        <f t="shared" si="34"/>
        <v>77808.98496</v>
      </c>
      <c r="AP34" s="117">
        <f t="shared" si="34"/>
        <v>77807.64821</v>
      </c>
      <c r="AQ34" s="117">
        <f t="shared" si="34"/>
        <v>77807.30957</v>
      </c>
      <c r="AR34" s="117">
        <f t="shared" si="34"/>
        <v>80920.30015</v>
      </c>
      <c r="AS34" s="117">
        <f t="shared" si="34"/>
        <v>80919.95666</v>
      </c>
      <c r="AT34" s="117">
        <f t="shared" si="34"/>
        <v>80919.95748</v>
      </c>
      <c r="AU34" s="117">
        <f t="shared" si="34"/>
        <v>80920.07143</v>
      </c>
      <c r="AV34" s="117">
        <f t="shared" si="34"/>
        <v>84156.795</v>
      </c>
      <c r="AW34" s="117">
        <f t="shared" si="34"/>
        <v>84156.80818</v>
      </c>
      <c r="AX34" s="117">
        <f t="shared" si="34"/>
        <v>84156.82519</v>
      </c>
      <c r="AY34" s="117">
        <f t="shared" si="34"/>
        <v>84156.80946</v>
      </c>
      <c r="AZ34" s="117">
        <f t="shared" si="34"/>
        <v>87523.08685</v>
      </c>
      <c r="BA34" s="117">
        <f t="shared" si="34"/>
        <v>87523.08893</v>
      </c>
      <c r="BB34" s="117">
        <f t="shared" si="34"/>
        <v>87523.08593</v>
      </c>
      <c r="BC34" s="117">
        <f t="shared" si="34"/>
        <v>87523.08724</v>
      </c>
      <c r="BD34" s="117">
        <f t="shared" si="34"/>
        <v>91024.01086</v>
      </c>
      <c r="BE34" s="117">
        <f t="shared" si="34"/>
        <v>91024.01032</v>
      </c>
      <c r="BF34" s="117">
        <f t="shared" si="34"/>
        <v>91024.01063</v>
      </c>
      <c r="BG34" s="117">
        <f t="shared" si="34"/>
        <v>91024.01061</v>
      </c>
      <c r="BH34" s="117">
        <f t="shared" si="34"/>
        <v>94664.97094</v>
      </c>
      <c r="BI34" s="117">
        <f t="shared" si="34"/>
        <v>94664.97101</v>
      </c>
      <c r="BJ34" s="117">
        <f t="shared" si="34"/>
        <v>94664.97099</v>
      </c>
      <c r="BK34" s="117">
        <f t="shared" si="34"/>
        <v>94664.97098</v>
      </c>
      <c r="BL34" s="117">
        <f t="shared" si="34"/>
        <v>98451.56983</v>
      </c>
      <c r="BM34" s="117">
        <f t="shared" si="34"/>
        <v>98451.56983</v>
      </c>
      <c r="BN34" s="117">
        <f t="shared" si="34"/>
        <v>98451.56983</v>
      </c>
      <c r="BO34" s="117">
        <f t="shared" si="34"/>
        <v>98451.56983</v>
      </c>
      <c r="BP34" s="117">
        <f t="shared" si="34"/>
        <v>102389.6326</v>
      </c>
      <c r="BQ34" s="117">
        <f t="shared" si="34"/>
        <v>102389.6326</v>
      </c>
      <c r="BR34" s="117">
        <f t="shared" si="34"/>
        <v>102389.6326</v>
      </c>
      <c r="BS34" s="117">
        <f t="shared" si="34"/>
        <v>102389.6326</v>
      </c>
      <c r="BT34" s="117">
        <f t="shared" si="34"/>
        <v>106485.2179</v>
      </c>
      <c r="BU34" s="117">
        <f t="shared" si="34"/>
        <v>106485.2179</v>
      </c>
      <c r="BV34" s="117">
        <f t="shared" si="34"/>
        <v>106485.2179</v>
      </c>
      <c r="BW34" s="117">
        <f t="shared" si="34"/>
        <v>106485.2179</v>
      </c>
      <c r="BX34" s="117">
        <f t="shared" si="34"/>
        <v>110744.6266</v>
      </c>
      <c r="BY34" s="117">
        <f t="shared" si="34"/>
        <v>110744.6266</v>
      </c>
      <c r="BZ34" s="117">
        <f t="shared" si="34"/>
        <v>110744.6266</v>
      </c>
      <c r="CA34" s="117">
        <f t="shared" si="34"/>
        <v>110744.6266</v>
      </c>
      <c r="CB34" s="117">
        <f t="shared" si="34"/>
        <v>115174.4117</v>
      </c>
      <c r="CC34" s="117">
        <f t="shared" si="34"/>
        <v>115174.4117</v>
      </c>
      <c r="CD34" s="117">
        <f t="shared" si="34"/>
        <v>115174.4117</v>
      </c>
      <c r="CE34" s="117">
        <f t="shared" si="34"/>
        <v>115174.4117</v>
      </c>
      <c r="CF34" s="117">
        <f t="shared" si="34"/>
        <v>119781.3882</v>
      </c>
      <c r="CG34" s="117">
        <f t="shared" si="34"/>
        <v>119781.3882</v>
      </c>
      <c r="CH34" s="117">
        <f t="shared" si="34"/>
        <v>119781.3882</v>
      </c>
      <c r="CI34" s="117">
        <f t="shared" si="34"/>
        <v>119781.3882</v>
      </c>
    </row>
    <row r="35" ht="15.75" customHeight="1" outlineLevel="1">
      <c r="A35" s="1" t="s">
        <v>120</v>
      </c>
      <c r="B35" s="91" t="s">
        <v>175</v>
      </c>
      <c r="C35" s="132" t="s">
        <v>227</v>
      </c>
      <c r="D35" s="247">
        <f t="shared" ref="D35:Z35" si="35">RANDBETWEEN(0,5000)</f>
        <v>2562</v>
      </c>
      <c r="E35" s="247">
        <f t="shared" si="35"/>
        <v>3248</v>
      </c>
      <c r="F35" s="247">
        <f t="shared" si="35"/>
        <v>4489</v>
      </c>
      <c r="G35" s="247">
        <f t="shared" si="35"/>
        <v>3652</v>
      </c>
      <c r="H35" s="247">
        <f t="shared" si="35"/>
        <v>4944</v>
      </c>
      <c r="I35" s="247">
        <f t="shared" si="35"/>
        <v>3412</v>
      </c>
      <c r="J35" s="247">
        <f t="shared" si="35"/>
        <v>404</v>
      </c>
      <c r="K35" s="247">
        <f t="shared" si="35"/>
        <v>4819</v>
      </c>
      <c r="L35" s="247">
        <f t="shared" si="35"/>
        <v>2456</v>
      </c>
      <c r="M35" s="247">
        <f t="shared" si="35"/>
        <v>1831</v>
      </c>
      <c r="N35" s="247">
        <f t="shared" si="35"/>
        <v>4610</v>
      </c>
      <c r="O35" s="247">
        <f t="shared" si="35"/>
        <v>2495</v>
      </c>
      <c r="P35" s="247">
        <f t="shared" si="35"/>
        <v>2481</v>
      </c>
      <c r="Q35" s="247">
        <f t="shared" si="35"/>
        <v>3530</v>
      </c>
      <c r="R35" s="247">
        <f t="shared" si="35"/>
        <v>1110</v>
      </c>
      <c r="S35" s="247">
        <f t="shared" si="35"/>
        <v>3557</v>
      </c>
      <c r="T35" s="247">
        <f t="shared" si="35"/>
        <v>4570</v>
      </c>
      <c r="U35" s="247">
        <f t="shared" si="35"/>
        <v>3756</v>
      </c>
      <c r="V35" s="247">
        <f t="shared" si="35"/>
        <v>4563</v>
      </c>
      <c r="W35" s="247">
        <f t="shared" si="35"/>
        <v>2835</v>
      </c>
      <c r="X35" s="247">
        <f t="shared" si="35"/>
        <v>1075</v>
      </c>
      <c r="Y35" s="247">
        <f t="shared" si="35"/>
        <v>4298</v>
      </c>
      <c r="Z35" s="247">
        <f t="shared" si="35"/>
        <v>1455</v>
      </c>
      <c r="AA35" s="117">
        <f t="shared" ref="AA35:CI35" si="36">AVERAGE(X35:Z35)/AVERAGE(X$30:Z$30)*AA$30</f>
        <v>20137.76788</v>
      </c>
      <c r="AB35" s="117">
        <f t="shared" si="36"/>
        <v>55711.82872</v>
      </c>
      <c r="AC35" s="117">
        <f t="shared" si="36"/>
        <v>62977.86993</v>
      </c>
      <c r="AD35" s="117">
        <f t="shared" si="36"/>
        <v>63797.96959</v>
      </c>
      <c r="AE35" s="117">
        <f t="shared" si="36"/>
        <v>63695.35376</v>
      </c>
      <c r="AF35" s="117">
        <f t="shared" si="36"/>
        <v>66347.46566</v>
      </c>
      <c r="AG35" s="117">
        <f t="shared" si="36"/>
        <v>66523.35781</v>
      </c>
      <c r="AH35" s="117">
        <f t="shared" si="36"/>
        <v>66476.26382</v>
      </c>
      <c r="AI35" s="117">
        <f t="shared" si="36"/>
        <v>66449.0291</v>
      </c>
      <c r="AJ35" s="117">
        <f t="shared" si="36"/>
        <v>69474.61333</v>
      </c>
      <c r="AK35" s="117">
        <f t="shared" si="36"/>
        <v>69460.72316</v>
      </c>
      <c r="AL35" s="117">
        <f t="shared" si="36"/>
        <v>69458.46668</v>
      </c>
      <c r="AM35" s="117">
        <f t="shared" si="36"/>
        <v>69464.60106</v>
      </c>
      <c r="AN35" s="117">
        <f t="shared" si="36"/>
        <v>72239.71418</v>
      </c>
      <c r="AO35" s="117">
        <f t="shared" si="36"/>
        <v>72239.89908</v>
      </c>
      <c r="AP35" s="117">
        <f t="shared" si="36"/>
        <v>72240.90354</v>
      </c>
      <c r="AQ35" s="117">
        <f t="shared" si="36"/>
        <v>72240.17226</v>
      </c>
      <c r="AR35" s="117">
        <f t="shared" si="36"/>
        <v>75129.93796</v>
      </c>
      <c r="AS35" s="117">
        <f t="shared" si="36"/>
        <v>75130.08365</v>
      </c>
      <c r="AT35" s="117">
        <f t="shared" si="36"/>
        <v>75129.93559</v>
      </c>
      <c r="AU35" s="117">
        <f t="shared" si="36"/>
        <v>75129.98574</v>
      </c>
      <c r="AV35" s="117">
        <f t="shared" si="36"/>
        <v>78135.20173</v>
      </c>
      <c r="AW35" s="117">
        <f t="shared" si="36"/>
        <v>78135.17368</v>
      </c>
      <c r="AX35" s="117">
        <f t="shared" si="36"/>
        <v>78135.18688</v>
      </c>
      <c r="AY35" s="117">
        <f t="shared" si="36"/>
        <v>78135.18743</v>
      </c>
      <c r="AZ35" s="117">
        <f t="shared" si="36"/>
        <v>81260.58997</v>
      </c>
      <c r="BA35" s="117">
        <f t="shared" si="36"/>
        <v>81260.59304</v>
      </c>
      <c r="BB35" s="117">
        <f t="shared" si="36"/>
        <v>81260.59262</v>
      </c>
      <c r="BC35" s="117">
        <f t="shared" si="36"/>
        <v>81260.59187</v>
      </c>
      <c r="BD35" s="117">
        <f t="shared" si="36"/>
        <v>84511.01621</v>
      </c>
      <c r="BE35" s="117">
        <f t="shared" si="36"/>
        <v>84511.01603</v>
      </c>
      <c r="BF35" s="117">
        <f t="shared" si="36"/>
        <v>84511.01593</v>
      </c>
      <c r="BG35" s="117">
        <f t="shared" si="36"/>
        <v>84511.01606</v>
      </c>
      <c r="BH35" s="117">
        <f t="shared" si="36"/>
        <v>87891.45665</v>
      </c>
      <c r="BI35" s="117">
        <f t="shared" si="36"/>
        <v>87891.45664</v>
      </c>
      <c r="BJ35" s="117">
        <f t="shared" si="36"/>
        <v>87891.45666</v>
      </c>
      <c r="BK35" s="117">
        <f t="shared" si="36"/>
        <v>87891.45665</v>
      </c>
      <c r="BL35" s="117">
        <f t="shared" si="36"/>
        <v>91407.11492</v>
      </c>
      <c r="BM35" s="117">
        <f t="shared" si="36"/>
        <v>91407.11492</v>
      </c>
      <c r="BN35" s="117">
        <f t="shared" si="36"/>
        <v>91407.11492</v>
      </c>
      <c r="BO35" s="117">
        <f t="shared" si="36"/>
        <v>91407.11492</v>
      </c>
      <c r="BP35" s="117">
        <f t="shared" si="36"/>
        <v>95063.39952</v>
      </c>
      <c r="BQ35" s="117">
        <f t="shared" si="36"/>
        <v>95063.39952</v>
      </c>
      <c r="BR35" s="117">
        <f t="shared" si="36"/>
        <v>95063.39952</v>
      </c>
      <c r="BS35" s="117">
        <f t="shared" si="36"/>
        <v>95063.39952</v>
      </c>
      <c r="BT35" s="117">
        <f t="shared" si="36"/>
        <v>98865.9355</v>
      </c>
      <c r="BU35" s="117">
        <f t="shared" si="36"/>
        <v>98865.9355</v>
      </c>
      <c r="BV35" s="117">
        <f t="shared" si="36"/>
        <v>98865.9355</v>
      </c>
      <c r="BW35" s="117">
        <f t="shared" si="36"/>
        <v>98865.9355</v>
      </c>
      <c r="BX35" s="117">
        <f t="shared" si="36"/>
        <v>102820.5729</v>
      </c>
      <c r="BY35" s="117">
        <f t="shared" si="36"/>
        <v>102820.5729</v>
      </c>
      <c r="BZ35" s="117">
        <f t="shared" si="36"/>
        <v>102820.5729</v>
      </c>
      <c r="CA35" s="117">
        <f t="shared" si="36"/>
        <v>102820.5729</v>
      </c>
      <c r="CB35" s="117">
        <f t="shared" si="36"/>
        <v>106933.3958</v>
      </c>
      <c r="CC35" s="117">
        <f t="shared" si="36"/>
        <v>106933.3958</v>
      </c>
      <c r="CD35" s="117">
        <f t="shared" si="36"/>
        <v>106933.3958</v>
      </c>
      <c r="CE35" s="117">
        <f t="shared" si="36"/>
        <v>106933.3958</v>
      </c>
      <c r="CF35" s="117">
        <f t="shared" si="36"/>
        <v>111210.7317</v>
      </c>
      <c r="CG35" s="117">
        <f t="shared" si="36"/>
        <v>111210.7317</v>
      </c>
      <c r="CH35" s="117">
        <f t="shared" si="36"/>
        <v>111210.7317</v>
      </c>
      <c r="CI35" s="117">
        <f t="shared" si="36"/>
        <v>111210.7317</v>
      </c>
    </row>
    <row r="36" ht="15.75" customHeight="1" outlineLevel="1">
      <c r="A36" s="1" t="s">
        <v>120</v>
      </c>
      <c r="B36" s="91" t="s">
        <v>175</v>
      </c>
      <c r="C36" s="132" t="s">
        <v>228</v>
      </c>
      <c r="D36" s="247">
        <f t="shared" ref="D36:Z36" si="37">RANDBETWEEN(0,5000)</f>
        <v>1481</v>
      </c>
      <c r="E36" s="247">
        <f t="shared" si="37"/>
        <v>4144</v>
      </c>
      <c r="F36" s="247">
        <f t="shared" si="37"/>
        <v>2677</v>
      </c>
      <c r="G36" s="247">
        <f t="shared" si="37"/>
        <v>3624</v>
      </c>
      <c r="H36" s="247">
        <f t="shared" si="37"/>
        <v>891</v>
      </c>
      <c r="I36" s="247">
        <f t="shared" si="37"/>
        <v>406</v>
      </c>
      <c r="J36" s="247">
        <f t="shared" si="37"/>
        <v>3267</v>
      </c>
      <c r="K36" s="247">
        <f t="shared" si="37"/>
        <v>1945</v>
      </c>
      <c r="L36" s="247">
        <f t="shared" si="37"/>
        <v>4176</v>
      </c>
      <c r="M36" s="247">
        <f t="shared" si="37"/>
        <v>2795</v>
      </c>
      <c r="N36" s="247">
        <f t="shared" si="37"/>
        <v>3330</v>
      </c>
      <c r="O36" s="247">
        <f t="shared" si="37"/>
        <v>4412</v>
      </c>
      <c r="P36" s="247">
        <f t="shared" si="37"/>
        <v>4601</v>
      </c>
      <c r="Q36" s="247">
        <f t="shared" si="37"/>
        <v>2825</v>
      </c>
      <c r="R36" s="247">
        <f t="shared" si="37"/>
        <v>910</v>
      </c>
      <c r="S36" s="247">
        <f t="shared" si="37"/>
        <v>626</v>
      </c>
      <c r="T36" s="247">
        <f t="shared" si="37"/>
        <v>3367</v>
      </c>
      <c r="U36" s="247">
        <f t="shared" si="37"/>
        <v>84</v>
      </c>
      <c r="V36" s="247">
        <f t="shared" si="37"/>
        <v>1786</v>
      </c>
      <c r="W36" s="247">
        <f t="shared" si="37"/>
        <v>435</v>
      </c>
      <c r="X36" s="247">
        <f t="shared" si="37"/>
        <v>1526</v>
      </c>
      <c r="Y36" s="247">
        <f t="shared" si="37"/>
        <v>690</v>
      </c>
      <c r="Z36" s="247">
        <f t="shared" si="37"/>
        <v>3481</v>
      </c>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7"/>
      <c r="BU36" s="117"/>
      <c r="BV36" s="117"/>
      <c r="BW36" s="117"/>
      <c r="BX36" s="117"/>
      <c r="BY36" s="117"/>
      <c r="BZ36" s="117"/>
      <c r="CA36" s="117"/>
      <c r="CB36" s="117"/>
      <c r="CC36" s="117"/>
      <c r="CD36" s="117"/>
      <c r="CE36" s="117"/>
      <c r="CF36" s="117"/>
      <c r="CG36" s="117"/>
      <c r="CH36" s="117"/>
      <c r="CI36" s="117"/>
    </row>
    <row r="37" ht="15.75" customHeight="1" outlineLevel="1">
      <c r="A37" s="1" t="s">
        <v>120</v>
      </c>
      <c r="B37" s="91" t="s">
        <v>175</v>
      </c>
      <c r="C37" s="132" t="s">
        <v>229</v>
      </c>
      <c r="D37" s="247">
        <f t="shared" ref="D37:Z37" si="38">RANDBETWEEN(0,5000)</f>
        <v>4049</v>
      </c>
      <c r="E37" s="247">
        <f t="shared" si="38"/>
        <v>623</v>
      </c>
      <c r="F37" s="247">
        <f t="shared" si="38"/>
        <v>2735</v>
      </c>
      <c r="G37" s="247">
        <f t="shared" si="38"/>
        <v>2777</v>
      </c>
      <c r="H37" s="247">
        <f t="shared" si="38"/>
        <v>2575</v>
      </c>
      <c r="I37" s="247">
        <f t="shared" si="38"/>
        <v>3724</v>
      </c>
      <c r="J37" s="247">
        <f t="shared" si="38"/>
        <v>3580</v>
      </c>
      <c r="K37" s="247">
        <f t="shared" si="38"/>
        <v>3591</v>
      </c>
      <c r="L37" s="247">
        <f t="shared" si="38"/>
        <v>2094</v>
      </c>
      <c r="M37" s="247">
        <f t="shared" si="38"/>
        <v>4789</v>
      </c>
      <c r="N37" s="247">
        <f t="shared" si="38"/>
        <v>1047</v>
      </c>
      <c r="O37" s="247">
        <f t="shared" si="38"/>
        <v>1125</v>
      </c>
      <c r="P37" s="247">
        <f t="shared" si="38"/>
        <v>2539</v>
      </c>
      <c r="Q37" s="247">
        <f t="shared" si="38"/>
        <v>1290</v>
      </c>
      <c r="R37" s="247">
        <f t="shared" si="38"/>
        <v>3202</v>
      </c>
      <c r="S37" s="247">
        <f t="shared" si="38"/>
        <v>209</v>
      </c>
      <c r="T37" s="247">
        <f t="shared" si="38"/>
        <v>1339</v>
      </c>
      <c r="U37" s="247">
        <f t="shared" si="38"/>
        <v>4765</v>
      </c>
      <c r="V37" s="247">
        <f t="shared" si="38"/>
        <v>4169</v>
      </c>
      <c r="W37" s="247">
        <f t="shared" si="38"/>
        <v>4565</v>
      </c>
      <c r="X37" s="247">
        <f t="shared" si="38"/>
        <v>4140</v>
      </c>
      <c r="Y37" s="247">
        <f t="shared" si="38"/>
        <v>2200</v>
      </c>
      <c r="Z37" s="247">
        <f t="shared" si="38"/>
        <v>4277</v>
      </c>
      <c r="AA37" s="117">
        <f t="shared" ref="AA37:CI37" si="39">AVERAGE(X37:Z37)/AVERAGE(X$30:Z$30)*AA$30</f>
        <v>31312.63643</v>
      </c>
      <c r="AB37" s="117">
        <f t="shared" si="39"/>
        <v>81315.84827</v>
      </c>
      <c r="AC37" s="117">
        <f t="shared" si="39"/>
        <v>95239.5942</v>
      </c>
      <c r="AD37" s="117">
        <f t="shared" si="39"/>
        <v>95525.48719</v>
      </c>
      <c r="AE37" s="117">
        <f t="shared" si="39"/>
        <v>94966.91603</v>
      </c>
      <c r="AF37" s="117">
        <f t="shared" si="39"/>
        <v>99529.9791</v>
      </c>
      <c r="AG37" s="117">
        <f t="shared" si="39"/>
        <v>99531.49082</v>
      </c>
      <c r="AH37" s="117">
        <f t="shared" si="39"/>
        <v>99436.78425</v>
      </c>
      <c r="AI37" s="117">
        <f t="shared" si="39"/>
        <v>99499.41806</v>
      </c>
      <c r="AJ37" s="117">
        <f t="shared" si="39"/>
        <v>103966.2464</v>
      </c>
      <c r="AK37" s="117">
        <f t="shared" si="39"/>
        <v>103951.7435</v>
      </c>
      <c r="AL37" s="117">
        <f t="shared" si="39"/>
        <v>103964.7868</v>
      </c>
      <c r="AM37" s="117">
        <f t="shared" si="39"/>
        <v>103960.9256</v>
      </c>
      <c r="AN37" s="117">
        <f t="shared" si="39"/>
        <v>108117.5181</v>
      </c>
      <c r="AO37" s="117">
        <f t="shared" si="39"/>
        <v>108120.0525</v>
      </c>
      <c r="AP37" s="117">
        <f t="shared" si="39"/>
        <v>108118.9727</v>
      </c>
      <c r="AQ37" s="117">
        <f t="shared" si="39"/>
        <v>108118.8478</v>
      </c>
      <c r="AR37" s="117">
        <f t="shared" si="39"/>
        <v>112444.0627</v>
      </c>
      <c r="AS37" s="117">
        <f t="shared" si="39"/>
        <v>112443.8021</v>
      </c>
      <c r="AT37" s="117">
        <f t="shared" si="39"/>
        <v>112443.825</v>
      </c>
      <c r="AU37" s="117">
        <f t="shared" si="39"/>
        <v>112443.8966</v>
      </c>
      <c r="AV37" s="117">
        <f t="shared" si="39"/>
        <v>116941.5949</v>
      </c>
      <c r="AW37" s="117">
        <f t="shared" si="39"/>
        <v>116941.6083</v>
      </c>
      <c r="AX37" s="117">
        <f t="shared" si="39"/>
        <v>116941.6181</v>
      </c>
      <c r="AY37" s="117">
        <f t="shared" si="39"/>
        <v>116941.6071</v>
      </c>
      <c r="AZ37" s="117">
        <f t="shared" si="39"/>
        <v>121619.2756</v>
      </c>
      <c r="BA37" s="117">
        <f t="shared" si="39"/>
        <v>121619.2766</v>
      </c>
      <c r="BB37" s="117">
        <f t="shared" si="39"/>
        <v>121619.2746</v>
      </c>
      <c r="BC37" s="117">
        <f t="shared" si="39"/>
        <v>121619.2756</v>
      </c>
      <c r="BD37" s="117">
        <f t="shared" si="39"/>
        <v>126484.0466</v>
      </c>
      <c r="BE37" s="117">
        <f t="shared" si="39"/>
        <v>126484.0463</v>
      </c>
      <c r="BF37" s="117">
        <f t="shared" si="39"/>
        <v>126484.0465</v>
      </c>
      <c r="BG37" s="117">
        <f t="shared" si="39"/>
        <v>126484.0465</v>
      </c>
      <c r="BH37" s="117">
        <f t="shared" si="39"/>
        <v>131543.4083</v>
      </c>
      <c r="BI37" s="117">
        <f t="shared" si="39"/>
        <v>131543.4083</v>
      </c>
      <c r="BJ37" s="117">
        <f t="shared" si="39"/>
        <v>131543.4083</v>
      </c>
      <c r="BK37" s="117">
        <f t="shared" si="39"/>
        <v>131543.4083</v>
      </c>
      <c r="BL37" s="117">
        <f t="shared" si="39"/>
        <v>136805.1446</v>
      </c>
      <c r="BM37" s="117">
        <f t="shared" si="39"/>
        <v>136805.1446</v>
      </c>
      <c r="BN37" s="117">
        <f t="shared" si="39"/>
        <v>136805.1446</v>
      </c>
      <c r="BO37" s="117">
        <f t="shared" si="39"/>
        <v>136805.1446</v>
      </c>
      <c r="BP37" s="117">
        <f t="shared" si="39"/>
        <v>142277.3504</v>
      </c>
      <c r="BQ37" s="117">
        <f t="shared" si="39"/>
        <v>142277.3504</v>
      </c>
      <c r="BR37" s="117">
        <f t="shared" si="39"/>
        <v>142277.3504</v>
      </c>
      <c r="BS37" s="117">
        <f t="shared" si="39"/>
        <v>142277.3504</v>
      </c>
      <c r="BT37" s="117">
        <f t="shared" si="39"/>
        <v>147968.4444</v>
      </c>
      <c r="BU37" s="117">
        <f t="shared" si="39"/>
        <v>147968.4444</v>
      </c>
      <c r="BV37" s="117">
        <f t="shared" si="39"/>
        <v>147968.4444</v>
      </c>
      <c r="BW37" s="117">
        <f t="shared" si="39"/>
        <v>147968.4444</v>
      </c>
      <c r="BX37" s="117">
        <f t="shared" si="39"/>
        <v>153887.1822</v>
      </c>
      <c r="BY37" s="117">
        <f t="shared" si="39"/>
        <v>153887.1822</v>
      </c>
      <c r="BZ37" s="117">
        <f t="shared" si="39"/>
        <v>153887.1822</v>
      </c>
      <c r="CA37" s="117">
        <f t="shared" si="39"/>
        <v>153887.1822</v>
      </c>
      <c r="CB37" s="117">
        <f t="shared" si="39"/>
        <v>160042.6695</v>
      </c>
      <c r="CC37" s="117">
        <f t="shared" si="39"/>
        <v>160042.6695</v>
      </c>
      <c r="CD37" s="117">
        <f t="shared" si="39"/>
        <v>160042.6695</v>
      </c>
      <c r="CE37" s="117">
        <f t="shared" si="39"/>
        <v>160042.6695</v>
      </c>
      <c r="CF37" s="117">
        <f t="shared" si="39"/>
        <v>166444.3763</v>
      </c>
      <c r="CG37" s="117">
        <f t="shared" si="39"/>
        <v>166444.3763</v>
      </c>
      <c r="CH37" s="117">
        <f t="shared" si="39"/>
        <v>166444.3763</v>
      </c>
      <c r="CI37" s="117">
        <f t="shared" si="39"/>
        <v>166444.3763</v>
      </c>
    </row>
    <row r="38" ht="15.75" customHeight="1" outlineLevel="1">
      <c r="A38" s="1" t="s">
        <v>120</v>
      </c>
      <c r="B38" s="91" t="s">
        <v>177</v>
      </c>
      <c r="C38" s="132" t="s">
        <v>230</v>
      </c>
      <c r="D38" s="247">
        <f t="shared" ref="D38:Z38" si="40">RANDBETWEEN(0,5000)</f>
        <v>2798</v>
      </c>
      <c r="E38" s="247">
        <f t="shared" si="40"/>
        <v>4896</v>
      </c>
      <c r="F38" s="247">
        <f t="shared" si="40"/>
        <v>3459</v>
      </c>
      <c r="G38" s="247">
        <f t="shared" si="40"/>
        <v>550</v>
      </c>
      <c r="H38" s="247">
        <f t="shared" si="40"/>
        <v>3264</v>
      </c>
      <c r="I38" s="247">
        <f t="shared" si="40"/>
        <v>3501</v>
      </c>
      <c r="J38" s="247">
        <f t="shared" si="40"/>
        <v>3850</v>
      </c>
      <c r="K38" s="247">
        <f t="shared" si="40"/>
        <v>787</v>
      </c>
      <c r="L38" s="247">
        <f t="shared" si="40"/>
        <v>4219</v>
      </c>
      <c r="M38" s="247">
        <f t="shared" si="40"/>
        <v>3347</v>
      </c>
      <c r="N38" s="247">
        <f t="shared" si="40"/>
        <v>868</v>
      </c>
      <c r="O38" s="247">
        <f t="shared" si="40"/>
        <v>4599</v>
      </c>
      <c r="P38" s="247">
        <f t="shared" si="40"/>
        <v>3381</v>
      </c>
      <c r="Q38" s="247">
        <f t="shared" si="40"/>
        <v>2353</v>
      </c>
      <c r="R38" s="247">
        <f t="shared" si="40"/>
        <v>1789</v>
      </c>
      <c r="S38" s="247">
        <f t="shared" si="40"/>
        <v>928</v>
      </c>
      <c r="T38" s="247">
        <f t="shared" si="40"/>
        <v>4063</v>
      </c>
      <c r="U38" s="247">
        <f t="shared" si="40"/>
        <v>3000</v>
      </c>
      <c r="V38" s="247">
        <f t="shared" si="40"/>
        <v>4238</v>
      </c>
      <c r="W38" s="247">
        <f t="shared" si="40"/>
        <v>2932</v>
      </c>
      <c r="X38" s="247">
        <f t="shared" si="40"/>
        <v>423</v>
      </c>
      <c r="Y38" s="247">
        <f t="shared" si="40"/>
        <v>861</v>
      </c>
      <c r="Z38" s="247">
        <f t="shared" si="40"/>
        <v>2456</v>
      </c>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117"/>
      <c r="CE38" s="117"/>
      <c r="CF38" s="117"/>
      <c r="CG38" s="117"/>
      <c r="CH38" s="117"/>
      <c r="CI38" s="117"/>
    </row>
    <row r="39" ht="15.75" customHeight="1" outlineLevel="1">
      <c r="A39" s="1" t="s">
        <v>120</v>
      </c>
      <c r="B39" s="91" t="s">
        <v>175</v>
      </c>
      <c r="C39" s="132" t="s">
        <v>231</v>
      </c>
      <c r="D39" s="247">
        <f t="shared" ref="D39:Z39" si="41">RANDBETWEEN(0,5000)</f>
        <v>764</v>
      </c>
      <c r="E39" s="247">
        <f t="shared" si="41"/>
        <v>3825</v>
      </c>
      <c r="F39" s="247">
        <f t="shared" si="41"/>
        <v>4609</v>
      </c>
      <c r="G39" s="247">
        <f t="shared" si="41"/>
        <v>1094</v>
      </c>
      <c r="H39" s="247">
        <f t="shared" si="41"/>
        <v>1479</v>
      </c>
      <c r="I39" s="247">
        <f t="shared" si="41"/>
        <v>2298</v>
      </c>
      <c r="J39" s="247">
        <f t="shared" si="41"/>
        <v>2991</v>
      </c>
      <c r="K39" s="247">
        <f t="shared" si="41"/>
        <v>4643</v>
      </c>
      <c r="L39" s="247">
        <f t="shared" si="41"/>
        <v>3944</v>
      </c>
      <c r="M39" s="247">
        <f t="shared" si="41"/>
        <v>197</v>
      </c>
      <c r="N39" s="247">
        <f t="shared" si="41"/>
        <v>694</v>
      </c>
      <c r="O39" s="247">
        <f t="shared" si="41"/>
        <v>2513</v>
      </c>
      <c r="P39" s="247">
        <f t="shared" si="41"/>
        <v>3001</v>
      </c>
      <c r="Q39" s="247">
        <f t="shared" si="41"/>
        <v>239</v>
      </c>
      <c r="R39" s="247">
        <f t="shared" si="41"/>
        <v>4809</v>
      </c>
      <c r="S39" s="247">
        <f t="shared" si="41"/>
        <v>70</v>
      </c>
      <c r="T39" s="247">
        <f t="shared" si="41"/>
        <v>2441</v>
      </c>
      <c r="U39" s="247">
        <f t="shared" si="41"/>
        <v>18</v>
      </c>
      <c r="V39" s="247">
        <f t="shared" si="41"/>
        <v>3566</v>
      </c>
      <c r="W39" s="247">
        <f t="shared" si="41"/>
        <v>2616</v>
      </c>
      <c r="X39" s="247">
        <f t="shared" si="41"/>
        <v>4582</v>
      </c>
      <c r="Y39" s="247">
        <f t="shared" si="41"/>
        <v>2226</v>
      </c>
      <c r="Z39" s="247">
        <f t="shared" si="41"/>
        <v>4981</v>
      </c>
      <c r="AA39" s="117">
        <v>0.0</v>
      </c>
      <c r="AB39" s="117">
        <v>0.0</v>
      </c>
      <c r="AC39" s="117">
        <v>0.0</v>
      </c>
      <c r="AD39" s="117">
        <v>0.0</v>
      </c>
      <c r="AE39" s="117">
        <v>0.0</v>
      </c>
      <c r="AF39" s="117">
        <v>0.0</v>
      </c>
      <c r="AG39" s="117">
        <v>0.0</v>
      </c>
      <c r="AH39" s="117">
        <v>0.0</v>
      </c>
      <c r="AI39" s="117">
        <v>0.0</v>
      </c>
      <c r="AJ39" s="117">
        <v>0.0</v>
      </c>
      <c r="AK39" s="117">
        <v>0.0</v>
      </c>
      <c r="AL39" s="117">
        <v>0.0</v>
      </c>
      <c r="AM39" s="117">
        <v>0.0</v>
      </c>
      <c r="AN39" s="117">
        <v>0.0</v>
      </c>
      <c r="AO39" s="117">
        <v>0.0</v>
      </c>
      <c r="AP39" s="117">
        <v>0.0</v>
      </c>
      <c r="AQ39" s="117">
        <v>0.0</v>
      </c>
      <c r="AR39" s="117">
        <v>0.0</v>
      </c>
      <c r="AS39" s="117">
        <v>0.0</v>
      </c>
      <c r="AT39" s="117">
        <v>0.0</v>
      </c>
      <c r="AU39" s="117">
        <v>0.0</v>
      </c>
      <c r="AV39" s="117">
        <v>0.0</v>
      </c>
      <c r="AW39" s="117">
        <v>0.0</v>
      </c>
      <c r="AX39" s="117">
        <v>0.0</v>
      </c>
      <c r="AY39" s="117">
        <v>0.0</v>
      </c>
      <c r="AZ39" s="117">
        <v>0.0</v>
      </c>
      <c r="BA39" s="117">
        <v>0.0</v>
      </c>
      <c r="BB39" s="117">
        <v>0.0</v>
      </c>
      <c r="BC39" s="117">
        <v>0.0</v>
      </c>
      <c r="BD39" s="117">
        <v>0.0</v>
      </c>
      <c r="BE39" s="117">
        <v>0.0</v>
      </c>
      <c r="BF39" s="117">
        <v>0.0</v>
      </c>
      <c r="BG39" s="117">
        <v>0.0</v>
      </c>
      <c r="BH39" s="117">
        <v>0.0</v>
      </c>
      <c r="BI39" s="117">
        <v>0.0</v>
      </c>
      <c r="BJ39" s="117">
        <v>0.0</v>
      </c>
      <c r="BK39" s="117">
        <v>0.0</v>
      </c>
      <c r="BL39" s="117">
        <v>0.0</v>
      </c>
      <c r="BM39" s="117">
        <v>0.0</v>
      </c>
      <c r="BN39" s="117">
        <v>0.0</v>
      </c>
      <c r="BO39" s="117">
        <v>0.0</v>
      </c>
      <c r="BP39" s="117">
        <v>0.0</v>
      </c>
      <c r="BQ39" s="117">
        <v>0.0</v>
      </c>
      <c r="BR39" s="117">
        <v>0.0</v>
      </c>
      <c r="BS39" s="117">
        <v>0.0</v>
      </c>
      <c r="BT39" s="117">
        <v>0.0</v>
      </c>
      <c r="BU39" s="117">
        <v>0.0</v>
      </c>
      <c r="BV39" s="117">
        <v>0.0</v>
      </c>
      <c r="BW39" s="117">
        <v>0.0</v>
      </c>
      <c r="BX39" s="117">
        <v>0.0</v>
      </c>
      <c r="BY39" s="117">
        <v>0.0</v>
      </c>
      <c r="BZ39" s="117">
        <v>0.0</v>
      </c>
      <c r="CA39" s="117">
        <v>0.0</v>
      </c>
      <c r="CB39" s="117">
        <v>0.0</v>
      </c>
      <c r="CC39" s="117">
        <v>0.0</v>
      </c>
      <c r="CD39" s="117">
        <v>0.0</v>
      </c>
      <c r="CE39" s="117">
        <v>0.0</v>
      </c>
      <c r="CF39" s="117">
        <v>0.0</v>
      </c>
      <c r="CG39" s="117">
        <v>0.0</v>
      </c>
      <c r="CH39" s="117">
        <v>0.0</v>
      </c>
      <c r="CI39" s="117">
        <v>0.0</v>
      </c>
    </row>
    <row r="40" ht="15.75" customHeight="1" outlineLevel="1">
      <c r="A40" s="1" t="s">
        <v>120</v>
      </c>
      <c r="B40" s="91" t="s">
        <v>175</v>
      </c>
      <c r="C40" s="132" t="s">
        <v>234</v>
      </c>
      <c r="D40" s="247">
        <f t="shared" ref="D40:Z40" si="42">RANDBETWEEN(0,5000)</f>
        <v>2959</v>
      </c>
      <c r="E40" s="247">
        <f t="shared" si="42"/>
        <v>2454</v>
      </c>
      <c r="F40" s="247">
        <f t="shared" si="42"/>
        <v>2461</v>
      </c>
      <c r="G40" s="247">
        <f t="shared" si="42"/>
        <v>3297</v>
      </c>
      <c r="H40" s="247">
        <f t="shared" si="42"/>
        <v>3996</v>
      </c>
      <c r="I40" s="247">
        <f t="shared" si="42"/>
        <v>2328</v>
      </c>
      <c r="J40" s="247">
        <f t="shared" si="42"/>
        <v>1991</v>
      </c>
      <c r="K40" s="247">
        <f t="shared" si="42"/>
        <v>4317</v>
      </c>
      <c r="L40" s="247">
        <f t="shared" si="42"/>
        <v>4877</v>
      </c>
      <c r="M40" s="247">
        <f t="shared" si="42"/>
        <v>2602</v>
      </c>
      <c r="N40" s="247">
        <f t="shared" si="42"/>
        <v>1957</v>
      </c>
      <c r="O40" s="247">
        <f t="shared" si="42"/>
        <v>2398</v>
      </c>
      <c r="P40" s="247">
        <f t="shared" si="42"/>
        <v>4952</v>
      </c>
      <c r="Q40" s="247">
        <f t="shared" si="42"/>
        <v>299</v>
      </c>
      <c r="R40" s="247">
        <f t="shared" si="42"/>
        <v>3557</v>
      </c>
      <c r="S40" s="247">
        <f t="shared" si="42"/>
        <v>3186</v>
      </c>
      <c r="T40" s="247">
        <f t="shared" si="42"/>
        <v>4864</v>
      </c>
      <c r="U40" s="247">
        <f t="shared" si="42"/>
        <v>356</v>
      </c>
      <c r="V40" s="247">
        <f t="shared" si="42"/>
        <v>1910</v>
      </c>
      <c r="W40" s="247">
        <f t="shared" si="42"/>
        <v>768</v>
      </c>
      <c r="X40" s="247">
        <f t="shared" si="42"/>
        <v>3638</v>
      </c>
      <c r="Y40" s="247">
        <f t="shared" si="42"/>
        <v>4274</v>
      </c>
      <c r="Z40" s="247">
        <f t="shared" si="42"/>
        <v>3679</v>
      </c>
      <c r="AA40" s="117">
        <f t="shared" ref="AA40:CI40" si="43">AVERAGE(Y40:Z40)*(AA183/Z183)</f>
        <v>5217.524402</v>
      </c>
      <c r="AB40" s="117">
        <f t="shared" si="43"/>
        <v>5238.969011</v>
      </c>
      <c r="AC40" s="117">
        <f t="shared" si="43"/>
        <v>6008.061005</v>
      </c>
      <c r="AD40" s="117">
        <f t="shared" si="43"/>
        <v>6291.950356</v>
      </c>
      <c r="AE40" s="117">
        <f t="shared" si="43"/>
        <v>6775.648178</v>
      </c>
      <c r="AF40" s="117">
        <f t="shared" si="43"/>
        <v>7133.239105</v>
      </c>
      <c r="AG40" s="117">
        <f t="shared" si="43"/>
        <v>7542.304753</v>
      </c>
      <c r="AH40" s="117">
        <f t="shared" si="43"/>
        <v>7853.326366</v>
      </c>
      <c r="AI40" s="117">
        <f t="shared" si="43"/>
        <v>8193.406802</v>
      </c>
      <c r="AJ40" s="117">
        <f t="shared" si="43"/>
        <v>8498.511152</v>
      </c>
      <c r="AK40" s="117">
        <f t="shared" si="43"/>
        <v>8779.728316</v>
      </c>
      <c r="AL40" s="117">
        <f t="shared" si="43"/>
        <v>9061.821744</v>
      </c>
      <c r="AM40" s="117">
        <f t="shared" si="43"/>
        <v>9342.137206</v>
      </c>
      <c r="AN40" s="117">
        <f t="shared" si="43"/>
        <v>9612.010317</v>
      </c>
      <c r="AO40" s="117">
        <f t="shared" si="43"/>
        <v>9549.074013</v>
      </c>
      <c r="AP40" s="117">
        <f t="shared" si="43"/>
        <v>9681.822722</v>
      </c>
      <c r="AQ40" s="117">
        <f t="shared" si="43"/>
        <v>9745.828792</v>
      </c>
      <c r="AR40" s="117">
        <f t="shared" si="43"/>
        <v>9851.787297</v>
      </c>
      <c r="AS40" s="117">
        <f t="shared" si="43"/>
        <v>9941.522092</v>
      </c>
      <c r="AT40" s="117">
        <f t="shared" si="43"/>
        <v>10037.17202</v>
      </c>
      <c r="AU40" s="117">
        <f t="shared" si="43"/>
        <v>10158.18115</v>
      </c>
      <c r="AV40" s="117">
        <f t="shared" si="43"/>
        <v>10233.13493</v>
      </c>
      <c r="AW40" s="117">
        <f t="shared" si="43"/>
        <v>10328.70419</v>
      </c>
      <c r="AX40" s="117">
        <f t="shared" si="43"/>
        <v>10411.51935</v>
      </c>
      <c r="AY40" s="117">
        <f t="shared" si="43"/>
        <v>10498.457</v>
      </c>
      <c r="AZ40" s="117">
        <f t="shared" si="43"/>
        <v>10733.38795</v>
      </c>
      <c r="BA40" s="117">
        <f t="shared" si="43"/>
        <v>10823.19574</v>
      </c>
      <c r="BB40" s="117">
        <f t="shared" si="43"/>
        <v>10978.34126</v>
      </c>
      <c r="BC40" s="117">
        <f t="shared" si="43"/>
        <v>11094.29275</v>
      </c>
      <c r="BD40" s="117">
        <f t="shared" si="43"/>
        <v>11224.52156</v>
      </c>
      <c r="BE40" s="117">
        <f t="shared" si="43"/>
        <v>11342.73374</v>
      </c>
      <c r="BF40" s="117">
        <f t="shared" si="43"/>
        <v>11462.60955</v>
      </c>
      <c r="BG40" s="117">
        <f t="shared" si="43"/>
        <v>11577.6519</v>
      </c>
      <c r="BH40" s="117">
        <f t="shared" si="43"/>
        <v>11691.44803</v>
      </c>
      <c r="BI40" s="117">
        <f t="shared" si="43"/>
        <v>11802.47441</v>
      </c>
      <c r="BJ40" s="117">
        <f t="shared" si="43"/>
        <v>11911.7422</v>
      </c>
      <c r="BK40" s="117">
        <f t="shared" si="43"/>
        <v>12018.96277</v>
      </c>
      <c r="BL40" s="117">
        <f t="shared" si="43"/>
        <v>12198.22892</v>
      </c>
      <c r="BM40" s="117">
        <f t="shared" si="43"/>
        <v>12288.0332</v>
      </c>
      <c r="BN40" s="117">
        <f t="shared" si="43"/>
        <v>12405.04443</v>
      </c>
      <c r="BO40" s="117">
        <f t="shared" si="43"/>
        <v>12504.50386</v>
      </c>
      <c r="BP40" s="117">
        <f t="shared" si="43"/>
        <v>12611.33191</v>
      </c>
      <c r="BQ40" s="117">
        <f t="shared" si="43"/>
        <v>12713.09674</v>
      </c>
      <c r="BR40" s="117">
        <f t="shared" si="43"/>
        <v>12816.16208</v>
      </c>
      <c r="BS40" s="117">
        <f t="shared" si="43"/>
        <v>12917.44963</v>
      </c>
      <c r="BT40" s="117">
        <f t="shared" si="43"/>
        <v>13018.6138</v>
      </c>
      <c r="BU40" s="117">
        <f t="shared" si="43"/>
        <v>13118.92778</v>
      </c>
      <c r="BV40" s="117">
        <f t="shared" si="43"/>
        <v>13218.85569</v>
      </c>
      <c r="BW40" s="117">
        <f t="shared" si="43"/>
        <v>13318.26016</v>
      </c>
      <c r="BX40" s="117">
        <f t="shared" si="43"/>
        <v>13472.06245</v>
      </c>
      <c r="BY40" s="117">
        <f t="shared" si="43"/>
        <v>13489.73786</v>
      </c>
      <c r="BZ40" s="117">
        <f t="shared" si="43"/>
        <v>13571.24265</v>
      </c>
      <c r="CA40" s="117">
        <f t="shared" si="43"/>
        <v>13625.26272</v>
      </c>
      <c r="CB40" s="117">
        <f t="shared" si="43"/>
        <v>13695.57006</v>
      </c>
      <c r="CC40" s="117">
        <f t="shared" si="43"/>
        <v>13758.74045</v>
      </c>
      <c r="CD40" s="117">
        <f t="shared" si="43"/>
        <v>13825.89403</v>
      </c>
      <c r="CE40" s="117">
        <f t="shared" si="43"/>
        <v>13891.14223</v>
      </c>
      <c r="CF40" s="117">
        <f t="shared" si="43"/>
        <v>13957.26004</v>
      </c>
      <c r="CG40" s="117">
        <f t="shared" si="43"/>
        <v>14022.75712</v>
      </c>
      <c r="CH40" s="117">
        <f t="shared" si="43"/>
        <v>14088.32876</v>
      </c>
      <c r="CI40" s="117">
        <f t="shared" si="43"/>
        <v>14153.60683</v>
      </c>
    </row>
    <row r="41" ht="15.75" customHeight="1" outlineLevel="1">
      <c r="A41" s="1" t="s">
        <v>120</v>
      </c>
      <c r="B41" s="91" t="s">
        <v>176</v>
      </c>
      <c r="C41" s="132" t="s">
        <v>235</v>
      </c>
      <c r="D41" s="247">
        <f t="shared" ref="D41:Z41" si="44">RANDBETWEEN(0,5000)</f>
        <v>2524</v>
      </c>
      <c r="E41" s="247">
        <f t="shared" si="44"/>
        <v>3025</v>
      </c>
      <c r="F41" s="247">
        <f t="shared" si="44"/>
        <v>1385</v>
      </c>
      <c r="G41" s="247">
        <f t="shared" si="44"/>
        <v>3065</v>
      </c>
      <c r="H41" s="247">
        <f t="shared" si="44"/>
        <v>3678</v>
      </c>
      <c r="I41" s="247">
        <f t="shared" si="44"/>
        <v>48</v>
      </c>
      <c r="J41" s="247">
        <f t="shared" si="44"/>
        <v>3398</v>
      </c>
      <c r="K41" s="247">
        <f t="shared" si="44"/>
        <v>3091</v>
      </c>
      <c r="L41" s="247">
        <f t="shared" si="44"/>
        <v>546</v>
      </c>
      <c r="M41" s="247">
        <f t="shared" si="44"/>
        <v>537</v>
      </c>
      <c r="N41" s="247">
        <f t="shared" si="44"/>
        <v>3338</v>
      </c>
      <c r="O41" s="247">
        <f t="shared" si="44"/>
        <v>1100</v>
      </c>
      <c r="P41" s="247">
        <f t="shared" si="44"/>
        <v>3763</v>
      </c>
      <c r="Q41" s="247">
        <f t="shared" si="44"/>
        <v>52</v>
      </c>
      <c r="R41" s="247">
        <f t="shared" si="44"/>
        <v>4666</v>
      </c>
      <c r="S41" s="247">
        <f t="shared" si="44"/>
        <v>1526</v>
      </c>
      <c r="T41" s="247">
        <f t="shared" si="44"/>
        <v>2598</v>
      </c>
      <c r="U41" s="247">
        <f t="shared" si="44"/>
        <v>4055</v>
      </c>
      <c r="V41" s="247">
        <f t="shared" si="44"/>
        <v>1517</v>
      </c>
      <c r="W41" s="247">
        <f t="shared" si="44"/>
        <v>1205</v>
      </c>
      <c r="X41" s="247">
        <f t="shared" si="44"/>
        <v>3535</v>
      </c>
      <c r="Y41" s="247">
        <f t="shared" si="44"/>
        <v>2132</v>
      </c>
      <c r="Z41" s="247">
        <f t="shared" si="44"/>
        <v>1081</v>
      </c>
      <c r="AA41" s="117">
        <f t="shared" ref="AA41:CI41" si="45">AVERAGE(X41:Z41)/AVERAGE(X$30:Z$30)*AA$30</f>
        <v>19901.82449</v>
      </c>
      <c r="AB41" s="117">
        <f t="shared" si="45"/>
        <v>49738.54577</v>
      </c>
      <c r="AC41" s="117">
        <f t="shared" si="45"/>
        <v>57614.7015</v>
      </c>
      <c r="AD41" s="117">
        <f t="shared" si="45"/>
        <v>58479.89163</v>
      </c>
      <c r="AE41" s="117">
        <f t="shared" si="45"/>
        <v>57882.2698</v>
      </c>
      <c r="AF41" s="117">
        <f t="shared" si="45"/>
        <v>60601.94059</v>
      </c>
      <c r="AG41" s="117">
        <f t="shared" si="45"/>
        <v>60731.5227</v>
      </c>
      <c r="AH41" s="117">
        <f t="shared" si="45"/>
        <v>60608.55698</v>
      </c>
      <c r="AI41" s="117">
        <f t="shared" si="45"/>
        <v>60647.34009</v>
      </c>
      <c r="AJ41" s="117">
        <f t="shared" si="45"/>
        <v>63392.28455</v>
      </c>
      <c r="AK41" s="117">
        <f t="shared" si="45"/>
        <v>63368.58778</v>
      </c>
      <c r="AL41" s="117">
        <f t="shared" si="45"/>
        <v>63379.15274</v>
      </c>
      <c r="AM41" s="117">
        <f t="shared" si="45"/>
        <v>63380.00836</v>
      </c>
      <c r="AN41" s="117">
        <f t="shared" si="45"/>
        <v>65910.95295</v>
      </c>
      <c r="AO41" s="117">
        <f t="shared" si="45"/>
        <v>65913.46007</v>
      </c>
      <c r="AP41" s="117">
        <f t="shared" si="45"/>
        <v>65913.18124</v>
      </c>
      <c r="AQ41" s="117">
        <f t="shared" si="45"/>
        <v>65912.53142</v>
      </c>
      <c r="AR41" s="117">
        <f t="shared" si="45"/>
        <v>68549.57988</v>
      </c>
      <c r="AS41" s="117">
        <f t="shared" si="45"/>
        <v>68549.44219</v>
      </c>
      <c r="AT41" s="117">
        <f t="shared" si="45"/>
        <v>68549.35572</v>
      </c>
      <c r="AU41" s="117">
        <f t="shared" si="45"/>
        <v>68549.45926</v>
      </c>
      <c r="AV41" s="117">
        <f t="shared" si="45"/>
        <v>71291.39582</v>
      </c>
      <c r="AW41" s="117">
        <f t="shared" si="45"/>
        <v>71291.38791</v>
      </c>
      <c r="AX41" s="117">
        <f t="shared" si="45"/>
        <v>71291.40672</v>
      </c>
      <c r="AY41" s="117">
        <f t="shared" si="45"/>
        <v>71291.39682</v>
      </c>
      <c r="AZ41" s="117">
        <f t="shared" si="45"/>
        <v>74143.05304</v>
      </c>
      <c r="BA41" s="117">
        <f t="shared" si="45"/>
        <v>74143.0562</v>
      </c>
      <c r="BB41" s="117">
        <f t="shared" si="45"/>
        <v>74143.05399</v>
      </c>
      <c r="BC41" s="117">
        <f t="shared" si="45"/>
        <v>74143.05441</v>
      </c>
      <c r="BD41" s="117">
        <f t="shared" si="45"/>
        <v>77108.77706</v>
      </c>
      <c r="BE41" s="117">
        <f t="shared" si="45"/>
        <v>77108.7766</v>
      </c>
      <c r="BF41" s="117">
        <f t="shared" si="45"/>
        <v>77108.77675</v>
      </c>
      <c r="BG41" s="117">
        <f t="shared" si="45"/>
        <v>77108.77681</v>
      </c>
      <c r="BH41" s="117">
        <f t="shared" si="45"/>
        <v>80193.12779</v>
      </c>
      <c r="BI41" s="117">
        <f t="shared" si="45"/>
        <v>80193.12783</v>
      </c>
      <c r="BJ41" s="117">
        <f t="shared" si="45"/>
        <v>80193.12783</v>
      </c>
      <c r="BK41" s="117">
        <f t="shared" si="45"/>
        <v>80193.12782</v>
      </c>
      <c r="BL41" s="117">
        <f t="shared" si="45"/>
        <v>83400.85294</v>
      </c>
      <c r="BM41" s="117">
        <f t="shared" si="45"/>
        <v>83400.85294</v>
      </c>
      <c r="BN41" s="117">
        <f t="shared" si="45"/>
        <v>83400.85294</v>
      </c>
      <c r="BO41" s="117">
        <f t="shared" si="45"/>
        <v>83400.85294</v>
      </c>
      <c r="BP41" s="117">
        <f t="shared" si="45"/>
        <v>86736.88705</v>
      </c>
      <c r="BQ41" s="117">
        <f t="shared" si="45"/>
        <v>86736.88705</v>
      </c>
      <c r="BR41" s="117">
        <f t="shared" si="45"/>
        <v>86736.88705</v>
      </c>
      <c r="BS41" s="117">
        <f t="shared" si="45"/>
        <v>86736.88705</v>
      </c>
      <c r="BT41" s="117">
        <f t="shared" si="45"/>
        <v>90206.36254</v>
      </c>
      <c r="BU41" s="117">
        <f t="shared" si="45"/>
        <v>90206.36254</v>
      </c>
      <c r="BV41" s="117">
        <f t="shared" si="45"/>
        <v>90206.36254</v>
      </c>
      <c r="BW41" s="117">
        <f t="shared" si="45"/>
        <v>90206.36254</v>
      </c>
      <c r="BX41" s="117">
        <f t="shared" si="45"/>
        <v>93814.61704</v>
      </c>
      <c r="BY41" s="117">
        <f t="shared" si="45"/>
        <v>93814.61704</v>
      </c>
      <c r="BZ41" s="117">
        <f t="shared" si="45"/>
        <v>93814.61704</v>
      </c>
      <c r="CA41" s="117">
        <f t="shared" si="45"/>
        <v>93814.61704</v>
      </c>
      <c r="CB41" s="117">
        <f t="shared" si="45"/>
        <v>97567.20172</v>
      </c>
      <c r="CC41" s="117">
        <f t="shared" si="45"/>
        <v>97567.20172</v>
      </c>
      <c r="CD41" s="117">
        <f t="shared" si="45"/>
        <v>97567.20172</v>
      </c>
      <c r="CE41" s="117">
        <f t="shared" si="45"/>
        <v>97567.20172</v>
      </c>
      <c r="CF41" s="117">
        <f t="shared" si="45"/>
        <v>101469.8898</v>
      </c>
      <c r="CG41" s="117">
        <f t="shared" si="45"/>
        <v>101469.8898</v>
      </c>
      <c r="CH41" s="117">
        <f t="shared" si="45"/>
        <v>101469.8898</v>
      </c>
      <c r="CI41" s="117">
        <f t="shared" si="45"/>
        <v>101469.8898</v>
      </c>
    </row>
    <row r="42" ht="15.75" customHeight="1" outlineLevel="1">
      <c r="A42" s="1" t="s">
        <v>120</v>
      </c>
      <c r="B42" s="91" t="s">
        <v>66</v>
      </c>
      <c r="C42" s="132" t="s">
        <v>236</v>
      </c>
      <c r="D42" s="247">
        <f t="shared" ref="D42:Z42" si="46">RANDBETWEEN(0,5000)</f>
        <v>3559</v>
      </c>
      <c r="E42" s="247">
        <f t="shared" si="46"/>
        <v>2892</v>
      </c>
      <c r="F42" s="247">
        <f t="shared" si="46"/>
        <v>484</v>
      </c>
      <c r="G42" s="247">
        <f t="shared" si="46"/>
        <v>2164</v>
      </c>
      <c r="H42" s="247">
        <f t="shared" si="46"/>
        <v>2781</v>
      </c>
      <c r="I42" s="247">
        <f t="shared" si="46"/>
        <v>1251</v>
      </c>
      <c r="J42" s="247">
        <f t="shared" si="46"/>
        <v>1237</v>
      </c>
      <c r="K42" s="247">
        <f t="shared" si="46"/>
        <v>4161</v>
      </c>
      <c r="L42" s="247">
        <f t="shared" si="46"/>
        <v>2784</v>
      </c>
      <c r="M42" s="247">
        <f t="shared" si="46"/>
        <v>1616</v>
      </c>
      <c r="N42" s="247">
        <f t="shared" si="46"/>
        <v>95</v>
      </c>
      <c r="O42" s="247">
        <f t="shared" si="46"/>
        <v>660</v>
      </c>
      <c r="P42" s="247">
        <f t="shared" si="46"/>
        <v>781</v>
      </c>
      <c r="Q42" s="247">
        <f t="shared" si="46"/>
        <v>657</v>
      </c>
      <c r="R42" s="247">
        <f t="shared" si="46"/>
        <v>1107</v>
      </c>
      <c r="S42" s="247">
        <f t="shared" si="46"/>
        <v>2911</v>
      </c>
      <c r="T42" s="247">
        <f t="shared" si="46"/>
        <v>1572</v>
      </c>
      <c r="U42" s="247">
        <f t="shared" si="46"/>
        <v>428</v>
      </c>
      <c r="V42" s="247">
        <f t="shared" si="46"/>
        <v>1280</v>
      </c>
      <c r="W42" s="247">
        <f t="shared" si="46"/>
        <v>4492</v>
      </c>
      <c r="X42" s="247">
        <f t="shared" si="46"/>
        <v>2625</v>
      </c>
      <c r="Y42" s="247">
        <f t="shared" si="46"/>
        <v>3992</v>
      </c>
      <c r="Z42" s="247">
        <f t="shared" si="46"/>
        <v>1690</v>
      </c>
      <c r="AA42" s="116">
        <f>Expenses!T19</f>
        <v>1698.45</v>
      </c>
      <c r="AB42" s="116">
        <f>Expenses!U19</f>
        <v>1706.94225</v>
      </c>
      <c r="AC42" s="116">
        <f>Expenses!V19</f>
        <v>1715.476961</v>
      </c>
      <c r="AD42" s="116">
        <f>Expenses!W19</f>
        <v>1724.054346</v>
      </c>
      <c r="AE42" s="116">
        <f>Expenses!X19</f>
        <v>1732.674618</v>
      </c>
      <c r="AF42" s="116">
        <f>Expenses!Y19</f>
        <v>1741.337991</v>
      </c>
      <c r="AG42" s="116">
        <f>Expenses!Z19</f>
        <v>1750.044681</v>
      </c>
      <c r="AH42" s="116">
        <f>Expenses!AA19</f>
        <v>1758.794904</v>
      </c>
      <c r="AI42" s="116">
        <f>Expenses!AB19</f>
        <v>1767.588879</v>
      </c>
      <c r="AJ42" s="116">
        <f>Expenses!AC19</f>
        <v>1776.426823</v>
      </c>
      <c r="AK42" s="116">
        <f>Expenses!AD19</f>
        <v>1785.308957</v>
      </c>
      <c r="AL42" s="116">
        <f>Expenses!AE19</f>
        <v>1794.235502</v>
      </c>
      <c r="AM42" s="116">
        <f>Expenses!AF19</f>
        <v>1803.20668</v>
      </c>
      <c r="AN42" s="116">
        <f>Expenses!AG19</f>
        <v>1812.222713</v>
      </c>
      <c r="AO42" s="116">
        <f>Expenses!AH19</f>
        <v>1821.283827</v>
      </c>
      <c r="AP42" s="116">
        <f>Expenses!AI19</f>
        <v>1830.390246</v>
      </c>
      <c r="AQ42" s="116">
        <f>Expenses!AJ19</f>
        <v>1839.542197</v>
      </c>
      <c r="AR42" s="116">
        <f>Expenses!AK19</f>
        <v>1848.739908</v>
      </c>
      <c r="AS42" s="116">
        <f>Expenses!AL19</f>
        <v>1857.983607</v>
      </c>
      <c r="AT42" s="116">
        <f>Expenses!AM19</f>
        <v>1867.273525</v>
      </c>
      <c r="AU42" s="116">
        <f>Expenses!AN19</f>
        <v>1876.609893</v>
      </c>
      <c r="AV42" s="116">
        <f>Expenses!AO19</f>
        <v>1885.992943</v>
      </c>
      <c r="AW42" s="116">
        <f>Expenses!AP19</f>
        <v>1895.422907</v>
      </c>
      <c r="AX42" s="116">
        <f>Expenses!AQ19</f>
        <v>1904.900022</v>
      </c>
      <c r="AY42" s="116">
        <f>Expenses!AR19</f>
        <v>1914.424522</v>
      </c>
      <c r="AZ42" s="116">
        <f>Expenses!AS19</f>
        <v>1923.996645</v>
      </c>
      <c r="BA42" s="116">
        <f>Expenses!AT19</f>
        <v>1933.616628</v>
      </c>
      <c r="BB42" s="116">
        <f>Expenses!AU19</f>
        <v>1943.284711</v>
      </c>
      <c r="BC42" s="116">
        <f>Expenses!AV19</f>
        <v>1953.001134</v>
      </c>
      <c r="BD42" s="116">
        <f>Expenses!AW19</f>
        <v>1962.76614</v>
      </c>
      <c r="BE42" s="116">
        <f>Expenses!AX19</f>
        <v>1972.579971</v>
      </c>
      <c r="BF42" s="116">
        <f>Expenses!AY19</f>
        <v>1982.442871</v>
      </c>
      <c r="BG42" s="116">
        <f>Expenses!AZ19</f>
        <v>1992.355085</v>
      </c>
      <c r="BH42" s="116">
        <f>Expenses!BA19</f>
        <v>2002.31686</v>
      </c>
      <c r="BI42" s="116">
        <f>Expenses!BB19</f>
        <v>2012.328445</v>
      </c>
      <c r="BJ42" s="116">
        <f>Expenses!BC19</f>
        <v>2022.390087</v>
      </c>
      <c r="BK42" s="116">
        <f>Expenses!BD19</f>
        <v>2032.502037</v>
      </c>
      <c r="BL42" s="116">
        <f>Expenses!BE19</f>
        <v>2042.664548</v>
      </c>
      <c r="BM42" s="116">
        <f>Expenses!BF19</f>
        <v>2052.87787</v>
      </c>
      <c r="BN42" s="116">
        <f>Expenses!BG19</f>
        <v>2063.14226</v>
      </c>
      <c r="BO42" s="116">
        <f>Expenses!BH19</f>
        <v>2073.457971</v>
      </c>
      <c r="BP42" s="116">
        <f>Expenses!BI19</f>
        <v>2083.825261</v>
      </c>
      <c r="BQ42" s="116">
        <f>Expenses!BJ19</f>
        <v>2094.244387</v>
      </c>
      <c r="BR42" s="116">
        <f>Expenses!BK19</f>
        <v>2104.715609</v>
      </c>
      <c r="BS42" s="116">
        <f>Expenses!BL19</f>
        <v>2115.239187</v>
      </c>
      <c r="BT42" s="116">
        <f>Expenses!BM19</f>
        <v>2125.815383</v>
      </c>
      <c r="BU42" s="116">
        <f>Expenses!BN19</f>
        <v>2136.44446</v>
      </c>
      <c r="BV42" s="116">
        <f>Expenses!BO19</f>
        <v>2147.126682</v>
      </c>
      <c r="BW42" s="116">
        <f>Expenses!BP19</f>
        <v>2157.862316</v>
      </c>
      <c r="BX42" s="116">
        <f>Expenses!BQ19</f>
        <v>2168.651627</v>
      </c>
      <c r="BY42" s="116">
        <f>Expenses!BR19</f>
        <v>2179.494885</v>
      </c>
      <c r="BZ42" s="116">
        <f>Expenses!BS19</f>
        <v>2190.39236</v>
      </c>
      <c r="CA42" s="116">
        <f>Expenses!BT19</f>
        <v>2201.344322</v>
      </c>
      <c r="CB42" s="116">
        <f>Expenses!BU19</f>
        <v>2212.351043</v>
      </c>
      <c r="CC42" s="116">
        <f>Expenses!BV19</f>
        <v>2223.412798</v>
      </c>
      <c r="CD42" s="116">
        <f>Expenses!BW19</f>
        <v>2234.529862</v>
      </c>
      <c r="CE42" s="116">
        <f>Expenses!BX19</f>
        <v>2245.702512</v>
      </c>
      <c r="CF42" s="116">
        <f>Expenses!BY19</f>
        <v>2256.931024</v>
      </c>
      <c r="CG42" s="116">
        <f>Expenses!BZ19</f>
        <v>2268.215679</v>
      </c>
      <c r="CH42" s="116">
        <f>Expenses!CA19</f>
        <v>2279.556758</v>
      </c>
      <c r="CI42" s="116">
        <f>Expenses!CB19</f>
        <v>2290.954542</v>
      </c>
    </row>
    <row r="43" ht="15.75" customHeight="1" outlineLevel="1">
      <c r="A43" s="1" t="s">
        <v>120</v>
      </c>
      <c r="B43" s="91" t="s">
        <v>66</v>
      </c>
      <c r="C43" s="132" t="s">
        <v>237</v>
      </c>
      <c r="D43" s="247">
        <f t="shared" ref="D43:Z43" si="47">RANDBETWEEN(0,5000)</f>
        <v>607</v>
      </c>
      <c r="E43" s="247">
        <f t="shared" si="47"/>
        <v>2653</v>
      </c>
      <c r="F43" s="247">
        <f t="shared" si="47"/>
        <v>2663</v>
      </c>
      <c r="G43" s="247">
        <f t="shared" si="47"/>
        <v>4807</v>
      </c>
      <c r="H43" s="247">
        <f t="shared" si="47"/>
        <v>4709</v>
      </c>
      <c r="I43" s="247">
        <f t="shared" si="47"/>
        <v>1351</v>
      </c>
      <c r="J43" s="247">
        <f t="shared" si="47"/>
        <v>1639</v>
      </c>
      <c r="K43" s="247">
        <f t="shared" si="47"/>
        <v>4661</v>
      </c>
      <c r="L43" s="247">
        <f t="shared" si="47"/>
        <v>1613</v>
      </c>
      <c r="M43" s="247">
        <f t="shared" si="47"/>
        <v>4634</v>
      </c>
      <c r="N43" s="247">
        <f t="shared" si="47"/>
        <v>3945</v>
      </c>
      <c r="O43" s="247">
        <f t="shared" si="47"/>
        <v>2200</v>
      </c>
      <c r="P43" s="247">
        <f t="shared" si="47"/>
        <v>3218</v>
      </c>
      <c r="Q43" s="247">
        <f t="shared" si="47"/>
        <v>4500</v>
      </c>
      <c r="R43" s="247">
        <f t="shared" si="47"/>
        <v>992</v>
      </c>
      <c r="S43" s="247">
        <f t="shared" si="47"/>
        <v>931</v>
      </c>
      <c r="T43" s="247">
        <f t="shared" si="47"/>
        <v>1988</v>
      </c>
      <c r="U43" s="247">
        <f t="shared" si="47"/>
        <v>2934</v>
      </c>
      <c r="V43" s="247">
        <f t="shared" si="47"/>
        <v>2447</v>
      </c>
      <c r="W43" s="247">
        <f t="shared" si="47"/>
        <v>2117</v>
      </c>
      <c r="X43" s="247">
        <f t="shared" si="47"/>
        <v>4651</v>
      </c>
      <c r="Y43" s="247">
        <f t="shared" si="47"/>
        <v>1170</v>
      </c>
      <c r="Z43" s="247">
        <f t="shared" si="47"/>
        <v>686</v>
      </c>
      <c r="AA43" s="116">
        <f>Expenses!T36</f>
        <v>686</v>
      </c>
      <c r="AB43" s="116">
        <f>Expenses!U36</f>
        <v>686</v>
      </c>
      <c r="AC43" s="116">
        <f>Expenses!V36</f>
        <v>686</v>
      </c>
      <c r="AD43" s="116">
        <f>Expenses!W36</f>
        <v>686</v>
      </c>
      <c r="AE43" s="116">
        <f>Expenses!X36</f>
        <v>686</v>
      </c>
      <c r="AF43" s="116">
        <f>Expenses!Y36</f>
        <v>686</v>
      </c>
      <c r="AG43" s="116">
        <f>Expenses!Z36</f>
        <v>686</v>
      </c>
      <c r="AH43" s="116">
        <f>Expenses!AA36</f>
        <v>686</v>
      </c>
      <c r="AI43" s="116">
        <f>Expenses!AB36</f>
        <v>686</v>
      </c>
      <c r="AJ43" s="116">
        <f>Expenses!AC36</f>
        <v>686</v>
      </c>
      <c r="AK43" s="116">
        <f>Expenses!AD36</f>
        <v>686</v>
      </c>
      <c r="AL43" s="116">
        <f>Expenses!AE36</f>
        <v>686</v>
      </c>
      <c r="AM43" s="116">
        <f>Expenses!AF36</f>
        <v>686</v>
      </c>
      <c r="AN43" s="116">
        <f>Expenses!AG36</f>
        <v>689.43</v>
      </c>
      <c r="AO43" s="116">
        <f>Expenses!AH36</f>
        <v>692.87715</v>
      </c>
      <c r="AP43" s="116">
        <f>Expenses!AI36</f>
        <v>696.3415358</v>
      </c>
      <c r="AQ43" s="116">
        <f>Expenses!AJ36</f>
        <v>699.8232434</v>
      </c>
      <c r="AR43" s="116">
        <f>Expenses!AK36</f>
        <v>703.3223596</v>
      </c>
      <c r="AS43" s="116">
        <f>Expenses!AL36</f>
        <v>706.8389714</v>
      </c>
      <c r="AT43" s="116">
        <f>Expenses!AM36</f>
        <v>710.3731663</v>
      </c>
      <c r="AU43" s="116">
        <f>Expenses!AN36</f>
        <v>713.9250321</v>
      </c>
      <c r="AV43" s="116">
        <f>Expenses!AO36</f>
        <v>717.4946573</v>
      </c>
      <c r="AW43" s="116">
        <f>Expenses!AP36</f>
        <v>721.0821306</v>
      </c>
      <c r="AX43" s="116">
        <f>Expenses!AQ36</f>
        <v>724.6875412</v>
      </c>
      <c r="AY43" s="116">
        <f>Expenses!AR36</f>
        <v>728.3109789</v>
      </c>
      <c r="AZ43" s="116">
        <f>Expenses!AS36</f>
        <v>731.9525338</v>
      </c>
      <c r="BA43" s="116">
        <f>Expenses!AT36</f>
        <v>735.6122965</v>
      </c>
      <c r="BB43" s="116">
        <f>Expenses!AU36</f>
        <v>739.290358</v>
      </c>
      <c r="BC43" s="116">
        <f>Expenses!AV36</f>
        <v>742.9868098</v>
      </c>
      <c r="BD43" s="116">
        <f>Expenses!AW36</f>
        <v>746.7017438</v>
      </c>
      <c r="BE43" s="116">
        <f>Expenses!AX36</f>
        <v>750.4352525</v>
      </c>
      <c r="BF43" s="116">
        <f>Expenses!AY36</f>
        <v>754.1874288</v>
      </c>
      <c r="BG43" s="116">
        <f>Expenses!AZ36</f>
        <v>757.958366</v>
      </c>
      <c r="BH43" s="116">
        <f>Expenses!BA36</f>
        <v>761.7481578</v>
      </c>
      <c r="BI43" s="116">
        <f>Expenses!BB36</f>
        <v>765.5568986</v>
      </c>
      <c r="BJ43" s="116">
        <f>Expenses!BC36</f>
        <v>769.3846831</v>
      </c>
      <c r="BK43" s="116">
        <f>Expenses!BD36</f>
        <v>773.2316065</v>
      </c>
      <c r="BL43" s="116">
        <f>Expenses!BE36</f>
        <v>777.0977645</v>
      </c>
      <c r="BM43" s="116">
        <f>Expenses!BF36</f>
        <v>780.9832533</v>
      </c>
      <c r="BN43" s="116">
        <f>Expenses!BG36</f>
        <v>784.8881696</v>
      </c>
      <c r="BO43" s="116">
        <f>Expenses!BH36</f>
        <v>788.8126104</v>
      </c>
      <c r="BP43" s="116">
        <f>Expenses!BI36</f>
        <v>792.7566735</v>
      </c>
      <c r="BQ43" s="116">
        <f>Expenses!BJ36</f>
        <v>796.7204569</v>
      </c>
      <c r="BR43" s="116">
        <f>Expenses!BK36</f>
        <v>800.7040592</v>
      </c>
      <c r="BS43" s="116">
        <f>Expenses!BL36</f>
        <v>804.7075794</v>
      </c>
      <c r="BT43" s="116">
        <f>Expenses!BM36</f>
        <v>808.7311173</v>
      </c>
      <c r="BU43" s="116">
        <f>Expenses!BN36</f>
        <v>812.7747729</v>
      </c>
      <c r="BV43" s="116">
        <f>Expenses!BO36</f>
        <v>816.8386468</v>
      </c>
      <c r="BW43" s="116">
        <f>Expenses!BP36</f>
        <v>820.92284</v>
      </c>
      <c r="BX43" s="116">
        <f>Expenses!BQ36</f>
        <v>825.0274542</v>
      </c>
      <c r="BY43" s="116">
        <f>Expenses!BR36</f>
        <v>829.1525915</v>
      </c>
      <c r="BZ43" s="116">
        <f>Expenses!BS36</f>
        <v>833.2983545</v>
      </c>
      <c r="CA43" s="116">
        <f>Expenses!BT36</f>
        <v>837.4648462</v>
      </c>
      <c r="CB43" s="116">
        <f>Expenses!BU36</f>
        <v>841.6521705</v>
      </c>
      <c r="CC43" s="116">
        <f>Expenses!BV36</f>
        <v>845.8604313</v>
      </c>
      <c r="CD43" s="116">
        <f>Expenses!BW36</f>
        <v>850.0897335</v>
      </c>
      <c r="CE43" s="116">
        <f>Expenses!BX36</f>
        <v>854.3401821</v>
      </c>
      <c r="CF43" s="116">
        <f>Expenses!BY36</f>
        <v>858.611883</v>
      </c>
      <c r="CG43" s="116">
        <f>Expenses!BZ36</f>
        <v>862.9049425</v>
      </c>
      <c r="CH43" s="116">
        <f>Expenses!CA36</f>
        <v>867.2194672</v>
      </c>
      <c r="CI43" s="116">
        <f>Expenses!CB36</f>
        <v>871.5555645</v>
      </c>
    </row>
    <row r="44" ht="15.75" customHeight="1" outlineLevel="1">
      <c r="A44" s="1" t="s">
        <v>120</v>
      </c>
      <c r="B44" s="91" t="s">
        <v>178</v>
      </c>
      <c r="C44" s="132" t="s">
        <v>238</v>
      </c>
      <c r="D44" s="247">
        <f t="shared" ref="D44:Z44" si="48">RANDBETWEEN(0,5000)</f>
        <v>4279</v>
      </c>
      <c r="E44" s="247">
        <f t="shared" si="48"/>
        <v>238</v>
      </c>
      <c r="F44" s="247">
        <f t="shared" si="48"/>
        <v>3525</v>
      </c>
      <c r="G44" s="247">
        <f t="shared" si="48"/>
        <v>633</v>
      </c>
      <c r="H44" s="247">
        <f t="shared" si="48"/>
        <v>1584</v>
      </c>
      <c r="I44" s="247">
        <f t="shared" si="48"/>
        <v>4388</v>
      </c>
      <c r="J44" s="247">
        <f t="shared" si="48"/>
        <v>1473</v>
      </c>
      <c r="K44" s="247">
        <f t="shared" si="48"/>
        <v>4615</v>
      </c>
      <c r="L44" s="247">
        <f t="shared" si="48"/>
        <v>1796</v>
      </c>
      <c r="M44" s="247">
        <f t="shared" si="48"/>
        <v>2889</v>
      </c>
      <c r="N44" s="247">
        <f t="shared" si="48"/>
        <v>545</v>
      </c>
      <c r="O44" s="247">
        <f t="shared" si="48"/>
        <v>4033</v>
      </c>
      <c r="P44" s="247">
        <f t="shared" si="48"/>
        <v>1490</v>
      </c>
      <c r="Q44" s="247">
        <f t="shared" si="48"/>
        <v>2685</v>
      </c>
      <c r="R44" s="247">
        <f t="shared" si="48"/>
        <v>655</v>
      </c>
      <c r="S44" s="247">
        <f t="shared" si="48"/>
        <v>4593</v>
      </c>
      <c r="T44" s="247">
        <f t="shared" si="48"/>
        <v>3947</v>
      </c>
      <c r="U44" s="247">
        <f t="shared" si="48"/>
        <v>702</v>
      </c>
      <c r="V44" s="247">
        <f t="shared" si="48"/>
        <v>3509</v>
      </c>
      <c r="W44" s="247">
        <f t="shared" si="48"/>
        <v>3040</v>
      </c>
      <c r="X44" s="247">
        <f t="shared" si="48"/>
        <v>161</v>
      </c>
      <c r="Y44" s="247">
        <f t="shared" si="48"/>
        <v>4637</v>
      </c>
      <c r="Z44" s="247">
        <f t="shared" si="48"/>
        <v>402</v>
      </c>
      <c r="AA44" s="117">
        <v>0.0</v>
      </c>
      <c r="AB44" s="117">
        <v>0.0</v>
      </c>
      <c r="AC44" s="117">
        <v>0.0</v>
      </c>
      <c r="AD44" s="117">
        <v>0.0</v>
      </c>
      <c r="AE44" s="117">
        <v>0.0</v>
      </c>
      <c r="AF44" s="117">
        <v>0.0</v>
      </c>
      <c r="AG44" s="117">
        <v>0.0</v>
      </c>
      <c r="AH44" s="117">
        <v>0.0</v>
      </c>
      <c r="AI44" s="117">
        <v>0.0</v>
      </c>
      <c r="AJ44" s="117">
        <v>0.0</v>
      </c>
      <c r="AK44" s="117">
        <v>0.0</v>
      </c>
      <c r="AL44" s="117">
        <v>0.0</v>
      </c>
      <c r="AM44" s="117">
        <v>0.0</v>
      </c>
      <c r="AN44" s="117">
        <v>0.0</v>
      </c>
      <c r="AO44" s="117">
        <v>0.0</v>
      </c>
      <c r="AP44" s="117">
        <v>0.0</v>
      </c>
      <c r="AQ44" s="117">
        <v>0.0</v>
      </c>
      <c r="AR44" s="117">
        <v>0.0</v>
      </c>
      <c r="AS44" s="117">
        <v>0.0</v>
      </c>
      <c r="AT44" s="117">
        <v>0.0</v>
      </c>
      <c r="AU44" s="117">
        <v>0.0</v>
      </c>
      <c r="AV44" s="117">
        <v>0.0</v>
      </c>
      <c r="AW44" s="117">
        <v>0.0</v>
      </c>
      <c r="AX44" s="117">
        <v>0.0</v>
      </c>
      <c r="AY44" s="117">
        <v>0.0</v>
      </c>
      <c r="AZ44" s="117">
        <v>0.0</v>
      </c>
      <c r="BA44" s="117">
        <v>0.0</v>
      </c>
      <c r="BB44" s="117">
        <v>0.0</v>
      </c>
      <c r="BC44" s="117">
        <v>0.0</v>
      </c>
      <c r="BD44" s="117">
        <v>0.0</v>
      </c>
      <c r="BE44" s="117">
        <v>0.0</v>
      </c>
      <c r="BF44" s="117">
        <v>0.0</v>
      </c>
      <c r="BG44" s="117">
        <v>0.0</v>
      </c>
      <c r="BH44" s="117">
        <v>0.0</v>
      </c>
      <c r="BI44" s="117">
        <v>0.0</v>
      </c>
      <c r="BJ44" s="117">
        <v>0.0</v>
      </c>
      <c r="BK44" s="117">
        <v>0.0</v>
      </c>
      <c r="BL44" s="117">
        <v>0.0</v>
      </c>
      <c r="BM44" s="117">
        <v>0.0</v>
      </c>
      <c r="BN44" s="117">
        <v>0.0</v>
      </c>
      <c r="BO44" s="117">
        <v>0.0</v>
      </c>
      <c r="BP44" s="117">
        <v>0.0</v>
      </c>
      <c r="BQ44" s="117">
        <v>0.0</v>
      </c>
      <c r="BR44" s="117">
        <v>0.0</v>
      </c>
      <c r="BS44" s="117">
        <v>0.0</v>
      </c>
      <c r="BT44" s="117">
        <v>0.0</v>
      </c>
      <c r="BU44" s="117">
        <v>0.0</v>
      </c>
      <c r="BV44" s="117">
        <v>0.0</v>
      </c>
      <c r="BW44" s="117">
        <v>0.0</v>
      </c>
      <c r="BX44" s="117">
        <v>0.0</v>
      </c>
      <c r="BY44" s="117">
        <v>0.0</v>
      </c>
      <c r="BZ44" s="117">
        <v>0.0</v>
      </c>
      <c r="CA44" s="117">
        <v>0.0</v>
      </c>
      <c r="CB44" s="117">
        <v>0.0</v>
      </c>
      <c r="CC44" s="117">
        <v>0.0</v>
      </c>
      <c r="CD44" s="117">
        <v>0.0</v>
      </c>
      <c r="CE44" s="117">
        <v>0.0</v>
      </c>
      <c r="CF44" s="117">
        <v>0.0</v>
      </c>
      <c r="CG44" s="117">
        <v>0.0</v>
      </c>
      <c r="CH44" s="117">
        <v>0.0</v>
      </c>
      <c r="CI44" s="117">
        <v>0.0</v>
      </c>
    </row>
    <row r="45" ht="15.75" customHeight="1" outlineLevel="1">
      <c r="A45" s="1" t="s">
        <v>120</v>
      </c>
      <c r="B45" s="91" t="s">
        <v>178</v>
      </c>
      <c r="C45" s="132" t="s">
        <v>239</v>
      </c>
      <c r="D45" s="247">
        <f t="shared" ref="D45:Z45" si="49">RANDBETWEEN(0,5000)</f>
        <v>1991</v>
      </c>
      <c r="E45" s="247">
        <f t="shared" si="49"/>
        <v>918</v>
      </c>
      <c r="F45" s="247">
        <f t="shared" si="49"/>
        <v>1670</v>
      </c>
      <c r="G45" s="247">
        <f t="shared" si="49"/>
        <v>2900</v>
      </c>
      <c r="H45" s="247">
        <f t="shared" si="49"/>
        <v>4046</v>
      </c>
      <c r="I45" s="247">
        <f t="shared" si="49"/>
        <v>4841</v>
      </c>
      <c r="J45" s="247">
        <f t="shared" si="49"/>
        <v>779</v>
      </c>
      <c r="K45" s="247">
        <f t="shared" si="49"/>
        <v>2756</v>
      </c>
      <c r="L45" s="247">
        <f t="shared" si="49"/>
        <v>3613</v>
      </c>
      <c r="M45" s="247">
        <f t="shared" si="49"/>
        <v>3870</v>
      </c>
      <c r="N45" s="247">
        <f t="shared" si="49"/>
        <v>545</v>
      </c>
      <c r="O45" s="247">
        <f t="shared" si="49"/>
        <v>606</v>
      </c>
      <c r="P45" s="247">
        <f t="shared" si="49"/>
        <v>2965</v>
      </c>
      <c r="Q45" s="247">
        <f t="shared" si="49"/>
        <v>126</v>
      </c>
      <c r="R45" s="247">
        <f t="shared" si="49"/>
        <v>1535</v>
      </c>
      <c r="S45" s="247">
        <f t="shared" si="49"/>
        <v>3776</v>
      </c>
      <c r="T45" s="247">
        <f t="shared" si="49"/>
        <v>3556</v>
      </c>
      <c r="U45" s="247">
        <f t="shared" si="49"/>
        <v>1496</v>
      </c>
      <c r="V45" s="247">
        <f t="shared" si="49"/>
        <v>4661</v>
      </c>
      <c r="W45" s="247">
        <f t="shared" si="49"/>
        <v>1896</v>
      </c>
      <c r="X45" s="247">
        <f t="shared" si="49"/>
        <v>3692</v>
      </c>
      <c r="Y45" s="247">
        <f t="shared" si="49"/>
        <v>504</v>
      </c>
      <c r="Z45" s="247">
        <f t="shared" si="49"/>
        <v>930</v>
      </c>
      <c r="AA45" s="117">
        <f t="shared" ref="AA45:CI45" si="50">AVERAGE(X45:Z45)/AVERAGE(X$30:Z$30)*AA$30</f>
        <v>15118.07237</v>
      </c>
      <c r="AB45" s="117">
        <f t="shared" si="50"/>
        <v>35616.79689</v>
      </c>
      <c r="AC45" s="117">
        <f t="shared" si="50"/>
        <v>42089.90874</v>
      </c>
      <c r="AD45" s="117">
        <f t="shared" si="50"/>
        <v>42657.49792</v>
      </c>
      <c r="AE45" s="117">
        <f t="shared" si="50"/>
        <v>42011.82797</v>
      </c>
      <c r="AF45" s="117">
        <f t="shared" si="50"/>
        <v>44154.46673</v>
      </c>
      <c r="AG45" s="117">
        <f t="shared" si="50"/>
        <v>44210.46413</v>
      </c>
      <c r="AH45" s="117">
        <f t="shared" si="50"/>
        <v>44091.8165</v>
      </c>
      <c r="AI45" s="117">
        <f t="shared" si="50"/>
        <v>44152.24912</v>
      </c>
      <c r="AJ45" s="117">
        <f t="shared" si="50"/>
        <v>46138.32787</v>
      </c>
      <c r="AK45" s="117">
        <f t="shared" si="50"/>
        <v>46118.09563</v>
      </c>
      <c r="AL45" s="117">
        <f t="shared" si="50"/>
        <v>46131.73556</v>
      </c>
      <c r="AM45" s="117">
        <f t="shared" si="50"/>
        <v>46129.38635</v>
      </c>
      <c r="AN45" s="117">
        <f t="shared" si="50"/>
        <v>47971.46208</v>
      </c>
      <c r="AO45" s="117">
        <f t="shared" si="50"/>
        <v>47974.30505</v>
      </c>
      <c r="AP45" s="117">
        <f t="shared" si="50"/>
        <v>47973.42845</v>
      </c>
      <c r="AQ45" s="117">
        <f t="shared" si="50"/>
        <v>47973.06519</v>
      </c>
      <c r="AR45" s="117">
        <f t="shared" si="50"/>
        <v>49892.54355</v>
      </c>
      <c r="AS45" s="117">
        <f t="shared" si="50"/>
        <v>49892.3022</v>
      </c>
      <c r="AT45" s="117">
        <f t="shared" si="50"/>
        <v>49892.28162</v>
      </c>
      <c r="AU45" s="117">
        <f t="shared" si="50"/>
        <v>49892.37579</v>
      </c>
      <c r="AV45" s="117">
        <f t="shared" si="50"/>
        <v>51888.01266</v>
      </c>
      <c r="AW45" s="117">
        <f t="shared" si="50"/>
        <v>51888.01871</v>
      </c>
      <c r="AX45" s="117">
        <f t="shared" si="50"/>
        <v>51888.03358</v>
      </c>
      <c r="AY45" s="117">
        <f t="shared" si="50"/>
        <v>51888.02165</v>
      </c>
      <c r="AZ45" s="117">
        <f t="shared" si="50"/>
        <v>53963.54563</v>
      </c>
      <c r="BA45" s="117">
        <f t="shared" si="50"/>
        <v>53963.54767</v>
      </c>
      <c r="BB45" s="117">
        <f t="shared" si="50"/>
        <v>53963.54531</v>
      </c>
      <c r="BC45" s="117">
        <f t="shared" si="50"/>
        <v>53963.5462</v>
      </c>
      <c r="BD45" s="117">
        <f t="shared" si="50"/>
        <v>56122.08825</v>
      </c>
      <c r="BE45" s="117">
        <f t="shared" si="50"/>
        <v>56122.08781</v>
      </c>
      <c r="BF45" s="117">
        <f t="shared" si="50"/>
        <v>56122.08804</v>
      </c>
      <c r="BG45" s="117">
        <f t="shared" si="50"/>
        <v>56122.08803</v>
      </c>
      <c r="BH45" s="117">
        <f t="shared" si="50"/>
        <v>58366.97148</v>
      </c>
      <c r="BI45" s="117">
        <f t="shared" si="50"/>
        <v>58366.97153</v>
      </c>
      <c r="BJ45" s="117">
        <f t="shared" si="50"/>
        <v>58366.97152</v>
      </c>
      <c r="BK45" s="117">
        <f t="shared" si="50"/>
        <v>58366.97151</v>
      </c>
      <c r="BL45" s="117">
        <f t="shared" si="50"/>
        <v>60701.65038</v>
      </c>
      <c r="BM45" s="117">
        <f t="shared" si="50"/>
        <v>60701.65038</v>
      </c>
      <c r="BN45" s="117">
        <f t="shared" si="50"/>
        <v>60701.65038</v>
      </c>
      <c r="BO45" s="117">
        <f t="shared" si="50"/>
        <v>60701.65038</v>
      </c>
      <c r="BP45" s="117">
        <f t="shared" si="50"/>
        <v>63129.71639</v>
      </c>
      <c r="BQ45" s="117">
        <f t="shared" si="50"/>
        <v>63129.71639</v>
      </c>
      <c r="BR45" s="117">
        <f t="shared" si="50"/>
        <v>63129.71639</v>
      </c>
      <c r="BS45" s="117">
        <f t="shared" si="50"/>
        <v>63129.71639</v>
      </c>
      <c r="BT45" s="117">
        <f t="shared" si="50"/>
        <v>65654.90505</v>
      </c>
      <c r="BU45" s="117">
        <f t="shared" si="50"/>
        <v>65654.90505</v>
      </c>
      <c r="BV45" s="117">
        <f t="shared" si="50"/>
        <v>65654.90505</v>
      </c>
      <c r="BW45" s="117">
        <f t="shared" si="50"/>
        <v>65654.90505</v>
      </c>
      <c r="BX45" s="117">
        <f t="shared" si="50"/>
        <v>68281.10125</v>
      </c>
      <c r="BY45" s="117">
        <f t="shared" si="50"/>
        <v>68281.10125</v>
      </c>
      <c r="BZ45" s="117">
        <f t="shared" si="50"/>
        <v>68281.10125</v>
      </c>
      <c r="CA45" s="117">
        <f t="shared" si="50"/>
        <v>68281.10125</v>
      </c>
      <c r="CB45" s="117">
        <f t="shared" si="50"/>
        <v>71012.3453</v>
      </c>
      <c r="CC45" s="117">
        <f t="shared" si="50"/>
        <v>71012.3453</v>
      </c>
      <c r="CD45" s="117">
        <f t="shared" si="50"/>
        <v>71012.3453</v>
      </c>
      <c r="CE45" s="117">
        <f t="shared" si="50"/>
        <v>71012.3453</v>
      </c>
      <c r="CF45" s="117">
        <f t="shared" si="50"/>
        <v>73852.83911</v>
      </c>
      <c r="CG45" s="117">
        <f t="shared" si="50"/>
        <v>73852.83911</v>
      </c>
      <c r="CH45" s="117">
        <f t="shared" si="50"/>
        <v>73852.83911</v>
      </c>
      <c r="CI45" s="117">
        <f t="shared" si="50"/>
        <v>73852.83911</v>
      </c>
    </row>
    <row r="46" ht="15.75" customHeight="1" outlineLevel="1">
      <c r="A46" s="1" t="s">
        <v>120</v>
      </c>
      <c r="B46" s="91" t="s">
        <v>70</v>
      </c>
      <c r="C46" s="132" t="s">
        <v>243</v>
      </c>
      <c r="D46" s="247">
        <f t="shared" ref="D46:Z46" si="51">RANDBETWEEN(0,5000)</f>
        <v>4286</v>
      </c>
      <c r="E46" s="247">
        <f t="shared" si="51"/>
        <v>4083</v>
      </c>
      <c r="F46" s="247">
        <f t="shared" si="51"/>
        <v>1149</v>
      </c>
      <c r="G46" s="247">
        <f t="shared" si="51"/>
        <v>1354</v>
      </c>
      <c r="H46" s="247">
        <f t="shared" si="51"/>
        <v>2615</v>
      </c>
      <c r="I46" s="247">
        <f t="shared" si="51"/>
        <v>2349</v>
      </c>
      <c r="J46" s="247">
        <f t="shared" si="51"/>
        <v>1832</v>
      </c>
      <c r="K46" s="247">
        <f t="shared" si="51"/>
        <v>4685</v>
      </c>
      <c r="L46" s="247">
        <f t="shared" si="51"/>
        <v>1783</v>
      </c>
      <c r="M46" s="247">
        <f t="shared" si="51"/>
        <v>2992</v>
      </c>
      <c r="N46" s="247">
        <f t="shared" si="51"/>
        <v>334</v>
      </c>
      <c r="O46" s="247">
        <f t="shared" si="51"/>
        <v>3098</v>
      </c>
      <c r="P46" s="247">
        <f t="shared" si="51"/>
        <v>2415</v>
      </c>
      <c r="Q46" s="247">
        <f t="shared" si="51"/>
        <v>52</v>
      </c>
      <c r="R46" s="247">
        <f t="shared" si="51"/>
        <v>1187</v>
      </c>
      <c r="S46" s="247">
        <f t="shared" si="51"/>
        <v>2938</v>
      </c>
      <c r="T46" s="247">
        <f t="shared" si="51"/>
        <v>1063</v>
      </c>
      <c r="U46" s="247">
        <f t="shared" si="51"/>
        <v>19</v>
      </c>
      <c r="V46" s="247">
        <f t="shared" si="51"/>
        <v>4850</v>
      </c>
      <c r="W46" s="247">
        <f t="shared" si="51"/>
        <v>2162</v>
      </c>
      <c r="X46" s="247">
        <f t="shared" si="51"/>
        <v>4205</v>
      </c>
      <c r="Y46" s="247">
        <f t="shared" si="51"/>
        <v>1275</v>
      </c>
      <c r="Z46" s="247">
        <f t="shared" si="51"/>
        <v>275</v>
      </c>
      <c r="AA46" s="116">
        <f>Expenses!T66</f>
        <v>573.666</v>
      </c>
      <c r="AB46" s="116">
        <f>Expenses!U66</f>
        <v>1263.666</v>
      </c>
      <c r="AC46" s="116">
        <f>Expenses!V66</f>
        <v>1263.666</v>
      </c>
      <c r="AD46" s="116">
        <f>Expenses!W66</f>
        <v>1263.666</v>
      </c>
      <c r="AE46" s="116">
        <f>Expenses!X66</f>
        <v>1263.666</v>
      </c>
      <c r="AF46" s="116">
        <f>Expenses!Y66</f>
        <v>1953.666</v>
      </c>
      <c r="AG46" s="116">
        <f>Expenses!Z66</f>
        <v>1953.666</v>
      </c>
      <c r="AH46" s="116">
        <f>Expenses!AA66</f>
        <v>1953.666</v>
      </c>
      <c r="AI46" s="116">
        <f>Expenses!AB66</f>
        <v>1953.666</v>
      </c>
      <c r="AJ46" s="116">
        <f>Expenses!AC66</f>
        <v>2643.666</v>
      </c>
      <c r="AK46" s="116">
        <f>Expenses!AD66</f>
        <v>2643.666</v>
      </c>
      <c r="AL46" s="116">
        <f>Expenses!AE66</f>
        <v>2643.666</v>
      </c>
      <c r="AM46" s="116">
        <f>Expenses!AF66</f>
        <v>2643.666</v>
      </c>
      <c r="AN46" s="116">
        <f>Expenses!AG66</f>
        <v>2643.666</v>
      </c>
      <c r="AO46" s="116">
        <f>Expenses!AH66</f>
        <v>2643.666</v>
      </c>
      <c r="AP46" s="116">
        <f>Expenses!AI66</f>
        <v>2643.666</v>
      </c>
      <c r="AQ46" s="116">
        <f>Expenses!AJ66</f>
        <v>2643.666</v>
      </c>
      <c r="AR46" s="116">
        <f>Expenses!AK66</f>
        <v>2643.666</v>
      </c>
      <c r="AS46" s="116">
        <f>Expenses!AL66</f>
        <v>2643.666</v>
      </c>
      <c r="AT46" s="116">
        <f>Expenses!AM66</f>
        <v>2643.666</v>
      </c>
      <c r="AU46" s="116">
        <f>Expenses!AN66</f>
        <v>2643.666</v>
      </c>
      <c r="AV46" s="116">
        <f>Expenses!AO66</f>
        <v>3195.666</v>
      </c>
      <c r="AW46" s="116">
        <f>Expenses!AP66</f>
        <v>3195.666</v>
      </c>
      <c r="AX46" s="116">
        <f>Expenses!AQ66</f>
        <v>3195.666</v>
      </c>
      <c r="AY46" s="116">
        <f>Expenses!AR66</f>
        <v>3195.666</v>
      </c>
      <c r="AZ46" s="116">
        <f>Expenses!AS66</f>
        <v>4575.666</v>
      </c>
      <c r="BA46" s="116">
        <f>Expenses!AT66</f>
        <v>4575.666</v>
      </c>
      <c r="BB46" s="116">
        <f>Expenses!AU66</f>
        <v>4575.666</v>
      </c>
      <c r="BC46" s="116">
        <f>Expenses!AV66</f>
        <v>4575.666</v>
      </c>
      <c r="BD46" s="116">
        <f>Expenses!AW66</f>
        <v>5955.666</v>
      </c>
      <c r="BE46" s="116">
        <f>Expenses!AX66</f>
        <v>5955.666</v>
      </c>
      <c r="BF46" s="116">
        <f>Expenses!AY66</f>
        <v>5955.666</v>
      </c>
      <c r="BG46" s="116">
        <f>Expenses!AZ66</f>
        <v>5955.666</v>
      </c>
      <c r="BH46" s="116">
        <f>Expenses!BA66</f>
        <v>7335.666</v>
      </c>
      <c r="BI46" s="116">
        <f>Expenses!BB66</f>
        <v>7335.666</v>
      </c>
      <c r="BJ46" s="116">
        <f>Expenses!BC66</f>
        <v>7335.666</v>
      </c>
      <c r="BK46" s="116">
        <f>Expenses!BD66</f>
        <v>7335.666</v>
      </c>
      <c r="BL46" s="116">
        <f>Expenses!BE66</f>
        <v>7363.266</v>
      </c>
      <c r="BM46" s="116">
        <f>Expenses!BF66</f>
        <v>7363.266</v>
      </c>
      <c r="BN46" s="116">
        <f>Expenses!BG66</f>
        <v>7363.266</v>
      </c>
      <c r="BO46" s="116">
        <f>Expenses!BH66</f>
        <v>7363.266</v>
      </c>
      <c r="BP46" s="116">
        <f>Expenses!BI66</f>
        <v>7390.866</v>
      </c>
      <c r="BQ46" s="116">
        <f>Expenses!BJ66</f>
        <v>7390.866</v>
      </c>
      <c r="BR46" s="116">
        <f>Expenses!BK66</f>
        <v>7390.866</v>
      </c>
      <c r="BS46" s="116">
        <f>Expenses!BL66</f>
        <v>7390.866</v>
      </c>
      <c r="BT46" s="116">
        <f>Expenses!BM66</f>
        <v>7418.466</v>
      </c>
      <c r="BU46" s="116">
        <f>Expenses!BN66</f>
        <v>7418.466</v>
      </c>
      <c r="BV46" s="116">
        <f>Expenses!BO66</f>
        <v>7418.466</v>
      </c>
      <c r="BW46" s="116">
        <f>Expenses!BP66</f>
        <v>7418.466</v>
      </c>
      <c r="BX46" s="116">
        <f>Expenses!BQ66</f>
        <v>7446.066</v>
      </c>
      <c r="BY46" s="116">
        <f>Expenses!BR66</f>
        <v>7446.066</v>
      </c>
      <c r="BZ46" s="116">
        <f>Expenses!BS66</f>
        <v>7446.066</v>
      </c>
      <c r="CA46" s="116">
        <f>Expenses!BT66</f>
        <v>7446.066</v>
      </c>
      <c r="CB46" s="116">
        <f>Expenses!BU66</f>
        <v>7473.666</v>
      </c>
      <c r="CC46" s="116">
        <f>Expenses!BV66</f>
        <v>7473.666</v>
      </c>
      <c r="CD46" s="116">
        <f>Expenses!BW66</f>
        <v>7473.666</v>
      </c>
      <c r="CE46" s="116">
        <f>Expenses!BX66</f>
        <v>7473.666</v>
      </c>
      <c r="CF46" s="116">
        <f>Expenses!BY66</f>
        <v>7818.666</v>
      </c>
      <c r="CG46" s="116">
        <f>Expenses!BZ66</f>
        <v>7818.666</v>
      </c>
      <c r="CH46" s="116">
        <f>Expenses!CA66</f>
        <v>7818.666</v>
      </c>
      <c r="CI46" s="116">
        <f>Expenses!CB66</f>
        <v>7818.666</v>
      </c>
    </row>
    <row r="47" ht="15.75" customHeight="1" outlineLevel="1">
      <c r="A47" s="1" t="s">
        <v>120</v>
      </c>
      <c r="B47" s="91" t="s">
        <v>120</v>
      </c>
      <c r="C47" s="132" t="s">
        <v>244</v>
      </c>
      <c r="D47" s="247">
        <f t="shared" ref="D47:Z47" si="52">RANDBETWEEN(0,5000)</f>
        <v>2379</v>
      </c>
      <c r="E47" s="247">
        <f t="shared" si="52"/>
        <v>3877</v>
      </c>
      <c r="F47" s="247">
        <f t="shared" si="52"/>
        <v>1890</v>
      </c>
      <c r="G47" s="247">
        <f t="shared" si="52"/>
        <v>4339</v>
      </c>
      <c r="H47" s="247">
        <f t="shared" si="52"/>
        <v>2924</v>
      </c>
      <c r="I47" s="247">
        <f t="shared" si="52"/>
        <v>1189</v>
      </c>
      <c r="J47" s="247">
        <f t="shared" si="52"/>
        <v>1246</v>
      </c>
      <c r="K47" s="247">
        <f t="shared" si="52"/>
        <v>2665</v>
      </c>
      <c r="L47" s="247">
        <f t="shared" si="52"/>
        <v>2691</v>
      </c>
      <c r="M47" s="247">
        <f t="shared" si="52"/>
        <v>4102</v>
      </c>
      <c r="N47" s="247">
        <f t="shared" si="52"/>
        <v>1801</v>
      </c>
      <c r="O47" s="247">
        <f t="shared" si="52"/>
        <v>4732</v>
      </c>
      <c r="P47" s="247">
        <f t="shared" si="52"/>
        <v>4803</v>
      </c>
      <c r="Q47" s="247">
        <f t="shared" si="52"/>
        <v>4307</v>
      </c>
      <c r="R47" s="247">
        <f t="shared" si="52"/>
        <v>2929</v>
      </c>
      <c r="S47" s="247">
        <f t="shared" si="52"/>
        <v>2789</v>
      </c>
      <c r="T47" s="247">
        <f t="shared" si="52"/>
        <v>1718</v>
      </c>
      <c r="U47" s="247">
        <f t="shared" si="52"/>
        <v>4227</v>
      </c>
      <c r="V47" s="247">
        <f t="shared" si="52"/>
        <v>1801</v>
      </c>
      <c r="W47" s="247">
        <f t="shared" si="52"/>
        <v>4136</v>
      </c>
      <c r="X47" s="247">
        <f t="shared" si="52"/>
        <v>4660</v>
      </c>
      <c r="Y47" s="247">
        <f t="shared" si="52"/>
        <v>2115</v>
      </c>
      <c r="Z47" s="247">
        <f t="shared" si="52"/>
        <v>439</v>
      </c>
      <c r="AA47" s="511">
        <v>156071.1965</v>
      </c>
      <c r="AB47" s="511">
        <v>261886.0</v>
      </c>
      <c r="AC47" s="511">
        <v>267748.0</v>
      </c>
      <c r="AD47" s="511">
        <v>267748.0</v>
      </c>
      <c r="AE47" s="511">
        <v>267748.0</v>
      </c>
      <c r="AF47" s="511">
        <v>267748.0</v>
      </c>
      <c r="AG47" s="511">
        <v>267748.0</v>
      </c>
      <c r="AH47" s="511">
        <v>267748.0</v>
      </c>
      <c r="AI47" s="511">
        <v>270093.0</v>
      </c>
      <c r="AJ47" s="511">
        <v>267748.0</v>
      </c>
      <c r="AK47" s="511">
        <v>267748.0</v>
      </c>
      <c r="AL47" s="511">
        <v>267748.0</v>
      </c>
      <c r="AM47" s="511">
        <v>257197.0</v>
      </c>
      <c r="AN47" s="511">
        <v>259768.97</v>
      </c>
      <c r="AO47" s="511">
        <v>262366.6597</v>
      </c>
      <c r="AP47" s="511">
        <v>264990.3263</v>
      </c>
      <c r="AQ47" s="511">
        <v>267640.2296</v>
      </c>
      <c r="AR47" s="511">
        <v>270316.6319</v>
      </c>
      <c r="AS47" s="511">
        <v>273019.7982</v>
      </c>
      <c r="AT47" s="511">
        <v>275749.9962</v>
      </c>
      <c r="AU47" s="511">
        <v>278507.4961</v>
      </c>
      <c r="AV47" s="511">
        <v>281292.5711</v>
      </c>
      <c r="AW47" s="511">
        <v>284105.4968</v>
      </c>
      <c r="AX47" s="511">
        <v>286946.5518</v>
      </c>
      <c r="AY47" s="511">
        <v>289816.0173</v>
      </c>
      <c r="AZ47" s="511">
        <v>292714.1774</v>
      </c>
      <c r="BA47" s="511">
        <v>295641.3192</v>
      </c>
      <c r="BB47" s="511">
        <v>298597.7324</v>
      </c>
      <c r="BC47" s="511">
        <v>301583.7097</v>
      </c>
      <c r="BD47" s="511">
        <v>304599.5468</v>
      </c>
      <c r="BE47" s="511">
        <v>307645.5423</v>
      </c>
      <c r="BF47" s="511">
        <v>310721.9977</v>
      </c>
      <c r="BG47" s="511">
        <v>313829.2177</v>
      </c>
      <c r="BH47" s="511">
        <v>316967.5099</v>
      </c>
      <c r="BI47" s="511">
        <v>320137.185</v>
      </c>
      <c r="BJ47" s="511">
        <v>323338.5568</v>
      </c>
      <c r="BK47" s="511">
        <v>326571.9424</v>
      </c>
      <c r="BL47" s="511">
        <v>329837.6618</v>
      </c>
      <c r="BM47" s="511">
        <v>333136.0384</v>
      </c>
      <c r="BN47" s="511">
        <v>336467.3988</v>
      </c>
      <c r="BO47" s="511">
        <v>339832.0728</v>
      </c>
      <c r="BP47" s="511">
        <v>343230.3935</v>
      </c>
      <c r="BQ47" s="511">
        <v>346662.6975</v>
      </c>
      <c r="BR47" s="511">
        <v>350129.3245</v>
      </c>
      <c r="BS47" s="511">
        <v>353630.6177</v>
      </c>
      <c r="BT47" s="511">
        <v>357166.9239</v>
      </c>
      <c r="BU47" s="511">
        <v>360738.5931</v>
      </c>
      <c r="BV47" s="511">
        <v>364345.979</v>
      </c>
      <c r="BW47" s="511">
        <v>367989.4388</v>
      </c>
      <c r="BX47" s="511">
        <v>371669.3332</v>
      </c>
      <c r="BY47" s="511">
        <v>375386.0266</v>
      </c>
      <c r="BZ47" s="511">
        <v>379139.8868</v>
      </c>
      <c r="CA47" s="511">
        <v>382931.2857</v>
      </c>
      <c r="CB47" s="511">
        <v>386760.5985</v>
      </c>
      <c r="CC47" s="511">
        <v>390628.2045</v>
      </c>
      <c r="CD47" s="511">
        <v>394534.4866</v>
      </c>
      <c r="CE47" s="511">
        <v>398479.8314</v>
      </c>
      <c r="CF47" s="511">
        <v>402464.6298</v>
      </c>
      <c r="CG47" s="511">
        <v>406489.2761</v>
      </c>
      <c r="CH47" s="511">
        <v>410554.1688</v>
      </c>
      <c r="CI47" s="511">
        <v>414659.7105</v>
      </c>
    </row>
    <row r="48" ht="15.75" customHeight="1" outlineLevel="1">
      <c r="A48" s="1" t="s">
        <v>120</v>
      </c>
      <c r="B48" s="91" t="s">
        <v>120</v>
      </c>
      <c r="C48" s="132" t="s">
        <v>245</v>
      </c>
      <c r="D48" s="247">
        <f t="shared" ref="D48:Z48" si="53">RANDBETWEEN(0,5000)</f>
        <v>645</v>
      </c>
      <c r="E48" s="247">
        <f t="shared" si="53"/>
        <v>2224</v>
      </c>
      <c r="F48" s="247">
        <f t="shared" si="53"/>
        <v>265</v>
      </c>
      <c r="G48" s="247">
        <f t="shared" si="53"/>
        <v>261</v>
      </c>
      <c r="H48" s="247">
        <f t="shared" si="53"/>
        <v>137</v>
      </c>
      <c r="I48" s="247">
        <f t="shared" si="53"/>
        <v>4186</v>
      </c>
      <c r="J48" s="247">
        <f t="shared" si="53"/>
        <v>4277</v>
      </c>
      <c r="K48" s="247">
        <f t="shared" si="53"/>
        <v>1624</v>
      </c>
      <c r="L48" s="247">
        <f t="shared" si="53"/>
        <v>2402</v>
      </c>
      <c r="M48" s="247">
        <f t="shared" si="53"/>
        <v>2884</v>
      </c>
      <c r="N48" s="247">
        <f t="shared" si="53"/>
        <v>2104</v>
      </c>
      <c r="O48" s="247">
        <f t="shared" si="53"/>
        <v>3839</v>
      </c>
      <c r="P48" s="247">
        <f t="shared" si="53"/>
        <v>72</v>
      </c>
      <c r="Q48" s="247">
        <f t="shared" si="53"/>
        <v>3497</v>
      </c>
      <c r="R48" s="247">
        <f t="shared" si="53"/>
        <v>1932</v>
      </c>
      <c r="S48" s="247">
        <f t="shared" si="53"/>
        <v>734</v>
      </c>
      <c r="T48" s="247">
        <f t="shared" si="53"/>
        <v>3141</v>
      </c>
      <c r="U48" s="247">
        <f t="shared" si="53"/>
        <v>4431</v>
      </c>
      <c r="V48" s="247">
        <f t="shared" si="53"/>
        <v>1087</v>
      </c>
      <c r="W48" s="247">
        <f t="shared" si="53"/>
        <v>1553</v>
      </c>
      <c r="X48" s="247">
        <f t="shared" si="53"/>
        <v>343</v>
      </c>
      <c r="Y48" s="247">
        <f t="shared" si="53"/>
        <v>382</v>
      </c>
      <c r="Z48" s="247">
        <f t="shared" si="53"/>
        <v>3406</v>
      </c>
      <c r="AA48" s="511"/>
      <c r="AB48" s="511"/>
      <c r="AC48" s="511"/>
      <c r="AD48" s="511"/>
      <c r="AE48" s="511"/>
      <c r="AF48" s="511"/>
      <c r="AG48" s="511"/>
      <c r="AH48" s="511"/>
      <c r="AI48" s="511"/>
      <c r="AJ48" s="511"/>
      <c r="AK48" s="511"/>
      <c r="AL48" s="511"/>
      <c r="AM48" s="511"/>
      <c r="AN48" s="511"/>
      <c r="AO48" s="511"/>
      <c r="AP48" s="511"/>
      <c r="AQ48" s="511"/>
      <c r="AR48" s="511"/>
      <c r="AS48" s="511"/>
      <c r="AT48" s="511"/>
      <c r="AU48" s="511"/>
      <c r="AV48" s="511"/>
      <c r="AW48" s="511"/>
      <c r="AX48" s="511"/>
      <c r="AY48" s="511"/>
      <c r="AZ48" s="511"/>
      <c r="BA48" s="511"/>
      <c r="BB48" s="511"/>
      <c r="BC48" s="511"/>
      <c r="BD48" s="511"/>
      <c r="BE48" s="511"/>
      <c r="BF48" s="511"/>
      <c r="BG48" s="511"/>
      <c r="BH48" s="511"/>
      <c r="BI48" s="511"/>
      <c r="BJ48" s="511"/>
      <c r="BK48" s="511"/>
      <c r="BL48" s="511"/>
      <c r="BM48" s="511"/>
      <c r="BN48" s="511"/>
      <c r="BO48" s="511"/>
      <c r="BP48" s="511"/>
      <c r="BQ48" s="511"/>
      <c r="BR48" s="511"/>
      <c r="BS48" s="511"/>
      <c r="BT48" s="511"/>
      <c r="BU48" s="511"/>
      <c r="BV48" s="511"/>
      <c r="BW48" s="511"/>
      <c r="BX48" s="511"/>
      <c r="BY48" s="511"/>
      <c r="BZ48" s="511"/>
      <c r="CA48" s="511"/>
      <c r="CB48" s="511"/>
      <c r="CC48" s="511"/>
      <c r="CD48" s="511"/>
      <c r="CE48" s="511"/>
      <c r="CF48" s="511"/>
      <c r="CG48" s="511"/>
      <c r="CH48" s="511"/>
      <c r="CI48" s="511"/>
    </row>
    <row r="49" ht="15.75" customHeight="1" outlineLevel="1">
      <c r="A49" s="1" t="s">
        <v>120</v>
      </c>
      <c r="B49" s="91" t="s">
        <v>120</v>
      </c>
      <c r="C49" s="132" t="s">
        <v>246</v>
      </c>
      <c r="D49" s="247">
        <f t="shared" ref="D49:Z49" si="54">RANDBETWEEN(0,5000)</f>
        <v>1512</v>
      </c>
      <c r="E49" s="247">
        <f t="shared" si="54"/>
        <v>4148</v>
      </c>
      <c r="F49" s="247">
        <f t="shared" si="54"/>
        <v>3194</v>
      </c>
      <c r="G49" s="247">
        <f t="shared" si="54"/>
        <v>4910</v>
      </c>
      <c r="H49" s="247">
        <f t="shared" si="54"/>
        <v>1859</v>
      </c>
      <c r="I49" s="247">
        <f t="shared" si="54"/>
        <v>1690</v>
      </c>
      <c r="J49" s="247">
        <f t="shared" si="54"/>
        <v>3518</v>
      </c>
      <c r="K49" s="247">
        <f t="shared" si="54"/>
        <v>636</v>
      </c>
      <c r="L49" s="247">
        <f t="shared" si="54"/>
        <v>2327</v>
      </c>
      <c r="M49" s="247">
        <f t="shared" si="54"/>
        <v>3586</v>
      </c>
      <c r="N49" s="247">
        <f t="shared" si="54"/>
        <v>2377</v>
      </c>
      <c r="O49" s="247">
        <f t="shared" si="54"/>
        <v>3598</v>
      </c>
      <c r="P49" s="247">
        <f t="shared" si="54"/>
        <v>4870</v>
      </c>
      <c r="Q49" s="247">
        <f t="shared" si="54"/>
        <v>2759</v>
      </c>
      <c r="R49" s="247">
        <f t="shared" si="54"/>
        <v>2706</v>
      </c>
      <c r="S49" s="247">
        <f t="shared" si="54"/>
        <v>101</v>
      </c>
      <c r="T49" s="247">
        <f t="shared" si="54"/>
        <v>231</v>
      </c>
      <c r="U49" s="247">
        <f t="shared" si="54"/>
        <v>4657</v>
      </c>
      <c r="V49" s="247">
        <f t="shared" si="54"/>
        <v>3712</v>
      </c>
      <c r="W49" s="247">
        <f t="shared" si="54"/>
        <v>1440</v>
      </c>
      <c r="X49" s="247">
        <f t="shared" si="54"/>
        <v>4070</v>
      </c>
      <c r="Y49" s="247">
        <f t="shared" si="54"/>
        <v>3984</v>
      </c>
      <c r="Z49" s="247">
        <f t="shared" si="54"/>
        <v>4408</v>
      </c>
      <c r="AA49" s="511">
        <f>Expenses!T86</f>
        <v>1861.5</v>
      </c>
      <c r="AB49" s="511">
        <f>Expenses!U86</f>
        <v>1880.115</v>
      </c>
      <c r="AC49" s="511">
        <f>Expenses!V86</f>
        <v>53583.2775</v>
      </c>
      <c r="AD49" s="511">
        <f>Expenses!W86</f>
        <v>2143.3311</v>
      </c>
      <c r="AE49" s="511">
        <f>Expenses!X86</f>
        <v>2154.047756</v>
      </c>
      <c r="AF49" s="511">
        <f>Expenses!Y86</f>
        <v>2164.817994</v>
      </c>
      <c r="AG49" s="511">
        <f>Expenses!Z86</f>
        <v>2175.642084</v>
      </c>
      <c r="AH49" s="511">
        <f>Expenses!AA86</f>
        <v>56566.69419</v>
      </c>
      <c r="AI49" s="511">
        <f>Expenses!AB86</f>
        <v>2262.667768</v>
      </c>
      <c r="AJ49" s="511">
        <f>Expenses!AC86</f>
        <v>2273.981106</v>
      </c>
      <c r="AK49" s="511">
        <f>Expenses!AD86</f>
        <v>2285.351012</v>
      </c>
      <c r="AL49" s="511">
        <f>Expenses!AE86</f>
        <v>2296.777767</v>
      </c>
      <c r="AM49" s="511">
        <f>Expenses!AF86</f>
        <v>2308.261656</v>
      </c>
      <c r="AN49" s="511">
        <f>Expenses!AG86</f>
        <v>57706.5414</v>
      </c>
      <c r="AO49" s="511">
        <f>Expenses!AH86</f>
        <v>2308.261656</v>
      </c>
      <c r="AP49" s="511">
        <f>Expenses!AI86</f>
        <v>2319.802964</v>
      </c>
      <c r="AQ49" s="511">
        <f>Expenses!AJ86</f>
        <v>2331.401979</v>
      </c>
      <c r="AR49" s="511">
        <f>Expenses!AK86</f>
        <v>2343.058989</v>
      </c>
      <c r="AS49" s="511">
        <f>Expenses!AL86</f>
        <v>2354.774284</v>
      </c>
      <c r="AT49" s="511">
        <f>Expenses!AM86</f>
        <v>54159.80853</v>
      </c>
      <c r="AU49" s="511">
        <f>Expenses!AN86</f>
        <v>2707.990426</v>
      </c>
      <c r="AV49" s="511">
        <f>Expenses!AO86</f>
        <v>2721.530379</v>
      </c>
      <c r="AW49" s="511">
        <f>Expenses!AP86</f>
        <v>2735.13803</v>
      </c>
      <c r="AX49" s="511">
        <f>Expenses!AQ86</f>
        <v>2748.813721</v>
      </c>
      <c r="AY49" s="511">
        <f>Expenses!AR86</f>
        <v>2762.557789</v>
      </c>
      <c r="AZ49" s="511">
        <f>Expenses!AS86</f>
        <v>63538.82915</v>
      </c>
      <c r="BA49" s="511">
        <f>Expenses!AT86</f>
        <v>3176.941458</v>
      </c>
      <c r="BB49" s="511">
        <f>Expenses!AU86</f>
        <v>3192.826165</v>
      </c>
      <c r="BC49" s="511">
        <f>Expenses!AV86</f>
        <v>3208.790296</v>
      </c>
      <c r="BD49" s="511">
        <f>Expenses!AW86</f>
        <v>3224.834247</v>
      </c>
      <c r="BE49" s="511">
        <f>Expenses!AX86</f>
        <v>3240.958418</v>
      </c>
      <c r="BF49" s="511">
        <f>Expenses!AY86</f>
        <v>68060.12679</v>
      </c>
      <c r="BG49" s="511">
        <f>Expenses!AZ86</f>
        <v>3403.006339</v>
      </c>
      <c r="BH49" s="511">
        <f>Expenses!BA86</f>
        <v>3420.021371</v>
      </c>
      <c r="BI49" s="511">
        <f>Expenses!BB86</f>
        <v>3437.121478</v>
      </c>
      <c r="BJ49" s="511">
        <f>Expenses!BC86</f>
        <v>3454.307085</v>
      </c>
      <c r="BK49" s="511">
        <f>Expenses!BD86</f>
        <v>3471.578621</v>
      </c>
      <c r="BL49" s="511">
        <f>Expenses!BE86</f>
        <v>65959.99379</v>
      </c>
      <c r="BM49" s="511">
        <f>Expenses!BF86</f>
        <v>3297.99969</v>
      </c>
      <c r="BN49" s="511">
        <f>Expenses!BG86</f>
        <v>3314.489688</v>
      </c>
      <c r="BO49" s="511">
        <f>Expenses!BH86</f>
        <v>3331.062137</v>
      </c>
      <c r="BP49" s="511">
        <f>Expenses!BI86</f>
        <v>3347.717447</v>
      </c>
      <c r="BQ49" s="511">
        <f>Expenses!BJ86</f>
        <v>3364.456034</v>
      </c>
      <c r="BR49" s="511">
        <f>Expenses!BK86</f>
        <v>63924.66465</v>
      </c>
      <c r="BS49" s="511">
        <f>Expenses!BL86</f>
        <v>3196.233233</v>
      </c>
      <c r="BT49" s="511">
        <f>Expenses!BM86</f>
        <v>3212.214399</v>
      </c>
      <c r="BU49" s="511">
        <f>Expenses!BN86</f>
        <v>3228.275471</v>
      </c>
      <c r="BV49" s="511">
        <f>Expenses!BO86</f>
        <v>3244.416848</v>
      </c>
      <c r="BW49" s="511">
        <f>Expenses!BP86</f>
        <v>3260.638932</v>
      </c>
      <c r="BX49" s="511">
        <f>Expenses!BQ86</f>
        <v>61952.13972</v>
      </c>
      <c r="BY49" s="511">
        <f>Expenses!BR86</f>
        <v>3097.606986</v>
      </c>
      <c r="BZ49" s="511">
        <f>Expenses!BS86</f>
        <v>3113.095021</v>
      </c>
      <c r="CA49" s="511">
        <f>Expenses!BT86</f>
        <v>3128.660496</v>
      </c>
      <c r="CB49" s="511">
        <f>Expenses!BU86</f>
        <v>3144.303798</v>
      </c>
      <c r="CC49" s="511">
        <f>Expenses!BV86</f>
        <v>3160.025317</v>
      </c>
      <c r="CD49" s="511">
        <f>Expenses!BW86</f>
        <v>53720.43039</v>
      </c>
      <c r="CE49" s="511">
        <f>Expenses!BX86</f>
        <v>2686.02152</v>
      </c>
      <c r="CF49" s="511">
        <f>Expenses!BY86</f>
        <v>2699.451627</v>
      </c>
      <c r="CG49" s="511">
        <f>Expenses!BZ86</f>
        <v>2712.948885</v>
      </c>
      <c r="CH49" s="511">
        <f>Expenses!CA86</f>
        <v>2726.51363</v>
      </c>
      <c r="CI49" s="511">
        <f>Expenses!CB86</f>
        <v>2740.146198</v>
      </c>
    </row>
    <row r="50" ht="15.75" customHeight="1" outlineLevel="1">
      <c r="A50" s="1" t="s">
        <v>120</v>
      </c>
      <c r="B50" s="91" t="s">
        <v>120</v>
      </c>
      <c r="C50" s="132" t="s">
        <v>248</v>
      </c>
      <c r="D50" s="247">
        <f t="shared" ref="D50:Z50" si="55">RANDBETWEEN(0,5000)</f>
        <v>3823</v>
      </c>
      <c r="E50" s="247">
        <f t="shared" si="55"/>
        <v>1872</v>
      </c>
      <c r="F50" s="247">
        <f t="shared" si="55"/>
        <v>949</v>
      </c>
      <c r="G50" s="247">
        <f t="shared" si="55"/>
        <v>907</v>
      </c>
      <c r="H50" s="247">
        <f t="shared" si="55"/>
        <v>1052</v>
      </c>
      <c r="I50" s="247">
        <f t="shared" si="55"/>
        <v>2253</v>
      </c>
      <c r="J50" s="247">
        <f t="shared" si="55"/>
        <v>658</v>
      </c>
      <c r="K50" s="247">
        <f t="shared" si="55"/>
        <v>1336</v>
      </c>
      <c r="L50" s="247">
        <f t="shared" si="55"/>
        <v>756</v>
      </c>
      <c r="M50" s="247">
        <f t="shared" si="55"/>
        <v>2272</v>
      </c>
      <c r="N50" s="247">
        <f t="shared" si="55"/>
        <v>606</v>
      </c>
      <c r="O50" s="247">
        <f t="shared" si="55"/>
        <v>2034</v>
      </c>
      <c r="P50" s="247">
        <f t="shared" si="55"/>
        <v>772</v>
      </c>
      <c r="Q50" s="247">
        <f t="shared" si="55"/>
        <v>4743</v>
      </c>
      <c r="R50" s="247">
        <f t="shared" si="55"/>
        <v>407</v>
      </c>
      <c r="S50" s="247">
        <f t="shared" si="55"/>
        <v>2102</v>
      </c>
      <c r="T50" s="247">
        <f t="shared" si="55"/>
        <v>2400</v>
      </c>
      <c r="U50" s="247">
        <f t="shared" si="55"/>
        <v>3387</v>
      </c>
      <c r="V50" s="247">
        <f t="shared" si="55"/>
        <v>2195</v>
      </c>
      <c r="W50" s="247">
        <f t="shared" si="55"/>
        <v>3729</v>
      </c>
      <c r="X50" s="247">
        <f t="shared" si="55"/>
        <v>2360</v>
      </c>
      <c r="Y50" s="247">
        <f t="shared" si="55"/>
        <v>1461</v>
      </c>
      <c r="Z50" s="247">
        <f t="shared" si="55"/>
        <v>2601</v>
      </c>
      <c r="AA50" s="526">
        <v>0.0</v>
      </c>
      <c r="AB50" s="526">
        <v>0.0</v>
      </c>
      <c r="AC50" s="526">
        <v>0.0</v>
      </c>
      <c r="AD50" s="526">
        <v>0.0</v>
      </c>
      <c r="AE50" s="526">
        <v>0.0</v>
      </c>
      <c r="AF50" s="526">
        <v>0.0</v>
      </c>
      <c r="AG50" s="526">
        <v>0.0</v>
      </c>
      <c r="AH50" s="526">
        <v>0.0</v>
      </c>
      <c r="AI50" s="526">
        <v>0.0</v>
      </c>
      <c r="AJ50" s="526">
        <v>0.0</v>
      </c>
      <c r="AK50" s="526">
        <v>0.0</v>
      </c>
      <c r="AL50" s="526">
        <v>0.0</v>
      </c>
      <c r="AM50" s="526">
        <v>0.0</v>
      </c>
      <c r="AN50" s="526">
        <v>0.0</v>
      </c>
      <c r="AO50" s="526">
        <v>0.0</v>
      </c>
      <c r="AP50" s="526">
        <v>0.0</v>
      </c>
      <c r="AQ50" s="526">
        <v>0.0</v>
      </c>
      <c r="AR50" s="526">
        <v>0.0</v>
      </c>
      <c r="AS50" s="526">
        <v>0.0</v>
      </c>
      <c r="AT50" s="526">
        <v>0.0</v>
      </c>
      <c r="AU50" s="526">
        <v>0.0</v>
      </c>
      <c r="AV50" s="526">
        <v>0.0</v>
      </c>
      <c r="AW50" s="526">
        <v>0.0</v>
      </c>
      <c r="AX50" s="526">
        <v>0.0</v>
      </c>
      <c r="AY50" s="526">
        <v>0.0</v>
      </c>
      <c r="AZ50" s="526">
        <v>0.0</v>
      </c>
      <c r="BA50" s="526">
        <v>0.0</v>
      </c>
      <c r="BB50" s="526">
        <v>0.0</v>
      </c>
      <c r="BC50" s="526">
        <v>0.0</v>
      </c>
      <c r="BD50" s="526">
        <v>0.0</v>
      </c>
      <c r="BE50" s="526">
        <v>0.0</v>
      </c>
      <c r="BF50" s="526">
        <v>0.0</v>
      </c>
      <c r="BG50" s="526">
        <v>0.0</v>
      </c>
      <c r="BH50" s="526">
        <v>0.0</v>
      </c>
      <c r="BI50" s="526">
        <v>0.0</v>
      </c>
      <c r="BJ50" s="526">
        <v>0.0</v>
      </c>
      <c r="BK50" s="526">
        <v>0.0</v>
      </c>
      <c r="BL50" s="526">
        <v>0.0</v>
      </c>
      <c r="BM50" s="526">
        <v>0.0</v>
      </c>
      <c r="BN50" s="526">
        <v>0.0</v>
      </c>
      <c r="BO50" s="526">
        <v>0.0</v>
      </c>
      <c r="BP50" s="526">
        <v>0.0</v>
      </c>
      <c r="BQ50" s="526">
        <v>0.0</v>
      </c>
      <c r="BR50" s="526">
        <v>0.0</v>
      </c>
      <c r="BS50" s="526">
        <v>0.0</v>
      </c>
      <c r="BT50" s="526">
        <v>0.0</v>
      </c>
      <c r="BU50" s="526">
        <v>0.0</v>
      </c>
      <c r="BV50" s="526">
        <v>0.0</v>
      </c>
      <c r="BW50" s="526">
        <v>0.0</v>
      </c>
      <c r="BX50" s="526">
        <v>0.0</v>
      </c>
      <c r="BY50" s="526">
        <v>0.0</v>
      </c>
      <c r="BZ50" s="526">
        <v>0.0</v>
      </c>
      <c r="CA50" s="526">
        <v>0.0</v>
      </c>
      <c r="CB50" s="526">
        <v>0.0</v>
      </c>
      <c r="CC50" s="526">
        <v>0.0</v>
      </c>
      <c r="CD50" s="526">
        <v>0.0</v>
      </c>
      <c r="CE50" s="526">
        <v>0.0</v>
      </c>
      <c r="CF50" s="526">
        <v>0.0</v>
      </c>
      <c r="CG50" s="526">
        <v>0.0</v>
      </c>
      <c r="CH50" s="526">
        <v>0.0</v>
      </c>
      <c r="CI50" s="526">
        <v>0.0</v>
      </c>
    </row>
    <row r="51" ht="15.75" customHeight="1" outlineLevel="1">
      <c r="A51" s="1" t="s">
        <v>829</v>
      </c>
      <c r="B51" s="91" t="s">
        <v>179</v>
      </c>
      <c r="C51" s="132" t="s">
        <v>249</v>
      </c>
      <c r="D51" s="247">
        <f t="shared" ref="D51:Z51" si="56">RANDBETWEEN(0,5000)</f>
        <v>4585</v>
      </c>
      <c r="E51" s="247">
        <f t="shared" si="56"/>
        <v>79</v>
      </c>
      <c r="F51" s="247">
        <f t="shared" si="56"/>
        <v>4631</v>
      </c>
      <c r="G51" s="247">
        <f t="shared" si="56"/>
        <v>4117</v>
      </c>
      <c r="H51" s="247">
        <f t="shared" si="56"/>
        <v>4532</v>
      </c>
      <c r="I51" s="247">
        <f t="shared" si="56"/>
        <v>2667</v>
      </c>
      <c r="J51" s="247">
        <f t="shared" si="56"/>
        <v>3358</v>
      </c>
      <c r="K51" s="247">
        <f t="shared" si="56"/>
        <v>404</v>
      </c>
      <c r="L51" s="247">
        <f t="shared" si="56"/>
        <v>3283</v>
      </c>
      <c r="M51" s="247">
        <f t="shared" si="56"/>
        <v>3049</v>
      </c>
      <c r="N51" s="247">
        <f t="shared" si="56"/>
        <v>4848</v>
      </c>
      <c r="O51" s="247">
        <f t="shared" si="56"/>
        <v>3466</v>
      </c>
      <c r="P51" s="247">
        <f t="shared" si="56"/>
        <v>3417</v>
      </c>
      <c r="Q51" s="247">
        <f t="shared" si="56"/>
        <v>4238</v>
      </c>
      <c r="R51" s="247">
        <f t="shared" si="56"/>
        <v>2068</v>
      </c>
      <c r="S51" s="247">
        <f t="shared" si="56"/>
        <v>3519</v>
      </c>
      <c r="T51" s="247">
        <f t="shared" si="56"/>
        <v>2050</v>
      </c>
      <c r="U51" s="247">
        <f t="shared" si="56"/>
        <v>2937</v>
      </c>
      <c r="V51" s="247">
        <f t="shared" si="56"/>
        <v>4682</v>
      </c>
      <c r="W51" s="247">
        <f t="shared" si="56"/>
        <v>4901</v>
      </c>
      <c r="X51" s="247">
        <f t="shared" si="56"/>
        <v>3557</v>
      </c>
      <c r="Y51" s="247">
        <f t="shared" si="56"/>
        <v>4665</v>
      </c>
      <c r="Z51" s="247">
        <f t="shared" si="56"/>
        <v>884</v>
      </c>
      <c r="AA51" s="116">
        <f>Expenses!T130</f>
        <v>4170.11</v>
      </c>
      <c r="AB51" s="116">
        <f>Expenses!U130</f>
        <v>2244.9</v>
      </c>
      <c r="AC51" s="116">
        <f>Expenses!V130</f>
        <v>1036.851396</v>
      </c>
      <c r="AD51" s="116">
        <f>Expenses!W130</f>
        <v>1047.21991</v>
      </c>
      <c r="AE51" s="116">
        <f>Expenses!X130</f>
        <v>1057.692109</v>
      </c>
      <c r="AF51" s="116">
        <f>Expenses!Y130</f>
        <v>8417.5</v>
      </c>
      <c r="AG51" s="116">
        <f>Expenses!Z130</f>
        <v>1078.951721</v>
      </c>
      <c r="AH51" s="116">
        <f>Expenses!AA130</f>
        <v>1089.741238</v>
      </c>
      <c r="AI51" s="116">
        <f>Expenses!AB130</f>
        <v>1100.63865</v>
      </c>
      <c r="AJ51" s="116">
        <f>Expenses!AC130</f>
        <v>8645</v>
      </c>
      <c r="AK51" s="116">
        <f>Expenses!AD130</f>
        <v>1122.761487</v>
      </c>
      <c r="AL51" s="116">
        <f>Expenses!AE130</f>
        <v>1133.989102</v>
      </c>
      <c r="AM51" s="116">
        <f>Expenses!AF130</f>
        <v>1145.328993</v>
      </c>
      <c r="AN51" s="116">
        <f>Expenses!AG130</f>
        <v>9145.5</v>
      </c>
      <c r="AO51" s="116">
        <f>Expenses!AH130</f>
        <v>343.632384</v>
      </c>
      <c r="AP51" s="116">
        <f>Expenses!AI130</f>
        <v>347.0687079</v>
      </c>
      <c r="AQ51" s="116">
        <f>Expenses!AJ130</f>
        <v>350.539395</v>
      </c>
      <c r="AR51" s="116">
        <f>Expenses!AK130</f>
        <v>9373</v>
      </c>
      <c r="AS51" s="116">
        <f>Expenses!AL130</f>
        <v>357.5852368</v>
      </c>
      <c r="AT51" s="116">
        <f>Expenses!AM130</f>
        <v>361.1610892</v>
      </c>
      <c r="AU51" s="116">
        <f>Expenses!AN130</f>
        <v>364.7727001</v>
      </c>
      <c r="AV51" s="116">
        <f>Expenses!AO130</f>
        <v>9600.5</v>
      </c>
      <c r="AW51" s="116">
        <f>Expenses!AP130</f>
        <v>372.1046313</v>
      </c>
      <c r="AX51" s="116">
        <f>Expenses!AQ130</f>
        <v>375.8256776</v>
      </c>
      <c r="AY51" s="116">
        <f>Expenses!AR130</f>
        <v>379.5839344</v>
      </c>
      <c r="AZ51" s="116">
        <f>Expenses!AS130</f>
        <v>9782.5</v>
      </c>
      <c r="BA51" s="116">
        <f>Expenses!AT130</f>
        <v>387.2135715</v>
      </c>
      <c r="BB51" s="116">
        <f>Expenses!AU130</f>
        <v>391.0857072</v>
      </c>
      <c r="BC51" s="116">
        <f>Expenses!AV130</f>
        <v>394.9965643</v>
      </c>
      <c r="BD51" s="116">
        <f>Expenses!AW130</f>
        <v>10237.5</v>
      </c>
      <c r="BE51" s="116">
        <f>Expenses!AX130</f>
        <v>402.9359952</v>
      </c>
      <c r="BF51" s="116">
        <f>Expenses!AY130</f>
        <v>406.9653552</v>
      </c>
      <c r="BG51" s="116">
        <f>Expenses!AZ130</f>
        <v>411.0350087</v>
      </c>
      <c r="BH51" s="116">
        <f>Expenses!BA130</f>
        <v>10556</v>
      </c>
      <c r="BI51" s="116">
        <f>Expenses!BB130</f>
        <v>419.2968124</v>
      </c>
      <c r="BJ51" s="116">
        <f>Expenses!BC130</f>
        <v>423.4897805</v>
      </c>
      <c r="BK51" s="116">
        <f>Expenses!BD130</f>
        <v>427.7246783</v>
      </c>
      <c r="BL51" s="116">
        <f>Expenses!BE130</f>
        <v>10874.5</v>
      </c>
      <c r="BM51" s="116">
        <f>Expenses!BF130</f>
        <v>436.3219444</v>
      </c>
      <c r="BN51" s="116">
        <f>Expenses!BG130</f>
        <v>440.6851638</v>
      </c>
      <c r="BO51" s="116">
        <f>Expenses!BH130</f>
        <v>445.0920154</v>
      </c>
      <c r="BP51" s="116">
        <f>Expenses!BI130</f>
        <v>12194</v>
      </c>
      <c r="BQ51" s="116">
        <f>Expenses!BJ130</f>
        <v>454.038365</v>
      </c>
      <c r="BR51" s="116">
        <f>Expenses!BK130</f>
        <v>458.5787486</v>
      </c>
      <c r="BS51" s="116">
        <f>Expenses!BL130</f>
        <v>463.1645361</v>
      </c>
      <c r="BT51" s="116">
        <f>Expenses!BM130</f>
        <v>12558</v>
      </c>
      <c r="BU51" s="116">
        <f>Expenses!BN130</f>
        <v>472.4741433</v>
      </c>
      <c r="BV51" s="116">
        <f>Expenses!BO130</f>
        <v>477.1988847</v>
      </c>
      <c r="BW51" s="116">
        <f>Expenses!BP130</f>
        <v>481.9708735</v>
      </c>
      <c r="BX51" s="116">
        <f>Expenses!BQ130</f>
        <v>12831</v>
      </c>
      <c r="BY51" s="116">
        <f>Expenses!BR130</f>
        <v>491.6584881</v>
      </c>
      <c r="BZ51" s="116">
        <f>Expenses!BS130</f>
        <v>496.575073</v>
      </c>
      <c r="CA51" s="116">
        <f>Expenses!BT130</f>
        <v>501.5408237</v>
      </c>
      <c r="CB51" s="116">
        <f>Expenses!BU130</f>
        <v>13195</v>
      </c>
      <c r="CC51" s="116">
        <f>Expenses!BV130</f>
        <v>511.6217943</v>
      </c>
      <c r="CD51" s="116">
        <f>Expenses!BW130</f>
        <v>516.7380122</v>
      </c>
      <c r="CE51" s="116">
        <f>Expenses!BX130</f>
        <v>521.9053923</v>
      </c>
      <c r="CF51" s="116">
        <f>Expenses!BY130</f>
        <v>13377</v>
      </c>
      <c r="CG51" s="116">
        <f>Expenses!BZ130</f>
        <v>532.3956907</v>
      </c>
      <c r="CH51" s="116">
        <f>Expenses!CA130</f>
        <v>537.7196476</v>
      </c>
      <c r="CI51" s="116">
        <f>Expenses!CB130</f>
        <v>543.0968441</v>
      </c>
    </row>
    <row r="52" ht="15.75" customHeight="1" outlineLevel="1">
      <c r="A52" s="1" t="s">
        <v>120</v>
      </c>
      <c r="B52" s="91" t="s">
        <v>179</v>
      </c>
      <c r="C52" s="132" t="s">
        <v>250</v>
      </c>
      <c r="D52" s="247">
        <f t="shared" ref="D52:Z52" si="57">RANDBETWEEN(0,5000)</f>
        <v>4515</v>
      </c>
      <c r="E52" s="247">
        <f t="shared" si="57"/>
        <v>2315</v>
      </c>
      <c r="F52" s="247">
        <f t="shared" si="57"/>
        <v>1536</v>
      </c>
      <c r="G52" s="247">
        <f t="shared" si="57"/>
        <v>299</v>
      </c>
      <c r="H52" s="247">
        <f t="shared" si="57"/>
        <v>1920</v>
      </c>
      <c r="I52" s="247">
        <f t="shared" si="57"/>
        <v>2529</v>
      </c>
      <c r="J52" s="247">
        <f t="shared" si="57"/>
        <v>2179</v>
      </c>
      <c r="K52" s="247">
        <f t="shared" si="57"/>
        <v>782</v>
      </c>
      <c r="L52" s="247">
        <f t="shared" si="57"/>
        <v>4156</v>
      </c>
      <c r="M52" s="247">
        <f t="shared" si="57"/>
        <v>3258</v>
      </c>
      <c r="N52" s="247">
        <f t="shared" si="57"/>
        <v>4858</v>
      </c>
      <c r="O52" s="247">
        <f t="shared" si="57"/>
        <v>254</v>
      </c>
      <c r="P52" s="247">
        <f t="shared" si="57"/>
        <v>3646</v>
      </c>
      <c r="Q52" s="247">
        <f t="shared" si="57"/>
        <v>4191</v>
      </c>
      <c r="R52" s="247">
        <f t="shared" si="57"/>
        <v>3543</v>
      </c>
      <c r="S52" s="247">
        <f t="shared" si="57"/>
        <v>2018</v>
      </c>
      <c r="T52" s="247">
        <f t="shared" si="57"/>
        <v>2335</v>
      </c>
      <c r="U52" s="247">
        <f t="shared" si="57"/>
        <v>3140</v>
      </c>
      <c r="V52" s="247">
        <f t="shared" si="57"/>
        <v>3843</v>
      </c>
      <c r="W52" s="247">
        <f t="shared" si="57"/>
        <v>2805</v>
      </c>
      <c r="X52" s="247">
        <f t="shared" si="57"/>
        <v>3423</v>
      </c>
      <c r="Y52" s="247">
        <f t="shared" si="57"/>
        <v>1812</v>
      </c>
      <c r="Z52" s="247">
        <f t="shared" si="57"/>
        <v>390</v>
      </c>
      <c r="AA52" s="116">
        <f>Expenses!T137</f>
        <v>4170.11</v>
      </c>
      <c r="AB52" s="116">
        <f>Expenses!U137</f>
        <v>2244.9</v>
      </c>
      <c r="AC52" s="116">
        <f>Expenses!V137</f>
        <v>1036.851396</v>
      </c>
      <c r="AD52" s="116">
        <f>Expenses!W137</f>
        <v>1047.21991</v>
      </c>
      <c r="AE52" s="116">
        <f>Expenses!X137</f>
        <v>1057.692109</v>
      </c>
      <c r="AF52" s="116">
        <f>Expenses!Y137</f>
        <v>8417.5</v>
      </c>
      <c r="AG52" s="116">
        <f>Expenses!Z137</f>
        <v>1078.951721</v>
      </c>
      <c r="AH52" s="116">
        <f>Expenses!AA137</f>
        <v>1089.741238</v>
      </c>
      <c r="AI52" s="116">
        <f>Expenses!AB137</f>
        <v>1100.63865</v>
      </c>
      <c r="AJ52" s="116">
        <f>Expenses!AC137</f>
        <v>8645</v>
      </c>
      <c r="AK52" s="116">
        <f>Expenses!AD137</f>
        <v>1122.761487</v>
      </c>
      <c r="AL52" s="116">
        <f>Expenses!AE137</f>
        <v>1133.989102</v>
      </c>
      <c r="AM52" s="116">
        <f>Expenses!AF137</f>
        <v>1145.328993</v>
      </c>
      <c r="AN52" s="116">
        <f>Expenses!AG137</f>
        <v>9145.5</v>
      </c>
      <c r="AO52" s="116">
        <f>Expenses!AH137</f>
        <v>343.632384</v>
      </c>
      <c r="AP52" s="116">
        <f>Expenses!AI137</f>
        <v>347.0687079</v>
      </c>
      <c r="AQ52" s="116">
        <f>Expenses!AJ137</f>
        <v>350.539395</v>
      </c>
      <c r="AR52" s="116">
        <f>Expenses!AK137</f>
        <v>9373</v>
      </c>
      <c r="AS52" s="116">
        <f>Expenses!AL137</f>
        <v>357.5852368</v>
      </c>
      <c r="AT52" s="116">
        <f>Expenses!AM137</f>
        <v>361.1610892</v>
      </c>
      <c r="AU52" s="116">
        <f>Expenses!AN137</f>
        <v>364.7727001</v>
      </c>
      <c r="AV52" s="116">
        <f>Expenses!AO137</f>
        <v>9600.5</v>
      </c>
      <c r="AW52" s="116">
        <f>Expenses!AP137</f>
        <v>372.1046313</v>
      </c>
      <c r="AX52" s="116">
        <f>Expenses!AQ137</f>
        <v>375.8256776</v>
      </c>
      <c r="AY52" s="116">
        <f>Expenses!AR137</f>
        <v>379.5839344</v>
      </c>
      <c r="AZ52" s="116">
        <f>Expenses!AS137</f>
        <v>9782.5</v>
      </c>
      <c r="BA52" s="116">
        <f>Expenses!AT137</f>
        <v>387.2135715</v>
      </c>
      <c r="BB52" s="116">
        <f>Expenses!AU137</f>
        <v>391.0857072</v>
      </c>
      <c r="BC52" s="116">
        <f>Expenses!AV137</f>
        <v>394.9965643</v>
      </c>
      <c r="BD52" s="116">
        <f>Expenses!AW137</f>
        <v>10237.5</v>
      </c>
      <c r="BE52" s="116">
        <f>Expenses!AX137</f>
        <v>402.9359952</v>
      </c>
      <c r="BF52" s="116">
        <f>Expenses!AY137</f>
        <v>406.9653552</v>
      </c>
      <c r="BG52" s="116">
        <f>Expenses!AZ137</f>
        <v>411.0350087</v>
      </c>
      <c r="BH52" s="116">
        <f>Expenses!BA137</f>
        <v>10556</v>
      </c>
      <c r="BI52" s="116">
        <f>Expenses!BB137</f>
        <v>419.2968124</v>
      </c>
      <c r="BJ52" s="116">
        <f>Expenses!BC137</f>
        <v>423.4897805</v>
      </c>
      <c r="BK52" s="116">
        <f>Expenses!BD137</f>
        <v>427.7246783</v>
      </c>
      <c r="BL52" s="116">
        <f>Expenses!BE137</f>
        <v>10874.5</v>
      </c>
      <c r="BM52" s="116">
        <f>Expenses!BF137</f>
        <v>436.3219444</v>
      </c>
      <c r="BN52" s="116">
        <f>Expenses!BG137</f>
        <v>440.6851638</v>
      </c>
      <c r="BO52" s="116">
        <f>Expenses!BH137</f>
        <v>445.0920154</v>
      </c>
      <c r="BP52" s="116">
        <f>Expenses!BI137</f>
        <v>12194</v>
      </c>
      <c r="BQ52" s="116">
        <f>Expenses!BJ137</f>
        <v>454.038365</v>
      </c>
      <c r="BR52" s="116">
        <f>Expenses!BK137</f>
        <v>458.5787486</v>
      </c>
      <c r="BS52" s="116">
        <f>Expenses!BL137</f>
        <v>463.1645361</v>
      </c>
      <c r="BT52" s="116">
        <f>Expenses!BM137</f>
        <v>12558</v>
      </c>
      <c r="BU52" s="116">
        <f>Expenses!BN137</f>
        <v>472.4741433</v>
      </c>
      <c r="BV52" s="116">
        <f>Expenses!BO137</f>
        <v>477.1988847</v>
      </c>
      <c r="BW52" s="116">
        <f>Expenses!BP137</f>
        <v>481.9708735</v>
      </c>
      <c r="BX52" s="116">
        <f>Expenses!BQ137</f>
        <v>12831</v>
      </c>
      <c r="BY52" s="116">
        <f>Expenses!BR137</f>
        <v>491.6584881</v>
      </c>
      <c r="BZ52" s="116">
        <f>Expenses!BS137</f>
        <v>496.575073</v>
      </c>
      <c r="CA52" s="116">
        <f>Expenses!BT137</f>
        <v>501.5408237</v>
      </c>
      <c r="CB52" s="116">
        <f>Expenses!BU137</f>
        <v>13195</v>
      </c>
      <c r="CC52" s="116">
        <f>Expenses!BV137</f>
        <v>511.6217943</v>
      </c>
      <c r="CD52" s="116">
        <f>Expenses!BW137</f>
        <v>516.7380122</v>
      </c>
      <c r="CE52" s="116">
        <f>Expenses!BX137</f>
        <v>521.9053923</v>
      </c>
      <c r="CF52" s="116">
        <f>Expenses!BY137</f>
        <v>13377</v>
      </c>
      <c r="CG52" s="116">
        <f>Expenses!BZ137</f>
        <v>532.3956907</v>
      </c>
      <c r="CH52" s="116">
        <f>Expenses!CA137</f>
        <v>537.7196476</v>
      </c>
      <c r="CI52" s="116">
        <f>Expenses!CB137</f>
        <v>543.0968441</v>
      </c>
    </row>
    <row r="53" ht="15.75" customHeight="1" outlineLevel="1">
      <c r="A53" s="1" t="s">
        <v>120</v>
      </c>
      <c r="B53" s="91" t="s">
        <v>179</v>
      </c>
      <c r="C53" s="132" t="s">
        <v>253</v>
      </c>
      <c r="D53" s="247">
        <f t="shared" ref="D53:Z53" si="58">RANDBETWEEN(0,5000)</f>
        <v>829</v>
      </c>
      <c r="E53" s="247">
        <f t="shared" si="58"/>
        <v>2744</v>
      </c>
      <c r="F53" s="247">
        <f t="shared" si="58"/>
        <v>1463</v>
      </c>
      <c r="G53" s="247">
        <f t="shared" si="58"/>
        <v>1841</v>
      </c>
      <c r="H53" s="247">
        <f t="shared" si="58"/>
        <v>3437</v>
      </c>
      <c r="I53" s="247">
        <f t="shared" si="58"/>
        <v>2562</v>
      </c>
      <c r="J53" s="247">
        <f t="shared" si="58"/>
        <v>3654</v>
      </c>
      <c r="K53" s="247">
        <f t="shared" si="58"/>
        <v>4500</v>
      </c>
      <c r="L53" s="247">
        <f t="shared" si="58"/>
        <v>4062</v>
      </c>
      <c r="M53" s="247">
        <f t="shared" si="58"/>
        <v>436</v>
      </c>
      <c r="N53" s="247">
        <f t="shared" si="58"/>
        <v>2106</v>
      </c>
      <c r="O53" s="247">
        <f t="shared" si="58"/>
        <v>4321</v>
      </c>
      <c r="P53" s="247">
        <f t="shared" si="58"/>
        <v>4980</v>
      </c>
      <c r="Q53" s="247">
        <f t="shared" si="58"/>
        <v>3646</v>
      </c>
      <c r="R53" s="247">
        <f t="shared" si="58"/>
        <v>2532</v>
      </c>
      <c r="S53" s="247">
        <f t="shared" si="58"/>
        <v>3078</v>
      </c>
      <c r="T53" s="247">
        <f t="shared" si="58"/>
        <v>2668</v>
      </c>
      <c r="U53" s="247">
        <f t="shared" si="58"/>
        <v>2590</v>
      </c>
      <c r="V53" s="247">
        <f t="shared" si="58"/>
        <v>2724</v>
      </c>
      <c r="W53" s="247">
        <f t="shared" si="58"/>
        <v>4975</v>
      </c>
      <c r="X53" s="247">
        <f t="shared" si="58"/>
        <v>1814</v>
      </c>
      <c r="Y53" s="247">
        <f t="shared" si="58"/>
        <v>3251</v>
      </c>
      <c r="Z53" s="247">
        <f t="shared" si="58"/>
        <v>2094</v>
      </c>
      <c r="AA53" s="116">
        <f>Expenses!T144</f>
        <v>12510.33</v>
      </c>
      <c r="AB53" s="116">
        <f>Expenses!U144</f>
        <v>6734.7</v>
      </c>
      <c r="AC53" s="116">
        <f>Expenses!V144</f>
        <v>3110.554188</v>
      </c>
      <c r="AD53" s="116">
        <f>Expenses!W144</f>
        <v>3141.65973</v>
      </c>
      <c r="AE53" s="116">
        <f>Expenses!X144</f>
        <v>3173.076328</v>
      </c>
      <c r="AF53" s="116">
        <f>Expenses!Y144</f>
        <v>25252.5</v>
      </c>
      <c r="AG53" s="116">
        <f>Expenses!Z144</f>
        <v>3236.855162</v>
      </c>
      <c r="AH53" s="116">
        <f>Expenses!AA144</f>
        <v>3269.223713</v>
      </c>
      <c r="AI53" s="116">
        <f>Expenses!AB144</f>
        <v>3301.915951</v>
      </c>
      <c r="AJ53" s="116">
        <f>Expenses!AC144</f>
        <v>25935</v>
      </c>
      <c r="AK53" s="116">
        <f>Expenses!AD144</f>
        <v>3368.284461</v>
      </c>
      <c r="AL53" s="116">
        <f>Expenses!AE144</f>
        <v>3401.967306</v>
      </c>
      <c r="AM53" s="116">
        <f>Expenses!AF144</f>
        <v>3435.986979</v>
      </c>
      <c r="AN53" s="116">
        <f>Expenses!AG144</f>
        <v>27436.5</v>
      </c>
      <c r="AO53" s="116">
        <f>Expenses!AH144</f>
        <v>1030.897152</v>
      </c>
      <c r="AP53" s="116">
        <f>Expenses!AI144</f>
        <v>1041.206124</v>
      </c>
      <c r="AQ53" s="116">
        <f>Expenses!AJ144</f>
        <v>1051.618185</v>
      </c>
      <c r="AR53" s="116">
        <f>Expenses!AK144</f>
        <v>28119</v>
      </c>
      <c r="AS53" s="116">
        <f>Expenses!AL144</f>
        <v>1072.75571</v>
      </c>
      <c r="AT53" s="116">
        <f>Expenses!AM144</f>
        <v>1083.483267</v>
      </c>
      <c r="AU53" s="116">
        <f>Expenses!AN144</f>
        <v>1094.3181</v>
      </c>
      <c r="AV53" s="116">
        <f>Expenses!AO144</f>
        <v>28801.5</v>
      </c>
      <c r="AW53" s="116">
        <f>Expenses!AP144</f>
        <v>1116.313894</v>
      </c>
      <c r="AX53" s="116">
        <f>Expenses!AQ144</f>
        <v>1127.477033</v>
      </c>
      <c r="AY53" s="116">
        <f>Expenses!AR144</f>
        <v>1138.751803</v>
      </c>
      <c r="AZ53" s="116">
        <f>Expenses!AS144</f>
        <v>29347.5</v>
      </c>
      <c r="BA53" s="116">
        <f>Expenses!AT144</f>
        <v>1161.640714</v>
      </c>
      <c r="BB53" s="116">
        <f>Expenses!AU144</f>
        <v>1173.257122</v>
      </c>
      <c r="BC53" s="116">
        <f>Expenses!AV144</f>
        <v>1184.989693</v>
      </c>
      <c r="BD53" s="116">
        <f>Expenses!AW144</f>
        <v>30712.5</v>
      </c>
      <c r="BE53" s="116">
        <f>Expenses!AX144</f>
        <v>1208.807986</v>
      </c>
      <c r="BF53" s="116">
        <f>Expenses!AY144</f>
        <v>1220.896066</v>
      </c>
      <c r="BG53" s="116">
        <f>Expenses!AZ144</f>
        <v>1233.105026</v>
      </c>
      <c r="BH53" s="116">
        <f>Expenses!BA144</f>
        <v>31668</v>
      </c>
      <c r="BI53" s="116">
        <f>Expenses!BB144</f>
        <v>1257.890437</v>
      </c>
      <c r="BJ53" s="116">
        <f>Expenses!BC144</f>
        <v>1270.469342</v>
      </c>
      <c r="BK53" s="116">
        <f>Expenses!BD144</f>
        <v>1283.174035</v>
      </c>
      <c r="BL53" s="116">
        <f>Expenses!BE144</f>
        <v>32623.5</v>
      </c>
      <c r="BM53" s="116">
        <f>Expenses!BF144</f>
        <v>1308.965833</v>
      </c>
      <c r="BN53" s="116">
        <f>Expenses!BG144</f>
        <v>1322.055491</v>
      </c>
      <c r="BO53" s="116">
        <f>Expenses!BH144</f>
        <v>1335.276046</v>
      </c>
      <c r="BP53" s="116">
        <f>Expenses!BI144</f>
        <v>36582</v>
      </c>
      <c r="BQ53" s="116">
        <f>Expenses!BJ144</f>
        <v>1362.115095</v>
      </c>
      <c r="BR53" s="116">
        <f>Expenses!BK144</f>
        <v>1375.736246</v>
      </c>
      <c r="BS53" s="116">
        <f>Expenses!BL144</f>
        <v>1389.493608</v>
      </c>
      <c r="BT53" s="116">
        <f>Expenses!BM144</f>
        <v>37674</v>
      </c>
      <c r="BU53" s="116">
        <f>Expenses!BN144</f>
        <v>1417.42243</v>
      </c>
      <c r="BV53" s="116">
        <f>Expenses!BO144</f>
        <v>1431.596654</v>
      </c>
      <c r="BW53" s="116">
        <f>Expenses!BP144</f>
        <v>1445.912621</v>
      </c>
      <c r="BX53" s="116">
        <f>Expenses!BQ144</f>
        <v>38493</v>
      </c>
      <c r="BY53" s="116">
        <f>Expenses!BR144</f>
        <v>1474.975464</v>
      </c>
      <c r="BZ53" s="116">
        <f>Expenses!BS144</f>
        <v>1489.725219</v>
      </c>
      <c r="CA53" s="116">
        <f>Expenses!BT144</f>
        <v>1504.622471</v>
      </c>
      <c r="CB53" s="116">
        <f>Expenses!BU144</f>
        <v>39585</v>
      </c>
      <c r="CC53" s="116">
        <f>Expenses!BV144</f>
        <v>1534.865383</v>
      </c>
      <c r="CD53" s="116">
        <f>Expenses!BW144</f>
        <v>1550.214037</v>
      </c>
      <c r="CE53" s="116">
        <f>Expenses!BX144</f>
        <v>1565.716177</v>
      </c>
      <c r="CF53" s="116">
        <f>Expenses!BY144</f>
        <v>40131</v>
      </c>
      <c r="CG53" s="116">
        <f>Expenses!BZ144</f>
        <v>1597.187072</v>
      </c>
      <c r="CH53" s="116">
        <f>Expenses!CA144</f>
        <v>1613.158943</v>
      </c>
      <c r="CI53" s="116">
        <f>Expenses!CB144</f>
        <v>1629.290532</v>
      </c>
    </row>
    <row r="54" ht="15.75" customHeight="1">
      <c r="A54" s="1"/>
      <c r="B54" s="91"/>
      <c r="C54" s="257" t="s">
        <v>261</v>
      </c>
      <c r="D54" s="514">
        <f t="shared" ref="D54:CI54" si="59">SUM(D32:D49)</f>
        <v>43851</v>
      </c>
      <c r="E54" s="514">
        <f t="shared" si="59"/>
        <v>49275</v>
      </c>
      <c r="F54" s="514">
        <f t="shared" si="59"/>
        <v>45803</v>
      </c>
      <c r="G54" s="514">
        <f t="shared" si="59"/>
        <v>48057</v>
      </c>
      <c r="H54" s="514">
        <f t="shared" si="59"/>
        <v>46653</v>
      </c>
      <c r="I54" s="514">
        <f t="shared" si="59"/>
        <v>46494</v>
      </c>
      <c r="J54" s="514">
        <f t="shared" si="59"/>
        <v>49149</v>
      </c>
      <c r="K54" s="514">
        <f t="shared" si="59"/>
        <v>59182</v>
      </c>
      <c r="L54" s="514">
        <f t="shared" si="59"/>
        <v>52353</v>
      </c>
      <c r="M54" s="514">
        <f t="shared" si="59"/>
        <v>50424</v>
      </c>
      <c r="N54" s="514">
        <f t="shared" si="59"/>
        <v>32518</v>
      </c>
      <c r="O54" s="514">
        <f t="shared" si="59"/>
        <v>46407</v>
      </c>
      <c r="P54" s="514">
        <f t="shared" si="59"/>
        <v>49154</v>
      </c>
      <c r="Q54" s="514">
        <f t="shared" si="59"/>
        <v>42099</v>
      </c>
      <c r="R54" s="514">
        <f t="shared" si="59"/>
        <v>42651</v>
      </c>
      <c r="S54" s="514">
        <f t="shared" si="59"/>
        <v>42991</v>
      </c>
      <c r="T54" s="514">
        <f t="shared" si="59"/>
        <v>46274</v>
      </c>
      <c r="U54" s="514">
        <f t="shared" si="59"/>
        <v>46348</v>
      </c>
      <c r="V54" s="514">
        <f t="shared" si="59"/>
        <v>55981</v>
      </c>
      <c r="W54" s="514">
        <f t="shared" si="59"/>
        <v>51484</v>
      </c>
      <c r="X54" s="514">
        <f t="shared" si="59"/>
        <v>57713</v>
      </c>
      <c r="Y54" s="514">
        <f t="shared" si="59"/>
        <v>43137</v>
      </c>
      <c r="Z54" s="514">
        <f t="shared" si="59"/>
        <v>44462</v>
      </c>
      <c r="AA54" s="514">
        <f t="shared" si="59"/>
        <v>316345.2871</v>
      </c>
      <c r="AB54" s="514">
        <f t="shared" si="59"/>
        <v>657008.0071</v>
      </c>
      <c r="AC54" s="514">
        <f t="shared" si="59"/>
        <v>778823.2334</v>
      </c>
      <c r="AD54" s="514">
        <f t="shared" si="59"/>
        <v>731318.4854</v>
      </c>
      <c r="AE54" s="514">
        <f t="shared" si="59"/>
        <v>728396.0491</v>
      </c>
      <c r="AF54" s="514">
        <f t="shared" si="59"/>
        <v>750742.2208</v>
      </c>
      <c r="AG54" s="514">
        <f t="shared" si="59"/>
        <v>751612.3818</v>
      </c>
      <c r="AH54" s="514">
        <f t="shared" si="59"/>
        <v>810669.3138</v>
      </c>
      <c r="AI54" s="514">
        <f t="shared" si="59"/>
        <v>759347.9016</v>
      </c>
      <c r="AJ54" s="514">
        <f t="shared" si="59"/>
        <v>779167.3949</v>
      </c>
      <c r="AK54" s="514">
        <f t="shared" si="59"/>
        <v>779352.2904</v>
      </c>
      <c r="AL54" s="514">
        <f t="shared" si="59"/>
        <v>779723.2731</v>
      </c>
      <c r="AM54" s="514">
        <f t="shared" si="59"/>
        <v>769466.2109</v>
      </c>
      <c r="AN54" s="514">
        <f t="shared" si="59"/>
        <v>852319.1956</v>
      </c>
      <c r="AO54" s="514">
        <f t="shared" si="59"/>
        <v>799483.0294</v>
      </c>
      <c r="AP54" s="514">
        <f t="shared" si="59"/>
        <v>802259.8957</v>
      </c>
      <c r="AQ54" s="514">
        <f t="shared" si="59"/>
        <v>804995.5279</v>
      </c>
      <c r="AR54" s="514">
        <f t="shared" si="59"/>
        <v>828209.0533</v>
      </c>
      <c r="AS54" s="514">
        <f t="shared" si="59"/>
        <v>831025.3088</v>
      </c>
      <c r="AT54" s="514">
        <f t="shared" si="59"/>
        <v>890668.7807</v>
      </c>
      <c r="AU54" s="514">
        <f t="shared" si="59"/>
        <v>842108.8899</v>
      </c>
      <c r="AV54" s="514">
        <f t="shared" si="59"/>
        <v>866767.1659</v>
      </c>
      <c r="AW54" s="514">
        <f t="shared" si="59"/>
        <v>869702.2929</v>
      </c>
      <c r="AX54" s="514">
        <f t="shared" si="59"/>
        <v>872653.0096</v>
      </c>
      <c r="AY54" s="514">
        <f t="shared" si="59"/>
        <v>875636.2436</v>
      </c>
      <c r="AZ54" s="514">
        <f t="shared" si="59"/>
        <v>968007.6639</v>
      </c>
      <c r="BA54" s="514">
        <f t="shared" si="59"/>
        <v>915676.0187</v>
      </c>
      <c r="BB54" s="514">
        <f t="shared" si="59"/>
        <v>923816.7957</v>
      </c>
      <c r="BC54" s="514">
        <f t="shared" si="59"/>
        <v>931948.1055</v>
      </c>
      <c r="BD54" s="514">
        <f t="shared" si="59"/>
        <v>964455.2832</v>
      </c>
      <c r="BE54" s="514">
        <f t="shared" si="59"/>
        <v>972649.16</v>
      </c>
      <c r="BF54" s="514">
        <f t="shared" si="59"/>
        <v>1045678.276</v>
      </c>
      <c r="BG54" s="514">
        <f t="shared" si="59"/>
        <v>989257.1009</v>
      </c>
      <c r="BH54" s="514">
        <f t="shared" si="59"/>
        <v>1022789.605</v>
      </c>
      <c r="BI54" s="514">
        <f t="shared" si="59"/>
        <v>1031101.227</v>
      </c>
      <c r="BJ54" s="514">
        <f t="shared" si="59"/>
        <v>1039442.942</v>
      </c>
      <c r="BK54" s="514">
        <f t="shared" si="59"/>
        <v>1047814.778</v>
      </c>
      <c r="BL54" s="514">
        <f t="shared" si="59"/>
        <v>1143614.244</v>
      </c>
      <c r="BM54" s="514">
        <f t="shared" si="59"/>
        <v>1089354.529</v>
      </c>
      <c r="BN54" s="514">
        <f t="shared" si="59"/>
        <v>1097833.56</v>
      </c>
      <c r="BO54" s="514">
        <f t="shared" si="59"/>
        <v>1106328.506</v>
      </c>
      <c r="BP54" s="514">
        <f t="shared" si="59"/>
        <v>1140709.635</v>
      </c>
      <c r="BQ54" s="514">
        <f t="shared" si="59"/>
        <v>1149274.825</v>
      </c>
      <c r="BR54" s="514">
        <f t="shared" si="59"/>
        <v>1218419.181</v>
      </c>
      <c r="BS54" s="514">
        <f t="shared" si="59"/>
        <v>1166307.857</v>
      </c>
      <c r="BT54" s="514">
        <f t="shared" si="59"/>
        <v>1201853.618</v>
      </c>
      <c r="BU54" s="514">
        <f t="shared" si="59"/>
        <v>1210556.335</v>
      </c>
      <c r="BV54" s="514">
        <f t="shared" si="59"/>
        <v>1219294.537</v>
      </c>
      <c r="BW54" s="514">
        <f t="shared" si="59"/>
        <v>1228068.443</v>
      </c>
      <c r="BX54" s="514">
        <f t="shared" si="59"/>
        <v>1323560.248</v>
      </c>
      <c r="BY54" s="514">
        <f t="shared" si="59"/>
        <v>1273455.053</v>
      </c>
      <c r="BZ54" s="514">
        <f t="shared" si="59"/>
        <v>1282320.949</v>
      </c>
      <c r="CA54" s="514">
        <f t="shared" si="59"/>
        <v>1291197.052</v>
      </c>
      <c r="CB54" s="514">
        <f t="shared" si="59"/>
        <v>1329196.188</v>
      </c>
      <c r="CC54" s="514">
        <f t="shared" si="59"/>
        <v>1338157.956</v>
      </c>
      <c r="CD54" s="514">
        <f t="shared" si="59"/>
        <v>1397707.143</v>
      </c>
      <c r="CE54" s="514">
        <f t="shared" si="59"/>
        <v>1355698.751</v>
      </c>
      <c r="CF54" s="514">
        <f t="shared" si="59"/>
        <v>1395326.319</v>
      </c>
      <c r="CG54" s="514">
        <f t="shared" si="59"/>
        <v>1404445.537</v>
      </c>
      <c r="CH54" s="514">
        <f t="shared" si="59"/>
        <v>1413605.222</v>
      </c>
      <c r="CI54" s="514">
        <f t="shared" si="59"/>
        <v>1422805.408</v>
      </c>
    </row>
    <row r="55" ht="15.75" customHeight="1">
      <c r="A55" s="1"/>
      <c r="B55" s="1"/>
      <c r="C55" s="1"/>
      <c r="D55" s="247"/>
      <c r="E55" s="247"/>
      <c r="F55" s="247"/>
      <c r="G55" s="247"/>
      <c r="H55" s="247"/>
      <c r="I55" s="247"/>
      <c r="J55" s="247"/>
      <c r="K55" s="247"/>
      <c r="L55" s="247"/>
      <c r="M55" s="247"/>
      <c r="N55" s="247"/>
      <c r="O55" s="117"/>
      <c r="P55" s="117"/>
      <c r="Q55" s="117"/>
      <c r="R55" s="117"/>
      <c r="S55" s="527">
        <f>47/20</f>
        <v>2.35</v>
      </c>
      <c r="T55" s="117"/>
      <c r="U55" s="117"/>
      <c r="V55" s="117"/>
      <c r="W55" s="117"/>
      <c r="X55" s="117"/>
      <c r="Y55" s="117"/>
      <c r="Z55" s="117"/>
      <c r="AA55" s="125"/>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117"/>
    </row>
    <row r="56" ht="15.75" customHeight="1">
      <c r="A56" s="1"/>
      <c r="B56" s="91"/>
      <c r="C56" s="115" t="s">
        <v>830</v>
      </c>
      <c r="D56" s="247"/>
      <c r="E56" s="247"/>
      <c r="F56" s="247"/>
      <c r="G56" s="247"/>
      <c r="H56" s="247"/>
      <c r="I56" s="247"/>
      <c r="J56" s="247"/>
      <c r="K56" s="247"/>
      <c r="L56" s="247"/>
      <c r="M56" s="247"/>
      <c r="N56" s="247"/>
      <c r="O56" s="247"/>
      <c r="P56" s="117"/>
      <c r="Q56" s="117"/>
      <c r="R56" s="117"/>
      <c r="S56" s="24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c r="CA56" s="117"/>
      <c r="CB56" s="117"/>
      <c r="CC56" s="117"/>
      <c r="CD56" s="117"/>
      <c r="CE56" s="117"/>
      <c r="CF56" s="117"/>
      <c r="CG56" s="117"/>
      <c r="CH56" s="117"/>
      <c r="CI56" s="117"/>
    </row>
    <row r="57" ht="15.75" customHeight="1" outlineLevel="1">
      <c r="A57" s="1" t="s">
        <v>121</v>
      </c>
      <c r="B57" s="91" t="s">
        <v>175</v>
      </c>
      <c r="C57" s="132" t="s">
        <v>222</v>
      </c>
      <c r="D57" s="247">
        <f t="shared" ref="D57:Z57" si="60">RANDBETWEEN(0,5000)</f>
        <v>4157</v>
      </c>
      <c r="E57" s="247">
        <f t="shared" si="60"/>
        <v>4565</v>
      </c>
      <c r="F57" s="247">
        <f t="shared" si="60"/>
        <v>2338</v>
      </c>
      <c r="G57" s="247">
        <f t="shared" si="60"/>
        <v>2897</v>
      </c>
      <c r="H57" s="247">
        <f t="shared" si="60"/>
        <v>2139</v>
      </c>
      <c r="I57" s="247">
        <f t="shared" si="60"/>
        <v>1032</v>
      </c>
      <c r="J57" s="247">
        <f t="shared" si="60"/>
        <v>3811</v>
      </c>
      <c r="K57" s="247">
        <f t="shared" si="60"/>
        <v>4014</v>
      </c>
      <c r="L57" s="247">
        <f t="shared" si="60"/>
        <v>1901</v>
      </c>
      <c r="M57" s="247">
        <f t="shared" si="60"/>
        <v>3080</v>
      </c>
      <c r="N57" s="247">
        <f t="shared" si="60"/>
        <v>4120</v>
      </c>
      <c r="O57" s="247">
        <f t="shared" si="60"/>
        <v>3109</v>
      </c>
      <c r="P57" s="247">
        <f t="shared" si="60"/>
        <v>2809</v>
      </c>
      <c r="Q57" s="247">
        <f t="shared" si="60"/>
        <v>3816</v>
      </c>
      <c r="R57" s="247">
        <f t="shared" si="60"/>
        <v>14</v>
      </c>
      <c r="S57" s="247">
        <f t="shared" si="60"/>
        <v>2124</v>
      </c>
      <c r="T57" s="247">
        <f t="shared" si="60"/>
        <v>903</v>
      </c>
      <c r="U57" s="247">
        <f t="shared" si="60"/>
        <v>4362</v>
      </c>
      <c r="V57" s="247">
        <f t="shared" si="60"/>
        <v>218</v>
      </c>
      <c r="W57" s="247">
        <f t="shared" si="60"/>
        <v>1708</v>
      </c>
      <c r="X57" s="247">
        <f t="shared" si="60"/>
        <v>2382</v>
      </c>
      <c r="Y57" s="247">
        <f t="shared" si="60"/>
        <v>780</v>
      </c>
      <c r="Z57" s="247">
        <f t="shared" si="60"/>
        <v>2980</v>
      </c>
      <c r="AA57" s="116">
        <f>Headcount!S89</f>
        <v>2980</v>
      </c>
      <c r="AB57" s="116">
        <f>Headcount!T89*(1-AB$72)</f>
        <v>3114.1</v>
      </c>
      <c r="AC57" s="116">
        <f>Headcount!U89*(1-AC$72)</f>
        <v>3114.1</v>
      </c>
      <c r="AD57" s="116">
        <f>Headcount!V89*(1-AD$72)</f>
        <v>3114.1</v>
      </c>
      <c r="AE57" s="116">
        <f>Headcount!W89*(1-AE$72)</f>
        <v>8114.1</v>
      </c>
      <c r="AF57" s="116">
        <f>Headcount!X89*(1-AF$72)</f>
        <v>8479.2345</v>
      </c>
      <c r="AG57" s="116">
        <f>Headcount!Y89*(1-AG$72)</f>
        <v>8479.2345</v>
      </c>
      <c r="AH57" s="116">
        <f>Headcount!Z89*(1-AH$72)</f>
        <v>8479.2345</v>
      </c>
      <c r="AI57" s="116">
        <f>Headcount!AA89*(1-AI$72)</f>
        <v>13679.2345</v>
      </c>
      <c r="AJ57" s="116">
        <f>Headcount!AB89*(1-AJ$72)</f>
        <v>14294.80005</v>
      </c>
      <c r="AK57" s="116">
        <f>Headcount!AC89*(1-AK$72)</f>
        <v>14294.80005</v>
      </c>
      <c r="AL57" s="116">
        <f>Headcount!AD89*(1-AL$72)</f>
        <v>19494.80005</v>
      </c>
      <c r="AM57" s="116">
        <f>Headcount!AE89*(1-AM$72)</f>
        <v>19494.80005</v>
      </c>
      <c r="AN57" s="116">
        <f>Headcount!AF89*(1-AN$72)</f>
        <v>20274.59205</v>
      </c>
      <c r="AO57" s="116">
        <f>Headcount!AG89*(1-AO$72)</f>
        <v>20274.59205</v>
      </c>
      <c r="AP57" s="116">
        <f>Headcount!AH89*(1-AP$72)</f>
        <v>20274.59205</v>
      </c>
      <c r="AQ57" s="116">
        <f>Headcount!AI89*(1-AQ$72)</f>
        <v>20274.59205</v>
      </c>
      <c r="AR57" s="116">
        <f>Headcount!AJ89*(1-AR$72)</f>
        <v>21085.57574</v>
      </c>
      <c r="AS57" s="116">
        <f>Headcount!AK89*(1-AS$72)</f>
        <v>21085.57574</v>
      </c>
      <c r="AT57" s="116">
        <f>Headcount!AL89*(1-AT$72)</f>
        <v>21085.57574</v>
      </c>
      <c r="AU57" s="116">
        <f>Headcount!AM89*(1-AU$72)</f>
        <v>21085.57574</v>
      </c>
      <c r="AV57" s="116">
        <f>Headcount!AN89*(1-AV$72)</f>
        <v>21928.99877</v>
      </c>
      <c r="AW57" s="116">
        <f>Headcount!AO89*(1-AW$72)</f>
        <v>21928.99877</v>
      </c>
      <c r="AX57" s="116">
        <f>Headcount!AP89*(1-AX$72)</f>
        <v>21928.99877</v>
      </c>
      <c r="AY57" s="116">
        <f>Headcount!AQ89*(1-AY$72)</f>
        <v>21928.99877</v>
      </c>
      <c r="AZ57" s="116">
        <f>Headcount!AR89*(1-AZ$72)</f>
        <v>22806.15872</v>
      </c>
      <c r="BA57" s="116">
        <f>Headcount!AS89*(1-BA$72)</f>
        <v>22806.15872</v>
      </c>
      <c r="BB57" s="116">
        <f>Headcount!AT89*(1-BB$72)</f>
        <v>22806.15872</v>
      </c>
      <c r="BC57" s="116">
        <f>Headcount!AU89*(1-BC$72)</f>
        <v>22806.15872</v>
      </c>
      <c r="BD57" s="116">
        <f>Headcount!AV89*(1-BD$72)</f>
        <v>23718.40507</v>
      </c>
      <c r="BE57" s="116">
        <f>Headcount!AW89*(1-BE$72)</f>
        <v>23718.40507</v>
      </c>
      <c r="BF57" s="116">
        <f>Headcount!AX89*(1-BF$72)</f>
        <v>29801.66958</v>
      </c>
      <c r="BG57" s="116">
        <f>Headcount!AY89*(1-BG$72)</f>
        <v>29801.66958</v>
      </c>
      <c r="BH57" s="116">
        <f>Headcount!AZ89*(1-BH$72)</f>
        <v>30993.73636</v>
      </c>
      <c r="BI57" s="116">
        <f>Headcount!BA89*(1-BI$72)</f>
        <v>30993.73636</v>
      </c>
      <c r="BJ57" s="116">
        <f>Headcount!BB89*(1-BJ$72)</f>
        <v>30993.73636</v>
      </c>
      <c r="BK57" s="116">
        <f>Headcount!BC89*(1-BK$72)</f>
        <v>30993.73636</v>
      </c>
      <c r="BL57" s="116">
        <f>Headcount!BD89*(1-BL$72)</f>
        <v>32233.48582</v>
      </c>
      <c r="BM57" s="116">
        <f>Headcount!BE89*(1-BM$72)</f>
        <v>32233.48582</v>
      </c>
      <c r="BN57" s="116">
        <f>Headcount!BF89*(1-BN$72)</f>
        <v>32233.48582</v>
      </c>
      <c r="BO57" s="116">
        <f>Headcount!BG89*(1-BO$72)</f>
        <v>32233.48582</v>
      </c>
      <c r="BP57" s="116">
        <f>Headcount!BH89*(1-BP$72)</f>
        <v>39849.42034</v>
      </c>
      <c r="BQ57" s="116">
        <f>Headcount!BI89*(1-BQ$72)</f>
        <v>39849.42034</v>
      </c>
      <c r="BR57" s="116">
        <f>Headcount!BJ89*(1-BR$72)</f>
        <v>39849.42034</v>
      </c>
      <c r="BS57" s="116">
        <f>Headcount!BK89*(1-BS$72)</f>
        <v>39849.42034</v>
      </c>
      <c r="BT57" s="116">
        <f>Headcount!BL89*(1-BT$72)</f>
        <v>41443.39715</v>
      </c>
      <c r="BU57" s="116">
        <f>Headcount!BM89*(1-BU$72)</f>
        <v>41443.39715</v>
      </c>
      <c r="BV57" s="116">
        <f>Headcount!BN89*(1-BV$72)</f>
        <v>41443.39715</v>
      </c>
      <c r="BW57" s="116">
        <f>Headcount!BO89*(1-BW$72)</f>
        <v>41443.39715</v>
      </c>
      <c r="BX57" s="116">
        <f>Headcount!BP89*(1-BX$72)</f>
        <v>43101.13304</v>
      </c>
      <c r="BY57" s="116">
        <f>Headcount!BQ89*(1-BY$72)</f>
        <v>43101.13304</v>
      </c>
      <c r="BZ57" s="116">
        <f>Headcount!BR89*(1-BZ$72)</f>
        <v>43101.13304</v>
      </c>
      <c r="CA57" s="116">
        <f>Headcount!BS89*(1-CA$72)</f>
        <v>43101.13304</v>
      </c>
      <c r="CB57" s="116">
        <f>Headcount!BT89*(1-CB$72)</f>
        <v>44825.17836</v>
      </c>
      <c r="CC57" s="116">
        <f>Headcount!BU89*(1-CC$72)</f>
        <v>44825.17836</v>
      </c>
      <c r="CD57" s="116">
        <f>Headcount!BV89*(1-CD$72)</f>
        <v>44825.17836</v>
      </c>
      <c r="CE57" s="116">
        <f>Headcount!BW89*(1-CE$72)</f>
        <v>44825.17836</v>
      </c>
      <c r="CF57" s="116">
        <f>Headcount!BX89*(1-CF$72)</f>
        <v>46618.1855</v>
      </c>
      <c r="CG57" s="116">
        <f>Headcount!BY89*(1-CG$72)</f>
        <v>46618.1855</v>
      </c>
      <c r="CH57" s="116">
        <f>Headcount!BZ89*(1-CH$72)</f>
        <v>46618.1855</v>
      </c>
      <c r="CI57" s="116">
        <f>Headcount!CA89*(1-CI$72)</f>
        <v>46618.1855</v>
      </c>
    </row>
    <row r="58" ht="15.75" customHeight="1" outlineLevel="1">
      <c r="A58" s="1" t="s">
        <v>121</v>
      </c>
      <c r="B58" s="91" t="s">
        <v>175</v>
      </c>
      <c r="C58" s="132" t="s">
        <v>225</v>
      </c>
      <c r="D58" s="247">
        <f t="shared" ref="D58:Z58" si="61">RANDBETWEEN(0,5000)</f>
        <v>1232</v>
      </c>
      <c r="E58" s="247">
        <f t="shared" si="61"/>
        <v>1315</v>
      </c>
      <c r="F58" s="247">
        <f t="shared" si="61"/>
        <v>3997</v>
      </c>
      <c r="G58" s="247">
        <f t="shared" si="61"/>
        <v>371</v>
      </c>
      <c r="H58" s="247">
        <f t="shared" si="61"/>
        <v>563</v>
      </c>
      <c r="I58" s="247">
        <f t="shared" si="61"/>
        <v>2636</v>
      </c>
      <c r="J58" s="247">
        <f t="shared" si="61"/>
        <v>942</v>
      </c>
      <c r="K58" s="247">
        <f t="shared" si="61"/>
        <v>3685</v>
      </c>
      <c r="L58" s="247">
        <f t="shared" si="61"/>
        <v>1361</v>
      </c>
      <c r="M58" s="247">
        <f t="shared" si="61"/>
        <v>2975</v>
      </c>
      <c r="N58" s="247">
        <f t="shared" si="61"/>
        <v>4496</v>
      </c>
      <c r="O58" s="247">
        <f t="shared" si="61"/>
        <v>3956</v>
      </c>
      <c r="P58" s="247">
        <f t="shared" si="61"/>
        <v>1200</v>
      </c>
      <c r="Q58" s="247">
        <f t="shared" si="61"/>
        <v>2438</v>
      </c>
      <c r="R58" s="247">
        <f t="shared" si="61"/>
        <v>4119</v>
      </c>
      <c r="S58" s="247">
        <f t="shared" si="61"/>
        <v>1864</v>
      </c>
      <c r="T58" s="247">
        <f t="shared" si="61"/>
        <v>4441</v>
      </c>
      <c r="U58" s="247">
        <f t="shared" si="61"/>
        <v>4296</v>
      </c>
      <c r="V58" s="247">
        <f t="shared" si="61"/>
        <v>3740</v>
      </c>
      <c r="W58" s="247">
        <f t="shared" si="61"/>
        <v>3427</v>
      </c>
      <c r="X58" s="247">
        <f t="shared" si="61"/>
        <v>3422</v>
      </c>
      <c r="Y58" s="247">
        <f t="shared" si="61"/>
        <v>803</v>
      </c>
      <c r="Z58" s="247">
        <f t="shared" si="61"/>
        <v>4678</v>
      </c>
      <c r="AA58" s="117">
        <f t="shared" ref="AA58:AA62" si="64">AVERAGE(X58:Z58)/AVERAGE(X$57:Z$57)*AA$57</f>
        <v>4319.592966</v>
      </c>
      <c r="AB58" s="117">
        <f t="shared" ref="AB58:CI58" si="62">AVERAGE(Y58:AA58)/AVERAGE(Y$57:AA$57)*AB$57*(1-AB$72)</f>
        <v>4528.193851</v>
      </c>
      <c r="AC58" s="117">
        <f t="shared" si="62"/>
        <v>4641.854589</v>
      </c>
      <c r="AD58" s="117">
        <f t="shared" si="62"/>
        <v>4562.030832</v>
      </c>
      <c r="AE58" s="117">
        <f t="shared" si="62"/>
        <v>11926.77011</v>
      </c>
      <c r="AF58" s="117">
        <f t="shared" si="62"/>
        <v>12492.54188</v>
      </c>
      <c r="AG58" s="117">
        <f t="shared" si="62"/>
        <v>12469.3857</v>
      </c>
      <c r="AH58" s="117">
        <f t="shared" si="62"/>
        <v>12475.30391</v>
      </c>
      <c r="AI58" s="117">
        <f t="shared" si="62"/>
        <v>20132.0323</v>
      </c>
      <c r="AJ58" s="117">
        <f t="shared" si="62"/>
        <v>21031.69145</v>
      </c>
      <c r="AK58" s="117">
        <f t="shared" si="62"/>
        <v>21034.03057</v>
      </c>
      <c r="AL58" s="117">
        <f t="shared" si="62"/>
        <v>28686.2128</v>
      </c>
      <c r="AM58" s="117">
        <f t="shared" si="62"/>
        <v>28684.87115</v>
      </c>
      <c r="AN58" s="117">
        <f t="shared" si="62"/>
        <v>29832.96625</v>
      </c>
      <c r="AO58" s="117">
        <f t="shared" si="62"/>
        <v>29832.96454</v>
      </c>
      <c r="AP58" s="117">
        <f t="shared" si="62"/>
        <v>29832.73832</v>
      </c>
      <c r="AQ58" s="117">
        <f t="shared" si="62"/>
        <v>29832.8897</v>
      </c>
      <c r="AR58" s="117">
        <f t="shared" si="62"/>
        <v>31026.17876</v>
      </c>
      <c r="AS58" s="117">
        <f t="shared" si="62"/>
        <v>31026.14442</v>
      </c>
      <c r="AT58" s="117">
        <f t="shared" si="62"/>
        <v>31026.17578</v>
      </c>
      <c r="AU58" s="117">
        <f t="shared" si="62"/>
        <v>31026.16632</v>
      </c>
      <c r="AV58" s="117">
        <f t="shared" si="62"/>
        <v>32267.20866</v>
      </c>
      <c r="AW58" s="117">
        <f t="shared" si="62"/>
        <v>32267.21473</v>
      </c>
      <c r="AX58" s="117">
        <f t="shared" si="62"/>
        <v>32267.21211</v>
      </c>
      <c r="AY58" s="117">
        <f t="shared" si="62"/>
        <v>32267.21184</v>
      </c>
      <c r="AZ58" s="117">
        <f t="shared" si="62"/>
        <v>33557.90141</v>
      </c>
      <c r="BA58" s="117">
        <f t="shared" si="62"/>
        <v>33557.90078</v>
      </c>
      <c r="BB58" s="117">
        <f t="shared" si="62"/>
        <v>33557.90084</v>
      </c>
      <c r="BC58" s="117">
        <f t="shared" si="62"/>
        <v>33557.90101</v>
      </c>
      <c r="BD58" s="117">
        <f t="shared" si="62"/>
        <v>34900.21691</v>
      </c>
      <c r="BE58" s="117">
        <f t="shared" si="62"/>
        <v>34900.21694</v>
      </c>
      <c r="BF58" s="117">
        <f t="shared" si="62"/>
        <v>43851.3775</v>
      </c>
      <c r="BG58" s="117">
        <f t="shared" si="62"/>
        <v>43851.37747</v>
      </c>
      <c r="BH58" s="117">
        <f t="shared" si="62"/>
        <v>45605.43258</v>
      </c>
      <c r="BI58" s="117">
        <f t="shared" si="62"/>
        <v>45605.43258</v>
      </c>
      <c r="BJ58" s="117">
        <f t="shared" si="62"/>
        <v>45605.43258</v>
      </c>
      <c r="BK58" s="117">
        <f t="shared" si="62"/>
        <v>45605.43258</v>
      </c>
      <c r="BL58" s="117">
        <f t="shared" si="62"/>
        <v>47429.64988</v>
      </c>
      <c r="BM58" s="117">
        <f t="shared" si="62"/>
        <v>47429.64988</v>
      </c>
      <c r="BN58" s="117">
        <f t="shared" si="62"/>
        <v>47429.64988</v>
      </c>
      <c r="BO58" s="117">
        <f t="shared" si="62"/>
        <v>47429.64988</v>
      </c>
      <c r="BP58" s="117">
        <f t="shared" si="62"/>
        <v>58636.04283</v>
      </c>
      <c r="BQ58" s="117">
        <f t="shared" si="62"/>
        <v>58636.04283</v>
      </c>
      <c r="BR58" s="117">
        <f t="shared" si="62"/>
        <v>58636.04283</v>
      </c>
      <c r="BS58" s="117">
        <f t="shared" si="62"/>
        <v>58636.04283</v>
      </c>
      <c r="BT58" s="117">
        <f t="shared" si="62"/>
        <v>60981.48454</v>
      </c>
      <c r="BU58" s="117">
        <f t="shared" si="62"/>
        <v>60981.48454</v>
      </c>
      <c r="BV58" s="117">
        <f t="shared" si="62"/>
        <v>60981.48454</v>
      </c>
      <c r="BW58" s="117">
        <f t="shared" si="62"/>
        <v>60981.48454</v>
      </c>
      <c r="BX58" s="117">
        <f t="shared" si="62"/>
        <v>63420.74392</v>
      </c>
      <c r="BY58" s="117">
        <f t="shared" si="62"/>
        <v>63420.74392</v>
      </c>
      <c r="BZ58" s="117">
        <f t="shared" si="62"/>
        <v>63420.74392</v>
      </c>
      <c r="CA58" s="117">
        <f t="shared" si="62"/>
        <v>63420.74392</v>
      </c>
      <c r="CB58" s="117">
        <f t="shared" si="62"/>
        <v>65957.57368</v>
      </c>
      <c r="CC58" s="117">
        <f t="shared" si="62"/>
        <v>65957.57368</v>
      </c>
      <c r="CD58" s="117">
        <f t="shared" si="62"/>
        <v>65957.57368</v>
      </c>
      <c r="CE58" s="117">
        <f t="shared" si="62"/>
        <v>65957.57368</v>
      </c>
      <c r="CF58" s="117">
        <f t="shared" si="62"/>
        <v>68595.87663</v>
      </c>
      <c r="CG58" s="117">
        <f t="shared" si="62"/>
        <v>68595.87663</v>
      </c>
      <c r="CH58" s="117">
        <f t="shared" si="62"/>
        <v>68595.87663</v>
      </c>
      <c r="CI58" s="117">
        <f t="shared" si="62"/>
        <v>68595.87663</v>
      </c>
    </row>
    <row r="59" ht="15.75" customHeight="1" outlineLevel="1">
      <c r="A59" s="1" t="s">
        <v>121</v>
      </c>
      <c r="B59" s="91" t="s">
        <v>175</v>
      </c>
      <c r="C59" s="132" t="s">
        <v>226</v>
      </c>
      <c r="D59" s="247">
        <f t="shared" ref="D59:Z59" si="63">RANDBETWEEN(0,5000)</f>
        <v>336</v>
      </c>
      <c r="E59" s="247">
        <f t="shared" si="63"/>
        <v>2749</v>
      </c>
      <c r="F59" s="247">
        <f t="shared" si="63"/>
        <v>303</v>
      </c>
      <c r="G59" s="247">
        <f t="shared" si="63"/>
        <v>2456</v>
      </c>
      <c r="H59" s="247">
        <f t="shared" si="63"/>
        <v>1369</v>
      </c>
      <c r="I59" s="247">
        <f t="shared" si="63"/>
        <v>4183</v>
      </c>
      <c r="J59" s="247">
        <f t="shared" si="63"/>
        <v>1050</v>
      </c>
      <c r="K59" s="247">
        <f t="shared" si="63"/>
        <v>1004</v>
      </c>
      <c r="L59" s="247">
        <f t="shared" si="63"/>
        <v>4980</v>
      </c>
      <c r="M59" s="247">
        <f t="shared" si="63"/>
        <v>727</v>
      </c>
      <c r="N59" s="247">
        <f t="shared" si="63"/>
        <v>3780</v>
      </c>
      <c r="O59" s="247">
        <f t="shared" si="63"/>
        <v>615</v>
      </c>
      <c r="P59" s="247">
        <f t="shared" si="63"/>
        <v>1688</v>
      </c>
      <c r="Q59" s="247">
        <f t="shared" si="63"/>
        <v>100</v>
      </c>
      <c r="R59" s="247">
        <f t="shared" si="63"/>
        <v>4508</v>
      </c>
      <c r="S59" s="247">
        <f t="shared" si="63"/>
        <v>3043</v>
      </c>
      <c r="T59" s="247">
        <f t="shared" si="63"/>
        <v>2744</v>
      </c>
      <c r="U59" s="247">
        <f t="shared" si="63"/>
        <v>559</v>
      </c>
      <c r="V59" s="247">
        <f t="shared" si="63"/>
        <v>2601</v>
      </c>
      <c r="W59" s="247">
        <f t="shared" si="63"/>
        <v>918</v>
      </c>
      <c r="X59" s="247">
        <f t="shared" si="63"/>
        <v>2968</v>
      </c>
      <c r="Y59" s="247">
        <f t="shared" si="63"/>
        <v>4632</v>
      </c>
      <c r="Z59" s="247">
        <f t="shared" si="63"/>
        <v>525</v>
      </c>
      <c r="AA59" s="117">
        <f t="shared" si="64"/>
        <v>3942.119831</v>
      </c>
      <c r="AB59" s="117">
        <f t="shared" ref="AB59:CI59" si="65">AVERAGE(Y59:AA59)/AVERAGE(Y$57:AA$57)*AB$57*(1-AB$72)</f>
        <v>4204.090366</v>
      </c>
      <c r="AC59" s="117">
        <f t="shared" si="65"/>
        <v>2975.834041</v>
      </c>
      <c r="AD59" s="117">
        <f t="shared" si="65"/>
        <v>3761.338585</v>
      </c>
      <c r="AE59" s="117">
        <f t="shared" si="65"/>
        <v>9502.852835</v>
      </c>
      <c r="AF59" s="117">
        <f t="shared" si="65"/>
        <v>9601.178624</v>
      </c>
      <c r="AG59" s="117">
        <f t="shared" si="65"/>
        <v>9837.954024</v>
      </c>
      <c r="AH59" s="117">
        <f t="shared" si="65"/>
        <v>9787.823569</v>
      </c>
      <c r="AI59" s="117">
        <f t="shared" si="65"/>
        <v>15716.92145</v>
      </c>
      <c r="AJ59" s="117">
        <f t="shared" si="65"/>
        <v>16490.03543</v>
      </c>
      <c r="AK59" s="117">
        <f t="shared" si="65"/>
        <v>16467.85063</v>
      </c>
      <c r="AL59" s="117">
        <f t="shared" si="65"/>
        <v>22449.29743</v>
      </c>
      <c r="AM59" s="117">
        <f t="shared" si="65"/>
        <v>22463.66722</v>
      </c>
      <c r="AN59" s="117">
        <f t="shared" si="65"/>
        <v>23355.25944</v>
      </c>
      <c r="AO59" s="117">
        <f t="shared" si="65"/>
        <v>23354.91877</v>
      </c>
      <c r="AP59" s="117">
        <f t="shared" si="65"/>
        <v>23357.40235</v>
      </c>
      <c r="AQ59" s="117">
        <f t="shared" si="65"/>
        <v>23355.86019</v>
      </c>
      <c r="AR59" s="117">
        <f t="shared" si="65"/>
        <v>24290.30285</v>
      </c>
      <c r="AS59" s="117">
        <f t="shared" si="65"/>
        <v>24290.69342</v>
      </c>
      <c r="AT59" s="117">
        <f t="shared" si="65"/>
        <v>24290.36712</v>
      </c>
      <c r="AU59" s="117">
        <f t="shared" si="65"/>
        <v>24290.45446</v>
      </c>
      <c r="AV59" s="117">
        <f t="shared" si="65"/>
        <v>25262.1252</v>
      </c>
      <c r="AW59" s="117">
        <f t="shared" si="65"/>
        <v>25262.06074</v>
      </c>
      <c r="AX59" s="117">
        <f t="shared" si="65"/>
        <v>25262.08637</v>
      </c>
      <c r="AY59" s="117">
        <f t="shared" si="65"/>
        <v>25262.09077</v>
      </c>
      <c r="AZ59" s="117">
        <f t="shared" si="65"/>
        <v>26272.56247</v>
      </c>
      <c r="BA59" s="117">
        <f t="shared" si="65"/>
        <v>26272.56881</v>
      </c>
      <c r="BB59" s="117">
        <f t="shared" si="65"/>
        <v>26272.56848</v>
      </c>
      <c r="BC59" s="117">
        <f t="shared" si="65"/>
        <v>26272.56659</v>
      </c>
      <c r="BD59" s="117">
        <f t="shared" si="65"/>
        <v>27323.47068</v>
      </c>
      <c r="BE59" s="117">
        <f t="shared" si="65"/>
        <v>27323.47039</v>
      </c>
      <c r="BF59" s="117">
        <f t="shared" si="65"/>
        <v>34331.35685</v>
      </c>
      <c r="BG59" s="117">
        <f t="shared" si="65"/>
        <v>34331.35717</v>
      </c>
      <c r="BH59" s="117">
        <f t="shared" si="65"/>
        <v>35704.61134</v>
      </c>
      <c r="BI59" s="117">
        <f t="shared" si="65"/>
        <v>35704.61131</v>
      </c>
      <c r="BJ59" s="117">
        <f t="shared" si="65"/>
        <v>35704.61137</v>
      </c>
      <c r="BK59" s="117">
        <f t="shared" si="65"/>
        <v>35704.61134</v>
      </c>
      <c r="BL59" s="117">
        <f t="shared" si="65"/>
        <v>37132.79579</v>
      </c>
      <c r="BM59" s="117">
        <f t="shared" si="65"/>
        <v>37132.7958</v>
      </c>
      <c r="BN59" s="117">
        <f t="shared" si="65"/>
        <v>37132.7958</v>
      </c>
      <c r="BO59" s="117">
        <f t="shared" si="65"/>
        <v>37132.7958</v>
      </c>
      <c r="BP59" s="117">
        <f t="shared" si="65"/>
        <v>45906.30987</v>
      </c>
      <c r="BQ59" s="117">
        <f t="shared" si="65"/>
        <v>45906.30987</v>
      </c>
      <c r="BR59" s="117">
        <f t="shared" si="65"/>
        <v>45906.30987</v>
      </c>
      <c r="BS59" s="117">
        <f t="shared" si="65"/>
        <v>45906.30987</v>
      </c>
      <c r="BT59" s="117">
        <f t="shared" si="65"/>
        <v>47742.56227</v>
      </c>
      <c r="BU59" s="117">
        <f t="shared" si="65"/>
        <v>47742.56227</v>
      </c>
      <c r="BV59" s="117">
        <f t="shared" si="65"/>
        <v>47742.56227</v>
      </c>
      <c r="BW59" s="117">
        <f t="shared" si="65"/>
        <v>47742.56227</v>
      </c>
      <c r="BX59" s="117">
        <f t="shared" si="65"/>
        <v>49652.26476</v>
      </c>
      <c r="BY59" s="117">
        <f t="shared" si="65"/>
        <v>49652.26476</v>
      </c>
      <c r="BZ59" s="117">
        <f t="shared" si="65"/>
        <v>49652.26476</v>
      </c>
      <c r="CA59" s="117">
        <f t="shared" si="65"/>
        <v>49652.26476</v>
      </c>
      <c r="CB59" s="117">
        <f t="shared" si="65"/>
        <v>51638.35535</v>
      </c>
      <c r="CC59" s="117">
        <f t="shared" si="65"/>
        <v>51638.35535</v>
      </c>
      <c r="CD59" s="117">
        <f t="shared" si="65"/>
        <v>51638.35535</v>
      </c>
      <c r="CE59" s="117">
        <f t="shared" si="65"/>
        <v>51638.35535</v>
      </c>
      <c r="CF59" s="117">
        <f t="shared" si="65"/>
        <v>53703.88956</v>
      </c>
      <c r="CG59" s="117">
        <f t="shared" si="65"/>
        <v>53703.88956</v>
      </c>
      <c r="CH59" s="117">
        <f t="shared" si="65"/>
        <v>53703.88956</v>
      </c>
      <c r="CI59" s="117">
        <f t="shared" si="65"/>
        <v>53703.88956</v>
      </c>
    </row>
    <row r="60" ht="15.75" customHeight="1" outlineLevel="1">
      <c r="A60" s="1" t="s">
        <v>121</v>
      </c>
      <c r="B60" s="91" t="s">
        <v>175</v>
      </c>
      <c r="C60" s="132" t="s">
        <v>227</v>
      </c>
      <c r="D60" s="247">
        <f t="shared" ref="D60:Z60" si="66">RANDBETWEEN(0,5000)</f>
        <v>2009</v>
      </c>
      <c r="E60" s="247">
        <f t="shared" si="66"/>
        <v>2358</v>
      </c>
      <c r="F60" s="247">
        <f t="shared" si="66"/>
        <v>1389</v>
      </c>
      <c r="G60" s="247">
        <f t="shared" si="66"/>
        <v>412</v>
      </c>
      <c r="H60" s="247">
        <f t="shared" si="66"/>
        <v>374</v>
      </c>
      <c r="I60" s="247">
        <f t="shared" si="66"/>
        <v>3637</v>
      </c>
      <c r="J60" s="247">
        <f t="shared" si="66"/>
        <v>4383</v>
      </c>
      <c r="K60" s="247">
        <f t="shared" si="66"/>
        <v>2601</v>
      </c>
      <c r="L60" s="247">
        <f t="shared" si="66"/>
        <v>2527</v>
      </c>
      <c r="M60" s="247">
        <f t="shared" si="66"/>
        <v>597</v>
      </c>
      <c r="N60" s="247">
        <f t="shared" si="66"/>
        <v>966</v>
      </c>
      <c r="O60" s="247">
        <f t="shared" si="66"/>
        <v>3334</v>
      </c>
      <c r="P60" s="247">
        <f t="shared" si="66"/>
        <v>3579</v>
      </c>
      <c r="Q60" s="247">
        <f t="shared" si="66"/>
        <v>4692</v>
      </c>
      <c r="R60" s="247">
        <f t="shared" si="66"/>
        <v>4036</v>
      </c>
      <c r="S60" s="247">
        <f t="shared" si="66"/>
        <v>2507</v>
      </c>
      <c r="T60" s="247">
        <f t="shared" si="66"/>
        <v>1815</v>
      </c>
      <c r="U60" s="247">
        <f t="shared" si="66"/>
        <v>4832</v>
      </c>
      <c r="V60" s="247">
        <f t="shared" si="66"/>
        <v>477</v>
      </c>
      <c r="W60" s="247">
        <f t="shared" si="66"/>
        <v>3446</v>
      </c>
      <c r="X60" s="247">
        <f t="shared" si="66"/>
        <v>4663</v>
      </c>
      <c r="Y60" s="247">
        <f t="shared" si="66"/>
        <v>2590</v>
      </c>
      <c r="Z60" s="247">
        <f t="shared" si="66"/>
        <v>2722</v>
      </c>
      <c r="AA60" s="117">
        <f t="shared" si="64"/>
        <v>4839.710192</v>
      </c>
      <c r="AB60" s="117">
        <f t="shared" ref="AB60:CI60" si="67">AVERAGE(Y60:AA60)/AVERAGE(Y$57:AA$57)*AB$57*(1-AB$72)</f>
        <v>4690.42147</v>
      </c>
      <c r="AC60" s="117">
        <f t="shared" si="67"/>
        <v>4204.754544</v>
      </c>
      <c r="AD60" s="117">
        <f t="shared" si="67"/>
        <v>4644.969607</v>
      </c>
      <c r="AE60" s="117">
        <f t="shared" si="67"/>
        <v>11760.06932</v>
      </c>
      <c r="AF60" s="117">
        <f t="shared" si="67"/>
        <v>12184.6058</v>
      </c>
      <c r="AG60" s="117">
        <f t="shared" si="67"/>
        <v>12300.85539</v>
      </c>
      <c r="AH60" s="117">
        <f t="shared" si="67"/>
        <v>12257.79268</v>
      </c>
      <c r="AI60" s="117">
        <f t="shared" si="67"/>
        <v>19758.84286</v>
      </c>
      <c r="AJ60" s="117">
        <f t="shared" si="67"/>
        <v>20677.45292</v>
      </c>
      <c r="AK60" s="117">
        <f t="shared" si="67"/>
        <v>20663.48171</v>
      </c>
      <c r="AL60" s="117">
        <f t="shared" si="67"/>
        <v>28179.81514</v>
      </c>
      <c r="AM60" s="117">
        <f t="shared" si="67"/>
        <v>28185.71328</v>
      </c>
      <c r="AN60" s="117">
        <f t="shared" si="67"/>
        <v>29309.3617</v>
      </c>
      <c r="AO60" s="117">
        <f t="shared" si="67"/>
        <v>29309.83083</v>
      </c>
      <c r="AP60" s="117">
        <f t="shared" si="67"/>
        <v>29310.74742</v>
      </c>
      <c r="AQ60" s="117">
        <f t="shared" si="67"/>
        <v>29309.97998</v>
      </c>
      <c r="AR60" s="117">
        <f t="shared" si="67"/>
        <v>30482.59352</v>
      </c>
      <c r="AS60" s="117">
        <f t="shared" si="67"/>
        <v>30482.71505</v>
      </c>
      <c r="AT60" s="117">
        <f t="shared" si="67"/>
        <v>30482.56497</v>
      </c>
      <c r="AU60" s="117">
        <f t="shared" si="67"/>
        <v>30482.62451</v>
      </c>
      <c r="AV60" s="117">
        <f t="shared" si="67"/>
        <v>31701.94024</v>
      </c>
      <c r="AW60" s="117">
        <f t="shared" si="67"/>
        <v>31701.9128</v>
      </c>
      <c r="AX60" s="117">
        <f t="shared" si="67"/>
        <v>31701.92748</v>
      </c>
      <c r="AY60" s="117">
        <f t="shared" si="67"/>
        <v>31701.92684</v>
      </c>
      <c r="AZ60" s="117">
        <f t="shared" si="67"/>
        <v>32969.99927</v>
      </c>
      <c r="BA60" s="117">
        <f t="shared" si="67"/>
        <v>32970.00254</v>
      </c>
      <c r="BB60" s="117">
        <f t="shared" si="67"/>
        <v>32970.00188</v>
      </c>
      <c r="BC60" s="117">
        <f t="shared" si="67"/>
        <v>32970.00123</v>
      </c>
      <c r="BD60" s="117">
        <f t="shared" si="67"/>
        <v>34288.80196</v>
      </c>
      <c r="BE60" s="117">
        <f t="shared" si="67"/>
        <v>34288.80174</v>
      </c>
      <c r="BF60" s="117">
        <f t="shared" si="67"/>
        <v>43083.14723</v>
      </c>
      <c r="BG60" s="117">
        <f t="shared" si="67"/>
        <v>43083.14737</v>
      </c>
      <c r="BH60" s="117">
        <f t="shared" si="67"/>
        <v>44806.47319</v>
      </c>
      <c r="BI60" s="117">
        <f t="shared" si="67"/>
        <v>44806.47319</v>
      </c>
      <c r="BJ60" s="117">
        <f t="shared" si="67"/>
        <v>44806.47321</v>
      </c>
      <c r="BK60" s="117">
        <f t="shared" si="67"/>
        <v>44806.4732</v>
      </c>
      <c r="BL60" s="117">
        <f t="shared" si="67"/>
        <v>46598.73213</v>
      </c>
      <c r="BM60" s="117">
        <f t="shared" si="67"/>
        <v>46598.73213</v>
      </c>
      <c r="BN60" s="117">
        <f t="shared" si="67"/>
        <v>46598.73213</v>
      </c>
      <c r="BO60" s="117">
        <f t="shared" si="67"/>
        <v>46598.73213</v>
      </c>
      <c r="BP60" s="117">
        <f t="shared" si="67"/>
        <v>57608.80082</v>
      </c>
      <c r="BQ60" s="117">
        <f t="shared" si="67"/>
        <v>57608.80082</v>
      </c>
      <c r="BR60" s="117">
        <f t="shared" si="67"/>
        <v>57608.80082</v>
      </c>
      <c r="BS60" s="117">
        <f t="shared" si="67"/>
        <v>57608.80082</v>
      </c>
      <c r="BT60" s="117">
        <f t="shared" si="67"/>
        <v>59913.15285</v>
      </c>
      <c r="BU60" s="117">
        <f t="shared" si="67"/>
        <v>59913.15285</v>
      </c>
      <c r="BV60" s="117">
        <f t="shared" si="67"/>
        <v>59913.15285</v>
      </c>
      <c r="BW60" s="117">
        <f t="shared" si="67"/>
        <v>59913.15285</v>
      </c>
      <c r="BX60" s="117">
        <f t="shared" si="67"/>
        <v>62309.67897</v>
      </c>
      <c r="BY60" s="117">
        <f t="shared" si="67"/>
        <v>62309.67897</v>
      </c>
      <c r="BZ60" s="117">
        <f t="shared" si="67"/>
        <v>62309.67897</v>
      </c>
      <c r="CA60" s="117">
        <f t="shared" si="67"/>
        <v>62309.67897</v>
      </c>
      <c r="CB60" s="117">
        <f t="shared" si="67"/>
        <v>64802.06612</v>
      </c>
      <c r="CC60" s="117">
        <f t="shared" si="67"/>
        <v>64802.06612</v>
      </c>
      <c r="CD60" s="117">
        <f t="shared" si="67"/>
        <v>64802.06612</v>
      </c>
      <c r="CE60" s="117">
        <f t="shared" si="67"/>
        <v>64802.06612</v>
      </c>
      <c r="CF60" s="117">
        <f t="shared" si="67"/>
        <v>67394.14877</v>
      </c>
      <c r="CG60" s="117">
        <f t="shared" si="67"/>
        <v>67394.14877</v>
      </c>
      <c r="CH60" s="117">
        <f t="shared" si="67"/>
        <v>67394.14877</v>
      </c>
      <c r="CI60" s="117">
        <f t="shared" si="67"/>
        <v>67394.14877</v>
      </c>
    </row>
    <row r="61" ht="15.75" customHeight="1" outlineLevel="1">
      <c r="A61" s="1" t="s">
        <v>121</v>
      </c>
      <c r="B61" s="91" t="s">
        <v>175</v>
      </c>
      <c r="C61" s="132" t="s">
        <v>228</v>
      </c>
      <c r="D61" s="247">
        <f t="shared" ref="D61:Z61" si="68">RANDBETWEEN(0,5000)</f>
        <v>600</v>
      </c>
      <c r="E61" s="247">
        <f t="shared" si="68"/>
        <v>2832</v>
      </c>
      <c r="F61" s="247">
        <f t="shared" si="68"/>
        <v>1406</v>
      </c>
      <c r="G61" s="247">
        <f t="shared" si="68"/>
        <v>828</v>
      </c>
      <c r="H61" s="247">
        <f t="shared" si="68"/>
        <v>1466</v>
      </c>
      <c r="I61" s="247">
        <f t="shared" si="68"/>
        <v>3952</v>
      </c>
      <c r="J61" s="247">
        <f t="shared" si="68"/>
        <v>3754</v>
      </c>
      <c r="K61" s="247">
        <f t="shared" si="68"/>
        <v>4059</v>
      </c>
      <c r="L61" s="247">
        <f t="shared" si="68"/>
        <v>522</v>
      </c>
      <c r="M61" s="247">
        <f t="shared" si="68"/>
        <v>1071</v>
      </c>
      <c r="N61" s="247">
        <f t="shared" si="68"/>
        <v>3159</v>
      </c>
      <c r="O61" s="247">
        <f t="shared" si="68"/>
        <v>1379</v>
      </c>
      <c r="P61" s="247">
        <f t="shared" si="68"/>
        <v>4099</v>
      </c>
      <c r="Q61" s="247">
        <f t="shared" si="68"/>
        <v>1471</v>
      </c>
      <c r="R61" s="247">
        <f t="shared" si="68"/>
        <v>1522</v>
      </c>
      <c r="S61" s="247">
        <f t="shared" si="68"/>
        <v>4697</v>
      </c>
      <c r="T61" s="247">
        <f t="shared" si="68"/>
        <v>1529</v>
      </c>
      <c r="U61" s="247">
        <f t="shared" si="68"/>
        <v>2917</v>
      </c>
      <c r="V61" s="247">
        <f t="shared" si="68"/>
        <v>2528</v>
      </c>
      <c r="W61" s="247">
        <f t="shared" si="68"/>
        <v>2264</v>
      </c>
      <c r="X61" s="247">
        <f t="shared" si="68"/>
        <v>2704</v>
      </c>
      <c r="Y61" s="247">
        <f t="shared" si="68"/>
        <v>3308</v>
      </c>
      <c r="Z61" s="247">
        <f t="shared" si="68"/>
        <v>3663</v>
      </c>
      <c r="AA61" s="117">
        <f t="shared" si="64"/>
        <v>4694.154998</v>
      </c>
      <c r="AB61" s="117">
        <f t="shared" ref="AB61:CI61" si="69">(AVERAGE(Y61:AA61)/AVERAGE(Y$57:AA$57)*AB$57)*(1-AB$72)</f>
        <v>5389.682371</v>
      </c>
      <c r="AC61" s="117">
        <f t="shared" si="69"/>
        <v>4717.715944</v>
      </c>
      <c r="AD61" s="117">
        <f t="shared" si="69"/>
        <v>5005.703305</v>
      </c>
      <c r="AE61" s="117">
        <f t="shared" si="69"/>
        <v>13126.23421</v>
      </c>
      <c r="AF61" s="117">
        <f t="shared" si="69"/>
        <v>13508.82145</v>
      </c>
      <c r="AG61" s="117">
        <f t="shared" si="69"/>
        <v>13613.61445</v>
      </c>
      <c r="AH61" s="117">
        <f t="shared" si="69"/>
        <v>13611.60526</v>
      </c>
      <c r="AI61" s="117">
        <f t="shared" si="69"/>
        <v>21904.90589</v>
      </c>
      <c r="AJ61" s="117">
        <f t="shared" si="69"/>
        <v>22922.91007</v>
      </c>
      <c r="AK61" s="117">
        <f t="shared" si="69"/>
        <v>22916.45889</v>
      </c>
      <c r="AL61" s="117">
        <f t="shared" si="69"/>
        <v>31244.32233</v>
      </c>
      <c r="AM61" s="117">
        <f t="shared" si="69"/>
        <v>31251.94749</v>
      </c>
      <c r="AN61" s="117">
        <f t="shared" si="69"/>
        <v>32499.34738</v>
      </c>
      <c r="AO61" s="117">
        <f t="shared" si="69"/>
        <v>32498.50062</v>
      </c>
      <c r="AP61" s="117">
        <f t="shared" si="69"/>
        <v>32499.93095</v>
      </c>
      <c r="AQ61" s="117">
        <f t="shared" si="69"/>
        <v>32499.25965</v>
      </c>
      <c r="AR61" s="117">
        <f t="shared" si="69"/>
        <v>33799.19962</v>
      </c>
      <c r="AS61" s="117">
        <f t="shared" si="69"/>
        <v>33799.44929</v>
      </c>
      <c r="AT61" s="117">
        <f t="shared" si="69"/>
        <v>33799.2938</v>
      </c>
      <c r="AU61" s="117">
        <f t="shared" si="69"/>
        <v>33799.31424</v>
      </c>
      <c r="AV61" s="117">
        <f t="shared" si="69"/>
        <v>35151.32654</v>
      </c>
      <c r="AW61" s="117">
        <f t="shared" si="69"/>
        <v>35151.29341</v>
      </c>
      <c r="AX61" s="117">
        <f t="shared" si="69"/>
        <v>35151.30245</v>
      </c>
      <c r="AY61" s="117">
        <f t="shared" si="69"/>
        <v>35151.30747</v>
      </c>
      <c r="AZ61" s="117">
        <f t="shared" si="69"/>
        <v>36557.35315</v>
      </c>
      <c r="BA61" s="117">
        <f t="shared" si="69"/>
        <v>36557.35579</v>
      </c>
      <c r="BB61" s="117">
        <f t="shared" si="69"/>
        <v>36557.35619</v>
      </c>
      <c r="BC61" s="117">
        <f t="shared" si="69"/>
        <v>36557.35504</v>
      </c>
      <c r="BD61" s="117">
        <f t="shared" si="69"/>
        <v>38019.6499</v>
      </c>
      <c r="BE61" s="117">
        <f t="shared" si="69"/>
        <v>38019.64986</v>
      </c>
      <c r="BF61" s="117">
        <f t="shared" si="69"/>
        <v>47770.8781</v>
      </c>
      <c r="BG61" s="117">
        <f t="shared" si="69"/>
        <v>47770.87826</v>
      </c>
      <c r="BH61" s="117">
        <f t="shared" si="69"/>
        <v>49681.71335</v>
      </c>
      <c r="BI61" s="117">
        <f t="shared" si="69"/>
        <v>49681.71332</v>
      </c>
      <c r="BJ61" s="117">
        <f t="shared" si="69"/>
        <v>49681.71335</v>
      </c>
      <c r="BK61" s="117">
        <f t="shared" si="69"/>
        <v>49681.71334</v>
      </c>
      <c r="BL61" s="117">
        <f t="shared" si="69"/>
        <v>51668.98187</v>
      </c>
      <c r="BM61" s="117">
        <f t="shared" si="69"/>
        <v>51668.98188</v>
      </c>
      <c r="BN61" s="117">
        <f t="shared" si="69"/>
        <v>51668.98187</v>
      </c>
      <c r="BO61" s="117">
        <f t="shared" si="69"/>
        <v>51668.98187</v>
      </c>
      <c r="BP61" s="117">
        <f t="shared" si="69"/>
        <v>63877.01873</v>
      </c>
      <c r="BQ61" s="117">
        <f t="shared" si="69"/>
        <v>63877.01873</v>
      </c>
      <c r="BR61" s="117">
        <f t="shared" si="69"/>
        <v>63877.01873</v>
      </c>
      <c r="BS61" s="117">
        <f t="shared" si="69"/>
        <v>63877.01873</v>
      </c>
      <c r="BT61" s="117">
        <f t="shared" si="69"/>
        <v>66432.09948</v>
      </c>
      <c r="BU61" s="117">
        <f t="shared" si="69"/>
        <v>66432.09948</v>
      </c>
      <c r="BV61" s="117">
        <f t="shared" si="69"/>
        <v>66432.09948</v>
      </c>
      <c r="BW61" s="117">
        <f t="shared" si="69"/>
        <v>66432.09948</v>
      </c>
      <c r="BX61" s="117">
        <f t="shared" si="69"/>
        <v>69089.38346</v>
      </c>
      <c r="BY61" s="117">
        <f t="shared" si="69"/>
        <v>69089.38346</v>
      </c>
      <c r="BZ61" s="117">
        <f t="shared" si="69"/>
        <v>69089.38346</v>
      </c>
      <c r="CA61" s="117">
        <f t="shared" si="69"/>
        <v>69089.38346</v>
      </c>
      <c r="CB61" s="117">
        <f t="shared" si="69"/>
        <v>71852.9588</v>
      </c>
      <c r="CC61" s="117">
        <f t="shared" si="69"/>
        <v>71852.9588</v>
      </c>
      <c r="CD61" s="117">
        <f t="shared" si="69"/>
        <v>71852.9588</v>
      </c>
      <c r="CE61" s="117">
        <f t="shared" si="69"/>
        <v>71852.9588</v>
      </c>
      <c r="CF61" s="117">
        <f t="shared" si="69"/>
        <v>74727.07715</v>
      </c>
      <c r="CG61" s="117">
        <f t="shared" si="69"/>
        <v>74727.07715</v>
      </c>
      <c r="CH61" s="117">
        <f t="shared" si="69"/>
        <v>74727.07715</v>
      </c>
      <c r="CI61" s="117">
        <f t="shared" si="69"/>
        <v>74727.07715</v>
      </c>
    </row>
    <row r="62" ht="15.75" customHeight="1" outlineLevel="1">
      <c r="A62" s="1" t="s">
        <v>121</v>
      </c>
      <c r="B62" s="91" t="s">
        <v>175</v>
      </c>
      <c r="C62" s="132" t="s">
        <v>229</v>
      </c>
      <c r="D62" s="247">
        <f t="shared" ref="D62:Z62" si="70">RANDBETWEEN(0,5000)</f>
        <v>2734</v>
      </c>
      <c r="E62" s="247">
        <f t="shared" si="70"/>
        <v>883</v>
      </c>
      <c r="F62" s="247">
        <f t="shared" si="70"/>
        <v>523</v>
      </c>
      <c r="G62" s="247">
        <f t="shared" si="70"/>
        <v>2196</v>
      </c>
      <c r="H62" s="247">
        <f t="shared" si="70"/>
        <v>2671</v>
      </c>
      <c r="I62" s="247">
        <f t="shared" si="70"/>
        <v>3183</v>
      </c>
      <c r="J62" s="247">
        <f t="shared" si="70"/>
        <v>2224</v>
      </c>
      <c r="K62" s="247">
        <f t="shared" si="70"/>
        <v>4651</v>
      </c>
      <c r="L62" s="247">
        <f t="shared" si="70"/>
        <v>2286</v>
      </c>
      <c r="M62" s="247">
        <f t="shared" si="70"/>
        <v>4705</v>
      </c>
      <c r="N62" s="247">
        <f t="shared" si="70"/>
        <v>618</v>
      </c>
      <c r="O62" s="247">
        <f t="shared" si="70"/>
        <v>1445</v>
      </c>
      <c r="P62" s="247">
        <f t="shared" si="70"/>
        <v>4689</v>
      </c>
      <c r="Q62" s="247">
        <f t="shared" si="70"/>
        <v>1684</v>
      </c>
      <c r="R62" s="247">
        <f t="shared" si="70"/>
        <v>4937</v>
      </c>
      <c r="S62" s="247">
        <f t="shared" si="70"/>
        <v>557</v>
      </c>
      <c r="T62" s="247">
        <f t="shared" si="70"/>
        <v>1269</v>
      </c>
      <c r="U62" s="247">
        <f t="shared" si="70"/>
        <v>932</v>
      </c>
      <c r="V62" s="247">
        <f t="shared" si="70"/>
        <v>4967</v>
      </c>
      <c r="W62" s="247">
        <f t="shared" si="70"/>
        <v>2959</v>
      </c>
      <c r="X62" s="247">
        <f t="shared" si="70"/>
        <v>68</v>
      </c>
      <c r="Y62" s="247">
        <f t="shared" si="70"/>
        <v>2851</v>
      </c>
      <c r="Z62" s="247">
        <f t="shared" si="70"/>
        <v>181</v>
      </c>
      <c r="AA62" s="117">
        <f t="shared" si="64"/>
        <v>1504.070335</v>
      </c>
      <c r="AB62" s="117">
        <f t="shared" ref="AB62:CI62" si="71">(AVERAGE(Y62:AA62)/AVERAGE(Y$57:AA$57)*AB$57)*(1-AB$72)</f>
        <v>2095.812557</v>
      </c>
      <c r="AC62" s="117">
        <f t="shared" si="71"/>
        <v>1297.544375</v>
      </c>
      <c r="AD62" s="117">
        <f t="shared" si="71"/>
        <v>1656.249674</v>
      </c>
      <c r="AE62" s="117">
        <f t="shared" si="71"/>
        <v>4385.75222</v>
      </c>
      <c r="AF62" s="117">
        <f t="shared" si="71"/>
        <v>4339.173908</v>
      </c>
      <c r="AG62" s="117">
        <f t="shared" si="71"/>
        <v>4466.559258</v>
      </c>
      <c r="AH62" s="117">
        <f t="shared" si="71"/>
        <v>4461.198132</v>
      </c>
      <c r="AI62" s="117">
        <f t="shared" si="71"/>
        <v>7134.349385</v>
      </c>
      <c r="AJ62" s="117">
        <f t="shared" si="71"/>
        <v>7494.184568</v>
      </c>
      <c r="AK62" s="117">
        <f t="shared" si="71"/>
        <v>7485.855461</v>
      </c>
      <c r="AL62" s="117">
        <f t="shared" si="71"/>
        <v>10199.37275</v>
      </c>
      <c r="AM62" s="117">
        <f t="shared" si="71"/>
        <v>10208.45879</v>
      </c>
      <c r="AN62" s="117">
        <f t="shared" si="71"/>
        <v>10613.48393</v>
      </c>
      <c r="AO62" s="117">
        <f t="shared" si="71"/>
        <v>10612.55529</v>
      </c>
      <c r="AP62" s="117">
        <f t="shared" si="71"/>
        <v>10614.24608</v>
      </c>
      <c r="AQ62" s="117">
        <f t="shared" si="71"/>
        <v>10613.42844</v>
      </c>
      <c r="AR62" s="117">
        <f t="shared" si="71"/>
        <v>11037.94634</v>
      </c>
      <c r="AS62" s="117">
        <f t="shared" si="71"/>
        <v>11038.23871</v>
      </c>
      <c r="AT62" s="117">
        <f t="shared" si="71"/>
        <v>11038.05131</v>
      </c>
      <c r="AU62" s="117">
        <f t="shared" si="71"/>
        <v>11038.07879</v>
      </c>
      <c r="AV62" s="117">
        <f t="shared" si="71"/>
        <v>11479.64785</v>
      </c>
      <c r="AW62" s="117">
        <f t="shared" si="71"/>
        <v>11479.60825</v>
      </c>
      <c r="AX62" s="117">
        <f t="shared" si="71"/>
        <v>11479.61957</v>
      </c>
      <c r="AY62" s="117">
        <f t="shared" si="71"/>
        <v>11479.62522</v>
      </c>
      <c r="AZ62" s="117">
        <f t="shared" si="71"/>
        <v>11938.80239</v>
      </c>
      <c r="BA62" s="117">
        <f t="shared" si="71"/>
        <v>11938.80562</v>
      </c>
      <c r="BB62" s="117">
        <f t="shared" si="71"/>
        <v>11938.80602</v>
      </c>
      <c r="BC62" s="117">
        <f t="shared" si="71"/>
        <v>11938.80468</v>
      </c>
      <c r="BD62" s="117">
        <f t="shared" si="71"/>
        <v>12416.35766</v>
      </c>
      <c r="BE62" s="117">
        <f t="shared" si="71"/>
        <v>12416.3576</v>
      </c>
      <c r="BF62" s="117">
        <f t="shared" si="71"/>
        <v>15600.88796</v>
      </c>
      <c r="BG62" s="117">
        <f t="shared" si="71"/>
        <v>15600.88815</v>
      </c>
      <c r="BH62" s="117">
        <f t="shared" si="71"/>
        <v>16224.92363</v>
      </c>
      <c r="BI62" s="117">
        <f t="shared" si="71"/>
        <v>16224.92359</v>
      </c>
      <c r="BJ62" s="117">
        <f t="shared" si="71"/>
        <v>16224.92363</v>
      </c>
      <c r="BK62" s="117">
        <f t="shared" si="71"/>
        <v>16224.92362</v>
      </c>
      <c r="BL62" s="117">
        <f t="shared" si="71"/>
        <v>16873.92056</v>
      </c>
      <c r="BM62" s="117">
        <f t="shared" si="71"/>
        <v>16873.92056</v>
      </c>
      <c r="BN62" s="117">
        <f t="shared" si="71"/>
        <v>16873.92056</v>
      </c>
      <c r="BO62" s="117">
        <f t="shared" si="71"/>
        <v>16873.92056</v>
      </c>
      <c r="BP62" s="117">
        <f t="shared" si="71"/>
        <v>20860.78922</v>
      </c>
      <c r="BQ62" s="117">
        <f t="shared" si="71"/>
        <v>20860.78921</v>
      </c>
      <c r="BR62" s="117">
        <f t="shared" si="71"/>
        <v>20860.78922</v>
      </c>
      <c r="BS62" s="117">
        <f t="shared" si="71"/>
        <v>20860.78922</v>
      </c>
      <c r="BT62" s="117">
        <f t="shared" si="71"/>
        <v>21695.22078</v>
      </c>
      <c r="BU62" s="117">
        <f t="shared" si="71"/>
        <v>21695.22078</v>
      </c>
      <c r="BV62" s="117">
        <f t="shared" si="71"/>
        <v>21695.22078</v>
      </c>
      <c r="BW62" s="117">
        <f t="shared" si="71"/>
        <v>21695.22078</v>
      </c>
      <c r="BX62" s="117">
        <f t="shared" si="71"/>
        <v>22563.02962</v>
      </c>
      <c r="BY62" s="117">
        <f t="shared" si="71"/>
        <v>22563.02962</v>
      </c>
      <c r="BZ62" s="117">
        <f t="shared" si="71"/>
        <v>22563.02962</v>
      </c>
      <c r="CA62" s="117">
        <f t="shared" si="71"/>
        <v>22563.02962</v>
      </c>
      <c r="CB62" s="117">
        <f t="shared" si="71"/>
        <v>23465.5508</v>
      </c>
      <c r="CC62" s="117">
        <f t="shared" si="71"/>
        <v>23465.5508</v>
      </c>
      <c r="CD62" s="117">
        <f t="shared" si="71"/>
        <v>23465.5508</v>
      </c>
      <c r="CE62" s="117">
        <f t="shared" si="71"/>
        <v>23465.5508</v>
      </c>
      <c r="CF62" s="117">
        <f t="shared" si="71"/>
        <v>24404.17283</v>
      </c>
      <c r="CG62" s="117">
        <f t="shared" si="71"/>
        <v>24404.17283</v>
      </c>
      <c r="CH62" s="117">
        <f t="shared" si="71"/>
        <v>24404.17283</v>
      </c>
      <c r="CI62" s="117">
        <f t="shared" si="71"/>
        <v>24404.17283</v>
      </c>
    </row>
    <row r="63" ht="15.75" customHeight="1" outlineLevel="1">
      <c r="A63" s="1" t="s">
        <v>121</v>
      </c>
      <c r="B63" s="91" t="s">
        <v>177</v>
      </c>
      <c r="C63" s="132" t="s">
        <v>230</v>
      </c>
      <c r="D63" s="247">
        <f t="shared" ref="D63:Z63" si="72">RANDBETWEEN(0,5000)</f>
        <v>4905</v>
      </c>
      <c r="E63" s="247">
        <f t="shared" si="72"/>
        <v>3891</v>
      </c>
      <c r="F63" s="247">
        <f t="shared" si="72"/>
        <v>3539</v>
      </c>
      <c r="G63" s="247">
        <f t="shared" si="72"/>
        <v>1292</v>
      </c>
      <c r="H63" s="247">
        <f t="shared" si="72"/>
        <v>411</v>
      </c>
      <c r="I63" s="247">
        <f t="shared" si="72"/>
        <v>3844</v>
      </c>
      <c r="J63" s="247">
        <f t="shared" si="72"/>
        <v>1129</v>
      </c>
      <c r="K63" s="247">
        <f t="shared" si="72"/>
        <v>1443</v>
      </c>
      <c r="L63" s="247">
        <f t="shared" si="72"/>
        <v>1551</v>
      </c>
      <c r="M63" s="247">
        <f t="shared" si="72"/>
        <v>2158</v>
      </c>
      <c r="N63" s="247">
        <f t="shared" si="72"/>
        <v>875</v>
      </c>
      <c r="O63" s="247">
        <f t="shared" si="72"/>
        <v>971</v>
      </c>
      <c r="P63" s="247">
        <f t="shared" si="72"/>
        <v>4390</v>
      </c>
      <c r="Q63" s="247">
        <f t="shared" si="72"/>
        <v>4859</v>
      </c>
      <c r="R63" s="247">
        <f t="shared" si="72"/>
        <v>654</v>
      </c>
      <c r="S63" s="247">
        <f t="shared" si="72"/>
        <v>4923</v>
      </c>
      <c r="T63" s="247">
        <f t="shared" si="72"/>
        <v>3802</v>
      </c>
      <c r="U63" s="247">
        <f t="shared" si="72"/>
        <v>886</v>
      </c>
      <c r="V63" s="247">
        <f t="shared" si="72"/>
        <v>1142</v>
      </c>
      <c r="W63" s="247">
        <f t="shared" si="72"/>
        <v>3894</v>
      </c>
      <c r="X63" s="247">
        <f t="shared" si="72"/>
        <v>4330</v>
      </c>
      <c r="Y63" s="247">
        <f t="shared" si="72"/>
        <v>351</v>
      </c>
      <c r="Z63" s="247">
        <f t="shared" si="72"/>
        <v>4053</v>
      </c>
      <c r="AA63" s="117"/>
      <c r="AB63" s="117"/>
      <c r="AC63" s="117"/>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7"/>
      <c r="BO63" s="117"/>
      <c r="BP63" s="117"/>
      <c r="BQ63" s="117"/>
      <c r="BR63" s="117"/>
      <c r="BS63" s="117"/>
      <c r="BT63" s="117"/>
      <c r="BU63" s="117"/>
      <c r="BV63" s="117"/>
      <c r="BW63" s="117"/>
      <c r="BX63" s="117"/>
      <c r="BY63" s="117"/>
      <c r="BZ63" s="117"/>
      <c r="CA63" s="117"/>
      <c r="CB63" s="117"/>
      <c r="CC63" s="117"/>
      <c r="CD63" s="117"/>
      <c r="CE63" s="117"/>
      <c r="CF63" s="117"/>
      <c r="CG63" s="117"/>
      <c r="CH63" s="117"/>
      <c r="CI63" s="117"/>
    </row>
    <row r="64" ht="15.75" customHeight="1" outlineLevel="1">
      <c r="A64" s="1" t="s">
        <v>121</v>
      </c>
      <c r="B64" s="91" t="s">
        <v>66</v>
      </c>
      <c r="C64" s="132" t="s">
        <v>236</v>
      </c>
      <c r="D64" s="247">
        <f t="shared" ref="D64:Z64" si="73">RANDBETWEEN(0,5000)</f>
        <v>1727</v>
      </c>
      <c r="E64" s="247">
        <f t="shared" si="73"/>
        <v>4417</v>
      </c>
      <c r="F64" s="247">
        <f t="shared" si="73"/>
        <v>2635</v>
      </c>
      <c r="G64" s="247">
        <f t="shared" si="73"/>
        <v>3362</v>
      </c>
      <c r="H64" s="247">
        <f t="shared" si="73"/>
        <v>2993</v>
      </c>
      <c r="I64" s="247">
        <f t="shared" si="73"/>
        <v>2256</v>
      </c>
      <c r="J64" s="247">
        <f t="shared" si="73"/>
        <v>3835</v>
      </c>
      <c r="K64" s="247">
        <f t="shared" si="73"/>
        <v>520</v>
      </c>
      <c r="L64" s="247">
        <f t="shared" si="73"/>
        <v>1167</v>
      </c>
      <c r="M64" s="247">
        <f t="shared" si="73"/>
        <v>3727</v>
      </c>
      <c r="N64" s="247">
        <f t="shared" si="73"/>
        <v>1065</v>
      </c>
      <c r="O64" s="247">
        <f t="shared" si="73"/>
        <v>4869</v>
      </c>
      <c r="P64" s="247">
        <f t="shared" si="73"/>
        <v>2557</v>
      </c>
      <c r="Q64" s="247">
        <f t="shared" si="73"/>
        <v>2854</v>
      </c>
      <c r="R64" s="247">
        <f t="shared" si="73"/>
        <v>4086</v>
      </c>
      <c r="S64" s="247">
        <f t="shared" si="73"/>
        <v>3932</v>
      </c>
      <c r="T64" s="247">
        <f t="shared" si="73"/>
        <v>1663</v>
      </c>
      <c r="U64" s="247">
        <f t="shared" si="73"/>
        <v>4652</v>
      </c>
      <c r="V64" s="247">
        <f t="shared" si="73"/>
        <v>1515</v>
      </c>
      <c r="W64" s="247">
        <f t="shared" si="73"/>
        <v>2722</v>
      </c>
      <c r="X64" s="247">
        <f t="shared" si="73"/>
        <v>2079</v>
      </c>
      <c r="Y64" s="247">
        <f t="shared" si="73"/>
        <v>4673</v>
      </c>
      <c r="Z64" s="247">
        <f t="shared" si="73"/>
        <v>4564</v>
      </c>
      <c r="AA64" s="116">
        <f>Expenses!T22</f>
        <v>10000</v>
      </c>
      <c r="AB64" s="116">
        <f>Expenses!U22*(1-AB$72)</f>
        <v>10000</v>
      </c>
      <c r="AC64" s="116">
        <f>Expenses!V22*(1-AC$72)</f>
        <v>10000</v>
      </c>
      <c r="AD64" s="116">
        <f>Expenses!W22*(1-AD$72)</f>
        <v>10000</v>
      </c>
      <c r="AE64" s="116">
        <f>Expenses!X22*(1-AE$72)</f>
        <v>10000</v>
      </c>
      <c r="AF64" s="116">
        <f>Expenses!Y22*(1-AF$72)</f>
        <v>10000</v>
      </c>
      <c r="AG64" s="116">
        <f>Expenses!Z22*(1-AG$72)</f>
        <v>10000</v>
      </c>
      <c r="AH64" s="116">
        <f>Expenses!AA22*(1-AH$72)</f>
        <v>10000</v>
      </c>
      <c r="AI64" s="116">
        <f>Expenses!AB22*(1-AI$72)</f>
        <v>10000</v>
      </c>
      <c r="AJ64" s="116">
        <f>Expenses!AC22*(1-AJ$72)</f>
        <v>10000</v>
      </c>
      <c r="AK64" s="116">
        <f>Expenses!AD22*(1-AK$72)</f>
        <v>10000</v>
      </c>
      <c r="AL64" s="116">
        <f>Expenses!AE22*(1-AL$72)</f>
        <v>10000</v>
      </c>
      <c r="AM64" s="116">
        <f>Expenses!AF22*(1-AM$72)</f>
        <v>10000</v>
      </c>
      <c r="AN64" s="116">
        <f>Expenses!AG22*(1-AN$72)</f>
        <v>10000</v>
      </c>
      <c r="AO64" s="116">
        <f>Expenses!AH22*(1-AO$72)</f>
        <v>10000</v>
      </c>
      <c r="AP64" s="116">
        <f>Expenses!AI22*(1-AP$72)</f>
        <v>10000</v>
      </c>
      <c r="AQ64" s="116">
        <f>Expenses!AJ22*(1-AQ$72)</f>
        <v>10000</v>
      </c>
      <c r="AR64" s="116">
        <f>Expenses!AK22*(1-AR$72)</f>
        <v>10000</v>
      </c>
      <c r="AS64" s="116">
        <f>Expenses!AL22*(1-AS$72)</f>
        <v>10000</v>
      </c>
      <c r="AT64" s="116">
        <f>Expenses!AM22*(1-AT$72)</f>
        <v>10000</v>
      </c>
      <c r="AU64" s="116">
        <f>Expenses!AN22*(1-AU$72)</f>
        <v>10000</v>
      </c>
      <c r="AV64" s="116">
        <f>Expenses!AO22*(1-AV$72)</f>
        <v>10000</v>
      </c>
      <c r="AW64" s="116">
        <f>Expenses!AP22*(1-AW$72)</f>
        <v>10000</v>
      </c>
      <c r="AX64" s="116">
        <f>Expenses!AQ22*(1-AX$72)</f>
        <v>10000</v>
      </c>
      <c r="AY64" s="116">
        <f>Expenses!AR22*(1-AY$72)</f>
        <v>10000</v>
      </c>
      <c r="AZ64" s="116">
        <f>Expenses!AS22*(1-AZ$72)</f>
        <v>10000</v>
      </c>
      <c r="BA64" s="116">
        <f>Expenses!AT22*(1-BA$72)</f>
        <v>10000</v>
      </c>
      <c r="BB64" s="116">
        <f>Expenses!AU22*(1-BB$72)</f>
        <v>10000</v>
      </c>
      <c r="BC64" s="116">
        <f>Expenses!AV22*(1-BC$72)</f>
        <v>10000</v>
      </c>
      <c r="BD64" s="116">
        <f>Expenses!AW22*(1-BD$72)</f>
        <v>10000</v>
      </c>
      <c r="BE64" s="116">
        <f>Expenses!AX22*(1-BE$72)</f>
        <v>10000</v>
      </c>
      <c r="BF64" s="116">
        <f>Expenses!AY22*(1-BF$72)</f>
        <v>10000</v>
      </c>
      <c r="BG64" s="116">
        <f>Expenses!AZ22*(1-BG$72)</f>
        <v>10000</v>
      </c>
      <c r="BH64" s="116">
        <f>Expenses!BA22*(1-BH$72)</f>
        <v>10000</v>
      </c>
      <c r="BI64" s="116">
        <f>Expenses!BB22*(1-BI$72)</f>
        <v>10000</v>
      </c>
      <c r="BJ64" s="116">
        <f>Expenses!BC22*(1-BJ$72)</f>
        <v>10000</v>
      </c>
      <c r="BK64" s="116">
        <f>Expenses!BD22*(1-BK$72)</f>
        <v>10000</v>
      </c>
      <c r="BL64" s="116">
        <f>Expenses!BE22*(1-BL$72)</f>
        <v>10000</v>
      </c>
      <c r="BM64" s="116">
        <f>Expenses!BF22*(1-BM$72)</f>
        <v>10000</v>
      </c>
      <c r="BN64" s="116">
        <f>Expenses!BG22*(1-BN$72)</f>
        <v>10000</v>
      </c>
      <c r="BO64" s="116">
        <f>Expenses!BH22*(1-BO$72)</f>
        <v>10000</v>
      </c>
      <c r="BP64" s="116">
        <f>Expenses!BI22*(1-BP$72)</f>
        <v>10000</v>
      </c>
      <c r="BQ64" s="116">
        <f>Expenses!BJ22*(1-BQ$72)</f>
        <v>10000</v>
      </c>
      <c r="BR64" s="116">
        <f>Expenses!BK22*(1-BR$72)</f>
        <v>10000</v>
      </c>
      <c r="BS64" s="116">
        <f>Expenses!BL22*(1-BS$72)</f>
        <v>10000</v>
      </c>
      <c r="BT64" s="116">
        <f>Expenses!BM22*(1-BT$72)</f>
        <v>10000</v>
      </c>
      <c r="BU64" s="116">
        <f>Expenses!BN22*(1-BU$72)</f>
        <v>10000</v>
      </c>
      <c r="BV64" s="116">
        <f>Expenses!BO22*(1-BV$72)</f>
        <v>10000</v>
      </c>
      <c r="BW64" s="116">
        <f>Expenses!BP22*(1-BW$72)</f>
        <v>10000</v>
      </c>
      <c r="BX64" s="116">
        <f>Expenses!BQ22*(1-BX$72)</f>
        <v>10000</v>
      </c>
      <c r="BY64" s="116">
        <f>Expenses!BR22*(1-BY$72)</f>
        <v>10000</v>
      </c>
      <c r="BZ64" s="116">
        <f>Expenses!BS22*(1-BZ$72)</f>
        <v>10000</v>
      </c>
      <c r="CA64" s="116">
        <f>Expenses!BT22*(1-CA$72)</f>
        <v>10000</v>
      </c>
      <c r="CB64" s="116">
        <f>Expenses!BU22*(1-CB$72)</f>
        <v>10000</v>
      </c>
      <c r="CC64" s="116">
        <f>Expenses!BV22*(1-CC$72)</f>
        <v>10000</v>
      </c>
      <c r="CD64" s="116">
        <f>Expenses!BW22*(1-CD$72)</f>
        <v>10000</v>
      </c>
      <c r="CE64" s="116">
        <f>Expenses!BX22*(1-CE$72)</f>
        <v>10000</v>
      </c>
      <c r="CF64" s="116">
        <f>Expenses!BY22*(1-CF$72)</f>
        <v>10000</v>
      </c>
      <c r="CG64" s="116">
        <f>Expenses!BZ22*(1-CG$72)</f>
        <v>10000</v>
      </c>
      <c r="CH64" s="116">
        <f>Expenses!CA22*(1-CH$72)</f>
        <v>10000</v>
      </c>
      <c r="CI64" s="116">
        <f>Expenses!CB22*(1-CI$72)</f>
        <v>10000</v>
      </c>
    </row>
    <row r="65" ht="15.75" customHeight="1" outlineLevel="1">
      <c r="A65" s="1" t="s">
        <v>121</v>
      </c>
      <c r="B65" s="91" t="s">
        <v>66</v>
      </c>
      <c r="C65" s="132" t="s">
        <v>237</v>
      </c>
      <c r="D65" s="247">
        <f t="shared" ref="D65:Z65" si="74">RANDBETWEEN(0,5000)</f>
        <v>2109</v>
      </c>
      <c r="E65" s="247">
        <f t="shared" si="74"/>
        <v>4341</v>
      </c>
      <c r="F65" s="247">
        <f t="shared" si="74"/>
        <v>4679</v>
      </c>
      <c r="G65" s="247">
        <f t="shared" si="74"/>
        <v>4895</v>
      </c>
      <c r="H65" s="247">
        <f t="shared" si="74"/>
        <v>1466</v>
      </c>
      <c r="I65" s="247">
        <f t="shared" si="74"/>
        <v>4809</v>
      </c>
      <c r="J65" s="247">
        <f t="shared" si="74"/>
        <v>3011</v>
      </c>
      <c r="K65" s="247">
        <f t="shared" si="74"/>
        <v>3738</v>
      </c>
      <c r="L65" s="247">
        <f t="shared" si="74"/>
        <v>4323</v>
      </c>
      <c r="M65" s="247">
        <f t="shared" si="74"/>
        <v>2596</v>
      </c>
      <c r="N65" s="247">
        <f t="shared" si="74"/>
        <v>2753</v>
      </c>
      <c r="O65" s="247">
        <f t="shared" si="74"/>
        <v>3270</v>
      </c>
      <c r="P65" s="247">
        <f t="shared" si="74"/>
        <v>4342</v>
      </c>
      <c r="Q65" s="247">
        <f t="shared" si="74"/>
        <v>3236</v>
      </c>
      <c r="R65" s="247">
        <f t="shared" si="74"/>
        <v>2752</v>
      </c>
      <c r="S65" s="247">
        <f t="shared" si="74"/>
        <v>4514</v>
      </c>
      <c r="T65" s="247">
        <f t="shared" si="74"/>
        <v>3978</v>
      </c>
      <c r="U65" s="247">
        <f t="shared" si="74"/>
        <v>2932</v>
      </c>
      <c r="V65" s="247">
        <f t="shared" si="74"/>
        <v>229</v>
      </c>
      <c r="W65" s="247">
        <f t="shared" si="74"/>
        <v>3810</v>
      </c>
      <c r="X65" s="247">
        <f t="shared" si="74"/>
        <v>2698</v>
      </c>
      <c r="Y65" s="247">
        <f t="shared" si="74"/>
        <v>3860</v>
      </c>
      <c r="Z65" s="247">
        <f t="shared" si="74"/>
        <v>261</v>
      </c>
      <c r="AA65" s="116">
        <f>Expenses!T39</f>
        <v>261</v>
      </c>
      <c r="AB65" s="116">
        <f>Expenses!U39*(1-AB$72)</f>
        <v>261</v>
      </c>
      <c r="AC65" s="116">
        <f>Expenses!V39*(1-AC$72)</f>
        <v>261</v>
      </c>
      <c r="AD65" s="116">
        <f>Expenses!W39*(1-AD$72)</f>
        <v>261</v>
      </c>
      <c r="AE65" s="116">
        <f>Expenses!X39*(1-AE$72)</f>
        <v>261</v>
      </c>
      <c r="AF65" s="116">
        <f>Expenses!Y39*(1-AF$72)</f>
        <v>261</v>
      </c>
      <c r="AG65" s="116">
        <f>Expenses!Z39*(1-AG$72)</f>
        <v>261</v>
      </c>
      <c r="AH65" s="116">
        <f>Expenses!AA39*(1-AH$72)</f>
        <v>261</v>
      </c>
      <c r="AI65" s="116">
        <f>Expenses!AB39*(1-AI$72)</f>
        <v>261</v>
      </c>
      <c r="AJ65" s="116">
        <f>Expenses!AC39*(1-AJ$72)</f>
        <v>261</v>
      </c>
      <c r="AK65" s="116">
        <f>Expenses!AD39*(1-AK$72)</f>
        <v>261</v>
      </c>
      <c r="AL65" s="116">
        <f>Expenses!AE39*(1-AL$72)</f>
        <v>261</v>
      </c>
      <c r="AM65" s="116">
        <f>Expenses!AF39*(1-AM$72)</f>
        <v>261</v>
      </c>
      <c r="AN65" s="116">
        <f>Expenses!AG39*(1-AN$72)</f>
        <v>262.305</v>
      </c>
      <c r="AO65" s="116">
        <f>Expenses!AH39*(1-AO$72)</f>
        <v>263.616525</v>
      </c>
      <c r="AP65" s="116">
        <f>Expenses!AI39*(1-AP$72)</f>
        <v>264.9346076</v>
      </c>
      <c r="AQ65" s="116">
        <f>Expenses!AJ39*(1-AQ$72)</f>
        <v>266.2592807</v>
      </c>
      <c r="AR65" s="116">
        <f>Expenses!AK39*(1-AR$72)</f>
        <v>267.5905771</v>
      </c>
      <c r="AS65" s="116">
        <f>Expenses!AL39*(1-AS$72)</f>
        <v>268.92853</v>
      </c>
      <c r="AT65" s="116">
        <f>Expenses!AM39*(1-AT$72)</f>
        <v>270.2731726</v>
      </c>
      <c r="AU65" s="116">
        <f>Expenses!AN39*(1-AU$72)</f>
        <v>271.6245385</v>
      </c>
      <c r="AV65" s="116">
        <f>Expenses!AO39*(1-AV$72)</f>
        <v>272.9826612</v>
      </c>
      <c r="AW65" s="116">
        <f>Expenses!AP39*(1-AW$72)</f>
        <v>274.3475745</v>
      </c>
      <c r="AX65" s="116">
        <f>Expenses!AQ39*(1-AX$72)</f>
        <v>275.7193123</v>
      </c>
      <c r="AY65" s="116">
        <f>Expenses!AR39*(1-AY$72)</f>
        <v>277.0979089</v>
      </c>
      <c r="AZ65" s="116">
        <f>Expenses!AS39*(1-AZ$72)</f>
        <v>278.4833984</v>
      </c>
      <c r="BA65" s="116">
        <f>Expenses!AT39*(1-BA$72)</f>
        <v>279.8758154</v>
      </c>
      <c r="BB65" s="116">
        <f>Expenses!AU39*(1-BB$72)</f>
        <v>281.2751945</v>
      </c>
      <c r="BC65" s="116">
        <f>Expenses!AV39*(1-BC$72)</f>
        <v>282.6815705</v>
      </c>
      <c r="BD65" s="116">
        <f>Expenses!AW39*(1-BD$72)</f>
        <v>284.0949783</v>
      </c>
      <c r="BE65" s="116">
        <f>Expenses!AX39*(1-BE$72)</f>
        <v>285.5154532</v>
      </c>
      <c r="BF65" s="116">
        <f>Expenses!AY39*(1-BF$72)</f>
        <v>286.9430305</v>
      </c>
      <c r="BG65" s="116">
        <f>Expenses!AZ39*(1-BG$72)</f>
        <v>288.3777456</v>
      </c>
      <c r="BH65" s="116">
        <f>Expenses!BA39*(1-BH$72)</f>
        <v>289.8196344</v>
      </c>
      <c r="BI65" s="116">
        <f>Expenses!BB39*(1-BI$72)</f>
        <v>291.2687325</v>
      </c>
      <c r="BJ65" s="116">
        <f>Expenses!BC39*(1-BJ$72)</f>
        <v>292.7250762</v>
      </c>
      <c r="BK65" s="116">
        <f>Expenses!BD39*(1-BK$72)</f>
        <v>294.1887016</v>
      </c>
      <c r="BL65" s="116">
        <f>Expenses!BE39*(1-BL$72)</f>
        <v>295.6596451</v>
      </c>
      <c r="BM65" s="116">
        <f>Expenses!BF39*(1-BM$72)</f>
        <v>297.1379433</v>
      </c>
      <c r="BN65" s="116">
        <f>Expenses!BG39*(1-BN$72)</f>
        <v>298.623633</v>
      </c>
      <c r="BO65" s="116">
        <f>Expenses!BH39*(1-BO$72)</f>
        <v>300.1167512</v>
      </c>
      <c r="BP65" s="116">
        <f>Expenses!BI39*(1-BP$72)</f>
        <v>301.617335</v>
      </c>
      <c r="BQ65" s="116">
        <f>Expenses!BJ39*(1-BQ$72)</f>
        <v>303.1254216</v>
      </c>
      <c r="BR65" s="116">
        <f>Expenses!BK39*(1-BR$72)</f>
        <v>304.6410487</v>
      </c>
      <c r="BS65" s="116">
        <f>Expenses!BL39*(1-BS$72)</f>
        <v>306.164254</v>
      </c>
      <c r="BT65" s="116">
        <f>Expenses!BM39*(1-BT$72)</f>
        <v>307.6950753</v>
      </c>
      <c r="BU65" s="116">
        <f>Expenses!BN39*(1-BU$72)</f>
        <v>309.2335506</v>
      </c>
      <c r="BV65" s="116">
        <f>Expenses!BO39*(1-BV$72)</f>
        <v>310.7797184</v>
      </c>
      <c r="BW65" s="116">
        <f>Expenses!BP39*(1-BW$72)</f>
        <v>312.333617</v>
      </c>
      <c r="BX65" s="116">
        <f>Expenses!BQ39*(1-BX$72)</f>
        <v>313.8952851</v>
      </c>
      <c r="BY65" s="116">
        <f>Expenses!BR39*(1-BY$72)</f>
        <v>315.4647615</v>
      </c>
      <c r="BZ65" s="116">
        <f>Expenses!BS39*(1-BZ$72)</f>
        <v>317.0420853</v>
      </c>
      <c r="CA65" s="116">
        <f>Expenses!BT39*(1-CA$72)</f>
        <v>318.6272957</v>
      </c>
      <c r="CB65" s="116">
        <f>Expenses!BU39*(1-CB$72)</f>
        <v>320.2204322</v>
      </c>
      <c r="CC65" s="116">
        <f>Expenses!BV39*(1-CC$72)</f>
        <v>321.8215344</v>
      </c>
      <c r="CD65" s="116">
        <f>Expenses!BW39*(1-CD$72)</f>
        <v>323.430642</v>
      </c>
      <c r="CE65" s="116">
        <f>Expenses!BX39*(1-CE$72)</f>
        <v>325.0477952</v>
      </c>
      <c r="CF65" s="116">
        <f>Expenses!BY39*(1-CF$72)</f>
        <v>326.6730342</v>
      </c>
      <c r="CG65" s="116">
        <f>Expenses!BZ39*(1-CG$72)</f>
        <v>328.3063994</v>
      </c>
      <c r="CH65" s="116">
        <f>Expenses!CA39*(1-CH$72)</f>
        <v>329.9479314</v>
      </c>
      <c r="CI65" s="116">
        <f>Expenses!CB39*(1-CI$72)</f>
        <v>331.597671</v>
      </c>
    </row>
    <row r="66" ht="15.75" customHeight="1" outlineLevel="1">
      <c r="A66" s="1" t="s">
        <v>121</v>
      </c>
      <c r="B66" s="91" t="s">
        <v>178</v>
      </c>
      <c r="C66" s="132" t="s">
        <v>238</v>
      </c>
      <c r="D66" s="247">
        <f t="shared" ref="D66:Z66" si="75">RANDBETWEEN(0,5000)</f>
        <v>189</v>
      </c>
      <c r="E66" s="247">
        <f t="shared" si="75"/>
        <v>219</v>
      </c>
      <c r="F66" s="247">
        <f t="shared" si="75"/>
        <v>246</v>
      </c>
      <c r="G66" s="247">
        <f t="shared" si="75"/>
        <v>2821</v>
      </c>
      <c r="H66" s="247">
        <f t="shared" si="75"/>
        <v>629</v>
      </c>
      <c r="I66" s="247">
        <f t="shared" si="75"/>
        <v>2936</v>
      </c>
      <c r="J66" s="247">
        <f t="shared" si="75"/>
        <v>4713</v>
      </c>
      <c r="K66" s="247">
        <f t="shared" si="75"/>
        <v>2165</v>
      </c>
      <c r="L66" s="247">
        <f t="shared" si="75"/>
        <v>3856</v>
      </c>
      <c r="M66" s="247">
        <f t="shared" si="75"/>
        <v>1323</v>
      </c>
      <c r="N66" s="247">
        <f t="shared" si="75"/>
        <v>3957</v>
      </c>
      <c r="O66" s="247">
        <f t="shared" si="75"/>
        <v>2524</v>
      </c>
      <c r="P66" s="247">
        <f t="shared" si="75"/>
        <v>3578</v>
      </c>
      <c r="Q66" s="247">
        <f t="shared" si="75"/>
        <v>309</v>
      </c>
      <c r="R66" s="247">
        <f t="shared" si="75"/>
        <v>1158</v>
      </c>
      <c r="S66" s="247">
        <f t="shared" si="75"/>
        <v>2724</v>
      </c>
      <c r="T66" s="247">
        <f t="shared" si="75"/>
        <v>2445</v>
      </c>
      <c r="U66" s="247">
        <f t="shared" si="75"/>
        <v>1208</v>
      </c>
      <c r="V66" s="247">
        <f t="shared" si="75"/>
        <v>2848</v>
      </c>
      <c r="W66" s="247">
        <f t="shared" si="75"/>
        <v>3520</v>
      </c>
      <c r="X66" s="247">
        <f t="shared" si="75"/>
        <v>2751</v>
      </c>
      <c r="Y66" s="247">
        <f t="shared" si="75"/>
        <v>1521</v>
      </c>
      <c r="Z66" s="247">
        <f t="shared" si="75"/>
        <v>2048</v>
      </c>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7"/>
      <c r="BR66" s="117"/>
      <c r="BS66" s="117"/>
      <c r="BT66" s="117"/>
      <c r="BU66" s="117"/>
      <c r="BV66" s="117"/>
      <c r="BW66" s="117"/>
      <c r="BX66" s="117"/>
      <c r="BY66" s="117"/>
      <c r="BZ66" s="117"/>
      <c r="CA66" s="117"/>
      <c r="CB66" s="117"/>
      <c r="CC66" s="117"/>
      <c r="CD66" s="117"/>
      <c r="CE66" s="117"/>
      <c r="CF66" s="117"/>
      <c r="CG66" s="117"/>
      <c r="CH66" s="117"/>
      <c r="CI66" s="117"/>
    </row>
    <row r="67" ht="15.75" customHeight="1" outlineLevel="1">
      <c r="A67" s="1" t="s">
        <v>121</v>
      </c>
      <c r="B67" s="132" t="s">
        <v>70</v>
      </c>
      <c r="C67" s="132" t="s">
        <v>243</v>
      </c>
      <c r="D67" s="247">
        <f t="shared" ref="D67:Z67" si="76">RANDBETWEEN(0,5000)</f>
        <v>4955</v>
      </c>
      <c r="E67" s="247">
        <f t="shared" si="76"/>
        <v>4645</v>
      </c>
      <c r="F67" s="247">
        <f t="shared" si="76"/>
        <v>3878</v>
      </c>
      <c r="G67" s="247">
        <f t="shared" si="76"/>
        <v>2359</v>
      </c>
      <c r="H67" s="247">
        <f t="shared" si="76"/>
        <v>868</v>
      </c>
      <c r="I67" s="247">
        <f t="shared" si="76"/>
        <v>4901</v>
      </c>
      <c r="J67" s="247">
        <f t="shared" si="76"/>
        <v>2483</v>
      </c>
      <c r="K67" s="247">
        <f t="shared" si="76"/>
        <v>2810</v>
      </c>
      <c r="L67" s="247">
        <f t="shared" si="76"/>
        <v>4112</v>
      </c>
      <c r="M67" s="247">
        <f t="shared" si="76"/>
        <v>553</v>
      </c>
      <c r="N67" s="247">
        <f t="shared" si="76"/>
        <v>55</v>
      </c>
      <c r="O67" s="247">
        <f t="shared" si="76"/>
        <v>1571</v>
      </c>
      <c r="P67" s="247">
        <f t="shared" si="76"/>
        <v>3877</v>
      </c>
      <c r="Q67" s="247">
        <f t="shared" si="76"/>
        <v>657</v>
      </c>
      <c r="R67" s="247">
        <f t="shared" si="76"/>
        <v>2088</v>
      </c>
      <c r="S67" s="247">
        <f t="shared" si="76"/>
        <v>2112</v>
      </c>
      <c r="T67" s="247">
        <f t="shared" si="76"/>
        <v>2778</v>
      </c>
      <c r="U67" s="247">
        <f t="shared" si="76"/>
        <v>1840</v>
      </c>
      <c r="V67" s="247">
        <f t="shared" si="76"/>
        <v>2956</v>
      </c>
      <c r="W67" s="247">
        <f t="shared" si="76"/>
        <v>2420</v>
      </c>
      <c r="X67" s="247">
        <f t="shared" si="76"/>
        <v>4125</v>
      </c>
      <c r="Y67" s="247">
        <f t="shared" si="76"/>
        <v>2044</v>
      </c>
      <c r="Z67" s="247">
        <f t="shared" si="76"/>
        <v>4939</v>
      </c>
      <c r="AA67" s="116">
        <f>Expenses!T67</f>
        <v>24.942</v>
      </c>
      <c r="AB67" s="116">
        <f>Expenses!U67*(1-AB$72)</f>
        <v>54.942</v>
      </c>
      <c r="AC67" s="116">
        <f>Expenses!V67*(1-AC$72)</f>
        <v>54.942</v>
      </c>
      <c r="AD67" s="116">
        <f>Expenses!W67*(1-AD$72)</f>
        <v>54.942</v>
      </c>
      <c r="AE67" s="116">
        <f>Expenses!X67*(1-AE$72)</f>
        <v>54.942</v>
      </c>
      <c r="AF67" s="116">
        <f>Expenses!Y67*(1-AF$72)</f>
        <v>84.942</v>
      </c>
      <c r="AG67" s="116">
        <f>Expenses!Z67*(1-AG$72)</f>
        <v>84.942</v>
      </c>
      <c r="AH67" s="116">
        <f>Expenses!AA67*(1-AH$72)</f>
        <v>84.942</v>
      </c>
      <c r="AI67" s="116">
        <f>Expenses!AB67*(1-AI$72)</f>
        <v>84.942</v>
      </c>
      <c r="AJ67" s="116">
        <f>Expenses!AC67*(1-AJ$72)</f>
        <v>114.942</v>
      </c>
      <c r="AK67" s="116">
        <f>Expenses!AD67*(1-AK$72)</f>
        <v>114.942</v>
      </c>
      <c r="AL67" s="116">
        <f>Expenses!AE67*(1-AL$72)</f>
        <v>114.942</v>
      </c>
      <c r="AM67" s="116">
        <f>Expenses!AF67*(1-AM$72)</f>
        <v>114.942</v>
      </c>
      <c r="AN67" s="116">
        <f>Expenses!AG67*(1-AN$72)</f>
        <v>114.942</v>
      </c>
      <c r="AO67" s="116">
        <f>Expenses!AH67*(1-AO$72)</f>
        <v>114.942</v>
      </c>
      <c r="AP67" s="116">
        <f>Expenses!AI67*(1-AP$72)</f>
        <v>114.942</v>
      </c>
      <c r="AQ67" s="116">
        <f>Expenses!AJ67*(1-AQ$72)</f>
        <v>114.942</v>
      </c>
      <c r="AR67" s="116">
        <f>Expenses!AK67*(1-AR$72)</f>
        <v>114.942</v>
      </c>
      <c r="AS67" s="116">
        <f>Expenses!AL67*(1-AS$72)</f>
        <v>114.942</v>
      </c>
      <c r="AT67" s="116">
        <f>Expenses!AM67*(1-AT$72)</f>
        <v>114.942</v>
      </c>
      <c r="AU67" s="116">
        <f>Expenses!AN67*(1-AU$72)</f>
        <v>114.942</v>
      </c>
      <c r="AV67" s="116">
        <f>Expenses!AO67*(1-AV$72)</f>
        <v>138.942</v>
      </c>
      <c r="AW67" s="116">
        <f>Expenses!AP67*(1-AW$72)</f>
        <v>138.942</v>
      </c>
      <c r="AX67" s="116">
        <f>Expenses!AQ67*(1-AX$72)</f>
        <v>138.942</v>
      </c>
      <c r="AY67" s="116">
        <f>Expenses!AR67*(1-AY$72)</f>
        <v>138.942</v>
      </c>
      <c r="AZ67" s="116">
        <f>Expenses!AS67*(1-AZ$72)</f>
        <v>198.942</v>
      </c>
      <c r="BA67" s="116">
        <f>Expenses!AT67*(1-BA$72)</f>
        <v>198.942</v>
      </c>
      <c r="BB67" s="116">
        <f>Expenses!AU67*(1-BB$72)</f>
        <v>198.942</v>
      </c>
      <c r="BC67" s="116">
        <f>Expenses!AV67*(1-BC$72)</f>
        <v>198.942</v>
      </c>
      <c r="BD67" s="116">
        <f>Expenses!AW67*(1-BD$72)</f>
        <v>258.942</v>
      </c>
      <c r="BE67" s="116">
        <f>Expenses!AX67*(1-BE$72)</f>
        <v>258.942</v>
      </c>
      <c r="BF67" s="116">
        <f>Expenses!AY67*(1-BF$72)</f>
        <v>258.942</v>
      </c>
      <c r="BG67" s="116">
        <f>Expenses!AZ67*(1-BG$72)</f>
        <v>258.942</v>
      </c>
      <c r="BH67" s="116">
        <f>Expenses!BA67*(1-BH$72)</f>
        <v>318.942</v>
      </c>
      <c r="BI67" s="116">
        <f>Expenses!BB67*(1-BI$72)</f>
        <v>318.942</v>
      </c>
      <c r="BJ67" s="116">
        <f>Expenses!BC67*(1-BJ$72)</f>
        <v>318.942</v>
      </c>
      <c r="BK67" s="116">
        <f>Expenses!BD67*(1-BK$72)</f>
        <v>318.942</v>
      </c>
      <c r="BL67" s="116">
        <f>Expenses!BE67*(1-BL$72)</f>
        <v>320.142</v>
      </c>
      <c r="BM67" s="116">
        <f>Expenses!BF67*(1-BM$72)</f>
        <v>320.142</v>
      </c>
      <c r="BN67" s="116">
        <f>Expenses!BG67*(1-BN$72)</f>
        <v>320.142</v>
      </c>
      <c r="BO67" s="116">
        <f>Expenses!BH67*(1-BO$72)</f>
        <v>320.142</v>
      </c>
      <c r="BP67" s="116">
        <f>Expenses!BI67*(1-BP$72)</f>
        <v>321.342</v>
      </c>
      <c r="BQ67" s="116">
        <f>Expenses!BJ67*(1-BQ$72)</f>
        <v>321.342</v>
      </c>
      <c r="BR67" s="116">
        <f>Expenses!BK67*(1-BR$72)</f>
        <v>321.342</v>
      </c>
      <c r="BS67" s="116">
        <f>Expenses!BL67*(1-BS$72)</f>
        <v>321.342</v>
      </c>
      <c r="BT67" s="116">
        <f>Expenses!BM67*(1-BT$72)</f>
        <v>322.542</v>
      </c>
      <c r="BU67" s="116">
        <f>Expenses!BN67*(1-BU$72)</f>
        <v>322.542</v>
      </c>
      <c r="BV67" s="116">
        <f>Expenses!BO67*(1-BV$72)</f>
        <v>322.542</v>
      </c>
      <c r="BW67" s="116">
        <f>Expenses!BP67*(1-BW$72)</f>
        <v>322.542</v>
      </c>
      <c r="BX67" s="116">
        <f>Expenses!BQ67*(1-BX$72)</f>
        <v>323.742</v>
      </c>
      <c r="BY67" s="116">
        <f>Expenses!BR67*(1-BY$72)</f>
        <v>323.742</v>
      </c>
      <c r="BZ67" s="116">
        <f>Expenses!BS67*(1-BZ$72)</f>
        <v>323.742</v>
      </c>
      <c r="CA67" s="116">
        <f>Expenses!BT67*(1-CA$72)</f>
        <v>323.742</v>
      </c>
      <c r="CB67" s="116">
        <f>Expenses!BU67*(1-CB$72)</f>
        <v>324.942</v>
      </c>
      <c r="CC67" s="116">
        <f>Expenses!BV67*(1-CC$72)</f>
        <v>324.942</v>
      </c>
      <c r="CD67" s="116">
        <f>Expenses!BW67*(1-CD$72)</f>
        <v>324.942</v>
      </c>
      <c r="CE67" s="116">
        <f>Expenses!BX67*(1-CE$72)</f>
        <v>324.942</v>
      </c>
      <c r="CF67" s="116">
        <f>Expenses!BY67*(1-CF$72)</f>
        <v>339.942</v>
      </c>
      <c r="CG67" s="116">
        <f>Expenses!BZ67*(1-CG$72)</f>
        <v>339.942</v>
      </c>
      <c r="CH67" s="116">
        <f>Expenses!CA67*(1-CH$72)</f>
        <v>339.942</v>
      </c>
      <c r="CI67" s="116">
        <f>Expenses!CB67*(1-CI$72)</f>
        <v>339.942</v>
      </c>
    </row>
    <row r="68" ht="15.75" customHeight="1" outlineLevel="1">
      <c r="A68" s="1" t="s">
        <v>121</v>
      </c>
      <c r="B68" s="91" t="s">
        <v>179</v>
      </c>
      <c r="C68" s="132" t="s">
        <v>249</v>
      </c>
      <c r="D68" s="247">
        <f t="shared" ref="D68:Z68" si="77">RANDBETWEEN(0,5000)</f>
        <v>3985</v>
      </c>
      <c r="E68" s="247">
        <f t="shared" si="77"/>
        <v>2616</v>
      </c>
      <c r="F68" s="247">
        <f t="shared" si="77"/>
        <v>2922</v>
      </c>
      <c r="G68" s="247">
        <f t="shared" si="77"/>
        <v>2604</v>
      </c>
      <c r="H68" s="247">
        <f t="shared" si="77"/>
        <v>4853</v>
      </c>
      <c r="I68" s="247">
        <f t="shared" si="77"/>
        <v>2765</v>
      </c>
      <c r="J68" s="247">
        <f t="shared" si="77"/>
        <v>683</v>
      </c>
      <c r="K68" s="247">
        <f t="shared" si="77"/>
        <v>4405</v>
      </c>
      <c r="L68" s="247">
        <f t="shared" si="77"/>
        <v>1199</v>
      </c>
      <c r="M68" s="247">
        <f t="shared" si="77"/>
        <v>3564</v>
      </c>
      <c r="N68" s="247">
        <f t="shared" si="77"/>
        <v>749</v>
      </c>
      <c r="O68" s="247">
        <f t="shared" si="77"/>
        <v>2204</v>
      </c>
      <c r="P68" s="247">
        <f t="shared" si="77"/>
        <v>244</v>
      </c>
      <c r="Q68" s="247">
        <f t="shared" si="77"/>
        <v>579</v>
      </c>
      <c r="R68" s="247">
        <f t="shared" si="77"/>
        <v>1755</v>
      </c>
      <c r="S68" s="247">
        <f t="shared" si="77"/>
        <v>617</v>
      </c>
      <c r="T68" s="247">
        <f t="shared" si="77"/>
        <v>3254</v>
      </c>
      <c r="U68" s="247">
        <f t="shared" si="77"/>
        <v>4401</v>
      </c>
      <c r="V68" s="247">
        <f t="shared" si="77"/>
        <v>650</v>
      </c>
      <c r="W68" s="247">
        <f t="shared" si="77"/>
        <v>1025</v>
      </c>
      <c r="X68" s="247">
        <f t="shared" si="77"/>
        <v>185</v>
      </c>
      <c r="Y68" s="247">
        <f t="shared" si="77"/>
        <v>4066</v>
      </c>
      <c r="Z68" s="247">
        <f t="shared" si="77"/>
        <v>2571</v>
      </c>
      <c r="AA68" s="407">
        <f>Expenses!T131</f>
        <v>1191.46</v>
      </c>
      <c r="AB68" s="407">
        <f>Expenses!U131*(1-AB$72)</f>
        <v>641.4</v>
      </c>
      <c r="AC68" s="407">
        <f>Expenses!V131*(1-AC$72)</f>
        <v>296.243256</v>
      </c>
      <c r="AD68" s="407">
        <f>Expenses!W131*(1-AD$72)</f>
        <v>299.2056886</v>
      </c>
      <c r="AE68" s="407">
        <f>Expenses!X131*(1-AE$72)</f>
        <v>302.1977455</v>
      </c>
      <c r="AF68" s="407">
        <f>Expenses!Y131*(1-AF$72)</f>
        <v>2405</v>
      </c>
      <c r="AG68" s="407">
        <f>Expenses!Z131*(1-AG$72)</f>
        <v>308.2719202</v>
      </c>
      <c r="AH68" s="407">
        <f>Expenses!AA131*(1-AH$72)</f>
        <v>311.3546394</v>
      </c>
      <c r="AI68" s="407">
        <f>Expenses!AB131*(1-AI$72)</f>
        <v>314.4681858</v>
      </c>
      <c r="AJ68" s="407">
        <f>Expenses!AC131*(1-AJ$72)</f>
        <v>2470</v>
      </c>
      <c r="AK68" s="407">
        <f>Expenses!AD131*(1-AK$72)</f>
        <v>320.7889963</v>
      </c>
      <c r="AL68" s="407">
        <f>Expenses!AE131*(1-AL$72)</f>
        <v>323.9968863</v>
      </c>
      <c r="AM68" s="407">
        <f>Expenses!AF131*(1-AM$72)</f>
        <v>327.2368551</v>
      </c>
      <c r="AN68" s="407">
        <f>Expenses!AG131*(1-AN$72)</f>
        <v>2613</v>
      </c>
      <c r="AO68" s="407">
        <f>Expenses!AH131*(1-AO$72)</f>
        <v>98.18068115</v>
      </c>
      <c r="AP68" s="407">
        <f>Expenses!AI131*(1-AP$72)</f>
        <v>99.16248796</v>
      </c>
      <c r="AQ68" s="407">
        <f>Expenses!AJ131*(1-AQ$72)</f>
        <v>100.1541128</v>
      </c>
      <c r="AR68" s="407">
        <f>Expenses!AK131*(1-AR$72)</f>
        <v>2678</v>
      </c>
      <c r="AS68" s="407">
        <f>Expenses!AL131*(1-AS$72)</f>
        <v>102.1672105</v>
      </c>
      <c r="AT68" s="407">
        <f>Expenses!AM131*(1-AT$72)</f>
        <v>103.1888826</v>
      </c>
      <c r="AU68" s="407">
        <f>Expenses!AN131*(1-AU$72)</f>
        <v>104.2207714</v>
      </c>
      <c r="AV68" s="407">
        <f>Expenses!AO131*(1-AV$72)</f>
        <v>2743</v>
      </c>
      <c r="AW68" s="407">
        <f>Expenses!AP131*(1-AW$72)</f>
        <v>106.3156089</v>
      </c>
      <c r="AX68" s="407">
        <f>Expenses!AQ131*(1-AX$72)</f>
        <v>107.378765</v>
      </c>
      <c r="AY68" s="407">
        <f>Expenses!AR131*(1-AY$72)</f>
        <v>108.4525527</v>
      </c>
      <c r="AZ68" s="407">
        <f>Expenses!AS131*(1-AZ$72)</f>
        <v>2795</v>
      </c>
      <c r="BA68" s="407">
        <f>Expenses!AT131*(1-BA$72)</f>
        <v>110.632449</v>
      </c>
      <c r="BB68" s="407">
        <f>Expenses!AU131*(1-BB$72)</f>
        <v>111.7387735</v>
      </c>
      <c r="BC68" s="407">
        <f>Expenses!AV131*(1-BC$72)</f>
        <v>112.8561612</v>
      </c>
      <c r="BD68" s="407">
        <f>Expenses!AW131*(1-BD$72)</f>
        <v>2925</v>
      </c>
      <c r="BE68" s="407">
        <f>Expenses!AX131*(1-BE$72)</f>
        <v>115.1245701</v>
      </c>
      <c r="BF68" s="407">
        <f>Expenses!AY131*(1-BF$72)</f>
        <v>116.2758158</v>
      </c>
      <c r="BG68" s="407">
        <f>Expenses!AZ131*(1-BG$72)</f>
        <v>117.4385739</v>
      </c>
      <c r="BH68" s="407">
        <f>Expenses!BA131*(1-BH$72)</f>
        <v>3016</v>
      </c>
      <c r="BI68" s="407">
        <f>Expenses!BB131*(1-BI$72)</f>
        <v>119.7990893</v>
      </c>
      <c r="BJ68" s="407">
        <f>Expenses!BC131*(1-BJ$72)</f>
        <v>120.9970802</v>
      </c>
      <c r="BK68" s="407">
        <f>Expenses!BD131*(1-BK$72)</f>
        <v>122.207051</v>
      </c>
      <c r="BL68" s="407">
        <f>Expenses!BE131*(1-BL$72)</f>
        <v>3107</v>
      </c>
      <c r="BM68" s="407">
        <f>Expenses!BF131*(1-BM$72)</f>
        <v>124.6634127</v>
      </c>
      <c r="BN68" s="407">
        <f>Expenses!BG131*(1-BN$72)</f>
        <v>125.9100468</v>
      </c>
      <c r="BO68" s="407">
        <f>Expenses!BH131*(1-BO$72)</f>
        <v>127.1691473</v>
      </c>
      <c r="BP68" s="407">
        <f>Expenses!BI131*(1-BP$72)</f>
        <v>3484</v>
      </c>
      <c r="BQ68" s="407">
        <f>Expenses!BJ131*(1-BQ$72)</f>
        <v>129.7252471</v>
      </c>
      <c r="BR68" s="407">
        <f>Expenses!BK131*(1-BR$72)</f>
        <v>131.0224996</v>
      </c>
      <c r="BS68" s="407">
        <f>Expenses!BL131*(1-BS$72)</f>
        <v>132.3327246</v>
      </c>
      <c r="BT68" s="407">
        <f>Expenses!BM131*(1-BT$72)</f>
        <v>3588</v>
      </c>
      <c r="BU68" s="407">
        <f>Expenses!BN131*(1-BU$72)</f>
        <v>134.9926124</v>
      </c>
      <c r="BV68" s="407">
        <f>Expenses!BO131*(1-BV$72)</f>
        <v>136.3425385</v>
      </c>
      <c r="BW68" s="407">
        <f>Expenses!BP131*(1-BW$72)</f>
        <v>137.7059639</v>
      </c>
      <c r="BX68" s="407">
        <f>Expenses!BQ131*(1-BX$72)</f>
        <v>3666</v>
      </c>
      <c r="BY68" s="407">
        <f>Expenses!BR131*(1-BY$72)</f>
        <v>140.4738537</v>
      </c>
      <c r="BZ68" s="407">
        <f>Expenses!BS131*(1-BZ$72)</f>
        <v>141.8785923</v>
      </c>
      <c r="CA68" s="407">
        <f>Expenses!BT131*(1-CA$72)</f>
        <v>143.2973782</v>
      </c>
      <c r="CB68" s="407">
        <f>Expenses!BU131*(1-CB$72)</f>
        <v>3770</v>
      </c>
      <c r="CC68" s="407">
        <f>Expenses!BV131*(1-CC$72)</f>
        <v>146.1776555</v>
      </c>
      <c r="CD68" s="407">
        <f>Expenses!BW131*(1-CD$72)</f>
        <v>147.6394321</v>
      </c>
      <c r="CE68" s="407">
        <f>Expenses!BX131*(1-CE$72)</f>
        <v>149.1158264</v>
      </c>
      <c r="CF68" s="407">
        <f>Expenses!BY131*(1-CF$72)</f>
        <v>3822</v>
      </c>
      <c r="CG68" s="407">
        <f>Expenses!BZ131*(1-CG$72)</f>
        <v>152.1130545</v>
      </c>
      <c r="CH68" s="407">
        <f>Expenses!CA131*(1-CH$72)</f>
        <v>153.634185</v>
      </c>
      <c r="CI68" s="407">
        <f>Expenses!CB131*(1-CI$72)</f>
        <v>155.1705269</v>
      </c>
    </row>
    <row r="69" ht="15.75" customHeight="1" outlineLevel="1">
      <c r="A69" s="1" t="s">
        <v>121</v>
      </c>
      <c r="B69" s="91" t="s">
        <v>179</v>
      </c>
      <c r="C69" s="132" t="s">
        <v>250</v>
      </c>
      <c r="D69" s="247">
        <f t="shared" ref="D69:Z69" si="78">RANDBETWEEN(0,5000)</f>
        <v>4582</v>
      </c>
      <c r="E69" s="247">
        <f t="shared" si="78"/>
        <v>2432</v>
      </c>
      <c r="F69" s="247">
        <f t="shared" si="78"/>
        <v>3784</v>
      </c>
      <c r="G69" s="247">
        <f t="shared" si="78"/>
        <v>3411</v>
      </c>
      <c r="H69" s="247">
        <f t="shared" si="78"/>
        <v>56</v>
      </c>
      <c r="I69" s="247">
        <f t="shared" si="78"/>
        <v>2359</v>
      </c>
      <c r="J69" s="247">
        <f t="shared" si="78"/>
        <v>3110</v>
      </c>
      <c r="K69" s="247">
        <f t="shared" si="78"/>
        <v>4146</v>
      </c>
      <c r="L69" s="247">
        <f t="shared" si="78"/>
        <v>1982</v>
      </c>
      <c r="M69" s="247">
        <f t="shared" si="78"/>
        <v>4910</v>
      </c>
      <c r="N69" s="247">
        <f t="shared" si="78"/>
        <v>1350</v>
      </c>
      <c r="O69" s="247">
        <f t="shared" si="78"/>
        <v>3857</v>
      </c>
      <c r="P69" s="247">
        <f t="shared" si="78"/>
        <v>2423</v>
      </c>
      <c r="Q69" s="247">
        <f t="shared" si="78"/>
        <v>2940</v>
      </c>
      <c r="R69" s="247">
        <f t="shared" si="78"/>
        <v>4445</v>
      </c>
      <c r="S69" s="247">
        <f t="shared" si="78"/>
        <v>1504</v>
      </c>
      <c r="T69" s="247">
        <f t="shared" si="78"/>
        <v>2125</v>
      </c>
      <c r="U69" s="247">
        <f t="shared" si="78"/>
        <v>2184</v>
      </c>
      <c r="V69" s="247">
        <f t="shared" si="78"/>
        <v>4645</v>
      </c>
      <c r="W69" s="247">
        <f t="shared" si="78"/>
        <v>2130</v>
      </c>
      <c r="X69" s="247">
        <f t="shared" si="78"/>
        <v>3354</v>
      </c>
      <c r="Y69" s="247">
        <f t="shared" si="78"/>
        <v>4968</v>
      </c>
      <c r="Z69" s="247">
        <f t="shared" si="78"/>
        <v>2818</v>
      </c>
      <c r="AA69" s="407">
        <f>Expenses!T138</f>
        <v>1191.46</v>
      </c>
      <c r="AB69" s="407">
        <f>Expenses!U138*(1-AB$72)</f>
        <v>641.4</v>
      </c>
      <c r="AC69" s="407">
        <f>Expenses!V138*(1-AC$72)</f>
        <v>296.243256</v>
      </c>
      <c r="AD69" s="407">
        <f>Expenses!W138*(1-AD$72)</f>
        <v>299.2056886</v>
      </c>
      <c r="AE69" s="407">
        <f>Expenses!X138*(1-AE$72)</f>
        <v>302.1977455</v>
      </c>
      <c r="AF69" s="407">
        <f>Expenses!Y138*(1-AF$72)</f>
        <v>2405</v>
      </c>
      <c r="AG69" s="407">
        <f>Expenses!Z138*(1-AG$72)</f>
        <v>308.2719202</v>
      </c>
      <c r="AH69" s="407">
        <f>Expenses!AA138*(1-AH$72)</f>
        <v>311.3546394</v>
      </c>
      <c r="AI69" s="407">
        <f>Expenses!AB138*(1-AI$72)</f>
        <v>314.4681858</v>
      </c>
      <c r="AJ69" s="407">
        <f>Expenses!AC138*(1-AJ$72)</f>
        <v>2470</v>
      </c>
      <c r="AK69" s="407">
        <f>Expenses!AD138*(1-AK$72)</f>
        <v>320.7889963</v>
      </c>
      <c r="AL69" s="407">
        <f>Expenses!AE138*(1-AL$72)</f>
        <v>323.9968863</v>
      </c>
      <c r="AM69" s="407">
        <f>Expenses!AF138*(1-AM$72)</f>
        <v>327.2368551</v>
      </c>
      <c r="AN69" s="407">
        <f>Expenses!AG138*(1-AN$72)</f>
        <v>2613</v>
      </c>
      <c r="AO69" s="407">
        <f>Expenses!AH138*(1-AO$72)</f>
        <v>98.18068115</v>
      </c>
      <c r="AP69" s="407">
        <f>Expenses!AI138*(1-AP$72)</f>
        <v>99.16248796</v>
      </c>
      <c r="AQ69" s="407">
        <f>Expenses!AJ138*(1-AQ$72)</f>
        <v>100.1541128</v>
      </c>
      <c r="AR69" s="407">
        <f>Expenses!AK138*(1-AR$72)</f>
        <v>2678</v>
      </c>
      <c r="AS69" s="407">
        <f>Expenses!AL138*(1-AS$72)</f>
        <v>102.1672105</v>
      </c>
      <c r="AT69" s="407">
        <f>Expenses!AM138*(1-AT$72)</f>
        <v>103.1888826</v>
      </c>
      <c r="AU69" s="407">
        <f>Expenses!AN138*(1-AU$72)</f>
        <v>104.2207714</v>
      </c>
      <c r="AV69" s="407">
        <f>Expenses!AO138*(1-AV$72)</f>
        <v>2743</v>
      </c>
      <c r="AW69" s="407">
        <f>Expenses!AP138*(1-AW$72)</f>
        <v>106.3156089</v>
      </c>
      <c r="AX69" s="407">
        <f>Expenses!AQ138*(1-AX$72)</f>
        <v>107.378765</v>
      </c>
      <c r="AY69" s="407">
        <f>Expenses!AR138*(1-AY$72)</f>
        <v>108.4525527</v>
      </c>
      <c r="AZ69" s="407">
        <f>Expenses!AS138*(1-AZ$72)</f>
        <v>2795</v>
      </c>
      <c r="BA69" s="407">
        <f>Expenses!AT138*(1-BA$72)</f>
        <v>110.632449</v>
      </c>
      <c r="BB69" s="407">
        <f>Expenses!AU138*(1-BB$72)</f>
        <v>111.7387735</v>
      </c>
      <c r="BC69" s="407">
        <f>Expenses!AV138*(1-BC$72)</f>
        <v>112.8561612</v>
      </c>
      <c r="BD69" s="407">
        <f>Expenses!AW138*(1-BD$72)</f>
        <v>2925</v>
      </c>
      <c r="BE69" s="407">
        <f>Expenses!AX138*(1-BE$72)</f>
        <v>115.1245701</v>
      </c>
      <c r="BF69" s="407">
        <f>Expenses!AY138*(1-BF$72)</f>
        <v>116.2758158</v>
      </c>
      <c r="BG69" s="407">
        <f>Expenses!AZ138*(1-BG$72)</f>
        <v>117.4385739</v>
      </c>
      <c r="BH69" s="407">
        <f>Expenses!BA138*(1-BH$72)</f>
        <v>3016</v>
      </c>
      <c r="BI69" s="407">
        <f>Expenses!BB138*(1-BI$72)</f>
        <v>119.7990893</v>
      </c>
      <c r="BJ69" s="407">
        <f>Expenses!BC138*(1-BJ$72)</f>
        <v>120.9970802</v>
      </c>
      <c r="BK69" s="407">
        <f>Expenses!BD138*(1-BK$72)</f>
        <v>122.207051</v>
      </c>
      <c r="BL69" s="407">
        <f>Expenses!BE138*(1-BL$72)</f>
        <v>3107</v>
      </c>
      <c r="BM69" s="407">
        <f>Expenses!BF138*(1-BM$72)</f>
        <v>124.6634127</v>
      </c>
      <c r="BN69" s="407">
        <f>Expenses!BG138*(1-BN$72)</f>
        <v>125.9100468</v>
      </c>
      <c r="BO69" s="407">
        <f>Expenses!BH138*(1-BO$72)</f>
        <v>127.1691473</v>
      </c>
      <c r="BP69" s="407">
        <f>Expenses!BI138*(1-BP$72)</f>
        <v>3484</v>
      </c>
      <c r="BQ69" s="407">
        <f>Expenses!BJ138*(1-BQ$72)</f>
        <v>129.7252471</v>
      </c>
      <c r="BR69" s="407">
        <f>Expenses!BK138*(1-BR$72)</f>
        <v>131.0224996</v>
      </c>
      <c r="BS69" s="407">
        <f>Expenses!BL138*(1-BS$72)</f>
        <v>132.3327246</v>
      </c>
      <c r="BT69" s="407">
        <f>Expenses!BM138*(1-BT$72)</f>
        <v>3588</v>
      </c>
      <c r="BU69" s="407">
        <f>Expenses!BN138*(1-BU$72)</f>
        <v>134.9926124</v>
      </c>
      <c r="BV69" s="407">
        <f>Expenses!BO138*(1-BV$72)</f>
        <v>136.3425385</v>
      </c>
      <c r="BW69" s="407">
        <f>Expenses!BP138*(1-BW$72)</f>
        <v>137.7059639</v>
      </c>
      <c r="BX69" s="407">
        <f>Expenses!BQ138*(1-BX$72)</f>
        <v>3666</v>
      </c>
      <c r="BY69" s="407">
        <f>Expenses!BR138*(1-BY$72)</f>
        <v>140.4738537</v>
      </c>
      <c r="BZ69" s="407">
        <f>Expenses!BS138*(1-BZ$72)</f>
        <v>141.8785923</v>
      </c>
      <c r="CA69" s="407">
        <f>Expenses!BT138*(1-CA$72)</f>
        <v>143.2973782</v>
      </c>
      <c r="CB69" s="407">
        <f>Expenses!BU138*(1-CB$72)</f>
        <v>3770</v>
      </c>
      <c r="CC69" s="407">
        <f>Expenses!BV138*(1-CC$72)</f>
        <v>146.1776555</v>
      </c>
      <c r="CD69" s="407">
        <f>Expenses!BW138*(1-CD$72)</f>
        <v>147.6394321</v>
      </c>
      <c r="CE69" s="407">
        <f>Expenses!BX138*(1-CE$72)</f>
        <v>149.1158264</v>
      </c>
      <c r="CF69" s="407">
        <f>Expenses!BY138*(1-CF$72)</f>
        <v>3822</v>
      </c>
      <c r="CG69" s="407">
        <f>Expenses!BZ138*(1-CG$72)</f>
        <v>152.1130545</v>
      </c>
      <c r="CH69" s="407">
        <f>Expenses!CA138*(1-CH$72)</f>
        <v>153.634185</v>
      </c>
      <c r="CI69" s="407">
        <f>Expenses!CB138*(1-CI$72)</f>
        <v>155.1705269</v>
      </c>
    </row>
    <row r="70" ht="15.75" customHeight="1" outlineLevel="1">
      <c r="A70" s="1" t="s">
        <v>121</v>
      </c>
      <c r="B70" s="91" t="s">
        <v>179</v>
      </c>
      <c r="C70" s="132" t="s">
        <v>253</v>
      </c>
      <c r="D70" s="247">
        <f t="shared" ref="D70:Z70" si="79">RANDBETWEEN(0,5000)</f>
        <v>2509</v>
      </c>
      <c r="E70" s="247">
        <f t="shared" si="79"/>
        <v>3002</v>
      </c>
      <c r="F70" s="247">
        <f t="shared" si="79"/>
        <v>712</v>
      </c>
      <c r="G70" s="247">
        <f t="shared" si="79"/>
        <v>589</v>
      </c>
      <c r="H70" s="247">
        <f t="shared" si="79"/>
        <v>3015</v>
      </c>
      <c r="I70" s="247">
        <f t="shared" si="79"/>
        <v>4431</v>
      </c>
      <c r="J70" s="247">
        <f t="shared" si="79"/>
        <v>3831</v>
      </c>
      <c r="K70" s="247">
        <f t="shared" si="79"/>
        <v>591</v>
      </c>
      <c r="L70" s="247">
        <f t="shared" si="79"/>
        <v>3045</v>
      </c>
      <c r="M70" s="247">
        <f t="shared" si="79"/>
        <v>1496</v>
      </c>
      <c r="N70" s="247">
        <f t="shared" si="79"/>
        <v>5000</v>
      </c>
      <c r="O70" s="247">
        <f t="shared" si="79"/>
        <v>2227</v>
      </c>
      <c r="P70" s="247">
        <f t="shared" si="79"/>
        <v>1301</v>
      </c>
      <c r="Q70" s="247">
        <f t="shared" si="79"/>
        <v>519</v>
      </c>
      <c r="R70" s="247">
        <f t="shared" si="79"/>
        <v>2014</v>
      </c>
      <c r="S70" s="247">
        <f t="shared" si="79"/>
        <v>2248</v>
      </c>
      <c r="T70" s="247">
        <f t="shared" si="79"/>
        <v>4845</v>
      </c>
      <c r="U70" s="247">
        <f t="shared" si="79"/>
        <v>1094</v>
      </c>
      <c r="V70" s="247">
        <f t="shared" si="79"/>
        <v>1905</v>
      </c>
      <c r="W70" s="247">
        <f t="shared" si="79"/>
        <v>281</v>
      </c>
      <c r="X70" s="247">
        <f t="shared" si="79"/>
        <v>3376</v>
      </c>
      <c r="Y70" s="247">
        <f t="shared" si="79"/>
        <v>868</v>
      </c>
      <c r="Z70" s="247">
        <f t="shared" si="79"/>
        <v>2002</v>
      </c>
      <c r="AA70" s="116">
        <f>Expenses!T145</f>
        <v>3574.38</v>
      </c>
      <c r="AB70" s="116">
        <f>Expenses!U145*(1-AB$72)</f>
        <v>1924.2</v>
      </c>
      <c r="AC70" s="116">
        <f>Expenses!V145*(1-AC$72)</f>
        <v>888.7297681</v>
      </c>
      <c r="AD70" s="116">
        <f>Expenses!W145*(1-AD$72)</f>
        <v>897.6170658</v>
      </c>
      <c r="AE70" s="116">
        <f>Expenses!X145*(1-AE$72)</f>
        <v>906.5932365</v>
      </c>
      <c r="AF70" s="116">
        <f>Expenses!Y145*(1-AF$72)</f>
        <v>7215</v>
      </c>
      <c r="AG70" s="116">
        <f>Expenses!Z145*(1-AG$72)</f>
        <v>924.8157605</v>
      </c>
      <c r="AH70" s="116">
        <f>Expenses!AA145*(1-AH$72)</f>
        <v>934.0639181</v>
      </c>
      <c r="AI70" s="116">
        <f>Expenses!AB145*(1-AI$72)</f>
        <v>943.4045573</v>
      </c>
      <c r="AJ70" s="116">
        <f>Expenses!AC145*(1-AJ$72)</f>
        <v>7410</v>
      </c>
      <c r="AK70" s="116">
        <f>Expenses!AD145*(1-AK$72)</f>
        <v>962.3669889</v>
      </c>
      <c r="AL70" s="116">
        <f>Expenses!AE145*(1-AL$72)</f>
        <v>971.9906588</v>
      </c>
      <c r="AM70" s="116">
        <f>Expenses!AF145*(1-AM$72)</f>
        <v>981.7105654</v>
      </c>
      <c r="AN70" s="116">
        <f>Expenses!AG145*(1-AN$72)</f>
        <v>7839</v>
      </c>
      <c r="AO70" s="116">
        <f>Expenses!AH145*(1-AO$72)</f>
        <v>294.5420435</v>
      </c>
      <c r="AP70" s="116">
        <f>Expenses!AI145*(1-AP$72)</f>
        <v>297.4874639</v>
      </c>
      <c r="AQ70" s="116">
        <f>Expenses!AJ145*(1-AQ$72)</f>
        <v>300.4623385</v>
      </c>
      <c r="AR70" s="116">
        <f>Expenses!AK145*(1-AR$72)</f>
        <v>8034</v>
      </c>
      <c r="AS70" s="116">
        <f>Expenses!AL145*(1-AS$72)</f>
        <v>306.5016315</v>
      </c>
      <c r="AT70" s="116">
        <f>Expenses!AM145*(1-AT$72)</f>
        <v>309.5666479</v>
      </c>
      <c r="AU70" s="116">
        <f>Expenses!AN145*(1-AU$72)</f>
        <v>312.6623143</v>
      </c>
      <c r="AV70" s="116">
        <f>Expenses!AO145*(1-AV$72)</f>
        <v>8229</v>
      </c>
      <c r="AW70" s="116">
        <f>Expenses!AP145*(1-AW$72)</f>
        <v>318.9468268</v>
      </c>
      <c r="AX70" s="116">
        <f>Expenses!AQ145*(1-AX$72)</f>
        <v>322.1362951</v>
      </c>
      <c r="AY70" s="116">
        <f>Expenses!AR145*(1-AY$72)</f>
        <v>325.3576581</v>
      </c>
      <c r="AZ70" s="116">
        <f>Expenses!AS145*(1-AZ$72)</f>
        <v>8385</v>
      </c>
      <c r="BA70" s="116">
        <f>Expenses!AT145*(1-BA$72)</f>
        <v>331.897347</v>
      </c>
      <c r="BB70" s="116">
        <f>Expenses!AU145*(1-BB$72)</f>
        <v>335.2163205</v>
      </c>
      <c r="BC70" s="116">
        <f>Expenses!AV145*(1-BC$72)</f>
        <v>338.5684837</v>
      </c>
      <c r="BD70" s="116">
        <f>Expenses!AW145*(1-BD$72)</f>
        <v>8775</v>
      </c>
      <c r="BE70" s="116">
        <f>Expenses!AX145*(1-BE$72)</f>
        <v>345.3737102</v>
      </c>
      <c r="BF70" s="116">
        <f>Expenses!AY145*(1-BF$72)</f>
        <v>348.8274473</v>
      </c>
      <c r="BG70" s="116">
        <f>Expenses!AZ145*(1-BG$72)</f>
        <v>352.3157218</v>
      </c>
      <c r="BH70" s="116">
        <f>Expenses!BA145*(1-BH$72)</f>
        <v>9048</v>
      </c>
      <c r="BI70" s="116">
        <f>Expenses!BB145*(1-BI$72)</f>
        <v>359.3972678</v>
      </c>
      <c r="BJ70" s="116">
        <f>Expenses!BC145*(1-BJ$72)</f>
        <v>362.9912405</v>
      </c>
      <c r="BK70" s="116">
        <f>Expenses!BD145*(1-BK$72)</f>
        <v>366.6211529</v>
      </c>
      <c r="BL70" s="116">
        <f>Expenses!BE145*(1-BL$72)</f>
        <v>9321</v>
      </c>
      <c r="BM70" s="116">
        <f>Expenses!BF145*(1-BM$72)</f>
        <v>373.990238</v>
      </c>
      <c r="BN70" s="116">
        <f>Expenses!BG145*(1-BN$72)</f>
        <v>377.7301404</v>
      </c>
      <c r="BO70" s="116">
        <f>Expenses!BH145*(1-BO$72)</f>
        <v>381.5074418</v>
      </c>
      <c r="BP70" s="116">
        <f>Expenses!BI145*(1-BP$72)</f>
        <v>10452</v>
      </c>
      <c r="BQ70" s="116">
        <f>Expenses!BJ145*(1-BQ$72)</f>
        <v>389.1757414</v>
      </c>
      <c r="BR70" s="116">
        <f>Expenses!BK145*(1-BR$72)</f>
        <v>393.0674988</v>
      </c>
      <c r="BS70" s="116">
        <f>Expenses!BL145*(1-BS$72)</f>
        <v>396.9981738</v>
      </c>
      <c r="BT70" s="116">
        <f>Expenses!BM145*(1-BT$72)</f>
        <v>10764</v>
      </c>
      <c r="BU70" s="116">
        <f>Expenses!BN145*(1-BU$72)</f>
        <v>404.9778371</v>
      </c>
      <c r="BV70" s="116">
        <f>Expenses!BO145*(1-BV$72)</f>
        <v>409.0276155</v>
      </c>
      <c r="BW70" s="116">
        <f>Expenses!BP145*(1-BW$72)</f>
        <v>413.1178916</v>
      </c>
      <c r="BX70" s="116">
        <f>Expenses!BQ145*(1-BX$72)</f>
        <v>10998</v>
      </c>
      <c r="BY70" s="116">
        <f>Expenses!BR145*(1-BY$72)</f>
        <v>421.4215612</v>
      </c>
      <c r="BZ70" s="116">
        <f>Expenses!BS145*(1-BZ$72)</f>
        <v>425.6357768</v>
      </c>
      <c r="CA70" s="116">
        <f>Expenses!BT145*(1-CA$72)</f>
        <v>429.8921346</v>
      </c>
      <c r="CB70" s="116">
        <f>Expenses!BU145*(1-CB$72)</f>
        <v>11310</v>
      </c>
      <c r="CC70" s="116">
        <f>Expenses!BV145*(1-CC$72)</f>
        <v>438.5329665</v>
      </c>
      <c r="CD70" s="116">
        <f>Expenses!BW145*(1-CD$72)</f>
        <v>442.9182962</v>
      </c>
      <c r="CE70" s="116">
        <f>Expenses!BX145*(1-CE$72)</f>
        <v>447.3474791</v>
      </c>
      <c r="CF70" s="116">
        <f>Expenses!BY145*(1-CF$72)</f>
        <v>11466</v>
      </c>
      <c r="CG70" s="116">
        <f>Expenses!BZ145*(1-CG$72)</f>
        <v>456.3391635</v>
      </c>
      <c r="CH70" s="116">
        <f>Expenses!CA145*(1-CH$72)</f>
        <v>460.9025551</v>
      </c>
      <c r="CI70" s="116">
        <f>Expenses!CB145*(1-CI$72)</f>
        <v>465.5115807</v>
      </c>
    </row>
    <row r="71" ht="15.75" customHeight="1">
      <c r="A71" s="1"/>
      <c r="B71" s="91"/>
      <c r="C71" s="257" t="s">
        <v>261</v>
      </c>
      <c r="D71" s="514">
        <f t="shared" ref="D71:CI71" si="80">SUM(D57:D70)</f>
        <v>36029</v>
      </c>
      <c r="E71" s="514">
        <f t="shared" si="80"/>
        <v>40265</v>
      </c>
      <c r="F71" s="514">
        <f t="shared" si="80"/>
        <v>32351</v>
      </c>
      <c r="G71" s="514">
        <f t="shared" si="80"/>
        <v>30493</v>
      </c>
      <c r="H71" s="514">
        <f t="shared" si="80"/>
        <v>22873</v>
      </c>
      <c r="I71" s="514">
        <f t="shared" si="80"/>
        <v>46924</v>
      </c>
      <c r="J71" s="514">
        <f t="shared" si="80"/>
        <v>38959</v>
      </c>
      <c r="K71" s="514">
        <f t="shared" si="80"/>
        <v>39832</v>
      </c>
      <c r="L71" s="514">
        <f t="shared" si="80"/>
        <v>34812</v>
      </c>
      <c r="M71" s="514">
        <f t="shared" si="80"/>
        <v>33482</v>
      </c>
      <c r="N71" s="514">
        <f t="shared" si="80"/>
        <v>32943</v>
      </c>
      <c r="O71" s="514">
        <f t="shared" si="80"/>
        <v>35331</v>
      </c>
      <c r="P71" s="514">
        <f t="shared" si="80"/>
        <v>40776</v>
      </c>
      <c r="Q71" s="514">
        <f t="shared" si="80"/>
        <v>30154</v>
      </c>
      <c r="R71" s="514">
        <f t="shared" si="80"/>
        <v>38088</v>
      </c>
      <c r="S71" s="514">
        <f t="shared" si="80"/>
        <v>37366</v>
      </c>
      <c r="T71" s="514">
        <f t="shared" si="80"/>
        <v>37591</v>
      </c>
      <c r="U71" s="514">
        <f t="shared" si="80"/>
        <v>37095</v>
      </c>
      <c r="V71" s="514">
        <f t="shared" si="80"/>
        <v>30421</v>
      </c>
      <c r="W71" s="514">
        <f t="shared" si="80"/>
        <v>34524</v>
      </c>
      <c r="X71" s="514">
        <f t="shared" si="80"/>
        <v>39105</v>
      </c>
      <c r="Y71" s="514">
        <f t="shared" si="80"/>
        <v>37315</v>
      </c>
      <c r="Z71" s="514">
        <f t="shared" si="80"/>
        <v>38005</v>
      </c>
      <c r="AA71" s="514">
        <f t="shared" si="80"/>
        <v>38522.89032</v>
      </c>
      <c r="AB71" s="514">
        <f t="shared" si="80"/>
        <v>37545.24261</v>
      </c>
      <c r="AC71" s="514">
        <f t="shared" si="80"/>
        <v>32748.96177</v>
      </c>
      <c r="AD71" s="514">
        <f t="shared" si="80"/>
        <v>34556.36245</v>
      </c>
      <c r="AE71" s="514">
        <f t="shared" si="80"/>
        <v>70642.70942</v>
      </c>
      <c r="AF71" s="514">
        <f t="shared" si="80"/>
        <v>82976.49817</v>
      </c>
      <c r="AG71" s="514">
        <f t="shared" si="80"/>
        <v>73054.90492</v>
      </c>
      <c r="AH71" s="514">
        <f t="shared" si="80"/>
        <v>72975.67326</v>
      </c>
      <c r="AI71" s="514">
        <f t="shared" si="80"/>
        <v>110244.5693</v>
      </c>
      <c r="AJ71" s="514">
        <f t="shared" si="80"/>
        <v>125637.0165</v>
      </c>
      <c r="AK71" s="514">
        <f t="shared" si="80"/>
        <v>114842.3643</v>
      </c>
      <c r="AL71" s="514">
        <f t="shared" si="80"/>
        <v>152249.7469</v>
      </c>
      <c r="AM71" s="514">
        <f t="shared" si="80"/>
        <v>152301.5843</v>
      </c>
      <c r="AN71" s="514">
        <f t="shared" si="80"/>
        <v>169327.2578</v>
      </c>
      <c r="AO71" s="514">
        <f t="shared" si="80"/>
        <v>156752.824</v>
      </c>
      <c r="AP71" s="514">
        <f t="shared" si="80"/>
        <v>156765.3462</v>
      </c>
      <c r="AQ71" s="514">
        <f t="shared" si="80"/>
        <v>156767.9819</v>
      </c>
      <c r="AR71" s="514">
        <f t="shared" si="80"/>
        <v>175494.3294</v>
      </c>
      <c r="AS71" s="514">
        <f t="shared" si="80"/>
        <v>162617.5232</v>
      </c>
      <c r="AT71" s="514">
        <f t="shared" si="80"/>
        <v>162623.1883</v>
      </c>
      <c r="AU71" s="514">
        <f t="shared" si="80"/>
        <v>162629.8845</v>
      </c>
      <c r="AV71" s="514">
        <f t="shared" si="80"/>
        <v>181918.1719</v>
      </c>
      <c r="AW71" s="514">
        <f t="shared" si="80"/>
        <v>168735.9563</v>
      </c>
      <c r="AX71" s="514">
        <f t="shared" si="80"/>
        <v>168742.7019</v>
      </c>
      <c r="AY71" s="514">
        <f t="shared" si="80"/>
        <v>168749.4636</v>
      </c>
      <c r="AZ71" s="514">
        <f t="shared" si="80"/>
        <v>188555.2028</v>
      </c>
      <c r="BA71" s="514">
        <f t="shared" si="80"/>
        <v>175134.7723</v>
      </c>
      <c r="BB71" s="514">
        <f t="shared" si="80"/>
        <v>175141.7032</v>
      </c>
      <c r="BC71" s="514">
        <f t="shared" si="80"/>
        <v>175148.6916</v>
      </c>
      <c r="BD71" s="514">
        <f t="shared" si="80"/>
        <v>195834.9392</v>
      </c>
      <c r="BE71" s="514">
        <f t="shared" si="80"/>
        <v>181786.9819</v>
      </c>
      <c r="BF71" s="514">
        <f t="shared" si="80"/>
        <v>225566.5813</v>
      </c>
      <c r="BG71" s="514">
        <f t="shared" si="80"/>
        <v>225573.8306</v>
      </c>
      <c r="BH71" s="514">
        <f t="shared" si="80"/>
        <v>248705.6521</v>
      </c>
      <c r="BI71" s="514">
        <f t="shared" si="80"/>
        <v>234226.0965</v>
      </c>
      <c r="BJ71" s="514">
        <f t="shared" si="80"/>
        <v>234233.543</v>
      </c>
      <c r="BK71" s="514">
        <f t="shared" si="80"/>
        <v>234241.0564</v>
      </c>
      <c r="BL71" s="514">
        <f t="shared" si="80"/>
        <v>258088.3677</v>
      </c>
      <c r="BM71" s="514">
        <f t="shared" si="80"/>
        <v>243178.1631</v>
      </c>
      <c r="BN71" s="514">
        <f t="shared" si="80"/>
        <v>243185.8819</v>
      </c>
      <c r="BO71" s="514">
        <f t="shared" si="80"/>
        <v>243193.6705</v>
      </c>
      <c r="BP71" s="514">
        <f t="shared" si="80"/>
        <v>314781.3411</v>
      </c>
      <c r="BQ71" s="514">
        <f t="shared" si="80"/>
        <v>298011.4755</v>
      </c>
      <c r="BR71" s="514">
        <f t="shared" si="80"/>
        <v>298019.4774</v>
      </c>
      <c r="BS71" s="514">
        <f t="shared" si="80"/>
        <v>298027.5517</v>
      </c>
      <c r="BT71" s="514">
        <f t="shared" si="80"/>
        <v>326778.1542</v>
      </c>
      <c r="BU71" s="514">
        <f t="shared" si="80"/>
        <v>309514.6557</v>
      </c>
      <c r="BV71" s="514">
        <f t="shared" si="80"/>
        <v>309522.9515</v>
      </c>
      <c r="BW71" s="514">
        <f t="shared" si="80"/>
        <v>309531.3225</v>
      </c>
      <c r="BX71" s="514">
        <f t="shared" si="80"/>
        <v>339103.871</v>
      </c>
      <c r="BY71" s="514">
        <f t="shared" si="80"/>
        <v>321477.8098</v>
      </c>
      <c r="BZ71" s="514">
        <f t="shared" si="80"/>
        <v>321486.4108</v>
      </c>
      <c r="CA71" s="514">
        <f t="shared" si="80"/>
        <v>321495.09</v>
      </c>
      <c r="CB71" s="514">
        <f t="shared" si="80"/>
        <v>352036.8455</v>
      </c>
      <c r="CC71" s="514">
        <f t="shared" si="80"/>
        <v>333919.3349</v>
      </c>
      <c r="CD71" s="514">
        <f t="shared" si="80"/>
        <v>333928.2529</v>
      </c>
      <c r="CE71" s="514">
        <f t="shared" si="80"/>
        <v>333937.252</v>
      </c>
      <c r="CF71" s="514">
        <f t="shared" si="80"/>
        <v>365219.9655</v>
      </c>
      <c r="CG71" s="514">
        <f t="shared" si="80"/>
        <v>346872.1641</v>
      </c>
      <c r="CH71" s="514">
        <f t="shared" si="80"/>
        <v>346881.4113</v>
      </c>
      <c r="CI71" s="514">
        <f t="shared" si="80"/>
        <v>346890.7427</v>
      </c>
    </row>
    <row r="72" ht="15.75" customHeight="1">
      <c r="A72" s="1" t="s">
        <v>831</v>
      </c>
      <c r="B72" s="1"/>
      <c r="C72" s="1"/>
      <c r="D72" s="247"/>
      <c r="E72" s="247"/>
      <c r="F72" s="247"/>
      <c r="G72" s="247"/>
      <c r="H72" s="247"/>
      <c r="I72" s="247"/>
      <c r="J72" s="247"/>
      <c r="K72" s="247"/>
      <c r="L72" s="247"/>
      <c r="M72" s="247"/>
      <c r="N72" s="247"/>
      <c r="O72" s="117"/>
      <c r="P72" s="117"/>
      <c r="Q72" s="117"/>
      <c r="R72" s="117"/>
      <c r="S72" s="117"/>
      <c r="T72" s="117"/>
      <c r="U72" s="117"/>
      <c r="V72" s="117"/>
      <c r="W72" s="117"/>
      <c r="X72" s="117"/>
      <c r="Y72" s="117"/>
      <c r="Z72" s="117"/>
      <c r="AA72" s="125"/>
      <c r="AB72" s="528">
        <v>0.0</v>
      </c>
      <c r="AC72" s="528">
        <v>0.0</v>
      </c>
      <c r="AD72" s="528">
        <v>0.0</v>
      </c>
      <c r="AE72" s="528">
        <v>0.0</v>
      </c>
      <c r="AF72" s="528">
        <v>0.0</v>
      </c>
      <c r="AG72" s="528">
        <v>0.0</v>
      </c>
      <c r="AH72" s="528">
        <v>0.0</v>
      </c>
      <c r="AI72" s="528">
        <v>0.0</v>
      </c>
      <c r="AJ72" s="528">
        <v>0.0</v>
      </c>
      <c r="AK72" s="528">
        <v>0.0</v>
      </c>
      <c r="AL72" s="528">
        <v>0.0</v>
      </c>
      <c r="AM72" s="528">
        <v>0.0</v>
      </c>
      <c r="AN72" s="528">
        <v>0.0</v>
      </c>
      <c r="AO72" s="528">
        <v>0.0</v>
      </c>
      <c r="AP72" s="528">
        <v>0.0</v>
      </c>
      <c r="AQ72" s="528">
        <v>0.0</v>
      </c>
      <c r="AR72" s="528">
        <v>0.0</v>
      </c>
      <c r="AS72" s="528">
        <v>0.0</v>
      </c>
      <c r="AT72" s="528">
        <v>0.0</v>
      </c>
      <c r="AU72" s="528">
        <v>0.0</v>
      </c>
      <c r="AV72" s="528">
        <v>0.0</v>
      </c>
      <c r="AW72" s="528">
        <v>0.0</v>
      </c>
      <c r="AX72" s="528">
        <v>0.0</v>
      </c>
      <c r="AY72" s="528">
        <v>0.0</v>
      </c>
      <c r="AZ72" s="528">
        <v>0.0</v>
      </c>
      <c r="BA72" s="528">
        <v>0.0</v>
      </c>
      <c r="BB72" s="528">
        <v>0.0</v>
      </c>
      <c r="BC72" s="528">
        <v>0.0</v>
      </c>
      <c r="BD72" s="528">
        <v>0.0</v>
      </c>
      <c r="BE72" s="528">
        <v>0.0</v>
      </c>
      <c r="BF72" s="528">
        <v>0.0</v>
      </c>
      <c r="BG72" s="528">
        <v>0.0</v>
      </c>
      <c r="BH72" s="528">
        <v>0.0</v>
      </c>
      <c r="BI72" s="528">
        <v>0.0</v>
      </c>
      <c r="BJ72" s="528">
        <v>0.0</v>
      </c>
      <c r="BK72" s="528">
        <v>0.0</v>
      </c>
      <c r="BL72" s="528">
        <v>0.0</v>
      </c>
      <c r="BM72" s="528">
        <v>0.0</v>
      </c>
      <c r="BN72" s="528">
        <v>0.0</v>
      </c>
      <c r="BO72" s="528">
        <v>0.0</v>
      </c>
      <c r="BP72" s="528">
        <v>0.0</v>
      </c>
      <c r="BQ72" s="528">
        <v>0.0</v>
      </c>
      <c r="BR72" s="528">
        <v>0.0</v>
      </c>
      <c r="BS72" s="528">
        <v>0.0</v>
      </c>
      <c r="BT72" s="528">
        <v>0.0</v>
      </c>
      <c r="BU72" s="528">
        <v>0.0</v>
      </c>
      <c r="BV72" s="528">
        <v>0.0</v>
      </c>
      <c r="BW72" s="528">
        <v>0.0</v>
      </c>
      <c r="BX72" s="528">
        <v>0.0</v>
      </c>
      <c r="BY72" s="528">
        <v>0.0</v>
      </c>
      <c r="BZ72" s="528">
        <v>0.0</v>
      </c>
      <c r="CA72" s="528">
        <v>0.0</v>
      </c>
      <c r="CB72" s="528">
        <v>0.0</v>
      </c>
      <c r="CC72" s="528">
        <v>0.0</v>
      </c>
      <c r="CD72" s="528">
        <v>0.0</v>
      </c>
      <c r="CE72" s="528">
        <v>0.0</v>
      </c>
      <c r="CF72" s="528">
        <v>0.0</v>
      </c>
      <c r="CG72" s="528">
        <v>0.0</v>
      </c>
      <c r="CH72" s="528">
        <v>0.0</v>
      </c>
      <c r="CI72" s="528">
        <v>0.0</v>
      </c>
    </row>
    <row r="73" ht="15.75" customHeight="1">
      <c r="A73" s="1"/>
      <c r="B73" s="1"/>
      <c r="C73" s="1"/>
      <c r="D73" s="247"/>
      <c r="E73" s="247"/>
      <c r="F73" s="247"/>
      <c r="G73" s="247"/>
      <c r="H73" s="247"/>
      <c r="I73" s="247"/>
      <c r="J73" s="247"/>
      <c r="K73" s="247"/>
      <c r="L73" s="247"/>
      <c r="M73" s="247"/>
      <c r="N73" s="247"/>
      <c r="O73" s="117"/>
      <c r="P73" s="117"/>
      <c r="Q73" s="117"/>
      <c r="R73" s="117"/>
      <c r="S73" s="117"/>
      <c r="T73" s="117"/>
      <c r="U73" s="117"/>
      <c r="V73" s="117"/>
      <c r="W73" s="117"/>
      <c r="X73" s="117"/>
      <c r="Y73" s="117"/>
      <c r="Z73" s="117"/>
      <c r="AA73" s="125"/>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117"/>
      <c r="CH73" s="117"/>
      <c r="CI73" s="117"/>
    </row>
    <row r="74" ht="15.75" customHeight="1">
      <c r="A74" s="1"/>
      <c r="B74" s="1"/>
      <c r="C74" s="1"/>
      <c r="D74" s="247"/>
      <c r="E74" s="247"/>
      <c r="F74" s="247"/>
      <c r="G74" s="247"/>
      <c r="H74" s="247"/>
      <c r="I74" s="247"/>
      <c r="J74" s="247"/>
      <c r="K74" s="247"/>
      <c r="L74" s="247"/>
      <c r="M74" s="247"/>
      <c r="N74" s="247"/>
      <c r="O74" s="117"/>
      <c r="P74" s="117"/>
      <c r="Q74" s="117"/>
      <c r="R74" s="117"/>
      <c r="S74" s="117"/>
      <c r="T74" s="117"/>
      <c r="U74" s="117"/>
      <c r="V74" s="117"/>
      <c r="W74" s="117"/>
      <c r="X74" s="117"/>
      <c r="Y74" s="117"/>
      <c r="Z74" s="117"/>
      <c r="AA74" s="125"/>
      <c r="AB74" s="117"/>
      <c r="AC74" s="117"/>
      <c r="AD74" s="117"/>
      <c r="AE74" s="117"/>
      <c r="AF74" s="117"/>
      <c r="AG74" s="117"/>
      <c r="AH74" s="117"/>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7"/>
      <c r="BQ74" s="117"/>
      <c r="BR74" s="117"/>
      <c r="BS74" s="117"/>
      <c r="BT74" s="117"/>
      <c r="BU74" s="117"/>
      <c r="BV74" s="117"/>
      <c r="BW74" s="117"/>
      <c r="BX74" s="117"/>
      <c r="BY74" s="117"/>
      <c r="BZ74" s="117"/>
      <c r="CA74" s="117"/>
      <c r="CB74" s="117"/>
      <c r="CC74" s="117"/>
      <c r="CD74" s="117"/>
      <c r="CE74" s="117"/>
      <c r="CF74" s="117"/>
      <c r="CG74" s="117"/>
      <c r="CH74" s="117"/>
      <c r="CI74" s="117"/>
    </row>
    <row r="75" ht="15.75" customHeight="1">
      <c r="A75" s="1"/>
      <c r="B75" s="91"/>
      <c r="C75" s="115" t="s">
        <v>832</v>
      </c>
      <c r="D75" s="247"/>
      <c r="E75" s="247"/>
      <c r="F75" s="247"/>
      <c r="G75" s="247"/>
      <c r="H75" s="247"/>
      <c r="I75" s="247"/>
      <c r="J75" s="247"/>
      <c r="K75" s="247"/>
      <c r="L75" s="247"/>
      <c r="M75" s="247"/>
      <c r="N75" s="24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117"/>
    </row>
    <row r="76" ht="15.75" customHeight="1" outlineLevel="1">
      <c r="A76" s="1" t="s">
        <v>122</v>
      </c>
      <c r="B76" s="91" t="s">
        <v>175</v>
      </c>
      <c r="C76" s="132" t="s">
        <v>222</v>
      </c>
      <c r="D76" s="387">
        <f t="shared" ref="D76:Z76" si="81">RANDBETWEEN(0,5000)</f>
        <v>3177</v>
      </c>
      <c r="E76" s="387">
        <f t="shared" si="81"/>
        <v>3238</v>
      </c>
      <c r="F76" s="387">
        <f t="shared" si="81"/>
        <v>695</v>
      </c>
      <c r="G76" s="387">
        <f t="shared" si="81"/>
        <v>4503</v>
      </c>
      <c r="H76" s="387">
        <f t="shared" si="81"/>
        <v>3885</v>
      </c>
      <c r="I76" s="387">
        <f t="shared" si="81"/>
        <v>1839</v>
      </c>
      <c r="J76" s="387">
        <f t="shared" si="81"/>
        <v>3467</v>
      </c>
      <c r="K76" s="387">
        <f t="shared" si="81"/>
        <v>1707</v>
      </c>
      <c r="L76" s="387">
        <f t="shared" si="81"/>
        <v>2397</v>
      </c>
      <c r="M76" s="387">
        <f t="shared" si="81"/>
        <v>654</v>
      </c>
      <c r="N76" s="387">
        <f t="shared" si="81"/>
        <v>2877</v>
      </c>
      <c r="O76" s="387">
        <f t="shared" si="81"/>
        <v>2835</v>
      </c>
      <c r="P76" s="387">
        <f t="shared" si="81"/>
        <v>2906</v>
      </c>
      <c r="Q76" s="387">
        <f t="shared" si="81"/>
        <v>1957</v>
      </c>
      <c r="R76" s="387">
        <f t="shared" si="81"/>
        <v>3727</v>
      </c>
      <c r="S76" s="387">
        <f t="shared" si="81"/>
        <v>2051</v>
      </c>
      <c r="T76" s="387">
        <f t="shared" si="81"/>
        <v>3376</v>
      </c>
      <c r="U76" s="387">
        <f t="shared" si="81"/>
        <v>97</v>
      </c>
      <c r="V76" s="387">
        <f t="shared" si="81"/>
        <v>4485</v>
      </c>
      <c r="W76" s="387">
        <f t="shared" si="81"/>
        <v>1405</v>
      </c>
      <c r="X76" s="387">
        <f t="shared" si="81"/>
        <v>3308</v>
      </c>
      <c r="Y76" s="387">
        <f t="shared" si="81"/>
        <v>4026</v>
      </c>
      <c r="Z76" s="387">
        <f t="shared" si="81"/>
        <v>2283</v>
      </c>
      <c r="AA76" s="116">
        <f>Headcount!S90</f>
        <v>22283</v>
      </c>
      <c r="AB76" s="116">
        <f>Headcount!T90*(1-AB96)</f>
        <v>23285.735</v>
      </c>
      <c r="AC76" s="116">
        <f>Headcount!U90</f>
        <v>23285.735</v>
      </c>
      <c r="AD76" s="116">
        <f>Headcount!V90</f>
        <v>23285.735</v>
      </c>
      <c r="AE76" s="116">
        <f>Headcount!W90</f>
        <v>23285.735</v>
      </c>
      <c r="AF76" s="116">
        <f>Headcount!X90</f>
        <v>24333.59308</v>
      </c>
      <c r="AG76" s="116">
        <f>Headcount!Y90</f>
        <v>24333.59308</v>
      </c>
      <c r="AH76" s="116">
        <f>Headcount!Z90</f>
        <v>35149.59308</v>
      </c>
      <c r="AI76" s="116">
        <f>Headcount!AA90</f>
        <v>45965.59308</v>
      </c>
      <c r="AJ76" s="116">
        <f>Headcount!AB90</f>
        <v>58850.04476</v>
      </c>
      <c r="AK76" s="116">
        <f>Headcount!AC90</f>
        <v>69666.04476</v>
      </c>
      <c r="AL76" s="116">
        <f>Headcount!AD90</f>
        <v>80482.04476</v>
      </c>
      <c r="AM76" s="116">
        <f>Headcount!AE90</f>
        <v>91298.04476</v>
      </c>
      <c r="AN76" s="116">
        <f>Headcount!AF90</f>
        <v>106198.6066</v>
      </c>
      <c r="AO76" s="116">
        <f>Headcount!AG90</f>
        <v>106198.6066</v>
      </c>
      <c r="AP76" s="116">
        <f>Headcount!AH90</f>
        <v>106198.6066</v>
      </c>
      <c r="AQ76" s="116">
        <f>Headcount!AI90</f>
        <v>106198.6066</v>
      </c>
      <c r="AR76" s="116">
        <f>Headcount!AJ90</f>
        <v>110446.5508</v>
      </c>
      <c r="AS76" s="116">
        <f>Headcount!AK90</f>
        <v>110446.5508</v>
      </c>
      <c r="AT76" s="116">
        <f>Headcount!AL90</f>
        <v>110446.5508</v>
      </c>
      <c r="AU76" s="116">
        <f>Headcount!AM90</f>
        <v>110446.5508</v>
      </c>
      <c r="AV76" s="116">
        <f>Headcount!AN90</f>
        <v>114864.4128</v>
      </c>
      <c r="AW76" s="116">
        <f>Headcount!AO90</f>
        <v>114864.4128</v>
      </c>
      <c r="AX76" s="116">
        <f>Headcount!AP90</f>
        <v>114864.4128</v>
      </c>
      <c r="AY76" s="116">
        <f>Headcount!AQ90</f>
        <v>114864.4128</v>
      </c>
      <c r="AZ76" s="116">
        <f>Headcount!AR90</f>
        <v>119458.9894</v>
      </c>
      <c r="BA76" s="116">
        <f>Headcount!AS90</f>
        <v>119458.9894</v>
      </c>
      <c r="BB76" s="116">
        <f>Headcount!AT90</f>
        <v>119458.9894</v>
      </c>
      <c r="BC76" s="116">
        <f>Headcount!AU90</f>
        <v>119458.9894</v>
      </c>
      <c r="BD76" s="116">
        <f>Headcount!AV90</f>
        <v>136403.878</v>
      </c>
      <c r="BE76" s="116">
        <f>Headcount!AW90</f>
        <v>136403.878</v>
      </c>
      <c r="BF76" s="116">
        <f>Headcount!AX90</f>
        <v>136403.878</v>
      </c>
      <c r="BG76" s="116">
        <f>Headcount!AY90</f>
        <v>149057.0681</v>
      </c>
      <c r="BH76" s="116">
        <f>Headcount!AZ90</f>
        <v>155019.3509</v>
      </c>
      <c r="BI76" s="116">
        <f>Headcount!BA90</f>
        <v>167672.5411</v>
      </c>
      <c r="BJ76" s="116">
        <f>Headcount!BB90</f>
        <v>167672.5411</v>
      </c>
      <c r="BK76" s="116">
        <f>Headcount!BC90</f>
        <v>167672.5411</v>
      </c>
      <c r="BL76" s="116">
        <f>Headcount!BD90</f>
        <v>187538.7605</v>
      </c>
      <c r="BM76" s="116">
        <f>Headcount!BE90</f>
        <v>187538.7605</v>
      </c>
      <c r="BN76" s="116">
        <f>Headcount!BF90</f>
        <v>187538.7605</v>
      </c>
      <c r="BO76" s="116">
        <f>Headcount!BG90</f>
        <v>200698.0783</v>
      </c>
      <c r="BP76" s="116">
        <f>Headcount!BH90</f>
        <v>208726.0014</v>
      </c>
      <c r="BQ76" s="116">
        <f>Headcount!BI90</f>
        <v>208726.0014</v>
      </c>
      <c r="BR76" s="116">
        <f>Headcount!BJ90</f>
        <v>222411.6919</v>
      </c>
      <c r="BS76" s="116">
        <f>Headcount!BK90</f>
        <v>222411.6919</v>
      </c>
      <c r="BT76" s="116">
        <f>Headcount!BL90</f>
        <v>231308.1596</v>
      </c>
      <c r="BU76" s="116">
        <f>Headcount!BM90</f>
        <v>244993.8501</v>
      </c>
      <c r="BV76" s="116">
        <f>Headcount!BN90</f>
        <v>244993.8501</v>
      </c>
      <c r="BW76" s="116">
        <f>Headcount!BO90</f>
        <v>244993.8501</v>
      </c>
      <c r="BX76" s="116">
        <f>Headcount!BP90</f>
        <v>269026.7222</v>
      </c>
      <c r="BY76" s="116">
        <f>Headcount!BQ90</f>
        <v>269026.7222</v>
      </c>
      <c r="BZ76" s="116">
        <f>Headcount!BR90</f>
        <v>269026.7222</v>
      </c>
      <c r="CA76" s="116">
        <f>Headcount!BS90</f>
        <v>269026.7222</v>
      </c>
      <c r="CB76" s="116">
        <f>Headcount!BT90</f>
        <v>279787.7911</v>
      </c>
      <c r="CC76" s="116">
        <f>Headcount!BU90</f>
        <v>279787.7911</v>
      </c>
      <c r="CD76" s="116">
        <f>Headcount!BV90</f>
        <v>279787.7911</v>
      </c>
      <c r="CE76" s="116">
        <f>Headcount!BW90</f>
        <v>279787.7911</v>
      </c>
      <c r="CF76" s="116">
        <f>Headcount!BX90</f>
        <v>290979.3028</v>
      </c>
      <c r="CG76" s="116">
        <f>Headcount!BY90</f>
        <v>290979.3028</v>
      </c>
      <c r="CH76" s="116">
        <f>Headcount!BZ90</f>
        <v>290979.3028</v>
      </c>
      <c r="CI76" s="116">
        <f>Headcount!CA90</f>
        <v>290979.3028</v>
      </c>
    </row>
    <row r="77" ht="15.75" customHeight="1" outlineLevel="1">
      <c r="A77" s="1" t="s">
        <v>122</v>
      </c>
      <c r="B77" s="91" t="s">
        <v>175</v>
      </c>
      <c r="C77" s="132" t="s">
        <v>833</v>
      </c>
      <c r="D77" s="247">
        <f t="shared" ref="D77:Z77" si="82">RANDBETWEEN(0,5000)</f>
        <v>3582</v>
      </c>
      <c r="E77" s="247">
        <f t="shared" si="82"/>
        <v>3486</v>
      </c>
      <c r="F77" s="247">
        <f t="shared" si="82"/>
        <v>2511</v>
      </c>
      <c r="G77" s="247">
        <f t="shared" si="82"/>
        <v>1914</v>
      </c>
      <c r="H77" s="247">
        <f t="shared" si="82"/>
        <v>2226</v>
      </c>
      <c r="I77" s="247">
        <f t="shared" si="82"/>
        <v>1556</v>
      </c>
      <c r="J77" s="247">
        <f t="shared" si="82"/>
        <v>4253</v>
      </c>
      <c r="K77" s="247">
        <f t="shared" si="82"/>
        <v>2173</v>
      </c>
      <c r="L77" s="247">
        <f t="shared" si="82"/>
        <v>1768</v>
      </c>
      <c r="M77" s="247">
        <f t="shared" si="82"/>
        <v>795</v>
      </c>
      <c r="N77" s="247">
        <f t="shared" si="82"/>
        <v>1256</v>
      </c>
      <c r="O77" s="247">
        <f t="shared" si="82"/>
        <v>3800</v>
      </c>
      <c r="P77" s="247">
        <f t="shared" si="82"/>
        <v>4365</v>
      </c>
      <c r="Q77" s="247">
        <f t="shared" si="82"/>
        <v>4931</v>
      </c>
      <c r="R77" s="247">
        <f t="shared" si="82"/>
        <v>2609</v>
      </c>
      <c r="S77" s="247">
        <f t="shared" si="82"/>
        <v>3600</v>
      </c>
      <c r="T77" s="247">
        <f t="shared" si="82"/>
        <v>3445</v>
      </c>
      <c r="U77" s="247">
        <f t="shared" si="82"/>
        <v>2719</v>
      </c>
      <c r="V77" s="247">
        <f t="shared" si="82"/>
        <v>761</v>
      </c>
      <c r="W77" s="247">
        <f t="shared" si="82"/>
        <v>2178</v>
      </c>
      <c r="X77" s="247">
        <f t="shared" si="82"/>
        <v>4473</v>
      </c>
      <c r="Y77" s="247">
        <f t="shared" si="82"/>
        <v>4387</v>
      </c>
      <c r="Z77" s="247">
        <f t="shared" si="82"/>
        <v>4561</v>
      </c>
      <c r="AA77" s="117"/>
      <c r="AB77" s="117"/>
      <c r="AC77" s="117"/>
      <c r="AD77" s="117"/>
      <c r="AE77" s="117"/>
      <c r="AF77" s="117"/>
      <c r="AG77" s="117"/>
      <c r="AH77" s="117"/>
      <c r="AI77" s="117"/>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c r="CG77" s="117"/>
      <c r="CH77" s="117"/>
      <c r="CI77" s="117"/>
    </row>
    <row r="78" ht="15.75" customHeight="1" outlineLevel="1">
      <c r="A78" s="1" t="s">
        <v>122</v>
      </c>
      <c r="B78" s="91" t="s">
        <v>175</v>
      </c>
      <c r="C78" s="132" t="s">
        <v>225</v>
      </c>
      <c r="D78" s="247">
        <f t="shared" ref="D78:Z78" si="83">RANDBETWEEN(0,5000)</f>
        <v>565</v>
      </c>
      <c r="E78" s="247">
        <f t="shared" si="83"/>
        <v>3038</v>
      </c>
      <c r="F78" s="247">
        <f t="shared" si="83"/>
        <v>7</v>
      </c>
      <c r="G78" s="247">
        <f t="shared" si="83"/>
        <v>2733</v>
      </c>
      <c r="H78" s="247">
        <f t="shared" si="83"/>
        <v>4841</v>
      </c>
      <c r="I78" s="247">
        <f t="shared" si="83"/>
        <v>1948</v>
      </c>
      <c r="J78" s="247">
        <f t="shared" si="83"/>
        <v>3042</v>
      </c>
      <c r="K78" s="247">
        <f t="shared" si="83"/>
        <v>2700</v>
      </c>
      <c r="L78" s="247">
        <f t="shared" si="83"/>
        <v>555</v>
      </c>
      <c r="M78" s="247">
        <f t="shared" si="83"/>
        <v>472</v>
      </c>
      <c r="N78" s="247">
        <f t="shared" si="83"/>
        <v>2978</v>
      </c>
      <c r="O78" s="247">
        <f t="shared" si="83"/>
        <v>703</v>
      </c>
      <c r="P78" s="247">
        <f t="shared" si="83"/>
        <v>37</v>
      </c>
      <c r="Q78" s="247">
        <f t="shared" si="83"/>
        <v>906</v>
      </c>
      <c r="R78" s="247">
        <f t="shared" si="83"/>
        <v>3926</v>
      </c>
      <c r="S78" s="247">
        <f t="shared" si="83"/>
        <v>2680</v>
      </c>
      <c r="T78" s="247">
        <f t="shared" si="83"/>
        <v>1800</v>
      </c>
      <c r="U78" s="247">
        <f t="shared" si="83"/>
        <v>2567</v>
      </c>
      <c r="V78" s="247">
        <f t="shared" si="83"/>
        <v>4886</v>
      </c>
      <c r="W78" s="247">
        <f t="shared" si="83"/>
        <v>4621</v>
      </c>
      <c r="X78" s="247">
        <f t="shared" si="83"/>
        <v>4683</v>
      </c>
      <c r="Y78" s="247">
        <f t="shared" si="83"/>
        <v>150</v>
      </c>
      <c r="Z78" s="247">
        <f t="shared" si="83"/>
        <v>1690</v>
      </c>
      <c r="AA78" s="117">
        <f t="shared" ref="AA78:AA82" si="86">AVERAGE(X78:Z78)/AVERAGE(X$76:Z$76)*AA$76</f>
        <v>15114.06977</v>
      </c>
      <c r="AB78" s="117">
        <f>AVERAGE(Y78:AA78)/AVERAGE(Y$76:AA$76)*AB$76*(1-AB96)</f>
        <v>13807.63766</v>
      </c>
      <c r="AC78" s="117">
        <f t="shared" ref="AC78:CI78" si="84">AVERAGE(Z78:AB78)/AVERAGE(Z$76:AB$76)*AC$76</f>
        <v>14896.34821</v>
      </c>
      <c r="AD78" s="117">
        <f t="shared" si="84"/>
        <v>14818.72755</v>
      </c>
      <c r="AE78" s="117">
        <f t="shared" si="84"/>
        <v>14507.57114</v>
      </c>
      <c r="AF78" s="117">
        <f t="shared" si="84"/>
        <v>15404.22201</v>
      </c>
      <c r="AG78" s="117">
        <f t="shared" si="84"/>
        <v>15350.86835</v>
      </c>
      <c r="AH78" s="117">
        <f t="shared" si="84"/>
        <v>22111.18198</v>
      </c>
      <c r="AI78" s="117">
        <f t="shared" si="84"/>
        <v>28992.16104</v>
      </c>
      <c r="AJ78" s="117">
        <f t="shared" si="84"/>
        <v>37087.51626</v>
      </c>
      <c r="AK78" s="117">
        <f t="shared" si="84"/>
        <v>43895.96123</v>
      </c>
      <c r="AL78" s="117">
        <f t="shared" si="84"/>
        <v>50727.75624</v>
      </c>
      <c r="AM78" s="117">
        <f t="shared" si="84"/>
        <v>57536.29406</v>
      </c>
      <c r="AN78" s="117">
        <f t="shared" si="84"/>
        <v>66926.65114</v>
      </c>
      <c r="AO78" s="117">
        <f t="shared" si="84"/>
        <v>66929.61956</v>
      </c>
      <c r="AP78" s="117">
        <f t="shared" si="84"/>
        <v>66927.6953</v>
      </c>
      <c r="AQ78" s="117">
        <f t="shared" si="84"/>
        <v>66927.98867</v>
      </c>
      <c r="AR78" s="117">
        <f t="shared" si="84"/>
        <v>69605.57189</v>
      </c>
      <c r="AS78" s="117">
        <f t="shared" si="84"/>
        <v>69605.16648</v>
      </c>
      <c r="AT78" s="117">
        <f t="shared" si="84"/>
        <v>69605.28445</v>
      </c>
      <c r="AU78" s="117">
        <f t="shared" si="84"/>
        <v>69605.34094</v>
      </c>
      <c r="AV78" s="117">
        <f t="shared" si="84"/>
        <v>72389.47451</v>
      </c>
      <c r="AW78" s="117">
        <f t="shared" si="84"/>
        <v>72389.50786</v>
      </c>
      <c r="AX78" s="117">
        <f t="shared" si="84"/>
        <v>72389.51177</v>
      </c>
      <c r="AY78" s="117">
        <f t="shared" si="84"/>
        <v>72389.49805</v>
      </c>
      <c r="AZ78" s="117">
        <f t="shared" si="84"/>
        <v>75285.08613</v>
      </c>
      <c r="BA78" s="117">
        <f t="shared" si="84"/>
        <v>75285.08546</v>
      </c>
      <c r="BB78" s="117">
        <f t="shared" si="84"/>
        <v>75285.08325</v>
      </c>
      <c r="BC78" s="117">
        <f t="shared" si="84"/>
        <v>75285.08495</v>
      </c>
      <c r="BD78" s="117">
        <f t="shared" si="84"/>
        <v>85964.04122</v>
      </c>
      <c r="BE78" s="117">
        <f t="shared" si="84"/>
        <v>85964.04089</v>
      </c>
      <c r="BF78" s="117">
        <f t="shared" si="84"/>
        <v>85964.04124</v>
      </c>
      <c r="BG78" s="117">
        <f t="shared" si="84"/>
        <v>93938.29652</v>
      </c>
      <c r="BH78" s="117">
        <f t="shared" si="84"/>
        <v>97695.82835</v>
      </c>
      <c r="BI78" s="117">
        <f t="shared" si="84"/>
        <v>105670.0838</v>
      </c>
      <c r="BJ78" s="117">
        <f t="shared" si="84"/>
        <v>105670.0838</v>
      </c>
      <c r="BK78" s="117">
        <f t="shared" si="84"/>
        <v>105670.0838</v>
      </c>
      <c r="BL78" s="117">
        <f t="shared" si="84"/>
        <v>118190.1128</v>
      </c>
      <c r="BM78" s="117">
        <f t="shared" si="84"/>
        <v>118190.1128</v>
      </c>
      <c r="BN78" s="117">
        <f t="shared" si="84"/>
        <v>118190.1128</v>
      </c>
      <c r="BO78" s="117">
        <f t="shared" si="84"/>
        <v>126483.3384</v>
      </c>
      <c r="BP78" s="117">
        <f t="shared" si="84"/>
        <v>131542.6719</v>
      </c>
      <c r="BQ78" s="117">
        <f t="shared" si="84"/>
        <v>131542.6719</v>
      </c>
      <c r="BR78" s="117">
        <f t="shared" si="84"/>
        <v>140167.6266</v>
      </c>
      <c r="BS78" s="117">
        <f t="shared" si="84"/>
        <v>140167.6266</v>
      </c>
      <c r="BT78" s="117">
        <f t="shared" si="84"/>
        <v>145774.3316</v>
      </c>
      <c r="BU78" s="117">
        <f t="shared" si="84"/>
        <v>154399.2863</v>
      </c>
      <c r="BV78" s="117">
        <f t="shared" si="84"/>
        <v>154399.2863</v>
      </c>
      <c r="BW78" s="117">
        <f t="shared" si="84"/>
        <v>154399.2863</v>
      </c>
      <c r="BX78" s="117">
        <f t="shared" si="84"/>
        <v>169545.2106</v>
      </c>
      <c r="BY78" s="117">
        <f t="shared" si="84"/>
        <v>169545.2106</v>
      </c>
      <c r="BZ78" s="117">
        <f t="shared" si="84"/>
        <v>169545.2106</v>
      </c>
      <c r="CA78" s="117">
        <f t="shared" si="84"/>
        <v>169545.2106</v>
      </c>
      <c r="CB78" s="117">
        <f t="shared" si="84"/>
        <v>176327.019</v>
      </c>
      <c r="CC78" s="117">
        <f t="shared" si="84"/>
        <v>176327.019</v>
      </c>
      <c r="CD78" s="117">
        <f t="shared" si="84"/>
        <v>176327.019</v>
      </c>
      <c r="CE78" s="117">
        <f t="shared" si="84"/>
        <v>176327.019</v>
      </c>
      <c r="CF78" s="117">
        <f t="shared" si="84"/>
        <v>183380.0998</v>
      </c>
      <c r="CG78" s="117">
        <f t="shared" si="84"/>
        <v>183380.0998</v>
      </c>
      <c r="CH78" s="117">
        <f t="shared" si="84"/>
        <v>183380.0998</v>
      </c>
      <c r="CI78" s="117">
        <f t="shared" si="84"/>
        <v>183380.0998</v>
      </c>
    </row>
    <row r="79" ht="15.75" customHeight="1" outlineLevel="1">
      <c r="A79" s="1" t="s">
        <v>122</v>
      </c>
      <c r="B79" s="91" t="s">
        <v>175</v>
      </c>
      <c r="C79" s="132" t="s">
        <v>226</v>
      </c>
      <c r="D79" s="247">
        <f t="shared" ref="D79:Z79" si="85">RANDBETWEEN(0,5000)</f>
        <v>1887</v>
      </c>
      <c r="E79" s="247">
        <f t="shared" si="85"/>
        <v>4720</v>
      </c>
      <c r="F79" s="247">
        <f t="shared" si="85"/>
        <v>3455</v>
      </c>
      <c r="G79" s="247">
        <f t="shared" si="85"/>
        <v>1204</v>
      </c>
      <c r="H79" s="247">
        <f t="shared" si="85"/>
        <v>1949</v>
      </c>
      <c r="I79" s="247">
        <f t="shared" si="85"/>
        <v>83</v>
      </c>
      <c r="J79" s="247">
        <f t="shared" si="85"/>
        <v>581</v>
      </c>
      <c r="K79" s="247">
        <f t="shared" si="85"/>
        <v>611</v>
      </c>
      <c r="L79" s="247">
        <f t="shared" si="85"/>
        <v>4757</v>
      </c>
      <c r="M79" s="247">
        <f t="shared" si="85"/>
        <v>1935</v>
      </c>
      <c r="N79" s="247">
        <f t="shared" si="85"/>
        <v>4676</v>
      </c>
      <c r="O79" s="247">
        <f t="shared" si="85"/>
        <v>245</v>
      </c>
      <c r="P79" s="247">
        <f t="shared" si="85"/>
        <v>4901</v>
      </c>
      <c r="Q79" s="247">
        <f t="shared" si="85"/>
        <v>2526</v>
      </c>
      <c r="R79" s="247">
        <f t="shared" si="85"/>
        <v>2028</v>
      </c>
      <c r="S79" s="247">
        <f t="shared" si="85"/>
        <v>1037</v>
      </c>
      <c r="T79" s="247">
        <f t="shared" si="85"/>
        <v>2793</v>
      </c>
      <c r="U79" s="247">
        <f t="shared" si="85"/>
        <v>795</v>
      </c>
      <c r="V79" s="247">
        <f t="shared" si="85"/>
        <v>1553</v>
      </c>
      <c r="W79" s="247">
        <f t="shared" si="85"/>
        <v>1067</v>
      </c>
      <c r="X79" s="247">
        <f t="shared" si="85"/>
        <v>1295</v>
      </c>
      <c r="Y79" s="247">
        <f t="shared" si="85"/>
        <v>1534</v>
      </c>
      <c r="Z79" s="247">
        <f t="shared" si="85"/>
        <v>933</v>
      </c>
      <c r="AA79" s="117">
        <f t="shared" si="86"/>
        <v>8716.714776</v>
      </c>
      <c r="AB79" s="117">
        <f>AVERAGE(Y79:AA79)/AVERAGE(Y$76:AA$76)*AB$76*(1-AB96)</f>
        <v>9108.177763</v>
      </c>
      <c r="AC79" s="117">
        <f t="shared" ref="AC79:CI79" si="87">AVERAGE(Z79:AB79)/AVERAGE(Z$76:AB$76)*AC$76</f>
        <v>9128.014163</v>
      </c>
      <c r="AD79" s="117">
        <f t="shared" si="87"/>
        <v>9115.141587</v>
      </c>
      <c r="AE79" s="117">
        <f t="shared" si="87"/>
        <v>9117.111171</v>
      </c>
      <c r="AF79" s="117">
        <f t="shared" si="87"/>
        <v>9530.492977</v>
      </c>
      <c r="AG79" s="117">
        <f t="shared" si="87"/>
        <v>9527.773167</v>
      </c>
      <c r="AH79" s="117">
        <f t="shared" si="87"/>
        <v>13763.90328</v>
      </c>
      <c r="AI79" s="117">
        <f t="shared" si="87"/>
        <v>17999.86229</v>
      </c>
      <c r="AJ79" s="117">
        <f t="shared" si="87"/>
        <v>23044.44794</v>
      </c>
      <c r="AK79" s="117">
        <f t="shared" si="87"/>
        <v>27280.14258</v>
      </c>
      <c r="AL79" s="117">
        <f t="shared" si="87"/>
        <v>31515.58139</v>
      </c>
      <c r="AM79" s="117">
        <f t="shared" si="87"/>
        <v>35750.7865</v>
      </c>
      <c r="AN79" s="117">
        <f t="shared" si="87"/>
        <v>41585.7048</v>
      </c>
      <c r="AO79" s="117">
        <f t="shared" si="87"/>
        <v>41585.69921</v>
      </c>
      <c r="AP79" s="117">
        <f t="shared" si="87"/>
        <v>41585.67048</v>
      </c>
      <c r="AQ79" s="117">
        <f t="shared" si="87"/>
        <v>41585.6915</v>
      </c>
      <c r="AR79" s="117">
        <f t="shared" si="87"/>
        <v>43249.11454</v>
      </c>
      <c r="AS79" s="117">
        <f t="shared" si="87"/>
        <v>43249.11039</v>
      </c>
      <c r="AT79" s="117">
        <f t="shared" si="87"/>
        <v>43249.11464</v>
      </c>
      <c r="AU79" s="117">
        <f t="shared" si="87"/>
        <v>43249.11319</v>
      </c>
      <c r="AV79" s="117">
        <f t="shared" si="87"/>
        <v>44979.07725</v>
      </c>
      <c r="AW79" s="117">
        <f t="shared" si="87"/>
        <v>44979.07805</v>
      </c>
      <c r="AX79" s="117">
        <f t="shared" si="87"/>
        <v>44979.07767</v>
      </c>
      <c r="AY79" s="117">
        <f t="shared" si="87"/>
        <v>44979.07766</v>
      </c>
      <c r="AZ79" s="117">
        <f t="shared" si="87"/>
        <v>46778.24091</v>
      </c>
      <c r="BA79" s="117">
        <f t="shared" si="87"/>
        <v>46778.24082</v>
      </c>
      <c r="BB79" s="117">
        <f t="shared" si="87"/>
        <v>46778.24083</v>
      </c>
      <c r="BC79" s="117">
        <f t="shared" si="87"/>
        <v>46778.24085</v>
      </c>
      <c r="BD79" s="117">
        <f t="shared" si="87"/>
        <v>53413.58978</v>
      </c>
      <c r="BE79" s="117">
        <f t="shared" si="87"/>
        <v>53413.58979</v>
      </c>
      <c r="BF79" s="117">
        <f t="shared" si="87"/>
        <v>53413.58979</v>
      </c>
      <c r="BG79" s="117">
        <f t="shared" si="87"/>
        <v>58368.37788</v>
      </c>
      <c r="BH79" s="117">
        <f t="shared" si="87"/>
        <v>60703.113</v>
      </c>
      <c r="BI79" s="117">
        <f t="shared" si="87"/>
        <v>65657.90109</v>
      </c>
      <c r="BJ79" s="117">
        <f t="shared" si="87"/>
        <v>65657.90109</v>
      </c>
      <c r="BK79" s="117">
        <f t="shared" si="87"/>
        <v>65657.90109</v>
      </c>
      <c r="BL79" s="117">
        <f t="shared" si="87"/>
        <v>73437.19675</v>
      </c>
      <c r="BM79" s="117">
        <f t="shared" si="87"/>
        <v>73437.19675</v>
      </c>
      <c r="BN79" s="117">
        <f t="shared" si="87"/>
        <v>73437.19675</v>
      </c>
      <c r="BO79" s="117">
        <f t="shared" si="87"/>
        <v>78590.17636</v>
      </c>
      <c r="BP79" s="117">
        <f t="shared" si="87"/>
        <v>81733.78341</v>
      </c>
      <c r="BQ79" s="117">
        <f t="shared" si="87"/>
        <v>81733.78341</v>
      </c>
      <c r="BR79" s="117">
        <f t="shared" si="87"/>
        <v>87092.88221</v>
      </c>
      <c r="BS79" s="117">
        <f t="shared" si="87"/>
        <v>87092.88221</v>
      </c>
      <c r="BT79" s="117">
        <f t="shared" si="87"/>
        <v>90576.5975</v>
      </c>
      <c r="BU79" s="117">
        <f t="shared" si="87"/>
        <v>95935.6963</v>
      </c>
      <c r="BV79" s="117">
        <f t="shared" si="87"/>
        <v>95935.6963</v>
      </c>
      <c r="BW79" s="117">
        <f t="shared" si="87"/>
        <v>95935.6963</v>
      </c>
      <c r="BX79" s="117">
        <f t="shared" si="87"/>
        <v>105346.5869</v>
      </c>
      <c r="BY79" s="117">
        <f t="shared" si="87"/>
        <v>105346.5869</v>
      </c>
      <c r="BZ79" s="117">
        <f t="shared" si="87"/>
        <v>105346.5869</v>
      </c>
      <c r="CA79" s="117">
        <f t="shared" si="87"/>
        <v>105346.5869</v>
      </c>
      <c r="CB79" s="117">
        <f t="shared" si="87"/>
        <v>109560.4504</v>
      </c>
      <c r="CC79" s="117">
        <f t="shared" si="87"/>
        <v>109560.4504</v>
      </c>
      <c r="CD79" s="117">
        <f t="shared" si="87"/>
        <v>109560.4504</v>
      </c>
      <c r="CE79" s="117">
        <f t="shared" si="87"/>
        <v>109560.4504</v>
      </c>
      <c r="CF79" s="117">
        <f t="shared" si="87"/>
        <v>113942.8684</v>
      </c>
      <c r="CG79" s="117">
        <f t="shared" si="87"/>
        <v>113942.8684</v>
      </c>
      <c r="CH79" s="117">
        <f t="shared" si="87"/>
        <v>113942.8684</v>
      </c>
      <c r="CI79" s="117">
        <f t="shared" si="87"/>
        <v>113942.8684</v>
      </c>
    </row>
    <row r="80" ht="15.75" customHeight="1" outlineLevel="1">
      <c r="A80" s="1" t="s">
        <v>122</v>
      </c>
      <c r="B80" s="91" t="s">
        <v>175</v>
      </c>
      <c r="C80" s="132" t="s">
        <v>227</v>
      </c>
      <c r="D80" s="247">
        <f t="shared" ref="D80:Z80" si="88">RANDBETWEEN(0,5000)</f>
        <v>560</v>
      </c>
      <c r="E80" s="247">
        <f t="shared" si="88"/>
        <v>3190</v>
      </c>
      <c r="F80" s="247">
        <f t="shared" si="88"/>
        <v>2554</v>
      </c>
      <c r="G80" s="247">
        <f t="shared" si="88"/>
        <v>704</v>
      </c>
      <c r="H80" s="247">
        <f t="shared" si="88"/>
        <v>61</v>
      </c>
      <c r="I80" s="247">
        <f t="shared" si="88"/>
        <v>1267</v>
      </c>
      <c r="J80" s="247">
        <f t="shared" si="88"/>
        <v>3724</v>
      </c>
      <c r="K80" s="247">
        <f t="shared" si="88"/>
        <v>971</v>
      </c>
      <c r="L80" s="247">
        <f t="shared" si="88"/>
        <v>1435</v>
      </c>
      <c r="M80" s="247">
        <f t="shared" si="88"/>
        <v>3037</v>
      </c>
      <c r="N80" s="247">
        <f t="shared" si="88"/>
        <v>3015</v>
      </c>
      <c r="O80" s="247">
        <f t="shared" si="88"/>
        <v>4793</v>
      </c>
      <c r="P80" s="247">
        <f t="shared" si="88"/>
        <v>4105</v>
      </c>
      <c r="Q80" s="247">
        <f t="shared" si="88"/>
        <v>4745</v>
      </c>
      <c r="R80" s="247">
        <f t="shared" si="88"/>
        <v>3122</v>
      </c>
      <c r="S80" s="247">
        <f t="shared" si="88"/>
        <v>88</v>
      </c>
      <c r="T80" s="247">
        <f t="shared" si="88"/>
        <v>4744</v>
      </c>
      <c r="U80" s="247">
        <f t="shared" si="88"/>
        <v>349</v>
      </c>
      <c r="V80" s="247">
        <f t="shared" si="88"/>
        <v>1954</v>
      </c>
      <c r="W80" s="247">
        <f t="shared" si="88"/>
        <v>2976</v>
      </c>
      <c r="X80" s="247">
        <f t="shared" si="88"/>
        <v>1674</v>
      </c>
      <c r="Y80" s="247">
        <f t="shared" si="88"/>
        <v>2890</v>
      </c>
      <c r="Z80" s="247">
        <f t="shared" si="88"/>
        <v>3544</v>
      </c>
      <c r="AA80" s="117">
        <f t="shared" si="86"/>
        <v>18786.58251</v>
      </c>
      <c r="AB80" s="117">
        <f>AVERAGE(Y80:AA80)/AVERAGE(Y$76:AA$76)*AB$76*(1-AB96)</f>
        <v>20540.00423</v>
      </c>
      <c r="AC80" s="117">
        <f t="shared" ref="AC80:CI80" si="89">AVERAGE(Z80:AB80)/AVERAGE(Z$76:AB$76)*AC$76</f>
        <v>20861.79575</v>
      </c>
      <c r="AD80" s="117">
        <f t="shared" si="89"/>
        <v>20354.97078</v>
      </c>
      <c r="AE80" s="117">
        <f t="shared" si="89"/>
        <v>20585.59025</v>
      </c>
      <c r="AF80" s="117">
        <f t="shared" si="89"/>
        <v>21527.82095</v>
      </c>
      <c r="AG80" s="117">
        <f t="shared" si="89"/>
        <v>21438.24603</v>
      </c>
      <c r="AH80" s="117">
        <f t="shared" si="89"/>
        <v>31045.50664</v>
      </c>
      <c r="AI80" s="117">
        <f t="shared" si="89"/>
        <v>40588.36318</v>
      </c>
      <c r="AJ80" s="117">
        <f t="shared" si="89"/>
        <v>51942.73679</v>
      </c>
      <c r="AK80" s="117">
        <f t="shared" si="89"/>
        <v>61508.80008</v>
      </c>
      <c r="AL80" s="117">
        <f t="shared" si="89"/>
        <v>71052.99505</v>
      </c>
      <c r="AM80" s="117">
        <f t="shared" si="89"/>
        <v>80598.34157</v>
      </c>
      <c r="AN80" s="117">
        <f t="shared" si="89"/>
        <v>93757.18339</v>
      </c>
      <c r="AO80" s="117">
        <f t="shared" si="89"/>
        <v>93755.54037</v>
      </c>
      <c r="AP80" s="117">
        <f t="shared" si="89"/>
        <v>93755.23918</v>
      </c>
      <c r="AQ80" s="117">
        <f t="shared" si="89"/>
        <v>93755.98765</v>
      </c>
      <c r="AR80" s="117">
        <f t="shared" si="89"/>
        <v>97505.81263</v>
      </c>
      <c r="AS80" s="117">
        <f t="shared" si="89"/>
        <v>97505.82929</v>
      </c>
      <c r="AT80" s="117">
        <f t="shared" si="89"/>
        <v>97505.95284</v>
      </c>
      <c r="AU80" s="117">
        <f t="shared" si="89"/>
        <v>97505.86492</v>
      </c>
      <c r="AV80" s="117">
        <f t="shared" si="89"/>
        <v>101406.1176</v>
      </c>
      <c r="AW80" s="117">
        <f t="shared" si="89"/>
        <v>101406.1358</v>
      </c>
      <c r="AX80" s="117">
        <f t="shared" si="89"/>
        <v>101406.1179</v>
      </c>
      <c r="AY80" s="117">
        <f t="shared" si="89"/>
        <v>101406.1238</v>
      </c>
      <c r="AZ80" s="117">
        <f t="shared" si="89"/>
        <v>105462.3708</v>
      </c>
      <c r="BA80" s="117">
        <f t="shared" si="89"/>
        <v>105462.3674</v>
      </c>
      <c r="BB80" s="117">
        <f t="shared" si="89"/>
        <v>105462.369</v>
      </c>
      <c r="BC80" s="117">
        <f t="shared" si="89"/>
        <v>105462.3691</v>
      </c>
      <c r="BD80" s="117">
        <f t="shared" si="89"/>
        <v>120421.8797</v>
      </c>
      <c r="BE80" s="117">
        <f t="shared" si="89"/>
        <v>120421.8801</v>
      </c>
      <c r="BF80" s="117">
        <f t="shared" si="89"/>
        <v>120421.88</v>
      </c>
      <c r="BG80" s="117">
        <f t="shared" si="89"/>
        <v>131592.537</v>
      </c>
      <c r="BH80" s="117">
        <f t="shared" si="89"/>
        <v>136856.2386</v>
      </c>
      <c r="BI80" s="117">
        <f t="shared" si="89"/>
        <v>148026.8957</v>
      </c>
      <c r="BJ80" s="117">
        <f t="shared" si="89"/>
        <v>148026.8957</v>
      </c>
      <c r="BK80" s="117">
        <f t="shared" si="89"/>
        <v>148026.8957</v>
      </c>
      <c r="BL80" s="117">
        <f t="shared" si="89"/>
        <v>165565.4549</v>
      </c>
      <c r="BM80" s="117">
        <f t="shared" si="89"/>
        <v>165565.4549</v>
      </c>
      <c r="BN80" s="117">
        <f t="shared" si="89"/>
        <v>165565.4549</v>
      </c>
      <c r="BO80" s="117">
        <f t="shared" si="89"/>
        <v>177182.9383</v>
      </c>
      <c r="BP80" s="117">
        <f t="shared" si="89"/>
        <v>184270.2559</v>
      </c>
      <c r="BQ80" s="117">
        <f t="shared" si="89"/>
        <v>184270.2559</v>
      </c>
      <c r="BR80" s="117">
        <f t="shared" si="89"/>
        <v>196352.4386</v>
      </c>
      <c r="BS80" s="117">
        <f t="shared" si="89"/>
        <v>196352.4386</v>
      </c>
      <c r="BT80" s="117">
        <f t="shared" si="89"/>
        <v>204206.5361</v>
      </c>
      <c r="BU80" s="117">
        <f t="shared" si="89"/>
        <v>216288.7189</v>
      </c>
      <c r="BV80" s="117">
        <f t="shared" si="89"/>
        <v>216288.7189</v>
      </c>
      <c r="BW80" s="117">
        <f t="shared" si="89"/>
        <v>216288.7189</v>
      </c>
      <c r="BX80" s="117">
        <f t="shared" si="89"/>
        <v>237505.7377</v>
      </c>
      <c r="BY80" s="117">
        <f t="shared" si="89"/>
        <v>237505.7377</v>
      </c>
      <c r="BZ80" s="117">
        <f t="shared" si="89"/>
        <v>237505.7377</v>
      </c>
      <c r="CA80" s="117">
        <f t="shared" si="89"/>
        <v>237505.7377</v>
      </c>
      <c r="CB80" s="117">
        <f t="shared" si="89"/>
        <v>247005.9672</v>
      </c>
      <c r="CC80" s="117">
        <f t="shared" si="89"/>
        <v>247005.9672</v>
      </c>
      <c r="CD80" s="117">
        <f t="shared" si="89"/>
        <v>247005.9672</v>
      </c>
      <c r="CE80" s="117">
        <f t="shared" si="89"/>
        <v>247005.9672</v>
      </c>
      <c r="CF80" s="117">
        <f t="shared" si="89"/>
        <v>256886.2059</v>
      </c>
      <c r="CG80" s="117">
        <f t="shared" si="89"/>
        <v>256886.2059</v>
      </c>
      <c r="CH80" s="117">
        <f t="shared" si="89"/>
        <v>256886.2059</v>
      </c>
      <c r="CI80" s="117">
        <f t="shared" si="89"/>
        <v>256886.2059</v>
      </c>
    </row>
    <row r="81" ht="15.75" customHeight="1" outlineLevel="1">
      <c r="A81" s="1" t="s">
        <v>122</v>
      </c>
      <c r="B81" s="91" t="s">
        <v>175</v>
      </c>
      <c r="C81" s="132" t="s">
        <v>228</v>
      </c>
      <c r="D81" s="247">
        <f t="shared" ref="D81:Z81" si="90">RANDBETWEEN(0,5000)</f>
        <v>1083</v>
      </c>
      <c r="E81" s="247">
        <f t="shared" si="90"/>
        <v>2736</v>
      </c>
      <c r="F81" s="247">
        <f t="shared" si="90"/>
        <v>4111</v>
      </c>
      <c r="G81" s="247">
        <f t="shared" si="90"/>
        <v>867</v>
      </c>
      <c r="H81" s="247">
        <f t="shared" si="90"/>
        <v>2682</v>
      </c>
      <c r="I81" s="247">
        <f t="shared" si="90"/>
        <v>1088</v>
      </c>
      <c r="J81" s="247">
        <f t="shared" si="90"/>
        <v>1503</v>
      </c>
      <c r="K81" s="247">
        <f t="shared" si="90"/>
        <v>2611</v>
      </c>
      <c r="L81" s="247">
        <f t="shared" si="90"/>
        <v>1277</v>
      </c>
      <c r="M81" s="247">
        <f t="shared" si="90"/>
        <v>4279</v>
      </c>
      <c r="N81" s="247">
        <f t="shared" si="90"/>
        <v>2369</v>
      </c>
      <c r="O81" s="247">
        <f t="shared" si="90"/>
        <v>2880</v>
      </c>
      <c r="P81" s="247">
        <f t="shared" si="90"/>
        <v>3044</v>
      </c>
      <c r="Q81" s="247">
        <f t="shared" si="90"/>
        <v>4354</v>
      </c>
      <c r="R81" s="247">
        <f t="shared" si="90"/>
        <v>2147</v>
      </c>
      <c r="S81" s="247">
        <f t="shared" si="90"/>
        <v>4738</v>
      </c>
      <c r="T81" s="247">
        <f t="shared" si="90"/>
        <v>2815</v>
      </c>
      <c r="U81" s="247">
        <f t="shared" si="90"/>
        <v>2411</v>
      </c>
      <c r="V81" s="247">
        <f t="shared" si="90"/>
        <v>4409</v>
      </c>
      <c r="W81" s="247">
        <f t="shared" si="90"/>
        <v>1873</v>
      </c>
      <c r="X81" s="247">
        <f t="shared" si="90"/>
        <v>3058</v>
      </c>
      <c r="Y81" s="247">
        <f t="shared" si="90"/>
        <v>2125</v>
      </c>
      <c r="Z81" s="247">
        <f t="shared" si="90"/>
        <v>1421</v>
      </c>
      <c r="AA81" s="117">
        <f t="shared" si="86"/>
        <v>15301.75023</v>
      </c>
      <c r="AB81" s="117">
        <f>AVERAGE(Y81:AA81)/AVERAGE(Y$76:AA$76)*AB$76*(1-AB96)</f>
        <v>15349.87819</v>
      </c>
      <c r="AC81" s="117">
        <f t="shared" ref="AC81:CI81" si="91">AVERAGE(Z81:AB81)/AVERAGE(Z$76:AB$76)*AC$76</f>
        <v>15607.26536</v>
      </c>
      <c r="AD81" s="117">
        <f t="shared" si="91"/>
        <v>15644.189</v>
      </c>
      <c r="AE81" s="117">
        <f t="shared" si="91"/>
        <v>15533.77752</v>
      </c>
      <c r="AF81" s="117">
        <f t="shared" si="91"/>
        <v>16296.85577</v>
      </c>
      <c r="AG81" s="117">
        <f t="shared" si="91"/>
        <v>16292.673</v>
      </c>
      <c r="AH81" s="117">
        <f t="shared" si="91"/>
        <v>23508.63046</v>
      </c>
      <c r="AI81" s="117">
        <f t="shared" si="91"/>
        <v>30764.546</v>
      </c>
      <c r="AJ81" s="117">
        <f t="shared" si="91"/>
        <v>39382.18564</v>
      </c>
      <c r="AK81" s="117">
        <f t="shared" si="91"/>
        <v>46615.85314</v>
      </c>
      <c r="AL81" s="117">
        <f t="shared" si="91"/>
        <v>53858.32733</v>
      </c>
      <c r="AM81" s="117">
        <f t="shared" si="91"/>
        <v>61094.3864</v>
      </c>
      <c r="AN81" s="117">
        <f t="shared" si="91"/>
        <v>71064.9467</v>
      </c>
      <c r="AO81" s="117">
        <f t="shared" si="91"/>
        <v>71065.93639</v>
      </c>
      <c r="AP81" s="117">
        <f t="shared" si="91"/>
        <v>71065.4509</v>
      </c>
      <c r="AQ81" s="117">
        <f t="shared" si="91"/>
        <v>71065.44466</v>
      </c>
      <c r="AR81" s="117">
        <f t="shared" si="91"/>
        <v>73908.23507</v>
      </c>
      <c r="AS81" s="117">
        <f t="shared" si="91"/>
        <v>73908.12364</v>
      </c>
      <c r="AT81" s="117">
        <f t="shared" si="91"/>
        <v>73908.1414</v>
      </c>
      <c r="AU81" s="117">
        <f t="shared" si="91"/>
        <v>73908.1667</v>
      </c>
      <c r="AV81" s="117">
        <f t="shared" si="91"/>
        <v>76864.46967</v>
      </c>
      <c r="AW81" s="117">
        <f t="shared" si="91"/>
        <v>76864.47661</v>
      </c>
      <c r="AX81" s="117">
        <f t="shared" si="91"/>
        <v>76864.47971</v>
      </c>
      <c r="AY81" s="117">
        <f t="shared" si="91"/>
        <v>76864.47533</v>
      </c>
      <c r="AZ81" s="117">
        <f t="shared" si="91"/>
        <v>79939.0563</v>
      </c>
      <c r="BA81" s="117">
        <f t="shared" si="91"/>
        <v>79939.05651</v>
      </c>
      <c r="BB81" s="117">
        <f t="shared" si="91"/>
        <v>79939.05573</v>
      </c>
      <c r="BC81" s="117">
        <f t="shared" si="91"/>
        <v>79939.05618</v>
      </c>
      <c r="BD81" s="117">
        <f t="shared" si="91"/>
        <v>91278.1643</v>
      </c>
      <c r="BE81" s="117">
        <f t="shared" si="91"/>
        <v>91278.16417</v>
      </c>
      <c r="BF81" s="117">
        <f t="shared" si="91"/>
        <v>91278.16427</v>
      </c>
      <c r="BG81" s="117">
        <f t="shared" si="91"/>
        <v>99745.37199</v>
      </c>
      <c r="BH81" s="117">
        <f t="shared" si="91"/>
        <v>103735.1869</v>
      </c>
      <c r="BI81" s="117">
        <f t="shared" si="91"/>
        <v>112202.3946</v>
      </c>
      <c r="BJ81" s="117">
        <f t="shared" si="91"/>
        <v>112202.3946</v>
      </c>
      <c r="BK81" s="117">
        <f t="shared" si="91"/>
        <v>112202.3946</v>
      </c>
      <c r="BL81" s="117">
        <f t="shared" si="91"/>
        <v>125496.3865</v>
      </c>
      <c r="BM81" s="117">
        <f t="shared" si="91"/>
        <v>125496.3864</v>
      </c>
      <c r="BN81" s="117">
        <f t="shared" si="91"/>
        <v>125496.3864</v>
      </c>
      <c r="BO81" s="117">
        <f t="shared" si="91"/>
        <v>134302.2825</v>
      </c>
      <c r="BP81" s="117">
        <f t="shared" si="91"/>
        <v>139674.3738</v>
      </c>
      <c r="BQ81" s="117">
        <f t="shared" si="91"/>
        <v>139674.3738</v>
      </c>
      <c r="BR81" s="117">
        <f t="shared" si="91"/>
        <v>148832.5057</v>
      </c>
      <c r="BS81" s="117">
        <f t="shared" si="91"/>
        <v>148832.5057</v>
      </c>
      <c r="BT81" s="117">
        <f t="shared" si="91"/>
        <v>154785.8059</v>
      </c>
      <c r="BU81" s="117">
        <f t="shared" si="91"/>
        <v>163943.9378</v>
      </c>
      <c r="BV81" s="117">
        <f t="shared" si="91"/>
        <v>163943.9378</v>
      </c>
      <c r="BW81" s="117">
        <f t="shared" si="91"/>
        <v>163943.9378</v>
      </c>
      <c r="BX81" s="117">
        <f t="shared" si="91"/>
        <v>180026.1525</v>
      </c>
      <c r="BY81" s="117">
        <f t="shared" si="91"/>
        <v>180026.1525</v>
      </c>
      <c r="BZ81" s="117">
        <f t="shared" si="91"/>
        <v>180026.1525</v>
      </c>
      <c r="CA81" s="117">
        <f t="shared" si="91"/>
        <v>180026.1525</v>
      </c>
      <c r="CB81" s="117">
        <f t="shared" si="91"/>
        <v>187227.1986</v>
      </c>
      <c r="CC81" s="117">
        <f t="shared" si="91"/>
        <v>187227.1986</v>
      </c>
      <c r="CD81" s="117">
        <f t="shared" si="91"/>
        <v>187227.1986</v>
      </c>
      <c r="CE81" s="117">
        <f t="shared" si="91"/>
        <v>187227.1986</v>
      </c>
      <c r="CF81" s="117">
        <f t="shared" si="91"/>
        <v>194716.2866</v>
      </c>
      <c r="CG81" s="117">
        <f t="shared" si="91"/>
        <v>194716.2866</v>
      </c>
      <c r="CH81" s="117">
        <f t="shared" si="91"/>
        <v>194716.2866</v>
      </c>
      <c r="CI81" s="117">
        <f t="shared" si="91"/>
        <v>194716.2866</v>
      </c>
    </row>
    <row r="82" ht="15.75" customHeight="1" outlineLevel="1">
      <c r="A82" s="1" t="s">
        <v>122</v>
      </c>
      <c r="B82" s="91" t="s">
        <v>175</v>
      </c>
      <c r="C82" s="132" t="s">
        <v>229</v>
      </c>
      <c r="D82" s="247">
        <f t="shared" ref="D82:Z82" si="92">RANDBETWEEN(0,5000)</f>
        <v>2394</v>
      </c>
      <c r="E82" s="247">
        <f t="shared" si="92"/>
        <v>868</v>
      </c>
      <c r="F82" s="247">
        <f t="shared" si="92"/>
        <v>4842</v>
      </c>
      <c r="G82" s="247">
        <f t="shared" si="92"/>
        <v>2688</v>
      </c>
      <c r="H82" s="247">
        <f t="shared" si="92"/>
        <v>2399</v>
      </c>
      <c r="I82" s="247">
        <f t="shared" si="92"/>
        <v>2205</v>
      </c>
      <c r="J82" s="247">
        <f t="shared" si="92"/>
        <v>3692</v>
      </c>
      <c r="K82" s="247">
        <f t="shared" si="92"/>
        <v>2200</v>
      </c>
      <c r="L82" s="247">
        <f t="shared" si="92"/>
        <v>1153</v>
      </c>
      <c r="M82" s="247">
        <f t="shared" si="92"/>
        <v>3240</v>
      </c>
      <c r="N82" s="247">
        <f t="shared" si="92"/>
        <v>4315</v>
      </c>
      <c r="O82" s="247">
        <f t="shared" si="92"/>
        <v>3137</v>
      </c>
      <c r="P82" s="247">
        <f t="shared" si="92"/>
        <v>1306</v>
      </c>
      <c r="Q82" s="247">
        <f t="shared" si="92"/>
        <v>2291</v>
      </c>
      <c r="R82" s="247">
        <f t="shared" si="92"/>
        <v>529</v>
      </c>
      <c r="S82" s="247">
        <f t="shared" si="92"/>
        <v>2279</v>
      </c>
      <c r="T82" s="247">
        <f t="shared" si="92"/>
        <v>432</v>
      </c>
      <c r="U82" s="247">
        <f t="shared" si="92"/>
        <v>932</v>
      </c>
      <c r="V82" s="247">
        <f t="shared" si="92"/>
        <v>1922</v>
      </c>
      <c r="W82" s="247">
        <f t="shared" si="92"/>
        <v>2305</v>
      </c>
      <c r="X82" s="247">
        <f t="shared" si="92"/>
        <v>4650</v>
      </c>
      <c r="Y82" s="247">
        <f t="shared" si="92"/>
        <v>3823</v>
      </c>
      <c r="Z82" s="247">
        <f t="shared" si="92"/>
        <v>4823</v>
      </c>
      <c r="AA82" s="117">
        <f t="shared" si="86"/>
        <v>30807.40023</v>
      </c>
      <c r="AB82" s="117">
        <f>AVERAGE(Y82:AA82)/AVERAGE(Y$76:AA$76)*AB$76*(1-AB96)</f>
        <v>32131.41517</v>
      </c>
      <c r="AC82" s="117">
        <f t="shared" ref="AC82:CI82" si="93">AVERAGE(Z82:AB82)/AVERAGE(Z$76:AB$76)*AC$76</f>
        <v>32974.4298</v>
      </c>
      <c r="AD82" s="117">
        <f t="shared" si="93"/>
        <v>32436.68001</v>
      </c>
      <c r="AE82" s="117">
        <f t="shared" si="93"/>
        <v>32514.17499</v>
      </c>
      <c r="AF82" s="117">
        <f t="shared" si="93"/>
        <v>34110.64087</v>
      </c>
      <c r="AG82" s="117">
        <f t="shared" si="93"/>
        <v>33996.47395</v>
      </c>
      <c r="AH82" s="117">
        <f t="shared" si="93"/>
        <v>49154.32668</v>
      </c>
      <c r="AI82" s="117">
        <f t="shared" si="93"/>
        <v>64306.83395</v>
      </c>
      <c r="AJ82" s="117">
        <f t="shared" si="93"/>
        <v>82294.82086</v>
      </c>
      <c r="AK82" s="117">
        <f t="shared" si="93"/>
        <v>97435.23359</v>
      </c>
      <c r="AL82" s="117">
        <f t="shared" si="93"/>
        <v>112565.3277</v>
      </c>
      <c r="AM82" s="117">
        <f t="shared" si="93"/>
        <v>127685.3354</v>
      </c>
      <c r="AN82" s="117">
        <f t="shared" si="93"/>
        <v>148529.0779</v>
      </c>
      <c r="AO82" s="117">
        <f t="shared" si="93"/>
        <v>148528.8885</v>
      </c>
      <c r="AP82" s="117">
        <f t="shared" si="93"/>
        <v>148527.6626</v>
      </c>
      <c r="AQ82" s="117">
        <f t="shared" si="93"/>
        <v>148528.543</v>
      </c>
      <c r="AR82" s="117">
        <f t="shared" si="93"/>
        <v>154469.4993</v>
      </c>
      <c r="AS82" s="117">
        <f t="shared" si="93"/>
        <v>154469.3201</v>
      </c>
      <c r="AT82" s="117">
        <f t="shared" si="93"/>
        <v>154469.499</v>
      </c>
      <c r="AU82" s="117">
        <f t="shared" si="93"/>
        <v>154469.4394</v>
      </c>
      <c r="AV82" s="117">
        <f t="shared" si="93"/>
        <v>160648.1963</v>
      </c>
      <c r="AW82" s="117">
        <f t="shared" si="93"/>
        <v>160648.2303</v>
      </c>
      <c r="AX82" s="117">
        <f t="shared" si="93"/>
        <v>160648.2145</v>
      </c>
      <c r="AY82" s="117">
        <f t="shared" si="93"/>
        <v>160648.2137</v>
      </c>
      <c r="AZ82" s="117">
        <f t="shared" si="93"/>
        <v>167074.1483</v>
      </c>
      <c r="BA82" s="117">
        <f t="shared" si="93"/>
        <v>167074.1446</v>
      </c>
      <c r="BB82" s="117">
        <f t="shared" si="93"/>
        <v>167074.1451</v>
      </c>
      <c r="BC82" s="117">
        <f t="shared" si="93"/>
        <v>167074.146</v>
      </c>
      <c r="BD82" s="117">
        <f t="shared" si="93"/>
        <v>190773.0966</v>
      </c>
      <c r="BE82" s="117">
        <f t="shared" si="93"/>
        <v>190773.0968</v>
      </c>
      <c r="BF82" s="117">
        <f t="shared" si="93"/>
        <v>190773.0969</v>
      </c>
      <c r="BG82" s="117">
        <f t="shared" si="93"/>
        <v>208469.7217</v>
      </c>
      <c r="BH82" s="117">
        <f t="shared" si="93"/>
        <v>216808.5107</v>
      </c>
      <c r="BI82" s="117">
        <f t="shared" si="93"/>
        <v>234505.1357</v>
      </c>
      <c r="BJ82" s="117">
        <f t="shared" si="93"/>
        <v>234505.1357</v>
      </c>
      <c r="BK82" s="117">
        <f t="shared" si="93"/>
        <v>234505.1357</v>
      </c>
      <c r="BL82" s="117">
        <f t="shared" si="93"/>
        <v>262289.8311</v>
      </c>
      <c r="BM82" s="117">
        <f t="shared" si="93"/>
        <v>262289.8311</v>
      </c>
      <c r="BN82" s="117">
        <f t="shared" si="93"/>
        <v>262289.8311</v>
      </c>
      <c r="BO82" s="117">
        <f t="shared" si="93"/>
        <v>280694.3211</v>
      </c>
      <c r="BP82" s="117">
        <f t="shared" si="93"/>
        <v>291922.0939</v>
      </c>
      <c r="BQ82" s="117">
        <f t="shared" si="93"/>
        <v>291922.0939</v>
      </c>
      <c r="BR82" s="117">
        <f t="shared" si="93"/>
        <v>311062.7635</v>
      </c>
      <c r="BS82" s="117">
        <f t="shared" si="93"/>
        <v>311062.7635</v>
      </c>
      <c r="BT82" s="117">
        <f t="shared" si="93"/>
        <v>323505.2741</v>
      </c>
      <c r="BU82" s="117">
        <f t="shared" si="93"/>
        <v>342645.9437</v>
      </c>
      <c r="BV82" s="117">
        <f t="shared" si="93"/>
        <v>342645.9437</v>
      </c>
      <c r="BW82" s="117">
        <f t="shared" si="93"/>
        <v>342645.9437</v>
      </c>
      <c r="BX82" s="117">
        <f t="shared" si="93"/>
        <v>376258.0778</v>
      </c>
      <c r="BY82" s="117">
        <f t="shared" si="93"/>
        <v>376258.0778</v>
      </c>
      <c r="BZ82" s="117">
        <f t="shared" si="93"/>
        <v>376258.0778</v>
      </c>
      <c r="CA82" s="117">
        <f t="shared" si="93"/>
        <v>376258.0778</v>
      </c>
      <c r="CB82" s="117">
        <f t="shared" si="93"/>
        <v>391308.4009</v>
      </c>
      <c r="CC82" s="117">
        <f t="shared" si="93"/>
        <v>391308.4009</v>
      </c>
      <c r="CD82" s="117">
        <f t="shared" si="93"/>
        <v>391308.4009</v>
      </c>
      <c r="CE82" s="117">
        <f t="shared" si="93"/>
        <v>391308.4009</v>
      </c>
      <c r="CF82" s="117">
        <f t="shared" si="93"/>
        <v>406960.7369</v>
      </c>
      <c r="CG82" s="117">
        <f t="shared" si="93"/>
        <v>406960.7369</v>
      </c>
      <c r="CH82" s="117">
        <f t="shared" si="93"/>
        <v>406960.7369</v>
      </c>
      <c r="CI82" s="117">
        <f t="shared" si="93"/>
        <v>406960.7369</v>
      </c>
    </row>
    <row r="83" ht="15.75" customHeight="1" outlineLevel="1">
      <c r="A83" s="1" t="s">
        <v>122</v>
      </c>
      <c r="B83" s="91" t="s">
        <v>175</v>
      </c>
      <c r="C83" s="132" t="s">
        <v>230</v>
      </c>
      <c r="D83" s="247">
        <f t="shared" ref="D83:Z83" si="94">RANDBETWEEN(0,5000)</f>
        <v>1712</v>
      </c>
      <c r="E83" s="247">
        <f t="shared" si="94"/>
        <v>3498</v>
      </c>
      <c r="F83" s="247">
        <f t="shared" si="94"/>
        <v>866</v>
      </c>
      <c r="G83" s="247">
        <f t="shared" si="94"/>
        <v>4527</v>
      </c>
      <c r="H83" s="247">
        <f t="shared" si="94"/>
        <v>1067</v>
      </c>
      <c r="I83" s="247">
        <f t="shared" si="94"/>
        <v>1996</v>
      </c>
      <c r="J83" s="247">
        <f t="shared" si="94"/>
        <v>2003</v>
      </c>
      <c r="K83" s="247">
        <f t="shared" si="94"/>
        <v>1406</v>
      </c>
      <c r="L83" s="247">
        <f t="shared" si="94"/>
        <v>178</v>
      </c>
      <c r="M83" s="247">
        <f t="shared" si="94"/>
        <v>1106</v>
      </c>
      <c r="N83" s="247">
        <f t="shared" si="94"/>
        <v>4587</v>
      </c>
      <c r="O83" s="247">
        <f t="shared" si="94"/>
        <v>415</v>
      </c>
      <c r="P83" s="247">
        <f t="shared" si="94"/>
        <v>3449</v>
      </c>
      <c r="Q83" s="247">
        <f t="shared" si="94"/>
        <v>3748</v>
      </c>
      <c r="R83" s="247">
        <f t="shared" si="94"/>
        <v>4131</v>
      </c>
      <c r="S83" s="247">
        <f t="shared" si="94"/>
        <v>1697</v>
      </c>
      <c r="T83" s="247">
        <f t="shared" si="94"/>
        <v>4741</v>
      </c>
      <c r="U83" s="247">
        <f t="shared" si="94"/>
        <v>2989</v>
      </c>
      <c r="V83" s="247">
        <f t="shared" si="94"/>
        <v>4913</v>
      </c>
      <c r="W83" s="247">
        <f t="shared" si="94"/>
        <v>4731</v>
      </c>
      <c r="X83" s="247">
        <f t="shared" si="94"/>
        <v>307</v>
      </c>
      <c r="Y83" s="247">
        <f t="shared" si="94"/>
        <v>4012</v>
      </c>
      <c r="Z83" s="247">
        <f t="shared" si="94"/>
        <v>761</v>
      </c>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c r="BC83" s="116"/>
      <c r="BD83" s="116"/>
      <c r="BE83" s="116"/>
      <c r="BF83" s="116"/>
      <c r="BG83" s="116"/>
      <c r="BH83" s="116"/>
      <c r="BI83" s="116"/>
      <c r="BJ83" s="116"/>
      <c r="BK83" s="116"/>
      <c r="BL83" s="116"/>
      <c r="BM83" s="116"/>
      <c r="BN83" s="116"/>
      <c r="BO83" s="116"/>
      <c r="BP83" s="116"/>
      <c r="BQ83" s="116"/>
      <c r="BR83" s="116"/>
      <c r="BS83" s="116"/>
      <c r="BT83" s="116"/>
      <c r="BU83" s="116"/>
      <c r="BV83" s="116"/>
      <c r="BW83" s="116"/>
      <c r="BX83" s="116"/>
      <c r="BY83" s="116"/>
      <c r="BZ83" s="116"/>
      <c r="CA83" s="116"/>
      <c r="CB83" s="116"/>
      <c r="CC83" s="116"/>
      <c r="CD83" s="116"/>
      <c r="CE83" s="116"/>
      <c r="CF83" s="116"/>
      <c r="CG83" s="116"/>
      <c r="CH83" s="116"/>
      <c r="CI83" s="116"/>
    </row>
    <row r="84" ht="15.75" customHeight="1" outlineLevel="1">
      <c r="A84" s="1" t="s">
        <v>122</v>
      </c>
      <c r="B84" s="91" t="s">
        <v>175</v>
      </c>
      <c r="C84" s="132" t="s">
        <v>231</v>
      </c>
      <c r="D84" s="247">
        <f t="shared" ref="D84:Z84" si="95">RANDBETWEEN(0,5000)</f>
        <v>1441</v>
      </c>
      <c r="E84" s="247">
        <f t="shared" si="95"/>
        <v>1848</v>
      </c>
      <c r="F84" s="247">
        <f t="shared" si="95"/>
        <v>2485</v>
      </c>
      <c r="G84" s="247">
        <f t="shared" si="95"/>
        <v>683</v>
      </c>
      <c r="H84" s="247">
        <f t="shared" si="95"/>
        <v>4022</v>
      </c>
      <c r="I84" s="247">
        <f t="shared" si="95"/>
        <v>4536</v>
      </c>
      <c r="J84" s="247">
        <f t="shared" si="95"/>
        <v>4490</v>
      </c>
      <c r="K84" s="247">
        <f t="shared" si="95"/>
        <v>4804</v>
      </c>
      <c r="L84" s="247">
        <f t="shared" si="95"/>
        <v>3650</v>
      </c>
      <c r="M84" s="247">
        <f t="shared" si="95"/>
        <v>334</v>
      </c>
      <c r="N84" s="247">
        <f t="shared" si="95"/>
        <v>2628</v>
      </c>
      <c r="O84" s="247">
        <f t="shared" si="95"/>
        <v>4175</v>
      </c>
      <c r="P84" s="247">
        <f t="shared" si="95"/>
        <v>1866</v>
      </c>
      <c r="Q84" s="247">
        <f t="shared" si="95"/>
        <v>95</v>
      </c>
      <c r="R84" s="247">
        <f t="shared" si="95"/>
        <v>97</v>
      </c>
      <c r="S84" s="247">
        <f t="shared" si="95"/>
        <v>2434</v>
      </c>
      <c r="T84" s="247">
        <f t="shared" si="95"/>
        <v>2619</v>
      </c>
      <c r="U84" s="247">
        <f t="shared" si="95"/>
        <v>351</v>
      </c>
      <c r="V84" s="247">
        <f t="shared" si="95"/>
        <v>4157</v>
      </c>
      <c r="W84" s="247">
        <f t="shared" si="95"/>
        <v>1715</v>
      </c>
      <c r="X84" s="247">
        <f t="shared" si="95"/>
        <v>275</v>
      </c>
      <c r="Y84" s="247">
        <f t="shared" si="95"/>
        <v>1261</v>
      </c>
      <c r="Z84" s="247">
        <f t="shared" si="95"/>
        <v>4904</v>
      </c>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c r="BC84" s="116"/>
      <c r="BD84" s="116"/>
      <c r="BE84" s="116"/>
      <c r="BF84" s="116"/>
      <c r="BG84" s="116"/>
      <c r="BH84" s="116"/>
      <c r="BI84" s="116"/>
      <c r="BJ84" s="116"/>
      <c r="BK84" s="116"/>
      <c r="BL84" s="116"/>
      <c r="BM84" s="116"/>
      <c r="BN84" s="116"/>
      <c r="BO84" s="116"/>
      <c r="BP84" s="116"/>
      <c r="BQ84" s="116"/>
      <c r="BR84" s="116"/>
      <c r="BS84" s="116"/>
      <c r="BT84" s="116"/>
      <c r="BU84" s="116"/>
      <c r="BV84" s="116"/>
      <c r="BW84" s="116"/>
      <c r="BX84" s="116"/>
      <c r="BY84" s="116"/>
      <c r="BZ84" s="116"/>
      <c r="CA84" s="116"/>
      <c r="CB84" s="116"/>
      <c r="CC84" s="116"/>
      <c r="CD84" s="116"/>
      <c r="CE84" s="116"/>
      <c r="CF84" s="116"/>
      <c r="CG84" s="116"/>
      <c r="CH84" s="116"/>
      <c r="CI84" s="116"/>
    </row>
    <row r="85" ht="15.75" customHeight="1" outlineLevel="1">
      <c r="A85" s="1" t="s">
        <v>122</v>
      </c>
      <c r="B85" s="91" t="s">
        <v>175</v>
      </c>
      <c r="C85" s="132" t="s">
        <v>234</v>
      </c>
      <c r="D85" s="247">
        <f t="shared" ref="D85:Z85" si="96">RANDBETWEEN(0,5000)</f>
        <v>717</v>
      </c>
      <c r="E85" s="247">
        <f t="shared" si="96"/>
        <v>3447</v>
      </c>
      <c r="F85" s="247">
        <f t="shared" si="96"/>
        <v>3260</v>
      </c>
      <c r="G85" s="247">
        <f t="shared" si="96"/>
        <v>2594</v>
      </c>
      <c r="H85" s="247">
        <f t="shared" si="96"/>
        <v>4988</v>
      </c>
      <c r="I85" s="247">
        <f t="shared" si="96"/>
        <v>189</v>
      </c>
      <c r="J85" s="247">
        <f t="shared" si="96"/>
        <v>3262</v>
      </c>
      <c r="K85" s="247">
        <f t="shared" si="96"/>
        <v>1594</v>
      </c>
      <c r="L85" s="247">
        <f t="shared" si="96"/>
        <v>88</v>
      </c>
      <c r="M85" s="247">
        <f t="shared" si="96"/>
        <v>2091</v>
      </c>
      <c r="N85" s="247">
        <f t="shared" si="96"/>
        <v>3978</v>
      </c>
      <c r="O85" s="247">
        <f t="shared" si="96"/>
        <v>2442</v>
      </c>
      <c r="P85" s="247">
        <f t="shared" si="96"/>
        <v>1245</v>
      </c>
      <c r="Q85" s="247">
        <f t="shared" si="96"/>
        <v>2385</v>
      </c>
      <c r="R85" s="247">
        <f t="shared" si="96"/>
        <v>2507</v>
      </c>
      <c r="S85" s="247">
        <f t="shared" si="96"/>
        <v>4832</v>
      </c>
      <c r="T85" s="247">
        <f t="shared" si="96"/>
        <v>558</v>
      </c>
      <c r="U85" s="247">
        <f t="shared" si="96"/>
        <v>748</v>
      </c>
      <c r="V85" s="247">
        <f t="shared" si="96"/>
        <v>1271</v>
      </c>
      <c r="W85" s="247">
        <f t="shared" si="96"/>
        <v>1265</v>
      </c>
      <c r="X85" s="247">
        <f t="shared" si="96"/>
        <v>3562</v>
      </c>
      <c r="Y85" s="247">
        <f t="shared" si="96"/>
        <v>3512</v>
      </c>
      <c r="Z85" s="247">
        <f t="shared" si="96"/>
        <v>4948</v>
      </c>
      <c r="AA85" s="117">
        <f>AVERAGE(Y85:Z85)*(AA183/Z183)</f>
        <v>5550.139123</v>
      </c>
      <c r="AB85" s="117">
        <f>AVERAGE(Z85:AA85)*(AB183/AA183)*(1-AB96)</f>
        <v>6182.124957</v>
      </c>
      <c r="AC85" s="117">
        <f t="shared" ref="AC85:CI85" si="97">AVERAGE(AA85:AB85)*(AC183/AB183)</f>
        <v>6741.089534</v>
      </c>
      <c r="AD85" s="117">
        <f t="shared" si="97"/>
        <v>7229.661866</v>
      </c>
      <c r="AE85" s="117">
        <f t="shared" si="97"/>
        <v>7696.00072</v>
      </c>
      <c r="AF85" s="117">
        <f t="shared" si="97"/>
        <v>8147.504666</v>
      </c>
      <c r="AG85" s="117">
        <f t="shared" si="97"/>
        <v>8591.380715</v>
      </c>
      <c r="AH85" s="117">
        <f t="shared" si="97"/>
        <v>8957.482677</v>
      </c>
      <c r="AI85" s="117">
        <f t="shared" si="97"/>
        <v>9339.336308</v>
      </c>
      <c r="AJ85" s="117">
        <f t="shared" si="97"/>
        <v>9690.179214</v>
      </c>
      <c r="AK85" s="117">
        <f t="shared" si="97"/>
        <v>10009.27375</v>
      </c>
      <c r="AL85" s="117">
        <f t="shared" si="97"/>
        <v>10331.66206</v>
      </c>
      <c r="AM85" s="117">
        <f t="shared" si="97"/>
        <v>10650.85784</v>
      </c>
      <c r="AN85" s="117">
        <f t="shared" si="97"/>
        <v>10958.73982</v>
      </c>
      <c r="AO85" s="117">
        <f t="shared" si="97"/>
        <v>10886.88622</v>
      </c>
      <c r="AP85" s="117">
        <f t="shared" si="97"/>
        <v>11038.28337</v>
      </c>
      <c r="AQ85" s="117">
        <f t="shared" si="97"/>
        <v>11111.23168</v>
      </c>
      <c r="AR85" s="117">
        <f t="shared" si="97"/>
        <v>11232.04783</v>
      </c>
      <c r="AS85" s="117">
        <f t="shared" si="97"/>
        <v>11334.34831</v>
      </c>
      <c r="AT85" s="117">
        <f t="shared" si="97"/>
        <v>11443.40218</v>
      </c>
      <c r="AU85" s="117">
        <f t="shared" si="97"/>
        <v>11581.36335</v>
      </c>
      <c r="AV85" s="117">
        <f t="shared" si="97"/>
        <v>11666.81911</v>
      </c>
      <c r="AW85" s="117">
        <f t="shared" si="97"/>
        <v>11775.77743</v>
      </c>
      <c r="AX85" s="117">
        <f t="shared" si="97"/>
        <v>11870.19537</v>
      </c>
      <c r="AY85" s="117">
        <f t="shared" si="97"/>
        <v>11969.31307</v>
      </c>
      <c r="AZ85" s="117">
        <f t="shared" si="97"/>
        <v>12237.15839</v>
      </c>
      <c r="BA85" s="117">
        <f t="shared" si="97"/>
        <v>12339.54842</v>
      </c>
      <c r="BB85" s="117">
        <f t="shared" si="97"/>
        <v>12516.43017</v>
      </c>
      <c r="BC85" s="117">
        <f t="shared" si="97"/>
        <v>12648.62671</v>
      </c>
      <c r="BD85" s="117">
        <f t="shared" si="97"/>
        <v>12797.10085</v>
      </c>
      <c r="BE85" s="117">
        <f t="shared" si="97"/>
        <v>12931.87481</v>
      </c>
      <c r="BF85" s="117">
        <f t="shared" si="97"/>
        <v>13068.54548</v>
      </c>
      <c r="BG85" s="117">
        <f t="shared" si="97"/>
        <v>13199.7055</v>
      </c>
      <c r="BH85" s="117">
        <f t="shared" si="97"/>
        <v>13329.44471</v>
      </c>
      <c r="BI85" s="117">
        <f t="shared" si="97"/>
        <v>13456.02612</v>
      </c>
      <c r="BJ85" s="117">
        <f t="shared" si="97"/>
        <v>13580.60256</v>
      </c>
      <c r="BK85" s="117">
        <f t="shared" si="97"/>
        <v>13702.84496</v>
      </c>
      <c r="BL85" s="117">
        <f t="shared" si="97"/>
        <v>13907.22667</v>
      </c>
      <c r="BM85" s="117">
        <f t="shared" si="97"/>
        <v>14009.61272</v>
      </c>
      <c r="BN85" s="117">
        <f t="shared" si="97"/>
        <v>14143.01748</v>
      </c>
      <c r="BO85" s="117">
        <f t="shared" si="97"/>
        <v>14256.41139</v>
      </c>
      <c r="BP85" s="117">
        <f t="shared" si="97"/>
        <v>14378.20627</v>
      </c>
      <c r="BQ85" s="117">
        <f t="shared" si="97"/>
        <v>14494.22858</v>
      </c>
      <c r="BR85" s="117">
        <f t="shared" si="97"/>
        <v>14611.73359</v>
      </c>
      <c r="BS85" s="117">
        <f t="shared" si="97"/>
        <v>14727.21174</v>
      </c>
      <c r="BT85" s="117">
        <f t="shared" si="97"/>
        <v>14842.54923</v>
      </c>
      <c r="BU85" s="117">
        <f t="shared" si="97"/>
        <v>14956.9174</v>
      </c>
      <c r="BV85" s="117">
        <f t="shared" si="97"/>
        <v>15070.84542</v>
      </c>
      <c r="BW85" s="117">
        <f t="shared" si="97"/>
        <v>15184.17667</v>
      </c>
      <c r="BX85" s="117">
        <f t="shared" si="97"/>
        <v>15359.52699</v>
      </c>
      <c r="BY85" s="117">
        <f t="shared" si="97"/>
        <v>15379.67876</v>
      </c>
      <c r="BZ85" s="117">
        <f t="shared" si="97"/>
        <v>15472.60255</v>
      </c>
      <c r="CA85" s="117">
        <f t="shared" si="97"/>
        <v>15534.19094</v>
      </c>
      <c r="CB85" s="117">
        <f t="shared" si="97"/>
        <v>15614.34849</v>
      </c>
      <c r="CC85" s="117">
        <f t="shared" si="97"/>
        <v>15686.36918</v>
      </c>
      <c r="CD85" s="117">
        <f t="shared" si="97"/>
        <v>15762.93113</v>
      </c>
      <c r="CE85" s="117">
        <f t="shared" si="97"/>
        <v>15837.32074</v>
      </c>
      <c r="CF85" s="117">
        <f t="shared" si="97"/>
        <v>15912.70179</v>
      </c>
      <c r="CG85" s="117">
        <f t="shared" si="97"/>
        <v>15987.37515</v>
      </c>
      <c r="CH85" s="117">
        <f t="shared" si="97"/>
        <v>16062.13351</v>
      </c>
      <c r="CI85" s="117">
        <f t="shared" si="97"/>
        <v>16136.55718</v>
      </c>
    </row>
    <row r="86" ht="15.75" customHeight="1" outlineLevel="1">
      <c r="A86" s="1" t="s">
        <v>122</v>
      </c>
      <c r="B86" s="91" t="s">
        <v>176</v>
      </c>
      <c r="C86" s="132" t="s">
        <v>235</v>
      </c>
      <c r="D86" s="247">
        <f t="shared" ref="D86:Z86" si="98">RANDBETWEEN(0,5000)</f>
        <v>1279</v>
      </c>
      <c r="E86" s="247">
        <f t="shared" si="98"/>
        <v>1739</v>
      </c>
      <c r="F86" s="247">
        <f t="shared" si="98"/>
        <v>4597</v>
      </c>
      <c r="G86" s="247">
        <f t="shared" si="98"/>
        <v>432</v>
      </c>
      <c r="H86" s="247">
        <f t="shared" si="98"/>
        <v>3663</v>
      </c>
      <c r="I86" s="247">
        <f t="shared" si="98"/>
        <v>1980</v>
      </c>
      <c r="J86" s="247">
        <f t="shared" si="98"/>
        <v>4708</v>
      </c>
      <c r="K86" s="247">
        <f t="shared" si="98"/>
        <v>529</v>
      </c>
      <c r="L86" s="247">
        <f t="shared" si="98"/>
        <v>482</v>
      </c>
      <c r="M86" s="247">
        <f t="shared" si="98"/>
        <v>2261</v>
      </c>
      <c r="N86" s="247">
        <f t="shared" si="98"/>
        <v>2444</v>
      </c>
      <c r="O86" s="247">
        <f t="shared" si="98"/>
        <v>4642</v>
      </c>
      <c r="P86" s="247">
        <f t="shared" si="98"/>
        <v>3229</v>
      </c>
      <c r="Q86" s="247">
        <f t="shared" si="98"/>
        <v>2536</v>
      </c>
      <c r="R86" s="247">
        <f t="shared" si="98"/>
        <v>3500</v>
      </c>
      <c r="S86" s="247">
        <f t="shared" si="98"/>
        <v>303</v>
      </c>
      <c r="T86" s="247">
        <f t="shared" si="98"/>
        <v>2446</v>
      </c>
      <c r="U86" s="247">
        <f t="shared" si="98"/>
        <v>2013</v>
      </c>
      <c r="V86" s="247">
        <f t="shared" si="98"/>
        <v>3103</v>
      </c>
      <c r="W86" s="247">
        <f t="shared" si="98"/>
        <v>206</v>
      </c>
      <c r="X86" s="247">
        <f t="shared" si="98"/>
        <v>3141</v>
      </c>
      <c r="Y86" s="247">
        <f t="shared" si="98"/>
        <v>1641</v>
      </c>
      <c r="Z86" s="247">
        <f t="shared" si="98"/>
        <v>2451</v>
      </c>
      <c r="AA86" s="117">
        <v>20000.0</v>
      </c>
      <c r="AB86" s="117">
        <f>AVERAGE(Y86:AA86)/AVERAGE(Y$76:AA$76)*AB$76*(1-AB96)</f>
        <v>19620.87044</v>
      </c>
      <c r="AC86" s="117">
        <f t="shared" ref="AC86:CI86" si="99">AVERAGE(Z86:AB86)/AVERAGE(Z$76:AB$76)*AC$76</f>
        <v>20473.12236</v>
      </c>
      <c r="AD86" s="117">
        <f t="shared" si="99"/>
        <v>20323.04935</v>
      </c>
      <c r="AE86" s="117">
        <f t="shared" si="99"/>
        <v>20139.01405</v>
      </c>
      <c r="AF86" s="117">
        <f t="shared" si="99"/>
        <v>21225.75637</v>
      </c>
      <c r="AG86" s="117">
        <f t="shared" si="99"/>
        <v>21170.36836</v>
      </c>
      <c r="AH86" s="117">
        <f t="shared" si="99"/>
        <v>30548.92902</v>
      </c>
      <c r="AI86" s="117">
        <f t="shared" si="99"/>
        <v>40003.47769</v>
      </c>
      <c r="AJ86" s="117">
        <f t="shared" si="99"/>
        <v>51189.68146</v>
      </c>
      <c r="AK86" s="117">
        <f t="shared" si="99"/>
        <v>60595.69015</v>
      </c>
      <c r="AL86" s="117">
        <f t="shared" si="99"/>
        <v>70014.66734</v>
      </c>
      <c r="AM86" s="117">
        <f t="shared" si="99"/>
        <v>79416.91992</v>
      </c>
      <c r="AN86" s="117">
        <f t="shared" si="99"/>
        <v>92379.21437</v>
      </c>
      <c r="AO86" s="117">
        <f t="shared" si="99"/>
        <v>92381.07289</v>
      </c>
      <c r="AP86" s="117">
        <f t="shared" si="99"/>
        <v>92379.61594</v>
      </c>
      <c r="AQ86" s="117">
        <f t="shared" si="99"/>
        <v>92379.96773</v>
      </c>
      <c r="AR86" s="117">
        <f t="shared" si="99"/>
        <v>96075.42761</v>
      </c>
      <c r="AS86" s="117">
        <f t="shared" si="99"/>
        <v>96075.13544</v>
      </c>
      <c r="AT86" s="117">
        <f t="shared" si="99"/>
        <v>96075.24416</v>
      </c>
      <c r="AU86" s="117">
        <f t="shared" si="99"/>
        <v>96075.26907</v>
      </c>
      <c r="AV86" s="117">
        <f t="shared" si="99"/>
        <v>99918.22487</v>
      </c>
      <c r="AW86" s="117">
        <f t="shared" si="99"/>
        <v>99918.25251</v>
      </c>
      <c r="AX86" s="117">
        <f t="shared" si="99"/>
        <v>99918.25205</v>
      </c>
      <c r="AY86" s="117">
        <f t="shared" si="99"/>
        <v>99918.24314</v>
      </c>
      <c r="AZ86" s="117">
        <f t="shared" si="99"/>
        <v>103914.9792</v>
      </c>
      <c r="BA86" s="117">
        <f t="shared" si="99"/>
        <v>103914.9781</v>
      </c>
      <c r="BB86" s="117">
        <f t="shared" si="99"/>
        <v>103914.9768</v>
      </c>
      <c r="BC86" s="117">
        <f t="shared" si="99"/>
        <v>103914.978</v>
      </c>
      <c r="BD86" s="117">
        <f t="shared" si="99"/>
        <v>118654.9962</v>
      </c>
      <c r="BE86" s="117">
        <f t="shared" si="99"/>
        <v>118654.996</v>
      </c>
      <c r="BF86" s="117">
        <f t="shared" si="99"/>
        <v>118654.9963</v>
      </c>
      <c r="BG86" s="117">
        <f t="shared" si="99"/>
        <v>129661.7524</v>
      </c>
      <c r="BH86" s="117">
        <f t="shared" si="99"/>
        <v>134848.2225</v>
      </c>
      <c r="BI86" s="117">
        <f t="shared" si="99"/>
        <v>145854.9787</v>
      </c>
      <c r="BJ86" s="117">
        <f t="shared" si="99"/>
        <v>145854.9787</v>
      </c>
      <c r="BK86" s="117">
        <f t="shared" si="99"/>
        <v>145854.9787</v>
      </c>
      <c r="BL86" s="117">
        <f t="shared" si="99"/>
        <v>163136.2043</v>
      </c>
      <c r="BM86" s="117">
        <f t="shared" si="99"/>
        <v>163136.2043</v>
      </c>
      <c r="BN86" s="117">
        <f t="shared" si="99"/>
        <v>163136.2043</v>
      </c>
      <c r="BO86" s="117">
        <f t="shared" si="99"/>
        <v>174583.2308</v>
      </c>
      <c r="BP86" s="117">
        <f t="shared" si="99"/>
        <v>181566.56</v>
      </c>
      <c r="BQ86" s="117">
        <f t="shared" si="99"/>
        <v>181566.56</v>
      </c>
      <c r="BR86" s="117">
        <f t="shared" si="99"/>
        <v>193471.4676</v>
      </c>
      <c r="BS86" s="117">
        <f t="shared" si="99"/>
        <v>193471.4676</v>
      </c>
      <c r="BT86" s="117">
        <f t="shared" si="99"/>
        <v>201210.3263</v>
      </c>
      <c r="BU86" s="117">
        <f t="shared" si="99"/>
        <v>213115.2338</v>
      </c>
      <c r="BV86" s="117">
        <f t="shared" si="99"/>
        <v>213115.2338</v>
      </c>
      <c r="BW86" s="117">
        <f t="shared" si="99"/>
        <v>213115.2338</v>
      </c>
      <c r="BX86" s="117">
        <f t="shared" si="99"/>
        <v>234020.947</v>
      </c>
      <c r="BY86" s="117">
        <f t="shared" si="99"/>
        <v>234020.947</v>
      </c>
      <c r="BZ86" s="117">
        <f t="shared" si="99"/>
        <v>234020.947</v>
      </c>
      <c r="CA86" s="117">
        <f t="shared" si="99"/>
        <v>234020.947</v>
      </c>
      <c r="CB86" s="117">
        <f t="shared" si="99"/>
        <v>243381.7849</v>
      </c>
      <c r="CC86" s="117">
        <f t="shared" si="99"/>
        <v>243381.7849</v>
      </c>
      <c r="CD86" s="117">
        <f t="shared" si="99"/>
        <v>243381.7849</v>
      </c>
      <c r="CE86" s="117">
        <f t="shared" si="99"/>
        <v>243381.7849</v>
      </c>
      <c r="CF86" s="117">
        <f t="shared" si="99"/>
        <v>253117.0563</v>
      </c>
      <c r="CG86" s="117">
        <f t="shared" si="99"/>
        <v>253117.0563</v>
      </c>
      <c r="CH86" s="117">
        <f t="shared" si="99"/>
        <v>253117.0563</v>
      </c>
      <c r="CI86" s="117">
        <f t="shared" si="99"/>
        <v>253117.0563</v>
      </c>
    </row>
    <row r="87" ht="15.75" customHeight="1" outlineLevel="1">
      <c r="A87" s="1" t="s">
        <v>122</v>
      </c>
      <c r="B87" s="91" t="s">
        <v>66</v>
      </c>
      <c r="C87" s="132" t="s">
        <v>236</v>
      </c>
      <c r="D87" s="247">
        <f t="shared" ref="D87:Z87" si="100">RANDBETWEEN(0,5000)</f>
        <v>739</v>
      </c>
      <c r="E87" s="247">
        <f t="shared" si="100"/>
        <v>2682</v>
      </c>
      <c r="F87" s="247">
        <f t="shared" si="100"/>
        <v>4053</v>
      </c>
      <c r="G87" s="247">
        <f t="shared" si="100"/>
        <v>1533</v>
      </c>
      <c r="H87" s="247">
        <f t="shared" si="100"/>
        <v>2176</v>
      </c>
      <c r="I87" s="247">
        <f t="shared" si="100"/>
        <v>482</v>
      </c>
      <c r="J87" s="247">
        <f t="shared" si="100"/>
        <v>414</v>
      </c>
      <c r="K87" s="247">
        <f t="shared" si="100"/>
        <v>1256</v>
      </c>
      <c r="L87" s="247">
        <f t="shared" si="100"/>
        <v>1176</v>
      </c>
      <c r="M87" s="247">
        <f t="shared" si="100"/>
        <v>2861</v>
      </c>
      <c r="N87" s="247">
        <f t="shared" si="100"/>
        <v>2590</v>
      </c>
      <c r="O87" s="247">
        <f t="shared" si="100"/>
        <v>4480</v>
      </c>
      <c r="P87" s="247">
        <f t="shared" si="100"/>
        <v>2894</v>
      </c>
      <c r="Q87" s="247">
        <f t="shared" si="100"/>
        <v>2515</v>
      </c>
      <c r="R87" s="247">
        <f t="shared" si="100"/>
        <v>2865</v>
      </c>
      <c r="S87" s="247">
        <f t="shared" si="100"/>
        <v>1790</v>
      </c>
      <c r="T87" s="247">
        <f t="shared" si="100"/>
        <v>3366</v>
      </c>
      <c r="U87" s="247">
        <f t="shared" si="100"/>
        <v>4166</v>
      </c>
      <c r="V87" s="247">
        <f t="shared" si="100"/>
        <v>466</v>
      </c>
      <c r="W87" s="247">
        <f t="shared" si="100"/>
        <v>56</v>
      </c>
      <c r="X87" s="247">
        <f t="shared" si="100"/>
        <v>4556</v>
      </c>
      <c r="Y87" s="247">
        <f t="shared" si="100"/>
        <v>2328</v>
      </c>
      <c r="Z87" s="247">
        <f t="shared" si="100"/>
        <v>2925</v>
      </c>
      <c r="AA87" s="116">
        <f>Expenses!T25</f>
        <v>0</v>
      </c>
      <c r="AB87" s="116">
        <f>Expenses!U25*(1-AB96)</f>
        <v>0</v>
      </c>
      <c r="AC87" s="116">
        <f>Expenses!V25</f>
        <v>0</v>
      </c>
      <c r="AD87" s="116">
        <f>Expenses!W25</f>
        <v>0</v>
      </c>
      <c r="AE87" s="116">
        <f>Expenses!X25</f>
        <v>0</v>
      </c>
      <c r="AF87" s="116">
        <f>Expenses!Y25</f>
        <v>0</v>
      </c>
      <c r="AG87" s="116">
        <f>Expenses!Z25</f>
        <v>0</v>
      </c>
      <c r="AH87" s="116">
        <f>Expenses!AA25</f>
        <v>0</v>
      </c>
      <c r="AI87" s="116">
        <f>Expenses!AB25</f>
        <v>0</v>
      </c>
      <c r="AJ87" s="116">
        <f>Expenses!AC25</f>
        <v>0</v>
      </c>
      <c r="AK87" s="116">
        <f>Expenses!AD25</f>
        <v>0</v>
      </c>
      <c r="AL87" s="116">
        <f>Expenses!AE25</f>
        <v>0</v>
      </c>
      <c r="AM87" s="116">
        <f>Expenses!AF25</f>
        <v>0</v>
      </c>
      <c r="AN87" s="116">
        <f>Expenses!AG25</f>
        <v>0</v>
      </c>
      <c r="AO87" s="116">
        <f>Expenses!AH25</f>
        <v>0</v>
      </c>
      <c r="AP87" s="116">
        <f>Expenses!AI25</f>
        <v>0</v>
      </c>
      <c r="AQ87" s="116">
        <f>Expenses!AJ25</f>
        <v>0</v>
      </c>
      <c r="AR87" s="116">
        <f>Expenses!AK25</f>
        <v>0</v>
      </c>
      <c r="AS87" s="116">
        <f>Expenses!AL25</f>
        <v>0</v>
      </c>
      <c r="AT87" s="116">
        <f>Expenses!AM25</f>
        <v>0</v>
      </c>
      <c r="AU87" s="116">
        <f>Expenses!AN25</f>
        <v>0</v>
      </c>
      <c r="AV87" s="116">
        <f>Expenses!AO25</f>
        <v>0</v>
      </c>
      <c r="AW87" s="116">
        <f>Expenses!AP25</f>
        <v>0</v>
      </c>
      <c r="AX87" s="116">
        <f>Expenses!AQ25</f>
        <v>0</v>
      </c>
      <c r="AY87" s="116">
        <f>Expenses!AR25</f>
        <v>0</v>
      </c>
      <c r="AZ87" s="116">
        <f>Expenses!AS25</f>
        <v>0</v>
      </c>
      <c r="BA87" s="116">
        <f>Expenses!AT25</f>
        <v>0</v>
      </c>
      <c r="BB87" s="116">
        <f>Expenses!AU25</f>
        <v>0</v>
      </c>
      <c r="BC87" s="116">
        <f>Expenses!AV25</f>
        <v>0</v>
      </c>
      <c r="BD87" s="116">
        <f>Expenses!AW25</f>
        <v>0</v>
      </c>
      <c r="BE87" s="116">
        <f>Expenses!AX25</f>
        <v>0</v>
      </c>
      <c r="BF87" s="116">
        <f>Expenses!AY25</f>
        <v>0</v>
      </c>
      <c r="BG87" s="116">
        <f>Expenses!AZ25</f>
        <v>0</v>
      </c>
      <c r="BH87" s="116">
        <f>Expenses!BA25</f>
        <v>0</v>
      </c>
      <c r="BI87" s="116">
        <f>Expenses!BB25</f>
        <v>0</v>
      </c>
      <c r="BJ87" s="116">
        <f>Expenses!BC25</f>
        <v>0</v>
      </c>
      <c r="BK87" s="116">
        <f>Expenses!BD25</f>
        <v>0</v>
      </c>
      <c r="BL87" s="116">
        <f>Expenses!BE25</f>
        <v>0</v>
      </c>
      <c r="BM87" s="116">
        <f>Expenses!BF25</f>
        <v>0</v>
      </c>
      <c r="BN87" s="116">
        <f>Expenses!BG25</f>
        <v>0</v>
      </c>
      <c r="BO87" s="116">
        <f>Expenses!BH25</f>
        <v>0</v>
      </c>
      <c r="BP87" s="116">
        <f>Expenses!BI25</f>
        <v>0</v>
      </c>
      <c r="BQ87" s="116">
        <f>Expenses!BJ25</f>
        <v>0</v>
      </c>
      <c r="BR87" s="116">
        <f>Expenses!BK25</f>
        <v>0</v>
      </c>
      <c r="BS87" s="116">
        <f>Expenses!BL25</f>
        <v>0</v>
      </c>
      <c r="BT87" s="116">
        <f>Expenses!BM25</f>
        <v>0</v>
      </c>
      <c r="BU87" s="116">
        <f>Expenses!BN25</f>
        <v>0</v>
      </c>
      <c r="BV87" s="116">
        <f>Expenses!BO25</f>
        <v>0</v>
      </c>
      <c r="BW87" s="116">
        <f>Expenses!BP25</f>
        <v>0</v>
      </c>
      <c r="BX87" s="116">
        <f>Expenses!BQ25</f>
        <v>0</v>
      </c>
      <c r="BY87" s="116">
        <f>Expenses!BR25</f>
        <v>0</v>
      </c>
      <c r="BZ87" s="116">
        <f>Expenses!BS25</f>
        <v>0</v>
      </c>
      <c r="CA87" s="116">
        <f>Expenses!BT25</f>
        <v>0</v>
      </c>
      <c r="CB87" s="116">
        <f>Expenses!BU25</f>
        <v>0</v>
      </c>
      <c r="CC87" s="116">
        <f>Expenses!BV25</f>
        <v>0</v>
      </c>
      <c r="CD87" s="116">
        <f>Expenses!BW25</f>
        <v>0</v>
      </c>
      <c r="CE87" s="116">
        <f>Expenses!BX25</f>
        <v>0</v>
      </c>
      <c r="CF87" s="116">
        <f>Expenses!BY25</f>
        <v>0</v>
      </c>
      <c r="CG87" s="116">
        <f>Expenses!BZ25</f>
        <v>0</v>
      </c>
      <c r="CH87" s="116">
        <f>Expenses!CA25</f>
        <v>0</v>
      </c>
      <c r="CI87" s="116">
        <f>Expenses!CB25</f>
        <v>0</v>
      </c>
    </row>
    <row r="88" ht="15.75" customHeight="1" outlineLevel="1">
      <c r="A88" s="1" t="s">
        <v>122</v>
      </c>
      <c r="B88" s="91" t="s">
        <v>66</v>
      </c>
      <c r="C88" s="132" t="s">
        <v>237</v>
      </c>
      <c r="D88" s="247">
        <f t="shared" ref="D88:Z88" si="101">RANDBETWEEN(0,5000)</f>
        <v>3915</v>
      </c>
      <c r="E88" s="247">
        <f t="shared" si="101"/>
        <v>3311</v>
      </c>
      <c r="F88" s="247">
        <f t="shared" si="101"/>
        <v>2667</v>
      </c>
      <c r="G88" s="247">
        <f t="shared" si="101"/>
        <v>1697</v>
      </c>
      <c r="H88" s="247">
        <f t="shared" si="101"/>
        <v>4877</v>
      </c>
      <c r="I88" s="247">
        <f t="shared" si="101"/>
        <v>2132</v>
      </c>
      <c r="J88" s="247">
        <f t="shared" si="101"/>
        <v>1541</v>
      </c>
      <c r="K88" s="247">
        <f t="shared" si="101"/>
        <v>4306</v>
      </c>
      <c r="L88" s="247">
        <f t="shared" si="101"/>
        <v>1371</v>
      </c>
      <c r="M88" s="247">
        <f t="shared" si="101"/>
        <v>916</v>
      </c>
      <c r="N88" s="247">
        <f t="shared" si="101"/>
        <v>247</v>
      </c>
      <c r="O88" s="247">
        <f t="shared" si="101"/>
        <v>4500</v>
      </c>
      <c r="P88" s="247">
        <f t="shared" si="101"/>
        <v>3357</v>
      </c>
      <c r="Q88" s="247">
        <f t="shared" si="101"/>
        <v>417</v>
      </c>
      <c r="R88" s="247">
        <f t="shared" si="101"/>
        <v>4190</v>
      </c>
      <c r="S88" s="247">
        <f t="shared" si="101"/>
        <v>1220</v>
      </c>
      <c r="T88" s="247">
        <f t="shared" si="101"/>
        <v>276</v>
      </c>
      <c r="U88" s="247">
        <f t="shared" si="101"/>
        <v>3753</v>
      </c>
      <c r="V88" s="247">
        <f t="shared" si="101"/>
        <v>4770</v>
      </c>
      <c r="W88" s="247">
        <f t="shared" si="101"/>
        <v>618</v>
      </c>
      <c r="X88" s="247">
        <f t="shared" si="101"/>
        <v>4256</v>
      </c>
      <c r="Y88" s="247">
        <f t="shared" si="101"/>
        <v>3450</v>
      </c>
      <c r="Z88" s="247">
        <f t="shared" si="101"/>
        <v>1428</v>
      </c>
      <c r="AA88" s="116">
        <f>Expenses!T42</f>
        <v>1435.14</v>
      </c>
      <c r="AB88" s="116">
        <f>Expenses!U42*(1-AB96)</f>
        <v>1442.3157</v>
      </c>
      <c r="AC88" s="116">
        <f>Expenses!V42</f>
        <v>1449.527279</v>
      </c>
      <c r="AD88" s="116">
        <f>Expenses!W42</f>
        <v>1456.774915</v>
      </c>
      <c r="AE88" s="116">
        <f>Expenses!X42</f>
        <v>1464.058789</v>
      </c>
      <c r="AF88" s="116">
        <f>Expenses!Y42</f>
        <v>1471.379083</v>
      </c>
      <c r="AG88" s="116">
        <f>Expenses!Z42</f>
        <v>1478.735979</v>
      </c>
      <c r="AH88" s="116">
        <f>Expenses!AA42</f>
        <v>1486.129659</v>
      </c>
      <c r="AI88" s="116">
        <f>Expenses!AB42</f>
        <v>1493.560307</v>
      </c>
      <c r="AJ88" s="116">
        <f>Expenses!AC42</f>
        <v>1501.028109</v>
      </c>
      <c r="AK88" s="116">
        <f>Expenses!AD42</f>
        <v>1508.533249</v>
      </c>
      <c r="AL88" s="116">
        <f>Expenses!AE42</f>
        <v>1516.075915</v>
      </c>
      <c r="AM88" s="116">
        <f>Expenses!AF42</f>
        <v>1523.656295</v>
      </c>
      <c r="AN88" s="116">
        <f>Expenses!AG42</f>
        <v>1531.274576</v>
      </c>
      <c r="AO88" s="116">
        <f>Expenses!AH42</f>
        <v>1538.930949</v>
      </c>
      <c r="AP88" s="116">
        <f>Expenses!AI42</f>
        <v>1546.625604</v>
      </c>
      <c r="AQ88" s="116">
        <f>Expenses!AJ42</f>
        <v>1554.358732</v>
      </c>
      <c r="AR88" s="116">
        <f>Expenses!AK42</f>
        <v>1562.130526</v>
      </c>
      <c r="AS88" s="116">
        <f>Expenses!AL42</f>
        <v>1569.941178</v>
      </c>
      <c r="AT88" s="116">
        <f>Expenses!AM42</f>
        <v>1577.790884</v>
      </c>
      <c r="AU88" s="116">
        <f>Expenses!AN42</f>
        <v>1585.679839</v>
      </c>
      <c r="AV88" s="116">
        <f>Expenses!AO42</f>
        <v>1593.608238</v>
      </c>
      <c r="AW88" s="116">
        <f>Expenses!AP42</f>
        <v>1601.576279</v>
      </c>
      <c r="AX88" s="116">
        <f>Expenses!AQ42</f>
        <v>1609.58416</v>
      </c>
      <c r="AY88" s="116">
        <f>Expenses!AR42</f>
        <v>1617.632081</v>
      </c>
      <c r="AZ88" s="116">
        <f>Expenses!AS42</f>
        <v>1625.720242</v>
      </c>
      <c r="BA88" s="116">
        <f>Expenses!AT42</f>
        <v>1633.848843</v>
      </c>
      <c r="BB88" s="116">
        <f>Expenses!AU42</f>
        <v>1642.018087</v>
      </c>
      <c r="BC88" s="116">
        <f>Expenses!AV42</f>
        <v>1650.228177</v>
      </c>
      <c r="BD88" s="116">
        <f>Expenses!AW42</f>
        <v>1658.479318</v>
      </c>
      <c r="BE88" s="116">
        <f>Expenses!AX42</f>
        <v>1666.771715</v>
      </c>
      <c r="BF88" s="116">
        <f>Expenses!AY42</f>
        <v>1675.105574</v>
      </c>
      <c r="BG88" s="116">
        <f>Expenses!AZ42</f>
        <v>1683.481101</v>
      </c>
      <c r="BH88" s="116">
        <f>Expenses!BA42</f>
        <v>1691.898507</v>
      </c>
      <c r="BI88" s="116">
        <f>Expenses!BB42</f>
        <v>1700.357999</v>
      </c>
      <c r="BJ88" s="116">
        <f>Expenses!BC42</f>
        <v>1708.859789</v>
      </c>
      <c r="BK88" s="116">
        <f>Expenses!BD42</f>
        <v>1717.404088</v>
      </c>
      <c r="BL88" s="116">
        <f>Expenses!BE42</f>
        <v>1725.991109</v>
      </c>
      <c r="BM88" s="116">
        <f>Expenses!BF42</f>
        <v>1734.621064</v>
      </c>
      <c r="BN88" s="116">
        <f>Expenses!BG42</f>
        <v>1743.29417</v>
      </c>
      <c r="BO88" s="116">
        <f>Expenses!BH42</f>
        <v>1752.010641</v>
      </c>
      <c r="BP88" s="116">
        <f>Expenses!BI42</f>
        <v>1760.770694</v>
      </c>
      <c r="BQ88" s="116">
        <f>Expenses!BJ42</f>
        <v>1769.574547</v>
      </c>
      <c r="BR88" s="116">
        <f>Expenses!BK42</f>
        <v>1778.42242</v>
      </c>
      <c r="BS88" s="116">
        <f>Expenses!BL42</f>
        <v>1787.314532</v>
      </c>
      <c r="BT88" s="116">
        <f>Expenses!BM42</f>
        <v>1796.251105</v>
      </c>
      <c r="BU88" s="116">
        <f>Expenses!BN42</f>
        <v>1805.23236</v>
      </c>
      <c r="BV88" s="116">
        <f>Expenses!BO42</f>
        <v>1814.258522</v>
      </c>
      <c r="BW88" s="116">
        <f>Expenses!BP42</f>
        <v>1823.329815</v>
      </c>
      <c r="BX88" s="116">
        <f>Expenses!BQ42</f>
        <v>1832.446464</v>
      </c>
      <c r="BY88" s="116">
        <f>Expenses!BR42</f>
        <v>1841.608696</v>
      </c>
      <c r="BZ88" s="116">
        <f>Expenses!BS42</f>
        <v>1850.81674</v>
      </c>
      <c r="CA88" s="116">
        <f>Expenses!BT42</f>
        <v>1860.070823</v>
      </c>
      <c r="CB88" s="116">
        <f>Expenses!BU42</f>
        <v>1869.371177</v>
      </c>
      <c r="CC88" s="116">
        <f>Expenses!BV42</f>
        <v>1878.718033</v>
      </c>
      <c r="CD88" s="116">
        <f>Expenses!BW42</f>
        <v>1888.111623</v>
      </c>
      <c r="CE88" s="116">
        <f>Expenses!BX42</f>
        <v>1897.552182</v>
      </c>
      <c r="CF88" s="116">
        <f>Expenses!BY42</f>
        <v>1907.039942</v>
      </c>
      <c r="CG88" s="116">
        <f>Expenses!BZ42</f>
        <v>1916.575142</v>
      </c>
      <c r="CH88" s="116">
        <f>Expenses!CA42</f>
        <v>1926.158018</v>
      </c>
      <c r="CI88" s="116">
        <f>Expenses!CB42</f>
        <v>1935.788808</v>
      </c>
    </row>
    <row r="89" ht="15.75" customHeight="1" outlineLevel="1">
      <c r="A89" s="1" t="s">
        <v>122</v>
      </c>
      <c r="B89" s="91" t="s">
        <v>178</v>
      </c>
      <c r="C89" s="132" t="s">
        <v>238</v>
      </c>
      <c r="D89" s="247">
        <f t="shared" ref="D89:Z89" si="102">RANDBETWEEN(0,5000)</f>
        <v>4952</v>
      </c>
      <c r="E89" s="247">
        <f t="shared" si="102"/>
        <v>4509</v>
      </c>
      <c r="F89" s="247">
        <f t="shared" si="102"/>
        <v>4966</v>
      </c>
      <c r="G89" s="247">
        <f t="shared" si="102"/>
        <v>4814</v>
      </c>
      <c r="H89" s="247">
        <f t="shared" si="102"/>
        <v>416</v>
      </c>
      <c r="I89" s="247">
        <f t="shared" si="102"/>
        <v>1574</v>
      </c>
      <c r="J89" s="247">
        <f t="shared" si="102"/>
        <v>4693</v>
      </c>
      <c r="K89" s="247">
        <f t="shared" si="102"/>
        <v>4450</v>
      </c>
      <c r="L89" s="247">
        <f t="shared" si="102"/>
        <v>1995</v>
      </c>
      <c r="M89" s="247">
        <f t="shared" si="102"/>
        <v>3770</v>
      </c>
      <c r="N89" s="247">
        <f t="shared" si="102"/>
        <v>1181</v>
      </c>
      <c r="O89" s="247">
        <f t="shared" si="102"/>
        <v>3883</v>
      </c>
      <c r="P89" s="247">
        <f t="shared" si="102"/>
        <v>3527</v>
      </c>
      <c r="Q89" s="247">
        <f t="shared" si="102"/>
        <v>3900</v>
      </c>
      <c r="R89" s="247">
        <f t="shared" si="102"/>
        <v>4272</v>
      </c>
      <c r="S89" s="247">
        <f t="shared" si="102"/>
        <v>1461</v>
      </c>
      <c r="T89" s="247">
        <f t="shared" si="102"/>
        <v>322</v>
      </c>
      <c r="U89" s="247">
        <f t="shared" si="102"/>
        <v>3233</v>
      </c>
      <c r="V89" s="247">
        <f t="shared" si="102"/>
        <v>1240</v>
      </c>
      <c r="W89" s="247">
        <f t="shared" si="102"/>
        <v>1990</v>
      </c>
      <c r="X89" s="247">
        <f t="shared" si="102"/>
        <v>1605</v>
      </c>
      <c r="Y89" s="247">
        <f t="shared" si="102"/>
        <v>2413</v>
      </c>
      <c r="Z89" s="247">
        <f t="shared" si="102"/>
        <v>4798</v>
      </c>
      <c r="AA89" s="117">
        <f>Expenses!T157</f>
        <v>1358.88</v>
      </c>
      <c r="AB89" s="117">
        <f>Expenses!U157*(1-AB96)</f>
        <v>1358.88</v>
      </c>
      <c r="AC89" s="117">
        <f>Expenses!V157</f>
        <v>1358.88</v>
      </c>
      <c r="AD89" s="117">
        <f>Expenses!W157</f>
        <v>1358.88</v>
      </c>
      <c r="AE89" s="117">
        <f>Expenses!X157</f>
        <v>1358.88</v>
      </c>
      <c r="AF89" s="117">
        <f>Expenses!Y157</f>
        <v>1358.88</v>
      </c>
      <c r="AG89" s="117">
        <f>Expenses!Z157</f>
        <v>1358.88</v>
      </c>
      <c r="AH89" s="117">
        <f>Expenses!AA157</f>
        <v>1358.88</v>
      </c>
      <c r="AI89" s="117">
        <f>Expenses!AB157</f>
        <v>1358.88</v>
      </c>
      <c r="AJ89" s="117">
        <f>Expenses!AC157</f>
        <v>1358.88</v>
      </c>
      <c r="AK89" s="117">
        <f>Expenses!AD157</f>
        <v>1358.88</v>
      </c>
      <c r="AL89" s="117">
        <f>Expenses!AE157</f>
        <v>1358.88</v>
      </c>
      <c r="AM89" s="117">
        <f>Expenses!AF157</f>
        <v>1358.88</v>
      </c>
      <c r="AN89" s="117">
        <f>Expenses!AG157</f>
        <v>2783.88</v>
      </c>
      <c r="AO89" s="117">
        <f>Expenses!AH157</f>
        <v>2783.88</v>
      </c>
      <c r="AP89" s="117">
        <f>Expenses!AI157</f>
        <v>2783.88</v>
      </c>
      <c r="AQ89" s="117">
        <f>Expenses!AJ157</f>
        <v>2783.88</v>
      </c>
      <c r="AR89" s="117">
        <f>Expenses!AK157</f>
        <v>2783.88</v>
      </c>
      <c r="AS89" s="117">
        <f>Expenses!AL157</f>
        <v>2783.88</v>
      </c>
      <c r="AT89" s="117">
        <f>Expenses!AM157</f>
        <v>4208.88</v>
      </c>
      <c r="AU89" s="117">
        <f>Expenses!AN157</f>
        <v>4208.88</v>
      </c>
      <c r="AV89" s="117">
        <f>Expenses!AO157</f>
        <v>4208.88</v>
      </c>
      <c r="AW89" s="117">
        <f>Expenses!AP157</f>
        <v>4208.88</v>
      </c>
      <c r="AX89" s="117">
        <f>Expenses!AQ157</f>
        <v>4208.88</v>
      </c>
      <c r="AY89" s="117">
        <f>Expenses!AR157</f>
        <v>4208.88</v>
      </c>
      <c r="AZ89" s="117">
        <f>Expenses!AS157</f>
        <v>5633.88</v>
      </c>
      <c r="BA89" s="117">
        <f>Expenses!AT157</f>
        <v>5633.88</v>
      </c>
      <c r="BB89" s="117">
        <f>Expenses!AU157</f>
        <v>5633.88</v>
      </c>
      <c r="BC89" s="117">
        <f>Expenses!AV157</f>
        <v>5633.88</v>
      </c>
      <c r="BD89" s="117">
        <f>Expenses!AW157</f>
        <v>5633.88</v>
      </c>
      <c r="BE89" s="117">
        <f>Expenses!AX157</f>
        <v>5633.88</v>
      </c>
      <c r="BF89" s="117">
        <f>Expenses!AY157</f>
        <v>7058.88</v>
      </c>
      <c r="BG89" s="117">
        <f>Expenses!AZ157</f>
        <v>7058.88</v>
      </c>
      <c r="BH89" s="117">
        <f>Expenses!BA157</f>
        <v>7058.88</v>
      </c>
      <c r="BI89" s="117">
        <f>Expenses!BB157</f>
        <v>7058.88</v>
      </c>
      <c r="BJ89" s="117">
        <f>Expenses!BC157</f>
        <v>7058.88</v>
      </c>
      <c r="BK89" s="117">
        <f>Expenses!BD157</f>
        <v>7058.88</v>
      </c>
      <c r="BL89" s="117">
        <f>Expenses!BE157</f>
        <v>8483.88</v>
      </c>
      <c r="BM89" s="117">
        <f>Expenses!BF157</f>
        <v>8483.88</v>
      </c>
      <c r="BN89" s="117">
        <f>Expenses!BG157</f>
        <v>8483.88</v>
      </c>
      <c r="BO89" s="117">
        <f>Expenses!BH157</f>
        <v>8483.88</v>
      </c>
      <c r="BP89" s="117">
        <f>Expenses!BI157</f>
        <v>8483.88</v>
      </c>
      <c r="BQ89" s="117">
        <f>Expenses!BJ157</f>
        <v>8483.88</v>
      </c>
      <c r="BR89" s="117">
        <f>Expenses!BK157</f>
        <v>9908.88</v>
      </c>
      <c r="BS89" s="117">
        <f>Expenses!BL157</f>
        <v>9908.88</v>
      </c>
      <c r="BT89" s="117">
        <f>Expenses!BM157</f>
        <v>9908.88</v>
      </c>
      <c r="BU89" s="117">
        <f>Expenses!BN157</f>
        <v>9908.88</v>
      </c>
      <c r="BV89" s="117">
        <f>Expenses!BO157</f>
        <v>9908.88</v>
      </c>
      <c r="BW89" s="117">
        <f>Expenses!BP157</f>
        <v>9908.88</v>
      </c>
      <c r="BX89" s="117">
        <f>Expenses!BQ157</f>
        <v>11333.88</v>
      </c>
      <c r="BY89" s="117">
        <f>Expenses!BR157</f>
        <v>11333.88</v>
      </c>
      <c r="BZ89" s="117">
        <f>Expenses!BS157</f>
        <v>11333.88</v>
      </c>
      <c r="CA89" s="117">
        <f>Expenses!BT157</f>
        <v>11333.88</v>
      </c>
      <c r="CB89" s="117">
        <f>Expenses!BU157</f>
        <v>11333.88</v>
      </c>
      <c r="CC89" s="117">
        <f>Expenses!BV157</f>
        <v>11333.88</v>
      </c>
      <c r="CD89" s="117">
        <f>Expenses!BW157</f>
        <v>12758.88</v>
      </c>
      <c r="CE89" s="117">
        <f>Expenses!BX157</f>
        <v>12758.88</v>
      </c>
      <c r="CF89" s="117">
        <f>Expenses!BY157</f>
        <v>12758.88</v>
      </c>
      <c r="CG89" s="117">
        <f>Expenses!BZ157</f>
        <v>12758.88</v>
      </c>
      <c r="CH89" s="117">
        <f>Expenses!CA157</f>
        <v>12758.88</v>
      </c>
      <c r="CI89" s="117">
        <f>Expenses!CB157</f>
        <v>12758.88</v>
      </c>
    </row>
    <row r="90" ht="15.75" customHeight="1" outlineLevel="1">
      <c r="A90" s="1" t="s">
        <v>122</v>
      </c>
      <c r="B90" s="91" t="s">
        <v>178</v>
      </c>
      <c r="C90" s="132" t="s">
        <v>239</v>
      </c>
      <c r="D90" s="247">
        <f t="shared" ref="D90:Z90" si="103">RANDBETWEEN(0,5000)</f>
        <v>2514</v>
      </c>
      <c r="E90" s="247">
        <f t="shared" si="103"/>
        <v>3636</v>
      </c>
      <c r="F90" s="247">
        <f t="shared" si="103"/>
        <v>2268</v>
      </c>
      <c r="G90" s="247">
        <f t="shared" si="103"/>
        <v>3596</v>
      </c>
      <c r="H90" s="247">
        <f t="shared" si="103"/>
        <v>4156</v>
      </c>
      <c r="I90" s="247">
        <f t="shared" si="103"/>
        <v>1287</v>
      </c>
      <c r="J90" s="247">
        <f t="shared" si="103"/>
        <v>3819</v>
      </c>
      <c r="K90" s="247">
        <f t="shared" si="103"/>
        <v>3543</v>
      </c>
      <c r="L90" s="247">
        <f t="shared" si="103"/>
        <v>4913</v>
      </c>
      <c r="M90" s="247">
        <f t="shared" si="103"/>
        <v>3246</v>
      </c>
      <c r="N90" s="247">
        <f t="shared" si="103"/>
        <v>3259</v>
      </c>
      <c r="O90" s="247">
        <f t="shared" si="103"/>
        <v>193</v>
      </c>
      <c r="P90" s="247">
        <f t="shared" si="103"/>
        <v>1178</v>
      </c>
      <c r="Q90" s="247">
        <f t="shared" si="103"/>
        <v>4471</v>
      </c>
      <c r="R90" s="247">
        <f t="shared" si="103"/>
        <v>1312</v>
      </c>
      <c r="S90" s="247">
        <f t="shared" si="103"/>
        <v>40</v>
      </c>
      <c r="T90" s="247">
        <f t="shared" si="103"/>
        <v>1514</v>
      </c>
      <c r="U90" s="247">
        <f t="shared" si="103"/>
        <v>3111</v>
      </c>
      <c r="V90" s="247">
        <f t="shared" si="103"/>
        <v>1042</v>
      </c>
      <c r="W90" s="247">
        <f t="shared" si="103"/>
        <v>3681</v>
      </c>
      <c r="X90" s="247">
        <f t="shared" si="103"/>
        <v>401</v>
      </c>
      <c r="Y90" s="247">
        <f t="shared" si="103"/>
        <v>4317</v>
      </c>
      <c r="Z90" s="247">
        <f t="shared" si="103"/>
        <v>453</v>
      </c>
      <c r="AA90" s="246">
        <v>250.0</v>
      </c>
      <c r="AB90" s="249"/>
      <c r="AC90" s="249"/>
      <c r="AD90" s="249"/>
      <c r="AE90" s="249"/>
      <c r="AF90" s="249"/>
      <c r="AG90" s="24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249"/>
      <c r="BF90" s="249"/>
      <c r="BG90" s="249"/>
      <c r="BH90" s="249"/>
      <c r="BI90" s="249"/>
      <c r="BJ90" s="249"/>
      <c r="BK90" s="249"/>
      <c r="BL90" s="249"/>
      <c r="BM90" s="249"/>
      <c r="BN90" s="249"/>
      <c r="BO90" s="249"/>
      <c r="BP90" s="249"/>
      <c r="BQ90" s="249"/>
      <c r="BR90" s="249"/>
      <c r="BS90" s="249"/>
      <c r="BT90" s="249"/>
      <c r="BU90" s="249"/>
      <c r="BV90" s="249"/>
      <c r="BW90" s="249"/>
      <c r="BX90" s="249"/>
      <c r="BY90" s="249"/>
      <c r="BZ90" s="249"/>
      <c r="CA90" s="249"/>
      <c r="CB90" s="249"/>
      <c r="CC90" s="249"/>
      <c r="CD90" s="249"/>
      <c r="CE90" s="249"/>
      <c r="CF90" s="249"/>
      <c r="CG90" s="249"/>
      <c r="CH90" s="249"/>
      <c r="CI90" s="249"/>
    </row>
    <row r="91" ht="15.75" customHeight="1" outlineLevel="1">
      <c r="A91" s="1" t="s">
        <v>122</v>
      </c>
      <c r="B91" s="91" t="s">
        <v>70</v>
      </c>
      <c r="C91" s="132" t="s">
        <v>243</v>
      </c>
      <c r="D91" s="247">
        <f t="shared" ref="D91:Z91" si="104">RANDBETWEEN(0,5000)</f>
        <v>2088</v>
      </c>
      <c r="E91" s="247">
        <f t="shared" si="104"/>
        <v>4506</v>
      </c>
      <c r="F91" s="247">
        <f t="shared" si="104"/>
        <v>2067</v>
      </c>
      <c r="G91" s="247">
        <f t="shared" si="104"/>
        <v>1229</v>
      </c>
      <c r="H91" s="247">
        <f t="shared" si="104"/>
        <v>1681</v>
      </c>
      <c r="I91" s="247">
        <f t="shared" si="104"/>
        <v>429</v>
      </c>
      <c r="J91" s="247">
        <f t="shared" si="104"/>
        <v>1269</v>
      </c>
      <c r="K91" s="247">
        <f t="shared" si="104"/>
        <v>3280</v>
      </c>
      <c r="L91" s="247">
        <f t="shared" si="104"/>
        <v>1350</v>
      </c>
      <c r="M91" s="247">
        <f t="shared" si="104"/>
        <v>2343</v>
      </c>
      <c r="N91" s="247">
        <f t="shared" si="104"/>
        <v>4639</v>
      </c>
      <c r="O91" s="247">
        <f t="shared" si="104"/>
        <v>46</v>
      </c>
      <c r="P91" s="247">
        <f t="shared" si="104"/>
        <v>3971</v>
      </c>
      <c r="Q91" s="247">
        <f t="shared" si="104"/>
        <v>4873</v>
      </c>
      <c r="R91" s="247">
        <f t="shared" si="104"/>
        <v>4085</v>
      </c>
      <c r="S91" s="247">
        <f t="shared" si="104"/>
        <v>1930</v>
      </c>
      <c r="T91" s="247">
        <f t="shared" si="104"/>
        <v>2311</v>
      </c>
      <c r="U91" s="247">
        <f t="shared" si="104"/>
        <v>4341</v>
      </c>
      <c r="V91" s="247">
        <f t="shared" si="104"/>
        <v>4599</v>
      </c>
      <c r="W91" s="247">
        <f t="shared" si="104"/>
        <v>2279</v>
      </c>
      <c r="X91" s="247">
        <f t="shared" si="104"/>
        <v>4898</v>
      </c>
      <c r="Y91" s="247">
        <f t="shared" si="104"/>
        <v>1879</v>
      </c>
      <c r="Z91" s="247">
        <f t="shared" si="104"/>
        <v>3220</v>
      </c>
      <c r="AA91" s="116">
        <f>Expenses!T68</f>
        <v>74.826</v>
      </c>
      <c r="AB91" s="116">
        <f>Expenses!U68*(1-AB96)</f>
        <v>164.826</v>
      </c>
      <c r="AC91" s="116">
        <f>Expenses!V68</f>
        <v>164.826</v>
      </c>
      <c r="AD91" s="116">
        <f>Expenses!W68</f>
        <v>164.826</v>
      </c>
      <c r="AE91" s="116">
        <f>Expenses!X68</f>
        <v>164.826</v>
      </c>
      <c r="AF91" s="116">
        <f>Expenses!Y68</f>
        <v>254.826</v>
      </c>
      <c r="AG91" s="116">
        <f>Expenses!Z68</f>
        <v>254.826</v>
      </c>
      <c r="AH91" s="116">
        <f>Expenses!AA68</f>
        <v>254.826</v>
      </c>
      <c r="AI91" s="116">
        <f>Expenses!AB68</f>
        <v>254.826</v>
      </c>
      <c r="AJ91" s="116">
        <f>Expenses!AC68</f>
        <v>344.826</v>
      </c>
      <c r="AK91" s="116">
        <f>Expenses!AD68</f>
        <v>344.826</v>
      </c>
      <c r="AL91" s="116">
        <f>Expenses!AE68</f>
        <v>344.826</v>
      </c>
      <c r="AM91" s="116">
        <f>Expenses!AF68</f>
        <v>344.826</v>
      </c>
      <c r="AN91" s="116">
        <f>Expenses!AG68</f>
        <v>344.826</v>
      </c>
      <c r="AO91" s="116">
        <f>Expenses!AH68</f>
        <v>344.826</v>
      </c>
      <c r="AP91" s="116">
        <f>Expenses!AI68</f>
        <v>344.826</v>
      </c>
      <c r="AQ91" s="116">
        <f>Expenses!AJ68</f>
        <v>344.826</v>
      </c>
      <c r="AR91" s="116">
        <f>Expenses!AK68</f>
        <v>344.826</v>
      </c>
      <c r="AS91" s="116">
        <f>Expenses!AL68</f>
        <v>344.826</v>
      </c>
      <c r="AT91" s="116">
        <f>Expenses!AM68</f>
        <v>344.826</v>
      </c>
      <c r="AU91" s="116">
        <f>Expenses!AN68</f>
        <v>344.826</v>
      </c>
      <c r="AV91" s="116">
        <f>Expenses!AO68</f>
        <v>416.826</v>
      </c>
      <c r="AW91" s="116">
        <f>Expenses!AP68</f>
        <v>416.826</v>
      </c>
      <c r="AX91" s="116">
        <f>Expenses!AQ68</f>
        <v>416.826</v>
      </c>
      <c r="AY91" s="116">
        <f>Expenses!AR68</f>
        <v>416.826</v>
      </c>
      <c r="AZ91" s="116">
        <f>Expenses!AS68</f>
        <v>596.826</v>
      </c>
      <c r="BA91" s="116">
        <f>Expenses!AT68</f>
        <v>596.826</v>
      </c>
      <c r="BB91" s="116">
        <f>Expenses!AU68</f>
        <v>596.826</v>
      </c>
      <c r="BC91" s="116">
        <f>Expenses!AV68</f>
        <v>596.826</v>
      </c>
      <c r="BD91" s="116">
        <f>Expenses!AW68</f>
        <v>776.826</v>
      </c>
      <c r="BE91" s="116">
        <f>Expenses!AX68</f>
        <v>776.826</v>
      </c>
      <c r="BF91" s="116">
        <f>Expenses!AY68</f>
        <v>776.826</v>
      </c>
      <c r="BG91" s="116">
        <f>Expenses!AZ68</f>
        <v>776.826</v>
      </c>
      <c r="BH91" s="116">
        <f>Expenses!BA68</f>
        <v>956.826</v>
      </c>
      <c r="BI91" s="116">
        <f>Expenses!BB68</f>
        <v>956.826</v>
      </c>
      <c r="BJ91" s="116">
        <f>Expenses!BC68</f>
        <v>956.826</v>
      </c>
      <c r="BK91" s="116">
        <f>Expenses!BD68</f>
        <v>956.826</v>
      </c>
      <c r="BL91" s="116">
        <f>Expenses!BE68</f>
        <v>960.426</v>
      </c>
      <c r="BM91" s="116">
        <f>Expenses!BF68</f>
        <v>960.426</v>
      </c>
      <c r="BN91" s="116">
        <f>Expenses!BG68</f>
        <v>960.426</v>
      </c>
      <c r="BO91" s="116">
        <f>Expenses!BH68</f>
        <v>960.426</v>
      </c>
      <c r="BP91" s="116">
        <f>Expenses!BI68</f>
        <v>964.026</v>
      </c>
      <c r="BQ91" s="116">
        <f>Expenses!BJ68</f>
        <v>964.026</v>
      </c>
      <c r="BR91" s="116">
        <f>Expenses!BK68</f>
        <v>964.026</v>
      </c>
      <c r="BS91" s="116">
        <f>Expenses!BL68</f>
        <v>964.026</v>
      </c>
      <c r="BT91" s="116">
        <f>Expenses!BM68</f>
        <v>967.626</v>
      </c>
      <c r="BU91" s="116">
        <f>Expenses!BN68</f>
        <v>967.626</v>
      </c>
      <c r="BV91" s="116">
        <f>Expenses!BO68</f>
        <v>967.626</v>
      </c>
      <c r="BW91" s="116">
        <f>Expenses!BP68</f>
        <v>967.626</v>
      </c>
      <c r="BX91" s="116">
        <f>Expenses!BQ68</f>
        <v>971.226</v>
      </c>
      <c r="BY91" s="116">
        <f>Expenses!BR68</f>
        <v>971.226</v>
      </c>
      <c r="BZ91" s="116">
        <f>Expenses!BS68</f>
        <v>971.226</v>
      </c>
      <c r="CA91" s="116">
        <f>Expenses!BT68</f>
        <v>971.226</v>
      </c>
      <c r="CB91" s="116">
        <f>Expenses!BU68</f>
        <v>974.826</v>
      </c>
      <c r="CC91" s="116">
        <f>Expenses!BV68</f>
        <v>974.826</v>
      </c>
      <c r="CD91" s="116">
        <f>Expenses!BW68</f>
        <v>974.826</v>
      </c>
      <c r="CE91" s="116">
        <f>Expenses!BX68</f>
        <v>974.826</v>
      </c>
      <c r="CF91" s="116">
        <f>Expenses!BY68</f>
        <v>1019.826</v>
      </c>
      <c r="CG91" s="116">
        <f>Expenses!BZ68</f>
        <v>1019.826</v>
      </c>
      <c r="CH91" s="116">
        <f>Expenses!CA68</f>
        <v>1019.826</v>
      </c>
      <c r="CI91" s="116">
        <f>Expenses!CB68</f>
        <v>1019.826</v>
      </c>
    </row>
    <row r="92" ht="15.75" customHeight="1" outlineLevel="1">
      <c r="A92" s="1" t="s">
        <v>122</v>
      </c>
      <c r="B92" s="91" t="s">
        <v>179</v>
      </c>
      <c r="C92" s="132" t="s">
        <v>249</v>
      </c>
      <c r="D92" s="247">
        <f t="shared" ref="D92:Z92" si="105">RANDBETWEEN(0,5000)</f>
        <v>2756</v>
      </c>
      <c r="E92" s="247">
        <f t="shared" si="105"/>
        <v>2368</v>
      </c>
      <c r="F92" s="247">
        <f t="shared" si="105"/>
        <v>4094</v>
      </c>
      <c r="G92" s="247">
        <f t="shared" si="105"/>
        <v>2279</v>
      </c>
      <c r="H92" s="247">
        <f t="shared" si="105"/>
        <v>4718</v>
      </c>
      <c r="I92" s="247">
        <f t="shared" si="105"/>
        <v>1329</v>
      </c>
      <c r="J92" s="247">
        <f t="shared" si="105"/>
        <v>4357</v>
      </c>
      <c r="K92" s="247">
        <f t="shared" si="105"/>
        <v>1747</v>
      </c>
      <c r="L92" s="247">
        <f t="shared" si="105"/>
        <v>1905</v>
      </c>
      <c r="M92" s="247">
        <f t="shared" si="105"/>
        <v>2527</v>
      </c>
      <c r="N92" s="247">
        <f t="shared" si="105"/>
        <v>2335</v>
      </c>
      <c r="O92" s="247">
        <f t="shared" si="105"/>
        <v>4616</v>
      </c>
      <c r="P92" s="247">
        <f t="shared" si="105"/>
        <v>3179</v>
      </c>
      <c r="Q92" s="247">
        <f t="shared" si="105"/>
        <v>1097</v>
      </c>
      <c r="R92" s="247">
        <f t="shared" si="105"/>
        <v>1090</v>
      </c>
      <c r="S92" s="247">
        <f t="shared" si="105"/>
        <v>2974</v>
      </c>
      <c r="T92" s="247">
        <f t="shared" si="105"/>
        <v>1031</v>
      </c>
      <c r="U92" s="247">
        <f t="shared" si="105"/>
        <v>2732</v>
      </c>
      <c r="V92" s="247">
        <f t="shared" si="105"/>
        <v>1279</v>
      </c>
      <c r="W92" s="247">
        <f t="shared" si="105"/>
        <v>2086</v>
      </c>
      <c r="X92" s="247">
        <f t="shared" si="105"/>
        <v>4085</v>
      </c>
      <c r="Y92" s="247">
        <f t="shared" si="105"/>
        <v>1345</v>
      </c>
      <c r="Z92" s="247">
        <f t="shared" si="105"/>
        <v>703</v>
      </c>
      <c r="AA92" s="407">
        <f>Expenses!T133</f>
        <v>1191.46</v>
      </c>
      <c r="AB92" s="407">
        <f>Expenses!U133*(1-AB96)</f>
        <v>641.4</v>
      </c>
      <c r="AC92" s="407">
        <f>Expenses!V133</f>
        <v>296.243256</v>
      </c>
      <c r="AD92" s="407">
        <f>Expenses!W133</f>
        <v>299.2056886</v>
      </c>
      <c r="AE92" s="407">
        <f>Expenses!X133</f>
        <v>302.1977455</v>
      </c>
      <c r="AF92" s="407">
        <f>Expenses!Y133</f>
        <v>2405</v>
      </c>
      <c r="AG92" s="407">
        <f>Expenses!Z133</f>
        <v>308.2719202</v>
      </c>
      <c r="AH92" s="407">
        <f>Expenses!AA133</f>
        <v>311.3546394</v>
      </c>
      <c r="AI92" s="407">
        <f>Expenses!AB133</f>
        <v>314.4681858</v>
      </c>
      <c r="AJ92" s="407">
        <f>Expenses!AC133</f>
        <v>2470</v>
      </c>
      <c r="AK92" s="407">
        <f>Expenses!AD133</f>
        <v>320.7889963</v>
      </c>
      <c r="AL92" s="407">
        <f>Expenses!AE133</f>
        <v>323.9968863</v>
      </c>
      <c r="AM92" s="407">
        <f>Expenses!AF133</f>
        <v>327.2368551</v>
      </c>
      <c r="AN92" s="407">
        <f>Expenses!AG133</f>
        <v>2613</v>
      </c>
      <c r="AO92" s="407">
        <f>Expenses!AH133</f>
        <v>98.18068115</v>
      </c>
      <c r="AP92" s="407">
        <f>Expenses!AI133</f>
        <v>99.16248796</v>
      </c>
      <c r="AQ92" s="407">
        <f>Expenses!AJ133</f>
        <v>100.1541128</v>
      </c>
      <c r="AR92" s="407">
        <f>Expenses!AK133</f>
        <v>2678</v>
      </c>
      <c r="AS92" s="407">
        <f>Expenses!AL133</f>
        <v>102.1672105</v>
      </c>
      <c r="AT92" s="407">
        <f>Expenses!AM133</f>
        <v>103.1888826</v>
      </c>
      <c r="AU92" s="407">
        <f>Expenses!AN133</f>
        <v>104.2207714</v>
      </c>
      <c r="AV92" s="407">
        <f>Expenses!AO133</f>
        <v>2743</v>
      </c>
      <c r="AW92" s="407">
        <f>Expenses!AP133</f>
        <v>106.3156089</v>
      </c>
      <c r="AX92" s="407">
        <f>Expenses!AQ133</f>
        <v>107.378765</v>
      </c>
      <c r="AY92" s="407">
        <f>Expenses!AR133</f>
        <v>108.4525527</v>
      </c>
      <c r="AZ92" s="407">
        <f>Expenses!AS133</f>
        <v>2795</v>
      </c>
      <c r="BA92" s="407">
        <f>Expenses!AT133</f>
        <v>110.632449</v>
      </c>
      <c r="BB92" s="407">
        <f>Expenses!AU133</f>
        <v>111.7387735</v>
      </c>
      <c r="BC92" s="407">
        <f>Expenses!AV133</f>
        <v>112.8561612</v>
      </c>
      <c r="BD92" s="407">
        <f>Expenses!AW133</f>
        <v>2925</v>
      </c>
      <c r="BE92" s="407">
        <f>Expenses!AX133</f>
        <v>115.1245701</v>
      </c>
      <c r="BF92" s="407">
        <f>Expenses!AY133</f>
        <v>116.2758158</v>
      </c>
      <c r="BG92" s="407">
        <f>Expenses!AZ133</f>
        <v>117.4385739</v>
      </c>
      <c r="BH92" s="407">
        <f>Expenses!BA133</f>
        <v>3016</v>
      </c>
      <c r="BI92" s="407">
        <f>Expenses!BB133</f>
        <v>119.7990893</v>
      </c>
      <c r="BJ92" s="407">
        <f>Expenses!BC133</f>
        <v>120.9970802</v>
      </c>
      <c r="BK92" s="407">
        <f>Expenses!BD133</f>
        <v>122.207051</v>
      </c>
      <c r="BL92" s="407">
        <f>Expenses!BE133</f>
        <v>3107</v>
      </c>
      <c r="BM92" s="407">
        <f>Expenses!BF133</f>
        <v>124.6634127</v>
      </c>
      <c r="BN92" s="407">
        <f>Expenses!BG133</f>
        <v>125.9100468</v>
      </c>
      <c r="BO92" s="407">
        <f>Expenses!BH133</f>
        <v>127.1691473</v>
      </c>
      <c r="BP92" s="407">
        <f>Expenses!BI133</f>
        <v>3484</v>
      </c>
      <c r="BQ92" s="407">
        <f>Expenses!BJ133</f>
        <v>129.7252471</v>
      </c>
      <c r="BR92" s="407">
        <f>Expenses!BK133</f>
        <v>131.0224996</v>
      </c>
      <c r="BS92" s="407">
        <f>Expenses!BL133</f>
        <v>132.3327246</v>
      </c>
      <c r="BT92" s="407">
        <f>Expenses!BM133</f>
        <v>3588</v>
      </c>
      <c r="BU92" s="407">
        <f>Expenses!BN133</f>
        <v>134.9926124</v>
      </c>
      <c r="BV92" s="407">
        <f>Expenses!BO133</f>
        <v>136.3425385</v>
      </c>
      <c r="BW92" s="407">
        <f>Expenses!BP133</f>
        <v>137.7059639</v>
      </c>
      <c r="BX92" s="407">
        <f>Expenses!BQ133</f>
        <v>3666</v>
      </c>
      <c r="BY92" s="407">
        <f>Expenses!BR133</f>
        <v>140.4738537</v>
      </c>
      <c r="BZ92" s="407">
        <f>Expenses!BS133</f>
        <v>141.8785923</v>
      </c>
      <c r="CA92" s="407">
        <f>Expenses!BT133</f>
        <v>143.2973782</v>
      </c>
      <c r="CB92" s="407">
        <f>Expenses!BU133</f>
        <v>3770</v>
      </c>
      <c r="CC92" s="407">
        <f>Expenses!BV133</f>
        <v>146.1776555</v>
      </c>
      <c r="CD92" s="407">
        <f>Expenses!BW133</f>
        <v>147.6394321</v>
      </c>
      <c r="CE92" s="407">
        <f>Expenses!BX133</f>
        <v>149.1158264</v>
      </c>
      <c r="CF92" s="407">
        <f>Expenses!BY133</f>
        <v>3822</v>
      </c>
      <c r="CG92" s="407">
        <f>Expenses!BZ133</f>
        <v>152.1130545</v>
      </c>
      <c r="CH92" s="407">
        <f>Expenses!CA133</f>
        <v>153.634185</v>
      </c>
      <c r="CI92" s="407">
        <f>Expenses!CB133</f>
        <v>155.1705269</v>
      </c>
    </row>
    <row r="93" ht="15.75" customHeight="1" outlineLevel="1">
      <c r="A93" s="1" t="s">
        <v>122</v>
      </c>
      <c r="B93" s="91" t="s">
        <v>179</v>
      </c>
      <c r="C93" s="132" t="s">
        <v>250</v>
      </c>
      <c r="D93" s="247">
        <f t="shared" ref="D93:Z93" si="106">RANDBETWEEN(0,5000)</f>
        <v>4745</v>
      </c>
      <c r="E93" s="247">
        <f t="shared" si="106"/>
        <v>3187</v>
      </c>
      <c r="F93" s="247">
        <f t="shared" si="106"/>
        <v>4001</v>
      </c>
      <c r="G93" s="247">
        <f t="shared" si="106"/>
        <v>641</v>
      </c>
      <c r="H93" s="247">
        <f t="shared" si="106"/>
        <v>253</v>
      </c>
      <c r="I93" s="247">
        <f t="shared" si="106"/>
        <v>3224</v>
      </c>
      <c r="J93" s="247">
        <f t="shared" si="106"/>
        <v>3808</v>
      </c>
      <c r="K93" s="247">
        <f t="shared" si="106"/>
        <v>4328</v>
      </c>
      <c r="L93" s="247">
        <f t="shared" si="106"/>
        <v>2579</v>
      </c>
      <c r="M93" s="247">
        <f t="shared" si="106"/>
        <v>1264</v>
      </c>
      <c r="N93" s="247">
        <f t="shared" si="106"/>
        <v>1352</v>
      </c>
      <c r="O93" s="247">
        <f t="shared" si="106"/>
        <v>4049</v>
      </c>
      <c r="P93" s="247">
        <f t="shared" si="106"/>
        <v>163</v>
      </c>
      <c r="Q93" s="247">
        <f t="shared" si="106"/>
        <v>3056</v>
      </c>
      <c r="R93" s="247">
        <f t="shared" si="106"/>
        <v>2181</v>
      </c>
      <c r="S93" s="247">
        <f t="shared" si="106"/>
        <v>3364</v>
      </c>
      <c r="T93" s="247">
        <f t="shared" si="106"/>
        <v>182</v>
      </c>
      <c r="U93" s="247">
        <f t="shared" si="106"/>
        <v>1377</v>
      </c>
      <c r="V93" s="247">
        <f t="shared" si="106"/>
        <v>4753</v>
      </c>
      <c r="W93" s="247">
        <f t="shared" si="106"/>
        <v>2520</v>
      </c>
      <c r="X93" s="247">
        <f t="shared" si="106"/>
        <v>788</v>
      </c>
      <c r="Y93" s="247">
        <f t="shared" si="106"/>
        <v>4070</v>
      </c>
      <c r="Z93" s="247">
        <f t="shared" si="106"/>
        <v>4303</v>
      </c>
      <c r="AA93" s="407">
        <f>Expenses!T140</f>
        <v>1191.46</v>
      </c>
      <c r="AB93" s="407">
        <f>Expenses!U140*(1-AB96)</f>
        <v>641.4</v>
      </c>
      <c r="AC93" s="407">
        <f>Expenses!V140</f>
        <v>296.243256</v>
      </c>
      <c r="AD93" s="407">
        <f>Expenses!W140</f>
        <v>299.2056886</v>
      </c>
      <c r="AE93" s="407">
        <f>Expenses!X140</f>
        <v>302.1977455</v>
      </c>
      <c r="AF93" s="407">
        <f>Expenses!Y140</f>
        <v>2405</v>
      </c>
      <c r="AG93" s="407">
        <f>Expenses!Z140</f>
        <v>308.2719202</v>
      </c>
      <c r="AH93" s="407">
        <f>Expenses!AA140</f>
        <v>311.3546394</v>
      </c>
      <c r="AI93" s="407">
        <f>Expenses!AB140</f>
        <v>314.4681858</v>
      </c>
      <c r="AJ93" s="407">
        <f>Expenses!AC140</f>
        <v>2470</v>
      </c>
      <c r="AK93" s="407">
        <f>Expenses!AD140</f>
        <v>320.7889963</v>
      </c>
      <c r="AL93" s="407">
        <f>Expenses!AE140</f>
        <v>323.9968863</v>
      </c>
      <c r="AM93" s="407">
        <f>Expenses!AF140</f>
        <v>327.2368551</v>
      </c>
      <c r="AN93" s="407">
        <f>Expenses!AG140</f>
        <v>2613</v>
      </c>
      <c r="AO93" s="407">
        <f>Expenses!AH140</f>
        <v>98.18068115</v>
      </c>
      <c r="AP93" s="407">
        <f>Expenses!AI140</f>
        <v>99.16248796</v>
      </c>
      <c r="AQ93" s="407">
        <f>Expenses!AJ140</f>
        <v>100.1541128</v>
      </c>
      <c r="AR93" s="407">
        <f>Expenses!AK140</f>
        <v>2678</v>
      </c>
      <c r="AS93" s="407">
        <f>Expenses!AL140</f>
        <v>102.1672105</v>
      </c>
      <c r="AT93" s="407">
        <f>Expenses!AM140</f>
        <v>103.1888826</v>
      </c>
      <c r="AU93" s="407">
        <f>Expenses!AN140</f>
        <v>104.2207714</v>
      </c>
      <c r="AV93" s="407">
        <f>Expenses!AO140</f>
        <v>2743</v>
      </c>
      <c r="AW93" s="407">
        <f>Expenses!AP140</f>
        <v>106.3156089</v>
      </c>
      <c r="AX93" s="407">
        <f>Expenses!AQ140</f>
        <v>107.378765</v>
      </c>
      <c r="AY93" s="407">
        <f>Expenses!AR140</f>
        <v>108.4525527</v>
      </c>
      <c r="AZ93" s="407">
        <f>Expenses!AS140</f>
        <v>2795</v>
      </c>
      <c r="BA93" s="407">
        <f>Expenses!AT140</f>
        <v>110.632449</v>
      </c>
      <c r="BB93" s="407">
        <f>Expenses!AU140</f>
        <v>111.7387735</v>
      </c>
      <c r="BC93" s="407">
        <f>Expenses!AV140</f>
        <v>112.8561612</v>
      </c>
      <c r="BD93" s="407">
        <f>Expenses!AW140</f>
        <v>2925</v>
      </c>
      <c r="BE93" s="407">
        <f>Expenses!AX140</f>
        <v>115.1245701</v>
      </c>
      <c r="BF93" s="407">
        <f>Expenses!AY140</f>
        <v>116.2758158</v>
      </c>
      <c r="BG93" s="407">
        <f>Expenses!AZ140</f>
        <v>117.4385739</v>
      </c>
      <c r="BH93" s="407">
        <f>Expenses!BA140</f>
        <v>3016</v>
      </c>
      <c r="BI93" s="407">
        <f>Expenses!BB140</f>
        <v>119.7990893</v>
      </c>
      <c r="BJ93" s="407">
        <f>Expenses!BC140</f>
        <v>120.9970802</v>
      </c>
      <c r="BK93" s="407">
        <f>Expenses!BD140</f>
        <v>122.207051</v>
      </c>
      <c r="BL93" s="407">
        <f>Expenses!BE140</f>
        <v>3107</v>
      </c>
      <c r="BM93" s="407">
        <f>Expenses!BF140</f>
        <v>124.6634127</v>
      </c>
      <c r="BN93" s="407">
        <f>Expenses!BG140</f>
        <v>125.9100468</v>
      </c>
      <c r="BO93" s="407">
        <f>Expenses!BH140</f>
        <v>127.1691473</v>
      </c>
      <c r="BP93" s="407">
        <f>Expenses!BI140</f>
        <v>3484</v>
      </c>
      <c r="BQ93" s="407">
        <f>Expenses!BJ140</f>
        <v>129.7252471</v>
      </c>
      <c r="BR93" s="407">
        <f>Expenses!BK140</f>
        <v>131.0224996</v>
      </c>
      <c r="BS93" s="407">
        <f>Expenses!BL140</f>
        <v>132.3327246</v>
      </c>
      <c r="BT93" s="407">
        <f>Expenses!BM140</f>
        <v>3588</v>
      </c>
      <c r="BU93" s="407">
        <f>Expenses!BN140</f>
        <v>134.9926124</v>
      </c>
      <c r="BV93" s="407">
        <f>Expenses!BO140</f>
        <v>136.3425385</v>
      </c>
      <c r="BW93" s="407">
        <f>Expenses!BP140</f>
        <v>137.7059639</v>
      </c>
      <c r="BX93" s="407">
        <f>Expenses!BQ140</f>
        <v>3666</v>
      </c>
      <c r="BY93" s="407">
        <f>Expenses!BR140</f>
        <v>140.4738537</v>
      </c>
      <c r="BZ93" s="407">
        <f>Expenses!BS140</f>
        <v>141.8785923</v>
      </c>
      <c r="CA93" s="407">
        <f>Expenses!BT140</f>
        <v>143.2973782</v>
      </c>
      <c r="CB93" s="407">
        <f>Expenses!BU140</f>
        <v>3770</v>
      </c>
      <c r="CC93" s="407">
        <f>Expenses!BV140</f>
        <v>146.1776555</v>
      </c>
      <c r="CD93" s="407">
        <f>Expenses!BW140</f>
        <v>147.6394321</v>
      </c>
      <c r="CE93" s="407">
        <f>Expenses!BX140</f>
        <v>149.1158264</v>
      </c>
      <c r="CF93" s="407">
        <f>Expenses!BY140</f>
        <v>3822</v>
      </c>
      <c r="CG93" s="407">
        <f>Expenses!BZ140</f>
        <v>152.1130545</v>
      </c>
      <c r="CH93" s="407">
        <f>Expenses!CA140</f>
        <v>153.634185</v>
      </c>
      <c r="CI93" s="407">
        <f>Expenses!CB140</f>
        <v>155.1705269</v>
      </c>
    </row>
    <row r="94" ht="15.75" customHeight="1" outlineLevel="1">
      <c r="A94" s="1" t="s">
        <v>122</v>
      </c>
      <c r="B94" s="91" t="s">
        <v>179</v>
      </c>
      <c r="C94" s="132" t="s">
        <v>253</v>
      </c>
      <c r="D94" s="247">
        <f t="shared" ref="D94:Z94" si="107">RANDBETWEEN(0,5000)</f>
        <v>1695</v>
      </c>
      <c r="E94" s="247">
        <f t="shared" si="107"/>
        <v>738</v>
      </c>
      <c r="F94" s="247">
        <f t="shared" si="107"/>
        <v>4092</v>
      </c>
      <c r="G94" s="247">
        <f t="shared" si="107"/>
        <v>4505</v>
      </c>
      <c r="H94" s="247">
        <f t="shared" si="107"/>
        <v>1378</v>
      </c>
      <c r="I94" s="247">
        <f t="shared" si="107"/>
        <v>3620</v>
      </c>
      <c r="J94" s="247">
        <f t="shared" si="107"/>
        <v>1832</v>
      </c>
      <c r="K94" s="247">
        <f t="shared" si="107"/>
        <v>2456</v>
      </c>
      <c r="L94" s="247">
        <f t="shared" si="107"/>
        <v>1513</v>
      </c>
      <c r="M94" s="247">
        <f t="shared" si="107"/>
        <v>73</v>
      </c>
      <c r="N94" s="247">
        <f t="shared" si="107"/>
        <v>1458</v>
      </c>
      <c r="O94" s="247">
        <f t="shared" si="107"/>
        <v>186</v>
      </c>
      <c r="P94" s="247">
        <f t="shared" si="107"/>
        <v>4192</v>
      </c>
      <c r="Q94" s="247">
        <f t="shared" si="107"/>
        <v>2278</v>
      </c>
      <c r="R94" s="247">
        <f t="shared" si="107"/>
        <v>2468</v>
      </c>
      <c r="S94" s="247">
        <f t="shared" si="107"/>
        <v>4072</v>
      </c>
      <c r="T94" s="247">
        <f t="shared" si="107"/>
        <v>1235</v>
      </c>
      <c r="U94" s="247">
        <f t="shared" si="107"/>
        <v>3378</v>
      </c>
      <c r="V94" s="247">
        <f t="shared" si="107"/>
        <v>1171</v>
      </c>
      <c r="W94" s="247">
        <f t="shared" si="107"/>
        <v>4983</v>
      </c>
      <c r="X94" s="247">
        <f t="shared" si="107"/>
        <v>2486</v>
      </c>
      <c r="Y94" s="247">
        <f t="shared" si="107"/>
        <v>525</v>
      </c>
      <c r="Z94" s="247">
        <f t="shared" si="107"/>
        <v>2376</v>
      </c>
      <c r="AA94" s="116">
        <f>Expenses!T146</f>
        <v>3574.38</v>
      </c>
      <c r="AB94" s="116">
        <f>Expenses!U146*(1-AB96)</f>
        <v>1924.2</v>
      </c>
      <c r="AC94" s="116">
        <f>Expenses!V146</f>
        <v>888.7297681</v>
      </c>
      <c r="AD94" s="116">
        <f>Expenses!W146</f>
        <v>897.6170658</v>
      </c>
      <c r="AE94" s="116">
        <f>Expenses!X146</f>
        <v>906.5932365</v>
      </c>
      <c r="AF94" s="116">
        <f>Expenses!Y146</f>
        <v>7215</v>
      </c>
      <c r="AG94" s="116">
        <f>Expenses!Z146</f>
        <v>924.8157605</v>
      </c>
      <c r="AH94" s="116">
        <f>Expenses!AA146</f>
        <v>934.0639181</v>
      </c>
      <c r="AI94" s="116">
        <f>Expenses!AB146</f>
        <v>943.4045573</v>
      </c>
      <c r="AJ94" s="116">
        <f>Expenses!AC146</f>
        <v>7410</v>
      </c>
      <c r="AK94" s="116">
        <f>Expenses!AD146</f>
        <v>962.3669889</v>
      </c>
      <c r="AL94" s="116">
        <f>Expenses!AE146</f>
        <v>971.9906588</v>
      </c>
      <c r="AM94" s="116">
        <f>Expenses!AF146</f>
        <v>981.7105654</v>
      </c>
      <c r="AN94" s="116">
        <f>Expenses!AG146</f>
        <v>7839</v>
      </c>
      <c r="AO94" s="116">
        <f>Expenses!AH146</f>
        <v>294.5420435</v>
      </c>
      <c r="AP94" s="116">
        <f>Expenses!AI146</f>
        <v>297.4874639</v>
      </c>
      <c r="AQ94" s="116">
        <f>Expenses!AJ146</f>
        <v>300.4623385</v>
      </c>
      <c r="AR94" s="116">
        <f>Expenses!AK146</f>
        <v>8034</v>
      </c>
      <c r="AS94" s="116">
        <f>Expenses!AL146</f>
        <v>306.5016315</v>
      </c>
      <c r="AT94" s="116">
        <f>Expenses!AM146</f>
        <v>309.5666479</v>
      </c>
      <c r="AU94" s="116">
        <f>Expenses!AN146</f>
        <v>312.6623143</v>
      </c>
      <c r="AV94" s="116">
        <f>Expenses!AO146</f>
        <v>8229</v>
      </c>
      <c r="AW94" s="116">
        <f>Expenses!AP146</f>
        <v>318.9468268</v>
      </c>
      <c r="AX94" s="116">
        <f>Expenses!AQ146</f>
        <v>322.1362951</v>
      </c>
      <c r="AY94" s="116">
        <f>Expenses!AR146</f>
        <v>325.3576581</v>
      </c>
      <c r="AZ94" s="116">
        <f>Expenses!AS146</f>
        <v>8385</v>
      </c>
      <c r="BA94" s="116">
        <f>Expenses!AT146</f>
        <v>331.897347</v>
      </c>
      <c r="BB94" s="116">
        <f>Expenses!AU146</f>
        <v>335.2163205</v>
      </c>
      <c r="BC94" s="116">
        <f>Expenses!AV146</f>
        <v>338.5684837</v>
      </c>
      <c r="BD94" s="116">
        <f>Expenses!AW146</f>
        <v>8775</v>
      </c>
      <c r="BE94" s="116">
        <f>Expenses!AX146</f>
        <v>345.3737102</v>
      </c>
      <c r="BF94" s="116">
        <f>Expenses!AY146</f>
        <v>348.8274473</v>
      </c>
      <c r="BG94" s="116">
        <f>Expenses!AZ146</f>
        <v>352.3157218</v>
      </c>
      <c r="BH94" s="116">
        <f>Expenses!BA146</f>
        <v>9048</v>
      </c>
      <c r="BI94" s="116">
        <f>Expenses!BB146</f>
        <v>359.3972678</v>
      </c>
      <c r="BJ94" s="116">
        <f>Expenses!BC146</f>
        <v>362.9912405</v>
      </c>
      <c r="BK94" s="116">
        <f>Expenses!BD146</f>
        <v>366.6211529</v>
      </c>
      <c r="BL94" s="116">
        <f>Expenses!BE146</f>
        <v>9321</v>
      </c>
      <c r="BM94" s="116">
        <f>Expenses!BF146</f>
        <v>373.990238</v>
      </c>
      <c r="BN94" s="116">
        <f>Expenses!BG146</f>
        <v>377.7301404</v>
      </c>
      <c r="BO94" s="116">
        <f>Expenses!BH146</f>
        <v>381.5074418</v>
      </c>
      <c r="BP94" s="116">
        <f>Expenses!BI146</f>
        <v>10452</v>
      </c>
      <c r="BQ94" s="116">
        <f>Expenses!BJ146</f>
        <v>389.1757414</v>
      </c>
      <c r="BR94" s="116">
        <f>Expenses!BK146</f>
        <v>393.0674988</v>
      </c>
      <c r="BS94" s="116">
        <f>Expenses!BL146</f>
        <v>396.9981738</v>
      </c>
      <c r="BT94" s="116">
        <f>Expenses!BM146</f>
        <v>10764</v>
      </c>
      <c r="BU94" s="116">
        <f>Expenses!BN146</f>
        <v>404.9778371</v>
      </c>
      <c r="BV94" s="116">
        <f>Expenses!BO146</f>
        <v>409.0276155</v>
      </c>
      <c r="BW94" s="116">
        <f>Expenses!BP146</f>
        <v>413.1178916</v>
      </c>
      <c r="BX94" s="116">
        <f>Expenses!BQ146</f>
        <v>10998</v>
      </c>
      <c r="BY94" s="116">
        <f>Expenses!BR146</f>
        <v>421.4215612</v>
      </c>
      <c r="BZ94" s="116">
        <f>Expenses!BS146</f>
        <v>425.6357768</v>
      </c>
      <c r="CA94" s="116">
        <f>Expenses!BT146</f>
        <v>429.8921346</v>
      </c>
      <c r="CB94" s="116">
        <f>Expenses!BU146</f>
        <v>11310</v>
      </c>
      <c r="CC94" s="116">
        <f>Expenses!BV146</f>
        <v>438.5329665</v>
      </c>
      <c r="CD94" s="116">
        <f>Expenses!BW146</f>
        <v>442.9182962</v>
      </c>
      <c r="CE94" s="116">
        <f>Expenses!BX146</f>
        <v>447.3474791</v>
      </c>
      <c r="CF94" s="116">
        <f>Expenses!BY146</f>
        <v>11466</v>
      </c>
      <c r="CG94" s="116">
        <f>Expenses!BZ146</f>
        <v>456.3391635</v>
      </c>
      <c r="CH94" s="116">
        <f>Expenses!CA146</f>
        <v>460.9025551</v>
      </c>
      <c r="CI94" s="116">
        <f>Expenses!CB146</f>
        <v>465.5115807</v>
      </c>
    </row>
    <row r="95" ht="15.75" customHeight="1">
      <c r="A95" s="1"/>
      <c r="B95" s="91"/>
      <c r="C95" s="257" t="s">
        <v>261</v>
      </c>
      <c r="D95" s="514">
        <f t="shared" ref="D95:CI95" si="108">SUM(D76:D94)</f>
        <v>41801</v>
      </c>
      <c r="E95" s="514">
        <f t="shared" si="108"/>
        <v>56745</v>
      </c>
      <c r="F95" s="514">
        <f t="shared" si="108"/>
        <v>57591</v>
      </c>
      <c r="G95" s="514">
        <f t="shared" si="108"/>
        <v>43143</v>
      </c>
      <c r="H95" s="514">
        <f t="shared" si="108"/>
        <v>51438</v>
      </c>
      <c r="I95" s="514">
        <f t="shared" si="108"/>
        <v>32764</v>
      </c>
      <c r="J95" s="514">
        <f t="shared" si="108"/>
        <v>56458</v>
      </c>
      <c r="K95" s="514">
        <f t="shared" si="108"/>
        <v>46672</v>
      </c>
      <c r="L95" s="514">
        <f t="shared" si="108"/>
        <v>34542</v>
      </c>
      <c r="M95" s="514">
        <f t="shared" si="108"/>
        <v>37204</v>
      </c>
      <c r="N95" s="514">
        <f t="shared" si="108"/>
        <v>52184</v>
      </c>
      <c r="O95" s="514">
        <f t="shared" si="108"/>
        <v>52020</v>
      </c>
      <c r="P95" s="514">
        <f t="shared" si="108"/>
        <v>52914</v>
      </c>
      <c r="Q95" s="514">
        <f t="shared" si="108"/>
        <v>53081</v>
      </c>
      <c r="R95" s="514">
        <f t="shared" si="108"/>
        <v>50786</v>
      </c>
      <c r="S95" s="514">
        <f t="shared" si="108"/>
        <v>42590</v>
      </c>
      <c r="T95" s="514">
        <f t="shared" si="108"/>
        <v>40006</v>
      </c>
      <c r="U95" s="514">
        <f t="shared" si="108"/>
        <v>42062</v>
      </c>
      <c r="V95" s="514">
        <f t="shared" si="108"/>
        <v>52734</v>
      </c>
      <c r="W95" s="514">
        <f t="shared" si="108"/>
        <v>42555</v>
      </c>
      <c r="X95" s="514">
        <f t="shared" si="108"/>
        <v>53501</v>
      </c>
      <c r="Y95" s="514">
        <f t="shared" si="108"/>
        <v>49688</v>
      </c>
      <c r="Z95" s="514">
        <f t="shared" si="108"/>
        <v>52525</v>
      </c>
      <c r="AA95" s="514">
        <f t="shared" si="108"/>
        <v>145635.8026</v>
      </c>
      <c r="AB95" s="514">
        <f t="shared" si="108"/>
        <v>146198.8651</v>
      </c>
      <c r="AC95" s="514">
        <f t="shared" si="108"/>
        <v>148422.2498</v>
      </c>
      <c r="AD95" s="514">
        <f t="shared" si="108"/>
        <v>147684.6645</v>
      </c>
      <c r="AE95" s="514">
        <f t="shared" si="108"/>
        <v>147877.7284</v>
      </c>
      <c r="AF95" s="514">
        <f t="shared" si="108"/>
        <v>165686.9718</v>
      </c>
      <c r="AG95" s="514">
        <f t="shared" si="108"/>
        <v>155335.1782</v>
      </c>
      <c r="AH95" s="514">
        <f t="shared" si="108"/>
        <v>218896.1627</v>
      </c>
      <c r="AI95" s="514">
        <f t="shared" si="108"/>
        <v>282639.7808</v>
      </c>
      <c r="AJ95" s="514">
        <f t="shared" si="108"/>
        <v>369036.347</v>
      </c>
      <c r="AK95" s="514">
        <f t="shared" si="108"/>
        <v>421823.1835</v>
      </c>
      <c r="AL95" s="514">
        <f t="shared" si="108"/>
        <v>485388.1282</v>
      </c>
      <c r="AM95" s="514">
        <f t="shared" si="108"/>
        <v>548894.5131</v>
      </c>
      <c r="AN95" s="514">
        <f t="shared" si="108"/>
        <v>649125.1052</v>
      </c>
      <c r="AO95" s="514">
        <f t="shared" si="108"/>
        <v>636490.79</v>
      </c>
      <c r="AP95" s="514">
        <f t="shared" si="108"/>
        <v>636649.3684</v>
      </c>
      <c r="AQ95" s="514">
        <f t="shared" si="108"/>
        <v>636737.2967</v>
      </c>
      <c r="AR95" s="514">
        <f t="shared" si="108"/>
        <v>674573.0962</v>
      </c>
      <c r="AS95" s="514">
        <f t="shared" si="108"/>
        <v>661803.0677</v>
      </c>
      <c r="AT95" s="514">
        <f t="shared" si="108"/>
        <v>663350.6308</v>
      </c>
      <c r="AU95" s="514">
        <f t="shared" si="108"/>
        <v>663501.5981</v>
      </c>
      <c r="AV95" s="514">
        <f t="shared" si="108"/>
        <v>702671.1064</v>
      </c>
      <c r="AW95" s="514">
        <f t="shared" si="108"/>
        <v>689604.7317</v>
      </c>
      <c r="AX95" s="514">
        <f t="shared" si="108"/>
        <v>689712.4458</v>
      </c>
      <c r="AY95" s="514">
        <f t="shared" si="108"/>
        <v>689824.9584</v>
      </c>
      <c r="AZ95" s="514">
        <f t="shared" si="108"/>
        <v>731981.4557</v>
      </c>
      <c r="BA95" s="514">
        <f t="shared" si="108"/>
        <v>718670.1278</v>
      </c>
      <c r="BB95" s="514">
        <f t="shared" si="108"/>
        <v>718860.7082</v>
      </c>
      <c r="BC95" s="514">
        <f t="shared" si="108"/>
        <v>719006.7061</v>
      </c>
      <c r="BD95" s="514">
        <f t="shared" si="108"/>
        <v>832400.9319</v>
      </c>
      <c r="BE95" s="514">
        <f t="shared" si="108"/>
        <v>818494.6211</v>
      </c>
      <c r="BF95" s="514">
        <f t="shared" si="108"/>
        <v>820070.3826</v>
      </c>
      <c r="BG95" s="514">
        <f t="shared" si="108"/>
        <v>894139.2112</v>
      </c>
      <c r="BH95" s="514">
        <f t="shared" si="108"/>
        <v>943783.5</v>
      </c>
      <c r="BI95" s="514">
        <f t="shared" si="108"/>
        <v>1003361.016</v>
      </c>
      <c r="BJ95" s="514">
        <f t="shared" si="108"/>
        <v>1003500.084</v>
      </c>
      <c r="BK95" s="514">
        <f t="shared" si="108"/>
        <v>1003636.921</v>
      </c>
      <c r="BL95" s="514">
        <f t="shared" si="108"/>
        <v>1136266.471</v>
      </c>
      <c r="BM95" s="514">
        <f t="shared" si="108"/>
        <v>1121465.804</v>
      </c>
      <c r="BN95" s="514">
        <f t="shared" si="108"/>
        <v>1121614.115</v>
      </c>
      <c r="BO95" s="514">
        <f t="shared" si="108"/>
        <v>1198622.94</v>
      </c>
      <c r="BP95" s="514">
        <f t="shared" si="108"/>
        <v>1262442.623</v>
      </c>
      <c r="BQ95" s="514">
        <f t="shared" si="108"/>
        <v>1245796.076</v>
      </c>
      <c r="BR95" s="514">
        <f t="shared" si="108"/>
        <v>1327309.551</v>
      </c>
      <c r="BS95" s="514">
        <f t="shared" si="108"/>
        <v>1327440.472</v>
      </c>
      <c r="BT95" s="514">
        <f t="shared" si="108"/>
        <v>1396822.337</v>
      </c>
      <c r="BU95" s="514">
        <f t="shared" si="108"/>
        <v>1459636.286</v>
      </c>
      <c r="BV95" s="514">
        <f t="shared" si="108"/>
        <v>1459765.989</v>
      </c>
      <c r="BW95" s="514">
        <f t="shared" si="108"/>
        <v>1459895.209</v>
      </c>
      <c r="BX95" s="514">
        <f t="shared" si="108"/>
        <v>1619556.514</v>
      </c>
      <c r="BY95" s="514">
        <f t="shared" si="108"/>
        <v>1601958.197</v>
      </c>
      <c r="BZ95" s="514">
        <f t="shared" si="108"/>
        <v>1602067.353</v>
      </c>
      <c r="CA95" s="514">
        <f t="shared" si="108"/>
        <v>1602145.289</v>
      </c>
      <c r="CB95" s="514">
        <f t="shared" si="108"/>
        <v>1683241.038</v>
      </c>
      <c r="CC95" s="514">
        <f t="shared" si="108"/>
        <v>1665203.294</v>
      </c>
      <c r="CD95" s="514">
        <f t="shared" si="108"/>
        <v>1666721.558</v>
      </c>
      <c r="CE95" s="514">
        <f t="shared" si="108"/>
        <v>1666812.77</v>
      </c>
      <c r="CF95" s="514">
        <f t="shared" si="108"/>
        <v>1750691.004</v>
      </c>
      <c r="CG95" s="514">
        <f t="shared" si="108"/>
        <v>1732425.778</v>
      </c>
      <c r="CH95" s="514">
        <f t="shared" si="108"/>
        <v>1732517.725</v>
      </c>
      <c r="CI95" s="514">
        <f t="shared" si="108"/>
        <v>1732609.461</v>
      </c>
    </row>
    <row r="96" ht="15.75" customHeight="1">
      <c r="A96" s="1" t="s">
        <v>831</v>
      </c>
      <c r="B96" s="1"/>
      <c r="C96" s="1"/>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528">
        <v>0.0</v>
      </c>
      <c r="AC96" s="528">
        <v>0.0</v>
      </c>
      <c r="AD96" s="528">
        <v>0.0</v>
      </c>
      <c r="AE96" s="528">
        <v>0.0</v>
      </c>
      <c r="AF96" s="528">
        <v>0.0</v>
      </c>
      <c r="AG96" s="528">
        <v>0.0</v>
      </c>
      <c r="AH96" s="528">
        <v>0.0</v>
      </c>
      <c r="AI96" s="528">
        <v>0.0</v>
      </c>
      <c r="AJ96" s="528">
        <v>0.0</v>
      </c>
      <c r="AK96" s="528">
        <v>0.0</v>
      </c>
      <c r="AL96" s="528">
        <v>0.0</v>
      </c>
      <c r="AM96" s="528">
        <v>0.0</v>
      </c>
      <c r="AN96" s="528">
        <v>0.0</v>
      </c>
      <c r="AO96" s="528">
        <v>0.0</v>
      </c>
      <c r="AP96" s="528">
        <v>0.0</v>
      </c>
      <c r="AQ96" s="528">
        <v>0.0</v>
      </c>
      <c r="AR96" s="528">
        <v>0.0</v>
      </c>
      <c r="AS96" s="528">
        <v>0.0</v>
      </c>
      <c r="AT96" s="528">
        <v>0.0</v>
      </c>
      <c r="AU96" s="528">
        <v>0.0</v>
      </c>
      <c r="AV96" s="528">
        <v>0.0</v>
      </c>
      <c r="AW96" s="528">
        <v>0.0</v>
      </c>
      <c r="AX96" s="528">
        <v>0.0</v>
      </c>
      <c r="AY96" s="528">
        <v>0.0</v>
      </c>
      <c r="AZ96" s="528">
        <v>0.0</v>
      </c>
      <c r="BA96" s="528">
        <v>0.0</v>
      </c>
      <c r="BB96" s="528">
        <v>0.0</v>
      </c>
      <c r="BC96" s="528">
        <v>0.0</v>
      </c>
      <c r="BD96" s="528">
        <v>0.0</v>
      </c>
      <c r="BE96" s="528">
        <v>0.0</v>
      </c>
      <c r="BF96" s="528">
        <v>0.0</v>
      </c>
      <c r="BG96" s="528">
        <v>0.0</v>
      </c>
      <c r="BH96" s="528">
        <v>0.0</v>
      </c>
      <c r="BI96" s="528">
        <v>0.0</v>
      </c>
      <c r="BJ96" s="528">
        <v>0.0</v>
      </c>
      <c r="BK96" s="528">
        <v>0.0</v>
      </c>
      <c r="BL96" s="528">
        <v>0.0</v>
      </c>
      <c r="BM96" s="528">
        <v>0.0</v>
      </c>
      <c r="BN96" s="528">
        <v>0.0</v>
      </c>
      <c r="BO96" s="528">
        <v>0.0</v>
      </c>
      <c r="BP96" s="528">
        <v>0.0</v>
      </c>
      <c r="BQ96" s="528">
        <v>0.0</v>
      </c>
      <c r="BR96" s="528">
        <v>0.0</v>
      </c>
      <c r="BS96" s="528">
        <v>0.0</v>
      </c>
      <c r="BT96" s="528">
        <v>0.0</v>
      </c>
      <c r="BU96" s="528">
        <v>0.0</v>
      </c>
      <c r="BV96" s="528">
        <v>0.0</v>
      </c>
      <c r="BW96" s="528">
        <v>0.0</v>
      </c>
      <c r="BX96" s="528">
        <v>0.0</v>
      </c>
      <c r="BY96" s="528">
        <v>0.0</v>
      </c>
      <c r="BZ96" s="528">
        <v>0.0</v>
      </c>
      <c r="CA96" s="528">
        <v>0.0</v>
      </c>
      <c r="CB96" s="528">
        <v>0.0</v>
      </c>
      <c r="CC96" s="528">
        <v>0.0</v>
      </c>
      <c r="CD96" s="528">
        <v>0.0</v>
      </c>
      <c r="CE96" s="528">
        <v>0.0</v>
      </c>
      <c r="CF96" s="528">
        <v>0.0</v>
      </c>
      <c r="CG96" s="528">
        <v>0.0</v>
      </c>
      <c r="CH96" s="528">
        <v>0.0</v>
      </c>
      <c r="CI96" s="528">
        <v>0.0</v>
      </c>
    </row>
    <row r="97" ht="15.75" customHeight="1">
      <c r="A97" s="1"/>
      <c r="B97" s="91"/>
      <c r="C97" s="115" t="s">
        <v>834</v>
      </c>
      <c r="D97" s="117"/>
      <c r="E97" s="117"/>
      <c r="F97" s="117"/>
      <c r="G97" s="117"/>
      <c r="H97" s="117"/>
      <c r="I97" s="117"/>
      <c r="J97" s="117"/>
      <c r="K97" s="117"/>
      <c r="L97" s="117"/>
      <c r="M97" s="117"/>
      <c r="N97" s="117"/>
      <c r="O97" s="117"/>
      <c r="P97" s="117"/>
      <c r="Q97" s="117"/>
      <c r="R97" s="117"/>
      <c r="S97" s="117"/>
      <c r="T97" s="117"/>
      <c r="U97" s="117"/>
      <c r="V97" s="117"/>
      <c r="W97" s="117"/>
      <c r="X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7"/>
      <c r="CC97" s="117"/>
      <c r="CD97" s="117"/>
      <c r="CE97" s="117"/>
      <c r="CF97" s="117"/>
      <c r="CG97" s="117"/>
      <c r="CH97" s="117"/>
      <c r="CI97" s="117"/>
    </row>
    <row r="98" ht="15.75" customHeight="1" outlineLevel="1">
      <c r="A98" s="1" t="s">
        <v>278</v>
      </c>
      <c r="B98" s="91" t="s">
        <v>175</v>
      </c>
      <c r="C98" s="132" t="s">
        <v>222</v>
      </c>
      <c r="D98" s="117">
        <f t="shared" ref="D98:CI98" si="109">D135-SUMIFS(D$6:D$97,$C$6:$C$97,$C98)</f>
        <v>-12956</v>
      </c>
      <c r="E98" s="117">
        <f t="shared" si="109"/>
        <v>-11404</v>
      </c>
      <c r="F98" s="117">
        <f t="shared" si="109"/>
        <v>-3201</v>
      </c>
      <c r="G98" s="117">
        <f t="shared" si="109"/>
        <v>-8179</v>
      </c>
      <c r="H98" s="117">
        <f t="shared" si="109"/>
        <v>-5176</v>
      </c>
      <c r="I98" s="117">
        <f t="shared" si="109"/>
        <v>-4911</v>
      </c>
      <c r="J98" s="117">
        <f t="shared" si="109"/>
        <v>-13193</v>
      </c>
      <c r="K98" s="117">
        <f t="shared" si="109"/>
        <v>-8862</v>
      </c>
      <c r="L98" s="117">
        <f t="shared" si="109"/>
        <v>-7994</v>
      </c>
      <c r="M98" s="117">
        <f t="shared" si="109"/>
        <v>-6750</v>
      </c>
      <c r="N98" s="117">
        <f t="shared" si="109"/>
        <v>-6382</v>
      </c>
      <c r="O98" s="117">
        <f t="shared" si="109"/>
        <v>-10285</v>
      </c>
      <c r="P98" s="117">
        <f t="shared" si="109"/>
        <v>-4987</v>
      </c>
      <c r="Q98" s="117">
        <f t="shared" si="109"/>
        <v>-10656</v>
      </c>
      <c r="R98" s="117">
        <f t="shared" si="109"/>
        <v>-6975</v>
      </c>
      <c r="S98" s="117">
        <f t="shared" si="109"/>
        <v>-9095</v>
      </c>
      <c r="T98" s="117">
        <f t="shared" si="109"/>
        <v>-6968</v>
      </c>
      <c r="U98" s="117">
        <f t="shared" si="109"/>
        <v>-8282</v>
      </c>
      <c r="V98" s="117">
        <f t="shared" si="109"/>
        <v>-10084</v>
      </c>
      <c r="W98" s="117">
        <f t="shared" si="109"/>
        <v>-6494</v>
      </c>
      <c r="X98" s="117">
        <f t="shared" si="109"/>
        <v>-8262</v>
      </c>
      <c r="Y98" s="117">
        <f t="shared" si="109"/>
        <v>-8316</v>
      </c>
      <c r="Z98" s="117">
        <f t="shared" si="109"/>
        <v>-9564</v>
      </c>
      <c r="AA98" s="117">
        <f t="shared" si="109"/>
        <v>-9564</v>
      </c>
      <c r="AB98" s="117">
        <f t="shared" si="109"/>
        <v>-9994.38</v>
      </c>
      <c r="AC98" s="117">
        <f t="shared" si="109"/>
        <v>-9994.38</v>
      </c>
      <c r="AD98" s="117">
        <f t="shared" si="109"/>
        <v>-9994.38</v>
      </c>
      <c r="AE98" s="117">
        <f t="shared" si="109"/>
        <v>-9994.38</v>
      </c>
      <c r="AF98" s="117">
        <f t="shared" si="109"/>
        <v>-10444.1271</v>
      </c>
      <c r="AG98" s="117">
        <f t="shared" si="109"/>
        <v>-10444.1271</v>
      </c>
      <c r="AH98" s="117">
        <f t="shared" si="109"/>
        <v>-10444.1271</v>
      </c>
      <c r="AI98" s="117">
        <f t="shared" si="109"/>
        <v>-10444.1271</v>
      </c>
      <c r="AJ98" s="117">
        <f t="shared" si="109"/>
        <v>-10914.11282</v>
      </c>
      <c r="AK98" s="117">
        <f t="shared" si="109"/>
        <v>-10914.11282</v>
      </c>
      <c r="AL98" s="117">
        <f t="shared" si="109"/>
        <v>-10914.11282</v>
      </c>
      <c r="AM98" s="117">
        <f t="shared" si="109"/>
        <v>-10914.11282</v>
      </c>
      <c r="AN98" s="117">
        <f t="shared" si="109"/>
        <v>-11350.67733</v>
      </c>
      <c r="AO98" s="117">
        <f t="shared" si="109"/>
        <v>-11350.67733</v>
      </c>
      <c r="AP98" s="117">
        <f t="shared" si="109"/>
        <v>-11350.67733</v>
      </c>
      <c r="AQ98" s="117">
        <f t="shared" si="109"/>
        <v>-11350.67733</v>
      </c>
      <c r="AR98" s="117">
        <f t="shared" si="109"/>
        <v>-11804.70443</v>
      </c>
      <c r="AS98" s="117">
        <f t="shared" si="109"/>
        <v>-11804.70443</v>
      </c>
      <c r="AT98" s="117">
        <f t="shared" si="109"/>
        <v>-11804.70443</v>
      </c>
      <c r="AU98" s="117">
        <f t="shared" si="109"/>
        <v>-11804.70443</v>
      </c>
      <c r="AV98" s="117">
        <f t="shared" si="109"/>
        <v>-12276.8926</v>
      </c>
      <c r="AW98" s="117">
        <f t="shared" si="109"/>
        <v>-12276.8926</v>
      </c>
      <c r="AX98" s="117">
        <f t="shared" si="109"/>
        <v>-12276.8926</v>
      </c>
      <c r="AY98" s="117">
        <f t="shared" si="109"/>
        <v>-12276.8926</v>
      </c>
      <c r="AZ98" s="117">
        <f t="shared" si="109"/>
        <v>-12767.96831</v>
      </c>
      <c r="BA98" s="117">
        <f t="shared" si="109"/>
        <v>-12767.96831</v>
      </c>
      <c r="BB98" s="117">
        <f t="shared" si="109"/>
        <v>-12767.96831</v>
      </c>
      <c r="BC98" s="117">
        <f t="shared" si="109"/>
        <v>-12767.96831</v>
      </c>
      <c r="BD98" s="117">
        <f t="shared" si="109"/>
        <v>-13278.68704</v>
      </c>
      <c r="BE98" s="117">
        <f t="shared" si="109"/>
        <v>-13278.68704</v>
      </c>
      <c r="BF98" s="117">
        <f t="shared" si="109"/>
        <v>-13278.68704</v>
      </c>
      <c r="BG98" s="117">
        <f t="shared" si="109"/>
        <v>-13278.68704</v>
      </c>
      <c r="BH98" s="117">
        <f t="shared" si="109"/>
        <v>-13809.83452</v>
      </c>
      <c r="BI98" s="117">
        <f t="shared" si="109"/>
        <v>-13809.83452</v>
      </c>
      <c r="BJ98" s="117">
        <f t="shared" si="109"/>
        <v>-13809.83452</v>
      </c>
      <c r="BK98" s="117">
        <f t="shared" si="109"/>
        <v>-13809.83452</v>
      </c>
      <c r="BL98" s="117">
        <f t="shared" si="109"/>
        <v>-14362.2279</v>
      </c>
      <c r="BM98" s="117">
        <f t="shared" si="109"/>
        <v>-14362.2279</v>
      </c>
      <c r="BN98" s="117">
        <f t="shared" si="109"/>
        <v>-14362.2279</v>
      </c>
      <c r="BO98" s="117">
        <f t="shared" si="109"/>
        <v>-14362.2279</v>
      </c>
      <c r="BP98" s="117">
        <f t="shared" si="109"/>
        <v>-14936.71702</v>
      </c>
      <c r="BQ98" s="117">
        <f t="shared" si="109"/>
        <v>-14936.71702</v>
      </c>
      <c r="BR98" s="117">
        <f t="shared" si="109"/>
        <v>-14936.71702</v>
      </c>
      <c r="BS98" s="117">
        <f t="shared" si="109"/>
        <v>-14936.71702</v>
      </c>
      <c r="BT98" s="117">
        <f t="shared" si="109"/>
        <v>-15534.1857</v>
      </c>
      <c r="BU98" s="117">
        <f t="shared" si="109"/>
        <v>-15534.1857</v>
      </c>
      <c r="BV98" s="117">
        <f t="shared" si="109"/>
        <v>-15534.1857</v>
      </c>
      <c r="BW98" s="117">
        <f t="shared" si="109"/>
        <v>-15534.1857</v>
      </c>
      <c r="BX98" s="117">
        <f t="shared" si="109"/>
        <v>-16155.55313</v>
      </c>
      <c r="BY98" s="117">
        <f t="shared" si="109"/>
        <v>-16155.55313</v>
      </c>
      <c r="BZ98" s="117">
        <f t="shared" si="109"/>
        <v>-16155.55313</v>
      </c>
      <c r="CA98" s="117">
        <f t="shared" si="109"/>
        <v>-16155.55313</v>
      </c>
      <c r="CB98" s="117">
        <f t="shared" si="109"/>
        <v>-16801.77525</v>
      </c>
      <c r="CC98" s="117">
        <f t="shared" si="109"/>
        <v>-16801.77525</v>
      </c>
      <c r="CD98" s="117">
        <f t="shared" si="109"/>
        <v>-16801.77525</v>
      </c>
      <c r="CE98" s="117">
        <f t="shared" si="109"/>
        <v>-16801.77525</v>
      </c>
      <c r="CF98" s="117">
        <f t="shared" si="109"/>
        <v>-17473.84626</v>
      </c>
      <c r="CG98" s="117">
        <f t="shared" si="109"/>
        <v>-17473.84626</v>
      </c>
      <c r="CH98" s="117">
        <f t="shared" si="109"/>
        <v>-17473.84626</v>
      </c>
      <c r="CI98" s="117">
        <f t="shared" si="109"/>
        <v>-17473.84626</v>
      </c>
    </row>
    <row r="99" ht="15.75" customHeight="1" outlineLevel="1">
      <c r="A99" s="1" t="s">
        <v>278</v>
      </c>
      <c r="B99" s="91" t="s">
        <v>175</v>
      </c>
      <c r="C99" s="132" t="s">
        <v>828</v>
      </c>
      <c r="D99" s="117">
        <f t="shared" ref="D99:CI99" si="110">D136-SUMIFS(D$6:D$97,$C$6:$C$97,$C99)</f>
        <v>-2694</v>
      </c>
      <c r="E99" s="117">
        <f t="shared" si="110"/>
        <v>-3088</v>
      </c>
      <c r="F99" s="117">
        <f t="shared" si="110"/>
        <v>-1473</v>
      </c>
      <c r="G99" s="117">
        <f t="shared" si="110"/>
        <v>-2008</v>
      </c>
      <c r="H99" s="117">
        <f t="shared" si="110"/>
        <v>-1433</v>
      </c>
      <c r="I99" s="117">
        <f t="shared" si="110"/>
        <v>-1164</v>
      </c>
      <c r="J99" s="117">
        <f t="shared" si="110"/>
        <v>-4964</v>
      </c>
      <c r="K99" s="117">
        <f t="shared" si="110"/>
        <v>-2171</v>
      </c>
      <c r="L99" s="117">
        <f t="shared" si="110"/>
        <v>-2924</v>
      </c>
      <c r="M99" s="117">
        <f t="shared" si="110"/>
        <v>-3459</v>
      </c>
      <c r="N99" s="117">
        <f t="shared" si="110"/>
        <v>-1626</v>
      </c>
      <c r="O99" s="117">
        <f t="shared" si="110"/>
        <v>1359</v>
      </c>
      <c r="P99" s="117">
        <f t="shared" si="110"/>
        <v>252</v>
      </c>
      <c r="Q99" s="117">
        <f t="shared" si="110"/>
        <v>-3116</v>
      </c>
      <c r="R99" s="117">
        <f t="shared" si="110"/>
        <v>1266</v>
      </c>
      <c r="S99" s="117">
        <f t="shared" si="110"/>
        <v>-2385</v>
      </c>
      <c r="T99" s="117">
        <f t="shared" si="110"/>
        <v>-129</v>
      </c>
      <c r="U99" s="117">
        <f t="shared" si="110"/>
        <v>2322</v>
      </c>
      <c r="V99" s="117">
        <f t="shared" si="110"/>
        <v>-349</v>
      </c>
      <c r="W99" s="117">
        <f t="shared" si="110"/>
        <v>-950</v>
      </c>
      <c r="X99" s="117">
        <f t="shared" si="110"/>
        <v>-1941</v>
      </c>
      <c r="Y99" s="117">
        <f t="shared" si="110"/>
        <v>-2695</v>
      </c>
      <c r="Z99" s="117">
        <f t="shared" si="110"/>
        <v>-1297</v>
      </c>
      <c r="AA99" s="117">
        <f t="shared" si="110"/>
        <v>0</v>
      </c>
      <c r="AB99" s="117">
        <f t="shared" si="110"/>
        <v>0</v>
      </c>
      <c r="AC99" s="117">
        <f t="shared" si="110"/>
        <v>0</v>
      </c>
      <c r="AD99" s="117">
        <f t="shared" si="110"/>
        <v>0</v>
      </c>
      <c r="AE99" s="117">
        <f t="shared" si="110"/>
        <v>0</v>
      </c>
      <c r="AF99" s="117">
        <f t="shared" si="110"/>
        <v>0</v>
      </c>
      <c r="AG99" s="117">
        <f t="shared" si="110"/>
        <v>0</v>
      </c>
      <c r="AH99" s="117">
        <f t="shared" si="110"/>
        <v>0</v>
      </c>
      <c r="AI99" s="117">
        <f t="shared" si="110"/>
        <v>0</v>
      </c>
      <c r="AJ99" s="117">
        <f t="shared" si="110"/>
        <v>0</v>
      </c>
      <c r="AK99" s="117">
        <f t="shared" si="110"/>
        <v>0</v>
      </c>
      <c r="AL99" s="117">
        <f t="shared" si="110"/>
        <v>0</v>
      </c>
      <c r="AM99" s="117">
        <f t="shared" si="110"/>
        <v>0</v>
      </c>
      <c r="AN99" s="117">
        <f t="shared" si="110"/>
        <v>0</v>
      </c>
      <c r="AO99" s="117">
        <f t="shared" si="110"/>
        <v>0</v>
      </c>
      <c r="AP99" s="117">
        <f t="shared" si="110"/>
        <v>0</v>
      </c>
      <c r="AQ99" s="117">
        <f t="shared" si="110"/>
        <v>0</v>
      </c>
      <c r="AR99" s="117">
        <f t="shared" si="110"/>
        <v>0</v>
      </c>
      <c r="AS99" s="117">
        <f t="shared" si="110"/>
        <v>0</v>
      </c>
      <c r="AT99" s="117">
        <f t="shared" si="110"/>
        <v>0</v>
      </c>
      <c r="AU99" s="117">
        <f t="shared" si="110"/>
        <v>0</v>
      </c>
      <c r="AV99" s="117">
        <f t="shared" si="110"/>
        <v>0</v>
      </c>
      <c r="AW99" s="117">
        <f t="shared" si="110"/>
        <v>0</v>
      </c>
      <c r="AX99" s="117">
        <f t="shared" si="110"/>
        <v>0</v>
      </c>
      <c r="AY99" s="117">
        <f t="shared" si="110"/>
        <v>0</v>
      </c>
      <c r="AZ99" s="117">
        <f t="shared" si="110"/>
        <v>0</v>
      </c>
      <c r="BA99" s="117">
        <f t="shared" si="110"/>
        <v>0</v>
      </c>
      <c r="BB99" s="117">
        <f t="shared" si="110"/>
        <v>0</v>
      </c>
      <c r="BC99" s="117">
        <f t="shared" si="110"/>
        <v>0</v>
      </c>
      <c r="BD99" s="117">
        <f t="shared" si="110"/>
        <v>0</v>
      </c>
      <c r="BE99" s="117">
        <f t="shared" si="110"/>
        <v>0</v>
      </c>
      <c r="BF99" s="117">
        <f t="shared" si="110"/>
        <v>0</v>
      </c>
      <c r="BG99" s="117">
        <f t="shared" si="110"/>
        <v>0</v>
      </c>
      <c r="BH99" s="117">
        <f t="shared" si="110"/>
        <v>0</v>
      </c>
      <c r="BI99" s="117">
        <f t="shared" si="110"/>
        <v>0</v>
      </c>
      <c r="BJ99" s="117">
        <f t="shared" si="110"/>
        <v>0</v>
      </c>
      <c r="BK99" s="117">
        <f t="shared" si="110"/>
        <v>0</v>
      </c>
      <c r="BL99" s="117">
        <f t="shared" si="110"/>
        <v>0</v>
      </c>
      <c r="BM99" s="117">
        <f t="shared" si="110"/>
        <v>0</v>
      </c>
      <c r="BN99" s="117">
        <f t="shared" si="110"/>
        <v>0</v>
      </c>
      <c r="BO99" s="117">
        <f t="shared" si="110"/>
        <v>0</v>
      </c>
      <c r="BP99" s="117">
        <f t="shared" si="110"/>
        <v>0</v>
      </c>
      <c r="BQ99" s="117">
        <f t="shared" si="110"/>
        <v>0</v>
      </c>
      <c r="BR99" s="117">
        <f t="shared" si="110"/>
        <v>0</v>
      </c>
      <c r="BS99" s="117">
        <f t="shared" si="110"/>
        <v>0</v>
      </c>
      <c r="BT99" s="117">
        <f t="shared" si="110"/>
        <v>0</v>
      </c>
      <c r="BU99" s="117">
        <f t="shared" si="110"/>
        <v>0</v>
      </c>
      <c r="BV99" s="117">
        <f t="shared" si="110"/>
        <v>0</v>
      </c>
      <c r="BW99" s="117">
        <f t="shared" si="110"/>
        <v>0</v>
      </c>
      <c r="BX99" s="117">
        <f t="shared" si="110"/>
        <v>0</v>
      </c>
      <c r="BY99" s="117">
        <f t="shared" si="110"/>
        <v>0</v>
      </c>
      <c r="BZ99" s="117">
        <f t="shared" si="110"/>
        <v>0</v>
      </c>
      <c r="CA99" s="117">
        <f t="shared" si="110"/>
        <v>0</v>
      </c>
      <c r="CB99" s="117">
        <f t="shared" si="110"/>
        <v>0</v>
      </c>
      <c r="CC99" s="117">
        <f t="shared" si="110"/>
        <v>0</v>
      </c>
      <c r="CD99" s="117">
        <f t="shared" si="110"/>
        <v>0</v>
      </c>
      <c r="CE99" s="117">
        <f t="shared" si="110"/>
        <v>0</v>
      </c>
      <c r="CF99" s="117">
        <f t="shared" si="110"/>
        <v>0</v>
      </c>
      <c r="CG99" s="117">
        <f t="shared" si="110"/>
        <v>0</v>
      </c>
      <c r="CH99" s="117">
        <f t="shared" si="110"/>
        <v>0</v>
      </c>
      <c r="CI99" s="117">
        <f t="shared" si="110"/>
        <v>0</v>
      </c>
    </row>
    <row r="100" ht="15.75" customHeight="1" outlineLevel="1">
      <c r="A100" s="1" t="s">
        <v>278</v>
      </c>
      <c r="B100" s="91" t="s">
        <v>175</v>
      </c>
      <c r="C100" s="132" t="s">
        <v>225</v>
      </c>
      <c r="D100" s="117">
        <f t="shared" ref="D100:CI100" si="111">D137-SUMIFS(D$6:D$97,$C$6:$C$97,$C100)</f>
        <v>-1157</v>
      </c>
      <c r="E100" s="117">
        <f t="shared" si="111"/>
        <v>-6409</v>
      </c>
      <c r="F100" s="117">
        <f t="shared" si="111"/>
        <v>-7252</v>
      </c>
      <c r="G100" s="117">
        <f t="shared" si="111"/>
        <v>-6979</v>
      </c>
      <c r="H100" s="117">
        <f t="shared" si="111"/>
        <v>-9010</v>
      </c>
      <c r="I100" s="117">
        <f t="shared" si="111"/>
        <v>-10968</v>
      </c>
      <c r="J100" s="117">
        <f t="shared" si="111"/>
        <v>-5367</v>
      </c>
      <c r="K100" s="117">
        <f t="shared" si="111"/>
        <v>-4982</v>
      </c>
      <c r="L100" s="117">
        <f t="shared" si="111"/>
        <v>-1929</v>
      </c>
      <c r="M100" s="117">
        <f t="shared" si="111"/>
        <v>-6835</v>
      </c>
      <c r="N100" s="117">
        <f t="shared" si="111"/>
        <v>-6653</v>
      </c>
      <c r="O100" s="117">
        <f t="shared" si="111"/>
        <v>-3624</v>
      </c>
      <c r="P100" s="117">
        <f t="shared" si="111"/>
        <v>-3881</v>
      </c>
      <c r="Q100" s="117">
        <f t="shared" si="111"/>
        <v>-4051</v>
      </c>
      <c r="R100" s="117">
        <f t="shared" si="111"/>
        <v>-7924</v>
      </c>
      <c r="S100" s="117">
        <f t="shared" si="111"/>
        <v>-6065</v>
      </c>
      <c r="T100" s="117">
        <f t="shared" si="111"/>
        <v>-10656</v>
      </c>
      <c r="U100" s="117">
        <f t="shared" si="111"/>
        <v>-11226</v>
      </c>
      <c r="V100" s="117">
        <f t="shared" si="111"/>
        <v>-11555</v>
      </c>
      <c r="W100" s="117">
        <f t="shared" si="111"/>
        <v>-13605</v>
      </c>
      <c r="X100" s="117">
        <f t="shared" si="111"/>
        <v>-15095</v>
      </c>
      <c r="Y100" s="117">
        <f t="shared" si="111"/>
        <v>-2010</v>
      </c>
      <c r="Z100" s="117">
        <f t="shared" si="111"/>
        <v>-8287</v>
      </c>
      <c r="AA100" s="117">
        <f t="shared" si="111"/>
        <v>-67858.60962</v>
      </c>
      <c r="AB100" s="117">
        <f t="shared" si="111"/>
        <v>-85301.51098</v>
      </c>
      <c r="AC100" s="117">
        <f t="shared" si="111"/>
        <v>-101736.0069</v>
      </c>
      <c r="AD100" s="117">
        <f t="shared" si="111"/>
        <v>-111144.9502</v>
      </c>
      <c r="AE100" s="117">
        <f t="shared" si="111"/>
        <v>-126062.1055</v>
      </c>
      <c r="AF100" s="117">
        <f t="shared" si="111"/>
        <v>-132350.2072</v>
      </c>
      <c r="AG100" s="117">
        <f t="shared" si="111"/>
        <v>-132298.2097</v>
      </c>
      <c r="AH100" s="117">
        <f t="shared" si="111"/>
        <v>-137855.8003</v>
      </c>
      <c r="AI100" s="117">
        <f t="shared" si="111"/>
        <v>-150868.4311</v>
      </c>
      <c r="AJ100" s="117">
        <f t="shared" si="111"/>
        <v>-163351.2776</v>
      </c>
      <c r="AK100" s="117">
        <f t="shared" si="111"/>
        <v>-169060.1498</v>
      </c>
      <c r="AL100" s="117">
        <f t="shared" si="111"/>
        <v>-181958.9013</v>
      </c>
      <c r="AM100" s="117">
        <f t="shared" si="111"/>
        <v>-187680.3519</v>
      </c>
      <c r="AN100" s="117">
        <f t="shared" si="111"/>
        <v>-201149.5054</v>
      </c>
      <c r="AO100" s="117">
        <f t="shared" si="111"/>
        <v>-201155.7338</v>
      </c>
      <c r="AP100" s="117">
        <f t="shared" si="111"/>
        <v>-201152.3328</v>
      </c>
      <c r="AQ100" s="117">
        <f t="shared" si="111"/>
        <v>-201152.524</v>
      </c>
      <c r="AR100" s="117">
        <f t="shared" si="111"/>
        <v>-209199.6714</v>
      </c>
      <c r="AS100" s="117">
        <f t="shared" si="111"/>
        <v>-209198.9175</v>
      </c>
      <c r="AT100" s="117">
        <f t="shared" si="111"/>
        <v>-209199.0771</v>
      </c>
      <c r="AU100" s="117">
        <f t="shared" si="111"/>
        <v>-209199.222</v>
      </c>
      <c r="AV100" s="117">
        <f t="shared" si="111"/>
        <v>-217567.0351</v>
      </c>
      <c r="AW100" s="117">
        <f t="shared" si="111"/>
        <v>-217567.088</v>
      </c>
      <c r="AX100" s="117">
        <f t="shared" si="111"/>
        <v>-217567.1036</v>
      </c>
      <c r="AY100" s="117">
        <f t="shared" si="111"/>
        <v>-217567.0756</v>
      </c>
      <c r="AZ100" s="117">
        <f t="shared" si="111"/>
        <v>-226269.7726</v>
      </c>
      <c r="BA100" s="117">
        <f t="shared" si="111"/>
        <v>-226269.773</v>
      </c>
      <c r="BB100" s="117">
        <f t="shared" si="111"/>
        <v>-226269.7682</v>
      </c>
      <c r="BC100" s="117">
        <f t="shared" si="111"/>
        <v>-226269.7712</v>
      </c>
      <c r="BD100" s="117">
        <f t="shared" si="111"/>
        <v>-241771.462</v>
      </c>
      <c r="BE100" s="117">
        <f t="shared" si="111"/>
        <v>-241771.4612</v>
      </c>
      <c r="BF100" s="117">
        <f t="shared" si="111"/>
        <v>-250114.296</v>
      </c>
      <c r="BG100" s="117">
        <f t="shared" si="111"/>
        <v>-256823.2322</v>
      </c>
      <c r="BH100" s="117">
        <f t="shared" si="111"/>
        <v>-267096.1614</v>
      </c>
      <c r="BI100" s="117">
        <f t="shared" si="111"/>
        <v>-273805.0979</v>
      </c>
      <c r="BJ100" s="117">
        <f t="shared" si="111"/>
        <v>-273805.0978</v>
      </c>
      <c r="BK100" s="117">
        <f t="shared" si="111"/>
        <v>-273805.0978</v>
      </c>
      <c r="BL100" s="117">
        <f t="shared" si="111"/>
        <v>-291734.5956</v>
      </c>
      <c r="BM100" s="117">
        <f t="shared" si="111"/>
        <v>-291734.5956</v>
      </c>
      <c r="BN100" s="117">
        <f t="shared" si="111"/>
        <v>-291734.5956</v>
      </c>
      <c r="BO100" s="117">
        <f t="shared" si="111"/>
        <v>-298711.8895</v>
      </c>
      <c r="BP100" s="117">
        <f t="shared" si="111"/>
        <v>-319336.9125</v>
      </c>
      <c r="BQ100" s="117">
        <f t="shared" si="111"/>
        <v>-319336.9125</v>
      </c>
      <c r="BR100" s="117">
        <f t="shared" si="111"/>
        <v>-326593.2981</v>
      </c>
      <c r="BS100" s="117">
        <f t="shared" si="111"/>
        <v>-326593.2981</v>
      </c>
      <c r="BT100" s="117">
        <f t="shared" si="111"/>
        <v>-339657.03</v>
      </c>
      <c r="BU100" s="117">
        <f t="shared" si="111"/>
        <v>-346913.4156</v>
      </c>
      <c r="BV100" s="117">
        <f t="shared" si="111"/>
        <v>-346913.4156</v>
      </c>
      <c r="BW100" s="117">
        <f t="shared" si="111"/>
        <v>-346913.4156</v>
      </c>
      <c r="BX100" s="117">
        <f t="shared" si="111"/>
        <v>-368336.5932</v>
      </c>
      <c r="BY100" s="117">
        <f t="shared" si="111"/>
        <v>-368336.5932</v>
      </c>
      <c r="BZ100" s="117">
        <f t="shared" si="111"/>
        <v>-368336.5932</v>
      </c>
      <c r="CA100" s="117">
        <f t="shared" si="111"/>
        <v>-368336.5932</v>
      </c>
      <c r="CB100" s="117">
        <f t="shared" si="111"/>
        <v>-383070.057</v>
      </c>
      <c r="CC100" s="117">
        <f t="shared" si="111"/>
        <v>-383070.057</v>
      </c>
      <c r="CD100" s="117">
        <f t="shared" si="111"/>
        <v>-383070.057</v>
      </c>
      <c r="CE100" s="117">
        <f t="shared" si="111"/>
        <v>-383070.057</v>
      </c>
      <c r="CF100" s="117">
        <f t="shared" si="111"/>
        <v>-398392.8592</v>
      </c>
      <c r="CG100" s="117">
        <f t="shared" si="111"/>
        <v>-398392.8592</v>
      </c>
      <c r="CH100" s="117">
        <f t="shared" si="111"/>
        <v>-398392.8592</v>
      </c>
      <c r="CI100" s="117">
        <f t="shared" si="111"/>
        <v>-398392.8592</v>
      </c>
    </row>
    <row r="101" ht="15.75" customHeight="1" outlineLevel="1">
      <c r="A101" s="1" t="s">
        <v>278</v>
      </c>
      <c r="B101" s="91" t="s">
        <v>175</v>
      </c>
      <c r="C101" s="132" t="s">
        <v>226</v>
      </c>
      <c r="D101" s="117">
        <f t="shared" ref="D101:CI101" si="112">D138-SUMIFS(D$6:D$97,$C$6:$C$97,$C101)</f>
        <v>-2417</v>
      </c>
      <c r="E101" s="117">
        <f t="shared" si="112"/>
        <v>-6211</v>
      </c>
      <c r="F101" s="117">
        <f t="shared" si="112"/>
        <v>-8261</v>
      </c>
      <c r="G101" s="117">
        <f t="shared" si="112"/>
        <v>-9807</v>
      </c>
      <c r="H101" s="117">
        <f t="shared" si="112"/>
        <v>-4584</v>
      </c>
      <c r="I101" s="117">
        <f t="shared" si="112"/>
        <v>-8724</v>
      </c>
      <c r="J101" s="117">
        <f t="shared" si="112"/>
        <v>-3006</v>
      </c>
      <c r="K101" s="117">
        <f t="shared" si="112"/>
        <v>-6339</v>
      </c>
      <c r="L101" s="117">
        <f t="shared" si="112"/>
        <v>-15436</v>
      </c>
      <c r="M101" s="117">
        <f t="shared" si="112"/>
        <v>-3024</v>
      </c>
      <c r="N101" s="117">
        <f t="shared" si="112"/>
        <v>-10068</v>
      </c>
      <c r="O101" s="117">
        <f t="shared" si="112"/>
        <v>-5205</v>
      </c>
      <c r="P101" s="117">
        <f t="shared" si="112"/>
        <v>-9968</v>
      </c>
      <c r="Q101" s="117">
        <f t="shared" si="112"/>
        <v>-5293</v>
      </c>
      <c r="R101" s="117">
        <f t="shared" si="112"/>
        <v>-10278</v>
      </c>
      <c r="S101" s="117">
        <f t="shared" si="112"/>
        <v>-7694</v>
      </c>
      <c r="T101" s="117">
        <f t="shared" si="112"/>
        <v>-7980</v>
      </c>
      <c r="U101" s="117">
        <f t="shared" si="112"/>
        <v>-5847</v>
      </c>
      <c r="V101" s="117">
        <f t="shared" si="112"/>
        <v>-7386</v>
      </c>
      <c r="W101" s="117">
        <f t="shared" si="112"/>
        <v>-6405</v>
      </c>
      <c r="X101" s="117">
        <f t="shared" si="112"/>
        <v>-8418</v>
      </c>
      <c r="Y101" s="117">
        <f t="shared" si="112"/>
        <v>-5137</v>
      </c>
      <c r="Z101" s="117">
        <f t="shared" si="112"/>
        <v>-4075</v>
      </c>
      <c r="AA101" s="117">
        <f t="shared" si="112"/>
        <v>-42348.1248</v>
      </c>
      <c r="AB101" s="117">
        <f t="shared" si="112"/>
        <v>-71704.73225</v>
      </c>
      <c r="AC101" s="117">
        <f t="shared" si="112"/>
        <v>-82812.34475</v>
      </c>
      <c r="AD101" s="117">
        <f t="shared" si="112"/>
        <v>-86857.75637</v>
      </c>
      <c r="AE101" s="117">
        <f t="shared" si="112"/>
        <v>-94317.95114</v>
      </c>
      <c r="AF101" s="117">
        <f t="shared" si="112"/>
        <v>-98622.03818</v>
      </c>
      <c r="AG101" s="117">
        <f t="shared" si="112"/>
        <v>-98817.95789</v>
      </c>
      <c r="AH101" s="117">
        <f t="shared" si="112"/>
        <v>-101281.8869</v>
      </c>
      <c r="AI101" s="117">
        <f t="shared" si="112"/>
        <v>-109123.7029</v>
      </c>
      <c r="AJ101" s="117">
        <f t="shared" si="112"/>
        <v>-116691.885</v>
      </c>
      <c r="AK101" s="117">
        <f t="shared" si="112"/>
        <v>-119269.2466</v>
      </c>
      <c r="AL101" s="117">
        <f t="shared" si="112"/>
        <v>-127099.4422</v>
      </c>
      <c r="AM101" s="117">
        <f t="shared" si="112"/>
        <v>-129720.7265</v>
      </c>
      <c r="AN101" s="117">
        <f t="shared" si="112"/>
        <v>-137618.83</v>
      </c>
      <c r="AO101" s="117">
        <f t="shared" si="112"/>
        <v>-137621.3949</v>
      </c>
      <c r="AP101" s="117">
        <f t="shared" si="112"/>
        <v>-137622.3638</v>
      </c>
      <c r="AQ101" s="117">
        <f t="shared" si="112"/>
        <v>-137620.8629</v>
      </c>
      <c r="AR101" s="117">
        <f t="shared" si="112"/>
        <v>-143126.4022</v>
      </c>
      <c r="AS101" s="117">
        <f t="shared" si="112"/>
        <v>-143126.452</v>
      </c>
      <c r="AT101" s="117">
        <f t="shared" si="112"/>
        <v>-143126.1902</v>
      </c>
      <c r="AU101" s="117">
        <f t="shared" si="112"/>
        <v>-143126.3481</v>
      </c>
      <c r="AV101" s="117">
        <f t="shared" si="112"/>
        <v>-148851.3833</v>
      </c>
      <c r="AW101" s="117">
        <f t="shared" si="112"/>
        <v>-148851.3416</v>
      </c>
      <c r="AX101" s="117">
        <f t="shared" si="112"/>
        <v>-148851.3753</v>
      </c>
      <c r="AY101" s="117">
        <f t="shared" si="112"/>
        <v>-148851.3667</v>
      </c>
      <c r="AZ101" s="117">
        <f t="shared" si="112"/>
        <v>-154805.4156</v>
      </c>
      <c r="BA101" s="117">
        <f t="shared" si="112"/>
        <v>-154805.4224</v>
      </c>
      <c r="BB101" s="117">
        <f t="shared" si="112"/>
        <v>-154805.4198</v>
      </c>
      <c r="BC101" s="117">
        <f t="shared" si="112"/>
        <v>-154805.4193</v>
      </c>
      <c r="BD101" s="117">
        <f t="shared" si="112"/>
        <v>-163936.8772</v>
      </c>
      <c r="BE101" s="117">
        <f t="shared" si="112"/>
        <v>-163936.8766</v>
      </c>
      <c r="BF101" s="117">
        <f t="shared" si="112"/>
        <v>-170032.2737</v>
      </c>
      <c r="BG101" s="117">
        <f t="shared" si="112"/>
        <v>-173089.0835</v>
      </c>
      <c r="BH101" s="117">
        <f t="shared" si="112"/>
        <v>-180012.6467</v>
      </c>
      <c r="BI101" s="117">
        <f t="shared" si="112"/>
        <v>-183069.4562</v>
      </c>
      <c r="BJ101" s="117">
        <f t="shared" si="112"/>
        <v>-183069.4563</v>
      </c>
      <c r="BK101" s="117">
        <f t="shared" si="112"/>
        <v>-183069.4562</v>
      </c>
      <c r="BL101" s="117">
        <f t="shared" si="112"/>
        <v>-193571.3165</v>
      </c>
      <c r="BM101" s="117">
        <f t="shared" si="112"/>
        <v>-193571.3165</v>
      </c>
      <c r="BN101" s="117">
        <f t="shared" si="112"/>
        <v>-193571.3165</v>
      </c>
      <c r="BO101" s="117">
        <f t="shared" si="112"/>
        <v>-196750.3984</v>
      </c>
      <c r="BP101" s="117">
        <f t="shared" si="112"/>
        <v>-210959.6273</v>
      </c>
      <c r="BQ101" s="117">
        <f t="shared" si="112"/>
        <v>-210959.6273</v>
      </c>
      <c r="BR101" s="117">
        <f t="shared" si="112"/>
        <v>-214265.8725</v>
      </c>
      <c r="BS101" s="117">
        <f t="shared" si="112"/>
        <v>-214265.8725</v>
      </c>
      <c r="BT101" s="117">
        <f t="shared" si="112"/>
        <v>-222836.5074</v>
      </c>
      <c r="BU101" s="117">
        <f t="shared" si="112"/>
        <v>-226142.7527</v>
      </c>
      <c r="BV101" s="117">
        <f t="shared" si="112"/>
        <v>-226142.7527</v>
      </c>
      <c r="BW101" s="117">
        <f t="shared" si="112"/>
        <v>-226142.7527</v>
      </c>
      <c r="BX101" s="117">
        <f t="shared" si="112"/>
        <v>-238626.9578</v>
      </c>
      <c r="BY101" s="117">
        <f t="shared" si="112"/>
        <v>-238626.9578</v>
      </c>
      <c r="BZ101" s="117">
        <f t="shared" si="112"/>
        <v>-238626.9578</v>
      </c>
      <c r="CA101" s="117">
        <f t="shared" si="112"/>
        <v>-238626.9578</v>
      </c>
      <c r="CB101" s="117">
        <f t="shared" si="112"/>
        <v>-248172.0361</v>
      </c>
      <c r="CC101" s="117">
        <f t="shared" si="112"/>
        <v>-248172.0361</v>
      </c>
      <c r="CD101" s="117">
        <f t="shared" si="112"/>
        <v>-248172.0361</v>
      </c>
      <c r="CE101" s="117">
        <f t="shared" si="112"/>
        <v>-248172.0361</v>
      </c>
      <c r="CF101" s="117">
        <f t="shared" si="112"/>
        <v>-258098.9176</v>
      </c>
      <c r="CG101" s="117">
        <f t="shared" si="112"/>
        <v>-258098.9176</v>
      </c>
      <c r="CH101" s="117">
        <f t="shared" si="112"/>
        <v>-258098.9176</v>
      </c>
      <c r="CI101" s="117">
        <f t="shared" si="112"/>
        <v>-258098.9176</v>
      </c>
    </row>
    <row r="102" ht="15.75" customHeight="1" outlineLevel="1">
      <c r="A102" s="1" t="s">
        <v>278</v>
      </c>
      <c r="B102" s="91" t="s">
        <v>175</v>
      </c>
      <c r="C102" s="132" t="s">
        <v>227</v>
      </c>
      <c r="D102" s="117">
        <f t="shared" ref="D102:CI102" si="113">D139-SUMIFS(D$6:D$97,$C$6:$C$97,$C102)</f>
        <v>-4995</v>
      </c>
      <c r="E102" s="117">
        <f t="shared" si="113"/>
        <v>-11481</v>
      </c>
      <c r="F102" s="117">
        <f t="shared" si="113"/>
        <v>-9381</v>
      </c>
      <c r="G102" s="117">
        <f t="shared" si="113"/>
        <v>-4736</v>
      </c>
      <c r="H102" s="117">
        <f t="shared" si="113"/>
        <v>-3666</v>
      </c>
      <c r="I102" s="117">
        <f t="shared" si="113"/>
        <v>-9357</v>
      </c>
      <c r="J102" s="117">
        <f t="shared" si="113"/>
        <v>-8138</v>
      </c>
      <c r="K102" s="117">
        <f t="shared" si="113"/>
        <v>-9392</v>
      </c>
      <c r="L102" s="117">
        <f t="shared" si="113"/>
        <v>-8250</v>
      </c>
      <c r="M102" s="117">
        <f t="shared" si="113"/>
        <v>-7558</v>
      </c>
      <c r="N102" s="117">
        <f t="shared" si="113"/>
        <v>-8528</v>
      </c>
      <c r="O102" s="117">
        <f t="shared" si="113"/>
        <v>-13490</v>
      </c>
      <c r="P102" s="117">
        <f t="shared" si="113"/>
        <v>-11557</v>
      </c>
      <c r="Q102" s="117">
        <f t="shared" si="113"/>
        <v>-11204</v>
      </c>
      <c r="R102" s="117">
        <f t="shared" si="113"/>
        <v>-7829</v>
      </c>
      <c r="S102" s="117">
        <f t="shared" si="113"/>
        <v>-7969</v>
      </c>
      <c r="T102" s="117">
        <f t="shared" si="113"/>
        <v>-11879</v>
      </c>
      <c r="U102" s="117">
        <f t="shared" si="113"/>
        <v>-8830</v>
      </c>
      <c r="V102" s="117">
        <f t="shared" si="113"/>
        <v>-9754</v>
      </c>
      <c r="W102" s="117">
        <f t="shared" si="113"/>
        <v>-10953</v>
      </c>
      <c r="X102" s="117">
        <f t="shared" si="113"/>
        <v>-5461</v>
      </c>
      <c r="Y102" s="117">
        <f t="shared" si="113"/>
        <v>-11233</v>
      </c>
      <c r="Z102" s="117">
        <f t="shared" si="113"/>
        <v>-9487</v>
      </c>
      <c r="AA102" s="117">
        <f t="shared" si="113"/>
        <v>-67733.13987</v>
      </c>
      <c r="AB102" s="117">
        <f t="shared" si="113"/>
        <v>-107426.8912</v>
      </c>
      <c r="AC102" s="117">
        <f t="shared" si="113"/>
        <v>-120450.6639</v>
      </c>
      <c r="AD102" s="117">
        <f t="shared" si="113"/>
        <v>-127262.3752</v>
      </c>
      <c r="AE102" s="117">
        <f t="shared" si="113"/>
        <v>-141552.9388</v>
      </c>
      <c r="AF102" s="117">
        <f t="shared" si="113"/>
        <v>-147413.8838</v>
      </c>
      <c r="AG102" s="117">
        <f t="shared" si="113"/>
        <v>-147556.7582</v>
      </c>
      <c r="AH102" s="117">
        <f t="shared" si="113"/>
        <v>-156963.7045</v>
      </c>
      <c r="AI102" s="117">
        <f t="shared" si="113"/>
        <v>-173609.1791</v>
      </c>
      <c r="AJ102" s="117">
        <f t="shared" si="113"/>
        <v>-190796.4742</v>
      </c>
      <c r="AK102" s="117">
        <f t="shared" si="113"/>
        <v>-200136.8249</v>
      </c>
      <c r="AL102" s="117">
        <f t="shared" si="113"/>
        <v>-216863.0508</v>
      </c>
      <c r="AM102" s="117">
        <f t="shared" si="113"/>
        <v>-226205.7709</v>
      </c>
      <c r="AN102" s="117">
        <f t="shared" si="113"/>
        <v>-244959.5994</v>
      </c>
      <c r="AO102" s="117">
        <f t="shared" si="113"/>
        <v>-244956.1255</v>
      </c>
      <c r="AP102" s="117">
        <f t="shared" si="113"/>
        <v>-244958.4453</v>
      </c>
      <c r="AQ102" s="117">
        <f t="shared" si="113"/>
        <v>-244958.0567</v>
      </c>
      <c r="AR102" s="117">
        <f t="shared" si="113"/>
        <v>-254755.8442</v>
      </c>
      <c r="AS102" s="117">
        <f t="shared" si="113"/>
        <v>-254756.329</v>
      </c>
      <c r="AT102" s="117">
        <f t="shared" si="113"/>
        <v>-254756.1815</v>
      </c>
      <c r="AU102" s="117">
        <f t="shared" si="113"/>
        <v>-254756.1182</v>
      </c>
      <c r="AV102" s="117">
        <f t="shared" si="113"/>
        <v>-264946.4579</v>
      </c>
      <c r="AW102" s="117">
        <f t="shared" si="113"/>
        <v>-264946.4171</v>
      </c>
      <c r="AX102" s="117">
        <f t="shared" si="113"/>
        <v>-264946.4133</v>
      </c>
      <c r="AY102" s="117">
        <f t="shared" si="113"/>
        <v>-264946.4295</v>
      </c>
      <c r="AZ102" s="117">
        <f t="shared" si="113"/>
        <v>-275544.2768</v>
      </c>
      <c r="BA102" s="117">
        <f t="shared" si="113"/>
        <v>-275544.2777</v>
      </c>
      <c r="BB102" s="117">
        <f t="shared" si="113"/>
        <v>-275544.2803</v>
      </c>
      <c r="BC102" s="117">
        <f t="shared" si="113"/>
        <v>-275544.2783</v>
      </c>
      <c r="BD102" s="117">
        <f t="shared" si="113"/>
        <v>-297063.7358</v>
      </c>
      <c r="BE102" s="117">
        <f t="shared" si="113"/>
        <v>-297063.7361</v>
      </c>
      <c r="BF102" s="117">
        <f t="shared" si="113"/>
        <v>-305736.416</v>
      </c>
      <c r="BG102" s="117">
        <f t="shared" si="113"/>
        <v>-316654.0095</v>
      </c>
      <c r="BH102" s="117">
        <f t="shared" si="113"/>
        <v>-329320.1699</v>
      </c>
      <c r="BI102" s="117">
        <f t="shared" si="113"/>
        <v>-340237.7631</v>
      </c>
      <c r="BJ102" s="117">
        <f t="shared" si="113"/>
        <v>-340237.7632</v>
      </c>
      <c r="BK102" s="117">
        <f t="shared" si="113"/>
        <v>-340237.7632</v>
      </c>
      <c r="BL102" s="117">
        <f t="shared" si="113"/>
        <v>-365201.5707</v>
      </c>
      <c r="BM102" s="117">
        <f t="shared" si="113"/>
        <v>-365201.5707</v>
      </c>
      <c r="BN102" s="117">
        <f t="shared" si="113"/>
        <v>-365201.5707</v>
      </c>
      <c r="BO102" s="117">
        <f t="shared" si="113"/>
        <v>-376555.8678</v>
      </c>
      <c r="BP102" s="117">
        <f t="shared" si="113"/>
        <v>-400637.69</v>
      </c>
      <c r="BQ102" s="117">
        <f t="shared" si="113"/>
        <v>-400637.69</v>
      </c>
      <c r="BR102" s="117">
        <f t="shared" si="113"/>
        <v>-412446.1589</v>
      </c>
      <c r="BS102" s="117">
        <f t="shared" si="113"/>
        <v>-412446.1589</v>
      </c>
      <c r="BT102" s="117">
        <f t="shared" si="113"/>
        <v>-428944.0053</v>
      </c>
      <c r="BU102" s="117">
        <f t="shared" si="113"/>
        <v>-440752.4742</v>
      </c>
      <c r="BV102" s="117">
        <f t="shared" si="113"/>
        <v>-440752.4742</v>
      </c>
      <c r="BW102" s="117">
        <f t="shared" si="113"/>
        <v>-440752.4742</v>
      </c>
      <c r="BX102" s="117">
        <f t="shared" si="113"/>
        <v>-470663.3808</v>
      </c>
      <c r="BY102" s="117">
        <f t="shared" si="113"/>
        <v>-470663.3808</v>
      </c>
      <c r="BZ102" s="117">
        <f t="shared" si="113"/>
        <v>-470663.3808</v>
      </c>
      <c r="CA102" s="117">
        <f t="shared" si="113"/>
        <v>-470663.3808</v>
      </c>
      <c r="CB102" s="117">
        <f t="shared" si="113"/>
        <v>-489489.9161</v>
      </c>
      <c r="CC102" s="117">
        <f t="shared" si="113"/>
        <v>-489489.9161</v>
      </c>
      <c r="CD102" s="117">
        <f t="shared" si="113"/>
        <v>-489489.9161</v>
      </c>
      <c r="CE102" s="117">
        <f t="shared" si="113"/>
        <v>-489489.9161</v>
      </c>
      <c r="CF102" s="117">
        <f t="shared" si="113"/>
        <v>-509069.5127</v>
      </c>
      <c r="CG102" s="117">
        <f t="shared" si="113"/>
        <v>-509069.5127</v>
      </c>
      <c r="CH102" s="117">
        <f t="shared" si="113"/>
        <v>-509069.5127</v>
      </c>
      <c r="CI102" s="117">
        <f t="shared" si="113"/>
        <v>-509069.5127</v>
      </c>
    </row>
    <row r="103" ht="15.75" customHeight="1" outlineLevel="1">
      <c r="A103" s="1" t="s">
        <v>278</v>
      </c>
      <c r="B103" s="91" t="s">
        <v>175</v>
      </c>
      <c r="C103" s="132" t="s">
        <v>228</v>
      </c>
      <c r="D103" s="117">
        <f t="shared" ref="D103:CI103" si="114">D140-SUMIFS(D$6:D$97,$C$6:$C$97,$C103)</f>
        <v>-1771</v>
      </c>
      <c r="E103" s="117">
        <f t="shared" si="114"/>
        <v>-11385</v>
      </c>
      <c r="F103" s="117">
        <f t="shared" si="114"/>
        <v>-8947</v>
      </c>
      <c r="G103" s="117">
        <f t="shared" si="114"/>
        <v>-8600</v>
      </c>
      <c r="H103" s="117">
        <f t="shared" si="114"/>
        <v>-8134</v>
      </c>
      <c r="I103" s="117">
        <f t="shared" si="114"/>
        <v>-6191</v>
      </c>
      <c r="J103" s="117">
        <f t="shared" si="114"/>
        <v>-8482</v>
      </c>
      <c r="K103" s="117">
        <f t="shared" si="114"/>
        <v>-7439</v>
      </c>
      <c r="L103" s="117">
        <f t="shared" si="114"/>
        <v>-5881</v>
      </c>
      <c r="M103" s="117">
        <f t="shared" si="114"/>
        <v>-7030</v>
      </c>
      <c r="N103" s="117">
        <f t="shared" si="114"/>
        <v>-8540</v>
      </c>
      <c r="O103" s="117">
        <f t="shared" si="114"/>
        <v>-9222</v>
      </c>
      <c r="P103" s="117">
        <f t="shared" si="114"/>
        <v>-13189</v>
      </c>
      <c r="Q103" s="117">
        <f t="shared" si="114"/>
        <v>-7144</v>
      </c>
      <c r="R103" s="117">
        <f t="shared" si="114"/>
        <v>-4434</v>
      </c>
      <c r="S103" s="117">
        <f t="shared" si="114"/>
        <v>-8875</v>
      </c>
      <c r="T103" s="117">
        <f t="shared" si="114"/>
        <v>-6789</v>
      </c>
      <c r="U103" s="117">
        <f t="shared" si="114"/>
        <v>-5671</v>
      </c>
      <c r="V103" s="117">
        <f t="shared" si="114"/>
        <v>-9296</v>
      </c>
      <c r="W103" s="117">
        <f t="shared" si="114"/>
        <v>-4061</v>
      </c>
      <c r="X103" s="117">
        <f t="shared" si="114"/>
        <v>-9484</v>
      </c>
      <c r="Y103" s="117">
        <f t="shared" si="114"/>
        <v>-5697</v>
      </c>
      <c r="Z103" s="117">
        <f t="shared" si="114"/>
        <v>-8683</v>
      </c>
      <c r="AA103" s="117">
        <f t="shared" si="114"/>
        <v>-46876.19229</v>
      </c>
      <c r="AB103" s="117">
        <f t="shared" si="114"/>
        <v>-48114.28946</v>
      </c>
      <c r="AC103" s="117">
        <f t="shared" si="114"/>
        <v>-55011.7048</v>
      </c>
      <c r="AD103" s="117">
        <f t="shared" si="114"/>
        <v>-62069.85317</v>
      </c>
      <c r="AE103" s="117">
        <f t="shared" si="114"/>
        <v>-76936.68022</v>
      </c>
      <c r="AF103" s="117">
        <f t="shared" si="114"/>
        <v>-80178.54894</v>
      </c>
      <c r="AG103" s="117">
        <f t="shared" si="114"/>
        <v>-79878.90315</v>
      </c>
      <c r="AH103" s="117">
        <f t="shared" si="114"/>
        <v>-86774.15152</v>
      </c>
      <c r="AI103" s="117">
        <f t="shared" si="114"/>
        <v>-102028.8781</v>
      </c>
      <c r="AJ103" s="117">
        <f t="shared" si="114"/>
        <v>-113801.1932</v>
      </c>
      <c r="AK103" s="117">
        <f t="shared" si="114"/>
        <v>-120746.6919</v>
      </c>
      <c r="AL103" s="117">
        <f t="shared" si="114"/>
        <v>-136038.973</v>
      </c>
      <c r="AM103" s="117">
        <f t="shared" si="114"/>
        <v>-142996.2341</v>
      </c>
      <c r="AN103" s="117">
        <f t="shared" si="114"/>
        <v>-156212.1451</v>
      </c>
      <c r="AO103" s="117">
        <f t="shared" si="114"/>
        <v>-156162.6189</v>
      </c>
      <c r="AP103" s="117">
        <f t="shared" si="114"/>
        <v>-156093.0275</v>
      </c>
      <c r="AQ103" s="117">
        <f t="shared" si="114"/>
        <v>-156001.6696</v>
      </c>
      <c r="AR103" s="117">
        <f t="shared" si="114"/>
        <v>-162417.1173</v>
      </c>
      <c r="AS103" s="117">
        <f t="shared" si="114"/>
        <v>-162316.8515</v>
      </c>
      <c r="AT103" s="117">
        <f t="shared" si="114"/>
        <v>-162217.5292</v>
      </c>
      <c r="AU103" s="117">
        <f t="shared" si="114"/>
        <v>-162097.7761</v>
      </c>
      <c r="AV103" s="117">
        <f t="shared" si="114"/>
        <v>-168773.3085</v>
      </c>
      <c r="AW103" s="117">
        <f t="shared" si="114"/>
        <v>-168677.9747</v>
      </c>
      <c r="AX103" s="117">
        <f t="shared" si="114"/>
        <v>-168583.9852</v>
      </c>
      <c r="AY103" s="117">
        <f t="shared" si="114"/>
        <v>-168491.2383</v>
      </c>
      <c r="AZ103" s="117">
        <f t="shared" si="114"/>
        <v>-175332.3282</v>
      </c>
      <c r="BA103" s="117">
        <f t="shared" si="114"/>
        <v>-175180.2623</v>
      </c>
      <c r="BB103" s="117">
        <f t="shared" si="114"/>
        <v>-175032.882</v>
      </c>
      <c r="BC103" s="117">
        <f t="shared" si="114"/>
        <v>-174889.2946</v>
      </c>
      <c r="BD103" s="117">
        <f t="shared" si="114"/>
        <v>-190215.2995</v>
      </c>
      <c r="BE103" s="117">
        <f t="shared" si="114"/>
        <v>-190077.7661</v>
      </c>
      <c r="BF103" s="117">
        <f t="shared" si="114"/>
        <v>-199694.0174</v>
      </c>
      <c r="BG103" s="117">
        <f t="shared" si="114"/>
        <v>-208028.5722</v>
      </c>
      <c r="BH103" s="117">
        <f t="shared" si="114"/>
        <v>-216570.2724</v>
      </c>
      <c r="BI103" s="117">
        <f t="shared" si="114"/>
        <v>-224908.9149</v>
      </c>
      <c r="BJ103" s="117">
        <f t="shared" si="114"/>
        <v>-224782.1601</v>
      </c>
      <c r="BK103" s="117">
        <f t="shared" si="114"/>
        <v>-224657.0827</v>
      </c>
      <c r="BL103" s="117">
        <f t="shared" si="114"/>
        <v>-242640.0132</v>
      </c>
      <c r="BM103" s="117">
        <f t="shared" si="114"/>
        <v>-242499.6959</v>
      </c>
      <c r="BN103" s="117">
        <f t="shared" si="114"/>
        <v>-242372.6177</v>
      </c>
      <c r="BO103" s="117">
        <f t="shared" si="114"/>
        <v>-251053.947</v>
      </c>
      <c r="BP103" s="117">
        <f t="shared" si="114"/>
        <v>-271507.8605</v>
      </c>
      <c r="BQ103" s="117">
        <f t="shared" si="114"/>
        <v>-271384.4796</v>
      </c>
      <c r="BR103" s="117">
        <f t="shared" si="114"/>
        <v>-280419.7176</v>
      </c>
      <c r="BS103" s="117">
        <f t="shared" si="114"/>
        <v>-280297.2313</v>
      </c>
      <c r="BT103" s="117">
        <f t="shared" si="114"/>
        <v>-291801.1032</v>
      </c>
      <c r="BU103" s="117">
        <f t="shared" si="114"/>
        <v>-300837.3413</v>
      </c>
      <c r="BV103" s="117">
        <f t="shared" si="114"/>
        <v>-300715.6376</v>
      </c>
      <c r="BW103" s="117">
        <f t="shared" si="114"/>
        <v>-300594.0552</v>
      </c>
      <c r="BX103" s="117">
        <f t="shared" si="114"/>
        <v>-322409.6361</v>
      </c>
      <c r="BY103" s="117">
        <f t="shared" si="114"/>
        <v>-322331.9211</v>
      </c>
      <c r="BZ103" s="117">
        <f t="shared" si="114"/>
        <v>-322257.6366</v>
      </c>
      <c r="CA103" s="117">
        <f t="shared" si="114"/>
        <v>-322179.4748</v>
      </c>
      <c r="CB103" s="117">
        <f t="shared" si="114"/>
        <v>-335435.7208</v>
      </c>
      <c r="CC103" s="117">
        <f t="shared" si="114"/>
        <v>-335354.2597</v>
      </c>
      <c r="CD103" s="117">
        <f t="shared" si="114"/>
        <v>-335272.2668</v>
      </c>
      <c r="CE103" s="117">
        <f t="shared" si="114"/>
        <v>-335190.0026</v>
      </c>
      <c r="CF103" s="117">
        <f t="shared" si="114"/>
        <v>-348977.7467</v>
      </c>
      <c r="CG103" s="117">
        <f t="shared" si="114"/>
        <v>-348895.318</v>
      </c>
      <c r="CH103" s="117">
        <f t="shared" si="114"/>
        <v>-348812.894</v>
      </c>
      <c r="CI103" s="117">
        <f t="shared" si="114"/>
        <v>-348730.4931</v>
      </c>
    </row>
    <row r="104" ht="15.75" customHeight="1" outlineLevel="1">
      <c r="A104" s="1" t="s">
        <v>278</v>
      </c>
      <c r="B104" s="91" t="s">
        <v>175</v>
      </c>
      <c r="C104" s="132" t="s">
        <v>229</v>
      </c>
      <c r="D104" s="117">
        <f t="shared" ref="D104:CI104" si="115">D141-SUMIFS(D$6:D$97,$C$6:$C$97,$C104)</f>
        <v>-8285</v>
      </c>
      <c r="E104" s="117">
        <f t="shared" si="115"/>
        <v>-6068</v>
      </c>
      <c r="F104" s="117">
        <f t="shared" si="115"/>
        <v>-6624</v>
      </c>
      <c r="G104" s="117">
        <f t="shared" si="115"/>
        <v>-7007</v>
      </c>
      <c r="H104" s="117">
        <f t="shared" si="115"/>
        <v>-6310</v>
      </c>
      <c r="I104" s="117">
        <f t="shared" si="115"/>
        <v>-10133</v>
      </c>
      <c r="J104" s="117">
        <f t="shared" si="115"/>
        <v>-11425</v>
      </c>
      <c r="K104" s="117">
        <f t="shared" si="115"/>
        <v>-11533</v>
      </c>
      <c r="L104" s="117">
        <f t="shared" si="115"/>
        <v>-7521</v>
      </c>
      <c r="M104" s="117">
        <f t="shared" si="115"/>
        <v>-12702</v>
      </c>
      <c r="N104" s="117">
        <f t="shared" si="115"/>
        <v>-6332</v>
      </c>
      <c r="O104" s="117">
        <f t="shared" si="115"/>
        <v>-4321</v>
      </c>
      <c r="P104" s="117">
        <f t="shared" si="115"/>
        <v>-6711</v>
      </c>
      <c r="Q104" s="117">
        <f t="shared" si="115"/>
        <v>-4117</v>
      </c>
      <c r="R104" s="117">
        <f t="shared" si="115"/>
        <v>-7805</v>
      </c>
      <c r="S104" s="117">
        <f t="shared" si="115"/>
        <v>-2779</v>
      </c>
      <c r="T104" s="117">
        <f t="shared" si="115"/>
        <v>-4917</v>
      </c>
      <c r="U104" s="117">
        <f t="shared" si="115"/>
        <v>-8577</v>
      </c>
      <c r="V104" s="117">
        <f t="shared" si="115"/>
        <v>-10913</v>
      </c>
      <c r="W104" s="117">
        <f t="shared" si="115"/>
        <v>-11402</v>
      </c>
      <c r="X104" s="117">
        <f t="shared" si="115"/>
        <v>-8387</v>
      </c>
      <c r="Y104" s="117">
        <f t="shared" si="115"/>
        <v>-9051</v>
      </c>
      <c r="Z104" s="117">
        <f t="shared" si="115"/>
        <v>-11776</v>
      </c>
      <c r="AA104" s="117">
        <f t="shared" si="115"/>
        <v>-98077.64404</v>
      </c>
      <c r="AB104" s="117">
        <f t="shared" si="115"/>
        <v>-152079.1598</v>
      </c>
      <c r="AC104" s="117">
        <f t="shared" si="115"/>
        <v>-174933.253</v>
      </c>
      <c r="AD104" s="117">
        <f t="shared" si="115"/>
        <v>-183229.1869</v>
      </c>
      <c r="AE104" s="117">
        <f t="shared" si="115"/>
        <v>-195222.0654</v>
      </c>
      <c r="AF104" s="117">
        <f t="shared" si="115"/>
        <v>-203751.6592</v>
      </c>
      <c r="AG104" s="117">
        <f t="shared" si="115"/>
        <v>-203092.3584</v>
      </c>
      <c r="AH104" s="117">
        <f t="shared" si="115"/>
        <v>-217795.5573</v>
      </c>
      <c r="AI104" s="117">
        <f t="shared" si="115"/>
        <v>-235154.0062</v>
      </c>
      <c r="AJ104" s="117">
        <f t="shared" si="115"/>
        <v>-260730.8925</v>
      </c>
      <c r="AK104" s="117">
        <f t="shared" si="115"/>
        <v>-275435.7658</v>
      </c>
      <c r="AL104" s="117">
        <f t="shared" si="115"/>
        <v>-292845.6928</v>
      </c>
      <c r="AM104" s="117">
        <f t="shared" si="115"/>
        <v>-307530.953</v>
      </c>
      <c r="AN104" s="117">
        <f t="shared" si="115"/>
        <v>-315156.8388</v>
      </c>
      <c r="AO104" s="117">
        <f t="shared" si="115"/>
        <v>-314923.2803</v>
      </c>
      <c r="AP104" s="117">
        <f t="shared" si="115"/>
        <v>-314597.6954</v>
      </c>
      <c r="AQ104" s="117">
        <f t="shared" si="115"/>
        <v>-314176.4984</v>
      </c>
      <c r="AR104" s="117">
        <f t="shared" si="115"/>
        <v>-327556.5719</v>
      </c>
      <c r="AS104" s="117">
        <f t="shared" si="115"/>
        <v>-327090.8745</v>
      </c>
      <c r="AT104" s="117">
        <f t="shared" si="115"/>
        <v>-326630.3345</v>
      </c>
      <c r="AU104" s="117">
        <f t="shared" si="115"/>
        <v>-326074.147</v>
      </c>
      <c r="AV104" s="117">
        <f t="shared" si="115"/>
        <v>-340006.6573</v>
      </c>
      <c r="AW104" s="117">
        <f t="shared" si="115"/>
        <v>-339564.1912</v>
      </c>
      <c r="AX104" s="117">
        <f t="shared" si="115"/>
        <v>-339127.814</v>
      </c>
      <c r="AY104" s="117">
        <f t="shared" si="115"/>
        <v>-338697.2776</v>
      </c>
      <c r="AZ104" s="117">
        <f t="shared" si="115"/>
        <v>-347895.354</v>
      </c>
      <c r="BA104" s="117">
        <f t="shared" si="115"/>
        <v>-347095.3005</v>
      </c>
      <c r="BB104" s="117">
        <f t="shared" si="115"/>
        <v>-346319.9174</v>
      </c>
      <c r="BC104" s="117">
        <f t="shared" si="115"/>
        <v>-345564.4864</v>
      </c>
      <c r="BD104" s="117">
        <f t="shared" si="115"/>
        <v>-377396.81</v>
      </c>
      <c r="BE104" s="117">
        <f t="shared" si="115"/>
        <v>-376673.2295</v>
      </c>
      <c r="BF104" s="117">
        <f t="shared" si="115"/>
        <v>-379147.627</v>
      </c>
      <c r="BG104" s="117">
        <f t="shared" si="115"/>
        <v>-396146.3467</v>
      </c>
      <c r="BH104" s="117">
        <f t="shared" si="115"/>
        <v>-413152.5826</v>
      </c>
      <c r="BI104" s="117">
        <f t="shared" si="115"/>
        <v>-430172.8083</v>
      </c>
      <c r="BJ104" s="117">
        <f t="shared" si="115"/>
        <v>-429505.9341</v>
      </c>
      <c r="BK104" s="117">
        <f t="shared" si="115"/>
        <v>-428847.8855</v>
      </c>
      <c r="BL104" s="117">
        <f t="shared" si="115"/>
        <v>-456618.7448</v>
      </c>
      <c r="BM104" s="117">
        <f t="shared" si="115"/>
        <v>-455750.241</v>
      </c>
      <c r="BN104" s="117">
        <f t="shared" si="115"/>
        <v>-454963.6818</v>
      </c>
      <c r="BO104" s="117">
        <f t="shared" si="115"/>
        <v>-472597.1568</v>
      </c>
      <c r="BP104" s="117">
        <f t="shared" si="115"/>
        <v>-496487.0977</v>
      </c>
      <c r="BQ104" s="117">
        <f t="shared" si="115"/>
        <v>-495723.4231</v>
      </c>
      <c r="BR104" s="117">
        <f t="shared" si="115"/>
        <v>-514103.4323</v>
      </c>
      <c r="BS104" s="117">
        <f t="shared" si="115"/>
        <v>-513345.2948</v>
      </c>
      <c r="BT104" s="117">
        <f t="shared" si="115"/>
        <v>-535686.3534</v>
      </c>
      <c r="BU104" s="117">
        <f t="shared" si="115"/>
        <v>-554072.5532</v>
      </c>
      <c r="BV104" s="117">
        <f t="shared" si="115"/>
        <v>-553319.2592</v>
      </c>
      <c r="BW104" s="117">
        <f t="shared" si="115"/>
        <v>-552566.7169</v>
      </c>
      <c r="BX104" s="117">
        <f t="shared" si="115"/>
        <v>-586011.2317</v>
      </c>
      <c r="BY104" s="117">
        <f t="shared" si="115"/>
        <v>-585458.0556</v>
      </c>
      <c r="BZ104" s="117">
        <f t="shared" si="115"/>
        <v>-584929.298</v>
      </c>
      <c r="CA104" s="117">
        <f t="shared" si="115"/>
        <v>-584372.942</v>
      </c>
      <c r="CB104" s="117">
        <f t="shared" si="115"/>
        <v>-610374.8804</v>
      </c>
      <c r="CC104" s="117">
        <f t="shared" si="115"/>
        <v>-609795.0401</v>
      </c>
      <c r="CD104" s="117">
        <f t="shared" si="115"/>
        <v>-609211.4144</v>
      </c>
      <c r="CE104" s="117">
        <f t="shared" si="115"/>
        <v>-608625.857</v>
      </c>
      <c r="CF104" s="117">
        <f t="shared" si="115"/>
        <v>-635676.7582</v>
      </c>
      <c r="CG104" s="117">
        <f t="shared" si="115"/>
        <v>-635090.0303</v>
      </c>
      <c r="CH104" s="117">
        <f t="shared" si="115"/>
        <v>-634503.3361</v>
      </c>
      <c r="CI104" s="117">
        <f t="shared" si="115"/>
        <v>-633916.8062</v>
      </c>
    </row>
    <row r="105" ht="15.75" customHeight="1" outlineLevel="1">
      <c r="A105" s="1" t="s">
        <v>278</v>
      </c>
      <c r="B105" s="91" t="s">
        <v>175</v>
      </c>
      <c r="C105" s="132" t="s">
        <v>230</v>
      </c>
      <c r="D105" s="117">
        <f t="shared" ref="D105:CI105" si="116">D142-SUMIFS(D$6:D$97,$C$6:$C$97,$C105)</f>
        <v>-12438</v>
      </c>
      <c r="E105" s="117">
        <f t="shared" si="116"/>
        <v>-13658</v>
      </c>
      <c r="F105" s="117">
        <f t="shared" si="116"/>
        <v>-8537</v>
      </c>
      <c r="G105" s="117">
        <f t="shared" si="116"/>
        <v>-6088</v>
      </c>
      <c r="H105" s="117">
        <f t="shared" si="116"/>
        <v>-6655</v>
      </c>
      <c r="I105" s="117">
        <f t="shared" si="116"/>
        <v>-10096</v>
      </c>
      <c r="J105" s="117">
        <f t="shared" si="116"/>
        <v>-8359</v>
      </c>
      <c r="K105" s="117">
        <f t="shared" si="116"/>
        <v>-6755</v>
      </c>
      <c r="L105" s="117">
        <f t="shared" si="116"/>
        <v>-3628</v>
      </c>
      <c r="M105" s="117">
        <f t="shared" si="116"/>
        <v>-6686</v>
      </c>
      <c r="N105" s="117">
        <f t="shared" si="116"/>
        <v>-8359</v>
      </c>
      <c r="O105" s="117">
        <f t="shared" si="116"/>
        <v>-7810</v>
      </c>
      <c r="P105" s="117">
        <f t="shared" si="116"/>
        <v>-10367</v>
      </c>
      <c r="Q105" s="117">
        <f t="shared" si="116"/>
        <v>-11034</v>
      </c>
      <c r="R105" s="117">
        <f t="shared" si="116"/>
        <v>-4883</v>
      </c>
      <c r="S105" s="117">
        <f t="shared" si="116"/>
        <v>-10014</v>
      </c>
      <c r="T105" s="117">
        <f t="shared" si="116"/>
        <v>-15036</v>
      </c>
      <c r="U105" s="117">
        <f t="shared" si="116"/>
        <v>-7987</v>
      </c>
      <c r="V105" s="117">
        <f t="shared" si="116"/>
        <v>-10746</v>
      </c>
      <c r="W105" s="117">
        <f t="shared" si="116"/>
        <v>-12100</v>
      </c>
      <c r="X105" s="117">
        <f t="shared" si="116"/>
        <v>-6294</v>
      </c>
      <c r="Y105" s="117">
        <f t="shared" si="116"/>
        <v>-4387</v>
      </c>
      <c r="Z105" s="117">
        <f t="shared" si="116"/>
        <v>-6709</v>
      </c>
      <c r="AA105" s="117">
        <f t="shared" si="116"/>
        <v>0</v>
      </c>
      <c r="AB105" s="117">
        <f t="shared" si="116"/>
        <v>0</v>
      </c>
      <c r="AC105" s="117">
        <f t="shared" si="116"/>
        <v>0</v>
      </c>
      <c r="AD105" s="117">
        <f t="shared" si="116"/>
        <v>0</v>
      </c>
      <c r="AE105" s="117">
        <f t="shared" si="116"/>
        <v>0</v>
      </c>
      <c r="AF105" s="117">
        <f t="shared" si="116"/>
        <v>0</v>
      </c>
      <c r="AG105" s="117">
        <f t="shared" si="116"/>
        <v>0</v>
      </c>
      <c r="AH105" s="117">
        <f t="shared" si="116"/>
        <v>0</v>
      </c>
      <c r="AI105" s="117">
        <f t="shared" si="116"/>
        <v>0</v>
      </c>
      <c r="AJ105" s="117">
        <f t="shared" si="116"/>
        <v>0</v>
      </c>
      <c r="AK105" s="117">
        <f t="shared" si="116"/>
        <v>0</v>
      </c>
      <c r="AL105" s="117">
        <f t="shared" si="116"/>
        <v>0</v>
      </c>
      <c r="AM105" s="117">
        <f t="shared" si="116"/>
        <v>0</v>
      </c>
      <c r="AN105" s="117">
        <f t="shared" si="116"/>
        <v>0</v>
      </c>
      <c r="AO105" s="117">
        <f t="shared" si="116"/>
        <v>0</v>
      </c>
      <c r="AP105" s="117">
        <f t="shared" si="116"/>
        <v>0</v>
      </c>
      <c r="AQ105" s="117">
        <f t="shared" si="116"/>
        <v>0</v>
      </c>
      <c r="AR105" s="117">
        <f t="shared" si="116"/>
        <v>0</v>
      </c>
      <c r="AS105" s="117">
        <f t="shared" si="116"/>
        <v>0</v>
      </c>
      <c r="AT105" s="117">
        <f t="shared" si="116"/>
        <v>0</v>
      </c>
      <c r="AU105" s="117">
        <f t="shared" si="116"/>
        <v>0</v>
      </c>
      <c r="AV105" s="117">
        <f t="shared" si="116"/>
        <v>0</v>
      </c>
      <c r="AW105" s="117">
        <f t="shared" si="116"/>
        <v>0</v>
      </c>
      <c r="AX105" s="117">
        <f t="shared" si="116"/>
        <v>0</v>
      </c>
      <c r="AY105" s="117">
        <f t="shared" si="116"/>
        <v>0</v>
      </c>
      <c r="AZ105" s="117">
        <f t="shared" si="116"/>
        <v>0</v>
      </c>
      <c r="BA105" s="117">
        <f t="shared" si="116"/>
        <v>0</v>
      </c>
      <c r="BB105" s="117">
        <f t="shared" si="116"/>
        <v>0</v>
      </c>
      <c r="BC105" s="117">
        <f t="shared" si="116"/>
        <v>0</v>
      </c>
      <c r="BD105" s="117">
        <f t="shared" si="116"/>
        <v>0</v>
      </c>
      <c r="BE105" s="117">
        <f t="shared" si="116"/>
        <v>0</v>
      </c>
      <c r="BF105" s="117">
        <f t="shared" si="116"/>
        <v>0</v>
      </c>
      <c r="BG105" s="117">
        <f t="shared" si="116"/>
        <v>0</v>
      </c>
      <c r="BH105" s="117">
        <f t="shared" si="116"/>
        <v>0</v>
      </c>
      <c r="BI105" s="117">
        <f t="shared" si="116"/>
        <v>0</v>
      </c>
      <c r="BJ105" s="117">
        <f t="shared" si="116"/>
        <v>0</v>
      </c>
      <c r="BK105" s="117">
        <f t="shared" si="116"/>
        <v>0</v>
      </c>
      <c r="BL105" s="117">
        <f t="shared" si="116"/>
        <v>0</v>
      </c>
      <c r="BM105" s="117">
        <f t="shared" si="116"/>
        <v>0</v>
      </c>
      <c r="BN105" s="117">
        <f t="shared" si="116"/>
        <v>0</v>
      </c>
      <c r="BO105" s="117">
        <f t="shared" si="116"/>
        <v>0</v>
      </c>
      <c r="BP105" s="117">
        <f t="shared" si="116"/>
        <v>0</v>
      </c>
      <c r="BQ105" s="117">
        <f t="shared" si="116"/>
        <v>0</v>
      </c>
      <c r="BR105" s="117">
        <f t="shared" si="116"/>
        <v>0</v>
      </c>
      <c r="BS105" s="117">
        <f t="shared" si="116"/>
        <v>0</v>
      </c>
      <c r="BT105" s="117">
        <f t="shared" si="116"/>
        <v>0</v>
      </c>
      <c r="BU105" s="117">
        <f t="shared" si="116"/>
        <v>0</v>
      </c>
      <c r="BV105" s="117">
        <f t="shared" si="116"/>
        <v>0</v>
      </c>
      <c r="BW105" s="117">
        <f t="shared" si="116"/>
        <v>0</v>
      </c>
      <c r="BX105" s="117">
        <f t="shared" si="116"/>
        <v>0</v>
      </c>
      <c r="BY105" s="117">
        <f t="shared" si="116"/>
        <v>0</v>
      </c>
      <c r="BZ105" s="117">
        <f t="shared" si="116"/>
        <v>0</v>
      </c>
      <c r="CA105" s="117">
        <f t="shared" si="116"/>
        <v>0</v>
      </c>
      <c r="CB105" s="117">
        <f t="shared" si="116"/>
        <v>0</v>
      </c>
      <c r="CC105" s="117">
        <f t="shared" si="116"/>
        <v>0</v>
      </c>
      <c r="CD105" s="117">
        <f t="shared" si="116"/>
        <v>0</v>
      </c>
      <c r="CE105" s="117">
        <f t="shared" si="116"/>
        <v>0</v>
      </c>
      <c r="CF105" s="117">
        <f t="shared" si="116"/>
        <v>0</v>
      </c>
      <c r="CG105" s="117">
        <f t="shared" si="116"/>
        <v>0</v>
      </c>
      <c r="CH105" s="117">
        <f t="shared" si="116"/>
        <v>0</v>
      </c>
      <c r="CI105" s="117">
        <f t="shared" si="116"/>
        <v>0</v>
      </c>
    </row>
    <row r="106" ht="15.75" customHeight="1" outlineLevel="1">
      <c r="A106" s="1" t="s">
        <v>278</v>
      </c>
      <c r="B106" s="91" t="s">
        <v>175</v>
      </c>
      <c r="C106" s="132" t="s">
        <v>231</v>
      </c>
      <c r="D106" s="117">
        <f t="shared" ref="D106:CI106" si="117">D143-SUMIFS(D$6:D$97,$C$6:$C$97,$C106)</f>
        <v>-4851</v>
      </c>
      <c r="E106" s="117">
        <f t="shared" si="117"/>
        <v>-3695</v>
      </c>
      <c r="F106" s="117">
        <f t="shared" si="117"/>
        <v>-9116</v>
      </c>
      <c r="G106" s="117">
        <f t="shared" si="117"/>
        <v>-267</v>
      </c>
      <c r="H106" s="117">
        <f t="shared" si="117"/>
        <v>-8040</v>
      </c>
      <c r="I106" s="117">
        <f t="shared" si="117"/>
        <v>-6306</v>
      </c>
      <c r="J106" s="117">
        <f t="shared" si="117"/>
        <v>-10719</v>
      </c>
      <c r="K106" s="117">
        <f t="shared" si="117"/>
        <v>-10990</v>
      </c>
      <c r="L106" s="117">
        <f t="shared" si="117"/>
        <v>-9674</v>
      </c>
      <c r="M106" s="117">
        <f t="shared" si="117"/>
        <v>-571</v>
      </c>
      <c r="N106" s="117">
        <f t="shared" si="117"/>
        <v>-4920</v>
      </c>
      <c r="O106" s="117">
        <f t="shared" si="117"/>
        <v>-8590</v>
      </c>
      <c r="P106" s="117">
        <f t="shared" si="117"/>
        <v>-6971</v>
      </c>
      <c r="Q106" s="117">
        <f t="shared" si="117"/>
        <v>-3350</v>
      </c>
      <c r="R106" s="117">
        <f t="shared" si="117"/>
        <v>-8170</v>
      </c>
      <c r="S106" s="117">
        <f t="shared" si="117"/>
        <v>-2878</v>
      </c>
      <c r="T106" s="117">
        <f t="shared" si="117"/>
        <v>-3460</v>
      </c>
      <c r="U106" s="117">
        <f t="shared" si="117"/>
        <v>-2794</v>
      </c>
      <c r="V106" s="117">
        <f t="shared" si="117"/>
        <v>-10913</v>
      </c>
      <c r="W106" s="117">
        <f t="shared" si="117"/>
        <v>-3396</v>
      </c>
      <c r="X106" s="117">
        <f t="shared" si="117"/>
        <v>-3684</v>
      </c>
      <c r="Y106" s="117">
        <f t="shared" si="117"/>
        <v>-6718</v>
      </c>
      <c r="Z106" s="117">
        <f t="shared" si="117"/>
        <v>-8379</v>
      </c>
      <c r="AA106" s="117">
        <f t="shared" si="117"/>
        <v>1074.705</v>
      </c>
      <c r="AB106" s="117">
        <f t="shared" si="117"/>
        <v>1747.066725</v>
      </c>
      <c r="AC106" s="117">
        <f t="shared" si="117"/>
        <v>2023.066725</v>
      </c>
      <c r="AD106" s="117">
        <f t="shared" si="117"/>
        <v>2143.066725</v>
      </c>
      <c r="AE106" s="117">
        <f t="shared" si="117"/>
        <v>2338.066725</v>
      </c>
      <c r="AF106" s="117">
        <f t="shared" si="117"/>
        <v>2443.279728</v>
      </c>
      <c r="AG106" s="117">
        <f t="shared" si="117"/>
        <v>2443.279728</v>
      </c>
      <c r="AH106" s="117">
        <f t="shared" si="117"/>
        <v>2605.519728</v>
      </c>
      <c r="AI106" s="117">
        <f t="shared" si="117"/>
        <v>2845.759728</v>
      </c>
      <c r="AJ106" s="117">
        <f t="shared" si="117"/>
        <v>3136.058915</v>
      </c>
      <c r="AK106" s="117">
        <f t="shared" si="117"/>
        <v>3298.298915</v>
      </c>
      <c r="AL106" s="117">
        <f t="shared" si="117"/>
        <v>3538.538915</v>
      </c>
      <c r="AM106" s="117">
        <f t="shared" si="117"/>
        <v>3700.778915</v>
      </c>
      <c r="AN106" s="117">
        <f t="shared" si="117"/>
        <v>4017.539672</v>
      </c>
      <c r="AO106" s="117">
        <f t="shared" si="117"/>
        <v>4017.539672</v>
      </c>
      <c r="AP106" s="117">
        <f t="shared" si="117"/>
        <v>4017.539672</v>
      </c>
      <c r="AQ106" s="117">
        <f t="shared" si="117"/>
        <v>4017.539672</v>
      </c>
      <c r="AR106" s="117">
        <f t="shared" si="117"/>
        <v>4178.241259</v>
      </c>
      <c r="AS106" s="117">
        <f t="shared" si="117"/>
        <v>4178.241259</v>
      </c>
      <c r="AT106" s="117">
        <f t="shared" si="117"/>
        <v>4178.241259</v>
      </c>
      <c r="AU106" s="117">
        <f t="shared" si="117"/>
        <v>4178.241259</v>
      </c>
      <c r="AV106" s="117">
        <f t="shared" si="117"/>
        <v>4345.370909</v>
      </c>
      <c r="AW106" s="117">
        <f t="shared" si="117"/>
        <v>4345.370909</v>
      </c>
      <c r="AX106" s="117">
        <f t="shared" si="117"/>
        <v>4345.370909</v>
      </c>
      <c r="AY106" s="117">
        <f t="shared" si="117"/>
        <v>4345.370909</v>
      </c>
      <c r="AZ106" s="117">
        <f t="shared" si="117"/>
        <v>4519.185746</v>
      </c>
      <c r="BA106" s="117">
        <f t="shared" si="117"/>
        <v>4519.185746</v>
      </c>
      <c r="BB106" s="117">
        <f t="shared" si="117"/>
        <v>4519.185746</v>
      </c>
      <c r="BC106" s="117">
        <f t="shared" si="117"/>
        <v>4519.185746</v>
      </c>
      <c r="BD106" s="117">
        <f t="shared" si="117"/>
        <v>4882.451111</v>
      </c>
      <c r="BE106" s="117">
        <f t="shared" si="117"/>
        <v>4882.451111</v>
      </c>
      <c r="BF106" s="117">
        <f t="shared" si="117"/>
        <v>4973.700078</v>
      </c>
      <c r="BG106" s="117">
        <f t="shared" si="117"/>
        <v>5163.497931</v>
      </c>
      <c r="BH106" s="117">
        <f t="shared" si="117"/>
        <v>5370.037848</v>
      </c>
      <c r="BI106" s="117">
        <f t="shared" si="117"/>
        <v>5559.835701</v>
      </c>
      <c r="BJ106" s="117">
        <f t="shared" si="117"/>
        <v>5559.835701</v>
      </c>
      <c r="BK106" s="117">
        <f t="shared" si="117"/>
        <v>5559.835701</v>
      </c>
      <c r="BL106" s="117">
        <f t="shared" si="117"/>
        <v>5979.618896</v>
      </c>
      <c r="BM106" s="117">
        <f t="shared" si="117"/>
        <v>5979.618896</v>
      </c>
      <c r="BN106" s="117">
        <f t="shared" si="117"/>
        <v>5979.618896</v>
      </c>
      <c r="BO106" s="117">
        <f t="shared" si="117"/>
        <v>6177.008663</v>
      </c>
      <c r="BP106" s="117">
        <f t="shared" si="117"/>
        <v>6518.987936</v>
      </c>
      <c r="BQ106" s="117">
        <f t="shared" si="117"/>
        <v>6518.987936</v>
      </c>
      <c r="BR106" s="117">
        <f t="shared" si="117"/>
        <v>6724.273294</v>
      </c>
      <c r="BS106" s="117">
        <f t="shared" si="117"/>
        <v>6724.273294</v>
      </c>
      <c r="BT106" s="117">
        <f t="shared" si="117"/>
        <v>6993.244225</v>
      </c>
      <c r="BU106" s="117">
        <f t="shared" si="117"/>
        <v>7198.529583</v>
      </c>
      <c r="BV106" s="117">
        <f t="shared" si="117"/>
        <v>7198.529583</v>
      </c>
      <c r="BW106" s="117">
        <f t="shared" si="117"/>
        <v>7198.529583</v>
      </c>
      <c r="BX106" s="117">
        <f t="shared" si="117"/>
        <v>7699.967538</v>
      </c>
      <c r="BY106" s="117">
        <f t="shared" si="117"/>
        <v>7699.967538</v>
      </c>
      <c r="BZ106" s="117">
        <f t="shared" si="117"/>
        <v>7699.967538</v>
      </c>
      <c r="CA106" s="117">
        <f t="shared" si="117"/>
        <v>7699.967538</v>
      </c>
      <c r="CB106" s="117">
        <f t="shared" si="117"/>
        <v>8007.96624</v>
      </c>
      <c r="CC106" s="117">
        <f t="shared" si="117"/>
        <v>8007.96624</v>
      </c>
      <c r="CD106" s="117">
        <f t="shared" si="117"/>
        <v>8007.96624</v>
      </c>
      <c r="CE106" s="117">
        <f t="shared" si="117"/>
        <v>8007.96624</v>
      </c>
      <c r="CF106" s="117">
        <f t="shared" si="117"/>
        <v>8328.284889</v>
      </c>
      <c r="CG106" s="117">
        <f t="shared" si="117"/>
        <v>8328.284889</v>
      </c>
      <c r="CH106" s="117">
        <f t="shared" si="117"/>
        <v>8328.284889</v>
      </c>
      <c r="CI106" s="117">
        <f t="shared" si="117"/>
        <v>8328.284889</v>
      </c>
    </row>
    <row r="107" ht="15.75" customHeight="1" outlineLevel="1">
      <c r="A107" s="1" t="s">
        <v>278</v>
      </c>
      <c r="B107" s="91" t="s">
        <v>176</v>
      </c>
      <c r="C107" s="132" t="s">
        <v>232</v>
      </c>
      <c r="D107" s="117">
        <f t="shared" ref="D107:CI107" si="118">D144-SUMIFS(D$6:D$97,$C$6:$C$97,$C107)</f>
        <v>1664</v>
      </c>
      <c r="E107" s="117">
        <f t="shared" si="118"/>
        <v>2086</v>
      </c>
      <c r="F107" s="117">
        <f t="shared" si="118"/>
        <v>1657</v>
      </c>
      <c r="G107" s="117">
        <f t="shared" si="118"/>
        <v>2167</v>
      </c>
      <c r="H107" s="117">
        <f t="shared" si="118"/>
        <v>1899</v>
      </c>
      <c r="I107" s="117">
        <f t="shared" si="118"/>
        <v>2151</v>
      </c>
      <c r="J107" s="117">
        <f t="shared" si="118"/>
        <v>1244</v>
      </c>
      <c r="K107" s="117">
        <f t="shared" si="118"/>
        <v>2350</v>
      </c>
      <c r="L107" s="117">
        <f t="shared" si="118"/>
        <v>1589</v>
      </c>
      <c r="M107" s="117">
        <f t="shared" si="118"/>
        <v>1916</v>
      </c>
      <c r="N107" s="117">
        <f t="shared" si="118"/>
        <v>1836</v>
      </c>
      <c r="O107" s="117">
        <f t="shared" si="118"/>
        <v>1644</v>
      </c>
      <c r="P107" s="117">
        <f t="shared" si="118"/>
        <v>1185</v>
      </c>
      <c r="Q107" s="117">
        <f t="shared" si="118"/>
        <v>2212</v>
      </c>
      <c r="R107" s="117">
        <f t="shared" si="118"/>
        <v>1019</v>
      </c>
      <c r="S107" s="117">
        <f t="shared" si="118"/>
        <v>1687</v>
      </c>
      <c r="T107" s="117">
        <f t="shared" si="118"/>
        <v>1322</v>
      </c>
      <c r="U107" s="117">
        <f t="shared" si="118"/>
        <v>1672</v>
      </c>
      <c r="V107" s="117">
        <f t="shared" si="118"/>
        <v>1449</v>
      </c>
      <c r="W107" s="117">
        <f t="shared" si="118"/>
        <v>1462</v>
      </c>
      <c r="X107" s="117">
        <f t="shared" si="118"/>
        <v>1547</v>
      </c>
      <c r="Y107" s="117">
        <f t="shared" si="118"/>
        <v>2048</v>
      </c>
      <c r="Z107" s="117">
        <f t="shared" si="118"/>
        <v>2171</v>
      </c>
      <c r="AA107" s="117">
        <f t="shared" si="118"/>
        <v>71.647</v>
      </c>
      <c r="AB107" s="117">
        <f t="shared" si="118"/>
        <v>116.471115</v>
      </c>
      <c r="AC107" s="117">
        <f t="shared" si="118"/>
        <v>134.871115</v>
      </c>
      <c r="AD107" s="117">
        <f t="shared" si="118"/>
        <v>142.871115</v>
      </c>
      <c r="AE107" s="117">
        <f t="shared" si="118"/>
        <v>155.871115</v>
      </c>
      <c r="AF107" s="117">
        <f t="shared" si="118"/>
        <v>162.8853152</v>
      </c>
      <c r="AG107" s="117">
        <f t="shared" si="118"/>
        <v>162.8853152</v>
      </c>
      <c r="AH107" s="117">
        <f t="shared" si="118"/>
        <v>173.7013152</v>
      </c>
      <c r="AI107" s="117">
        <f t="shared" si="118"/>
        <v>189.7173152</v>
      </c>
      <c r="AJ107" s="117">
        <f t="shared" si="118"/>
        <v>209.0705944</v>
      </c>
      <c r="AK107" s="117">
        <f t="shared" si="118"/>
        <v>219.8865944</v>
      </c>
      <c r="AL107" s="117">
        <f t="shared" si="118"/>
        <v>235.9025944</v>
      </c>
      <c r="AM107" s="117">
        <f t="shared" si="118"/>
        <v>246.7185944</v>
      </c>
      <c r="AN107" s="117">
        <f t="shared" si="118"/>
        <v>535.6719563</v>
      </c>
      <c r="AO107" s="117">
        <f t="shared" si="118"/>
        <v>535.6719563</v>
      </c>
      <c r="AP107" s="117">
        <f t="shared" si="118"/>
        <v>535.6719563</v>
      </c>
      <c r="AQ107" s="117">
        <f t="shared" si="118"/>
        <v>535.6719563</v>
      </c>
      <c r="AR107" s="117">
        <f t="shared" si="118"/>
        <v>557.0988345</v>
      </c>
      <c r="AS107" s="117">
        <f t="shared" si="118"/>
        <v>557.0988345</v>
      </c>
      <c r="AT107" s="117">
        <f t="shared" si="118"/>
        <v>557.0988345</v>
      </c>
      <c r="AU107" s="117">
        <f t="shared" si="118"/>
        <v>557.0988345</v>
      </c>
      <c r="AV107" s="117">
        <f t="shared" si="118"/>
        <v>579.3827879</v>
      </c>
      <c r="AW107" s="117">
        <f t="shared" si="118"/>
        <v>579.3827879</v>
      </c>
      <c r="AX107" s="117">
        <f t="shared" si="118"/>
        <v>579.3827879</v>
      </c>
      <c r="AY107" s="117">
        <f t="shared" si="118"/>
        <v>579.3827879</v>
      </c>
      <c r="AZ107" s="117">
        <f t="shared" si="118"/>
        <v>903.8371491</v>
      </c>
      <c r="BA107" s="117">
        <f t="shared" si="118"/>
        <v>903.8371491</v>
      </c>
      <c r="BB107" s="117">
        <f t="shared" si="118"/>
        <v>903.8371491</v>
      </c>
      <c r="BC107" s="117">
        <f t="shared" si="118"/>
        <v>903.8371491</v>
      </c>
      <c r="BD107" s="117">
        <f t="shared" si="118"/>
        <v>976.4902222</v>
      </c>
      <c r="BE107" s="117">
        <f t="shared" si="118"/>
        <v>976.4902222</v>
      </c>
      <c r="BF107" s="117">
        <f t="shared" si="118"/>
        <v>994.7400157</v>
      </c>
      <c r="BG107" s="117">
        <f t="shared" si="118"/>
        <v>1032.699586</v>
      </c>
      <c r="BH107" s="117">
        <f t="shared" si="118"/>
        <v>1074.00757</v>
      </c>
      <c r="BI107" s="117">
        <f t="shared" si="118"/>
        <v>1111.96714</v>
      </c>
      <c r="BJ107" s="117">
        <f t="shared" si="118"/>
        <v>1111.96714</v>
      </c>
      <c r="BK107" s="117">
        <f t="shared" si="118"/>
        <v>1111.96714</v>
      </c>
      <c r="BL107" s="117">
        <f t="shared" si="118"/>
        <v>1195.923779</v>
      </c>
      <c r="BM107" s="117">
        <f t="shared" si="118"/>
        <v>1594.565039</v>
      </c>
      <c r="BN107" s="117">
        <f t="shared" si="118"/>
        <v>1594.565039</v>
      </c>
      <c r="BO107" s="117">
        <f t="shared" si="118"/>
        <v>1647.20231</v>
      </c>
      <c r="BP107" s="117">
        <f t="shared" si="118"/>
        <v>1738.396783</v>
      </c>
      <c r="BQ107" s="117">
        <f t="shared" si="118"/>
        <v>1738.396783</v>
      </c>
      <c r="BR107" s="117">
        <f t="shared" si="118"/>
        <v>1793.139545</v>
      </c>
      <c r="BS107" s="117">
        <f t="shared" si="118"/>
        <v>1793.139545</v>
      </c>
      <c r="BT107" s="117">
        <f t="shared" si="118"/>
        <v>1864.865127</v>
      </c>
      <c r="BU107" s="117">
        <f t="shared" si="118"/>
        <v>1919.607889</v>
      </c>
      <c r="BV107" s="117">
        <f t="shared" si="118"/>
        <v>1919.607889</v>
      </c>
      <c r="BW107" s="117">
        <f t="shared" si="118"/>
        <v>1919.607889</v>
      </c>
      <c r="BX107" s="117">
        <f t="shared" si="118"/>
        <v>2566.655846</v>
      </c>
      <c r="BY107" s="117">
        <f t="shared" si="118"/>
        <v>2566.655846</v>
      </c>
      <c r="BZ107" s="117">
        <f t="shared" si="118"/>
        <v>2566.655846</v>
      </c>
      <c r="CA107" s="117">
        <f t="shared" si="118"/>
        <v>2566.655846</v>
      </c>
      <c r="CB107" s="117">
        <f t="shared" si="118"/>
        <v>2669.32208</v>
      </c>
      <c r="CC107" s="117">
        <f t="shared" si="118"/>
        <v>2669.32208</v>
      </c>
      <c r="CD107" s="117">
        <f t="shared" si="118"/>
        <v>2669.32208</v>
      </c>
      <c r="CE107" s="117">
        <f t="shared" si="118"/>
        <v>2669.32208</v>
      </c>
      <c r="CF107" s="117">
        <f t="shared" si="118"/>
        <v>2776.094963</v>
      </c>
      <c r="CG107" s="117">
        <f t="shared" si="118"/>
        <v>2776.094963</v>
      </c>
      <c r="CH107" s="117">
        <f t="shared" si="118"/>
        <v>2776.094963</v>
      </c>
      <c r="CI107" s="117">
        <f t="shared" si="118"/>
        <v>2776.094963</v>
      </c>
    </row>
    <row r="108" ht="15.75" customHeight="1" outlineLevel="1">
      <c r="A108" s="1" t="s">
        <v>278</v>
      </c>
      <c r="B108" s="91" t="s">
        <v>176</v>
      </c>
      <c r="C108" s="132" t="s">
        <v>234</v>
      </c>
      <c r="D108" s="117">
        <f t="shared" ref="D108:CI108" si="119">D145-SUMIFS(D$6:D$97,$C$6:$C$97,$C108)</f>
        <v>-4803</v>
      </c>
      <c r="E108" s="117">
        <f t="shared" si="119"/>
        <v>-5447</v>
      </c>
      <c r="F108" s="117">
        <f t="shared" si="119"/>
        <v>-7393</v>
      </c>
      <c r="G108" s="117">
        <f t="shared" si="119"/>
        <v>-8331</v>
      </c>
      <c r="H108" s="117">
        <f t="shared" si="119"/>
        <v>-8261</v>
      </c>
      <c r="I108" s="117">
        <f t="shared" si="119"/>
        <v>-3864</v>
      </c>
      <c r="J108" s="117">
        <f t="shared" si="119"/>
        <v>-7930</v>
      </c>
      <c r="K108" s="117">
        <f t="shared" si="119"/>
        <v>-5510</v>
      </c>
      <c r="L108" s="117">
        <f t="shared" si="119"/>
        <v>-4330</v>
      </c>
      <c r="M108" s="117">
        <f t="shared" si="119"/>
        <v>-5514</v>
      </c>
      <c r="N108" s="117">
        <f t="shared" si="119"/>
        <v>-7222</v>
      </c>
      <c r="O108" s="117">
        <f t="shared" si="119"/>
        <v>-4510</v>
      </c>
      <c r="P108" s="117">
        <f t="shared" si="119"/>
        <v>-5137</v>
      </c>
      <c r="Q108" s="117">
        <f t="shared" si="119"/>
        <v>-5539</v>
      </c>
      <c r="R108" s="117">
        <f t="shared" si="119"/>
        <v>-7785</v>
      </c>
      <c r="S108" s="117">
        <f t="shared" si="119"/>
        <v>-8375</v>
      </c>
      <c r="T108" s="117">
        <f t="shared" si="119"/>
        <v>-5248</v>
      </c>
      <c r="U108" s="117">
        <f t="shared" si="119"/>
        <v>-759</v>
      </c>
      <c r="V108" s="117">
        <f t="shared" si="119"/>
        <v>-5400</v>
      </c>
      <c r="W108" s="117">
        <f t="shared" si="119"/>
        <v>-2280</v>
      </c>
      <c r="X108" s="117">
        <f t="shared" si="119"/>
        <v>-7008</v>
      </c>
      <c r="Y108" s="117">
        <f t="shared" si="119"/>
        <v>-7074</v>
      </c>
      <c r="Z108" s="117">
        <f t="shared" si="119"/>
        <v>-9954</v>
      </c>
      <c r="AA108" s="117">
        <f t="shared" si="119"/>
        <v>-32018.08954</v>
      </c>
      <c r="AB108" s="117">
        <f t="shared" si="119"/>
        <v>-31536.9113</v>
      </c>
      <c r="AC108" s="117">
        <f t="shared" si="119"/>
        <v>-42409.34524</v>
      </c>
      <c r="AD108" s="117">
        <f t="shared" si="119"/>
        <v>-51828.31234</v>
      </c>
      <c r="AE108" s="117">
        <f t="shared" si="119"/>
        <v>-59683.84925</v>
      </c>
      <c r="AF108" s="117">
        <f t="shared" si="119"/>
        <v>-64184.80351</v>
      </c>
      <c r="AG108" s="117">
        <f t="shared" si="119"/>
        <v>-64895.31441</v>
      </c>
      <c r="AH108" s="117">
        <f t="shared" si="119"/>
        <v>-65441.17098</v>
      </c>
      <c r="AI108" s="117">
        <f t="shared" si="119"/>
        <v>-65833.55998</v>
      </c>
      <c r="AJ108" s="117">
        <f t="shared" si="119"/>
        <v>-68423.524</v>
      </c>
      <c r="AK108" s="117">
        <f t="shared" si="119"/>
        <v>-68825.91971</v>
      </c>
      <c r="AL108" s="117">
        <f t="shared" si="119"/>
        <v>-69105.40954</v>
      </c>
      <c r="AM108" s="117">
        <f t="shared" si="119"/>
        <v>-69485.58071</v>
      </c>
      <c r="AN108" s="117">
        <f t="shared" si="119"/>
        <v>-71821.77993</v>
      </c>
      <c r="AO108" s="117">
        <f t="shared" si="119"/>
        <v>-71685.58011</v>
      </c>
      <c r="AP108" s="117">
        <f t="shared" si="119"/>
        <v>-71969.45413</v>
      </c>
      <c r="AQ108" s="117">
        <f t="shared" si="119"/>
        <v>-72107.05971</v>
      </c>
      <c r="AR108" s="117">
        <f t="shared" si="119"/>
        <v>-74383.47708</v>
      </c>
      <c r="AS108" s="117">
        <f t="shared" si="119"/>
        <v>-74575.52462</v>
      </c>
      <c r="AT108" s="117">
        <f t="shared" si="119"/>
        <v>-74780.33628</v>
      </c>
      <c r="AU108" s="117">
        <f t="shared" si="119"/>
        <v>-75039.23058</v>
      </c>
      <c r="AV108" s="117">
        <f t="shared" si="119"/>
        <v>-77331.64286</v>
      </c>
      <c r="AW108" s="117">
        <f t="shared" si="119"/>
        <v>-77536.18639</v>
      </c>
      <c r="AX108" s="117">
        <f t="shared" si="119"/>
        <v>-77713.40396</v>
      </c>
      <c r="AY108" s="117">
        <f t="shared" si="119"/>
        <v>-77899.46435</v>
      </c>
      <c r="AZ108" s="117">
        <f t="shared" si="119"/>
        <v>-80619.51027</v>
      </c>
      <c r="BA108" s="117">
        <f t="shared" si="119"/>
        <v>-80811.70513</v>
      </c>
      <c r="BB108" s="117">
        <f t="shared" si="119"/>
        <v>-81143.73375</v>
      </c>
      <c r="BC108" s="117">
        <f t="shared" si="119"/>
        <v>-81391.88187</v>
      </c>
      <c r="BD108" s="117">
        <f t="shared" si="119"/>
        <v>-83733.21221</v>
      </c>
      <c r="BE108" s="117">
        <f t="shared" si="119"/>
        <v>-83986.19867</v>
      </c>
      <c r="BF108" s="117">
        <f t="shared" si="119"/>
        <v>-84121.07982</v>
      </c>
      <c r="BG108" s="117">
        <f t="shared" si="119"/>
        <v>-84114.2183</v>
      </c>
      <c r="BH108" s="117">
        <f t="shared" si="119"/>
        <v>-86731.22815</v>
      </c>
      <c r="BI108" s="117">
        <f t="shared" si="119"/>
        <v>-86715.77212</v>
      </c>
      <c r="BJ108" s="117">
        <f t="shared" si="119"/>
        <v>-86949.61633</v>
      </c>
      <c r="BK108" s="117">
        <f t="shared" si="119"/>
        <v>-87179.07932</v>
      </c>
      <c r="BL108" s="117">
        <f t="shared" si="119"/>
        <v>-89757.83167</v>
      </c>
      <c r="BM108" s="117">
        <f t="shared" si="119"/>
        <v>-89950.02201</v>
      </c>
      <c r="BN108" s="117">
        <f t="shared" si="119"/>
        <v>-90200.438</v>
      </c>
      <c r="BO108" s="117">
        <f t="shared" si="119"/>
        <v>-90150.10498</v>
      </c>
      <c r="BP108" s="117">
        <f t="shared" si="119"/>
        <v>-92787.7636</v>
      </c>
      <c r="BQ108" s="117">
        <f t="shared" si="119"/>
        <v>-93005.55074</v>
      </c>
      <c r="BR108" s="117">
        <f t="shared" si="119"/>
        <v>-92952.40728</v>
      </c>
      <c r="BS108" s="117">
        <f t="shared" si="119"/>
        <v>-93169.17298</v>
      </c>
      <c r="BT108" s="117">
        <f t="shared" si="119"/>
        <v>-96006.6551</v>
      </c>
      <c r="BU108" s="117">
        <f t="shared" si="119"/>
        <v>-95947.62345</v>
      </c>
      <c r="BV108" s="117">
        <f t="shared" si="119"/>
        <v>-96161.47937</v>
      </c>
      <c r="BW108" s="117">
        <f t="shared" si="119"/>
        <v>-96374.21509</v>
      </c>
      <c r="BX108" s="117">
        <f t="shared" si="119"/>
        <v>-99133.57647</v>
      </c>
      <c r="BY108" s="117">
        <f t="shared" si="119"/>
        <v>-99171.40366</v>
      </c>
      <c r="BZ108" s="117">
        <f t="shared" si="119"/>
        <v>-99345.83223</v>
      </c>
      <c r="CA108" s="117">
        <f t="shared" si="119"/>
        <v>-99461.4407</v>
      </c>
      <c r="CB108" s="117">
        <f t="shared" si="119"/>
        <v>-102423.9851</v>
      </c>
      <c r="CC108" s="117">
        <f t="shared" si="119"/>
        <v>-102559.1761</v>
      </c>
      <c r="CD108" s="117">
        <f t="shared" si="119"/>
        <v>-102702.8917</v>
      </c>
      <c r="CE108" s="117">
        <f t="shared" si="119"/>
        <v>-102842.5295</v>
      </c>
      <c r="CF108" s="117">
        <f t="shared" si="119"/>
        <v>-105908.591</v>
      </c>
      <c r="CG108" s="117">
        <f t="shared" si="119"/>
        <v>-106048.7614</v>
      </c>
      <c r="CH108" s="117">
        <f t="shared" si="119"/>
        <v>-106189.0914</v>
      </c>
      <c r="CI108" s="117">
        <f t="shared" si="119"/>
        <v>-106328.7932</v>
      </c>
    </row>
    <row r="109" ht="15.75" customHeight="1" outlineLevel="1">
      <c r="A109" s="1" t="s">
        <v>278</v>
      </c>
      <c r="B109" s="91" t="s">
        <v>176</v>
      </c>
      <c r="C109" s="132" t="s">
        <v>235</v>
      </c>
      <c r="D109" s="117">
        <f t="shared" ref="D109:CI109" si="120">D146-SUMIFS(D$6:D$97,$C$6:$C$97,$C109)</f>
        <v>-2465</v>
      </c>
      <c r="E109" s="117">
        <f t="shared" si="120"/>
        <v>-2625</v>
      </c>
      <c r="F109" s="117">
        <f t="shared" si="120"/>
        <v>-3909</v>
      </c>
      <c r="G109" s="117">
        <f t="shared" si="120"/>
        <v>-2406</v>
      </c>
      <c r="H109" s="117">
        <f t="shared" si="120"/>
        <v>-4930</v>
      </c>
      <c r="I109" s="117">
        <f t="shared" si="120"/>
        <v>-952</v>
      </c>
      <c r="J109" s="117">
        <f t="shared" si="120"/>
        <v>-6600</v>
      </c>
      <c r="K109" s="117">
        <f t="shared" si="120"/>
        <v>-1494</v>
      </c>
      <c r="L109" s="117">
        <f t="shared" si="120"/>
        <v>537</v>
      </c>
      <c r="M109" s="117">
        <f t="shared" si="120"/>
        <v>-316</v>
      </c>
      <c r="N109" s="117">
        <f t="shared" si="120"/>
        <v>-4263</v>
      </c>
      <c r="O109" s="117">
        <f t="shared" si="120"/>
        <v>-3553</v>
      </c>
      <c r="P109" s="117">
        <f t="shared" si="120"/>
        <v>-5298</v>
      </c>
      <c r="Q109" s="117">
        <f t="shared" si="120"/>
        <v>-794</v>
      </c>
      <c r="R109" s="117">
        <f t="shared" si="120"/>
        <v>-6824</v>
      </c>
      <c r="S109" s="117">
        <f t="shared" si="120"/>
        <v>413</v>
      </c>
      <c r="T109" s="117">
        <f t="shared" si="120"/>
        <v>-2937</v>
      </c>
      <c r="U109" s="117">
        <f t="shared" si="120"/>
        <v>-4566</v>
      </c>
      <c r="V109" s="117">
        <f t="shared" si="120"/>
        <v>-3566</v>
      </c>
      <c r="W109" s="117">
        <f t="shared" si="120"/>
        <v>47</v>
      </c>
      <c r="X109" s="117">
        <f t="shared" si="120"/>
        <v>-4974</v>
      </c>
      <c r="Y109" s="117">
        <f t="shared" si="120"/>
        <v>-2667</v>
      </c>
      <c r="Z109" s="117">
        <f t="shared" si="120"/>
        <v>-1911</v>
      </c>
      <c r="AA109" s="117">
        <f t="shared" si="120"/>
        <v>-39185.35449</v>
      </c>
      <c r="AB109" s="117">
        <f t="shared" si="120"/>
        <v>-68194.70506</v>
      </c>
      <c r="AC109" s="117">
        <f t="shared" si="120"/>
        <v>-76739.11272</v>
      </c>
      <c r="AD109" s="117">
        <f t="shared" si="120"/>
        <v>-77374.22983</v>
      </c>
      <c r="AE109" s="117">
        <f t="shared" si="120"/>
        <v>-76462.5727</v>
      </c>
      <c r="AF109" s="117">
        <f t="shared" si="120"/>
        <v>-80198.84381</v>
      </c>
      <c r="AG109" s="117">
        <f t="shared" si="120"/>
        <v>-80273.03791</v>
      </c>
      <c r="AH109" s="117">
        <f t="shared" si="120"/>
        <v>-89420.47285</v>
      </c>
      <c r="AI109" s="117">
        <f t="shared" si="120"/>
        <v>-98753.64463</v>
      </c>
      <c r="AJ109" s="117">
        <f t="shared" si="120"/>
        <v>-112491.2601</v>
      </c>
      <c r="AK109" s="117">
        <f t="shared" si="120"/>
        <v>-121765.412</v>
      </c>
      <c r="AL109" s="117">
        <f t="shared" si="120"/>
        <v>-131034.7941</v>
      </c>
      <c r="AM109" s="117">
        <f t="shared" si="120"/>
        <v>-140329.7423</v>
      </c>
      <c r="AN109" s="117">
        <f t="shared" si="120"/>
        <v>-155076.1356</v>
      </c>
      <c r="AO109" s="117">
        <f t="shared" si="120"/>
        <v>-155080.5012</v>
      </c>
      <c r="AP109" s="117">
        <f t="shared" si="120"/>
        <v>-155078.7654</v>
      </c>
      <c r="AQ109" s="117">
        <f t="shared" si="120"/>
        <v>-155078.4674</v>
      </c>
      <c r="AR109" s="117">
        <f t="shared" si="120"/>
        <v>-161282.4145</v>
      </c>
      <c r="AS109" s="117">
        <f t="shared" si="120"/>
        <v>-161281.9846</v>
      </c>
      <c r="AT109" s="117">
        <f t="shared" si="120"/>
        <v>-161282.0069</v>
      </c>
      <c r="AU109" s="117">
        <f t="shared" si="120"/>
        <v>-161282.1353</v>
      </c>
      <c r="AV109" s="117">
        <f t="shared" si="120"/>
        <v>-167733.324</v>
      </c>
      <c r="AW109" s="117">
        <f t="shared" si="120"/>
        <v>-167733.3437</v>
      </c>
      <c r="AX109" s="117">
        <f t="shared" si="120"/>
        <v>-167733.362</v>
      </c>
      <c r="AY109" s="117">
        <f t="shared" si="120"/>
        <v>-167733.3432</v>
      </c>
      <c r="AZ109" s="117">
        <f t="shared" si="120"/>
        <v>-173840.1255</v>
      </c>
      <c r="BA109" s="117">
        <f t="shared" si="120"/>
        <v>-173840.1276</v>
      </c>
      <c r="BB109" s="117">
        <f t="shared" si="120"/>
        <v>-173840.1241</v>
      </c>
      <c r="BC109" s="117">
        <f t="shared" si="120"/>
        <v>-173840.1257</v>
      </c>
      <c r="BD109" s="117">
        <f t="shared" si="120"/>
        <v>-191206.8189</v>
      </c>
      <c r="BE109" s="117">
        <f t="shared" si="120"/>
        <v>-191206.8182</v>
      </c>
      <c r="BF109" s="117">
        <f t="shared" si="120"/>
        <v>-191121.6529</v>
      </c>
      <c r="BG109" s="117">
        <f t="shared" si="120"/>
        <v>-201951.2644</v>
      </c>
      <c r="BH109" s="117">
        <f t="shared" si="120"/>
        <v>-210029.3149</v>
      </c>
      <c r="BI109" s="117">
        <f t="shared" si="120"/>
        <v>-220858.9266</v>
      </c>
      <c r="BJ109" s="117">
        <f t="shared" si="120"/>
        <v>-220858.9265</v>
      </c>
      <c r="BK109" s="117">
        <f t="shared" si="120"/>
        <v>-220858.9265</v>
      </c>
      <c r="BL109" s="117">
        <f t="shared" si="120"/>
        <v>-240956.0796</v>
      </c>
      <c r="BM109" s="117">
        <f t="shared" si="120"/>
        <v>-240158.7971</v>
      </c>
      <c r="BN109" s="117">
        <f t="shared" si="120"/>
        <v>-240158.7971</v>
      </c>
      <c r="BO109" s="117">
        <f t="shared" si="120"/>
        <v>-251395.2745</v>
      </c>
      <c r="BP109" s="117">
        <f t="shared" si="120"/>
        <v>-261349.86</v>
      </c>
      <c r="BQ109" s="117">
        <f t="shared" si="120"/>
        <v>-261349.86</v>
      </c>
      <c r="BR109" s="117">
        <f t="shared" si="120"/>
        <v>-273035.7964</v>
      </c>
      <c r="BS109" s="117">
        <f t="shared" si="120"/>
        <v>-273035.7964</v>
      </c>
      <c r="BT109" s="117">
        <f t="shared" si="120"/>
        <v>-283957.2283</v>
      </c>
      <c r="BU109" s="117">
        <f t="shared" si="120"/>
        <v>-295643.1648</v>
      </c>
      <c r="BV109" s="117">
        <f t="shared" si="120"/>
        <v>-295643.1648</v>
      </c>
      <c r="BW109" s="117">
        <f t="shared" si="120"/>
        <v>-295643.1648</v>
      </c>
      <c r="BX109" s="117">
        <f t="shared" si="120"/>
        <v>-318595.603</v>
      </c>
      <c r="BY109" s="117">
        <f t="shared" si="120"/>
        <v>-318595.603</v>
      </c>
      <c r="BZ109" s="117">
        <f t="shared" si="120"/>
        <v>-318595.603</v>
      </c>
      <c r="CA109" s="117">
        <f t="shared" si="120"/>
        <v>-318595.603</v>
      </c>
      <c r="CB109" s="117">
        <f t="shared" si="120"/>
        <v>-331339.4271</v>
      </c>
      <c r="CC109" s="117">
        <f t="shared" si="120"/>
        <v>-331339.4271</v>
      </c>
      <c r="CD109" s="117">
        <f t="shared" si="120"/>
        <v>-331339.4271</v>
      </c>
      <c r="CE109" s="117">
        <f t="shared" si="120"/>
        <v>-331339.4271</v>
      </c>
      <c r="CF109" s="117">
        <f t="shared" si="120"/>
        <v>-344593.0042</v>
      </c>
      <c r="CG109" s="117">
        <f t="shared" si="120"/>
        <v>-344593.0042</v>
      </c>
      <c r="CH109" s="117">
        <f t="shared" si="120"/>
        <v>-344593.0042</v>
      </c>
      <c r="CI109" s="117">
        <f t="shared" si="120"/>
        <v>-344593.0042</v>
      </c>
    </row>
    <row r="110" ht="15.75" customHeight="1" outlineLevel="1">
      <c r="A110" s="1" t="s">
        <v>278</v>
      </c>
      <c r="B110" s="91" t="s">
        <v>66</v>
      </c>
      <c r="C110" s="132" t="s">
        <v>236</v>
      </c>
      <c r="D110" s="117">
        <f t="shared" ref="D110:CI110" si="121">D147-SUMIFS(D$6:D$97,$C$6:$C$97,$C110)</f>
        <v>-7093</v>
      </c>
      <c r="E110" s="117">
        <f t="shared" si="121"/>
        <v>-9221</v>
      </c>
      <c r="F110" s="117">
        <f t="shared" si="121"/>
        <v>-8062</v>
      </c>
      <c r="G110" s="117">
        <f t="shared" si="121"/>
        <v>-7795</v>
      </c>
      <c r="H110" s="117">
        <f t="shared" si="121"/>
        <v>-9298</v>
      </c>
      <c r="I110" s="117">
        <f t="shared" si="121"/>
        <v>-5364</v>
      </c>
      <c r="J110" s="117">
        <f t="shared" si="121"/>
        <v>-6444</v>
      </c>
      <c r="K110" s="117">
        <f t="shared" si="121"/>
        <v>-4468</v>
      </c>
      <c r="L110" s="117">
        <f t="shared" si="121"/>
        <v>-8694</v>
      </c>
      <c r="M110" s="117">
        <f t="shared" si="121"/>
        <v>-9824</v>
      </c>
      <c r="N110" s="117">
        <f t="shared" si="121"/>
        <v>-4179</v>
      </c>
      <c r="O110" s="117">
        <f t="shared" si="121"/>
        <v>-12282</v>
      </c>
      <c r="P110" s="117">
        <f t="shared" si="121"/>
        <v>-7775</v>
      </c>
      <c r="Q110" s="117">
        <f t="shared" si="121"/>
        <v>-8105</v>
      </c>
      <c r="R110" s="117">
        <f t="shared" si="121"/>
        <v>-10267</v>
      </c>
      <c r="S110" s="117">
        <f t="shared" si="121"/>
        <v>-10518</v>
      </c>
      <c r="T110" s="117">
        <f t="shared" si="121"/>
        <v>-5522</v>
      </c>
      <c r="U110" s="117">
        <f t="shared" si="121"/>
        <v>-8966</v>
      </c>
      <c r="V110" s="117">
        <f t="shared" si="121"/>
        <v>-2920</v>
      </c>
      <c r="W110" s="117">
        <f t="shared" si="121"/>
        <v>-7643</v>
      </c>
      <c r="X110" s="117">
        <f t="shared" si="121"/>
        <v>-10212</v>
      </c>
      <c r="Y110" s="117">
        <f t="shared" si="121"/>
        <v>-13918</v>
      </c>
      <c r="Z110" s="117">
        <f t="shared" si="121"/>
        <v>-9935</v>
      </c>
      <c r="AA110" s="117">
        <f t="shared" si="121"/>
        <v>1435.14</v>
      </c>
      <c r="AB110" s="117">
        <f t="shared" si="121"/>
        <v>1442.3157</v>
      </c>
      <c r="AC110" s="117">
        <f t="shared" si="121"/>
        <v>1449.527279</v>
      </c>
      <c r="AD110" s="117">
        <f t="shared" si="121"/>
        <v>1456.774915</v>
      </c>
      <c r="AE110" s="117">
        <f t="shared" si="121"/>
        <v>1464.058789</v>
      </c>
      <c r="AF110" s="117">
        <f t="shared" si="121"/>
        <v>1471.379083</v>
      </c>
      <c r="AG110" s="117">
        <f t="shared" si="121"/>
        <v>1478.735979</v>
      </c>
      <c r="AH110" s="117">
        <f t="shared" si="121"/>
        <v>1486.129659</v>
      </c>
      <c r="AI110" s="117">
        <f t="shared" si="121"/>
        <v>1493.560307</v>
      </c>
      <c r="AJ110" s="117">
        <f t="shared" si="121"/>
        <v>1501.028109</v>
      </c>
      <c r="AK110" s="117">
        <f t="shared" si="121"/>
        <v>1508.533249</v>
      </c>
      <c r="AL110" s="117">
        <f t="shared" si="121"/>
        <v>1516.075915</v>
      </c>
      <c r="AM110" s="117">
        <f t="shared" si="121"/>
        <v>1523.656295</v>
      </c>
      <c r="AN110" s="117">
        <f t="shared" si="121"/>
        <v>1531.274576</v>
      </c>
      <c r="AO110" s="117">
        <f t="shared" si="121"/>
        <v>1538.930949</v>
      </c>
      <c r="AP110" s="117">
        <f t="shared" si="121"/>
        <v>1546.625604</v>
      </c>
      <c r="AQ110" s="117">
        <f t="shared" si="121"/>
        <v>1554.358732</v>
      </c>
      <c r="AR110" s="117">
        <f t="shared" si="121"/>
        <v>1562.130526</v>
      </c>
      <c r="AS110" s="117">
        <f t="shared" si="121"/>
        <v>1569.941178</v>
      </c>
      <c r="AT110" s="117">
        <f t="shared" si="121"/>
        <v>1577.790884</v>
      </c>
      <c r="AU110" s="117">
        <f t="shared" si="121"/>
        <v>1585.679839</v>
      </c>
      <c r="AV110" s="117">
        <f t="shared" si="121"/>
        <v>1593.608238</v>
      </c>
      <c r="AW110" s="117">
        <f t="shared" si="121"/>
        <v>1601.576279</v>
      </c>
      <c r="AX110" s="117">
        <f t="shared" si="121"/>
        <v>1609.58416</v>
      </c>
      <c r="AY110" s="117">
        <f t="shared" si="121"/>
        <v>1617.632081</v>
      </c>
      <c r="AZ110" s="117">
        <f t="shared" si="121"/>
        <v>1625.720242</v>
      </c>
      <c r="BA110" s="117">
        <f t="shared" si="121"/>
        <v>1633.848843</v>
      </c>
      <c r="BB110" s="117">
        <f t="shared" si="121"/>
        <v>1642.018087</v>
      </c>
      <c r="BC110" s="117">
        <f t="shared" si="121"/>
        <v>1650.228177</v>
      </c>
      <c r="BD110" s="117">
        <f t="shared" si="121"/>
        <v>1658.479318</v>
      </c>
      <c r="BE110" s="117">
        <f t="shared" si="121"/>
        <v>1666.771715</v>
      </c>
      <c r="BF110" s="117">
        <f t="shared" si="121"/>
        <v>1675.105574</v>
      </c>
      <c r="BG110" s="117">
        <f t="shared" si="121"/>
        <v>1683.481101</v>
      </c>
      <c r="BH110" s="117">
        <f t="shared" si="121"/>
        <v>1691.898507</v>
      </c>
      <c r="BI110" s="117">
        <f t="shared" si="121"/>
        <v>1700.357999</v>
      </c>
      <c r="BJ110" s="117">
        <f t="shared" si="121"/>
        <v>1708.859789</v>
      </c>
      <c r="BK110" s="117">
        <f t="shared" si="121"/>
        <v>1717.404088</v>
      </c>
      <c r="BL110" s="117">
        <f t="shared" si="121"/>
        <v>1725.991109</v>
      </c>
      <c r="BM110" s="117">
        <f t="shared" si="121"/>
        <v>1734.621064</v>
      </c>
      <c r="BN110" s="117">
        <f t="shared" si="121"/>
        <v>1743.29417</v>
      </c>
      <c r="BO110" s="117">
        <f t="shared" si="121"/>
        <v>1752.010641</v>
      </c>
      <c r="BP110" s="117">
        <f t="shared" si="121"/>
        <v>1760.770694</v>
      </c>
      <c r="BQ110" s="117">
        <f t="shared" si="121"/>
        <v>1769.574547</v>
      </c>
      <c r="BR110" s="117">
        <f t="shared" si="121"/>
        <v>1778.42242</v>
      </c>
      <c r="BS110" s="117">
        <f t="shared" si="121"/>
        <v>1787.314532</v>
      </c>
      <c r="BT110" s="117">
        <f t="shared" si="121"/>
        <v>1796.251105</v>
      </c>
      <c r="BU110" s="117">
        <f t="shared" si="121"/>
        <v>1805.23236</v>
      </c>
      <c r="BV110" s="117">
        <f t="shared" si="121"/>
        <v>1814.258522</v>
      </c>
      <c r="BW110" s="117">
        <f t="shared" si="121"/>
        <v>1823.329815</v>
      </c>
      <c r="BX110" s="117">
        <f t="shared" si="121"/>
        <v>1832.446464</v>
      </c>
      <c r="BY110" s="117">
        <f t="shared" si="121"/>
        <v>1841.608696</v>
      </c>
      <c r="BZ110" s="117">
        <f t="shared" si="121"/>
        <v>1850.81674</v>
      </c>
      <c r="CA110" s="117">
        <f t="shared" si="121"/>
        <v>1860.070823</v>
      </c>
      <c r="CB110" s="117">
        <f t="shared" si="121"/>
        <v>1869.371177</v>
      </c>
      <c r="CC110" s="117">
        <f t="shared" si="121"/>
        <v>1878.718033</v>
      </c>
      <c r="CD110" s="117">
        <f t="shared" si="121"/>
        <v>1888.111623</v>
      </c>
      <c r="CE110" s="117">
        <f t="shared" si="121"/>
        <v>1897.552182</v>
      </c>
      <c r="CF110" s="117">
        <f t="shared" si="121"/>
        <v>1907.039942</v>
      </c>
      <c r="CG110" s="117">
        <f t="shared" si="121"/>
        <v>1916.575142</v>
      </c>
      <c r="CH110" s="117">
        <f t="shared" si="121"/>
        <v>1926.158018</v>
      </c>
      <c r="CI110" s="117">
        <f t="shared" si="121"/>
        <v>1935.788808</v>
      </c>
    </row>
    <row r="111" ht="15.75" customHeight="1" outlineLevel="1">
      <c r="A111" s="1" t="s">
        <v>278</v>
      </c>
      <c r="B111" s="91" t="s">
        <v>66</v>
      </c>
      <c r="C111" s="132" t="s">
        <v>237</v>
      </c>
      <c r="D111" s="117">
        <f t="shared" ref="D111:CI111" si="122">D148-SUMIFS(D$6:D$97,$C$6:$C$97,$C111)</f>
        <v>-7032</v>
      </c>
      <c r="E111" s="117">
        <f t="shared" si="122"/>
        <v>-10779</v>
      </c>
      <c r="F111" s="117">
        <f t="shared" si="122"/>
        <v>-10527</v>
      </c>
      <c r="G111" s="117">
        <f t="shared" si="122"/>
        <v>-10547</v>
      </c>
      <c r="H111" s="117">
        <f t="shared" si="122"/>
        <v>-13914</v>
      </c>
      <c r="I111" s="117">
        <f t="shared" si="122"/>
        <v>-9380</v>
      </c>
      <c r="J111" s="117">
        <f t="shared" si="122"/>
        <v>-6642</v>
      </c>
      <c r="K111" s="117">
        <f t="shared" si="122"/>
        <v>-15953</v>
      </c>
      <c r="L111" s="117">
        <f t="shared" si="122"/>
        <v>-9926</v>
      </c>
      <c r="M111" s="117">
        <f t="shared" si="122"/>
        <v>-7894</v>
      </c>
      <c r="N111" s="117">
        <f t="shared" si="122"/>
        <v>-5628</v>
      </c>
      <c r="O111" s="117">
        <f t="shared" si="122"/>
        <v>-10091</v>
      </c>
      <c r="P111" s="117">
        <f t="shared" si="122"/>
        <v>-10980</v>
      </c>
      <c r="Q111" s="117">
        <f t="shared" si="122"/>
        <v>-8954</v>
      </c>
      <c r="R111" s="117">
        <f t="shared" si="122"/>
        <v>-7717</v>
      </c>
      <c r="S111" s="117">
        <f t="shared" si="122"/>
        <v>-8353</v>
      </c>
      <c r="T111" s="117">
        <f t="shared" si="122"/>
        <v>-4309</v>
      </c>
      <c r="U111" s="117">
        <f t="shared" si="122"/>
        <v>-9790</v>
      </c>
      <c r="V111" s="117">
        <f t="shared" si="122"/>
        <v>-7257</v>
      </c>
      <c r="W111" s="117">
        <f t="shared" si="122"/>
        <v>-7860</v>
      </c>
      <c r="X111" s="117">
        <f t="shared" si="122"/>
        <v>-13422</v>
      </c>
      <c r="Y111" s="117">
        <f t="shared" si="122"/>
        <v>-9873</v>
      </c>
      <c r="Z111" s="117">
        <f t="shared" si="122"/>
        <v>-2132</v>
      </c>
      <c r="AA111" s="117">
        <f t="shared" si="122"/>
        <v>-2132</v>
      </c>
      <c r="AB111" s="117">
        <f t="shared" si="122"/>
        <v>-2132</v>
      </c>
      <c r="AC111" s="117">
        <f t="shared" si="122"/>
        <v>-2132</v>
      </c>
      <c r="AD111" s="117">
        <f t="shared" si="122"/>
        <v>-2132</v>
      </c>
      <c r="AE111" s="117">
        <f t="shared" si="122"/>
        <v>-2132</v>
      </c>
      <c r="AF111" s="117">
        <f t="shared" si="122"/>
        <v>-2132</v>
      </c>
      <c r="AG111" s="117">
        <f t="shared" si="122"/>
        <v>-2132</v>
      </c>
      <c r="AH111" s="117">
        <f t="shared" si="122"/>
        <v>-2132</v>
      </c>
      <c r="AI111" s="117">
        <f t="shared" si="122"/>
        <v>-2132</v>
      </c>
      <c r="AJ111" s="117">
        <f t="shared" si="122"/>
        <v>-2132</v>
      </c>
      <c r="AK111" s="117">
        <f t="shared" si="122"/>
        <v>-2132</v>
      </c>
      <c r="AL111" s="117">
        <f t="shared" si="122"/>
        <v>-2132</v>
      </c>
      <c r="AM111" s="117">
        <f t="shared" si="122"/>
        <v>-2132</v>
      </c>
      <c r="AN111" s="117">
        <f t="shared" si="122"/>
        <v>-2142.66</v>
      </c>
      <c r="AO111" s="117">
        <f t="shared" si="122"/>
        <v>-2153.3733</v>
      </c>
      <c r="AP111" s="117">
        <f t="shared" si="122"/>
        <v>-2164.140167</v>
      </c>
      <c r="AQ111" s="117">
        <f t="shared" si="122"/>
        <v>-2174.960867</v>
      </c>
      <c r="AR111" s="117">
        <f t="shared" si="122"/>
        <v>-2185.835672</v>
      </c>
      <c r="AS111" s="117">
        <f t="shared" si="122"/>
        <v>-2196.76485</v>
      </c>
      <c r="AT111" s="117">
        <f t="shared" si="122"/>
        <v>-2207.748674</v>
      </c>
      <c r="AU111" s="117">
        <f t="shared" si="122"/>
        <v>-2218.787418</v>
      </c>
      <c r="AV111" s="117">
        <f t="shared" si="122"/>
        <v>-2229.881355</v>
      </c>
      <c r="AW111" s="117">
        <f t="shared" si="122"/>
        <v>-2241.030762</v>
      </c>
      <c r="AX111" s="117">
        <f t="shared" si="122"/>
        <v>-2252.235915</v>
      </c>
      <c r="AY111" s="117">
        <f t="shared" si="122"/>
        <v>-2263.497095</v>
      </c>
      <c r="AZ111" s="117">
        <f t="shared" si="122"/>
        <v>-2274.81458</v>
      </c>
      <c r="BA111" s="117">
        <f t="shared" si="122"/>
        <v>-2286.188653</v>
      </c>
      <c r="BB111" s="117">
        <f t="shared" si="122"/>
        <v>-2297.619597</v>
      </c>
      <c r="BC111" s="117">
        <f t="shared" si="122"/>
        <v>-2309.107695</v>
      </c>
      <c r="BD111" s="117">
        <f t="shared" si="122"/>
        <v>-2320.653233</v>
      </c>
      <c r="BE111" s="117">
        <f t="shared" si="122"/>
        <v>-2332.256499</v>
      </c>
      <c r="BF111" s="117">
        <f t="shared" si="122"/>
        <v>-2343.917782</v>
      </c>
      <c r="BG111" s="117">
        <f t="shared" si="122"/>
        <v>-2355.637371</v>
      </c>
      <c r="BH111" s="117">
        <f t="shared" si="122"/>
        <v>-2367.415557</v>
      </c>
      <c r="BI111" s="117">
        <f t="shared" si="122"/>
        <v>-2379.252635</v>
      </c>
      <c r="BJ111" s="117">
        <f t="shared" si="122"/>
        <v>-2391.148898</v>
      </c>
      <c r="BK111" s="117">
        <f t="shared" si="122"/>
        <v>-2403.104643</v>
      </c>
      <c r="BL111" s="117">
        <f t="shared" si="122"/>
        <v>-2415.120166</v>
      </c>
      <c r="BM111" s="117">
        <f t="shared" si="122"/>
        <v>-2427.195767</v>
      </c>
      <c r="BN111" s="117">
        <f t="shared" si="122"/>
        <v>-2439.331746</v>
      </c>
      <c r="BO111" s="117">
        <f t="shared" si="122"/>
        <v>-2451.528404</v>
      </c>
      <c r="BP111" s="117">
        <f t="shared" si="122"/>
        <v>-2463.786047</v>
      </c>
      <c r="BQ111" s="117">
        <f t="shared" si="122"/>
        <v>-2476.104977</v>
      </c>
      <c r="BR111" s="117">
        <f t="shared" si="122"/>
        <v>-2488.485502</v>
      </c>
      <c r="BS111" s="117">
        <f t="shared" si="122"/>
        <v>-2500.927929</v>
      </c>
      <c r="BT111" s="117">
        <f t="shared" si="122"/>
        <v>-2513.432569</v>
      </c>
      <c r="BU111" s="117">
        <f t="shared" si="122"/>
        <v>-2525.999732</v>
      </c>
      <c r="BV111" s="117">
        <f t="shared" si="122"/>
        <v>-2538.62973</v>
      </c>
      <c r="BW111" s="117">
        <f t="shared" si="122"/>
        <v>-2551.322879</v>
      </c>
      <c r="BX111" s="117">
        <f t="shared" si="122"/>
        <v>-2564.079493</v>
      </c>
      <c r="BY111" s="117">
        <f t="shared" si="122"/>
        <v>-2576.899891</v>
      </c>
      <c r="BZ111" s="117">
        <f t="shared" si="122"/>
        <v>-2589.78439</v>
      </c>
      <c r="CA111" s="117">
        <f t="shared" si="122"/>
        <v>-2602.733312</v>
      </c>
      <c r="CB111" s="117">
        <f t="shared" si="122"/>
        <v>-2615.746979</v>
      </c>
      <c r="CC111" s="117">
        <f t="shared" si="122"/>
        <v>-2628.825714</v>
      </c>
      <c r="CD111" s="117">
        <f t="shared" si="122"/>
        <v>-2641.969842</v>
      </c>
      <c r="CE111" s="117">
        <f t="shared" si="122"/>
        <v>-2655.179691</v>
      </c>
      <c r="CF111" s="117">
        <f t="shared" si="122"/>
        <v>-2668.45559</v>
      </c>
      <c r="CG111" s="117">
        <f t="shared" si="122"/>
        <v>-2681.797868</v>
      </c>
      <c r="CH111" s="117">
        <f t="shared" si="122"/>
        <v>-2695.206857</v>
      </c>
      <c r="CI111" s="117">
        <f t="shared" si="122"/>
        <v>-2708.682891</v>
      </c>
    </row>
    <row r="112" ht="15.75" customHeight="1" outlineLevel="1">
      <c r="A112" s="1" t="s">
        <v>278</v>
      </c>
      <c r="B112" s="91" t="s">
        <v>178</v>
      </c>
      <c r="C112" s="132" t="s">
        <v>238</v>
      </c>
      <c r="D112" s="117">
        <f t="shared" ref="D112:CI112" si="123">D149-SUMIFS(D$6:D$97,$C$6:$C$97,$C112)</f>
        <v>-7341</v>
      </c>
      <c r="E112" s="117">
        <f t="shared" si="123"/>
        <v>-2839</v>
      </c>
      <c r="F112" s="117">
        <f t="shared" si="123"/>
        <v>-6508</v>
      </c>
      <c r="G112" s="117">
        <f t="shared" si="123"/>
        <v>-5795</v>
      </c>
      <c r="H112" s="117">
        <f t="shared" si="123"/>
        <v>-545</v>
      </c>
      <c r="I112" s="117">
        <f t="shared" si="123"/>
        <v>-7790</v>
      </c>
      <c r="J112" s="117">
        <f t="shared" si="123"/>
        <v>-8575</v>
      </c>
      <c r="K112" s="117">
        <f t="shared" si="123"/>
        <v>-10217</v>
      </c>
      <c r="L112" s="117">
        <f t="shared" si="123"/>
        <v>-5809</v>
      </c>
      <c r="M112" s="117">
        <f t="shared" si="123"/>
        <v>-6179</v>
      </c>
      <c r="N112" s="117">
        <f t="shared" si="123"/>
        <v>-4324</v>
      </c>
      <c r="O112" s="117">
        <f t="shared" si="123"/>
        <v>-8853</v>
      </c>
      <c r="P112" s="117">
        <f t="shared" si="123"/>
        <v>-6848</v>
      </c>
      <c r="Q112" s="117">
        <f t="shared" si="123"/>
        <v>-4670</v>
      </c>
      <c r="R112" s="117">
        <f t="shared" si="123"/>
        <v>-3977</v>
      </c>
      <c r="S112" s="117">
        <f t="shared" si="123"/>
        <v>-7473</v>
      </c>
      <c r="T112" s="117">
        <f t="shared" si="123"/>
        <v>-4545</v>
      </c>
      <c r="U112" s="117">
        <f t="shared" si="123"/>
        <v>-4050</v>
      </c>
      <c r="V112" s="117">
        <f t="shared" si="123"/>
        <v>-6400</v>
      </c>
      <c r="W112" s="117">
        <f t="shared" si="123"/>
        <v>-6836</v>
      </c>
      <c r="X112" s="117">
        <f t="shared" si="123"/>
        <v>-2694</v>
      </c>
      <c r="Y112" s="117">
        <f t="shared" si="123"/>
        <v>-7420</v>
      </c>
      <c r="Z112" s="117">
        <f t="shared" si="123"/>
        <v>-5492</v>
      </c>
      <c r="AA112" s="117">
        <f t="shared" si="123"/>
        <v>0</v>
      </c>
      <c r="AB112" s="117">
        <f t="shared" si="123"/>
        <v>0</v>
      </c>
      <c r="AC112" s="117">
        <f t="shared" si="123"/>
        <v>0</v>
      </c>
      <c r="AD112" s="117">
        <f t="shared" si="123"/>
        <v>0</v>
      </c>
      <c r="AE112" s="117">
        <f t="shared" si="123"/>
        <v>0</v>
      </c>
      <c r="AF112" s="117">
        <f t="shared" si="123"/>
        <v>0</v>
      </c>
      <c r="AG112" s="117">
        <f t="shared" si="123"/>
        <v>0</v>
      </c>
      <c r="AH112" s="117">
        <f t="shared" si="123"/>
        <v>0</v>
      </c>
      <c r="AI112" s="117">
        <f t="shared" si="123"/>
        <v>0</v>
      </c>
      <c r="AJ112" s="117">
        <f t="shared" si="123"/>
        <v>0</v>
      </c>
      <c r="AK112" s="117">
        <f t="shared" si="123"/>
        <v>0</v>
      </c>
      <c r="AL112" s="117">
        <f t="shared" si="123"/>
        <v>0</v>
      </c>
      <c r="AM112" s="117">
        <f t="shared" si="123"/>
        <v>0</v>
      </c>
      <c r="AN112" s="117">
        <f t="shared" si="123"/>
        <v>0</v>
      </c>
      <c r="AO112" s="117">
        <f t="shared" si="123"/>
        <v>0</v>
      </c>
      <c r="AP112" s="117">
        <f t="shared" si="123"/>
        <v>0</v>
      </c>
      <c r="AQ112" s="117">
        <f t="shared" si="123"/>
        <v>0</v>
      </c>
      <c r="AR112" s="117">
        <f t="shared" si="123"/>
        <v>0</v>
      </c>
      <c r="AS112" s="117">
        <f t="shared" si="123"/>
        <v>0</v>
      </c>
      <c r="AT112" s="117">
        <f t="shared" si="123"/>
        <v>0</v>
      </c>
      <c r="AU112" s="117">
        <f t="shared" si="123"/>
        <v>0</v>
      </c>
      <c r="AV112" s="117">
        <f t="shared" si="123"/>
        <v>0</v>
      </c>
      <c r="AW112" s="117">
        <f t="shared" si="123"/>
        <v>0</v>
      </c>
      <c r="AX112" s="117">
        <f t="shared" si="123"/>
        <v>0</v>
      </c>
      <c r="AY112" s="117">
        <f t="shared" si="123"/>
        <v>0</v>
      </c>
      <c r="AZ112" s="117">
        <f t="shared" si="123"/>
        <v>0</v>
      </c>
      <c r="BA112" s="117">
        <f t="shared" si="123"/>
        <v>0</v>
      </c>
      <c r="BB112" s="117">
        <f t="shared" si="123"/>
        <v>0</v>
      </c>
      <c r="BC112" s="117">
        <f t="shared" si="123"/>
        <v>0</v>
      </c>
      <c r="BD112" s="117">
        <f t="shared" si="123"/>
        <v>0</v>
      </c>
      <c r="BE112" s="117">
        <f t="shared" si="123"/>
        <v>0</v>
      </c>
      <c r="BF112" s="117">
        <f t="shared" si="123"/>
        <v>0</v>
      </c>
      <c r="BG112" s="117">
        <f t="shared" si="123"/>
        <v>0</v>
      </c>
      <c r="BH112" s="117">
        <f t="shared" si="123"/>
        <v>0</v>
      </c>
      <c r="BI112" s="117">
        <f t="shared" si="123"/>
        <v>0</v>
      </c>
      <c r="BJ112" s="117">
        <f t="shared" si="123"/>
        <v>0</v>
      </c>
      <c r="BK112" s="117">
        <f t="shared" si="123"/>
        <v>0</v>
      </c>
      <c r="BL112" s="117">
        <f t="shared" si="123"/>
        <v>0</v>
      </c>
      <c r="BM112" s="117">
        <f t="shared" si="123"/>
        <v>0</v>
      </c>
      <c r="BN112" s="117">
        <f t="shared" si="123"/>
        <v>0</v>
      </c>
      <c r="BO112" s="117">
        <f t="shared" si="123"/>
        <v>0</v>
      </c>
      <c r="BP112" s="117">
        <f t="shared" si="123"/>
        <v>0</v>
      </c>
      <c r="BQ112" s="117">
        <f t="shared" si="123"/>
        <v>0</v>
      </c>
      <c r="BR112" s="117">
        <f t="shared" si="123"/>
        <v>0</v>
      </c>
      <c r="BS112" s="117">
        <f t="shared" si="123"/>
        <v>0</v>
      </c>
      <c r="BT112" s="117">
        <f t="shared" si="123"/>
        <v>0</v>
      </c>
      <c r="BU112" s="117">
        <f t="shared" si="123"/>
        <v>0</v>
      </c>
      <c r="BV112" s="117">
        <f t="shared" si="123"/>
        <v>0</v>
      </c>
      <c r="BW112" s="117">
        <f t="shared" si="123"/>
        <v>0</v>
      </c>
      <c r="BX112" s="117">
        <f t="shared" si="123"/>
        <v>0</v>
      </c>
      <c r="BY112" s="117">
        <f t="shared" si="123"/>
        <v>0</v>
      </c>
      <c r="BZ112" s="117">
        <f t="shared" si="123"/>
        <v>0</v>
      </c>
      <c r="CA112" s="117">
        <f t="shared" si="123"/>
        <v>0</v>
      </c>
      <c r="CB112" s="117">
        <f t="shared" si="123"/>
        <v>0</v>
      </c>
      <c r="CC112" s="117">
        <f t="shared" si="123"/>
        <v>0</v>
      </c>
      <c r="CD112" s="117">
        <f t="shared" si="123"/>
        <v>0</v>
      </c>
      <c r="CE112" s="117">
        <f t="shared" si="123"/>
        <v>0</v>
      </c>
      <c r="CF112" s="117">
        <f t="shared" si="123"/>
        <v>0</v>
      </c>
      <c r="CG112" s="117">
        <f t="shared" si="123"/>
        <v>0</v>
      </c>
      <c r="CH112" s="117">
        <f t="shared" si="123"/>
        <v>0</v>
      </c>
      <c r="CI112" s="117">
        <f t="shared" si="123"/>
        <v>0</v>
      </c>
    </row>
    <row r="113" ht="15.75" customHeight="1" outlineLevel="1">
      <c r="A113" s="1" t="s">
        <v>278</v>
      </c>
      <c r="B113" s="91" t="s">
        <v>178</v>
      </c>
      <c r="C113" s="132" t="s">
        <v>239</v>
      </c>
      <c r="D113" s="117">
        <f t="shared" ref="D113:CI113" si="124">D150-SUMIFS(D$6:D$97,$C$6:$C$97,$C113)</f>
        <v>-2795</v>
      </c>
      <c r="E113" s="117">
        <f t="shared" si="124"/>
        <v>-2403</v>
      </c>
      <c r="F113" s="117">
        <f t="shared" si="124"/>
        <v>-1714</v>
      </c>
      <c r="G113" s="117">
        <f t="shared" si="124"/>
        <v>-4437</v>
      </c>
      <c r="H113" s="117">
        <f t="shared" si="124"/>
        <v>-5728</v>
      </c>
      <c r="I113" s="117">
        <f t="shared" si="124"/>
        <v>-4540</v>
      </c>
      <c r="J113" s="117">
        <f t="shared" si="124"/>
        <v>-3462</v>
      </c>
      <c r="K113" s="117">
        <f t="shared" si="124"/>
        <v>-4877</v>
      </c>
      <c r="L113" s="117">
        <f t="shared" si="124"/>
        <v>-6299</v>
      </c>
      <c r="M113" s="117">
        <f t="shared" si="124"/>
        <v>-5622</v>
      </c>
      <c r="N113" s="117">
        <f t="shared" si="124"/>
        <v>-2714</v>
      </c>
      <c r="O113" s="117">
        <f t="shared" si="124"/>
        <v>1441</v>
      </c>
      <c r="P113" s="117">
        <f t="shared" si="124"/>
        <v>-2871</v>
      </c>
      <c r="Q113" s="117">
        <f t="shared" si="124"/>
        <v>-2291</v>
      </c>
      <c r="R113" s="117">
        <f t="shared" si="124"/>
        <v>-1231</v>
      </c>
      <c r="S113" s="117">
        <f t="shared" si="124"/>
        <v>-2660</v>
      </c>
      <c r="T113" s="117">
        <f t="shared" si="124"/>
        <v>-2789</v>
      </c>
      <c r="U113" s="117">
        <f t="shared" si="124"/>
        <v>-2335</v>
      </c>
      <c r="V113" s="117">
        <f t="shared" si="124"/>
        <v>-3316</v>
      </c>
      <c r="W113" s="117">
        <f t="shared" si="124"/>
        <v>-4179</v>
      </c>
      <c r="X113" s="117">
        <f t="shared" si="124"/>
        <v>-1697</v>
      </c>
      <c r="Y113" s="117">
        <f t="shared" si="124"/>
        <v>-2634</v>
      </c>
      <c r="Z113" s="117">
        <f t="shared" si="124"/>
        <v>-370</v>
      </c>
      <c r="AA113" s="117">
        <f t="shared" si="124"/>
        <v>-15215.07237</v>
      </c>
      <c r="AB113" s="117">
        <f t="shared" si="124"/>
        <v>-35592.95689</v>
      </c>
      <c r="AC113" s="117">
        <f t="shared" si="124"/>
        <v>-42066.06874</v>
      </c>
      <c r="AD113" s="117">
        <f t="shared" si="124"/>
        <v>-42633.65792</v>
      </c>
      <c r="AE113" s="117">
        <f t="shared" si="124"/>
        <v>-41987.98797</v>
      </c>
      <c r="AF113" s="117">
        <f t="shared" si="124"/>
        <v>-44130.62673</v>
      </c>
      <c r="AG113" s="117">
        <f t="shared" si="124"/>
        <v>-44186.62413</v>
      </c>
      <c r="AH113" s="117">
        <f t="shared" si="124"/>
        <v>-44067.9765</v>
      </c>
      <c r="AI113" s="117">
        <f t="shared" si="124"/>
        <v>-44128.40912</v>
      </c>
      <c r="AJ113" s="117">
        <f t="shared" si="124"/>
        <v>-46114.48787</v>
      </c>
      <c r="AK113" s="117">
        <f t="shared" si="124"/>
        <v>-46094.25563</v>
      </c>
      <c r="AL113" s="117">
        <f t="shared" si="124"/>
        <v>-46107.89556</v>
      </c>
      <c r="AM113" s="117">
        <f t="shared" si="124"/>
        <v>-46105.54635</v>
      </c>
      <c r="AN113" s="117">
        <f t="shared" si="124"/>
        <v>-47922.62208</v>
      </c>
      <c r="AO113" s="117">
        <f t="shared" si="124"/>
        <v>-47925.46505</v>
      </c>
      <c r="AP113" s="117">
        <f t="shared" si="124"/>
        <v>-47924.58845</v>
      </c>
      <c r="AQ113" s="117">
        <f t="shared" si="124"/>
        <v>-47924.22519</v>
      </c>
      <c r="AR113" s="117">
        <f t="shared" si="124"/>
        <v>-49843.70355</v>
      </c>
      <c r="AS113" s="117">
        <f t="shared" si="124"/>
        <v>-49843.4622</v>
      </c>
      <c r="AT113" s="117">
        <f t="shared" si="124"/>
        <v>-49818.44162</v>
      </c>
      <c r="AU113" s="117">
        <f t="shared" si="124"/>
        <v>-49818.53579</v>
      </c>
      <c r="AV113" s="117">
        <f t="shared" si="124"/>
        <v>-51814.17266</v>
      </c>
      <c r="AW113" s="117">
        <f t="shared" si="124"/>
        <v>-51814.17871</v>
      </c>
      <c r="AX113" s="117">
        <f t="shared" si="124"/>
        <v>-51814.19358</v>
      </c>
      <c r="AY113" s="117">
        <f t="shared" si="124"/>
        <v>-51814.18165</v>
      </c>
      <c r="AZ113" s="117">
        <f t="shared" si="124"/>
        <v>-53864.70563</v>
      </c>
      <c r="BA113" s="117">
        <f t="shared" si="124"/>
        <v>-53864.70767</v>
      </c>
      <c r="BB113" s="117">
        <f t="shared" si="124"/>
        <v>-53864.70531</v>
      </c>
      <c r="BC113" s="117">
        <f t="shared" si="124"/>
        <v>-53864.7062</v>
      </c>
      <c r="BD113" s="117">
        <f t="shared" si="124"/>
        <v>-56023.24825</v>
      </c>
      <c r="BE113" s="117">
        <f t="shared" si="124"/>
        <v>-56023.24781</v>
      </c>
      <c r="BF113" s="117">
        <f t="shared" si="124"/>
        <v>-55998.24804</v>
      </c>
      <c r="BG113" s="117">
        <f t="shared" si="124"/>
        <v>-55998.24803</v>
      </c>
      <c r="BH113" s="117">
        <f t="shared" si="124"/>
        <v>-58243.13148</v>
      </c>
      <c r="BI113" s="117">
        <f t="shared" si="124"/>
        <v>-58243.13153</v>
      </c>
      <c r="BJ113" s="117">
        <f t="shared" si="124"/>
        <v>-58243.13152</v>
      </c>
      <c r="BK113" s="117">
        <f t="shared" si="124"/>
        <v>-58243.13151</v>
      </c>
      <c r="BL113" s="117">
        <f t="shared" si="124"/>
        <v>-60552.81038</v>
      </c>
      <c r="BM113" s="117">
        <f t="shared" si="124"/>
        <v>-60552.81038</v>
      </c>
      <c r="BN113" s="117">
        <f t="shared" si="124"/>
        <v>-60552.81038</v>
      </c>
      <c r="BO113" s="117">
        <f t="shared" si="124"/>
        <v>-60552.81038</v>
      </c>
      <c r="BP113" s="117">
        <f t="shared" si="124"/>
        <v>-62980.87639</v>
      </c>
      <c r="BQ113" s="117">
        <f t="shared" si="124"/>
        <v>-62980.87639</v>
      </c>
      <c r="BR113" s="117">
        <f t="shared" si="124"/>
        <v>-62955.87639</v>
      </c>
      <c r="BS113" s="117">
        <f t="shared" si="124"/>
        <v>-62955.87639</v>
      </c>
      <c r="BT113" s="117">
        <f t="shared" si="124"/>
        <v>-65481.06505</v>
      </c>
      <c r="BU113" s="117">
        <f t="shared" si="124"/>
        <v>-65481.06505</v>
      </c>
      <c r="BV113" s="117">
        <f t="shared" si="124"/>
        <v>-65481.06505</v>
      </c>
      <c r="BW113" s="117">
        <f t="shared" si="124"/>
        <v>-65481.06505</v>
      </c>
      <c r="BX113" s="117">
        <f t="shared" si="124"/>
        <v>-68082.26125</v>
      </c>
      <c r="BY113" s="117">
        <f t="shared" si="124"/>
        <v>-68082.26125</v>
      </c>
      <c r="BZ113" s="117">
        <f t="shared" si="124"/>
        <v>-68082.26125</v>
      </c>
      <c r="CA113" s="117">
        <f t="shared" si="124"/>
        <v>-68082.26125</v>
      </c>
      <c r="CB113" s="117">
        <f t="shared" si="124"/>
        <v>-70813.5053</v>
      </c>
      <c r="CC113" s="117">
        <f t="shared" si="124"/>
        <v>-70813.5053</v>
      </c>
      <c r="CD113" s="117">
        <f t="shared" si="124"/>
        <v>-70788.5053</v>
      </c>
      <c r="CE113" s="117">
        <f t="shared" si="124"/>
        <v>-70788.5053</v>
      </c>
      <c r="CF113" s="117">
        <f t="shared" si="124"/>
        <v>-73628.99911</v>
      </c>
      <c r="CG113" s="117">
        <f t="shared" si="124"/>
        <v>-73628.99911</v>
      </c>
      <c r="CH113" s="117">
        <f t="shared" si="124"/>
        <v>-73628.99911</v>
      </c>
      <c r="CI113" s="117">
        <f t="shared" si="124"/>
        <v>-73628.99911</v>
      </c>
    </row>
    <row r="114" ht="15.75" customHeight="1" outlineLevel="1">
      <c r="A114" s="1" t="s">
        <v>278</v>
      </c>
      <c r="B114" s="91" t="s">
        <v>178</v>
      </c>
      <c r="C114" s="132" t="s">
        <v>240</v>
      </c>
      <c r="D114" s="117">
        <f t="shared" ref="D114:CI114" si="125">D151-SUMIFS(D$6:D$97,$C$6:$C$97,$C114)</f>
        <v>1404</v>
      </c>
      <c r="E114" s="117">
        <f t="shared" si="125"/>
        <v>1338</v>
      </c>
      <c r="F114" s="117">
        <f t="shared" si="125"/>
        <v>1690</v>
      </c>
      <c r="G114" s="117">
        <f t="shared" si="125"/>
        <v>2190</v>
      </c>
      <c r="H114" s="117">
        <f t="shared" si="125"/>
        <v>1897</v>
      </c>
      <c r="I114" s="117">
        <f t="shared" si="125"/>
        <v>1834</v>
      </c>
      <c r="J114" s="117">
        <f t="shared" si="125"/>
        <v>1397</v>
      </c>
      <c r="K114" s="117">
        <f t="shared" si="125"/>
        <v>1598</v>
      </c>
      <c r="L114" s="117">
        <f t="shared" si="125"/>
        <v>1227</v>
      </c>
      <c r="M114" s="117">
        <f t="shared" si="125"/>
        <v>2391</v>
      </c>
      <c r="N114" s="117">
        <f t="shared" si="125"/>
        <v>1982</v>
      </c>
      <c r="O114" s="117">
        <f t="shared" si="125"/>
        <v>2408</v>
      </c>
      <c r="P114" s="117">
        <f t="shared" si="125"/>
        <v>1254</v>
      </c>
      <c r="Q114" s="117">
        <f t="shared" si="125"/>
        <v>1528</v>
      </c>
      <c r="R114" s="117">
        <f t="shared" si="125"/>
        <v>1122</v>
      </c>
      <c r="S114" s="117">
        <f t="shared" si="125"/>
        <v>2227</v>
      </c>
      <c r="T114" s="117">
        <f t="shared" si="125"/>
        <v>1705</v>
      </c>
      <c r="U114" s="117">
        <f t="shared" si="125"/>
        <v>1755</v>
      </c>
      <c r="V114" s="117">
        <f t="shared" si="125"/>
        <v>1519</v>
      </c>
      <c r="W114" s="117">
        <f t="shared" si="125"/>
        <v>1224</v>
      </c>
      <c r="X114" s="117">
        <f t="shared" si="125"/>
        <v>2229</v>
      </c>
      <c r="Y114" s="117">
        <f t="shared" si="125"/>
        <v>1437</v>
      </c>
      <c r="Z114" s="117">
        <f t="shared" si="125"/>
        <v>2419</v>
      </c>
      <c r="AA114" s="117">
        <f t="shared" si="125"/>
        <v>2616.158607</v>
      </c>
      <c r="AB114" s="117">
        <f t="shared" si="125"/>
        <v>3081.197387</v>
      </c>
      <c r="AC114" s="117">
        <f t="shared" si="125"/>
        <v>3540.770531</v>
      </c>
      <c r="AD114" s="117">
        <f t="shared" si="125"/>
        <v>3961.641851</v>
      </c>
      <c r="AE114" s="117">
        <f t="shared" si="125"/>
        <v>4364.661236</v>
      </c>
      <c r="AF114" s="117">
        <f t="shared" si="125"/>
        <v>4765.094692</v>
      </c>
      <c r="AG114" s="117">
        <f t="shared" si="125"/>
        <v>5167.88951</v>
      </c>
      <c r="AH114" s="117">
        <f t="shared" si="125"/>
        <v>5530.987245</v>
      </c>
      <c r="AI114" s="117">
        <f t="shared" si="125"/>
        <v>5887.076426</v>
      </c>
      <c r="AJ114" s="117">
        <f t="shared" si="125"/>
        <v>6235.709679</v>
      </c>
      <c r="AK114" s="117">
        <f t="shared" si="125"/>
        <v>6559.801814</v>
      </c>
      <c r="AL114" s="117">
        <f t="shared" si="125"/>
        <v>6880.765233</v>
      </c>
      <c r="AM114" s="117">
        <f t="shared" si="125"/>
        <v>7205.769977</v>
      </c>
      <c r="AN114" s="117">
        <f t="shared" si="125"/>
        <v>7526.851755</v>
      </c>
      <c r="AO114" s="117">
        <f t="shared" si="125"/>
        <v>7584.035569</v>
      </c>
      <c r="AP114" s="117">
        <f t="shared" si="125"/>
        <v>7664.210087</v>
      </c>
      <c r="AQ114" s="117">
        <f t="shared" si="125"/>
        <v>7768.132747</v>
      </c>
      <c r="AR114" s="117">
        <f t="shared" si="125"/>
        <v>7878.460395</v>
      </c>
      <c r="AS114" s="117">
        <f t="shared" si="125"/>
        <v>7993.205675</v>
      </c>
      <c r="AT114" s="117">
        <f t="shared" si="125"/>
        <v>8106.69694</v>
      </c>
      <c r="AU114" s="117">
        <f t="shared" si="125"/>
        <v>8243.711586</v>
      </c>
      <c r="AV114" s="117">
        <f t="shared" si="125"/>
        <v>8354.299353</v>
      </c>
      <c r="AW114" s="117">
        <f t="shared" si="125"/>
        <v>8463.317075</v>
      </c>
      <c r="AX114" s="117">
        <f t="shared" si="125"/>
        <v>8570.827634</v>
      </c>
      <c r="AY114" s="117">
        <f t="shared" si="125"/>
        <v>8676.904104</v>
      </c>
      <c r="AZ114" s="117">
        <f t="shared" si="125"/>
        <v>8907.956315</v>
      </c>
      <c r="BA114" s="117">
        <f t="shared" si="125"/>
        <v>9081.881963</v>
      </c>
      <c r="BB114" s="117">
        <f t="shared" si="125"/>
        <v>9250.445334</v>
      </c>
      <c r="BC114" s="117">
        <f t="shared" si="125"/>
        <v>9414.670958</v>
      </c>
      <c r="BD114" s="117">
        <f t="shared" si="125"/>
        <v>9575.221254</v>
      </c>
      <c r="BE114" s="117">
        <f t="shared" si="125"/>
        <v>9732.522855</v>
      </c>
      <c r="BF114" s="117">
        <f t="shared" si="125"/>
        <v>9886.900995</v>
      </c>
      <c r="BG114" s="117">
        <f t="shared" si="125"/>
        <v>10038.62091</v>
      </c>
      <c r="BH114" s="117">
        <f t="shared" si="125"/>
        <v>10187.9065</v>
      </c>
      <c r="BI114" s="117">
        <f t="shared" si="125"/>
        <v>10334.95117</v>
      </c>
      <c r="BJ114" s="117">
        <f t="shared" si="125"/>
        <v>10479.92512</v>
      </c>
      <c r="BK114" s="117">
        <f t="shared" si="125"/>
        <v>10622.98046</v>
      </c>
      <c r="BL114" s="117">
        <f t="shared" si="125"/>
        <v>10829.73089</v>
      </c>
      <c r="BM114" s="117">
        <f t="shared" si="125"/>
        <v>10990.21674</v>
      </c>
      <c r="BN114" s="117">
        <f t="shared" si="125"/>
        <v>11135.56053</v>
      </c>
      <c r="BO114" s="117">
        <f t="shared" si="125"/>
        <v>11278.03198</v>
      </c>
      <c r="BP114" s="117">
        <f t="shared" si="125"/>
        <v>11419.79798</v>
      </c>
      <c r="BQ114" s="117">
        <f t="shared" si="125"/>
        <v>11560.91303</v>
      </c>
      <c r="BR114" s="117">
        <f t="shared" si="125"/>
        <v>11701.47112</v>
      </c>
      <c r="BS114" s="117">
        <f t="shared" si="125"/>
        <v>11841.56303</v>
      </c>
      <c r="BT114" s="117">
        <f t="shared" si="125"/>
        <v>11981.27473</v>
      </c>
      <c r="BU114" s="117">
        <f t="shared" si="125"/>
        <v>12120.68889</v>
      </c>
      <c r="BV114" s="117">
        <f t="shared" si="125"/>
        <v>12259.88578</v>
      </c>
      <c r="BW114" s="117">
        <f t="shared" si="125"/>
        <v>12398.94379</v>
      </c>
      <c r="BX114" s="117">
        <f t="shared" si="125"/>
        <v>12589.11074</v>
      </c>
      <c r="BY114" s="117">
        <f t="shared" si="125"/>
        <v>12677.99618</v>
      </c>
      <c r="BZ114" s="117">
        <f t="shared" si="125"/>
        <v>12762.958</v>
      </c>
      <c r="CA114" s="117">
        <f t="shared" si="125"/>
        <v>12852.35439</v>
      </c>
      <c r="CB114" s="117">
        <f t="shared" si="125"/>
        <v>12944.33366</v>
      </c>
      <c r="CC114" s="117">
        <f t="shared" si="125"/>
        <v>13037.50354</v>
      </c>
      <c r="CD114" s="117">
        <f t="shared" si="125"/>
        <v>13131.28169</v>
      </c>
      <c r="CE114" s="117">
        <f t="shared" si="125"/>
        <v>13225.37021</v>
      </c>
      <c r="CF114" s="117">
        <f t="shared" si="125"/>
        <v>13319.60094</v>
      </c>
      <c r="CG114" s="117">
        <f t="shared" si="125"/>
        <v>13413.87754</v>
      </c>
      <c r="CH114" s="117">
        <f t="shared" si="125"/>
        <v>13508.14874</v>
      </c>
      <c r="CI114" s="117">
        <f t="shared" si="125"/>
        <v>13602.39353</v>
      </c>
    </row>
    <row r="115" ht="15.75" customHeight="1" outlineLevel="1">
      <c r="A115" s="1" t="s">
        <v>278</v>
      </c>
      <c r="B115" s="91" t="s">
        <v>178</v>
      </c>
      <c r="C115" s="132" t="s">
        <v>241</v>
      </c>
      <c r="D115" s="117">
        <f t="shared" ref="D115:CI115" si="126">D152-SUMIFS(D$6:D$97,$C$6:$C$97,$C115)</f>
        <v>-224</v>
      </c>
      <c r="E115" s="117">
        <f t="shared" si="126"/>
        <v>-1138</v>
      </c>
      <c r="F115" s="117">
        <f t="shared" si="126"/>
        <v>1099</v>
      </c>
      <c r="G115" s="117">
        <f t="shared" si="126"/>
        <v>-638</v>
      </c>
      <c r="H115" s="117">
        <f t="shared" si="126"/>
        <v>-790</v>
      </c>
      <c r="I115" s="117">
        <f t="shared" si="126"/>
        <v>-1396</v>
      </c>
      <c r="J115" s="117">
        <f t="shared" si="126"/>
        <v>-3122</v>
      </c>
      <c r="K115" s="117">
        <f t="shared" si="126"/>
        <v>-1154</v>
      </c>
      <c r="L115" s="117">
        <f t="shared" si="126"/>
        <v>-470</v>
      </c>
      <c r="M115" s="117">
        <f t="shared" si="126"/>
        <v>-2018</v>
      </c>
      <c r="N115" s="117">
        <f t="shared" si="126"/>
        <v>-853</v>
      </c>
      <c r="O115" s="117">
        <f t="shared" si="126"/>
        <v>1481</v>
      </c>
      <c r="P115" s="117">
        <f t="shared" si="126"/>
        <v>-299</v>
      </c>
      <c r="Q115" s="117">
        <f t="shared" si="126"/>
        <v>-1746</v>
      </c>
      <c r="R115" s="117">
        <f t="shared" si="126"/>
        <v>-119</v>
      </c>
      <c r="S115" s="117">
        <f t="shared" si="126"/>
        <v>-2347</v>
      </c>
      <c r="T115" s="117">
        <f t="shared" si="126"/>
        <v>1529</v>
      </c>
      <c r="U115" s="117">
        <f t="shared" si="126"/>
        <v>181</v>
      </c>
      <c r="V115" s="117">
        <f t="shared" si="126"/>
        <v>-188</v>
      </c>
      <c r="W115" s="117">
        <f t="shared" si="126"/>
        <v>-683</v>
      </c>
      <c r="X115" s="117">
        <f t="shared" si="126"/>
        <v>411</v>
      </c>
      <c r="Y115" s="117">
        <f t="shared" si="126"/>
        <v>-140</v>
      </c>
      <c r="Z115" s="117">
        <f t="shared" si="126"/>
        <v>-1272</v>
      </c>
      <c r="AA115" s="117">
        <f t="shared" si="126"/>
        <v>953.6</v>
      </c>
      <c r="AB115" s="117">
        <f t="shared" si="126"/>
        <v>953.6</v>
      </c>
      <c r="AC115" s="117">
        <f t="shared" si="126"/>
        <v>953.6</v>
      </c>
      <c r="AD115" s="117">
        <f t="shared" si="126"/>
        <v>953.6</v>
      </c>
      <c r="AE115" s="117">
        <f t="shared" si="126"/>
        <v>953.6</v>
      </c>
      <c r="AF115" s="117">
        <f t="shared" si="126"/>
        <v>953.6</v>
      </c>
      <c r="AG115" s="117">
        <f t="shared" si="126"/>
        <v>953.6</v>
      </c>
      <c r="AH115" s="117">
        <f t="shared" si="126"/>
        <v>953.6</v>
      </c>
      <c r="AI115" s="117">
        <f t="shared" si="126"/>
        <v>953.6</v>
      </c>
      <c r="AJ115" s="117">
        <f t="shared" si="126"/>
        <v>953.6</v>
      </c>
      <c r="AK115" s="117">
        <f t="shared" si="126"/>
        <v>953.6</v>
      </c>
      <c r="AL115" s="117">
        <f t="shared" si="126"/>
        <v>953.6</v>
      </c>
      <c r="AM115" s="117">
        <f t="shared" si="126"/>
        <v>953.6</v>
      </c>
      <c r="AN115" s="117">
        <f t="shared" si="126"/>
        <v>1953.6</v>
      </c>
      <c r="AO115" s="117">
        <f t="shared" si="126"/>
        <v>1953.6</v>
      </c>
      <c r="AP115" s="117">
        <f t="shared" si="126"/>
        <v>1953.6</v>
      </c>
      <c r="AQ115" s="117">
        <f t="shared" si="126"/>
        <v>1953.6</v>
      </c>
      <c r="AR115" s="117">
        <f t="shared" si="126"/>
        <v>1953.6</v>
      </c>
      <c r="AS115" s="117">
        <f t="shared" si="126"/>
        <v>1953.6</v>
      </c>
      <c r="AT115" s="117">
        <f t="shared" si="126"/>
        <v>2953.6</v>
      </c>
      <c r="AU115" s="117">
        <f t="shared" si="126"/>
        <v>2953.6</v>
      </c>
      <c r="AV115" s="117">
        <f t="shared" si="126"/>
        <v>2953.6</v>
      </c>
      <c r="AW115" s="117">
        <f t="shared" si="126"/>
        <v>2953.6</v>
      </c>
      <c r="AX115" s="117">
        <f t="shared" si="126"/>
        <v>2953.6</v>
      </c>
      <c r="AY115" s="117">
        <f t="shared" si="126"/>
        <v>2953.6</v>
      </c>
      <c r="AZ115" s="117">
        <f t="shared" si="126"/>
        <v>3953.6</v>
      </c>
      <c r="BA115" s="117">
        <f t="shared" si="126"/>
        <v>3953.6</v>
      </c>
      <c r="BB115" s="117">
        <f t="shared" si="126"/>
        <v>3953.6</v>
      </c>
      <c r="BC115" s="117">
        <f t="shared" si="126"/>
        <v>3953.6</v>
      </c>
      <c r="BD115" s="117">
        <f t="shared" si="126"/>
        <v>3953.6</v>
      </c>
      <c r="BE115" s="117">
        <f t="shared" si="126"/>
        <v>3953.6</v>
      </c>
      <c r="BF115" s="117">
        <f t="shared" si="126"/>
        <v>4953.6</v>
      </c>
      <c r="BG115" s="117">
        <f t="shared" si="126"/>
        <v>4953.6</v>
      </c>
      <c r="BH115" s="117">
        <f t="shared" si="126"/>
        <v>4953.6</v>
      </c>
      <c r="BI115" s="117">
        <f t="shared" si="126"/>
        <v>4953.6</v>
      </c>
      <c r="BJ115" s="117">
        <f t="shared" si="126"/>
        <v>4953.6</v>
      </c>
      <c r="BK115" s="117">
        <f t="shared" si="126"/>
        <v>4953.6</v>
      </c>
      <c r="BL115" s="117">
        <f t="shared" si="126"/>
        <v>5953.6</v>
      </c>
      <c r="BM115" s="117">
        <f t="shared" si="126"/>
        <v>5953.6</v>
      </c>
      <c r="BN115" s="117">
        <f t="shared" si="126"/>
        <v>5953.6</v>
      </c>
      <c r="BO115" s="117">
        <f t="shared" si="126"/>
        <v>5953.6</v>
      </c>
      <c r="BP115" s="117">
        <f t="shared" si="126"/>
        <v>5953.6</v>
      </c>
      <c r="BQ115" s="117">
        <f t="shared" si="126"/>
        <v>5953.6</v>
      </c>
      <c r="BR115" s="117">
        <f t="shared" si="126"/>
        <v>6953.6</v>
      </c>
      <c r="BS115" s="117">
        <f t="shared" si="126"/>
        <v>6953.6</v>
      </c>
      <c r="BT115" s="117">
        <f t="shared" si="126"/>
        <v>6953.6</v>
      </c>
      <c r="BU115" s="117">
        <f t="shared" si="126"/>
        <v>6953.6</v>
      </c>
      <c r="BV115" s="117">
        <f t="shared" si="126"/>
        <v>6953.6</v>
      </c>
      <c r="BW115" s="117">
        <f t="shared" si="126"/>
        <v>6953.6</v>
      </c>
      <c r="BX115" s="117">
        <f t="shared" si="126"/>
        <v>7953.6</v>
      </c>
      <c r="BY115" s="117">
        <f t="shared" si="126"/>
        <v>7953.6</v>
      </c>
      <c r="BZ115" s="117">
        <f t="shared" si="126"/>
        <v>7953.6</v>
      </c>
      <c r="CA115" s="117">
        <f t="shared" si="126"/>
        <v>7953.6</v>
      </c>
      <c r="CB115" s="117">
        <f t="shared" si="126"/>
        <v>7953.6</v>
      </c>
      <c r="CC115" s="117">
        <f t="shared" si="126"/>
        <v>7953.6</v>
      </c>
      <c r="CD115" s="117">
        <f t="shared" si="126"/>
        <v>8953.6</v>
      </c>
      <c r="CE115" s="117">
        <f t="shared" si="126"/>
        <v>8953.6</v>
      </c>
      <c r="CF115" s="117">
        <f t="shared" si="126"/>
        <v>8953.6</v>
      </c>
      <c r="CG115" s="117">
        <f t="shared" si="126"/>
        <v>8953.6</v>
      </c>
      <c r="CH115" s="117">
        <f t="shared" si="126"/>
        <v>8953.6</v>
      </c>
      <c r="CI115" s="117">
        <f t="shared" si="126"/>
        <v>8953.6</v>
      </c>
    </row>
    <row r="116" ht="15.75" customHeight="1" outlineLevel="1">
      <c r="A116" s="1" t="s">
        <v>278</v>
      </c>
      <c r="B116" s="91" t="s">
        <v>178</v>
      </c>
      <c r="C116" s="132" t="s">
        <v>242</v>
      </c>
      <c r="D116" s="117">
        <f t="shared" ref="D116:CI116" si="127">D153-SUMIFS(D$6:D$97,$C$6:$C$97,$C116)</f>
        <v>2358</v>
      </c>
      <c r="E116" s="117">
        <f t="shared" si="127"/>
        <v>1636</v>
      </c>
      <c r="F116" s="117">
        <f t="shared" si="127"/>
        <v>1911</v>
      </c>
      <c r="G116" s="117">
        <f t="shared" si="127"/>
        <v>2310</v>
      </c>
      <c r="H116" s="117">
        <f t="shared" si="127"/>
        <v>2024</v>
      </c>
      <c r="I116" s="117">
        <f t="shared" si="127"/>
        <v>2342</v>
      </c>
      <c r="J116" s="117">
        <f t="shared" si="127"/>
        <v>1169</v>
      </c>
      <c r="K116" s="117">
        <f t="shared" si="127"/>
        <v>1638</v>
      </c>
      <c r="L116" s="117">
        <f t="shared" si="127"/>
        <v>1899</v>
      </c>
      <c r="M116" s="117">
        <f t="shared" si="127"/>
        <v>1775</v>
      </c>
      <c r="N116" s="117">
        <f t="shared" si="127"/>
        <v>1483</v>
      </c>
      <c r="O116" s="117">
        <f t="shared" si="127"/>
        <v>2495</v>
      </c>
      <c r="P116" s="117">
        <f t="shared" si="127"/>
        <v>2466</v>
      </c>
      <c r="Q116" s="117">
        <f t="shared" si="127"/>
        <v>1655</v>
      </c>
      <c r="R116" s="117">
        <f t="shared" si="127"/>
        <v>1476</v>
      </c>
      <c r="S116" s="117">
        <f t="shared" si="127"/>
        <v>1462</v>
      </c>
      <c r="T116" s="117">
        <f t="shared" si="127"/>
        <v>1671</v>
      </c>
      <c r="U116" s="117">
        <f t="shared" si="127"/>
        <v>2146</v>
      </c>
      <c r="V116" s="117">
        <f t="shared" si="127"/>
        <v>1630</v>
      </c>
      <c r="W116" s="117">
        <f t="shared" si="127"/>
        <v>2202</v>
      </c>
      <c r="X116" s="117">
        <f t="shared" si="127"/>
        <v>1480</v>
      </c>
      <c r="Y116" s="117">
        <f t="shared" si="127"/>
        <v>2042</v>
      </c>
      <c r="Z116" s="117">
        <f t="shared" si="127"/>
        <v>2266</v>
      </c>
      <c r="AA116" s="117">
        <f t="shared" si="127"/>
        <v>306</v>
      </c>
      <c r="AB116" s="117">
        <f t="shared" si="127"/>
        <v>47.68</v>
      </c>
      <c r="AC116" s="117">
        <f t="shared" si="127"/>
        <v>47.68</v>
      </c>
      <c r="AD116" s="117">
        <f t="shared" si="127"/>
        <v>47.68</v>
      </c>
      <c r="AE116" s="117">
        <f t="shared" si="127"/>
        <v>47.68</v>
      </c>
      <c r="AF116" s="117">
        <f t="shared" si="127"/>
        <v>47.68</v>
      </c>
      <c r="AG116" s="117">
        <f t="shared" si="127"/>
        <v>47.68</v>
      </c>
      <c r="AH116" s="117">
        <f t="shared" si="127"/>
        <v>47.68</v>
      </c>
      <c r="AI116" s="117">
        <f t="shared" si="127"/>
        <v>47.68</v>
      </c>
      <c r="AJ116" s="117">
        <f t="shared" si="127"/>
        <v>47.68</v>
      </c>
      <c r="AK116" s="117">
        <f t="shared" si="127"/>
        <v>47.68</v>
      </c>
      <c r="AL116" s="117">
        <f t="shared" si="127"/>
        <v>47.68</v>
      </c>
      <c r="AM116" s="117">
        <f t="shared" si="127"/>
        <v>47.68</v>
      </c>
      <c r="AN116" s="117">
        <f t="shared" si="127"/>
        <v>97.68</v>
      </c>
      <c r="AO116" s="117">
        <f t="shared" si="127"/>
        <v>97.68</v>
      </c>
      <c r="AP116" s="117">
        <f t="shared" si="127"/>
        <v>97.68</v>
      </c>
      <c r="AQ116" s="117">
        <f t="shared" si="127"/>
        <v>97.68</v>
      </c>
      <c r="AR116" s="117">
        <f t="shared" si="127"/>
        <v>97.68</v>
      </c>
      <c r="AS116" s="117">
        <f t="shared" si="127"/>
        <v>97.68</v>
      </c>
      <c r="AT116" s="117">
        <f t="shared" si="127"/>
        <v>147.68</v>
      </c>
      <c r="AU116" s="117">
        <f t="shared" si="127"/>
        <v>147.68</v>
      </c>
      <c r="AV116" s="117">
        <f t="shared" si="127"/>
        <v>147.68</v>
      </c>
      <c r="AW116" s="117">
        <f t="shared" si="127"/>
        <v>147.68</v>
      </c>
      <c r="AX116" s="117">
        <f t="shared" si="127"/>
        <v>147.68</v>
      </c>
      <c r="AY116" s="117">
        <f t="shared" si="127"/>
        <v>147.68</v>
      </c>
      <c r="AZ116" s="117">
        <f t="shared" si="127"/>
        <v>197.68</v>
      </c>
      <c r="BA116" s="117">
        <f t="shared" si="127"/>
        <v>197.68</v>
      </c>
      <c r="BB116" s="117">
        <f t="shared" si="127"/>
        <v>197.68</v>
      </c>
      <c r="BC116" s="117">
        <f t="shared" si="127"/>
        <v>197.68</v>
      </c>
      <c r="BD116" s="117">
        <f t="shared" si="127"/>
        <v>197.68</v>
      </c>
      <c r="BE116" s="117">
        <f t="shared" si="127"/>
        <v>197.68</v>
      </c>
      <c r="BF116" s="117">
        <f t="shared" si="127"/>
        <v>247.68</v>
      </c>
      <c r="BG116" s="117">
        <f t="shared" si="127"/>
        <v>247.68</v>
      </c>
      <c r="BH116" s="117">
        <f t="shared" si="127"/>
        <v>247.68</v>
      </c>
      <c r="BI116" s="117">
        <f t="shared" si="127"/>
        <v>247.68</v>
      </c>
      <c r="BJ116" s="117">
        <f t="shared" si="127"/>
        <v>247.68</v>
      </c>
      <c r="BK116" s="117">
        <f t="shared" si="127"/>
        <v>247.68</v>
      </c>
      <c r="BL116" s="117">
        <f t="shared" si="127"/>
        <v>297.68</v>
      </c>
      <c r="BM116" s="117">
        <f t="shared" si="127"/>
        <v>297.68</v>
      </c>
      <c r="BN116" s="117">
        <f t="shared" si="127"/>
        <v>297.68</v>
      </c>
      <c r="BO116" s="117">
        <f t="shared" si="127"/>
        <v>297.68</v>
      </c>
      <c r="BP116" s="117">
        <f t="shared" si="127"/>
        <v>297.68</v>
      </c>
      <c r="BQ116" s="117">
        <f t="shared" si="127"/>
        <v>297.68</v>
      </c>
      <c r="BR116" s="117">
        <f t="shared" si="127"/>
        <v>347.68</v>
      </c>
      <c r="BS116" s="117">
        <f t="shared" si="127"/>
        <v>347.68</v>
      </c>
      <c r="BT116" s="117">
        <f t="shared" si="127"/>
        <v>347.68</v>
      </c>
      <c r="BU116" s="117">
        <f t="shared" si="127"/>
        <v>347.68</v>
      </c>
      <c r="BV116" s="117">
        <f t="shared" si="127"/>
        <v>347.68</v>
      </c>
      <c r="BW116" s="117">
        <f t="shared" si="127"/>
        <v>347.68</v>
      </c>
      <c r="BX116" s="117">
        <f t="shared" si="127"/>
        <v>397.68</v>
      </c>
      <c r="BY116" s="117">
        <f t="shared" si="127"/>
        <v>397.68</v>
      </c>
      <c r="BZ116" s="117">
        <f t="shared" si="127"/>
        <v>397.68</v>
      </c>
      <c r="CA116" s="117">
        <f t="shared" si="127"/>
        <v>397.68</v>
      </c>
      <c r="CB116" s="117">
        <f t="shared" si="127"/>
        <v>397.68</v>
      </c>
      <c r="CC116" s="117">
        <f t="shared" si="127"/>
        <v>397.68</v>
      </c>
      <c r="CD116" s="117">
        <f t="shared" si="127"/>
        <v>447.68</v>
      </c>
      <c r="CE116" s="117">
        <f t="shared" si="127"/>
        <v>447.68</v>
      </c>
      <c r="CF116" s="117">
        <f t="shared" si="127"/>
        <v>447.68</v>
      </c>
      <c r="CG116" s="117">
        <f t="shared" si="127"/>
        <v>447.68</v>
      </c>
      <c r="CH116" s="117">
        <f t="shared" si="127"/>
        <v>447.68</v>
      </c>
      <c r="CI116" s="117">
        <f t="shared" si="127"/>
        <v>447.68</v>
      </c>
    </row>
    <row r="117" ht="15.75" customHeight="1" outlineLevel="1">
      <c r="A117" s="1" t="s">
        <v>278</v>
      </c>
      <c r="B117" s="91" t="s">
        <v>70</v>
      </c>
      <c r="C117" s="132" t="s">
        <v>243</v>
      </c>
      <c r="D117" s="117">
        <f t="shared" ref="D117:CI117" si="128">D154-SUMIFS(D$6:D$97,$C$6:$C$97,$C117)</f>
        <v>-12623</v>
      </c>
      <c r="E117" s="117">
        <f t="shared" si="128"/>
        <v>-13366</v>
      </c>
      <c r="F117" s="117">
        <f t="shared" si="128"/>
        <v>-9251</v>
      </c>
      <c r="G117" s="117">
        <f t="shared" si="128"/>
        <v>-4777</v>
      </c>
      <c r="H117" s="117">
        <f t="shared" si="128"/>
        <v>-7436</v>
      </c>
      <c r="I117" s="117">
        <f t="shared" si="128"/>
        <v>-5811</v>
      </c>
      <c r="J117" s="117">
        <f t="shared" si="128"/>
        <v>-5277</v>
      </c>
      <c r="K117" s="117">
        <f t="shared" si="128"/>
        <v>-12919</v>
      </c>
      <c r="L117" s="117">
        <f t="shared" si="128"/>
        <v>-10235</v>
      </c>
      <c r="M117" s="117">
        <f t="shared" si="128"/>
        <v>-7704</v>
      </c>
      <c r="N117" s="117">
        <f t="shared" si="128"/>
        <v>-4873</v>
      </c>
      <c r="O117" s="117">
        <f t="shared" si="128"/>
        <v>-6558</v>
      </c>
      <c r="P117" s="117">
        <f t="shared" si="128"/>
        <v>-12628</v>
      </c>
      <c r="Q117" s="117">
        <f t="shared" si="128"/>
        <v>-7248</v>
      </c>
      <c r="R117" s="117">
        <f t="shared" si="128"/>
        <v>-6360</v>
      </c>
      <c r="S117" s="117">
        <f t="shared" si="128"/>
        <v>-5887</v>
      </c>
      <c r="T117" s="117">
        <f t="shared" si="128"/>
        <v>-8016</v>
      </c>
      <c r="U117" s="117">
        <f t="shared" si="128"/>
        <v>-6992</v>
      </c>
      <c r="V117" s="117">
        <f t="shared" si="128"/>
        <v>-14764</v>
      </c>
      <c r="W117" s="117">
        <f t="shared" si="128"/>
        <v>-5618</v>
      </c>
      <c r="X117" s="117">
        <f t="shared" si="128"/>
        <v>-12623</v>
      </c>
      <c r="Y117" s="117">
        <f t="shared" si="128"/>
        <v>-8815</v>
      </c>
      <c r="Z117" s="117">
        <f t="shared" si="128"/>
        <v>-8887</v>
      </c>
      <c r="AA117" s="117">
        <f t="shared" si="128"/>
        <v>1197.216</v>
      </c>
      <c r="AB117" s="117">
        <f t="shared" si="128"/>
        <v>2637.216</v>
      </c>
      <c r="AC117" s="117">
        <f t="shared" si="128"/>
        <v>2637.216</v>
      </c>
      <c r="AD117" s="117">
        <f t="shared" si="128"/>
        <v>2637.216</v>
      </c>
      <c r="AE117" s="117">
        <f t="shared" si="128"/>
        <v>2637.216</v>
      </c>
      <c r="AF117" s="117">
        <f t="shared" si="128"/>
        <v>4077.216</v>
      </c>
      <c r="AG117" s="117">
        <f t="shared" si="128"/>
        <v>4077.216</v>
      </c>
      <c r="AH117" s="117">
        <f t="shared" si="128"/>
        <v>4077.216</v>
      </c>
      <c r="AI117" s="117">
        <f t="shared" si="128"/>
        <v>4077.216</v>
      </c>
      <c r="AJ117" s="117">
        <f t="shared" si="128"/>
        <v>5517.216</v>
      </c>
      <c r="AK117" s="117">
        <f t="shared" si="128"/>
        <v>5517.216</v>
      </c>
      <c r="AL117" s="117">
        <f t="shared" si="128"/>
        <v>5517.216</v>
      </c>
      <c r="AM117" s="117">
        <f t="shared" si="128"/>
        <v>5517.216</v>
      </c>
      <c r="AN117" s="117">
        <f t="shared" si="128"/>
        <v>5517.216</v>
      </c>
      <c r="AO117" s="117">
        <f t="shared" si="128"/>
        <v>5517.216</v>
      </c>
      <c r="AP117" s="117">
        <f t="shared" si="128"/>
        <v>5517.216</v>
      </c>
      <c r="AQ117" s="117">
        <f t="shared" si="128"/>
        <v>5517.216</v>
      </c>
      <c r="AR117" s="117">
        <f t="shared" si="128"/>
        <v>5517.216</v>
      </c>
      <c r="AS117" s="117">
        <f t="shared" si="128"/>
        <v>5517.216</v>
      </c>
      <c r="AT117" s="117">
        <f t="shared" si="128"/>
        <v>5517.216</v>
      </c>
      <c r="AU117" s="117">
        <f t="shared" si="128"/>
        <v>5517.216</v>
      </c>
      <c r="AV117" s="117">
        <f t="shared" si="128"/>
        <v>6669.216</v>
      </c>
      <c r="AW117" s="117">
        <f t="shared" si="128"/>
        <v>6669.216</v>
      </c>
      <c r="AX117" s="117">
        <f t="shared" si="128"/>
        <v>6669.216</v>
      </c>
      <c r="AY117" s="117">
        <f t="shared" si="128"/>
        <v>6669.216</v>
      </c>
      <c r="AZ117" s="117">
        <f t="shared" si="128"/>
        <v>9549.216</v>
      </c>
      <c r="BA117" s="117">
        <f t="shared" si="128"/>
        <v>9549.216</v>
      </c>
      <c r="BB117" s="117">
        <f t="shared" si="128"/>
        <v>9549.216</v>
      </c>
      <c r="BC117" s="117">
        <f t="shared" si="128"/>
        <v>9549.216</v>
      </c>
      <c r="BD117" s="117">
        <f t="shared" si="128"/>
        <v>12429.216</v>
      </c>
      <c r="BE117" s="117">
        <f t="shared" si="128"/>
        <v>12429.216</v>
      </c>
      <c r="BF117" s="117">
        <f t="shared" si="128"/>
        <v>12429.216</v>
      </c>
      <c r="BG117" s="117">
        <f t="shared" si="128"/>
        <v>12429.216</v>
      </c>
      <c r="BH117" s="117">
        <f t="shared" si="128"/>
        <v>15309.216</v>
      </c>
      <c r="BI117" s="117">
        <f t="shared" si="128"/>
        <v>15309.216</v>
      </c>
      <c r="BJ117" s="117">
        <f t="shared" si="128"/>
        <v>15309.216</v>
      </c>
      <c r="BK117" s="117">
        <f t="shared" si="128"/>
        <v>15309.216</v>
      </c>
      <c r="BL117" s="117">
        <f t="shared" si="128"/>
        <v>15366.816</v>
      </c>
      <c r="BM117" s="117">
        <f t="shared" si="128"/>
        <v>15366.816</v>
      </c>
      <c r="BN117" s="117">
        <f t="shared" si="128"/>
        <v>15366.816</v>
      </c>
      <c r="BO117" s="117">
        <f t="shared" si="128"/>
        <v>15366.816</v>
      </c>
      <c r="BP117" s="117">
        <f t="shared" si="128"/>
        <v>15424.416</v>
      </c>
      <c r="BQ117" s="117">
        <f t="shared" si="128"/>
        <v>15424.416</v>
      </c>
      <c r="BR117" s="117">
        <f t="shared" si="128"/>
        <v>15424.416</v>
      </c>
      <c r="BS117" s="117">
        <f t="shared" si="128"/>
        <v>15424.416</v>
      </c>
      <c r="BT117" s="117">
        <f t="shared" si="128"/>
        <v>15482.016</v>
      </c>
      <c r="BU117" s="117">
        <f t="shared" si="128"/>
        <v>15482.016</v>
      </c>
      <c r="BV117" s="117">
        <f t="shared" si="128"/>
        <v>15482.016</v>
      </c>
      <c r="BW117" s="117">
        <f t="shared" si="128"/>
        <v>15482.016</v>
      </c>
      <c r="BX117" s="117">
        <f t="shared" si="128"/>
        <v>15539.616</v>
      </c>
      <c r="BY117" s="117">
        <f t="shared" si="128"/>
        <v>15539.616</v>
      </c>
      <c r="BZ117" s="117">
        <f t="shared" si="128"/>
        <v>15539.616</v>
      </c>
      <c r="CA117" s="117">
        <f t="shared" si="128"/>
        <v>15539.616</v>
      </c>
      <c r="CB117" s="117">
        <f t="shared" si="128"/>
        <v>15597.216</v>
      </c>
      <c r="CC117" s="117">
        <f t="shared" si="128"/>
        <v>15597.216</v>
      </c>
      <c r="CD117" s="117">
        <f t="shared" si="128"/>
        <v>15597.216</v>
      </c>
      <c r="CE117" s="117">
        <f t="shared" si="128"/>
        <v>15597.216</v>
      </c>
      <c r="CF117" s="117">
        <f t="shared" si="128"/>
        <v>16317.216</v>
      </c>
      <c r="CG117" s="117">
        <f t="shared" si="128"/>
        <v>16317.216</v>
      </c>
      <c r="CH117" s="117">
        <f t="shared" si="128"/>
        <v>16317.216</v>
      </c>
      <c r="CI117" s="117">
        <f t="shared" si="128"/>
        <v>16317.216</v>
      </c>
    </row>
    <row r="118" ht="15.75" customHeight="1" outlineLevel="1">
      <c r="A118" s="1" t="s">
        <v>278</v>
      </c>
      <c r="B118" s="91" t="s">
        <v>120</v>
      </c>
      <c r="C118" s="132" t="s">
        <v>244</v>
      </c>
      <c r="D118" s="117">
        <f t="shared" ref="D118:CI118" si="129">D155-SUMIFS(D$6:D$97,$C$6:$C$97,$C118)</f>
        <v>-4373</v>
      </c>
      <c r="E118" s="117">
        <f t="shared" si="129"/>
        <v>-4344</v>
      </c>
      <c r="F118" s="117">
        <f t="shared" si="129"/>
        <v>-523</v>
      </c>
      <c r="G118" s="117">
        <f t="shared" si="129"/>
        <v>-6468</v>
      </c>
      <c r="H118" s="117">
        <f t="shared" si="129"/>
        <v>-1865</v>
      </c>
      <c r="I118" s="117">
        <f t="shared" si="129"/>
        <v>-3335</v>
      </c>
      <c r="J118" s="117">
        <f t="shared" si="129"/>
        <v>-2945</v>
      </c>
      <c r="K118" s="117">
        <f t="shared" si="129"/>
        <v>-1798</v>
      </c>
      <c r="L118" s="117">
        <f t="shared" si="129"/>
        <v>-1350</v>
      </c>
      <c r="M118" s="117">
        <f t="shared" si="129"/>
        <v>-3144</v>
      </c>
      <c r="N118" s="117">
        <f t="shared" si="129"/>
        <v>-3919</v>
      </c>
      <c r="O118" s="117">
        <f t="shared" si="129"/>
        <v>-6440</v>
      </c>
      <c r="P118" s="117">
        <f t="shared" si="129"/>
        <v>-4441</v>
      </c>
      <c r="Q118" s="117">
        <f t="shared" si="129"/>
        <v>-6320</v>
      </c>
      <c r="R118" s="117">
        <f t="shared" si="129"/>
        <v>-4197</v>
      </c>
      <c r="S118" s="117">
        <f t="shared" si="129"/>
        <v>-5071</v>
      </c>
      <c r="T118" s="117">
        <f t="shared" si="129"/>
        <v>-143</v>
      </c>
      <c r="U118" s="117">
        <f t="shared" si="129"/>
        <v>-4396</v>
      </c>
      <c r="V118" s="117">
        <f t="shared" si="129"/>
        <v>-4978</v>
      </c>
      <c r="W118" s="117">
        <f t="shared" si="129"/>
        <v>-5172</v>
      </c>
      <c r="X118" s="117">
        <f t="shared" si="129"/>
        <v>-3355</v>
      </c>
      <c r="Y118" s="117">
        <f t="shared" si="129"/>
        <v>-738</v>
      </c>
      <c r="Z118" s="117">
        <f t="shared" si="129"/>
        <v>-1338</v>
      </c>
      <c r="AA118" s="117">
        <f t="shared" si="129"/>
        <v>-154134.1465</v>
      </c>
      <c r="AB118" s="117">
        <f t="shared" si="129"/>
        <v>-259852.0975</v>
      </c>
      <c r="AC118" s="117">
        <f t="shared" si="129"/>
        <v>-265714.0975</v>
      </c>
      <c r="AD118" s="117">
        <f t="shared" si="129"/>
        <v>-265714.0975</v>
      </c>
      <c r="AE118" s="117">
        <f t="shared" si="129"/>
        <v>-265714.0975</v>
      </c>
      <c r="AF118" s="117">
        <f t="shared" si="129"/>
        <v>-265714.0975</v>
      </c>
      <c r="AG118" s="117">
        <f t="shared" si="129"/>
        <v>-265714.0975</v>
      </c>
      <c r="AH118" s="117">
        <f t="shared" si="129"/>
        <v>-265714.0975</v>
      </c>
      <c r="AI118" s="117">
        <f t="shared" si="129"/>
        <v>-268059.0975</v>
      </c>
      <c r="AJ118" s="117">
        <f t="shared" si="129"/>
        <v>-265714.0975</v>
      </c>
      <c r="AK118" s="117">
        <f t="shared" si="129"/>
        <v>-265714.0975</v>
      </c>
      <c r="AL118" s="117">
        <f t="shared" si="129"/>
        <v>-265714.0975</v>
      </c>
      <c r="AM118" s="117">
        <f t="shared" si="129"/>
        <v>-255163.0975</v>
      </c>
      <c r="AN118" s="117">
        <f t="shared" si="129"/>
        <v>-257714.7285</v>
      </c>
      <c r="AO118" s="117">
        <f t="shared" si="129"/>
        <v>-260291.8758</v>
      </c>
      <c r="AP118" s="117">
        <f t="shared" si="129"/>
        <v>-262894.7945</v>
      </c>
      <c r="AQ118" s="117">
        <f t="shared" si="129"/>
        <v>-265523.7425</v>
      </c>
      <c r="AR118" s="117">
        <f t="shared" si="129"/>
        <v>-268178.9799</v>
      </c>
      <c r="AS118" s="117">
        <f t="shared" si="129"/>
        <v>-270860.7697</v>
      </c>
      <c r="AT118" s="117">
        <f t="shared" si="129"/>
        <v>-273569.3774</v>
      </c>
      <c r="AU118" s="117">
        <f t="shared" si="129"/>
        <v>-276305.0711</v>
      </c>
      <c r="AV118" s="117">
        <f t="shared" si="129"/>
        <v>-279068.1219</v>
      </c>
      <c r="AW118" s="117">
        <f t="shared" si="129"/>
        <v>-281858.8031</v>
      </c>
      <c r="AX118" s="117">
        <f t="shared" si="129"/>
        <v>-284677.3912</v>
      </c>
      <c r="AY118" s="117">
        <f t="shared" si="129"/>
        <v>-287524.1651</v>
      </c>
      <c r="AZ118" s="117">
        <f t="shared" si="129"/>
        <v>-290399.4066</v>
      </c>
      <c r="BA118" s="117">
        <f t="shared" si="129"/>
        <v>-293303.4007</v>
      </c>
      <c r="BB118" s="117">
        <f t="shared" si="129"/>
        <v>-296236.4347</v>
      </c>
      <c r="BC118" s="117">
        <f t="shared" si="129"/>
        <v>-299198.7991</v>
      </c>
      <c r="BD118" s="117">
        <f t="shared" si="129"/>
        <v>-302190.7871</v>
      </c>
      <c r="BE118" s="117">
        <f t="shared" si="129"/>
        <v>-305212.695</v>
      </c>
      <c r="BF118" s="117">
        <f t="shared" si="129"/>
        <v>-308264.8219</v>
      </c>
      <c r="BG118" s="117">
        <f t="shared" si="129"/>
        <v>-311347.4701</v>
      </c>
      <c r="BH118" s="117">
        <f t="shared" si="129"/>
        <v>-314460.9449</v>
      </c>
      <c r="BI118" s="117">
        <f t="shared" si="129"/>
        <v>-317605.5543</v>
      </c>
      <c r="BJ118" s="117">
        <f t="shared" si="129"/>
        <v>-320781.6098</v>
      </c>
      <c r="BK118" s="117">
        <f t="shared" si="129"/>
        <v>-323989.4259</v>
      </c>
      <c r="BL118" s="117">
        <f t="shared" si="129"/>
        <v>-327229.3202</v>
      </c>
      <c r="BM118" s="117">
        <f t="shared" si="129"/>
        <v>-330501.6133</v>
      </c>
      <c r="BN118" s="117">
        <f t="shared" si="129"/>
        <v>-333806.6295</v>
      </c>
      <c r="BO118" s="117">
        <f t="shared" si="129"/>
        <v>-337144.6958</v>
      </c>
      <c r="BP118" s="117">
        <f t="shared" si="129"/>
        <v>-340516.1427</v>
      </c>
      <c r="BQ118" s="117">
        <f t="shared" si="129"/>
        <v>-343921.3042</v>
      </c>
      <c r="BR118" s="117">
        <f t="shared" si="129"/>
        <v>-347360.5173</v>
      </c>
      <c r="BS118" s="117">
        <f t="shared" si="129"/>
        <v>-350834.1224</v>
      </c>
      <c r="BT118" s="117">
        <f t="shared" si="129"/>
        <v>-354342.4637</v>
      </c>
      <c r="BU118" s="117">
        <f t="shared" si="129"/>
        <v>-357885.8883</v>
      </c>
      <c r="BV118" s="117">
        <f t="shared" si="129"/>
        <v>-361464.7471</v>
      </c>
      <c r="BW118" s="117">
        <f t="shared" si="129"/>
        <v>-365079.3946</v>
      </c>
      <c r="BX118" s="117">
        <f t="shared" si="129"/>
        <v>-368730.1886</v>
      </c>
      <c r="BY118" s="117">
        <f t="shared" si="129"/>
        <v>-372417.4905</v>
      </c>
      <c r="BZ118" s="117">
        <f t="shared" si="129"/>
        <v>-376141.6653</v>
      </c>
      <c r="CA118" s="117">
        <f t="shared" si="129"/>
        <v>-379903.082</v>
      </c>
      <c r="CB118" s="117">
        <f t="shared" si="129"/>
        <v>-383702.1128</v>
      </c>
      <c r="CC118" s="117">
        <f t="shared" si="129"/>
        <v>-387539.1339</v>
      </c>
      <c r="CD118" s="117">
        <f t="shared" si="129"/>
        <v>-391414.5253</v>
      </c>
      <c r="CE118" s="117">
        <f t="shared" si="129"/>
        <v>-395328.6705</v>
      </c>
      <c r="CF118" s="117">
        <f t="shared" si="129"/>
        <v>-399281.9573</v>
      </c>
      <c r="CG118" s="117">
        <f t="shared" si="129"/>
        <v>-403274.7769</v>
      </c>
      <c r="CH118" s="117">
        <f t="shared" si="129"/>
        <v>-407307.5246</v>
      </c>
      <c r="CI118" s="117">
        <f t="shared" si="129"/>
        <v>-411380.5999</v>
      </c>
    </row>
    <row r="119" ht="15.75" customHeight="1" outlineLevel="1">
      <c r="A119" s="1" t="s">
        <v>278</v>
      </c>
      <c r="B119" s="91" t="s">
        <v>120</v>
      </c>
      <c r="C119" s="132" t="s">
        <v>245</v>
      </c>
      <c r="D119" s="117">
        <f t="shared" ref="D119:CI119" si="130">D156-SUMIFS(D$6:D$97,$C$6:$C$97,$C119)</f>
        <v>-645</v>
      </c>
      <c r="E119" s="117">
        <f t="shared" si="130"/>
        <v>-2224</v>
      </c>
      <c r="F119" s="117">
        <f t="shared" si="130"/>
        <v>-265</v>
      </c>
      <c r="G119" s="117">
        <f t="shared" si="130"/>
        <v>-261</v>
      </c>
      <c r="H119" s="117">
        <f t="shared" si="130"/>
        <v>-137</v>
      </c>
      <c r="I119" s="117">
        <f t="shared" si="130"/>
        <v>-4186</v>
      </c>
      <c r="J119" s="117">
        <f t="shared" si="130"/>
        <v>-4277</v>
      </c>
      <c r="K119" s="117">
        <f t="shared" si="130"/>
        <v>-1624</v>
      </c>
      <c r="L119" s="117">
        <f t="shared" si="130"/>
        <v>-2402</v>
      </c>
      <c r="M119" s="117">
        <f t="shared" si="130"/>
        <v>-2884</v>
      </c>
      <c r="N119" s="117">
        <f t="shared" si="130"/>
        <v>-2104</v>
      </c>
      <c r="O119" s="117">
        <f t="shared" si="130"/>
        <v>-1415</v>
      </c>
      <c r="P119" s="117">
        <f t="shared" si="130"/>
        <v>1345</v>
      </c>
      <c r="Q119" s="117">
        <f t="shared" si="130"/>
        <v>-1379</v>
      </c>
      <c r="R119" s="117">
        <f t="shared" si="130"/>
        <v>226</v>
      </c>
      <c r="S119" s="117">
        <f t="shared" si="130"/>
        <v>614</v>
      </c>
      <c r="T119" s="117">
        <f t="shared" si="130"/>
        <v>-1961</v>
      </c>
      <c r="U119" s="117">
        <f t="shared" si="130"/>
        <v>-3327</v>
      </c>
      <c r="V119" s="117">
        <f t="shared" si="130"/>
        <v>938</v>
      </c>
      <c r="W119" s="117">
        <f t="shared" si="130"/>
        <v>529</v>
      </c>
      <c r="X119" s="117">
        <f t="shared" si="130"/>
        <v>1778</v>
      </c>
      <c r="Y119" s="117">
        <f t="shared" si="130"/>
        <v>660</v>
      </c>
      <c r="Z119" s="117">
        <f t="shared" si="130"/>
        <v>-1148</v>
      </c>
      <c r="AA119" s="117">
        <f t="shared" si="130"/>
        <v>2258</v>
      </c>
      <c r="AB119" s="117">
        <f t="shared" si="130"/>
        <v>2370.9</v>
      </c>
      <c r="AC119" s="117">
        <f t="shared" si="130"/>
        <v>2370.9</v>
      </c>
      <c r="AD119" s="117">
        <f t="shared" si="130"/>
        <v>2370.9</v>
      </c>
      <c r="AE119" s="117">
        <f t="shared" si="130"/>
        <v>2370.9</v>
      </c>
      <c r="AF119" s="117">
        <f t="shared" si="130"/>
        <v>2370.9</v>
      </c>
      <c r="AG119" s="117">
        <f t="shared" si="130"/>
        <v>2370.9</v>
      </c>
      <c r="AH119" s="117">
        <f t="shared" si="130"/>
        <v>2382.7545</v>
      </c>
      <c r="AI119" s="117">
        <f t="shared" si="130"/>
        <v>2394.668273</v>
      </c>
      <c r="AJ119" s="117">
        <f t="shared" si="130"/>
        <v>2406.641614</v>
      </c>
      <c r="AK119" s="117">
        <f t="shared" si="130"/>
        <v>2418.674822</v>
      </c>
      <c r="AL119" s="117">
        <f t="shared" si="130"/>
        <v>2430.768196</v>
      </c>
      <c r="AM119" s="117">
        <f t="shared" si="130"/>
        <v>2442.922037</v>
      </c>
      <c r="AN119" s="117">
        <f t="shared" si="130"/>
        <v>2455.136647</v>
      </c>
      <c r="AO119" s="117">
        <f t="shared" si="130"/>
        <v>2467.41233</v>
      </c>
      <c r="AP119" s="117">
        <f t="shared" si="130"/>
        <v>2479.749392</v>
      </c>
      <c r="AQ119" s="117">
        <f t="shared" si="130"/>
        <v>2492.148139</v>
      </c>
      <c r="AR119" s="117">
        <f t="shared" si="130"/>
        <v>2504.60888</v>
      </c>
      <c r="AS119" s="117">
        <f t="shared" si="130"/>
        <v>2517.131924</v>
      </c>
      <c r="AT119" s="117">
        <f t="shared" si="130"/>
        <v>2529.717584</v>
      </c>
      <c r="AU119" s="117">
        <f t="shared" si="130"/>
        <v>2542.366172</v>
      </c>
      <c r="AV119" s="117">
        <f t="shared" si="130"/>
        <v>2555.078003</v>
      </c>
      <c r="AW119" s="117">
        <f t="shared" si="130"/>
        <v>2567.853393</v>
      </c>
      <c r="AX119" s="117">
        <f t="shared" si="130"/>
        <v>2580.69266</v>
      </c>
      <c r="AY119" s="117">
        <f t="shared" si="130"/>
        <v>2593.596123</v>
      </c>
      <c r="AZ119" s="117">
        <f t="shared" si="130"/>
        <v>2606.564103</v>
      </c>
      <c r="BA119" s="117">
        <f t="shared" si="130"/>
        <v>2619.596924</v>
      </c>
      <c r="BB119" s="117">
        <f t="shared" si="130"/>
        <v>2632.694909</v>
      </c>
      <c r="BC119" s="117">
        <f t="shared" si="130"/>
        <v>2645.858383</v>
      </c>
      <c r="BD119" s="117">
        <f t="shared" si="130"/>
        <v>2659.087675</v>
      </c>
      <c r="BE119" s="117">
        <f t="shared" si="130"/>
        <v>2672.383113</v>
      </c>
      <c r="BF119" s="117">
        <f t="shared" si="130"/>
        <v>2685.745029</v>
      </c>
      <c r="BG119" s="117">
        <f t="shared" si="130"/>
        <v>2699.173754</v>
      </c>
      <c r="BH119" s="117">
        <f t="shared" si="130"/>
        <v>2712.669623</v>
      </c>
      <c r="BI119" s="117">
        <f t="shared" si="130"/>
        <v>2726.232971</v>
      </c>
      <c r="BJ119" s="117">
        <f t="shared" si="130"/>
        <v>2739.864136</v>
      </c>
      <c r="BK119" s="117">
        <f t="shared" si="130"/>
        <v>2753.563457</v>
      </c>
      <c r="BL119" s="117">
        <f t="shared" si="130"/>
        <v>2767.331274</v>
      </c>
      <c r="BM119" s="117">
        <f t="shared" si="130"/>
        <v>2781.16793</v>
      </c>
      <c r="BN119" s="117">
        <f t="shared" si="130"/>
        <v>2795.07377</v>
      </c>
      <c r="BO119" s="117">
        <f t="shared" si="130"/>
        <v>2809.049139</v>
      </c>
      <c r="BP119" s="117">
        <f t="shared" si="130"/>
        <v>2823.094384</v>
      </c>
      <c r="BQ119" s="117">
        <f t="shared" si="130"/>
        <v>2837.209856</v>
      </c>
      <c r="BR119" s="117">
        <f t="shared" si="130"/>
        <v>2851.395906</v>
      </c>
      <c r="BS119" s="117">
        <f t="shared" si="130"/>
        <v>2865.652885</v>
      </c>
      <c r="BT119" s="117">
        <f t="shared" si="130"/>
        <v>2879.98115</v>
      </c>
      <c r="BU119" s="117">
        <f t="shared" si="130"/>
        <v>2894.381055</v>
      </c>
      <c r="BV119" s="117">
        <f t="shared" si="130"/>
        <v>2908.852961</v>
      </c>
      <c r="BW119" s="117">
        <f t="shared" si="130"/>
        <v>2923.397225</v>
      </c>
      <c r="BX119" s="117">
        <f t="shared" si="130"/>
        <v>2938.014211</v>
      </c>
      <c r="BY119" s="117">
        <f t="shared" si="130"/>
        <v>2952.704283</v>
      </c>
      <c r="BZ119" s="117">
        <f t="shared" si="130"/>
        <v>2967.467804</v>
      </c>
      <c r="CA119" s="117">
        <f t="shared" si="130"/>
        <v>2982.305143</v>
      </c>
      <c r="CB119" s="117">
        <f t="shared" si="130"/>
        <v>2997.216669</v>
      </c>
      <c r="CC119" s="117">
        <f t="shared" si="130"/>
        <v>3012.202752</v>
      </c>
      <c r="CD119" s="117">
        <f t="shared" si="130"/>
        <v>3027.263766</v>
      </c>
      <c r="CE119" s="117">
        <f t="shared" si="130"/>
        <v>3042.400085</v>
      </c>
      <c r="CF119" s="117">
        <f t="shared" si="130"/>
        <v>3057.612085</v>
      </c>
      <c r="CG119" s="117">
        <f t="shared" si="130"/>
        <v>3072.900145</v>
      </c>
      <c r="CH119" s="117">
        <f t="shared" si="130"/>
        <v>3088.264646</v>
      </c>
      <c r="CI119" s="117">
        <f t="shared" si="130"/>
        <v>3103.705969</v>
      </c>
    </row>
    <row r="120" ht="15.75" customHeight="1" outlineLevel="1">
      <c r="A120" s="1" t="s">
        <v>278</v>
      </c>
      <c r="B120" s="91" t="s">
        <v>120</v>
      </c>
      <c r="C120" s="132" t="s">
        <v>246</v>
      </c>
      <c r="D120" s="117">
        <f t="shared" ref="D120:CI120" si="131">D157-SUMIFS(D$6:D$97,$C$6:$C$97,$C120)</f>
        <v>-2006</v>
      </c>
      <c r="E120" s="117">
        <f t="shared" si="131"/>
        <v>-5290</v>
      </c>
      <c r="F120" s="117">
        <f t="shared" si="131"/>
        <v>-4710</v>
      </c>
      <c r="G120" s="117">
        <f t="shared" si="131"/>
        <v>-5151</v>
      </c>
      <c r="H120" s="117">
        <f t="shared" si="131"/>
        <v>-202</v>
      </c>
      <c r="I120" s="117">
        <f t="shared" si="131"/>
        <v>-3772</v>
      </c>
      <c r="J120" s="117">
        <f t="shared" si="131"/>
        <v>-1688</v>
      </c>
      <c r="K120" s="117">
        <f t="shared" si="131"/>
        <v>403</v>
      </c>
      <c r="L120" s="117">
        <f t="shared" si="131"/>
        <v>-5420</v>
      </c>
      <c r="M120" s="117">
        <f t="shared" si="131"/>
        <v>-6524</v>
      </c>
      <c r="N120" s="117">
        <f t="shared" si="131"/>
        <v>-5761</v>
      </c>
      <c r="O120" s="117">
        <f t="shared" si="131"/>
        <v>-4420</v>
      </c>
      <c r="P120" s="117">
        <f t="shared" si="131"/>
        <v>-6676</v>
      </c>
      <c r="Q120" s="117">
        <f t="shared" si="131"/>
        <v>-5331</v>
      </c>
      <c r="R120" s="117">
        <f t="shared" si="131"/>
        <v>-4108</v>
      </c>
      <c r="S120" s="117">
        <f t="shared" si="131"/>
        <v>-1861</v>
      </c>
      <c r="T120" s="117">
        <f t="shared" si="131"/>
        <v>568</v>
      </c>
      <c r="U120" s="117">
        <f t="shared" si="131"/>
        <v>-3922</v>
      </c>
      <c r="V120" s="117">
        <f t="shared" si="131"/>
        <v>-4170</v>
      </c>
      <c r="W120" s="117">
        <f t="shared" si="131"/>
        <v>-1140</v>
      </c>
      <c r="X120" s="117">
        <f t="shared" si="131"/>
        <v>-2704</v>
      </c>
      <c r="Y120" s="117">
        <f t="shared" si="131"/>
        <v>-5699</v>
      </c>
      <c r="Z120" s="117">
        <f t="shared" si="131"/>
        <v>-3588</v>
      </c>
      <c r="AA120" s="117">
        <f t="shared" si="131"/>
        <v>0</v>
      </c>
      <c r="AB120" s="117">
        <f t="shared" si="131"/>
        <v>0</v>
      </c>
      <c r="AC120" s="117">
        <f t="shared" si="131"/>
        <v>0</v>
      </c>
      <c r="AD120" s="117">
        <f t="shared" si="131"/>
        <v>0</v>
      </c>
      <c r="AE120" s="117">
        <f t="shared" si="131"/>
        <v>0</v>
      </c>
      <c r="AF120" s="117">
        <f t="shared" si="131"/>
        <v>0</v>
      </c>
      <c r="AG120" s="117">
        <f t="shared" si="131"/>
        <v>0</v>
      </c>
      <c r="AH120" s="117">
        <f t="shared" si="131"/>
        <v>0</v>
      </c>
      <c r="AI120" s="117">
        <f t="shared" si="131"/>
        <v>0</v>
      </c>
      <c r="AJ120" s="117">
        <f t="shared" si="131"/>
        <v>0</v>
      </c>
      <c r="AK120" s="117">
        <f t="shared" si="131"/>
        <v>0</v>
      </c>
      <c r="AL120" s="117">
        <f t="shared" si="131"/>
        <v>0</v>
      </c>
      <c r="AM120" s="117">
        <f t="shared" si="131"/>
        <v>0</v>
      </c>
      <c r="AN120" s="117">
        <f t="shared" si="131"/>
        <v>0</v>
      </c>
      <c r="AO120" s="117">
        <f t="shared" si="131"/>
        <v>0</v>
      </c>
      <c r="AP120" s="117">
        <f t="shared" si="131"/>
        <v>0</v>
      </c>
      <c r="AQ120" s="117">
        <f t="shared" si="131"/>
        <v>0</v>
      </c>
      <c r="AR120" s="117">
        <f t="shared" si="131"/>
        <v>0</v>
      </c>
      <c r="AS120" s="117">
        <f t="shared" si="131"/>
        <v>0</v>
      </c>
      <c r="AT120" s="117">
        <f t="shared" si="131"/>
        <v>0</v>
      </c>
      <c r="AU120" s="117">
        <f t="shared" si="131"/>
        <v>0</v>
      </c>
      <c r="AV120" s="117">
        <f t="shared" si="131"/>
        <v>0</v>
      </c>
      <c r="AW120" s="117">
        <f t="shared" si="131"/>
        <v>0</v>
      </c>
      <c r="AX120" s="117">
        <f t="shared" si="131"/>
        <v>0</v>
      </c>
      <c r="AY120" s="117">
        <f t="shared" si="131"/>
        <v>0</v>
      </c>
      <c r="AZ120" s="117">
        <f t="shared" si="131"/>
        <v>0</v>
      </c>
      <c r="BA120" s="117">
        <f t="shared" si="131"/>
        <v>0</v>
      </c>
      <c r="BB120" s="117">
        <f t="shared" si="131"/>
        <v>0</v>
      </c>
      <c r="BC120" s="117">
        <f t="shared" si="131"/>
        <v>0</v>
      </c>
      <c r="BD120" s="117">
        <f t="shared" si="131"/>
        <v>0</v>
      </c>
      <c r="BE120" s="117">
        <f t="shared" si="131"/>
        <v>0</v>
      </c>
      <c r="BF120" s="117">
        <f t="shared" si="131"/>
        <v>0</v>
      </c>
      <c r="BG120" s="117">
        <f t="shared" si="131"/>
        <v>0</v>
      </c>
      <c r="BH120" s="117">
        <f t="shared" si="131"/>
        <v>0</v>
      </c>
      <c r="BI120" s="117">
        <f t="shared" si="131"/>
        <v>0</v>
      </c>
      <c r="BJ120" s="117">
        <f t="shared" si="131"/>
        <v>0</v>
      </c>
      <c r="BK120" s="117">
        <f t="shared" si="131"/>
        <v>0</v>
      </c>
      <c r="BL120" s="117">
        <f t="shared" si="131"/>
        <v>0</v>
      </c>
      <c r="BM120" s="117">
        <f t="shared" si="131"/>
        <v>0</v>
      </c>
      <c r="BN120" s="117">
        <f t="shared" si="131"/>
        <v>0</v>
      </c>
      <c r="BO120" s="117">
        <f t="shared" si="131"/>
        <v>0</v>
      </c>
      <c r="BP120" s="117">
        <f t="shared" si="131"/>
        <v>0</v>
      </c>
      <c r="BQ120" s="117">
        <f t="shared" si="131"/>
        <v>0</v>
      </c>
      <c r="BR120" s="117">
        <f t="shared" si="131"/>
        <v>0</v>
      </c>
      <c r="BS120" s="117">
        <f t="shared" si="131"/>
        <v>0</v>
      </c>
      <c r="BT120" s="117">
        <f t="shared" si="131"/>
        <v>0</v>
      </c>
      <c r="BU120" s="117">
        <f t="shared" si="131"/>
        <v>0</v>
      </c>
      <c r="BV120" s="117">
        <f t="shared" si="131"/>
        <v>0</v>
      </c>
      <c r="BW120" s="117">
        <f t="shared" si="131"/>
        <v>0</v>
      </c>
      <c r="BX120" s="117">
        <f t="shared" si="131"/>
        <v>0</v>
      </c>
      <c r="BY120" s="117">
        <f t="shared" si="131"/>
        <v>0</v>
      </c>
      <c r="BZ120" s="117">
        <f t="shared" si="131"/>
        <v>0</v>
      </c>
      <c r="CA120" s="117">
        <f t="shared" si="131"/>
        <v>0</v>
      </c>
      <c r="CB120" s="117">
        <f t="shared" si="131"/>
        <v>0</v>
      </c>
      <c r="CC120" s="117">
        <f t="shared" si="131"/>
        <v>0</v>
      </c>
      <c r="CD120" s="117">
        <f t="shared" si="131"/>
        <v>0</v>
      </c>
      <c r="CE120" s="117">
        <f t="shared" si="131"/>
        <v>0</v>
      </c>
      <c r="CF120" s="117">
        <f t="shared" si="131"/>
        <v>0</v>
      </c>
      <c r="CG120" s="117">
        <f t="shared" si="131"/>
        <v>0</v>
      </c>
      <c r="CH120" s="117">
        <f t="shared" si="131"/>
        <v>0</v>
      </c>
      <c r="CI120" s="117">
        <f t="shared" si="131"/>
        <v>0</v>
      </c>
    </row>
    <row r="121" ht="15.75" customHeight="1" outlineLevel="1">
      <c r="A121" s="1" t="s">
        <v>278</v>
      </c>
      <c r="B121" s="91" t="s">
        <v>120</v>
      </c>
      <c r="C121" s="132" t="s">
        <v>247</v>
      </c>
      <c r="D121" s="117">
        <f t="shared" ref="D121:CI121" si="132">D158-SUMIFS(D$6:D$97,$C$6:$C$97,$C121)</f>
        <v>-1362</v>
      </c>
      <c r="E121" s="117">
        <f t="shared" si="132"/>
        <v>68</v>
      </c>
      <c r="F121" s="117">
        <f t="shared" si="132"/>
        <v>-1317</v>
      </c>
      <c r="G121" s="117">
        <f t="shared" si="132"/>
        <v>697</v>
      </c>
      <c r="H121" s="117">
        <f t="shared" si="132"/>
        <v>419</v>
      </c>
      <c r="I121" s="117">
        <f t="shared" si="132"/>
        <v>-3304</v>
      </c>
      <c r="J121" s="117">
        <f t="shared" si="132"/>
        <v>-1707</v>
      </c>
      <c r="K121" s="117">
        <f t="shared" si="132"/>
        <v>-1990</v>
      </c>
      <c r="L121" s="117">
        <f t="shared" si="132"/>
        <v>-2529</v>
      </c>
      <c r="M121" s="117">
        <f t="shared" si="132"/>
        <v>1753</v>
      </c>
      <c r="N121" s="117">
        <f t="shared" si="132"/>
        <v>28</v>
      </c>
      <c r="O121" s="117">
        <f t="shared" si="132"/>
        <v>622</v>
      </c>
      <c r="P121" s="117">
        <f t="shared" si="132"/>
        <v>1050</v>
      </c>
      <c r="Q121" s="117">
        <f t="shared" si="132"/>
        <v>-53</v>
      </c>
      <c r="R121" s="117">
        <f t="shared" si="132"/>
        <v>-1734</v>
      </c>
      <c r="S121" s="117">
        <f t="shared" si="132"/>
        <v>-154</v>
      </c>
      <c r="T121" s="117">
        <f t="shared" si="132"/>
        <v>-2552</v>
      </c>
      <c r="U121" s="117">
        <f t="shared" si="132"/>
        <v>-924</v>
      </c>
      <c r="V121" s="117">
        <f t="shared" si="132"/>
        <v>-268</v>
      </c>
      <c r="W121" s="117">
        <f t="shared" si="132"/>
        <v>-2731</v>
      </c>
      <c r="X121" s="117">
        <f t="shared" si="132"/>
        <v>-2253</v>
      </c>
      <c r="Y121" s="117">
        <f t="shared" si="132"/>
        <v>-1572</v>
      </c>
      <c r="Z121" s="117">
        <f t="shared" si="132"/>
        <v>-2053</v>
      </c>
      <c r="AA121" s="117">
        <f t="shared" si="132"/>
        <v>0</v>
      </c>
      <c r="AB121" s="117">
        <f t="shared" si="132"/>
        <v>0</v>
      </c>
      <c r="AC121" s="117">
        <f t="shared" si="132"/>
        <v>0</v>
      </c>
      <c r="AD121" s="117">
        <f t="shared" si="132"/>
        <v>0</v>
      </c>
      <c r="AE121" s="117">
        <f t="shared" si="132"/>
        <v>0</v>
      </c>
      <c r="AF121" s="117">
        <f t="shared" si="132"/>
        <v>0</v>
      </c>
      <c r="AG121" s="117">
        <f t="shared" si="132"/>
        <v>0</v>
      </c>
      <c r="AH121" s="117">
        <f t="shared" si="132"/>
        <v>0</v>
      </c>
      <c r="AI121" s="117">
        <f t="shared" si="132"/>
        <v>0</v>
      </c>
      <c r="AJ121" s="117">
        <f t="shared" si="132"/>
        <v>0</v>
      </c>
      <c r="AK121" s="117">
        <f t="shared" si="132"/>
        <v>0</v>
      </c>
      <c r="AL121" s="117">
        <f t="shared" si="132"/>
        <v>0</v>
      </c>
      <c r="AM121" s="117">
        <f t="shared" si="132"/>
        <v>0</v>
      </c>
      <c r="AN121" s="117">
        <f t="shared" si="132"/>
        <v>0</v>
      </c>
      <c r="AO121" s="117">
        <f t="shared" si="132"/>
        <v>0</v>
      </c>
      <c r="AP121" s="117">
        <f t="shared" si="132"/>
        <v>0</v>
      </c>
      <c r="AQ121" s="117">
        <f t="shared" si="132"/>
        <v>0</v>
      </c>
      <c r="AR121" s="117">
        <f t="shared" si="132"/>
        <v>0</v>
      </c>
      <c r="AS121" s="117">
        <f t="shared" si="132"/>
        <v>0</v>
      </c>
      <c r="AT121" s="117">
        <f t="shared" si="132"/>
        <v>0</v>
      </c>
      <c r="AU121" s="117">
        <f t="shared" si="132"/>
        <v>0</v>
      </c>
      <c r="AV121" s="117">
        <f t="shared" si="132"/>
        <v>0</v>
      </c>
      <c r="AW121" s="117">
        <f t="shared" si="132"/>
        <v>0</v>
      </c>
      <c r="AX121" s="117">
        <f t="shared" si="132"/>
        <v>0</v>
      </c>
      <c r="AY121" s="117">
        <f t="shared" si="132"/>
        <v>0</v>
      </c>
      <c r="AZ121" s="117">
        <f t="shared" si="132"/>
        <v>0</v>
      </c>
      <c r="BA121" s="117">
        <f t="shared" si="132"/>
        <v>0</v>
      </c>
      <c r="BB121" s="117">
        <f t="shared" si="132"/>
        <v>0</v>
      </c>
      <c r="BC121" s="117">
        <f t="shared" si="132"/>
        <v>0</v>
      </c>
      <c r="BD121" s="117">
        <f t="shared" si="132"/>
        <v>0</v>
      </c>
      <c r="BE121" s="117">
        <f t="shared" si="132"/>
        <v>0</v>
      </c>
      <c r="BF121" s="117">
        <f t="shared" si="132"/>
        <v>0</v>
      </c>
      <c r="BG121" s="117">
        <f t="shared" si="132"/>
        <v>0</v>
      </c>
      <c r="BH121" s="117">
        <f t="shared" si="132"/>
        <v>0</v>
      </c>
      <c r="BI121" s="117">
        <f t="shared" si="132"/>
        <v>0</v>
      </c>
      <c r="BJ121" s="117">
        <f t="shared" si="132"/>
        <v>0</v>
      </c>
      <c r="BK121" s="117">
        <f t="shared" si="132"/>
        <v>0</v>
      </c>
      <c r="BL121" s="117">
        <f t="shared" si="132"/>
        <v>0</v>
      </c>
      <c r="BM121" s="117">
        <f t="shared" si="132"/>
        <v>0</v>
      </c>
      <c r="BN121" s="117">
        <f t="shared" si="132"/>
        <v>0</v>
      </c>
      <c r="BO121" s="117">
        <f t="shared" si="132"/>
        <v>0</v>
      </c>
      <c r="BP121" s="117">
        <f t="shared" si="132"/>
        <v>0</v>
      </c>
      <c r="BQ121" s="117">
        <f t="shared" si="132"/>
        <v>0</v>
      </c>
      <c r="BR121" s="117">
        <f t="shared" si="132"/>
        <v>0</v>
      </c>
      <c r="BS121" s="117">
        <f t="shared" si="132"/>
        <v>0</v>
      </c>
      <c r="BT121" s="117">
        <f t="shared" si="132"/>
        <v>0</v>
      </c>
      <c r="BU121" s="117">
        <f t="shared" si="132"/>
        <v>0</v>
      </c>
      <c r="BV121" s="117">
        <f t="shared" si="132"/>
        <v>0</v>
      </c>
      <c r="BW121" s="117">
        <f t="shared" si="132"/>
        <v>0</v>
      </c>
      <c r="BX121" s="117">
        <f t="shared" si="132"/>
        <v>0</v>
      </c>
      <c r="BY121" s="117">
        <f t="shared" si="132"/>
        <v>0</v>
      </c>
      <c r="BZ121" s="117">
        <f t="shared" si="132"/>
        <v>0</v>
      </c>
      <c r="CA121" s="117">
        <f t="shared" si="132"/>
        <v>0</v>
      </c>
      <c r="CB121" s="117">
        <f t="shared" si="132"/>
        <v>0</v>
      </c>
      <c r="CC121" s="117">
        <f t="shared" si="132"/>
        <v>0</v>
      </c>
      <c r="CD121" s="117">
        <f t="shared" si="132"/>
        <v>0</v>
      </c>
      <c r="CE121" s="117">
        <f t="shared" si="132"/>
        <v>0</v>
      </c>
      <c r="CF121" s="117">
        <f t="shared" si="132"/>
        <v>0</v>
      </c>
      <c r="CG121" s="117">
        <f t="shared" si="132"/>
        <v>0</v>
      </c>
      <c r="CH121" s="117">
        <f t="shared" si="132"/>
        <v>0</v>
      </c>
      <c r="CI121" s="117">
        <f t="shared" si="132"/>
        <v>0</v>
      </c>
    </row>
    <row r="122" ht="15.75" customHeight="1" outlineLevel="1">
      <c r="A122" s="1" t="s">
        <v>278</v>
      </c>
      <c r="B122" s="91" t="s">
        <v>120</v>
      </c>
      <c r="C122" s="132" t="s">
        <v>248</v>
      </c>
      <c r="D122" s="117">
        <f t="shared" ref="D122:CI122" si="133">D159-SUMIFS(D$6:D$97,$C$6:$C$97,$C122)</f>
        <v>-6147</v>
      </c>
      <c r="E122" s="117">
        <f t="shared" si="133"/>
        <v>-1243</v>
      </c>
      <c r="F122" s="117">
        <f t="shared" si="133"/>
        <v>-3439</v>
      </c>
      <c r="G122" s="117">
        <f t="shared" si="133"/>
        <v>-1340</v>
      </c>
      <c r="H122" s="117">
        <f t="shared" si="133"/>
        <v>-2262</v>
      </c>
      <c r="I122" s="117">
        <f t="shared" si="133"/>
        <v>-3586</v>
      </c>
      <c r="J122" s="117">
        <f t="shared" si="133"/>
        <v>-3190</v>
      </c>
      <c r="K122" s="117">
        <f t="shared" si="133"/>
        <v>-3438</v>
      </c>
      <c r="L122" s="117">
        <f t="shared" si="133"/>
        <v>-3616</v>
      </c>
      <c r="M122" s="117">
        <f t="shared" si="133"/>
        <v>-4080</v>
      </c>
      <c r="N122" s="117">
        <f t="shared" si="133"/>
        <v>-2107</v>
      </c>
      <c r="O122" s="117">
        <f t="shared" si="133"/>
        <v>-902</v>
      </c>
      <c r="P122" s="117">
        <f t="shared" si="133"/>
        <v>-897</v>
      </c>
      <c r="Q122" s="117">
        <f t="shared" si="133"/>
        <v>-3894</v>
      </c>
      <c r="R122" s="117">
        <f t="shared" si="133"/>
        <v>-719</v>
      </c>
      <c r="S122" s="117">
        <f t="shared" si="133"/>
        <v>-1188</v>
      </c>
      <c r="T122" s="117">
        <f t="shared" si="133"/>
        <v>-4161</v>
      </c>
      <c r="U122" s="117">
        <f t="shared" si="133"/>
        <v>-5788</v>
      </c>
      <c r="V122" s="117">
        <f t="shared" si="133"/>
        <v>-1592</v>
      </c>
      <c r="W122" s="117">
        <f t="shared" si="133"/>
        <v>-2917</v>
      </c>
      <c r="X122" s="117">
        <f t="shared" si="133"/>
        <v>-42</v>
      </c>
      <c r="Y122" s="117">
        <f t="shared" si="133"/>
        <v>-2634</v>
      </c>
      <c r="Z122" s="117">
        <f t="shared" si="133"/>
        <v>-1402</v>
      </c>
      <c r="AA122" s="117">
        <f t="shared" si="133"/>
        <v>0</v>
      </c>
      <c r="AB122" s="117">
        <f t="shared" si="133"/>
        <v>0</v>
      </c>
      <c r="AC122" s="117">
        <f t="shared" si="133"/>
        <v>0</v>
      </c>
      <c r="AD122" s="117">
        <f t="shared" si="133"/>
        <v>0</v>
      </c>
      <c r="AE122" s="117">
        <f t="shared" si="133"/>
        <v>0</v>
      </c>
      <c r="AF122" s="117">
        <f t="shared" si="133"/>
        <v>0</v>
      </c>
      <c r="AG122" s="117">
        <f t="shared" si="133"/>
        <v>0</v>
      </c>
      <c r="AH122" s="117">
        <f t="shared" si="133"/>
        <v>0</v>
      </c>
      <c r="AI122" s="117">
        <f t="shared" si="133"/>
        <v>0</v>
      </c>
      <c r="AJ122" s="117">
        <f t="shared" si="133"/>
        <v>0</v>
      </c>
      <c r="AK122" s="117">
        <f t="shared" si="133"/>
        <v>0</v>
      </c>
      <c r="AL122" s="117">
        <f t="shared" si="133"/>
        <v>0</v>
      </c>
      <c r="AM122" s="117">
        <f t="shared" si="133"/>
        <v>0</v>
      </c>
      <c r="AN122" s="117">
        <f t="shared" si="133"/>
        <v>0</v>
      </c>
      <c r="AO122" s="117">
        <f t="shared" si="133"/>
        <v>0</v>
      </c>
      <c r="AP122" s="117">
        <f t="shared" si="133"/>
        <v>0</v>
      </c>
      <c r="AQ122" s="117">
        <f t="shared" si="133"/>
        <v>0</v>
      </c>
      <c r="AR122" s="117">
        <f t="shared" si="133"/>
        <v>0</v>
      </c>
      <c r="AS122" s="117">
        <f t="shared" si="133"/>
        <v>0</v>
      </c>
      <c r="AT122" s="117">
        <f t="shared" si="133"/>
        <v>0</v>
      </c>
      <c r="AU122" s="117">
        <f t="shared" si="133"/>
        <v>0</v>
      </c>
      <c r="AV122" s="117">
        <f t="shared" si="133"/>
        <v>0</v>
      </c>
      <c r="AW122" s="117">
        <f t="shared" si="133"/>
        <v>0</v>
      </c>
      <c r="AX122" s="117">
        <f t="shared" si="133"/>
        <v>0</v>
      </c>
      <c r="AY122" s="117">
        <f t="shared" si="133"/>
        <v>0</v>
      </c>
      <c r="AZ122" s="117">
        <f t="shared" si="133"/>
        <v>0</v>
      </c>
      <c r="BA122" s="117">
        <f t="shared" si="133"/>
        <v>0</v>
      </c>
      <c r="BB122" s="117">
        <f t="shared" si="133"/>
        <v>0</v>
      </c>
      <c r="BC122" s="117">
        <f t="shared" si="133"/>
        <v>0</v>
      </c>
      <c r="BD122" s="117">
        <f t="shared" si="133"/>
        <v>0</v>
      </c>
      <c r="BE122" s="117">
        <f t="shared" si="133"/>
        <v>0</v>
      </c>
      <c r="BF122" s="117">
        <f t="shared" si="133"/>
        <v>0</v>
      </c>
      <c r="BG122" s="117">
        <f t="shared" si="133"/>
        <v>0</v>
      </c>
      <c r="BH122" s="117">
        <f t="shared" si="133"/>
        <v>0</v>
      </c>
      <c r="BI122" s="117">
        <f t="shared" si="133"/>
        <v>0</v>
      </c>
      <c r="BJ122" s="117">
        <f t="shared" si="133"/>
        <v>0</v>
      </c>
      <c r="BK122" s="117">
        <f t="shared" si="133"/>
        <v>0</v>
      </c>
      <c r="BL122" s="117">
        <f t="shared" si="133"/>
        <v>0</v>
      </c>
      <c r="BM122" s="117">
        <f t="shared" si="133"/>
        <v>0</v>
      </c>
      <c r="BN122" s="117">
        <f t="shared" si="133"/>
        <v>0</v>
      </c>
      <c r="BO122" s="117">
        <f t="shared" si="133"/>
        <v>0</v>
      </c>
      <c r="BP122" s="117">
        <f t="shared" si="133"/>
        <v>0</v>
      </c>
      <c r="BQ122" s="117">
        <f t="shared" si="133"/>
        <v>0</v>
      </c>
      <c r="BR122" s="117">
        <f t="shared" si="133"/>
        <v>0</v>
      </c>
      <c r="BS122" s="117">
        <f t="shared" si="133"/>
        <v>0</v>
      </c>
      <c r="BT122" s="117">
        <f t="shared" si="133"/>
        <v>0</v>
      </c>
      <c r="BU122" s="117">
        <f t="shared" si="133"/>
        <v>0</v>
      </c>
      <c r="BV122" s="117">
        <f t="shared" si="133"/>
        <v>0</v>
      </c>
      <c r="BW122" s="117">
        <f t="shared" si="133"/>
        <v>0</v>
      </c>
      <c r="BX122" s="117">
        <f t="shared" si="133"/>
        <v>0</v>
      </c>
      <c r="BY122" s="117">
        <f t="shared" si="133"/>
        <v>0</v>
      </c>
      <c r="BZ122" s="117">
        <f t="shared" si="133"/>
        <v>0</v>
      </c>
      <c r="CA122" s="117">
        <f t="shared" si="133"/>
        <v>0</v>
      </c>
      <c r="CB122" s="117">
        <f t="shared" si="133"/>
        <v>0</v>
      </c>
      <c r="CC122" s="117">
        <f t="shared" si="133"/>
        <v>0</v>
      </c>
      <c r="CD122" s="117">
        <f t="shared" si="133"/>
        <v>0</v>
      </c>
      <c r="CE122" s="117">
        <f t="shared" si="133"/>
        <v>0</v>
      </c>
      <c r="CF122" s="117">
        <f t="shared" si="133"/>
        <v>0</v>
      </c>
      <c r="CG122" s="117">
        <f t="shared" si="133"/>
        <v>0</v>
      </c>
      <c r="CH122" s="117">
        <f t="shared" si="133"/>
        <v>0</v>
      </c>
      <c r="CI122" s="117">
        <f t="shared" si="133"/>
        <v>0</v>
      </c>
    </row>
    <row r="123" ht="15.75" customHeight="1" outlineLevel="1">
      <c r="A123" s="1" t="s">
        <v>278</v>
      </c>
      <c r="B123" s="91" t="s">
        <v>179</v>
      </c>
      <c r="C123" s="132" t="s">
        <v>249</v>
      </c>
      <c r="D123" s="117">
        <f t="shared" ref="D123:CI123" si="134">D160-SUMIFS(D$6:D$97,$C$6:$C$97,$C123)</f>
        <v>-14403</v>
      </c>
      <c r="E123" s="117">
        <f t="shared" si="134"/>
        <v>-6603</v>
      </c>
      <c r="F123" s="117">
        <f t="shared" si="134"/>
        <v>-14219</v>
      </c>
      <c r="G123" s="117">
        <f t="shared" si="134"/>
        <v>-7771</v>
      </c>
      <c r="H123" s="117">
        <f t="shared" si="134"/>
        <v>-16687</v>
      </c>
      <c r="I123" s="117">
        <f t="shared" si="134"/>
        <v>-6855</v>
      </c>
      <c r="J123" s="117">
        <f t="shared" si="134"/>
        <v>-7333</v>
      </c>
      <c r="K123" s="117">
        <f t="shared" si="134"/>
        <v>-6836</v>
      </c>
      <c r="L123" s="117">
        <f t="shared" si="134"/>
        <v>-6525</v>
      </c>
      <c r="M123" s="117">
        <f t="shared" si="134"/>
        <v>-11756</v>
      </c>
      <c r="N123" s="117">
        <f t="shared" si="134"/>
        <v>-10018</v>
      </c>
      <c r="O123" s="117">
        <f t="shared" si="134"/>
        <v>-9308</v>
      </c>
      <c r="P123" s="117">
        <f t="shared" si="134"/>
        <v>-9779</v>
      </c>
      <c r="Q123" s="117">
        <f t="shared" si="134"/>
        <v>-4961</v>
      </c>
      <c r="R123" s="117">
        <f t="shared" si="134"/>
        <v>-5848</v>
      </c>
      <c r="S123" s="117">
        <f t="shared" si="134"/>
        <v>-10505</v>
      </c>
      <c r="T123" s="117">
        <f t="shared" si="134"/>
        <v>-8518</v>
      </c>
      <c r="U123" s="117">
        <f t="shared" si="134"/>
        <v>-12690</v>
      </c>
      <c r="V123" s="117">
        <f t="shared" si="134"/>
        <v>-8307</v>
      </c>
      <c r="W123" s="117">
        <f t="shared" si="134"/>
        <v>-9818</v>
      </c>
      <c r="X123" s="117">
        <f t="shared" si="134"/>
        <v>-5984</v>
      </c>
      <c r="Y123" s="117">
        <f t="shared" si="134"/>
        <v>-12412</v>
      </c>
      <c r="Z123" s="117">
        <f t="shared" si="134"/>
        <v>-3203</v>
      </c>
      <c r="AA123" s="117">
        <f t="shared" si="134"/>
        <v>1191.46</v>
      </c>
      <c r="AB123" s="117">
        <f t="shared" si="134"/>
        <v>641.4</v>
      </c>
      <c r="AC123" s="117">
        <f t="shared" si="134"/>
        <v>296.243256</v>
      </c>
      <c r="AD123" s="117">
        <f t="shared" si="134"/>
        <v>299.2056886</v>
      </c>
      <c r="AE123" s="117">
        <f t="shared" si="134"/>
        <v>302.1977455</v>
      </c>
      <c r="AF123" s="117">
        <f t="shared" si="134"/>
        <v>2405</v>
      </c>
      <c r="AG123" s="117">
        <f t="shared" si="134"/>
        <v>308.2719202</v>
      </c>
      <c r="AH123" s="117">
        <f t="shared" si="134"/>
        <v>311.3546394</v>
      </c>
      <c r="AI123" s="117">
        <f t="shared" si="134"/>
        <v>314.4681858</v>
      </c>
      <c r="AJ123" s="117">
        <f t="shared" si="134"/>
        <v>2470</v>
      </c>
      <c r="AK123" s="117">
        <f t="shared" si="134"/>
        <v>320.7889963</v>
      </c>
      <c r="AL123" s="117">
        <f t="shared" si="134"/>
        <v>323.9968863</v>
      </c>
      <c r="AM123" s="117">
        <f t="shared" si="134"/>
        <v>327.2368551</v>
      </c>
      <c r="AN123" s="117">
        <f t="shared" si="134"/>
        <v>2613</v>
      </c>
      <c r="AO123" s="117">
        <f t="shared" si="134"/>
        <v>98.18068115</v>
      </c>
      <c r="AP123" s="117">
        <f t="shared" si="134"/>
        <v>99.16248796</v>
      </c>
      <c r="AQ123" s="117">
        <f t="shared" si="134"/>
        <v>100.1541128</v>
      </c>
      <c r="AR123" s="117">
        <f t="shared" si="134"/>
        <v>2678</v>
      </c>
      <c r="AS123" s="117">
        <f t="shared" si="134"/>
        <v>102.1672105</v>
      </c>
      <c r="AT123" s="117">
        <f t="shared" si="134"/>
        <v>103.1888826</v>
      </c>
      <c r="AU123" s="117">
        <f t="shared" si="134"/>
        <v>104.2207714</v>
      </c>
      <c r="AV123" s="117">
        <f t="shared" si="134"/>
        <v>2743</v>
      </c>
      <c r="AW123" s="117">
        <f t="shared" si="134"/>
        <v>106.3156089</v>
      </c>
      <c r="AX123" s="117">
        <f t="shared" si="134"/>
        <v>107.378765</v>
      </c>
      <c r="AY123" s="117">
        <f t="shared" si="134"/>
        <v>108.4525527</v>
      </c>
      <c r="AZ123" s="117">
        <f t="shared" si="134"/>
        <v>2795</v>
      </c>
      <c r="BA123" s="117">
        <f t="shared" si="134"/>
        <v>110.632449</v>
      </c>
      <c r="BB123" s="117">
        <f t="shared" si="134"/>
        <v>111.7387735</v>
      </c>
      <c r="BC123" s="117">
        <f t="shared" si="134"/>
        <v>112.8561612</v>
      </c>
      <c r="BD123" s="117">
        <f t="shared" si="134"/>
        <v>2925</v>
      </c>
      <c r="BE123" s="117">
        <f t="shared" si="134"/>
        <v>115.1245701</v>
      </c>
      <c r="BF123" s="117">
        <f t="shared" si="134"/>
        <v>116.2758158</v>
      </c>
      <c r="BG123" s="117">
        <f t="shared" si="134"/>
        <v>117.4385739</v>
      </c>
      <c r="BH123" s="117">
        <f t="shared" si="134"/>
        <v>3016</v>
      </c>
      <c r="BI123" s="117">
        <f t="shared" si="134"/>
        <v>119.7990893</v>
      </c>
      <c r="BJ123" s="117">
        <f t="shared" si="134"/>
        <v>120.9970802</v>
      </c>
      <c r="BK123" s="117">
        <f t="shared" si="134"/>
        <v>122.207051</v>
      </c>
      <c r="BL123" s="117">
        <f t="shared" si="134"/>
        <v>3107</v>
      </c>
      <c r="BM123" s="117">
        <f t="shared" si="134"/>
        <v>124.6634127</v>
      </c>
      <c r="BN123" s="117">
        <f t="shared" si="134"/>
        <v>125.9100468</v>
      </c>
      <c r="BO123" s="117">
        <f t="shared" si="134"/>
        <v>127.1691473</v>
      </c>
      <c r="BP123" s="117">
        <f t="shared" si="134"/>
        <v>3484</v>
      </c>
      <c r="BQ123" s="117">
        <f t="shared" si="134"/>
        <v>129.7252471</v>
      </c>
      <c r="BR123" s="117">
        <f t="shared" si="134"/>
        <v>131.0224996</v>
      </c>
      <c r="BS123" s="117">
        <f t="shared" si="134"/>
        <v>132.3327246</v>
      </c>
      <c r="BT123" s="117">
        <f t="shared" si="134"/>
        <v>3588</v>
      </c>
      <c r="BU123" s="117">
        <f t="shared" si="134"/>
        <v>134.9926124</v>
      </c>
      <c r="BV123" s="117">
        <f t="shared" si="134"/>
        <v>136.3425385</v>
      </c>
      <c r="BW123" s="117">
        <f t="shared" si="134"/>
        <v>137.7059639</v>
      </c>
      <c r="BX123" s="117">
        <f t="shared" si="134"/>
        <v>3666</v>
      </c>
      <c r="BY123" s="117">
        <f t="shared" si="134"/>
        <v>140.4738537</v>
      </c>
      <c r="BZ123" s="117">
        <f t="shared" si="134"/>
        <v>141.8785923</v>
      </c>
      <c r="CA123" s="117">
        <f t="shared" si="134"/>
        <v>143.2973782</v>
      </c>
      <c r="CB123" s="117">
        <f t="shared" si="134"/>
        <v>3770</v>
      </c>
      <c r="CC123" s="117">
        <f t="shared" si="134"/>
        <v>146.1776555</v>
      </c>
      <c r="CD123" s="117">
        <f t="shared" si="134"/>
        <v>147.6394321</v>
      </c>
      <c r="CE123" s="117">
        <f t="shared" si="134"/>
        <v>149.1158264</v>
      </c>
      <c r="CF123" s="117">
        <f t="shared" si="134"/>
        <v>3822</v>
      </c>
      <c r="CG123" s="117">
        <f t="shared" si="134"/>
        <v>152.1130545</v>
      </c>
      <c r="CH123" s="117">
        <f t="shared" si="134"/>
        <v>153.634185</v>
      </c>
      <c r="CI123" s="117">
        <f t="shared" si="134"/>
        <v>155.1705269</v>
      </c>
    </row>
    <row r="124" ht="15.75" customHeight="1" outlineLevel="1">
      <c r="A124" s="1" t="s">
        <v>278</v>
      </c>
      <c r="B124" s="91" t="s">
        <v>179</v>
      </c>
      <c r="C124" s="132" t="s">
        <v>250</v>
      </c>
      <c r="D124" s="117">
        <f t="shared" ref="D124:CI124" si="135">D161-SUMIFS(D$6:D$97,$C$6:$C$97,$C124)</f>
        <v>-17638</v>
      </c>
      <c r="E124" s="117">
        <f t="shared" si="135"/>
        <v>-9346</v>
      </c>
      <c r="F124" s="117">
        <f t="shared" si="135"/>
        <v>-11898</v>
      </c>
      <c r="G124" s="117">
        <f t="shared" si="135"/>
        <v>-5014</v>
      </c>
      <c r="H124" s="117">
        <f t="shared" si="135"/>
        <v>-1234</v>
      </c>
      <c r="I124" s="117">
        <f t="shared" si="135"/>
        <v>-8293</v>
      </c>
      <c r="J124" s="117">
        <f t="shared" si="135"/>
        <v>-8164</v>
      </c>
      <c r="K124" s="117">
        <f t="shared" si="135"/>
        <v>-11693</v>
      </c>
      <c r="L124" s="117">
        <f t="shared" si="135"/>
        <v>-12035</v>
      </c>
      <c r="M124" s="117">
        <f t="shared" si="135"/>
        <v>-8080</v>
      </c>
      <c r="N124" s="117">
        <f t="shared" si="135"/>
        <v>-6642</v>
      </c>
      <c r="O124" s="117">
        <f t="shared" si="135"/>
        <v>-7321</v>
      </c>
      <c r="P124" s="117">
        <f t="shared" si="135"/>
        <v>-8929</v>
      </c>
      <c r="Q124" s="117">
        <f t="shared" si="135"/>
        <v>-10491</v>
      </c>
      <c r="R124" s="117">
        <f t="shared" si="135"/>
        <v>-12294</v>
      </c>
      <c r="S124" s="117">
        <f t="shared" si="135"/>
        <v>-7555</v>
      </c>
      <c r="T124" s="117">
        <f t="shared" si="135"/>
        <v>-5859</v>
      </c>
      <c r="U124" s="117">
        <f t="shared" si="135"/>
        <v>-6040</v>
      </c>
      <c r="V124" s="117">
        <f t="shared" si="135"/>
        <v>-11456</v>
      </c>
      <c r="W124" s="117">
        <f t="shared" si="135"/>
        <v>-6446</v>
      </c>
      <c r="X124" s="117">
        <f t="shared" si="135"/>
        <v>-9297</v>
      </c>
      <c r="Y124" s="117">
        <f t="shared" si="135"/>
        <v>-10908</v>
      </c>
      <c r="Z124" s="117">
        <f t="shared" si="135"/>
        <v>-7918</v>
      </c>
      <c r="AA124" s="117">
        <f t="shared" si="135"/>
        <v>1191.46</v>
      </c>
      <c r="AB124" s="117">
        <f t="shared" si="135"/>
        <v>641.4</v>
      </c>
      <c r="AC124" s="117">
        <f t="shared" si="135"/>
        <v>296.243256</v>
      </c>
      <c r="AD124" s="117">
        <f t="shared" si="135"/>
        <v>299.2056886</v>
      </c>
      <c r="AE124" s="117">
        <f t="shared" si="135"/>
        <v>302.1977455</v>
      </c>
      <c r="AF124" s="117">
        <f t="shared" si="135"/>
        <v>2405</v>
      </c>
      <c r="AG124" s="117">
        <f t="shared" si="135"/>
        <v>308.2719202</v>
      </c>
      <c r="AH124" s="117">
        <f t="shared" si="135"/>
        <v>311.3546394</v>
      </c>
      <c r="AI124" s="117">
        <f t="shared" si="135"/>
        <v>314.4681858</v>
      </c>
      <c r="AJ124" s="117">
        <f t="shared" si="135"/>
        <v>2470</v>
      </c>
      <c r="AK124" s="117">
        <f t="shared" si="135"/>
        <v>320.7889963</v>
      </c>
      <c r="AL124" s="117">
        <f t="shared" si="135"/>
        <v>323.9968863</v>
      </c>
      <c r="AM124" s="117">
        <f t="shared" si="135"/>
        <v>327.2368551</v>
      </c>
      <c r="AN124" s="117">
        <f t="shared" si="135"/>
        <v>2613</v>
      </c>
      <c r="AO124" s="117">
        <f t="shared" si="135"/>
        <v>98.18068115</v>
      </c>
      <c r="AP124" s="117">
        <f t="shared" si="135"/>
        <v>99.16248796</v>
      </c>
      <c r="AQ124" s="117">
        <f t="shared" si="135"/>
        <v>100.1541128</v>
      </c>
      <c r="AR124" s="117">
        <f t="shared" si="135"/>
        <v>2678</v>
      </c>
      <c r="AS124" s="117">
        <f t="shared" si="135"/>
        <v>102.1672105</v>
      </c>
      <c r="AT124" s="117">
        <f t="shared" si="135"/>
        <v>103.1888826</v>
      </c>
      <c r="AU124" s="117">
        <f t="shared" si="135"/>
        <v>104.2207714</v>
      </c>
      <c r="AV124" s="117">
        <f t="shared" si="135"/>
        <v>2743</v>
      </c>
      <c r="AW124" s="117">
        <f t="shared" si="135"/>
        <v>106.3156089</v>
      </c>
      <c r="AX124" s="117">
        <f t="shared" si="135"/>
        <v>107.378765</v>
      </c>
      <c r="AY124" s="117">
        <f t="shared" si="135"/>
        <v>108.4525527</v>
      </c>
      <c r="AZ124" s="117">
        <f t="shared" si="135"/>
        <v>2795</v>
      </c>
      <c r="BA124" s="117">
        <f t="shared" si="135"/>
        <v>110.632449</v>
      </c>
      <c r="BB124" s="117">
        <f t="shared" si="135"/>
        <v>111.7387735</v>
      </c>
      <c r="BC124" s="117">
        <f t="shared" si="135"/>
        <v>112.8561612</v>
      </c>
      <c r="BD124" s="117">
        <f t="shared" si="135"/>
        <v>2925</v>
      </c>
      <c r="BE124" s="117">
        <f t="shared" si="135"/>
        <v>115.1245701</v>
      </c>
      <c r="BF124" s="117">
        <f t="shared" si="135"/>
        <v>116.2758158</v>
      </c>
      <c r="BG124" s="117">
        <f t="shared" si="135"/>
        <v>117.4385739</v>
      </c>
      <c r="BH124" s="117">
        <f t="shared" si="135"/>
        <v>3016</v>
      </c>
      <c r="BI124" s="117">
        <f t="shared" si="135"/>
        <v>119.7990893</v>
      </c>
      <c r="BJ124" s="117">
        <f t="shared" si="135"/>
        <v>120.9970802</v>
      </c>
      <c r="BK124" s="117">
        <f t="shared" si="135"/>
        <v>122.207051</v>
      </c>
      <c r="BL124" s="117">
        <f t="shared" si="135"/>
        <v>3107</v>
      </c>
      <c r="BM124" s="117">
        <f t="shared" si="135"/>
        <v>124.6634127</v>
      </c>
      <c r="BN124" s="117">
        <f t="shared" si="135"/>
        <v>125.9100468</v>
      </c>
      <c r="BO124" s="117">
        <f t="shared" si="135"/>
        <v>127.1691473</v>
      </c>
      <c r="BP124" s="117">
        <f t="shared" si="135"/>
        <v>3484</v>
      </c>
      <c r="BQ124" s="117">
        <f t="shared" si="135"/>
        <v>129.7252471</v>
      </c>
      <c r="BR124" s="117">
        <f t="shared" si="135"/>
        <v>131.0224996</v>
      </c>
      <c r="BS124" s="117">
        <f t="shared" si="135"/>
        <v>132.3327246</v>
      </c>
      <c r="BT124" s="117">
        <f t="shared" si="135"/>
        <v>3588</v>
      </c>
      <c r="BU124" s="117">
        <f t="shared" si="135"/>
        <v>134.9926124</v>
      </c>
      <c r="BV124" s="117">
        <f t="shared" si="135"/>
        <v>136.3425385</v>
      </c>
      <c r="BW124" s="117">
        <f t="shared" si="135"/>
        <v>137.7059639</v>
      </c>
      <c r="BX124" s="117">
        <f t="shared" si="135"/>
        <v>3666</v>
      </c>
      <c r="BY124" s="117">
        <f t="shared" si="135"/>
        <v>140.4738537</v>
      </c>
      <c r="BZ124" s="117">
        <f t="shared" si="135"/>
        <v>141.8785923</v>
      </c>
      <c r="CA124" s="117">
        <f t="shared" si="135"/>
        <v>143.2973782</v>
      </c>
      <c r="CB124" s="117">
        <f t="shared" si="135"/>
        <v>3770</v>
      </c>
      <c r="CC124" s="117">
        <f t="shared" si="135"/>
        <v>146.1776555</v>
      </c>
      <c r="CD124" s="117">
        <f t="shared" si="135"/>
        <v>147.6394321</v>
      </c>
      <c r="CE124" s="117">
        <f t="shared" si="135"/>
        <v>149.1158264</v>
      </c>
      <c r="CF124" s="117">
        <f t="shared" si="135"/>
        <v>3822</v>
      </c>
      <c r="CG124" s="117">
        <f t="shared" si="135"/>
        <v>152.1130545</v>
      </c>
      <c r="CH124" s="117">
        <f t="shared" si="135"/>
        <v>153.634185</v>
      </c>
      <c r="CI124" s="117">
        <f t="shared" si="135"/>
        <v>155.1705269</v>
      </c>
    </row>
    <row r="125" ht="15.75" customHeight="1" outlineLevel="1">
      <c r="A125" s="1" t="s">
        <v>278</v>
      </c>
      <c r="B125" s="91" t="s">
        <v>179</v>
      </c>
      <c r="C125" s="132" t="s">
        <v>253</v>
      </c>
      <c r="D125" s="117">
        <f t="shared" ref="D125:CI125" si="136">D162-SUMIFS(D$6:D$97,$C$6:$C$97,$C125)</f>
        <v>-7426</v>
      </c>
      <c r="E125" s="117">
        <f t="shared" si="136"/>
        <v>-6190</v>
      </c>
      <c r="F125" s="117">
        <f t="shared" si="136"/>
        <v>-8384</v>
      </c>
      <c r="G125" s="117">
        <f t="shared" si="136"/>
        <v>-5934</v>
      </c>
      <c r="H125" s="117">
        <f t="shared" si="136"/>
        <v>-6684</v>
      </c>
      <c r="I125" s="117">
        <f t="shared" si="136"/>
        <v>-13161</v>
      </c>
      <c r="J125" s="117">
        <f t="shared" si="136"/>
        <v>-11919</v>
      </c>
      <c r="K125" s="117">
        <f t="shared" si="136"/>
        <v>-6092</v>
      </c>
      <c r="L125" s="117">
        <f t="shared" si="136"/>
        <v>-11232</v>
      </c>
      <c r="M125" s="117">
        <f t="shared" si="136"/>
        <v>-2895</v>
      </c>
      <c r="N125" s="117">
        <f t="shared" si="136"/>
        <v>-8537</v>
      </c>
      <c r="O125" s="117">
        <f t="shared" si="136"/>
        <v>-9488</v>
      </c>
      <c r="P125" s="117">
        <f t="shared" si="136"/>
        <v>-9691</v>
      </c>
      <c r="Q125" s="117">
        <f t="shared" si="136"/>
        <v>-6719</v>
      </c>
      <c r="R125" s="117">
        <f t="shared" si="136"/>
        <v>-9146</v>
      </c>
      <c r="S125" s="117">
        <f t="shared" si="136"/>
        <v>-11889</v>
      </c>
      <c r="T125" s="117">
        <f t="shared" si="136"/>
        <v>-11183</v>
      </c>
      <c r="U125" s="117">
        <f t="shared" si="136"/>
        <v>-8667</v>
      </c>
      <c r="V125" s="117">
        <f t="shared" si="136"/>
        <v>-8291</v>
      </c>
      <c r="W125" s="117">
        <f t="shared" si="136"/>
        <v>-8989</v>
      </c>
      <c r="X125" s="117">
        <f t="shared" si="136"/>
        <v>-5697</v>
      </c>
      <c r="Y125" s="117">
        <f t="shared" si="136"/>
        <v>-4401</v>
      </c>
      <c r="Z125" s="117">
        <f t="shared" si="136"/>
        <v>-9737</v>
      </c>
      <c r="AA125" s="117">
        <f t="shared" si="136"/>
        <v>3574.38</v>
      </c>
      <c r="AB125" s="117">
        <f t="shared" si="136"/>
        <v>1924.2</v>
      </c>
      <c r="AC125" s="117">
        <f t="shared" si="136"/>
        <v>888.7297681</v>
      </c>
      <c r="AD125" s="117">
        <f t="shared" si="136"/>
        <v>897.6170658</v>
      </c>
      <c r="AE125" s="117">
        <f t="shared" si="136"/>
        <v>906.5932365</v>
      </c>
      <c r="AF125" s="117">
        <f t="shared" si="136"/>
        <v>7215</v>
      </c>
      <c r="AG125" s="117">
        <f t="shared" si="136"/>
        <v>924.8157605</v>
      </c>
      <c r="AH125" s="117">
        <f t="shared" si="136"/>
        <v>934.0639181</v>
      </c>
      <c r="AI125" s="117">
        <f t="shared" si="136"/>
        <v>943.4045573</v>
      </c>
      <c r="AJ125" s="117">
        <f t="shared" si="136"/>
        <v>7410</v>
      </c>
      <c r="AK125" s="117">
        <f t="shared" si="136"/>
        <v>962.3669889</v>
      </c>
      <c r="AL125" s="117">
        <f t="shared" si="136"/>
        <v>971.9906588</v>
      </c>
      <c r="AM125" s="117">
        <f t="shared" si="136"/>
        <v>981.7105654</v>
      </c>
      <c r="AN125" s="117">
        <f t="shared" si="136"/>
        <v>7839</v>
      </c>
      <c r="AO125" s="117">
        <f t="shared" si="136"/>
        <v>294.5420435</v>
      </c>
      <c r="AP125" s="117">
        <f t="shared" si="136"/>
        <v>297.4874639</v>
      </c>
      <c r="AQ125" s="117">
        <f t="shared" si="136"/>
        <v>300.4623385</v>
      </c>
      <c r="AR125" s="117">
        <f t="shared" si="136"/>
        <v>8034</v>
      </c>
      <c r="AS125" s="117">
        <f t="shared" si="136"/>
        <v>306.5016315</v>
      </c>
      <c r="AT125" s="117">
        <f t="shared" si="136"/>
        <v>309.5666479</v>
      </c>
      <c r="AU125" s="117">
        <f t="shared" si="136"/>
        <v>312.6623143</v>
      </c>
      <c r="AV125" s="117">
        <f t="shared" si="136"/>
        <v>8229</v>
      </c>
      <c r="AW125" s="117">
        <f t="shared" si="136"/>
        <v>318.9468268</v>
      </c>
      <c r="AX125" s="117">
        <f t="shared" si="136"/>
        <v>322.1362951</v>
      </c>
      <c r="AY125" s="117">
        <f t="shared" si="136"/>
        <v>325.3576581</v>
      </c>
      <c r="AZ125" s="117">
        <f t="shared" si="136"/>
        <v>8385</v>
      </c>
      <c r="BA125" s="117">
        <f t="shared" si="136"/>
        <v>331.897347</v>
      </c>
      <c r="BB125" s="117">
        <f t="shared" si="136"/>
        <v>335.2163205</v>
      </c>
      <c r="BC125" s="117">
        <f t="shared" si="136"/>
        <v>338.5684837</v>
      </c>
      <c r="BD125" s="117">
        <f t="shared" si="136"/>
        <v>8775</v>
      </c>
      <c r="BE125" s="117">
        <f t="shared" si="136"/>
        <v>345.3737102</v>
      </c>
      <c r="BF125" s="117">
        <f t="shared" si="136"/>
        <v>348.8274473</v>
      </c>
      <c r="BG125" s="117">
        <f t="shared" si="136"/>
        <v>352.3157218</v>
      </c>
      <c r="BH125" s="117">
        <f t="shared" si="136"/>
        <v>9048</v>
      </c>
      <c r="BI125" s="117">
        <f t="shared" si="136"/>
        <v>359.3972678</v>
      </c>
      <c r="BJ125" s="117">
        <f t="shared" si="136"/>
        <v>362.9912405</v>
      </c>
      <c r="BK125" s="117">
        <f t="shared" si="136"/>
        <v>366.6211529</v>
      </c>
      <c r="BL125" s="117">
        <f t="shared" si="136"/>
        <v>9321</v>
      </c>
      <c r="BM125" s="117">
        <f t="shared" si="136"/>
        <v>373.990238</v>
      </c>
      <c r="BN125" s="117">
        <f t="shared" si="136"/>
        <v>377.7301404</v>
      </c>
      <c r="BO125" s="117">
        <f t="shared" si="136"/>
        <v>381.5074418</v>
      </c>
      <c r="BP125" s="117">
        <f t="shared" si="136"/>
        <v>10452</v>
      </c>
      <c r="BQ125" s="117">
        <f t="shared" si="136"/>
        <v>389.1757414</v>
      </c>
      <c r="BR125" s="117">
        <f t="shared" si="136"/>
        <v>393.0674988</v>
      </c>
      <c r="BS125" s="117">
        <f t="shared" si="136"/>
        <v>396.9981738</v>
      </c>
      <c r="BT125" s="117">
        <f t="shared" si="136"/>
        <v>10764</v>
      </c>
      <c r="BU125" s="117">
        <f t="shared" si="136"/>
        <v>404.9778371</v>
      </c>
      <c r="BV125" s="117">
        <f t="shared" si="136"/>
        <v>409.0276155</v>
      </c>
      <c r="BW125" s="117">
        <f t="shared" si="136"/>
        <v>413.1178916</v>
      </c>
      <c r="BX125" s="117">
        <f t="shared" si="136"/>
        <v>10998</v>
      </c>
      <c r="BY125" s="117">
        <f t="shared" si="136"/>
        <v>421.4215612</v>
      </c>
      <c r="BZ125" s="117">
        <f t="shared" si="136"/>
        <v>425.6357768</v>
      </c>
      <c r="CA125" s="117">
        <f t="shared" si="136"/>
        <v>429.8921346</v>
      </c>
      <c r="CB125" s="117">
        <f t="shared" si="136"/>
        <v>11310</v>
      </c>
      <c r="CC125" s="117">
        <f t="shared" si="136"/>
        <v>438.5329665</v>
      </c>
      <c r="CD125" s="117">
        <f t="shared" si="136"/>
        <v>442.9182962</v>
      </c>
      <c r="CE125" s="117">
        <f t="shared" si="136"/>
        <v>447.3474791</v>
      </c>
      <c r="CF125" s="117">
        <f t="shared" si="136"/>
        <v>11466</v>
      </c>
      <c r="CG125" s="117">
        <f t="shared" si="136"/>
        <v>456.3391635</v>
      </c>
      <c r="CH125" s="117">
        <f t="shared" si="136"/>
        <v>460.9025551</v>
      </c>
      <c r="CI125" s="117">
        <f t="shared" si="136"/>
        <v>465.5115807</v>
      </c>
    </row>
    <row r="126" ht="15.75" customHeight="1" outlineLevel="1">
      <c r="A126" s="1" t="s">
        <v>278</v>
      </c>
      <c r="B126" s="132" t="s">
        <v>72</v>
      </c>
      <c r="C126" s="132" t="s">
        <v>254</v>
      </c>
      <c r="D126" s="117">
        <f t="shared" ref="D126:CI126" si="137">D163-SUMIFS(D$6:D$97,$C$6:$C$97,$C126)</f>
        <v>2301</v>
      </c>
      <c r="E126" s="117">
        <f t="shared" si="137"/>
        <v>1448</v>
      </c>
      <c r="F126" s="117">
        <f t="shared" si="137"/>
        <v>2139</v>
      </c>
      <c r="G126" s="117">
        <f t="shared" si="137"/>
        <v>2421</v>
      </c>
      <c r="H126" s="117">
        <f t="shared" si="137"/>
        <v>1974</v>
      </c>
      <c r="I126" s="117">
        <f t="shared" si="137"/>
        <v>1455</v>
      </c>
      <c r="J126" s="117">
        <f t="shared" si="137"/>
        <v>1610</v>
      </c>
      <c r="K126" s="117">
        <f t="shared" si="137"/>
        <v>2151</v>
      </c>
      <c r="L126" s="117">
        <f t="shared" si="137"/>
        <v>1552</v>
      </c>
      <c r="M126" s="117">
        <f t="shared" si="137"/>
        <v>1178</v>
      </c>
      <c r="N126" s="117">
        <f t="shared" si="137"/>
        <v>1489</v>
      </c>
      <c r="O126" s="117">
        <f t="shared" si="137"/>
        <v>2021</v>
      </c>
      <c r="P126" s="117">
        <f t="shared" si="137"/>
        <v>1734</v>
      </c>
      <c r="Q126" s="117">
        <f t="shared" si="137"/>
        <v>2380</v>
      </c>
      <c r="R126" s="117">
        <f t="shared" si="137"/>
        <v>1017</v>
      </c>
      <c r="S126" s="117">
        <f t="shared" si="137"/>
        <v>1133</v>
      </c>
      <c r="T126" s="117">
        <f t="shared" si="137"/>
        <v>1129</v>
      </c>
      <c r="U126" s="117">
        <f t="shared" si="137"/>
        <v>2281</v>
      </c>
      <c r="V126" s="117">
        <f t="shared" si="137"/>
        <v>1373</v>
      </c>
      <c r="W126" s="117">
        <f t="shared" si="137"/>
        <v>1096</v>
      </c>
      <c r="X126" s="117">
        <f t="shared" si="137"/>
        <v>1704</v>
      </c>
      <c r="Y126" s="117">
        <f t="shared" si="137"/>
        <v>2131</v>
      </c>
      <c r="Z126" s="117">
        <f t="shared" si="137"/>
        <v>2251</v>
      </c>
      <c r="AA126" s="117">
        <f t="shared" si="137"/>
        <v>1061.842973</v>
      </c>
      <c r="AB126" s="117">
        <f t="shared" si="137"/>
        <v>1250.592294</v>
      </c>
      <c r="AC126" s="117">
        <f t="shared" si="137"/>
        <v>1437.12323</v>
      </c>
      <c r="AD126" s="117">
        <f t="shared" si="137"/>
        <v>1607.945921</v>
      </c>
      <c r="AE126" s="117">
        <f t="shared" si="137"/>
        <v>1771.522892</v>
      </c>
      <c r="AF126" s="117">
        <f t="shared" si="137"/>
        <v>1934.050291</v>
      </c>
      <c r="AG126" s="117">
        <f t="shared" si="137"/>
        <v>2097.536115</v>
      </c>
      <c r="AH126" s="117">
        <f t="shared" si="137"/>
        <v>2244.90974</v>
      </c>
      <c r="AI126" s="117">
        <f t="shared" si="137"/>
        <v>2389.438743</v>
      </c>
      <c r="AJ126" s="117">
        <f t="shared" si="137"/>
        <v>2530.941544</v>
      </c>
      <c r="AK126" s="117">
        <f t="shared" si="137"/>
        <v>2662.483628</v>
      </c>
      <c r="AL126" s="117">
        <f t="shared" si="137"/>
        <v>2792.755834</v>
      </c>
      <c r="AM126" s="117">
        <f t="shared" si="137"/>
        <v>2924.668327</v>
      </c>
      <c r="AN126" s="117">
        <f t="shared" si="137"/>
        <v>3054.988571</v>
      </c>
      <c r="AO126" s="117">
        <f t="shared" si="137"/>
        <v>3078.198262</v>
      </c>
      <c r="AP126" s="117">
        <f t="shared" si="137"/>
        <v>3110.739388</v>
      </c>
      <c r="AQ126" s="117">
        <f t="shared" si="137"/>
        <v>3152.919379</v>
      </c>
      <c r="AR126" s="117">
        <f t="shared" si="137"/>
        <v>3197.699018</v>
      </c>
      <c r="AS126" s="117">
        <f t="shared" si="137"/>
        <v>3244.271679</v>
      </c>
      <c r="AT126" s="117">
        <f t="shared" si="137"/>
        <v>3290.335363</v>
      </c>
      <c r="AU126" s="117">
        <f t="shared" si="137"/>
        <v>3345.946685</v>
      </c>
      <c r="AV126" s="117">
        <f t="shared" si="137"/>
        <v>3390.831901</v>
      </c>
      <c r="AW126" s="117">
        <f t="shared" si="137"/>
        <v>3435.079868</v>
      </c>
      <c r="AX126" s="117">
        <f t="shared" si="137"/>
        <v>3478.716111</v>
      </c>
      <c r="AY126" s="117">
        <f t="shared" si="137"/>
        <v>3521.770288</v>
      </c>
      <c r="AZ126" s="117">
        <f t="shared" si="137"/>
        <v>3615.549451</v>
      </c>
      <c r="BA126" s="117">
        <f t="shared" si="137"/>
        <v>3686.142162</v>
      </c>
      <c r="BB126" s="117">
        <f t="shared" si="137"/>
        <v>3754.558438</v>
      </c>
      <c r="BC126" s="117">
        <f t="shared" si="137"/>
        <v>3821.214116</v>
      </c>
      <c r="BD126" s="117">
        <f t="shared" si="137"/>
        <v>3886.378057</v>
      </c>
      <c r="BE126" s="117">
        <f t="shared" si="137"/>
        <v>3950.223421</v>
      </c>
      <c r="BF126" s="117">
        <f t="shared" si="137"/>
        <v>4012.882215</v>
      </c>
      <c r="BG126" s="117">
        <f t="shared" si="137"/>
        <v>4074.462094</v>
      </c>
      <c r="BH126" s="117">
        <f t="shared" si="137"/>
        <v>4135.053929</v>
      </c>
      <c r="BI126" s="117">
        <f t="shared" si="137"/>
        <v>4194.736224</v>
      </c>
      <c r="BJ126" s="117">
        <f t="shared" si="137"/>
        <v>4253.578057</v>
      </c>
      <c r="BK126" s="117">
        <f t="shared" si="137"/>
        <v>4311.64117</v>
      </c>
      <c r="BL126" s="117">
        <f t="shared" si="137"/>
        <v>4395.556759</v>
      </c>
      <c r="BM126" s="117">
        <f t="shared" si="137"/>
        <v>4460.69454</v>
      </c>
      <c r="BN126" s="117">
        <f t="shared" si="137"/>
        <v>4519.686484</v>
      </c>
      <c r="BO126" s="117">
        <f t="shared" si="137"/>
        <v>4577.512608</v>
      </c>
      <c r="BP126" s="117">
        <f t="shared" si="137"/>
        <v>4635.052403</v>
      </c>
      <c r="BQ126" s="117">
        <f t="shared" si="137"/>
        <v>4692.327992</v>
      </c>
      <c r="BR126" s="117">
        <f t="shared" si="137"/>
        <v>4749.377521</v>
      </c>
      <c r="BS126" s="117">
        <f t="shared" si="137"/>
        <v>4806.23784</v>
      </c>
      <c r="BT126" s="117">
        <f t="shared" si="137"/>
        <v>4862.943841</v>
      </c>
      <c r="BU126" s="117">
        <f t="shared" si="137"/>
        <v>4919.529073</v>
      </c>
      <c r="BV126" s="117">
        <f t="shared" si="137"/>
        <v>4976.026122</v>
      </c>
      <c r="BW126" s="117">
        <f t="shared" si="137"/>
        <v>5032.4668</v>
      </c>
      <c r="BX126" s="117">
        <f t="shared" si="137"/>
        <v>5109.651509</v>
      </c>
      <c r="BY126" s="117">
        <f t="shared" si="137"/>
        <v>5145.728213</v>
      </c>
      <c r="BZ126" s="117">
        <f t="shared" si="137"/>
        <v>5180.212403</v>
      </c>
      <c r="CA126" s="117">
        <f t="shared" si="137"/>
        <v>5216.496491</v>
      </c>
      <c r="CB126" s="117">
        <f t="shared" si="137"/>
        <v>5253.828916</v>
      </c>
      <c r="CC126" s="117">
        <f t="shared" si="137"/>
        <v>5291.644583</v>
      </c>
      <c r="CD126" s="117">
        <f t="shared" si="137"/>
        <v>5329.707132</v>
      </c>
      <c r="CE126" s="117">
        <f t="shared" si="137"/>
        <v>5367.895658</v>
      </c>
      <c r="CF126" s="117">
        <f t="shared" si="137"/>
        <v>5406.141901</v>
      </c>
      <c r="CG126" s="117">
        <f t="shared" si="137"/>
        <v>5444.406762</v>
      </c>
      <c r="CH126" s="117">
        <f t="shared" si="137"/>
        <v>5482.669429</v>
      </c>
      <c r="CI126" s="117">
        <f t="shared" si="137"/>
        <v>5520.921378</v>
      </c>
    </row>
    <row r="127" ht="15.75" customHeight="1" outlineLevel="1">
      <c r="A127" s="1" t="s">
        <v>278</v>
      </c>
      <c r="B127" s="132" t="s">
        <v>72</v>
      </c>
      <c r="C127" s="132" t="s">
        <v>255</v>
      </c>
      <c r="D127" s="117">
        <f t="shared" ref="D127:CI127" si="138">D164-SUMIFS(D$6:D$97,$C$6:$C$97,$C127)</f>
        <v>1361</v>
      </c>
      <c r="E127" s="117">
        <f t="shared" si="138"/>
        <v>1859</v>
      </c>
      <c r="F127" s="117">
        <f t="shared" si="138"/>
        <v>2345</v>
      </c>
      <c r="G127" s="117">
        <f t="shared" si="138"/>
        <v>2063</v>
      </c>
      <c r="H127" s="117">
        <f t="shared" si="138"/>
        <v>1310</v>
      </c>
      <c r="I127" s="117">
        <f t="shared" si="138"/>
        <v>1233</v>
      </c>
      <c r="J127" s="117">
        <f t="shared" si="138"/>
        <v>1041</v>
      </c>
      <c r="K127" s="117">
        <f t="shared" si="138"/>
        <v>1443</v>
      </c>
      <c r="L127" s="117">
        <f t="shared" si="138"/>
        <v>1316</v>
      </c>
      <c r="M127" s="117">
        <f t="shared" si="138"/>
        <v>1499</v>
      </c>
      <c r="N127" s="117">
        <f t="shared" si="138"/>
        <v>2372</v>
      </c>
      <c r="O127" s="117">
        <f t="shared" si="138"/>
        <v>1167</v>
      </c>
      <c r="P127" s="117">
        <f t="shared" si="138"/>
        <v>2050</v>
      </c>
      <c r="Q127" s="117">
        <f t="shared" si="138"/>
        <v>2144</v>
      </c>
      <c r="R127" s="117">
        <f t="shared" si="138"/>
        <v>1048</v>
      </c>
      <c r="S127" s="117">
        <f t="shared" si="138"/>
        <v>1643</v>
      </c>
      <c r="T127" s="117">
        <f t="shared" si="138"/>
        <v>2166</v>
      </c>
      <c r="U127" s="117">
        <f t="shared" si="138"/>
        <v>2351</v>
      </c>
      <c r="V127" s="117">
        <f t="shared" si="138"/>
        <v>2213</v>
      </c>
      <c r="W127" s="117">
        <f t="shared" si="138"/>
        <v>2010</v>
      </c>
      <c r="X127" s="117">
        <f t="shared" si="138"/>
        <v>2300</v>
      </c>
      <c r="Y127" s="117">
        <f t="shared" si="138"/>
        <v>1890</v>
      </c>
      <c r="Z127" s="117">
        <f t="shared" si="138"/>
        <v>1583</v>
      </c>
      <c r="AA127" s="117">
        <f t="shared" si="138"/>
        <v>2831.581261</v>
      </c>
      <c r="AB127" s="117">
        <f t="shared" si="138"/>
        <v>3334.912784</v>
      </c>
      <c r="AC127" s="117">
        <f t="shared" si="138"/>
        <v>3832.328613</v>
      </c>
      <c r="AD127" s="117">
        <f t="shared" si="138"/>
        <v>4287.855789</v>
      </c>
      <c r="AE127" s="117">
        <f t="shared" si="138"/>
        <v>4724.061046</v>
      </c>
      <c r="AF127" s="117">
        <f t="shared" si="138"/>
        <v>5157.467442</v>
      </c>
      <c r="AG127" s="117">
        <f t="shared" si="138"/>
        <v>5593.429641</v>
      </c>
      <c r="AH127" s="117">
        <f t="shared" si="138"/>
        <v>5986.425974</v>
      </c>
      <c r="AI127" s="117">
        <f t="shared" si="138"/>
        <v>6371.836649</v>
      </c>
      <c r="AJ127" s="117">
        <f t="shared" si="138"/>
        <v>6749.17745</v>
      </c>
      <c r="AK127" s="117">
        <f t="shared" si="138"/>
        <v>7099.956342</v>
      </c>
      <c r="AL127" s="117">
        <f t="shared" si="138"/>
        <v>7447.348889</v>
      </c>
      <c r="AM127" s="117">
        <f t="shared" si="138"/>
        <v>7799.115538</v>
      </c>
      <c r="AN127" s="117">
        <f t="shared" si="138"/>
        <v>8146.63619</v>
      </c>
      <c r="AO127" s="117">
        <f t="shared" si="138"/>
        <v>8208.528697</v>
      </c>
      <c r="AP127" s="117">
        <f t="shared" si="138"/>
        <v>8295.305035</v>
      </c>
      <c r="AQ127" s="117">
        <f t="shared" si="138"/>
        <v>8407.78501</v>
      </c>
      <c r="AR127" s="117">
        <f t="shared" si="138"/>
        <v>8527.197381</v>
      </c>
      <c r="AS127" s="117">
        <f t="shared" si="138"/>
        <v>8651.391145</v>
      </c>
      <c r="AT127" s="117">
        <f t="shared" si="138"/>
        <v>8774.227634</v>
      </c>
      <c r="AU127" s="117">
        <f t="shared" si="138"/>
        <v>8922.524494</v>
      </c>
      <c r="AV127" s="117">
        <f t="shared" si="138"/>
        <v>9042.218402</v>
      </c>
      <c r="AW127" s="117">
        <f t="shared" si="138"/>
        <v>9160.212983</v>
      </c>
      <c r="AX127" s="117">
        <f t="shared" si="138"/>
        <v>9276.576296</v>
      </c>
      <c r="AY127" s="117">
        <f t="shared" si="138"/>
        <v>9391.387434</v>
      </c>
      <c r="AZ127" s="117">
        <f t="shared" si="138"/>
        <v>9641.465204</v>
      </c>
      <c r="BA127" s="117">
        <f t="shared" si="138"/>
        <v>9829.712432</v>
      </c>
      <c r="BB127" s="117">
        <f t="shared" si="138"/>
        <v>10012.15584</v>
      </c>
      <c r="BC127" s="117">
        <f t="shared" si="138"/>
        <v>10189.90431</v>
      </c>
      <c r="BD127" s="117">
        <f t="shared" si="138"/>
        <v>10363.67482</v>
      </c>
      <c r="BE127" s="117">
        <f t="shared" si="138"/>
        <v>10533.92912</v>
      </c>
      <c r="BF127" s="117">
        <f t="shared" si="138"/>
        <v>10701.01924</v>
      </c>
      <c r="BG127" s="117">
        <f t="shared" si="138"/>
        <v>10865.23225</v>
      </c>
      <c r="BH127" s="117">
        <f t="shared" si="138"/>
        <v>11026.81048</v>
      </c>
      <c r="BI127" s="117">
        <f t="shared" si="138"/>
        <v>11185.96326</v>
      </c>
      <c r="BJ127" s="117">
        <f t="shared" si="138"/>
        <v>11342.87482</v>
      </c>
      <c r="BK127" s="117">
        <f t="shared" si="138"/>
        <v>11497.70979</v>
      </c>
      <c r="BL127" s="117">
        <f t="shared" si="138"/>
        <v>11721.48469</v>
      </c>
      <c r="BM127" s="117">
        <f t="shared" si="138"/>
        <v>11895.18544</v>
      </c>
      <c r="BN127" s="117">
        <f t="shared" si="138"/>
        <v>12052.49729</v>
      </c>
      <c r="BO127" s="117">
        <f t="shared" si="138"/>
        <v>12206.70029</v>
      </c>
      <c r="BP127" s="117">
        <f t="shared" si="138"/>
        <v>12360.13974</v>
      </c>
      <c r="BQ127" s="117">
        <f t="shared" si="138"/>
        <v>12512.87465</v>
      </c>
      <c r="BR127" s="117">
        <f t="shared" si="138"/>
        <v>12665.00672</v>
      </c>
      <c r="BS127" s="117">
        <f t="shared" si="138"/>
        <v>12816.63424</v>
      </c>
      <c r="BT127" s="117">
        <f t="shared" si="138"/>
        <v>12967.85024</v>
      </c>
      <c r="BU127" s="117">
        <f t="shared" si="138"/>
        <v>13118.74419</v>
      </c>
      <c r="BV127" s="117">
        <f t="shared" si="138"/>
        <v>13269.40299</v>
      </c>
      <c r="BW127" s="117">
        <f t="shared" si="138"/>
        <v>13419.91147</v>
      </c>
      <c r="BX127" s="117">
        <f t="shared" si="138"/>
        <v>13625.73736</v>
      </c>
      <c r="BY127" s="117">
        <f t="shared" si="138"/>
        <v>13721.9419</v>
      </c>
      <c r="BZ127" s="117">
        <f t="shared" si="138"/>
        <v>13813.89974</v>
      </c>
      <c r="CA127" s="117">
        <f t="shared" si="138"/>
        <v>13910.65731</v>
      </c>
      <c r="CB127" s="117">
        <f t="shared" si="138"/>
        <v>14010.21044</v>
      </c>
      <c r="CC127" s="117">
        <f t="shared" si="138"/>
        <v>14111.05222</v>
      </c>
      <c r="CD127" s="117">
        <f t="shared" si="138"/>
        <v>14212.55235</v>
      </c>
      <c r="CE127" s="117">
        <f t="shared" si="138"/>
        <v>14314.38842</v>
      </c>
      <c r="CF127" s="117">
        <f t="shared" si="138"/>
        <v>14416.3784</v>
      </c>
      <c r="CG127" s="117">
        <f t="shared" si="138"/>
        <v>14518.41803</v>
      </c>
      <c r="CH127" s="117">
        <f t="shared" si="138"/>
        <v>14620.45181</v>
      </c>
      <c r="CI127" s="117">
        <f t="shared" si="138"/>
        <v>14722.45701</v>
      </c>
    </row>
    <row r="128" ht="15.75" customHeight="1" outlineLevel="1">
      <c r="A128" s="1" t="s">
        <v>278</v>
      </c>
      <c r="B128" s="132" t="s">
        <v>72</v>
      </c>
      <c r="C128" s="132" t="s">
        <v>256</v>
      </c>
      <c r="D128" s="117">
        <f t="shared" ref="D128:CI128" si="139">D165-SUMIFS(D$6:D$97,$C$6:$C$97,$C128)</f>
        <v>1915</v>
      </c>
      <c r="E128" s="117">
        <f t="shared" si="139"/>
        <v>1346</v>
      </c>
      <c r="F128" s="117">
        <f t="shared" si="139"/>
        <v>1471</v>
      </c>
      <c r="G128" s="117">
        <f t="shared" si="139"/>
        <v>2332</v>
      </c>
      <c r="H128" s="117">
        <f t="shared" si="139"/>
        <v>1296</v>
      </c>
      <c r="I128" s="117">
        <f t="shared" si="139"/>
        <v>1882</v>
      </c>
      <c r="J128" s="117">
        <f t="shared" si="139"/>
        <v>1209</v>
      </c>
      <c r="K128" s="117">
        <f t="shared" si="139"/>
        <v>1608</v>
      </c>
      <c r="L128" s="117">
        <f t="shared" si="139"/>
        <v>1066</v>
      </c>
      <c r="M128" s="117">
        <f t="shared" si="139"/>
        <v>2158</v>
      </c>
      <c r="N128" s="117">
        <f t="shared" si="139"/>
        <v>2375</v>
      </c>
      <c r="O128" s="117">
        <f t="shared" si="139"/>
        <v>1486</v>
      </c>
      <c r="P128" s="117">
        <f t="shared" si="139"/>
        <v>1416</v>
      </c>
      <c r="Q128" s="117">
        <f t="shared" si="139"/>
        <v>1108</v>
      </c>
      <c r="R128" s="117">
        <f t="shared" si="139"/>
        <v>1945</v>
      </c>
      <c r="S128" s="117">
        <f t="shared" si="139"/>
        <v>2274</v>
      </c>
      <c r="T128" s="117">
        <f t="shared" si="139"/>
        <v>2189</v>
      </c>
      <c r="U128" s="117">
        <f t="shared" si="139"/>
        <v>1674</v>
      </c>
      <c r="V128" s="117">
        <f t="shared" si="139"/>
        <v>2312</v>
      </c>
      <c r="W128" s="117">
        <f t="shared" si="139"/>
        <v>1762</v>
      </c>
      <c r="X128" s="117">
        <f t="shared" si="139"/>
        <v>1517</v>
      </c>
      <c r="Y128" s="117">
        <f t="shared" si="139"/>
        <v>1283</v>
      </c>
      <c r="Z128" s="117">
        <f t="shared" si="139"/>
        <v>1222</v>
      </c>
      <c r="AA128" s="117">
        <f t="shared" si="139"/>
        <v>5375</v>
      </c>
      <c r="AB128" s="117">
        <f t="shared" si="139"/>
        <v>5375</v>
      </c>
      <c r="AC128" s="117">
        <f t="shared" si="139"/>
        <v>5375</v>
      </c>
      <c r="AD128" s="117">
        <f t="shared" si="139"/>
        <v>5375</v>
      </c>
      <c r="AE128" s="117">
        <f t="shared" si="139"/>
        <v>5375</v>
      </c>
      <c r="AF128" s="117">
        <f t="shared" si="139"/>
        <v>5375</v>
      </c>
      <c r="AG128" s="117">
        <f t="shared" si="139"/>
        <v>5575</v>
      </c>
      <c r="AH128" s="117">
        <f t="shared" si="139"/>
        <v>5575</v>
      </c>
      <c r="AI128" s="117">
        <f t="shared" si="139"/>
        <v>5575</v>
      </c>
      <c r="AJ128" s="117">
        <f t="shared" si="139"/>
        <v>5575</v>
      </c>
      <c r="AK128" s="117">
        <f t="shared" si="139"/>
        <v>5575</v>
      </c>
      <c r="AL128" s="117">
        <f t="shared" si="139"/>
        <v>5575</v>
      </c>
      <c r="AM128" s="117">
        <f t="shared" si="139"/>
        <v>5575</v>
      </c>
      <c r="AN128" s="117">
        <f t="shared" si="139"/>
        <v>5575</v>
      </c>
      <c r="AO128" s="117">
        <f t="shared" si="139"/>
        <v>5575</v>
      </c>
      <c r="AP128" s="117">
        <f t="shared" si="139"/>
        <v>5575</v>
      </c>
      <c r="AQ128" s="117">
        <f t="shared" si="139"/>
        <v>5575</v>
      </c>
      <c r="AR128" s="117">
        <f t="shared" si="139"/>
        <v>5575</v>
      </c>
      <c r="AS128" s="117">
        <f t="shared" si="139"/>
        <v>5575</v>
      </c>
      <c r="AT128" s="117">
        <f t="shared" si="139"/>
        <v>5575</v>
      </c>
      <c r="AU128" s="117">
        <f t="shared" si="139"/>
        <v>5575</v>
      </c>
      <c r="AV128" s="117">
        <f t="shared" si="139"/>
        <v>5575</v>
      </c>
      <c r="AW128" s="117">
        <f t="shared" si="139"/>
        <v>5575</v>
      </c>
      <c r="AX128" s="117">
        <f t="shared" si="139"/>
        <v>5575</v>
      </c>
      <c r="AY128" s="117">
        <f t="shared" si="139"/>
        <v>5575</v>
      </c>
      <c r="AZ128" s="117">
        <f t="shared" si="139"/>
        <v>5575</v>
      </c>
      <c r="BA128" s="117">
        <f t="shared" si="139"/>
        <v>5575</v>
      </c>
      <c r="BB128" s="117">
        <f t="shared" si="139"/>
        <v>5575</v>
      </c>
      <c r="BC128" s="117">
        <f t="shared" si="139"/>
        <v>5575</v>
      </c>
      <c r="BD128" s="117">
        <f t="shared" si="139"/>
        <v>5575</v>
      </c>
      <c r="BE128" s="117">
        <f t="shared" si="139"/>
        <v>5575</v>
      </c>
      <c r="BF128" s="117">
        <f t="shared" si="139"/>
        <v>5575</v>
      </c>
      <c r="BG128" s="117">
        <f t="shared" si="139"/>
        <v>5575</v>
      </c>
      <c r="BH128" s="117">
        <f t="shared" si="139"/>
        <v>5575</v>
      </c>
      <c r="BI128" s="117">
        <f t="shared" si="139"/>
        <v>5575</v>
      </c>
      <c r="BJ128" s="117">
        <f t="shared" si="139"/>
        <v>5575</v>
      </c>
      <c r="BK128" s="117">
        <f t="shared" si="139"/>
        <v>5575</v>
      </c>
      <c r="BL128" s="117">
        <f t="shared" si="139"/>
        <v>5575</v>
      </c>
      <c r="BM128" s="117">
        <f t="shared" si="139"/>
        <v>5575</v>
      </c>
      <c r="BN128" s="117">
        <f t="shared" si="139"/>
        <v>5575</v>
      </c>
      <c r="BO128" s="117">
        <f t="shared" si="139"/>
        <v>5575</v>
      </c>
      <c r="BP128" s="117">
        <f t="shared" si="139"/>
        <v>5575</v>
      </c>
      <c r="BQ128" s="117">
        <f t="shared" si="139"/>
        <v>5575</v>
      </c>
      <c r="BR128" s="117">
        <f t="shared" si="139"/>
        <v>5575</v>
      </c>
      <c r="BS128" s="117">
        <f t="shared" si="139"/>
        <v>5575</v>
      </c>
      <c r="BT128" s="117">
        <f t="shared" si="139"/>
        <v>5575</v>
      </c>
      <c r="BU128" s="117">
        <f t="shared" si="139"/>
        <v>5575</v>
      </c>
      <c r="BV128" s="117">
        <f t="shared" si="139"/>
        <v>5575</v>
      </c>
      <c r="BW128" s="117">
        <f t="shared" si="139"/>
        <v>5575</v>
      </c>
      <c r="BX128" s="117">
        <f t="shared" si="139"/>
        <v>5575</v>
      </c>
      <c r="BY128" s="117">
        <f t="shared" si="139"/>
        <v>5575</v>
      </c>
      <c r="BZ128" s="117">
        <f t="shared" si="139"/>
        <v>5575</v>
      </c>
      <c r="CA128" s="117">
        <f t="shared" si="139"/>
        <v>5575</v>
      </c>
      <c r="CB128" s="117">
        <f t="shared" si="139"/>
        <v>5575</v>
      </c>
      <c r="CC128" s="117">
        <f t="shared" si="139"/>
        <v>5575</v>
      </c>
      <c r="CD128" s="117">
        <f t="shared" si="139"/>
        <v>5575</v>
      </c>
      <c r="CE128" s="117">
        <f t="shared" si="139"/>
        <v>5575</v>
      </c>
      <c r="CF128" s="117">
        <f t="shared" si="139"/>
        <v>5575</v>
      </c>
      <c r="CG128" s="117">
        <f t="shared" si="139"/>
        <v>5575</v>
      </c>
      <c r="CH128" s="117">
        <f t="shared" si="139"/>
        <v>5575</v>
      </c>
      <c r="CI128" s="117">
        <f t="shared" si="139"/>
        <v>5575</v>
      </c>
    </row>
    <row r="129" ht="15.75" customHeight="1" outlineLevel="1">
      <c r="A129" s="1" t="s">
        <v>278</v>
      </c>
      <c r="B129" s="132" t="s">
        <v>72</v>
      </c>
      <c r="C129" s="132" t="s">
        <v>257</v>
      </c>
      <c r="D129" s="117">
        <f t="shared" ref="D129:CI129" si="140">D166-SUMIFS(D$6:D$97,$C$6:$C$97,$C129)</f>
        <v>1040</v>
      </c>
      <c r="E129" s="117">
        <f t="shared" si="140"/>
        <v>1780</v>
      </c>
      <c r="F129" s="117">
        <f t="shared" si="140"/>
        <v>1858</v>
      </c>
      <c r="G129" s="117">
        <f t="shared" si="140"/>
        <v>2021</v>
      </c>
      <c r="H129" s="117">
        <f t="shared" si="140"/>
        <v>1098</v>
      </c>
      <c r="I129" s="117">
        <f t="shared" si="140"/>
        <v>1438</v>
      </c>
      <c r="J129" s="117">
        <f t="shared" si="140"/>
        <v>1045</v>
      </c>
      <c r="K129" s="117">
        <f t="shared" si="140"/>
        <v>1783</v>
      </c>
      <c r="L129" s="117">
        <f t="shared" si="140"/>
        <v>2388</v>
      </c>
      <c r="M129" s="117">
        <f t="shared" si="140"/>
        <v>2064</v>
      </c>
      <c r="N129" s="117">
        <f t="shared" si="140"/>
        <v>1696</v>
      </c>
      <c r="O129" s="117">
        <f t="shared" si="140"/>
        <v>1898</v>
      </c>
      <c r="P129" s="117">
        <f t="shared" si="140"/>
        <v>1395</v>
      </c>
      <c r="Q129" s="117">
        <f t="shared" si="140"/>
        <v>1949</v>
      </c>
      <c r="R129" s="117">
        <f t="shared" si="140"/>
        <v>1506</v>
      </c>
      <c r="S129" s="117">
        <f t="shared" si="140"/>
        <v>1149</v>
      </c>
      <c r="T129" s="117">
        <f t="shared" si="140"/>
        <v>1526</v>
      </c>
      <c r="U129" s="117">
        <f t="shared" si="140"/>
        <v>1220</v>
      </c>
      <c r="V129" s="117">
        <f t="shared" si="140"/>
        <v>2404</v>
      </c>
      <c r="W129" s="117">
        <f t="shared" si="140"/>
        <v>1772</v>
      </c>
      <c r="X129" s="117">
        <f t="shared" si="140"/>
        <v>2194</v>
      </c>
      <c r="Y129" s="117">
        <f t="shared" si="140"/>
        <v>1170</v>
      </c>
      <c r="Z129" s="117">
        <f t="shared" si="140"/>
        <v>2204</v>
      </c>
      <c r="AA129" s="117">
        <f t="shared" si="140"/>
        <v>0</v>
      </c>
      <c r="AB129" s="117">
        <f t="shared" si="140"/>
        <v>0</v>
      </c>
      <c r="AC129" s="117">
        <f t="shared" si="140"/>
        <v>0</v>
      </c>
      <c r="AD129" s="117">
        <f t="shared" si="140"/>
        <v>0</v>
      </c>
      <c r="AE129" s="117">
        <f t="shared" si="140"/>
        <v>0</v>
      </c>
      <c r="AF129" s="117">
        <f t="shared" si="140"/>
        <v>0</v>
      </c>
      <c r="AG129" s="117">
        <f t="shared" si="140"/>
        <v>0</v>
      </c>
      <c r="AH129" s="117">
        <f t="shared" si="140"/>
        <v>0</v>
      </c>
      <c r="AI129" s="117">
        <f t="shared" si="140"/>
        <v>0</v>
      </c>
      <c r="AJ129" s="117">
        <f t="shared" si="140"/>
        <v>0</v>
      </c>
      <c r="AK129" s="117">
        <f t="shared" si="140"/>
        <v>0</v>
      </c>
      <c r="AL129" s="117">
        <f t="shared" si="140"/>
        <v>0</v>
      </c>
      <c r="AM129" s="117">
        <f t="shared" si="140"/>
        <v>0</v>
      </c>
      <c r="AN129" s="117">
        <f t="shared" si="140"/>
        <v>0</v>
      </c>
      <c r="AO129" s="117">
        <f t="shared" si="140"/>
        <v>0</v>
      </c>
      <c r="AP129" s="117">
        <f t="shared" si="140"/>
        <v>0</v>
      </c>
      <c r="AQ129" s="117">
        <f t="shared" si="140"/>
        <v>0</v>
      </c>
      <c r="AR129" s="117">
        <f t="shared" si="140"/>
        <v>0</v>
      </c>
      <c r="AS129" s="117">
        <f t="shared" si="140"/>
        <v>0</v>
      </c>
      <c r="AT129" s="117">
        <f t="shared" si="140"/>
        <v>0</v>
      </c>
      <c r="AU129" s="117">
        <f t="shared" si="140"/>
        <v>0</v>
      </c>
      <c r="AV129" s="117">
        <f t="shared" si="140"/>
        <v>0</v>
      </c>
      <c r="AW129" s="117">
        <f t="shared" si="140"/>
        <v>0</v>
      </c>
      <c r="AX129" s="117">
        <f t="shared" si="140"/>
        <v>0</v>
      </c>
      <c r="AY129" s="117">
        <f t="shared" si="140"/>
        <v>0</v>
      </c>
      <c r="AZ129" s="117">
        <f t="shared" si="140"/>
        <v>0</v>
      </c>
      <c r="BA129" s="117">
        <f t="shared" si="140"/>
        <v>0</v>
      </c>
      <c r="BB129" s="117">
        <f t="shared" si="140"/>
        <v>0</v>
      </c>
      <c r="BC129" s="117">
        <f t="shared" si="140"/>
        <v>0</v>
      </c>
      <c r="BD129" s="117">
        <f t="shared" si="140"/>
        <v>0</v>
      </c>
      <c r="BE129" s="117">
        <f t="shared" si="140"/>
        <v>0</v>
      </c>
      <c r="BF129" s="117">
        <f t="shared" si="140"/>
        <v>0</v>
      </c>
      <c r="BG129" s="117">
        <f t="shared" si="140"/>
        <v>0</v>
      </c>
      <c r="BH129" s="117">
        <f t="shared" si="140"/>
        <v>0</v>
      </c>
      <c r="BI129" s="117">
        <f t="shared" si="140"/>
        <v>0</v>
      </c>
      <c r="BJ129" s="117">
        <f t="shared" si="140"/>
        <v>0</v>
      </c>
      <c r="BK129" s="117">
        <f t="shared" si="140"/>
        <v>0</v>
      </c>
      <c r="BL129" s="117">
        <f t="shared" si="140"/>
        <v>0</v>
      </c>
      <c r="BM129" s="117">
        <f t="shared" si="140"/>
        <v>0</v>
      </c>
      <c r="BN129" s="117">
        <f t="shared" si="140"/>
        <v>0</v>
      </c>
      <c r="BO129" s="117">
        <f t="shared" si="140"/>
        <v>0</v>
      </c>
      <c r="BP129" s="117">
        <f t="shared" si="140"/>
        <v>0</v>
      </c>
      <c r="BQ129" s="117">
        <f t="shared" si="140"/>
        <v>0</v>
      </c>
      <c r="BR129" s="117">
        <f t="shared" si="140"/>
        <v>0</v>
      </c>
      <c r="BS129" s="117">
        <f t="shared" si="140"/>
        <v>0</v>
      </c>
      <c r="BT129" s="117">
        <f t="shared" si="140"/>
        <v>0</v>
      </c>
      <c r="BU129" s="117">
        <f t="shared" si="140"/>
        <v>0</v>
      </c>
      <c r="BV129" s="117">
        <f t="shared" si="140"/>
        <v>0</v>
      </c>
      <c r="BW129" s="117">
        <f t="shared" si="140"/>
        <v>0</v>
      </c>
      <c r="BX129" s="117">
        <f t="shared" si="140"/>
        <v>0</v>
      </c>
      <c r="BY129" s="117">
        <f t="shared" si="140"/>
        <v>0</v>
      </c>
      <c r="BZ129" s="117">
        <f t="shared" si="140"/>
        <v>0</v>
      </c>
      <c r="CA129" s="117">
        <f t="shared" si="140"/>
        <v>0</v>
      </c>
      <c r="CB129" s="117">
        <f t="shared" si="140"/>
        <v>0</v>
      </c>
      <c r="CC129" s="117">
        <f t="shared" si="140"/>
        <v>0</v>
      </c>
      <c r="CD129" s="117">
        <f t="shared" si="140"/>
        <v>0</v>
      </c>
      <c r="CE129" s="117">
        <f t="shared" si="140"/>
        <v>0</v>
      </c>
      <c r="CF129" s="117">
        <f t="shared" si="140"/>
        <v>0</v>
      </c>
      <c r="CG129" s="117">
        <f t="shared" si="140"/>
        <v>0</v>
      </c>
      <c r="CH129" s="117">
        <f t="shared" si="140"/>
        <v>0</v>
      </c>
      <c r="CI129" s="117">
        <f t="shared" si="140"/>
        <v>0</v>
      </c>
    </row>
    <row r="130" ht="15.75" customHeight="1" outlineLevel="1">
      <c r="A130" s="1" t="s">
        <v>278</v>
      </c>
      <c r="B130" s="91" t="s">
        <v>72</v>
      </c>
      <c r="C130" s="132" t="s">
        <v>258</v>
      </c>
      <c r="D130" s="117">
        <f t="shared" ref="D130:CI130" si="141">D167-SUMIFS(D$6:D$97,$C$6:$C$97,$C130)</f>
        <v>2233</v>
      </c>
      <c r="E130" s="117">
        <f t="shared" si="141"/>
        <v>2080</v>
      </c>
      <c r="F130" s="117">
        <f t="shared" si="141"/>
        <v>2358</v>
      </c>
      <c r="G130" s="117">
        <f t="shared" si="141"/>
        <v>1130</v>
      </c>
      <c r="H130" s="117">
        <f t="shared" si="141"/>
        <v>2192</v>
      </c>
      <c r="I130" s="117">
        <f t="shared" si="141"/>
        <v>2488</v>
      </c>
      <c r="J130" s="117">
        <f t="shared" si="141"/>
        <v>1206</v>
      </c>
      <c r="K130" s="117">
        <f t="shared" si="141"/>
        <v>2171</v>
      </c>
      <c r="L130" s="117">
        <f t="shared" si="141"/>
        <v>2070</v>
      </c>
      <c r="M130" s="117">
        <f t="shared" si="141"/>
        <v>2085</v>
      </c>
      <c r="N130" s="117">
        <f t="shared" si="141"/>
        <v>1334</v>
      </c>
      <c r="O130" s="117">
        <f t="shared" si="141"/>
        <v>1117</v>
      </c>
      <c r="P130" s="117">
        <f t="shared" si="141"/>
        <v>1302</v>
      </c>
      <c r="Q130" s="117">
        <f t="shared" si="141"/>
        <v>1406</v>
      </c>
      <c r="R130" s="117">
        <f t="shared" si="141"/>
        <v>1009</v>
      </c>
      <c r="S130" s="117">
        <f t="shared" si="141"/>
        <v>2335</v>
      </c>
      <c r="T130" s="117">
        <f t="shared" si="141"/>
        <v>1022</v>
      </c>
      <c r="U130" s="117">
        <f t="shared" si="141"/>
        <v>2329</v>
      </c>
      <c r="V130" s="117">
        <f t="shared" si="141"/>
        <v>1906</v>
      </c>
      <c r="W130" s="117">
        <f t="shared" si="141"/>
        <v>2178</v>
      </c>
      <c r="X130" s="117">
        <f t="shared" si="141"/>
        <v>1287</v>
      </c>
      <c r="Y130" s="117">
        <f t="shared" si="141"/>
        <v>1005</v>
      </c>
      <c r="Z130" s="117">
        <f t="shared" si="141"/>
        <v>1949</v>
      </c>
      <c r="AA130" s="117">
        <f t="shared" si="141"/>
        <v>4000</v>
      </c>
      <c r="AB130" s="117">
        <f t="shared" si="141"/>
        <v>4000</v>
      </c>
      <c r="AC130" s="117">
        <f t="shared" si="141"/>
        <v>4000</v>
      </c>
      <c r="AD130" s="117">
        <f t="shared" si="141"/>
        <v>4000</v>
      </c>
      <c r="AE130" s="117">
        <f t="shared" si="141"/>
        <v>4000</v>
      </c>
      <c r="AF130" s="117">
        <f t="shared" si="141"/>
        <v>4000</v>
      </c>
      <c r="AG130" s="117">
        <f t="shared" si="141"/>
        <v>4000</v>
      </c>
      <c r="AH130" s="117">
        <f t="shared" si="141"/>
        <v>4000</v>
      </c>
      <c r="AI130" s="117">
        <f t="shared" si="141"/>
        <v>4000</v>
      </c>
      <c r="AJ130" s="117">
        <f t="shared" si="141"/>
        <v>4000</v>
      </c>
      <c r="AK130" s="117">
        <f t="shared" si="141"/>
        <v>4000</v>
      </c>
      <c r="AL130" s="117">
        <f t="shared" si="141"/>
        <v>4000</v>
      </c>
      <c r="AM130" s="117">
        <f t="shared" si="141"/>
        <v>4000</v>
      </c>
      <c r="AN130" s="117">
        <f t="shared" si="141"/>
        <v>4000</v>
      </c>
      <c r="AO130" s="117">
        <f t="shared" si="141"/>
        <v>4000</v>
      </c>
      <c r="AP130" s="117">
        <f t="shared" si="141"/>
        <v>4000</v>
      </c>
      <c r="AQ130" s="117">
        <f t="shared" si="141"/>
        <v>4000</v>
      </c>
      <c r="AR130" s="117">
        <f t="shared" si="141"/>
        <v>4000</v>
      </c>
      <c r="AS130" s="117">
        <f t="shared" si="141"/>
        <v>4000</v>
      </c>
      <c r="AT130" s="117">
        <f t="shared" si="141"/>
        <v>4000</v>
      </c>
      <c r="AU130" s="117">
        <f t="shared" si="141"/>
        <v>4000</v>
      </c>
      <c r="AV130" s="117">
        <f t="shared" si="141"/>
        <v>4000</v>
      </c>
      <c r="AW130" s="117">
        <f t="shared" si="141"/>
        <v>4000</v>
      </c>
      <c r="AX130" s="117">
        <f t="shared" si="141"/>
        <v>4000</v>
      </c>
      <c r="AY130" s="117">
        <f t="shared" si="141"/>
        <v>4000</v>
      </c>
      <c r="AZ130" s="117">
        <f t="shared" si="141"/>
        <v>4000</v>
      </c>
      <c r="BA130" s="117">
        <f t="shared" si="141"/>
        <v>4000</v>
      </c>
      <c r="BB130" s="117">
        <f t="shared" si="141"/>
        <v>4000</v>
      </c>
      <c r="BC130" s="117">
        <f t="shared" si="141"/>
        <v>4000</v>
      </c>
      <c r="BD130" s="117">
        <f t="shared" si="141"/>
        <v>4000</v>
      </c>
      <c r="BE130" s="117">
        <f t="shared" si="141"/>
        <v>4000</v>
      </c>
      <c r="BF130" s="117">
        <f t="shared" si="141"/>
        <v>4000</v>
      </c>
      <c r="BG130" s="117">
        <f t="shared" si="141"/>
        <v>4000</v>
      </c>
      <c r="BH130" s="117">
        <f t="shared" si="141"/>
        <v>4000</v>
      </c>
      <c r="BI130" s="117">
        <f t="shared" si="141"/>
        <v>4000</v>
      </c>
      <c r="BJ130" s="117">
        <f t="shared" si="141"/>
        <v>4000</v>
      </c>
      <c r="BK130" s="117">
        <f t="shared" si="141"/>
        <v>4000</v>
      </c>
      <c r="BL130" s="117">
        <f t="shared" si="141"/>
        <v>4000</v>
      </c>
      <c r="BM130" s="117">
        <f t="shared" si="141"/>
        <v>4000</v>
      </c>
      <c r="BN130" s="117">
        <f t="shared" si="141"/>
        <v>4000</v>
      </c>
      <c r="BO130" s="117">
        <f t="shared" si="141"/>
        <v>4000</v>
      </c>
      <c r="BP130" s="117">
        <f t="shared" si="141"/>
        <v>4000</v>
      </c>
      <c r="BQ130" s="117">
        <f t="shared" si="141"/>
        <v>4000</v>
      </c>
      <c r="BR130" s="117">
        <f t="shared" si="141"/>
        <v>4000</v>
      </c>
      <c r="BS130" s="117">
        <f t="shared" si="141"/>
        <v>4000</v>
      </c>
      <c r="BT130" s="117">
        <f t="shared" si="141"/>
        <v>4000</v>
      </c>
      <c r="BU130" s="117">
        <f t="shared" si="141"/>
        <v>4000</v>
      </c>
      <c r="BV130" s="117">
        <f t="shared" si="141"/>
        <v>4000</v>
      </c>
      <c r="BW130" s="117">
        <f t="shared" si="141"/>
        <v>4000</v>
      </c>
      <c r="BX130" s="117">
        <f t="shared" si="141"/>
        <v>4000</v>
      </c>
      <c r="BY130" s="117">
        <f t="shared" si="141"/>
        <v>4000</v>
      </c>
      <c r="BZ130" s="117">
        <f t="shared" si="141"/>
        <v>4000</v>
      </c>
      <c r="CA130" s="117">
        <f t="shared" si="141"/>
        <v>4000</v>
      </c>
      <c r="CB130" s="117">
        <f t="shared" si="141"/>
        <v>4000</v>
      </c>
      <c r="CC130" s="117">
        <f t="shared" si="141"/>
        <v>4000</v>
      </c>
      <c r="CD130" s="117">
        <f t="shared" si="141"/>
        <v>4000</v>
      </c>
      <c r="CE130" s="117">
        <f t="shared" si="141"/>
        <v>4000</v>
      </c>
      <c r="CF130" s="117">
        <f t="shared" si="141"/>
        <v>4000</v>
      </c>
      <c r="CG130" s="117">
        <f t="shared" si="141"/>
        <v>4000</v>
      </c>
      <c r="CH130" s="117">
        <f t="shared" si="141"/>
        <v>4000</v>
      </c>
      <c r="CI130" s="117">
        <f t="shared" si="141"/>
        <v>4000</v>
      </c>
    </row>
    <row r="131" ht="15.75" customHeight="1" outlineLevel="1">
      <c r="A131" s="1" t="s">
        <v>278</v>
      </c>
      <c r="B131" s="91" t="s">
        <v>72</v>
      </c>
      <c r="C131" s="132" t="s">
        <v>260</v>
      </c>
      <c r="D131" s="117">
        <f t="shared" ref="D131:CI131" si="142">D168-SUMIFS(D$6:D$97,$C$6:$C$97,$C131)</f>
        <v>1965</v>
      </c>
      <c r="E131" s="117">
        <f t="shared" si="142"/>
        <v>1492</v>
      </c>
      <c r="F131" s="117">
        <f t="shared" si="142"/>
        <v>1878</v>
      </c>
      <c r="G131" s="117">
        <f t="shared" si="142"/>
        <v>2047</v>
      </c>
      <c r="H131" s="117">
        <f t="shared" si="142"/>
        <v>1504</v>
      </c>
      <c r="I131" s="117">
        <f t="shared" si="142"/>
        <v>1667</v>
      </c>
      <c r="J131" s="117">
        <f t="shared" si="142"/>
        <v>1004</v>
      </c>
      <c r="K131" s="117">
        <f t="shared" si="142"/>
        <v>2209</v>
      </c>
      <c r="L131" s="117">
        <f t="shared" si="142"/>
        <v>1680</v>
      </c>
      <c r="M131" s="117">
        <f t="shared" si="142"/>
        <v>2300</v>
      </c>
      <c r="N131" s="117">
        <f t="shared" si="142"/>
        <v>1975</v>
      </c>
      <c r="O131" s="117">
        <f t="shared" si="142"/>
        <v>1140</v>
      </c>
      <c r="P131" s="117">
        <f t="shared" si="142"/>
        <v>1411</v>
      </c>
      <c r="Q131" s="117">
        <f t="shared" si="142"/>
        <v>2253</v>
      </c>
      <c r="R131" s="117">
        <f t="shared" si="142"/>
        <v>1054</v>
      </c>
      <c r="S131" s="117">
        <f t="shared" si="142"/>
        <v>1848</v>
      </c>
      <c r="T131" s="117">
        <f t="shared" si="142"/>
        <v>1058</v>
      </c>
      <c r="U131" s="117">
        <f t="shared" si="142"/>
        <v>1310</v>
      </c>
      <c r="V131" s="117">
        <f t="shared" si="142"/>
        <v>2483</v>
      </c>
      <c r="W131" s="117">
        <f t="shared" si="142"/>
        <v>2435</v>
      </c>
      <c r="X131" s="117">
        <f t="shared" si="142"/>
        <v>1688</v>
      </c>
      <c r="Y131" s="117">
        <f t="shared" si="142"/>
        <v>1482</v>
      </c>
      <c r="Z131" s="117">
        <f t="shared" si="142"/>
        <v>1995</v>
      </c>
      <c r="AA131" s="117">
        <f t="shared" si="142"/>
        <v>0</v>
      </c>
      <c r="AB131" s="117">
        <f t="shared" si="142"/>
        <v>0</v>
      </c>
      <c r="AC131" s="117">
        <f t="shared" si="142"/>
        <v>0</v>
      </c>
      <c r="AD131" s="117">
        <f t="shared" si="142"/>
        <v>0</v>
      </c>
      <c r="AE131" s="117">
        <f t="shared" si="142"/>
        <v>0</v>
      </c>
      <c r="AF131" s="117">
        <f t="shared" si="142"/>
        <v>0</v>
      </c>
      <c r="AG131" s="117">
        <f t="shared" si="142"/>
        <v>0</v>
      </c>
      <c r="AH131" s="117">
        <f t="shared" si="142"/>
        <v>0</v>
      </c>
      <c r="AI131" s="117">
        <f t="shared" si="142"/>
        <v>0</v>
      </c>
      <c r="AJ131" s="117">
        <f t="shared" si="142"/>
        <v>0</v>
      </c>
      <c r="AK131" s="117">
        <f t="shared" si="142"/>
        <v>0</v>
      </c>
      <c r="AL131" s="117">
        <f t="shared" si="142"/>
        <v>0</v>
      </c>
      <c r="AM131" s="117">
        <f t="shared" si="142"/>
        <v>0</v>
      </c>
      <c r="AN131" s="117">
        <f t="shared" si="142"/>
        <v>0</v>
      </c>
      <c r="AO131" s="117">
        <f t="shared" si="142"/>
        <v>0</v>
      </c>
      <c r="AP131" s="117">
        <f t="shared" si="142"/>
        <v>0</v>
      </c>
      <c r="AQ131" s="117">
        <f t="shared" si="142"/>
        <v>0</v>
      </c>
      <c r="AR131" s="117">
        <f t="shared" si="142"/>
        <v>0</v>
      </c>
      <c r="AS131" s="117">
        <f t="shared" si="142"/>
        <v>0</v>
      </c>
      <c r="AT131" s="117">
        <f t="shared" si="142"/>
        <v>0</v>
      </c>
      <c r="AU131" s="117">
        <f t="shared" si="142"/>
        <v>0</v>
      </c>
      <c r="AV131" s="117">
        <f t="shared" si="142"/>
        <v>0</v>
      </c>
      <c r="AW131" s="117">
        <f t="shared" si="142"/>
        <v>0</v>
      </c>
      <c r="AX131" s="117">
        <f t="shared" si="142"/>
        <v>0</v>
      </c>
      <c r="AY131" s="117">
        <f t="shared" si="142"/>
        <v>0</v>
      </c>
      <c r="AZ131" s="117">
        <f t="shared" si="142"/>
        <v>0</v>
      </c>
      <c r="BA131" s="117">
        <f t="shared" si="142"/>
        <v>0</v>
      </c>
      <c r="BB131" s="117">
        <f t="shared" si="142"/>
        <v>0</v>
      </c>
      <c r="BC131" s="117">
        <f t="shared" si="142"/>
        <v>0</v>
      </c>
      <c r="BD131" s="117">
        <f t="shared" si="142"/>
        <v>0</v>
      </c>
      <c r="BE131" s="117">
        <f t="shared" si="142"/>
        <v>0</v>
      </c>
      <c r="BF131" s="117">
        <f t="shared" si="142"/>
        <v>0</v>
      </c>
      <c r="BG131" s="117">
        <f t="shared" si="142"/>
        <v>0</v>
      </c>
      <c r="BH131" s="117">
        <f t="shared" si="142"/>
        <v>0</v>
      </c>
      <c r="BI131" s="117">
        <f t="shared" si="142"/>
        <v>0</v>
      </c>
      <c r="BJ131" s="117">
        <f t="shared" si="142"/>
        <v>0</v>
      </c>
      <c r="BK131" s="117">
        <f t="shared" si="142"/>
        <v>0</v>
      </c>
      <c r="BL131" s="117">
        <f t="shared" si="142"/>
        <v>0</v>
      </c>
      <c r="BM131" s="117">
        <f t="shared" si="142"/>
        <v>0</v>
      </c>
      <c r="BN131" s="117">
        <f t="shared" si="142"/>
        <v>0</v>
      </c>
      <c r="BO131" s="117">
        <f t="shared" si="142"/>
        <v>0</v>
      </c>
      <c r="BP131" s="117">
        <f t="shared" si="142"/>
        <v>0</v>
      </c>
      <c r="BQ131" s="117">
        <f t="shared" si="142"/>
        <v>0</v>
      </c>
      <c r="BR131" s="117">
        <f t="shared" si="142"/>
        <v>0</v>
      </c>
      <c r="BS131" s="117">
        <f t="shared" si="142"/>
        <v>0</v>
      </c>
      <c r="BT131" s="117">
        <f t="shared" si="142"/>
        <v>0</v>
      </c>
      <c r="BU131" s="117">
        <f t="shared" si="142"/>
        <v>0</v>
      </c>
      <c r="BV131" s="117">
        <f t="shared" si="142"/>
        <v>0</v>
      </c>
      <c r="BW131" s="117">
        <f t="shared" si="142"/>
        <v>0</v>
      </c>
      <c r="BX131" s="117">
        <f t="shared" si="142"/>
        <v>0</v>
      </c>
      <c r="BY131" s="117">
        <f t="shared" si="142"/>
        <v>0</v>
      </c>
      <c r="BZ131" s="117">
        <f t="shared" si="142"/>
        <v>0</v>
      </c>
      <c r="CA131" s="117">
        <f t="shared" si="142"/>
        <v>0</v>
      </c>
      <c r="CB131" s="117">
        <f t="shared" si="142"/>
        <v>0</v>
      </c>
      <c r="CC131" s="117">
        <f t="shared" si="142"/>
        <v>0</v>
      </c>
      <c r="CD131" s="117">
        <f t="shared" si="142"/>
        <v>0</v>
      </c>
      <c r="CE131" s="117">
        <f t="shared" si="142"/>
        <v>0</v>
      </c>
      <c r="CF131" s="117">
        <f t="shared" si="142"/>
        <v>0</v>
      </c>
      <c r="CG131" s="117">
        <f t="shared" si="142"/>
        <v>0</v>
      </c>
      <c r="CH131" s="117">
        <f t="shared" si="142"/>
        <v>0</v>
      </c>
      <c r="CI131" s="117">
        <f t="shared" si="142"/>
        <v>0</v>
      </c>
    </row>
    <row r="132" ht="15.75" customHeight="1">
      <c r="A132" s="1"/>
      <c r="B132" s="91"/>
      <c r="C132" s="257" t="s">
        <v>261</v>
      </c>
      <c r="D132" s="514">
        <f t="shared" ref="D132:CI132" si="143">SUM(D98:D131)</f>
        <v>-133699</v>
      </c>
      <c r="E132" s="514">
        <f t="shared" si="143"/>
        <v>-141324</v>
      </c>
      <c r="F132" s="514">
        <f t="shared" si="143"/>
        <v>-136505</v>
      </c>
      <c r="G132" s="514">
        <f t="shared" si="143"/>
        <v>-110958</v>
      </c>
      <c r="H132" s="514">
        <f t="shared" si="143"/>
        <v>-117368</v>
      </c>
      <c r="I132" s="514">
        <f t="shared" si="143"/>
        <v>-136949</v>
      </c>
      <c r="J132" s="514">
        <f t="shared" si="143"/>
        <v>-152003</v>
      </c>
      <c r="K132" s="514">
        <f t="shared" si="143"/>
        <v>-141172</v>
      </c>
      <c r="L132" s="514">
        <f t="shared" si="143"/>
        <v>-138785</v>
      </c>
      <c r="M132" s="514">
        <f t="shared" si="143"/>
        <v>-119930</v>
      </c>
      <c r="N132" s="514">
        <f t="shared" si="143"/>
        <v>-117982</v>
      </c>
      <c r="O132" s="514">
        <f t="shared" si="143"/>
        <v>-127409</v>
      </c>
      <c r="P132" s="514">
        <f t="shared" si="143"/>
        <v>-143020</v>
      </c>
      <c r="Q132" s="514">
        <f t="shared" si="143"/>
        <v>-121825</v>
      </c>
      <c r="R132" s="514">
        <f t="shared" si="143"/>
        <v>-127936</v>
      </c>
      <c r="S132" s="514">
        <f t="shared" si="143"/>
        <v>-124805</v>
      </c>
      <c r="T132" s="514">
        <f t="shared" si="143"/>
        <v>-119672</v>
      </c>
      <c r="U132" s="514">
        <f t="shared" si="143"/>
        <v>-123185</v>
      </c>
      <c r="V132" s="514">
        <f t="shared" si="143"/>
        <v>-145642</v>
      </c>
      <c r="W132" s="514">
        <f t="shared" si="143"/>
        <v>-124961</v>
      </c>
      <c r="X132" s="514">
        <f t="shared" si="143"/>
        <v>-130853</v>
      </c>
      <c r="Y132" s="514">
        <f t="shared" si="143"/>
        <v>-131001</v>
      </c>
      <c r="Z132" s="514">
        <f t="shared" si="143"/>
        <v>-120537</v>
      </c>
      <c r="AA132" s="514">
        <f t="shared" si="143"/>
        <v>-546004.1827</v>
      </c>
      <c r="AB132" s="514">
        <f t="shared" si="143"/>
        <v>-842365.6825</v>
      </c>
      <c r="AC132" s="514">
        <f t="shared" si="143"/>
        <v>-944715.6777</v>
      </c>
      <c r="AD132" s="514">
        <f t="shared" si="143"/>
        <v>-989760.2188</v>
      </c>
      <c r="AE132" s="514">
        <f t="shared" si="143"/>
        <v>-1058353.002</v>
      </c>
      <c r="AF132" s="514">
        <f t="shared" si="143"/>
        <v>-1084337.283</v>
      </c>
      <c r="AG132" s="514">
        <f t="shared" si="143"/>
        <v>-1093779.877</v>
      </c>
      <c r="AH132" s="514">
        <f t="shared" si="143"/>
        <v>-1141270.248</v>
      </c>
      <c r="AI132" s="514">
        <f t="shared" si="143"/>
        <v>-1222337.141</v>
      </c>
      <c r="AJ132" s="514">
        <f t="shared" si="143"/>
        <v>-1299949.081</v>
      </c>
      <c r="AK132" s="514">
        <f t="shared" si="143"/>
        <v>-1358629.4</v>
      </c>
      <c r="AL132" s="514">
        <f t="shared" si="143"/>
        <v>-1437258.734</v>
      </c>
      <c r="AM132" s="514">
        <f t="shared" si="143"/>
        <v>-1474690.806</v>
      </c>
      <c r="AN132" s="514">
        <f t="shared" si="143"/>
        <v>-1543648.927</v>
      </c>
      <c r="AO132" s="514">
        <f t="shared" si="143"/>
        <v>-1558241.909</v>
      </c>
      <c r="AP132" s="514">
        <f t="shared" si="143"/>
        <v>-1560517.135</v>
      </c>
      <c r="AQ132" s="514">
        <f t="shared" si="143"/>
        <v>-1562495.923</v>
      </c>
      <c r="AR132" s="514">
        <f t="shared" si="143"/>
        <v>-1605795.79</v>
      </c>
      <c r="AS132" s="514">
        <f t="shared" si="143"/>
        <v>-1620687.021</v>
      </c>
      <c r="AT132" s="514">
        <f t="shared" si="143"/>
        <v>-1621668.379</v>
      </c>
      <c r="AU132" s="514">
        <f t="shared" si="143"/>
        <v>-1623631.907</v>
      </c>
      <c r="AV132" s="514">
        <f t="shared" si="143"/>
        <v>-1667677.592</v>
      </c>
      <c r="AW132" s="514">
        <f t="shared" si="143"/>
        <v>-1683037.581</v>
      </c>
      <c r="AX132" s="514">
        <f t="shared" si="143"/>
        <v>-1685220.63</v>
      </c>
      <c r="AY132" s="514">
        <f t="shared" si="143"/>
        <v>-1687451.129</v>
      </c>
      <c r="AZ132" s="514">
        <f t="shared" si="143"/>
        <v>-1724542.904</v>
      </c>
      <c r="BA132" s="514">
        <f t="shared" si="143"/>
        <v>-1739666.27</v>
      </c>
      <c r="BB132" s="514">
        <f t="shared" si="143"/>
        <v>-1741573.768</v>
      </c>
      <c r="BC132" s="514">
        <f t="shared" si="143"/>
        <v>-1743461.163</v>
      </c>
      <c r="BD132" s="514">
        <f t="shared" si="143"/>
        <v>-1844355.313</v>
      </c>
      <c r="BE132" s="514">
        <f t="shared" si="143"/>
        <v>-1860417.082</v>
      </c>
      <c r="BF132" s="514">
        <f t="shared" si="143"/>
        <v>-1897136.069</v>
      </c>
      <c r="BG132" s="514">
        <f t="shared" si="143"/>
        <v>-1956436.913</v>
      </c>
      <c r="BH132" s="514">
        <f t="shared" si="143"/>
        <v>-2010429.822</v>
      </c>
      <c r="BI132" s="514">
        <f t="shared" si="143"/>
        <v>-2084307.976</v>
      </c>
      <c r="BJ132" s="514">
        <f t="shared" si="143"/>
        <v>-2086547.293</v>
      </c>
      <c r="BK132" s="514">
        <f t="shared" si="143"/>
        <v>-2088829.155</v>
      </c>
      <c r="BL132" s="514">
        <f t="shared" si="143"/>
        <v>-2199695.897</v>
      </c>
      <c r="BM132" s="514">
        <f t="shared" si="143"/>
        <v>-2215457.603</v>
      </c>
      <c r="BN132" s="514">
        <f t="shared" si="143"/>
        <v>-2217721.074</v>
      </c>
      <c r="BO132" s="514">
        <f t="shared" si="143"/>
        <v>-2279449.444</v>
      </c>
      <c r="BP132" s="514">
        <f t="shared" si="143"/>
        <v>-2384037.398</v>
      </c>
      <c r="BQ132" s="514">
        <f t="shared" si="143"/>
        <v>-2403182.939</v>
      </c>
      <c r="BR132" s="514">
        <f t="shared" si="143"/>
        <v>-2466339.384</v>
      </c>
      <c r="BS132" s="514">
        <f t="shared" si="143"/>
        <v>-2468783.294</v>
      </c>
      <c r="BT132" s="514">
        <f t="shared" si="143"/>
        <v>-2543115.323</v>
      </c>
      <c r="BU132" s="514">
        <f t="shared" si="143"/>
        <v>-2624726.492</v>
      </c>
      <c r="BV132" s="514">
        <f t="shared" si="143"/>
        <v>-2627280.238</v>
      </c>
      <c r="BW132" s="514">
        <f t="shared" si="143"/>
        <v>-2629869.75</v>
      </c>
      <c r="BX132" s="514">
        <f t="shared" si="143"/>
        <v>-2761151.582</v>
      </c>
      <c r="BY132" s="514">
        <f t="shared" si="143"/>
        <v>-2781641.252</v>
      </c>
      <c r="BZ132" s="514">
        <f t="shared" si="143"/>
        <v>-2784707.299</v>
      </c>
      <c r="CA132" s="514">
        <f t="shared" si="143"/>
        <v>-2787709.132</v>
      </c>
      <c r="CB132" s="514">
        <f t="shared" si="143"/>
        <v>-2874113.418</v>
      </c>
      <c r="CC132" s="514">
        <f t="shared" si="143"/>
        <v>-2895300.359</v>
      </c>
      <c r="CD132" s="514">
        <f t="shared" si="143"/>
        <v>-2897326.887</v>
      </c>
      <c r="CE132" s="514">
        <f t="shared" si="143"/>
        <v>-2900459.986</v>
      </c>
      <c r="CF132" s="514">
        <f t="shared" si="143"/>
        <v>-2990155.999</v>
      </c>
      <c r="CG132" s="514">
        <f t="shared" si="143"/>
        <v>-3011723.205</v>
      </c>
      <c r="CH132" s="514">
        <f t="shared" si="143"/>
        <v>-3014973.453</v>
      </c>
      <c r="CI132" s="514">
        <f t="shared" si="143"/>
        <v>-3018263.519</v>
      </c>
    </row>
    <row r="133" ht="15.75" customHeight="1">
      <c r="A133" s="1"/>
      <c r="B133" s="1"/>
      <c r="C133" s="1"/>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c r="BS133" s="117"/>
      <c r="BT133" s="117"/>
      <c r="BU133" s="117"/>
      <c r="BV133" s="117"/>
      <c r="BW133" s="117"/>
      <c r="BX133" s="117"/>
      <c r="BY133" s="117"/>
      <c r="BZ133" s="117"/>
      <c r="CA133" s="117"/>
      <c r="CB133" s="117"/>
      <c r="CC133" s="117"/>
      <c r="CD133" s="117"/>
      <c r="CE133" s="117"/>
      <c r="CF133" s="117"/>
      <c r="CG133" s="117"/>
      <c r="CH133" s="117"/>
      <c r="CI133" s="117"/>
    </row>
    <row r="134" ht="15.75" customHeight="1">
      <c r="A134" s="1"/>
      <c r="B134" s="91"/>
      <c r="C134" s="115" t="s">
        <v>114</v>
      </c>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7"/>
      <c r="BO134" s="117"/>
      <c r="BP134" s="117"/>
      <c r="BQ134" s="117"/>
      <c r="BR134" s="117"/>
      <c r="BS134" s="117"/>
      <c r="BT134" s="117"/>
      <c r="BU134" s="117"/>
      <c r="BV134" s="117"/>
      <c r="BW134" s="117"/>
      <c r="BX134" s="117"/>
      <c r="BY134" s="117"/>
      <c r="BZ134" s="117"/>
      <c r="CA134" s="117"/>
      <c r="CB134" s="117"/>
      <c r="CC134" s="117"/>
      <c r="CD134" s="117"/>
      <c r="CE134" s="117"/>
      <c r="CF134" s="117"/>
      <c r="CG134" s="117"/>
      <c r="CH134" s="117"/>
      <c r="CI134" s="117"/>
    </row>
    <row r="135" ht="15.75" customHeight="1" outlineLevel="1">
      <c r="A135" s="1" t="s">
        <v>174</v>
      </c>
      <c r="B135" s="91" t="s">
        <v>175</v>
      </c>
      <c r="C135" s="132" t="s">
        <v>222</v>
      </c>
      <c r="D135" s="116">
        <f>SUMIFS('IS Proforma'!P:P,'IS Proforma'!$C:$C,'Opex Departments'!$C135,'IS Proforma'!$A:$A,'Opex Departments'!$A135)</f>
        <v>1975</v>
      </c>
      <c r="E135" s="116">
        <f>SUMIFS('IS Proforma'!Q:Q,'IS Proforma'!$C:$C,'Opex Departments'!$C135,'IS Proforma'!$A:$A,'Opex Departments'!$A135)</f>
        <v>1721</v>
      </c>
      <c r="F135" s="116">
        <f>SUMIFS('IS Proforma'!R:R,'IS Proforma'!$C:$C,'Opex Departments'!$C135,'IS Proforma'!$A:$A,'Opex Departments'!$A135)</f>
        <v>2399</v>
      </c>
      <c r="G135" s="116">
        <f>SUMIFS('IS Proforma'!S:S,'IS Proforma'!$C:$C,'Opex Departments'!$C135,'IS Proforma'!$A:$A,'Opex Departments'!$A135)</f>
        <v>1201</v>
      </c>
      <c r="H135" s="116">
        <f>SUMIFS('IS Proforma'!T:T,'IS Proforma'!$C:$C,'Opex Departments'!$C135,'IS Proforma'!$A:$A,'Opex Departments'!$A135)</f>
        <v>1477</v>
      </c>
      <c r="I135" s="116">
        <f>SUMIFS('IS Proforma'!U:U,'IS Proforma'!$C:$C,'Opex Departments'!$C135,'IS Proforma'!$A:$A,'Opex Departments'!$A135)</f>
        <v>1164</v>
      </c>
      <c r="J135" s="116">
        <f>SUMIFS('IS Proforma'!V:V,'IS Proforma'!$C:$C,'Opex Departments'!$C135,'IS Proforma'!$A:$A,'Opex Departments'!$A135)</f>
        <v>2019</v>
      </c>
      <c r="K135" s="116">
        <f>SUMIFS('IS Proforma'!W:W,'IS Proforma'!$C:$C,'Opex Departments'!$C135,'IS Proforma'!$A:$A,'Opex Departments'!$A135)</f>
        <v>1434</v>
      </c>
      <c r="L135" s="116">
        <f>SUMIFS('IS Proforma'!X:X,'IS Proforma'!$C:$C,'Opex Departments'!$C135,'IS Proforma'!$A:$A,'Opex Departments'!$A135)</f>
        <v>2080</v>
      </c>
      <c r="M135" s="116">
        <f>SUMIFS('IS Proforma'!Y:Y,'IS Proforma'!$C:$C,'Opex Departments'!$C135,'IS Proforma'!$A:$A,'Opex Departments'!$A135)</f>
        <v>1593</v>
      </c>
      <c r="N135" s="116">
        <f>SUMIFS('IS Proforma'!Z:Z,'IS Proforma'!$C:$C,'Opex Departments'!$C135,'IS Proforma'!$A:$A,'Opex Departments'!$A135)</f>
        <v>1737</v>
      </c>
      <c r="O135" s="116">
        <f>SUMIFS('IS Proforma'!AA:AA,'IS Proforma'!$C:$C,'Opex Departments'!$C135,'IS Proforma'!$A:$A,'Opex Departments'!$A135)</f>
        <v>2445</v>
      </c>
      <c r="P135" s="116">
        <f>SUMIFS('IS Proforma'!AB:AB,'IS Proforma'!$C:$C,'Opex Departments'!$C135,'IS Proforma'!$A:$A,'Opex Departments'!$A135)</f>
        <v>1171</v>
      </c>
      <c r="Q135" s="116">
        <f>SUMIFS('IS Proforma'!AC:AC,'IS Proforma'!$C:$C,'Opex Departments'!$C135,'IS Proforma'!$A:$A,'Opex Departments'!$A135)</f>
        <v>1923</v>
      </c>
      <c r="R135" s="116">
        <f>SUMIFS('IS Proforma'!AD:AD,'IS Proforma'!$C:$C,'Opex Departments'!$C135,'IS Proforma'!$A:$A,'Opex Departments'!$A135)</f>
        <v>1908</v>
      </c>
      <c r="S135" s="116">
        <f>SUMIFS('IS Proforma'!AE:AE,'IS Proforma'!$C:$C,'Opex Departments'!$C135,'IS Proforma'!$A:$A,'Opex Departments'!$A135)</f>
        <v>2295</v>
      </c>
      <c r="T135" s="116">
        <f>SUMIFS('IS Proforma'!AF:AF,'IS Proforma'!$C:$C,'Opex Departments'!$C135,'IS Proforma'!$A:$A,'Opex Departments'!$A135)</f>
        <v>2136</v>
      </c>
      <c r="U135" s="116">
        <f>SUMIFS('IS Proforma'!AG:AG,'IS Proforma'!$C:$C,'Opex Departments'!$C135,'IS Proforma'!$A:$A,'Opex Departments'!$A135)</f>
        <v>1948</v>
      </c>
      <c r="V135" s="116">
        <f>SUMIFS('IS Proforma'!AH:AH,'IS Proforma'!$C:$C,'Opex Departments'!$C135,'IS Proforma'!$A:$A,'Opex Departments'!$A135)</f>
        <v>1212</v>
      </c>
      <c r="W135" s="116">
        <f>SUMIFS('IS Proforma'!AI:AI,'IS Proforma'!$C:$C,'Opex Departments'!$C135,'IS Proforma'!$A:$A,'Opex Departments'!$A135)</f>
        <v>1298</v>
      </c>
      <c r="X135" s="116">
        <f>SUMIFS('IS Proforma'!AJ:AJ,'IS Proforma'!$C:$C,'Opex Departments'!$C135,'IS Proforma'!$A:$A,'Opex Departments'!$A135)</f>
        <v>1657</v>
      </c>
      <c r="Y135" s="116">
        <f>SUMIFS('IS Proforma'!AK:AK,'IS Proforma'!$C:$C,'Opex Departments'!$C135,'IS Proforma'!$A:$A,'Opex Departments'!$A135)</f>
        <v>1386</v>
      </c>
      <c r="Z135" s="116">
        <f>SUMIFS('IS Proforma'!AL:AL,'IS Proforma'!$C:$C,'Opex Departments'!$C135,'IS Proforma'!$A:$A,'Opex Departments'!$A135)</f>
        <v>1647</v>
      </c>
      <c r="AA135" s="116">
        <f>SUMIFS('IS Proforma'!AM:AM,'IS Proforma'!$C:$C,'Opex Departments'!$C135,'IS Proforma'!$A:$A,'Opex Departments'!$A135)</f>
        <v>71647</v>
      </c>
      <c r="AB135" s="116">
        <f>SUMIFS('IS Proforma'!AN:AN,'IS Proforma'!$C:$C,'Opex Departments'!$C135,'IS Proforma'!$A:$A,'Opex Departments'!$A135)</f>
        <v>116471.115</v>
      </c>
      <c r="AC135" s="116">
        <f>SUMIFS('IS Proforma'!AO:AO,'IS Proforma'!$C:$C,'Opex Departments'!$C135,'IS Proforma'!$A:$A,'Opex Departments'!$A135)</f>
        <v>134871.115</v>
      </c>
      <c r="AD135" s="116">
        <f>SUMIFS('IS Proforma'!AP:AP,'IS Proforma'!$C:$C,'Opex Departments'!$C135,'IS Proforma'!$A:$A,'Opex Departments'!$A135)</f>
        <v>142871.115</v>
      </c>
      <c r="AE135" s="116">
        <f>SUMIFS('IS Proforma'!AQ:AQ,'IS Proforma'!$C:$C,'Opex Departments'!$C135,'IS Proforma'!$A:$A,'Opex Departments'!$A135)</f>
        <v>155871.115</v>
      </c>
      <c r="AF135" s="116">
        <f>SUMIFS('IS Proforma'!AR:AR,'IS Proforma'!$C:$C,'Opex Departments'!$C135,'IS Proforma'!$A:$A,'Opex Departments'!$A135)</f>
        <v>162885.3152</v>
      </c>
      <c r="AG135" s="116">
        <f>SUMIFS('IS Proforma'!AS:AS,'IS Proforma'!$C:$C,'Opex Departments'!$C135,'IS Proforma'!$A:$A,'Opex Departments'!$A135)</f>
        <v>162885.3152</v>
      </c>
      <c r="AH135" s="116">
        <f>SUMIFS('IS Proforma'!AT:AT,'IS Proforma'!$C:$C,'Opex Departments'!$C135,'IS Proforma'!$A:$A,'Opex Departments'!$A135)</f>
        <v>173701.3152</v>
      </c>
      <c r="AI135" s="116">
        <f>SUMIFS('IS Proforma'!AU:AU,'IS Proforma'!$C:$C,'Opex Departments'!$C135,'IS Proforma'!$A:$A,'Opex Departments'!$A135)</f>
        <v>189717.3152</v>
      </c>
      <c r="AJ135" s="116">
        <f>SUMIFS('IS Proforma'!AV:AV,'IS Proforma'!$C:$C,'Opex Departments'!$C135,'IS Proforma'!$A:$A,'Opex Departments'!$A135)</f>
        <v>209070.5944</v>
      </c>
      <c r="AK135" s="116">
        <f>SUMIFS('IS Proforma'!AW:AW,'IS Proforma'!$C:$C,'Opex Departments'!$C135,'IS Proforma'!$A:$A,'Opex Departments'!$A135)</f>
        <v>219886.5944</v>
      </c>
      <c r="AL135" s="116">
        <f>SUMIFS('IS Proforma'!AX:AX,'IS Proforma'!$C:$C,'Opex Departments'!$C135,'IS Proforma'!$A:$A,'Opex Departments'!$A135)</f>
        <v>235902.5944</v>
      </c>
      <c r="AM135" s="116">
        <f>SUMIFS('IS Proforma'!AY:AY,'IS Proforma'!$C:$C,'Opex Departments'!$C135,'IS Proforma'!$A:$A,'Opex Departments'!$A135)</f>
        <v>246718.5944</v>
      </c>
      <c r="AN135" s="116">
        <f>SUMIFS('IS Proforma'!AZ:AZ,'IS Proforma'!$C:$C,'Opex Departments'!$C135,'IS Proforma'!$A:$A,'Opex Departments'!$A135)</f>
        <v>267835.9781</v>
      </c>
      <c r="AO135" s="116">
        <f>SUMIFS('IS Proforma'!BA:BA,'IS Proforma'!$C:$C,'Opex Departments'!$C135,'IS Proforma'!$A:$A,'Opex Departments'!$A135)</f>
        <v>267835.9781</v>
      </c>
      <c r="AP135" s="116">
        <f>SUMIFS('IS Proforma'!BB:BB,'IS Proforma'!$C:$C,'Opex Departments'!$C135,'IS Proforma'!$A:$A,'Opex Departments'!$A135)</f>
        <v>267835.9781</v>
      </c>
      <c r="AQ135" s="116">
        <f>SUMIFS('IS Proforma'!BC:BC,'IS Proforma'!$C:$C,'Opex Departments'!$C135,'IS Proforma'!$A:$A,'Opex Departments'!$A135)</f>
        <v>267835.9781</v>
      </c>
      <c r="AR135" s="116">
        <f>SUMIFS('IS Proforma'!BD:BD,'IS Proforma'!$C:$C,'Opex Departments'!$C135,'IS Proforma'!$A:$A,'Opex Departments'!$A135)</f>
        <v>278549.4173</v>
      </c>
      <c r="AS135" s="116">
        <f>SUMIFS('IS Proforma'!BE:BE,'IS Proforma'!$C:$C,'Opex Departments'!$C135,'IS Proforma'!$A:$A,'Opex Departments'!$A135)</f>
        <v>278549.4173</v>
      </c>
      <c r="AT135" s="116">
        <f>SUMIFS('IS Proforma'!BF:BF,'IS Proforma'!$C:$C,'Opex Departments'!$C135,'IS Proforma'!$A:$A,'Opex Departments'!$A135)</f>
        <v>278549.4173</v>
      </c>
      <c r="AU135" s="116">
        <f>SUMIFS('IS Proforma'!BG:BG,'IS Proforma'!$C:$C,'Opex Departments'!$C135,'IS Proforma'!$A:$A,'Opex Departments'!$A135)</f>
        <v>278549.4173</v>
      </c>
      <c r="AV135" s="116">
        <f>SUMIFS('IS Proforma'!BH:BH,'IS Proforma'!$C:$C,'Opex Departments'!$C135,'IS Proforma'!$A:$A,'Opex Departments'!$A135)</f>
        <v>289691.3939</v>
      </c>
      <c r="AW135" s="116">
        <f>SUMIFS('IS Proforma'!BI:BI,'IS Proforma'!$C:$C,'Opex Departments'!$C135,'IS Proforma'!$A:$A,'Opex Departments'!$A135)</f>
        <v>289691.3939</v>
      </c>
      <c r="AX135" s="116">
        <f>SUMIFS('IS Proforma'!BJ:BJ,'IS Proforma'!$C:$C,'Opex Departments'!$C135,'IS Proforma'!$A:$A,'Opex Departments'!$A135)</f>
        <v>289691.3939</v>
      </c>
      <c r="AY135" s="116">
        <f>SUMIFS('IS Proforma'!BK:BK,'IS Proforma'!$C:$C,'Opex Departments'!$C135,'IS Proforma'!$A:$A,'Opex Departments'!$A135)</f>
        <v>289691.3939</v>
      </c>
      <c r="AZ135" s="116">
        <f>SUMIFS('IS Proforma'!BL:BL,'IS Proforma'!$C:$C,'Opex Departments'!$C135,'IS Proforma'!$A:$A,'Opex Departments'!$A135)</f>
        <v>301279.0497</v>
      </c>
      <c r="BA135" s="116">
        <f>SUMIFS('IS Proforma'!BM:BM,'IS Proforma'!$C:$C,'Opex Departments'!$C135,'IS Proforma'!$A:$A,'Opex Departments'!$A135)</f>
        <v>301279.0497</v>
      </c>
      <c r="BB135" s="116">
        <f>SUMIFS('IS Proforma'!BN:BN,'IS Proforma'!$C:$C,'Opex Departments'!$C135,'IS Proforma'!$A:$A,'Opex Departments'!$A135)</f>
        <v>301279.0497</v>
      </c>
      <c r="BC135" s="116">
        <f>SUMIFS('IS Proforma'!BO:BO,'IS Proforma'!$C:$C,'Opex Departments'!$C135,'IS Proforma'!$A:$A,'Opex Departments'!$A135)</f>
        <v>301279.0497</v>
      </c>
      <c r="BD135" s="116">
        <f>SUMIFS('IS Proforma'!BP:BP,'IS Proforma'!$C:$C,'Opex Departments'!$C135,'IS Proforma'!$A:$A,'Opex Departments'!$A135)</f>
        <v>325496.7407</v>
      </c>
      <c r="BE135" s="116">
        <f>SUMIFS('IS Proforma'!BQ:BQ,'IS Proforma'!$C:$C,'Opex Departments'!$C135,'IS Proforma'!$A:$A,'Opex Departments'!$A135)</f>
        <v>325496.7407</v>
      </c>
      <c r="BF135" s="116">
        <f>SUMIFS('IS Proforma'!BR:BR,'IS Proforma'!$C:$C,'Opex Departments'!$C135,'IS Proforma'!$A:$A,'Opex Departments'!$A135)</f>
        <v>331580.0052</v>
      </c>
      <c r="BG135" s="116">
        <f>SUMIFS('IS Proforma'!BS:BS,'IS Proforma'!$C:$C,'Opex Departments'!$C135,'IS Proforma'!$A:$A,'Opex Departments'!$A135)</f>
        <v>344233.1954</v>
      </c>
      <c r="BH135" s="116">
        <f>SUMIFS('IS Proforma'!BT:BT,'IS Proforma'!$C:$C,'Opex Departments'!$C135,'IS Proforma'!$A:$A,'Opex Departments'!$A135)</f>
        <v>358002.5232</v>
      </c>
      <c r="BI135" s="116">
        <f>SUMIFS('IS Proforma'!BU:BU,'IS Proforma'!$C:$C,'Opex Departments'!$C135,'IS Proforma'!$A:$A,'Opex Departments'!$A135)</f>
        <v>370655.7134</v>
      </c>
      <c r="BJ135" s="116">
        <f>SUMIFS('IS Proforma'!BV:BV,'IS Proforma'!$C:$C,'Opex Departments'!$C135,'IS Proforma'!$A:$A,'Opex Departments'!$A135)</f>
        <v>370655.7134</v>
      </c>
      <c r="BK135" s="116">
        <f>SUMIFS('IS Proforma'!BW:BW,'IS Proforma'!$C:$C,'Opex Departments'!$C135,'IS Proforma'!$A:$A,'Opex Departments'!$A135)</f>
        <v>370655.7134</v>
      </c>
      <c r="BL135" s="116">
        <f>SUMIFS('IS Proforma'!BX:BX,'IS Proforma'!$C:$C,'Opex Departments'!$C135,'IS Proforma'!$A:$A,'Opex Departments'!$A135)</f>
        <v>398641.2597</v>
      </c>
      <c r="BM135" s="116">
        <f>SUMIFS('IS Proforma'!BY:BY,'IS Proforma'!$C:$C,'Opex Departments'!$C135,'IS Proforma'!$A:$A,'Opex Departments'!$A135)</f>
        <v>398641.2597</v>
      </c>
      <c r="BN135" s="116">
        <f>SUMIFS('IS Proforma'!BZ:BZ,'IS Proforma'!$C:$C,'Opex Departments'!$C135,'IS Proforma'!$A:$A,'Opex Departments'!$A135)</f>
        <v>398641.2597</v>
      </c>
      <c r="BO135" s="116">
        <f>SUMIFS('IS Proforma'!CA:CA,'IS Proforma'!$C:$C,'Opex Departments'!$C135,'IS Proforma'!$A:$A,'Opex Departments'!$A135)</f>
        <v>411800.5775</v>
      </c>
      <c r="BP135" s="116">
        <f>SUMIFS('IS Proforma'!CB:CB,'IS Proforma'!$C:$C,'Opex Departments'!$C135,'IS Proforma'!$A:$A,'Opex Departments'!$A135)</f>
        <v>434599.1957</v>
      </c>
      <c r="BQ135" s="116">
        <f>SUMIFS('IS Proforma'!CC:CC,'IS Proforma'!$C:$C,'Opex Departments'!$C135,'IS Proforma'!$A:$A,'Opex Departments'!$A135)</f>
        <v>434599.1957</v>
      </c>
      <c r="BR135" s="116">
        <f>SUMIFS('IS Proforma'!CD:CD,'IS Proforma'!$C:$C,'Opex Departments'!$C135,'IS Proforma'!$A:$A,'Opex Departments'!$A135)</f>
        <v>448284.8862</v>
      </c>
      <c r="BS135" s="116">
        <f>SUMIFS('IS Proforma'!CE:CE,'IS Proforma'!$C:$C,'Opex Departments'!$C135,'IS Proforma'!$A:$A,'Opex Departments'!$A135)</f>
        <v>448284.8862</v>
      </c>
      <c r="BT135" s="116">
        <f>SUMIFS('IS Proforma'!CF:CF,'IS Proforma'!$C:$C,'Opex Departments'!$C135,'IS Proforma'!$A:$A,'Opex Departments'!$A135)</f>
        <v>466216.2817</v>
      </c>
      <c r="BU135" s="116">
        <f>SUMIFS('IS Proforma'!CG:CG,'IS Proforma'!$C:$C,'Opex Departments'!$C135,'IS Proforma'!$A:$A,'Opex Departments'!$A135)</f>
        <v>479901.9722</v>
      </c>
      <c r="BV135" s="116">
        <f>SUMIFS('IS Proforma'!CH:CH,'IS Proforma'!$C:$C,'Opex Departments'!$C135,'IS Proforma'!$A:$A,'Opex Departments'!$A135)</f>
        <v>479901.9722</v>
      </c>
      <c r="BW135" s="116">
        <f>SUMIFS('IS Proforma'!CI:CI,'IS Proforma'!$C:$C,'Opex Departments'!$C135,'IS Proforma'!$A:$A,'Opex Departments'!$A135)</f>
        <v>479901.9722</v>
      </c>
      <c r="BX135" s="116">
        <f>SUMIFS('IS Proforma'!CJ:CJ,'IS Proforma'!$C:$C,'Opex Departments'!$C135,'IS Proforma'!$A:$A,'Opex Departments'!$A135)</f>
        <v>513331.1692</v>
      </c>
      <c r="BY135" s="116">
        <f>SUMIFS('IS Proforma'!CK:CK,'IS Proforma'!$C:$C,'Opex Departments'!$C135,'IS Proforma'!$A:$A,'Opex Departments'!$A135)</f>
        <v>513331.1692</v>
      </c>
      <c r="BZ135" s="116">
        <f>SUMIFS('IS Proforma'!CL:CL,'IS Proforma'!$C:$C,'Opex Departments'!$C135,'IS Proforma'!$A:$A,'Opex Departments'!$A135)</f>
        <v>513331.1692</v>
      </c>
      <c r="CA135" s="116">
        <f>SUMIFS('IS Proforma'!CM:CM,'IS Proforma'!$C:$C,'Opex Departments'!$C135,'IS Proforma'!$A:$A,'Opex Departments'!$A135)</f>
        <v>513331.1692</v>
      </c>
      <c r="CB135" s="116">
        <f>SUMIFS('IS Proforma'!CN:CN,'IS Proforma'!$C:$C,'Opex Departments'!$C135,'IS Proforma'!$A:$A,'Opex Departments'!$A135)</f>
        <v>533864.416</v>
      </c>
      <c r="CC135" s="116">
        <f>SUMIFS('IS Proforma'!CO:CO,'IS Proforma'!$C:$C,'Opex Departments'!$C135,'IS Proforma'!$A:$A,'Opex Departments'!$A135)</f>
        <v>533864.416</v>
      </c>
      <c r="CD135" s="116">
        <f>SUMIFS('IS Proforma'!CP:CP,'IS Proforma'!$C:$C,'Opex Departments'!$C135,'IS Proforma'!$A:$A,'Opex Departments'!$A135)</f>
        <v>533864.416</v>
      </c>
      <c r="CE135" s="116">
        <f>SUMIFS('IS Proforma'!CQ:CQ,'IS Proforma'!$C:$C,'Opex Departments'!$C135,'IS Proforma'!$A:$A,'Opex Departments'!$A135)</f>
        <v>533864.416</v>
      </c>
      <c r="CF135" s="116">
        <f>SUMIFS('IS Proforma'!CR:CR,'IS Proforma'!$C:$C,'Opex Departments'!$C135,'IS Proforma'!$A:$A,'Opex Departments'!$A135)</f>
        <v>555218.9926</v>
      </c>
      <c r="CG135" s="116">
        <f>SUMIFS('IS Proforma'!CS:CS,'IS Proforma'!$C:$C,'Opex Departments'!$C135,'IS Proforma'!$A:$A,'Opex Departments'!$A135)</f>
        <v>555218.9926</v>
      </c>
      <c r="CH135" s="116">
        <f>SUMIFS('IS Proforma'!CT:CT,'IS Proforma'!$C:$C,'Opex Departments'!$C135,'IS Proforma'!$A:$A,'Opex Departments'!$A135)</f>
        <v>555218.9926</v>
      </c>
      <c r="CI135" s="116">
        <f>SUMIFS('IS Proforma'!CU:CU,'IS Proforma'!$C:$C,'Opex Departments'!$C135,'IS Proforma'!$A:$A,'Opex Departments'!$A135)</f>
        <v>555218.9926</v>
      </c>
    </row>
    <row r="136" ht="15.75" customHeight="1" outlineLevel="1">
      <c r="A136" s="91" t="s">
        <v>174</v>
      </c>
      <c r="B136" s="91" t="s">
        <v>175</v>
      </c>
      <c r="C136" s="132" t="s">
        <v>223</v>
      </c>
      <c r="D136" s="116"/>
      <c r="E136" s="116"/>
      <c r="F136" s="116"/>
      <c r="G136" s="116"/>
      <c r="H136" s="116"/>
      <c r="I136" s="116"/>
      <c r="J136" s="116"/>
      <c r="K136" s="116"/>
      <c r="L136" s="116"/>
      <c r="M136" s="116"/>
      <c r="N136" s="116">
        <f>SUMIFS('IS Proforma'!Z:Z,'IS Proforma'!$C:$C,'Opex Departments'!$C136,'IS Proforma'!$A:$A,'Opex Departments'!$A136)</f>
        <v>1611</v>
      </c>
      <c r="O136" s="116">
        <f>SUMIFS('IS Proforma'!AA:AA,'IS Proforma'!$C:$C,'Opex Departments'!$C136,'IS Proforma'!$A:$A,'Opex Departments'!$A136)</f>
        <v>1375</v>
      </c>
      <c r="P136" s="116">
        <f>SUMIFS('IS Proforma'!AB:AB,'IS Proforma'!$C:$C,'Opex Departments'!$C136,'IS Proforma'!$A:$A,'Opex Departments'!$A136)</f>
        <v>1250</v>
      </c>
      <c r="Q136" s="116">
        <f>SUMIFS('IS Proforma'!AC:AC,'IS Proforma'!$C:$C,'Opex Departments'!$C136,'IS Proforma'!$A:$A,'Opex Departments'!$A136)</f>
        <v>1054</v>
      </c>
      <c r="R136" s="116">
        <f>SUMIFS('IS Proforma'!AD:AD,'IS Proforma'!$C:$C,'Opex Departments'!$C136,'IS Proforma'!$A:$A,'Opex Departments'!$A136)</f>
        <v>2304</v>
      </c>
      <c r="S136" s="116">
        <f>SUMIFS('IS Proforma'!AE:AE,'IS Proforma'!$C:$C,'Opex Departments'!$C136,'IS Proforma'!$A:$A,'Opex Departments'!$A136)</f>
        <v>1777</v>
      </c>
      <c r="T136" s="116">
        <f>SUMIFS('IS Proforma'!AF:AF,'IS Proforma'!$C:$C,'Opex Departments'!$C136,'IS Proforma'!$A:$A,'Opex Departments'!$A136)</f>
        <v>2247</v>
      </c>
      <c r="U136" s="116">
        <f>SUMIFS('IS Proforma'!AG:AG,'IS Proforma'!$C:$C,'Opex Departments'!$C136,'IS Proforma'!$A:$A,'Opex Departments'!$A136)</f>
        <v>2492</v>
      </c>
      <c r="V136" s="116">
        <f>SUMIFS('IS Proforma'!AH:AH,'IS Proforma'!$C:$C,'Opex Departments'!$C136,'IS Proforma'!$A:$A,'Opex Departments'!$A136)</f>
        <v>2283</v>
      </c>
      <c r="W136" s="116">
        <f>SUMIFS('IS Proforma'!AI:AI,'IS Proforma'!$C:$C,'Opex Departments'!$C136,'IS Proforma'!$A:$A,'Opex Departments'!$A136)</f>
        <v>2095</v>
      </c>
      <c r="X136" s="116">
        <f>SUMIFS('IS Proforma'!AJ:AJ,'IS Proforma'!$C:$C,'Opex Departments'!$C136,'IS Proforma'!$A:$A,'Opex Departments'!$A136)</f>
        <v>2327</v>
      </c>
      <c r="Y136" s="116">
        <f>SUMIFS('IS Proforma'!AK:AK,'IS Proforma'!$C:$C,'Opex Departments'!$C136,'IS Proforma'!$A:$A,'Opex Departments'!$A136)</f>
        <v>1566</v>
      </c>
      <c r="Z136" s="116">
        <f>SUMIFS('IS Proforma'!AL:AL,'IS Proforma'!$C:$C,'Opex Departments'!$C136,'IS Proforma'!$A:$A,'Opex Departments'!$A136)</f>
        <v>2153</v>
      </c>
      <c r="AA136" s="116">
        <f>SUMIFS('IS Proforma'!AM:AM,'IS Proforma'!$C:$C,'Opex Departments'!$C136,'IS Proforma'!$A:$A,'Opex Departments'!$A136)</f>
        <v>0</v>
      </c>
      <c r="AB136" s="116">
        <f>SUMIFS('IS Proforma'!AN:AN,'IS Proforma'!$C:$C,'Opex Departments'!$C136,'IS Proforma'!$A:$A,'Opex Departments'!$A136)</f>
        <v>0</v>
      </c>
      <c r="AC136" s="116">
        <f>SUMIFS('IS Proforma'!AO:AO,'IS Proforma'!$C:$C,'Opex Departments'!$C136,'IS Proforma'!$A:$A,'Opex Departments'!$A136)</f>
        <v>0</v>
      </c>
      <c r="AD136" s="116">
        <f>SUMIFS('IS Proforma'!AP:AP,'IS Proforma'!$C:$C,'Opex Departments'!$C136,'IS Proforma'!$A:$A,'Opex Departments'!$A136)</f>
        <v>0</v>
      </c>
      <c r="AE136" s="116">
        <f>SUMIFS('IS Proforma'!AQ:AQ,'IS Proforma'!$C:$C,'Opex Departments'!$C136,'IS Proforma'!$A:$A,'Opex Departments'!$A136)</f>
        <v>0</v>
      </c>
      <c r="AF136" s="116">
        <f>SUMIFS('IS Proforma'!AR:AR,'IS Proforma'!$C:$C,'Opex Departments'!$C136,'IS Proforma'!$A:$A,'Opex Departments'!$A136)</f>
        <v>0</v>
      </c>
      <c r="AG136" s="116">
        <f>SUMIFS('IS Proforma'!AS:AS,'IS Proforma'!$C:$C,'Opex Departments'!$C136,'IS Proforma'!$A:$A,'Opex Departments'!$A136)</f>
        <v>0</v>
      </c>
      <c r="AH136" s="116">
        <f>SUMIFS('IS Proforma'!AT:AT,'IS Proforma'!$C:$C,'Opex Departments'!$C136,'IS Proforma'!$A:$A,'Opex Departments'!$A136)</f>
        <v>5000</v>
      </c>
      <c r="AI136" s="116">
        <f>SUMIFS('IS Proforma'!AU:AU,'IS Proforma'!$C:$C,'Opex Departments'!$C136,'IS Proforma'!$A:$A,'Opex Departments'!$A136)</f>
        <v>5000</v>
      </c>
      <c r="AJ136" s="116">
        <f>SUMIFS('IS Proforma'!AV:AV,'IS Proforma'!$C:$C,'Opex Departments'!$C136,'IS Proforma'!$A:$A,'Opex Departments'!$A136)</f>
        <v>5000</v>
      </c>
      <c r="AK136" s="116">
        <f>SUMIFS('IS Proforma'!AW:AW,'IS Proforma'!$C:$C,'Opex Departments'!$C136,'IS Proforma'!$A:$A,'Opex Departments'!$A136)</f>
        <v>5000</v>
      </c>
      <c r="AL136" s="116">
        <f>SUMIFS('IS Proforma'!AX:AX,'IS Proforma'!$C:$C,'Opex Departments'!$C136,'IS Proforma'!$A:$A,'Opex Departments'!$A136)</f>
        <v>5000</v>
      </c>
      <c r="AM136" s="116">
        <f>SUMIFS('IS Proforma'!AY:AY,'IS Proforma'!$C:$C,'Opex Departments'!$C136,'IS Proforma'!$A:$A,'Opex Departments'!$A136)</f>
        <v>5000</v>
      </c>
      <c r="AN136" s="116">
        <f>SUMIFS('IS Proforma'!AZ:AZ,'IS Proforma'!$C:$C,'Opex Departments'!$C136,'IS Proforma'!$A:$A,'Opex Departments'!$A136)</f>
        <v>10000</v>
      </c>
      <c r="AO136" s="116">
        <f>SUMIFS('IS Proforma'!BA:BA,'IS Proforma'!$C:$C,'Opex Departments'!$C136,'IS Proforma'!$A:$A,'Opex Departments'!$A136)</f>
        <v>10000</v>
      </c>
      <c r="AP136" s="116">
        <f>SUMIFS('IS Proforma'!BB:BB,'IS Proforma'!$C:$C,'Opex Departments'!$C136,'IS Proforma'!$A:$A,'Opex Departments'!$A136)</f>
        <v>10000</v>
      </c>
      <c r="AQ136" s="116">
        <f>SUMIFS('IS Proforma'!BC:BC,'IS Proforma'!$C:$C,'Opex Departments'!$C136,'IS Proforma'!$A:$A,'Opex Departments'!$A136)</f>
        <v>10000</v>
      </c>
      <c r="AR136" s="116">
        <f>SUMIFS('IS Proforma'!BD:BD,'IS Proforma'!$C:$C,'Opex Departments'!$C136,'IS Proforma'!$A:$A,'Opex Departments'!$A136)</f>
        <v>10000</v>
      </c>
      <c r="AS136" s="116">
        <f>SUMIFS('IS Proforma'!BE:BE,'IS Proforma'!$C:$C,'Opex Departments'!$C136,'IS Proforma'!$A:$A,'Opex Departments'!$A136)</f>
        <v>10000</v>
      </c>
      <c r="AT136" s="116">
        <f>SUMIFS('IS Proforma'!BF:BF,'IS Proforma'!$C:$C,'Opex Departments'!$C136,'IS Proforma'!$A:$A,'Opex Departments'!$A136)</f>
        <v>15000</v>
      </c>
      <c r="AU136" s="116">
        <f>SUMIFS('IS Proforma'!BG:BG,'IS Proforma'!$C:$C,'Opex Departments'!$C136,'IS Proforma'!$A:$A,'Opex Departments'!$A136)</f>
        <v>15000</v>
      </c>
      <c r="AV136" s="116">
        <f>SUMIFS('IS Proforma'!BH:BH,'IS Proforma'!$C:$C,'Opex Departments'!$C136,'IS Proforma'!$A:$A,'Opex Departments'!$A136)</f>
        <v>15000</v>
      </c>
      <c r="AW136" s="116">
        <f>SUMIFS('IS Proforma'!BI:BI,'IS Proforma'!$C:$C,'Opex Departments'!$C136,'IS Proforma'!$A:$A,'Opex Departments'!$A136)</f>
        <v>15000</v>
      </c>
      <c r="AX136" s="116">
        <f>SUMIFS('IS Proforma'!BJ:BJ,'IS Proforma'!$C:$C,'Opex Departments'!$C136,'IS Proforma'!$A:$A,'Opex Departments'!$A136)</f>
        <v>15000</v>
      </c>
      <c r="AY136" s="116">
        <f>SUMIFS('IS Proforma'!BK:BK,'IS Proforma'!$C:$C,'Opex Departments'!$C136,'IS Proforma'!$A:$A,'Opex Departments'!$A136)</f>
        <v>15000</v>
      </c>
      <c r="AZ136" s="116">
        <f>SUMIFS('IS Proforma'!BL:BL,'IS Proforma'!$C:$C,'Opex Departments'!$C136,'IS Proforma'!$A:$A,'Opex Departments'!$A136)</f>
        <v>20000</v>
      </c>
      <c r="BA136" s="116">
        <f>SUMIFS('IS Proforma'!BM:BM,'IS Proforma'!$C:$C,'Opex Departments'!$C136,'IS Proforma'!$A:$A,'Opex Departments'!$A136)</f>
        <v>25000</v>
      </c>
      <c r="BB136" s="116">
        <f>SUMIFS('IS Proforma'!BN:BN,'IS Proforma'!$C:$C,'Opex Departments'!$C136,'IS Proforma'!$A:$A,'Opex Departments'!$A136)</f>
        <v>30000</v>
      </c>
      <c r="BC136" s="116">
        <f>SUMIFS('IS Proforma'!BO:BO,'IS Proforma'!$C:$C,'Opex Departments'!$C136,'IS Proforma'!$A:$A,'Opex Departments'!$A136)</f>
        <v>35000</v>
      </c>
      <c r="BD136" s="116">
        <f>SUMIFS('IS Proforma'!BP:BP,'IS Proforma'!$C:$C,'Opex Departments'!$C136,'IS Proforma'!$A:$A,'Opex Departments'!$A136)</f>
        <v>40000</v>
      </c>
      <c r="BE136" s="116">
        <f>SUMIFS('IS Proforma'!BQ:BQ,'IS Proforma'!$C:$C,'Opex Departments'!$C136,'IS Proforma'!$A:$A,'Opex Departments'!$A136)</f>
        <v>45000</v>
      </c>
      <c r="BF136" s="116">
        <f>SUMIFS('IS Proforma'!BR:BR,'IS Proforma'!$C:$C,'Opex Departments'!$C136,'IS Proforma'!$A:$A,'Opex Departments'!$A136)</f>
        <v>50000</v>
      </c>
      <c r="BG136" s="116">
        <f>SUMIFS('IS Proforma'!BS:BS,'IS Proforma'!$C:$C,'Opex Departments'!$C136,'IS Proforma'!$A:$A,'Opex Departments'!$A136)</f>
        <v>55000</v>
      </c>
      <c r="BH136" s="116">
        <f>SUMIFS('IS Proforma'!BT:BT,'IS Proforma'!$C:$C,'Opex Departments'!$C136,'IS Proforma'!$A:$A,'Opex Departments'!$A136)</f>
        <v>60000</v>
      </c>
      <c r="BI136" s="116">
        <f>SUMIFS('IS Proforma'!BU:BU,'IS Proforma'!$C:$C,'Opex Departments'!$C136,'IS Proforma'!$A:$A,'Opex Departments'!$A136)</f>
        <v>65000</v>
      </c>
      <c r="BJ136" s="116">
        <f>SUMIFS('IS Proforma'!BV:BV,'IS Proforma'!$C:$C,'Opex Departments'!$C136,'IS Proforma'!$A:$A,'Opex Departments'!$A136)</f>
        <v>70000</v>
      </c>
      <c r="BK136" s="116">
        <f>SUMIFS('IS Proforma'!BW:BW,'IS Proforma'!$C:$C,'Opex Departments'!$C136,'IS Proforma'!$A:$A,'Opex Departments'!$A136)</f>
        <v>75000</v>
      </c>
      <c r="BL136" s="116">
        <f>SUMIFS('IS Proforma'!BX:BX,'IS Proforma'!$C:$C,'Opex Departments'!$C136,'IS Proforma'!$A:$A,'Opex Departments'!$A136)</f>
        <v>80000</v>
      </c>
      <c r="BM136" s="116">
        <f>SUMIFS('IS Proforma'!BY:BY,'IS Proforma'!$C:$C,'Opex Departments'!$C136,'IS Proforma'!$A:$A,'Opex Departments'!$A136)</f>
        <v>85000</v>
      </c>
      <c r="BN136" s="116">
        <f>SUMIFS('IS Proforma'!BZ:BZ,'IS Proforma'!$C:$C,'Opex Departments'!$C136,'IS Proforma'!$A:$A,'Opex Departments'!$A136)</f>
        <v>90000</v>
      </c>
      <c r="BO136" s="116">
        <f>SUMIFS('IS Proforma'!CA:CA,'IS Proforma'!$C:$C,'Opex Departments'!$C136,'IS Proforma'!$A:$A,'Opex Departments'!$A136)</f>
        <v>95000</v>
      </c>
      <c r="BP136" s="116">
        <f>SUMIFS('IS Proforma'!CB:CB,'IS Proforma'!$C:$C,'Opex Departments'!$C136,'IS Proforma'!$A:$A,'Opex Departments'!$A136)</f>
        <v>100000</v>
      </c>
      <c r="BQ136" s="116">
        <f>SUMIFS('IS Proforma'!CC:CC,'IS Proforma'!$C:$C,'Opex Departments'!$C136,'IS Proforma'!$A:$A,'Opex Departments'!$A136)</f>
        <v>105000</v>
      </c>
      <c r="BR136" s="116">
        <f>SUMIFS('IS Proforma'!CD:CD,'IS Proforma'!$C:$C,'Opex Departments'!$C136,'IS Proforma'!$A:$A,'Opex Departments'!$A136)</f>
        <v>110000</v>
      </c>
      <c r="BS136" s="116">
        <f>SUMIFS('IS Proforma'!CE:CE,'IS Proforma'!$C:$C,'Opex Departments'!$C136,'IS Proforma'!$A:$A,'Opex Departments'!$A136)</f>
        <v>115000</v>
      </c>
      <c r="BT136" s="116">
        <f>SUMIFS('IS Proforma'!CF:CF,'IS Proforma'!$C:$C,'Opex Departments'!$C136,'IS Proforma'!$A:$A,'Opex Departments'!$A136)</f>
        <v>120000</v>
      </c>
      <c r="BU136" s="116">
        <f>SUMIFS('IS Proforma'!CG:CG,'IS Proforma'!$C:$C,'Opex Departments'!$C136,'IS Proforma'!$A:$A,'Opex Departments'!$A136)</f>
        <v>125000</v>
      </c>
      <c r="BV136" s="116">
        <f>SUMIFS('IS Proforma'!CH:CH,'IS Proforma'!$C:$C,'Opex Departments'!$C136,'IS Proforma'!$A:$A,'Opex Departments'!$A136)</f>
        <v>130000</v>
      </c>
      <c r="BW136" s="116">
        <f>SUMIFS('IS Proforma'!CI:CI,'IS Proforma'!$C:$C,'Opex Departments'!$C136,'IS Proforma'!$A:$A,'Opex Departments'!$A136)</f>
        <v>135000</v>
      </c>
      <c r="BX136" s="116">
        <f>SUMIFS('IS Proforma'!CJ:CJ,'IS Proforma'!$C:$C,'Opex Departments'!$C136,'IS Proforma'!$A:$A,'Opex Departments'!$A136)</f>
        <v>140000</v>
      </c>
      <c r="BY136" s="116">
        <f>SUMIFS('IS Proforma'!CK:CK,'IS Proforma'!$C:$C,'Opex Departments'!$C136,'IS Proforma'!$A:$A,'Opex Departments'!$A136)</f>
        <v>145000</v>
      </c>
      <c r="BZ136" s="116">
        <f>SUMIFS('IS Proforma'!CL:CL,'IS Proforma'!$C:$C,'Opex Departments'!$C136,'IS Proforma'!$A:$A,'Opex Departments'!$A136)</f>
        <v>150000</v>
      </c>
      <c r="CA136" s="116">
        <f>SUMIFS('IS Proforma'!CM:CM,'IS Proforma'!$C:$C,'Opex Departments'!$C136,'IS Proforma'!$A:$A,'Opex Departments'!$A136)</f>
        <v>155000</v>
      </c>
      <c r="CB136" s="116">
        <f>SUMIFS('IS Proforma'!CN:CN,'IS Proforma'!$C:$C,'Opex Departments'!$C136,'IS Proforma'!$A:$A,'Opex Departments'!$A136)</f>
        <v>160000</v>
      </c>
      <c r="CC136" s="116">
        <f>SUMIFS('IS Proforma'!CO:CO,'IS Proforma'!$C:$C,'Opex Departments'!$C136,'IS Proforma'!$A:$A,'Opex Departments'!$A136)</f>
        <v>165000</v>
      </c>
      <c r="CD136" s="116">
        <f>SUMIFS('IS Proforma'!CP:CP,'IS Proforma'!$C:$C,'Opex Departments'!$C136,'IS Proforma'!$A:$A,'Opex Departments'!$A136)</f>
        <v>170000</v>
      </c>
      <c r="CE136" s="116">
        <f>SUMIFS('IS Proforma'!CQ:CQ,'IS Proforma'!$C:$C,'Opex Departments'!$C136,'IS Proforma'!$A:$A,'Opex Departments'!$A136)</f>
        <v>175000</v>
      </c>
      <c r="CF136" s="116">
        <f>SUMIFS('IS Proforma'!CR:CR,'IS Proforma'!$C:$C,'Opex Departments'!$C136,'IS Proforma'!$A:$A,'Opex Departments'!$A136)</f>
        <v>180000</v>
      </c>
      <c r="CG136" s="116">
        <f>SUMIFS('IS Proforma'!CS:CS,'IS Proforma'!$C:$C,'Opex Departments'!$C136,'IS Proforma'!$A:$A,'Opex Departments'!$A136)</f>
        <v>185000</v>
      </c>
      <c r="CH136" s="116">
        <f>SUMIFS('IS Proforma'!CT:CT,'IS Proforma'!$C:$C,'Opex Departments'!$C136,'IS Proforma'!$A:$A,'Opex Departments'!$A136)</f>
        <v>190000</v>
      </c>
      <c r="CI136" s="116">
        <f>SUMIFS('IS Proforma'!CU:CU,'IS Proforma'!$C:$C,'Opex Departments'!$C136,'IS Proforma'!$A:$A,'Opex Departments'!$A136)</f>
        <v>195000</v>
      </c>
    </row>
    <row r="137" ht="15.75" customHeight="1" outlineLevel="1">
      <c r="A137" s="1" t="s">
        <v>174</v>
      </c>
      <c r="B137" s="91" t="s">
        <v>175</v>
      </c>
      <c r="C137" s="132" t="s">
        <v>225</v>
      </c>
      <c r="D137" s="116">
        <f>SUMIFS('IS Proforma'!P:P,'IS Proforma'!$C:$C,'Opex Departments'!$C137,'IS Proforma'!$A:$A,'Opex Departments'!$A137)</f>
        <v>1349</v>
      </c>
      <c r="E137" s="116">
        <f>SUMIFS('IS Proforma'!Q:Q,'IS Proforma'!$C:$C,'Opex Departments'!$C137,'IS Proforma'!$A:$A,'Opex Departments'!$A137)</f>
        <v>1409</v>
      </c>
      <c r="F137" s="116">
        <f>SUMIFS('IS Proforma'!R:R,'IS Proforma'!$C:$C,'Opex Departments'!$C137,'IS Proforma'!$A:$A,'Opex Departments'!$A137)</f>
        <v>2184</v>
      </c>
      <c r="G137" s="116">
        <f>SUMIFS('IS Proforma'!S:S,'IS Proforma'!$C:$C,'Opex Departments'!$C137,'IS Proforma'!$A:$A,'Opex Departments'!$A137)</f>
        <v>1687</v>
      </c>
      <c r="H137" s="116">
        <f>SUMIFS('IS Proforma'!T:T,'IS Proforma'!$C:$C,'Opex Departments'!$C137,'IS Proforma'!$A:$A,'Opex Departments'!$A137)</f>
        <v>1208</v>
      </c>
      <c r="I137" s="116">
        <f>SUMIFS('IS Proforma'!U:U,'IS Proforma'!$C:$C,'Opex Departments'!$C137,'IS Proforma'!$A:$A,'Opex Departments'!$A137)</f>
        <v>1289</v>
      </c>
      <c r="J137" s="116">
        <f>SUMIFS('IS Proforma'!V:V,'IS Proforma'!$C:$C,'Opex Departments'!$C137,'IS Proforma'!$A:$A,'Opex Departments'!$A137)</f>
        <v>1913</v>
      </c>
      <c r="K137" s="116">
        <f>SUMIFS('IS Proforma'!W:W,'IS Proforma'!$C:$C,'Opex Departments'!$C137,'IS Proforma'!$A:$A,'Opex Departments'!$A137)</f>
        <v>2349</v>
      </c>
      <c r="L137" s="116">
        <f>SUMIFS('IS Proforma'!X:X,'IS Proforma'!$C:$C,'Opex Departments'!$C137,'IS Proforma'!$A:$A,'Opex Departments'!$A137)</f>
        <v>1352</v>
      </c>
      <c r="M137" s="116">
        <f>SUMIFS('IS Proforma'!Y:Y,'IS Proforma'!$C:$C,'Opex Departments'!$C137,'IS Proforma'!$A:$A,'Opex Departments'!$A137)</f>
        <v>2018</v>
      </c>
      <c r="N137" s="116">
        <f>SUMIFS('IS Proforma'!Z:Z,'IS Proforma'!$C:$C,'Opex Departments'!$C137,'IS Proforma'!$A:$A,'Opex Departments'!$A137)</f>
        <v>1283</v>
      </c>
      <c r="O137" s="116">
        <f>SUMIFS('IS Proforma'!AA:AA,'IS Proforma'!$C:$C,'Opex Departments'!$C137,'IS Proforma'!$A:$A,'Opex Departments'!$A137)</f>
        <v>2203</v>
      </c>
      <c r="P137" s="116">
        <f>SUMIFS('IS Proforma'!AB:AB,'IS Proforma'!$C:$C,'Opex Departments'!$C137,'IS Proforma'!$A:$A,'Opex Departments'!$A137)</f>
        <v>1857</v>
      </c>
      <c r="Q137" s="116">
        <f>SUMIFS('IS Proforma'!AC:AC,'IS Proforma'!$C:$C,'Opex Departments'!$C137,'IS Proforma'!$A:$A,'Opex Departments'!$A137)</f>
        <v>1747</v>
      </c>
      <c r="R137" s="116">
        <f>SUMIFS('IS Proforma'!AD:AD,'IS Proforma'!$C:$C,'Opex Departments'!$C137,'IS Proforma'!$A:$A,'Opex Departments'!$A137)</f>
        <v>1607</v>
      </c>
      <c r="S137" s="116">
        <f>SUMIFS('IS Proforma'!AE:AE,'IS Proforma'!$C:$C,'Opex Departments'!$C137,'IS Proforma'!$A:$A,'Opex Departments'!$A137)</f>
        <v>2477</v>
      </c>
      <c r="T137" s="116">
        <f>SUMIFS('IS Proforma'!AF:AF,'IS Proforma'!$C:$C,'Opex Departments'!$C137,'IS Proforma'!$A:$A,'Opex Departments'!$A137)</f>
        <v>2183</v>
      </c>
      <c r="U137" s="116">
        <f>SUMIFS('IS Proforma'!AG:AG,'IS Proforma'!$C:$C,'Opex Departments'!$C137,'IS Proforma'!$A:$A,'Opex Departments'!$A137)</f>
        <v>2081</v>
      </c>
      <c r="V137" s="116">
        <f>SUMIFS('IS Proforma'!AH:AH,'IS Proforma'!$C:$C,'Opex Departments'!$C137,'IS Proforma'!$A:$A,'Opex Departments'!$A137)</f>
        <v>1473</v>
      </c>
      <c r="W137" s="116">
        <f>SUMIFS('IS Proforma'!AI:AI,'IS Proforma'!$C:$C,'Opex Departments'!$C137,'IS Proforma'!$A:$A,'Opex Departments'!$A137)</f>
        <v>1570</v>
      </c>
      <c r="X137" s="116">
        <f>SUMIFS('IS Proforma'!AJ:AJ,'IS Proforma'!$C:$C,'Opex Departments'!$C137,'IS Proforma'!$A:$A,'Opex Departments'!$A137)</f>
        <v>1069</v>
      </c>
      <c r="Y137" s="116">
        <f>SUMIFS('IS Proforma'!AK:AK,'IS Proforma'!$C:$C,'Opex Departments'!$C137,'IS Proforma'!$A:$A,'Opex Departments'!$A137)</f>
        <v>1180</v>
      </c>
      <c r="Z137" s="116">
        <f>SUMIFS('IS Proforma'!AL:AL,'IS Proforma'!$C:$C,'Opex Departments'!$C137,'IS Proforma'!$A:$A,'Opex Departments'!$A137)</f>
        <v>1806</v>
      </c>
      <c r="AA137" s="116">
        <f>SUMIFS('IS Proforma'!AM:AM,'IS Proforma'!$C:$C,'Opex Departments'!$C137,'IS Proforma'!$A:$A,'Opex Departments'!$A137)</f>
        <v>7164.7</v>
      </c>
      <c r="AB137" s="116">
        <f>SUMIFS('IS Proforma'!AN:AN,'IS Proforma'!$C:$C,'Opex Departments'!$C137,'IS Proforma'!$A:$A,'Opex Departments'!$A137)</f>
        <v>11647.1115</v>
      </c>
      <c r="AC137" s="116">
        <f>SUMIFS('IS Proforma'!AO:AO,'IS Proforma'!$C:$C,'Opex Departments'!$C137,'IS Proforma'!$A:$A,'Opex Departments'!$A137)</f>
        <v>13487.1115</v>
      </c>
      <c r="AD137" s="116">
        <f>SUMIFS('IS Proforma'!AP:AP,'IS Proforma'!$C:$C,'Opex Departments'!$C137,'IS Proforma'!$A:$A,'Opex Departments'!$A137)</f>
        <v>14287.1115</v>
      </c>
      <c r="AE137" s="116">
        <f>SUMIFS('IS Proforma'!AQ:AQ,'IS Proforma'!$C:$C,'Opex Departments'!$C137,'IS Proforma'!$A:$A,'Opex Departments'!$A137)</f>
        <v>15587.1115</v>
      </c>
      <c r="AF137" s="116">
        <f>SUMIFS('IS Proforma'!AR:AR,'IS Proforma'!$C:$C,'Opex Departments'!$C137,'IS Proforma'!$A:$A,'Opex Departments'!$A137)</f>
        <v>16288.53152</v>
      </c>
      <c r="AG137" s="116">
        <f>SUMIFS('IS Proforma'!AS:AS,'IS Proforma'!$C:$C,'Opex Departments'!$C137,'IS Proforma'!$A:$A,'Opex Departments'!$A137)</f>
        <v>16288.53152</v>
      </c>
      <c r="AH137" s="116">
        <f>SUMIFS('IS Proforma'!AT:AT,'IS Proforma'!$C:$C,'Opex Departments'!$C137,'IS Proforma'!$A:$A,'Opex Departments'!$A137)</f>
        <v>17370.13152</v>
      </c>
      <c r="AI137" s="116">
        <f>SUMIFS('IS Proforma'!AU:AU,'IS Proforma'!$C:$C,'Opex Departments'!$C137,'IS Proforma'!$A:$A,'Opex Departments'!$A137)</f>
        <v>18971.73152</v>
      </c>
      <c r="AJ137" s="116">
        <f>SUMIFS('IS Proforma'!AV:AV,'IS Proforma'!$C:$C,'Opex Departments'!$C137,'IS Proforma'!$A:$A,'Opex Departments'!$A137)</f>
        <v>20907.05944</v>
      </c>
      <c r="AK137" s="116">
        <f>SUMIFS('IS Proforma'!AW:AW,'IS Proforma'!$C:$C,'Opex Departments'!$C137,'IS Proforma'!$A:$A,'Opex Departments'!$A137)</f>
        <v>21988.65944</v>
      </c>
      <c r="AL137" s="116">
        <f>SUMIFS('IS Proforma'!AX:AX,'IS Proforma'!$C:$C,'Opex Departments'!$C137,'IS Proforma'!$A:$A,'Opex Departments'!$A137)</f>
        <v>23590.25944</v>
      </c>
      <c r="AM137" s="116">
        <f>SUMIFS('IS Proforma'!AY:AY,'IS Proforma'!$C:$C,'Opex Departments'!$C137,'IS Proforma'!$A:$A,'Opex Departments'!$A137)</f>
        <v>24671.85944</v>
      </c>
      <c r="AN137" s="116">
        <f>SUMIFS('IS Proforma'!AZ:AZ,'IS Proforma'!$C:$C,'Opex Departments'!$C137,'IS Proforma'!$A:$A,'Opex Departments'!$A137)</f>
        <v>26783.59781</v>
      </c>
      <c r="AO137" s="116">
        <f>SUMIFS('IS Proforma'!BA:BA,'IS Proforma'!$C:$C,'Opex Departments'!$C137,'IS Proforma'!$A:$A,'Opex Departments'!$A137)</f>
        <v>26783.59781</v>
      </c>
      <c r="AP137" s="116">
        <f>SUMIFS('IS Proforma'!BB:BB,'IS Proforma'!$C:$C,'Opex Departments'!$C137,'IS Proforma'!$A:$A,'Opex Departments'!$A137)</f>
        <v>26783.59781</v>
      </c>
      <c r="AQ137" s="116">
        <f>SUMIFS('IS Proforma'!BC:BC,'IS Proforma'!$C:$C,'Opex Departments'!$C137,'IS Proforma'!$A:$A,'Opex Departments'!$A137)</f>
        <v>26783.59781</v>
      </c>
      <c r="AR137" s="116">
        <f>SUMIFS('IS Proforma'!BD:BD,'IS Proforma'!$C:$C,'Opex Departments'!$C137,'IS Proforma'!$A:$A,'Opex Departments'!$A137)</f>
        <v>27854.94173</v>
      </c>
      <c r="AS137" s="116">
        <f>SUMIFS('IS Proforma'!BE:BE,'IS Proforma'!$C:$C,'Opex Departments'!$C137,'IS Proforma'!$A:$A,'Opex Departments'!$A137)</f>
        <v>27854.94173</v>
      </c>
      <c r="AT137" s="116">
        <f>SUMIFS('IS Proforma'!BF:BF,'IS Proforma'!$C:$C,'Opex Departments'!$C137,'IS Proforma'!$A:$A,'Opex Departments'!$A137)</f>
        <v>27854.94173</v>
      </c>
      <c r="AU137" s="116">
        <f>SUMIFS('IS Proforma'!BG:BG,'IS Proforma'!$C:$C,'Opex Departments'!$C137,'IS Proforma'!$A:$A,'Opex Departments'!$A137)</f>
        <v>27854.94173</v>
      </c>
      <c r="AV137" s="116">
        <f>SUMIFS('IS Proforma'!BH:BH,'IS Proforma'!$C:$C,'Opex Departments'!$C137,'IS Proforma'!$A:$A,'Opex Departments'!$A137)</f>
        <v>28969.13939</v>
      </c>
      <c r="AW137" s="116">
        <f>SUMIFS('IS Proforma'!BI:BI,'IS Proforma'!$C:$C,'Opex Departments'!$C137,'IS Proforma'!$A:$A,'Opex Departments'!$A137)</f>
        <v>28969.13939</v>
      </c>
      <c r="AX137" s="116">
        <f>SUMIFS('IS Proforma'!BJ:BJ,'IS Proforma'!$C:$C,'Opex Departments'!$C137,'IS Proforma'!$A:$A,'Opex Departments'!$A137)</f>
        <v>28969.13939</v>
      </c>
      <c r="AY137" s="116">
        <f>SUMIFS('IS Proforma'!BK:BK,'IS Proforma'!$C:$C,'Opex Departments'!$C137,'IS Proforma'!$A:$A,'Opex Departments'!$A137)</f>
        <v>28969.13939</v>
      </c>
      <c r="AZ137" s="116">
        <f>SUMIFS('IS Proforma'!BL:BL,'IS Proforma'!$C:$C,'Opex Departments'!$C137,'IS Proforma'!$A:$A,'Opex Departments'!$A137)</f>
        <v>30127.90497</v>
      </c>
      <c r="BA137" s="116">
        <f>SUMIFS('IS Proforma'!BM:BM,'IS Proforma'!$C:$C,'Opex Departments'!$C137,'IS Proforma'!$A:$A,'Opex Departments'!$A137)</f>
        <v>30127.90497</v>
      </c>
      <c r="BB137" s="116">
        <f>SUMIFS('IS Proforma'!BN:BN,'IS Proforma'!$C:$C,'Opex Departments'!$C137,'IS Proforma'!$A:$A,'Opex Departments'!$A137)</f>
        <v>30127.90497</v>
      </c>
      <c r="BC137" s="116">
        <f>SUMIFS('IS Proforma'!BO:BO,'IS Proforma'!$C:$C,'Opex Departments'!$C137,'IS Proforma'!$A:$A,'Opex Departments'!$A137)</f>
        <v>30127.90497</v>
      </c>
      <c r="BD137" s="116">
        <f>SUMIFS('IS Proforma'!BP:BP,'IS Proforma'!$C:$C,'Opex Departments'!$C137,'IS Proforma'!$A:$A,'Opex Departments'!$A137)</f>
        <v>32549.67407</v>
      </c>
      <c r="BE137" s="116">
        <f>SUMIFS('IS Proforma'!BQ:BQ,'IS Proforma'!$C:$C,'Opex Departments'!$C137,'IS Proforma'!$A:$A,'Opex Departments'!$A137)</f>
        <v>32549.67407</v>
      </c>
      <c r="BF137" s="116">
        <f>SUMIFS('IS Proforma'!BR:BR,'IS Proforma'!$C:$C,'Opex Departments'!$C137,'IS Proforma'!$A:$A,'Opex Departments'!$A137)</f>
        <v>33158.00052</v>
      </c>
      <c r="BG137" s="116">
        <f>SUMIFS('IS Proforma'!BS:BS,'IS Proforma'!$C:$C,'Opex Departments'!$C137,'IS Proforma'!$A:$A,'Opex Departments'!$A137)</f>
        <v>34423.31954</v>
      </c>
      <c r="BH137" s="116">
        <f>SUMIFS('IS Proforma'!BT:BT,'IS Proforma'!$C:$C,'Opex Departments'!$C137,'IS Proforma'!$A:$A,'Opex Departments'!$A137)</f>
        <v>35800.25232</v>
      </c>
      <c r="BI137" s="116">
        <f>SUMIFS('IS Proforma'!BU:BU,'IS Proforma'!$C:$C,'Opex Departments'!$C137,'IS Proforma'!$A:$A,'Opex Departments'!$A137)</f>
        <v>37065.57134</v>
      </c>
      <c r="BJ137" s="116">
        <f>SUMIFS('IS Proforma'!BV:BV,'IS Proforma'!$C:$C,'Opex Departments'!$C137,'IS Proforma'!$A:$A,'Opex Departments'!$A137)</f>
        <v>37065.57134</v>
      </c>
      <c r="BK137" s="116">
        <f>SUMIFS('IS Proforma'!BW:BW,'IS Proforma'!$C:$C,'Opex Departments'!$C137,'IS Proforma'!$A:$A,'Opex Departments'!$A137)</f>
        <v>37065.57134</v>
      </c>
      <c r="BL137" s="116">
        <f>SUMIFS('IS Proforma'!BX:BX,'IS Proforma'!$C:$C,'Opex Departments'!$C137,'IS Proforma'!$A:$A,'Opex Departments'!$A137)</f>
        <v>39864.12597</v>
      </c>
      <c r="BM137" s="116">
        <f>SUMIFS('IS Proforma'!BY:BY,'IS Proforma'!$C:$C,'Opex Departments'!$C137,'IS Proforma'!$A:$A,'Opex Departments'!$A137)</f>
        <v>39864.12597</v>
      </c>
      <c r="BN137" s="116">
        <f>SUMIFS('IS Proforma'!BZ:BZ,'IS Proforma'!$C:$C,'Opex Departments'!$C137,'IS Proforma'!$A:$A,'Opex Departments'!$A137)</f>
        <v>39864.12597</v>
      </c>
      <c r="BO137" s="116">
        <f>SUMIFS('IS Proforma'!CA:CA,'IS Proforma'!$C:$C,'Opex Departments'!$C137,'IS Proforma'!$A:$A,'Opex Departments'!$A137)</f>
        <v>41180.05775</v>
      </c>
      <c r="BP137" s="116">
        <f>SUMIFS('IS Proforma'!CB:CB,'IS Proforma'!$C:$C,'Opex Departments'!$C137,'IS Proforma'!$A:$A,'Opex Departments'!$A137)</f>
        <v>43459.91957</v>
      </c>
      <c r="BQ137" s="116">
        <f>SUMIFS('IS Proforma'!CC:CC,'IS Proforma'!$C:$C,'Opex Departments'!$C137,'IS Proforma'!$A:$A,'Opex Departments'!$A137)</f>
        <v>43459.91957</v>
      </c>
      <c r="BR137" s="116">
        <f>SUMIFS('IS Proforma'!CD:CD,'IS Proforma'!$C:$C,'Opex Departments'!$C137,'IS Proforma'!$A:$A,'Opex Departments'!$A137)</f>
        <v>44828.48862</v>
      </c>
      <c r="BS137" s="116">
        <f>SUMIFS('IS Proforma'!CE:CE,'IS Proforma'!$C:$C,'Opex Departments'!$C137,'IS Proforma'!$A:$A,'Opex Departments'!$A137)</f>
        <v>44828.48862</v>
      </c>
      <c r="BT137" s="116">
        <f>SUMIFS('IS Proforma'!CF:CF,'IS Proforma'!$C:$C,'Opex Departments'!$C137,'IS Proforma'!$A:$A,'Opex Departments'!$A137)</f>
        <v>46621.62817</v>
      </c>
      <c r="BU137" s="116">
        <f>SUMIFS('IS Proforma'!CG:CG,'IS Proforma'!$C:$C,'Opex Departments'!$C137,'IS Proforma'!$A:$A,'Opex Departments'!$A137)</f>
        <v>47990.19722</v>
      </c>
      <c r="BV137" s="116">
        <f>SUMIFS('IS Proforma'!CH:CH,'IS Proforma'!$C:$C,'Opex Departments'!$C137,'IS Proforma'!$A:$A,'Opex Departments'!$A137)</f>
        <v>47990.19722</v>
      </c>
      <c r="BW137" s="116">
        <f>SUMIFS('IS Proforma'!CI:CI,'IS Proforma'!$C:$C,'Opex Departments'!$C137,'IS Proforma'!$A:$A,'Opex Departments'!$A137)</f>
        <v>47990.19722</v>
      </c>
      <c r="BX137" s="116">
        <f>SUMIFS('IS Proforma'!CJ:CJ,'IS Proforma'!$C:$C,'Opex Departments'!$C137,'IS Proforma'!$A:$A,'Opex Departments'!$A137)</f>
        <v>51333.11692</v>
      </c>
      <c r="BY137" s="116">
        <f>SUMIFS('IS Proforma'!CK:CK,'IS Proforma'!$C:$C,'Opex Departments'!$C137,'IS Proforma'!$A:$A,'Opex Departments'!$A137)</f>
        <v>51333.11692</v>
      </c>
      <c r="BZ137" s="116">
        <f>SUMIFS('IS Proforma'!CL:CL,'IS Proforma'!$C:$C,'Opex Departments'!$C137,'IS Proforma'!$A:$A,'Opex Departments'!$A137)</f>
        <v>51333.11692</v>
      </c>
      <c r="CA137" s="116">
        <f>SUMIFS('IS Proforma'!CM:CM,'IS Proforma'!$C:$C,'Opex Departments'!$C137,'IS Proforma'!$A:$A,'Opex Departments'!$A137)</f>
        <v>51333.11692</v>
      </c>
      <c r="CB137" s="116">
        <f>SUMIFS('IS Proforma'!CN:CN,'IS Proforma'!$C:$C,'Opex Departments'!$C137,'IS Proforma'!$A:$A,'Opex Departments'!$A137)</f>
        <v>53386.4416</v>
      </c>
      <c r="CC137" s="116">
        <f>SUMIFS('IS Proforma'!CO:CO,'IS Proforma'!$C:$C,'Opex Departments'!$C137,'IS Proforma'!$A:$A,'Opex Departments'!$A137)</f>
        <v>53386.4416</v>
      </c>
      <c r="CD137" s="116">
        <f>SUMIFS('IS Proforma'!CP:CP,'IS Proforma'!$C:$C,'Opex Departments'!$C137,'IS Proforma'!$A:$A,'Opex Departments'!$A137)</f>
        <v>53386.4416</v>
      </c>
      <c r="CE137" s="116">
        <f>SUMIFS('IS Proforma'!CQ:CQ,'IS Proforma'!$C:$C,'Opex Departments'!$C137,'IS Proforma'!$A:$A,'Opex Departments'!$A137)</f>
        <v>53386.4416</v>
      </c>
      <c r="CF137" s="116">
        <f>SUMIFS('IS Proforma'!CR:CR,'IS Proforma'!$C:$C,'Opex Departments'!$C137,'IS Proforma'!$A:$A,'Opex Departments'!$A137)</f>
        <v>55521.89926</v>
      </c>
      <c r="CG137" s="116">
        <f>SUMIFS('IS Proforma'!CS:CS,'IS Proforma'!$C:$C,'Opex Departments'!$C137,'IS Proforma'!$A:$A,'Opex Departments'!$A137)</f>
        <v>55521.89926</v>
      </c>
      <c r="CH137" s="116">
        <f>SUMIFS('IS Proforma'!CT:CT,'IS Proforma'!$C:$C,'Opex Departments'!$C137,'IS Proforma'!$A:$A,'Opex Departments'!$A137)</f>
        <v>55521.89926</v>
      </c>
      <c r="CI137" s="116">
        <f>SUMIFS('IS Proforma'!CU:CU,'IS Proforma'!$C:$C,'Opex Departments'!$C137,'IS Proforma'!$A:$A,'Opex Departments'!$A137)</f>
        <v>55521.89926</v>
      </c>
    </row>
    <row r="138" ht="15.75" customHeight="1" outlineLevel="1">
      <c r="A138" s="1" t="s">
        <v>174</v>
      </c>
      <c r="B138" s="91" t="s">
        <v>175</v>
      </c>
      <c r="C138" s="132" t="s">
        <v>226</v>
      </c>
      <c r="D138" s="116">
        <f>SUMIFS('IS Proforma'!P:P,'IS Proforma'!$C:$C,'Opex Departments'!$C138,'IS Proforma'!$A:$A,'Opex Departments'!$A138)</f>
        <v>1576</v>
      </c>
      <c r="E138" s="116">
        <f>SUMIFS('IS Proforma'!Q:Q,'IS Proforma'!$C:$C,'Opex Departments'!$C138,'IS Proforma'!$A:$A,'Opex Departments'!$A138)</f>
        <v>1482</v>
      </c>
      <c r="F138" s="116">
        <f>SUMIFS('IS Proforma'!R:R,'IS Proforma'!$C:$C,'Opex Departments'!$C138,'IS Proforma'!$A:$A,'Opex Departments'!$A138)</f>
        <v>1736</v>
      </c>
      <c r="G138" s="116">
        <f>SUMIFS('IS Proforma'!S:S,'IS Proforma'!$C:$C,'Opex Departments'!$C138,'IS Proforma'!$A:$A,'Opex Departments'!$A138)</f>
        <v>1475</v>
      </c>
      <c r="H138" s="116">
        <f>SUMIFS('IS Proforma'!T:T,'IS Proforma'!$C:$C,'Opex Departments'!$C138,'IS Proforma'!$A:$A,'Opex Departments'!$A138)</f>
        <v>1917</v>
      </c>
      <c r="I138" s="116">
        <f>SUMIFS('IS Proforma'!U:U,'IS Proforma'!$C:$C,'Opex Departments'!$C138,'IS Proforma'!$A:$A,'Opex Departments'!$A138)</f>
        <v>1545</v>
      </c>
      <c r="J138" s="116">
        <f>SUMIFS('IS Proforma'!V:V,'IS Proforma'!$C:$C,'Opex Departments'!$C138,'IS Proforma'!$A:$A,'Opex Departments'!$A138)</f>
        <v>2403</v>
      </c>
      <c r="K138" s="116">
        <f>SUMIFS('IS Proforma'!W:W,'IS Proforma'!$C:$C,'Opex Departments'!$C138,'IS Proforma'!$A:$A,'Opex Departments'!$A138)</f>
        <v>2220</v>
      </c>
      <c r="L138" s="116">
        <f>SUMIFS('IS Proforma'!X:X,'IS Proforma'!$C:$C,'Opex Departments'!$C138,'IS Proforma'!$A:$A,'Opex Departments'!$A138)</f>
        <v>1809</v>
      </c>
      <c r="M138" s="116">
        <f>SUMIFS('IS Proforma'!Y:Y,'IS Proforma'!$C:$C,'Opex Departments'!$C138,'IS Proforma'!$A:$A,'Opex Departments'!$A138)</f>
        <v>2347</v>
      </c>
      <c r="N138" s="116">
        <f>SUMIFS('IS Proforma'!Z:Z,'IS Proforma'!$C:$C,'Opex Departments'!$C138,'IS Proforma'!$A:$A,'Opex Departments'!$A138)</f>
        <v>2015</v>
      </c>
      <c r="O138" s="116">
        <f>SUMIFS('IS Proforma'!AA:AA,'IS Proforma'!$C:$C,'Opex Departments'!$C138,'IS Proforma'!$A:$A,'Opex Departments'!$A138)</f>
        <v>2142</v>
      </c>
      <c r="P138" s="116">
        <f>SUMIFS('IS Proforma'!AB:AB,'IS Proforma'!$C:$C,'Opex Departments'!$C138,'IS Proforma'!$A:$A,'Opex Departments'!$A138)</f>
        <v>1058</v>
      </c>
      <c r="Q138" s="116">
        <f>SUMIFS('IS Proforma'!AC:AC,'IS Proforma'!$C:$C,'Opex Departments'!$C138,'IS Proforma'!$A:$A,'Opex Departments'!$A138)</f>
        <v>2128</v>
      </c>
      <c r="R138" s="116">
        <f>SUMIFS('IS Proforma'!AD:AD,'IS Proforma'!$C:$C,'Opex Departments'!$C138,'IS Proforma'!$A:$A,'Opex Departments'!$A138)</f>
        <v>2437</v>
      </c>
      <c r="S138" s="116">
        <f>SUMIFS('IS Proforma'!AE:AE,'IS Proforma'!$C:$C,'Opex Departments'!$C138,'IS Proforma'!$A:$A,'Opex Departments'!$A138)</f>
        <v>1802</v>
      </c>
      <c r="T138" s="116">
        <f>SUMIFS('IS Proforma'!AF:AF,'IS Proforma'!$C:$C,'Opex Departments'!$C138,'IS Proforma'!$A:$A,'Opex Departments'!$A138)</f>
        <v>1602</v>
      </c>
      <c r="U138" s="116">
        <f>SUMIFS('IS Proforma'!AG:AG,'IS Proforma'!$C:$C,'Opex Departments'!$C138,'IS Proforma'!$A:$A,'Opex Departments'!$A138)</f>
        <v>1040</v>
      </c>
      <c r="V138" s="116">
        <f>SUMIFS('IS Proforma'!AH:AH,'IS Proforma'!$C:$C,'Opex Departments'!$C138,'IS Proforma'!$A:$A,'Opex Departments'!$A138)</f>
        <v>2273</v>
      </c>
      <c r="W138" s="116">
        <f>SUMIFS('IS Proforma'!AI:AI,'IS Proforma'!$C:$C,'Opex Departments'!$C138,'IS Proforma'!$A:$A,'Opex Departments'!$A138)</f>
        <v>1516</v>
      </c>
      <c r="X138" s="116">
        <f>SUMIFS('IS Proforma'!AJ:AJ,'IS Proforma'!$C:$C,'Opex Departments'!$C138,'IS Proforma'!$A:$A,'Opex Departments'!$A138)</f>
        <v>1825</v>
      </c>
      <c r="Y138" s="116">
        <f>SUMIFS('IS Proforma'!AK:AK,'IS Proforma'!$C:$C,'Opex Departments'!$C138,'IS Proforma'!$A:$A,'Opex Departments'!$A138)</f>
        <v>2419</v>
      </c>
      <c r="Z138" s="116">
        <f>SUMIFS('IS Proforma'!AL:AL,'IS Proforma'!$C:$C,'Opex Departments'!$C138,'IS Proforma'!$A:$A,'Opex Departments'!$A138)</f>
        <v>1701</v>
      </c>
      <c r="AA138" s="116">
        <f>SUMIFS('IS Proforma'!AM:AM,'IS Proforma'!$C:$C,'Opex Departments'!$C138,'IS Proforma'!$A:$A,'Opex Departments'!$A138)</f>
        <v>10747.05</v>
      </c>
      <c r="AB138" s="116">
        <f>SUMIFS('IS Proforma'!AN:AN,'IS Proforma'!$C:$C,'Opex Departments'!$C138,'IS Proforma'!$A:$A,'Opex Departments'!$A138)</f>
        <v>17470.66725</v>
      </c>
      <c r="AC138" s="116">
        <f>SUMIFS('IS Proforma'!AO:AO,'IS Proforma'!$C:$C,'Opex Departments'!$C138,'IS Proforma'!$A:$A,'Opex Departments'!$A138)</f>
        <v>20230.66725</v>
      </c>
      <c r="AD138" s="116">
        <f>SUMIFS('IS Proforma'!AP:AP,'IS Proforma'!$C:$C,'Opex Departments'!$C138,'IS Proforma'!$A:$A,'Opex Departments'!$A138)</f>
        <v>21430.66725</v>
      </c>
      <c r="AE138" s="116">
        <f>SUMIFS('IS Proforma'!AQ:AQ,'IS Proforma'!$C:$C,'Opex Departments'!$C138,'IS Proforma'!$A:$A,'Opex Departments'!$A138)</f>
        <v>23380.66725</v>
      </c>
      <c r="AF138" s="116">
        <f>SUMIFS('IS Proforma'!AR:AR,'IS Proforma'!$C:$C,'Opex Departments'!$C138,'IS Proforma'!$A:$A,'Opex Departments'!$A138)</f>
        <v>24432.79728</v>
      </c>
      <c r="AG138" s="116">
        <f>SUMIFS('IS Proforma'!AS:AS,'IS Proforma'!$C:$C,'Opex Departments'!$C138,'IS Proforma'!$A:$A,'Opex Departments'!$A138)</f>
        <v>24432.79728</v>
      </c>
      <c r="AH138" s="116">
        <f>SUMIFS('IS Proforma'!AT:AT,'IS Proforma'!$C:$C,'Opex Departments'!$C138,'IS Proforma'!$A:$A,'Opex Departments'!$A138)</f>
        <v>26055.19728</v>
      </c>
      <c r="AI138" s="116">
        <f>SUMIFS('IS Proforma'!AU:AU,'IS Proforma'!$C:$C,'Opex Departments'!$C138,'IS Proforma'!$A:$A,'Opex Departments'!$A138)</f>
        <v>28457.59728</v>
      </c>
      <c r="AJ138" s="116">
        <f>SUMIFS('IS Proforma'!AV:AV,'IS Proforma'!$C:$C,'Opex Departments'!$C138,'IS Proforma'!$A:$A,'Opex Departments'!$A138)</f>
        <v>31360.58915</v>
      </c>
      <c r="AK138" s="116">
        <f>SUMIFS('IS Proforma'!AW:AW,'IS Proforma'!$C:$C,'Opex Departments'!$C138,'IS Proforma'!$A:$A,'Opex Departments'!$A138)</f>
        <v>32982.98915</v>
      </c>
      <c r="AL138" s="116">
        <f>SUMIFS('IS Proforma'!AX:AX,'IS Proforma'!$C:$C,'Opex Departments'!$C138,'IS Proforma'!$A:$A,'Opex Departments'!$A138)</f>
        <v>35385.38915</v>
      </c>
      <c r="AM138" s="116">
        <f>SUMIFS('IS Proforma'!AY:AY,'IS Proforma'!$C:$C,'Opex Departments'!$C138,'IS Proforma'!$A:$A,'Opex Departments'!$A138)</f>
        <v>37007.78915</v>
      </c>
      <c r="AN138" s="116">
        <f>SUMIFS('IS Proforma'!AZ:AZ,'IS Proforma'!$C:$C,'Opex Departments'!$C138,'IS Proforma'!$A:$A,'Opex Departments'!$A138)</f>
        <v>40175.39672</v>
      </c>
      <c r="AO138" s="116">
        <f>SUMIFS('IS Proforma'!BA:BA,'IS Proforma'!$C:$C,'Opex Departments'!$C138,'IS Proforma'!$A:$A,'Opex Departments'!$A138)</f>
        <v>40175.39672</v>
      </c>
      <c r="AP138" s="116">
        <f>SUMIFS('IS Proforma'!BB:BB,'IS Proforma'!$C:$C,'Opex Departments'!$C138,'IS Proforma'!$A:$A,'Opex Departments'!$A138)</f>
        <v>40175.39672</v>
      </c>
      <c r="AQ138" s="116">
        <f>SUMIFS('IS Proforma'!BC:BC,'IS Proforma'!$C:$C,'Opex Departments'!$C138,'IS Proforma'!$A:$A,'Opex Departments'!$A138)</f>
        <v>40175.39672</v>
      </c>
      <c r="AR138" s="116">
        <f>SUMIFS('IS Proforma'!BD:BD,'IS Proforma'!$C:$C,'Opex Departments'!$C138,'IS Proforma'!$A:$A,'Opex Departments'!$A138)</f>
        <v>41782.41259</v>
      </c>
      <c r="AS138" s="116">
        <f>SUMIFS('IS Proforma'!BE:BE,'IS Proforma'!$C:$C,'Opex Departments'!$C138,'IS Proforma'!$A:$A,'Opex Departments'!$A138)</f>
        <v>41782.41259</v>
      </c>
      <c r="AT138" s="116">
        <f>SUMIFS('IS Proforma'!BF:BF,'IS Proforma'!$C:$C,'Opex Departments'!$C138,'IS Proforma'!$A:$A,'Opex Departments'!$A138)</f>
        <v>41782.41259</v>
      </c>
      <c r="AU138" s="116">
        <f>SUMIFS('IS Proforma'!BG:BG,'IS Proforma'!$C:$C,'Opex Departments'!$C138,'IS Proforma'!$A:$A,'Opex Departments'!$A138)</f>
        <v>41782.41259</v>
      </c>
      <c r="AV138" s="116">
        <f>SUMIFS('IS Proforma'!BH:BH,'IS Proforma'!$C:$C,'Opex Departments'!$C138,'IS Proforma'!$A:$A,'Opex Departments'!$A138)</f>
        <v>43453.70909</v>
      </c>
      <c r="AW138" s="116">
        <f>SUMIFS('IS Proforma'!BI:BI,'IS Proforma'!$C:$C,'Opex Departments'!$C138,'IS Proforma'!$A:$A,'Opex Departments'!$A138)</f>
        <v>43453.70909</v>
      </c>
      <c r="AX138" s="116">
        <f>SUMIFS('IS Proforma'!BJ:BJ,'IS Proforma'!$C:$C,'Opex Departments'!$C138,'IS Proforma'!$A:$A,'Opex Departments'!$A138)</f>
        <v>43453.70909</v>
      </c>
      <c r="AY138" s="116">
        <f>SUMIFS('IS Proforma'!BK:BK,'IS Proforma'!$C:$C,'Opex Departments'!$C138,'IS Proforma'!$A:$A,'Opex Departments'!$A138)</f>
        <v>43453.70909</v>
      </c>
      <c r="AZ138" s="116">
        <f>SUMIFS('IS Proforma'!BL:BL,'IS Proforma'!$C:$C,'Opex Departments'!$C138,'IS Proforma'!$A:$A,'Opex Departments'!$A138)</f>
        <v>45191.85746</v>
      </c>
      <c r="BA138" s="116">
        <f>SUMIFS('IS Proforma'!BM:BM,'IS Proforma'!$C:$C,'Opex Departments'!$C138,'IS Proforma'!$A:$A,'Opex Departments'!$A138)</f>
        <v>45191.85746</v>
      </c>
      <c r="BB138" s="116">
        <f>SUMIFS('IS Proforma'!BN:BN,'IS Proforma'!$C:$C,'Opex Departments'!$C138,'IS Proforma'!$A:$A,'Opex Departments'!$A138)</f>
        <v>45191.85746</v>
      </c>
      <c r="BC138" s="116">
        <f>SUMIFS('IS Proforma'!BO:BO,'IS Proforma'!$C:$C,'Opex Departments'!$C138,'IS Proforma'!$A:$A,'Opex Departments'!$A138)</f>
        <v>45191.85746</v>
      </c>
      <c r="BD138" s="116">
        <f>SUMIFS('IS Proforma'!BP:BP,'IS Proforma'!$C:$C,'Opex Departments'!$C138,'IS Proforma'!$A:$A,'Opex Departments'!$A138)</f>
        <v>48824.51111</v>
      </c>
      <c r="BE138" s="116">
        <f>SUMIFS('IS Proforma'!BQ:BQ,'IS Proforma'!$C:$C,'Opex Departments'!$C138,'IS Proforma'!$A:$A,'Opex Departments'!$A138)</f>
        <v>48824.51111</v>
      </c>
      <c r="BF138" s="116">
        <f>SUMIFS('IS Proforma'!BR:BR,'IS Proforma'!$C:$C,'Opex Departments'!$C138,'IS Proforma'!$A:$A,'Opex Departments'!$A138)</f>
        <v>49737.00078</v>
      </c>
      <c r="BG138" s="116">
        <f>SUMIFS('IS Proforma'!BS:BS,'IS Proforma'!$C:$C,'Opex Departments'!$C138,'IS Proforma'!$A:$A,'Opex Departments'!$A138)</f>
        <v>51634.97931</v>
      </c>
      <c r="BH138" s="116">
        <f>SUMIFS('IS Proforma'!BT:BT,'IS Proforma'!$C:$C,'Opex Departments'!$C138,'IS Proforma'!$A:$A,'Opex Departments'!$A138)</f>
        <v>53700.37848</v>
      </c>
      <c r="BI138" s="116">
        <f>SUMIFS('IS Proforma'!BU:BU,'IS Proforma'!$C:$C,'Opex Departments'!$C138,'IS Proforma'!$A:$A,'Opex Departments'!$A138)</f>
        <v>55598.35701</v>
      </c>
      <c r="BJ138" s="116">
        <f>SUMIFS('IS Proforma'!BV:BV,'IS Proforma'!$C:$C,'Opex Departments'!$C138,'IS Proforma'!$A:$A,'Opex Departments'!$A138)</f>
        <v>55598.35701</v>
      </c>
      <c r="BK138" s="116">
        <f>SUMIFS('IS Proforma'!BW:BW,'IS Proforma'!$C:$C,'Opex Departments'!$C138,'IS Proforma'!$A:$A,'Opex Departments'!$A138)</f>
        <v>55598.35701</v>
      </c>
      <c r="BL138" s="116">
        <f>SUMIFS('IS Proforma'!BX:BX,'IS Proforma'!$C:$C,'Opex Departments'!$C138,'IS Proforma'!$A:$A,'Opex Departments'!$A138)</f>
        <v>59796.18896</v>
      </c>
      <c r="BM138" s="116">
        <f>SUMIFS('IS Proforma'!BY:BY,'IS Proforma'!$C:$C,'Opex Departments'!$C138,'IS Proforma'!$A:$A,'Opex Departments'!$A138)</f>
        <v>59796.18896</v>
      </c>
      <c r="BN138" s="116">
        <f>SUMIFS('IS Proforma'!BZ:BZ,'IS Proforma'!$C:$C,'Opex Departments'!$C138,'IS Proforma'!$A:$A,'Opex Departments'!$A138)</f>
        <v>59796.18896</v>
      </c>
      <c r="BO138" s="116">
        <f>SUMIFS('IS Proforma'!CA:CA,'IS Proforma'!$C:$C,'Opex Departments'!$C138,'IS Proforma'!$A:$A,'Opex Departments'!$A138)</f>
        <v>61770.08663</v>
      </c>
      <c r="BP138" s="116">
        <f>SUMIFS('IS Proforma'!CB:CB,'IS Proforma'!$C:$C,'Opex Departments'!$C138,'IS Proforma'!$A:$A,'Opex Departments'!$A138)</f>
        <v>65189.87936</v>
      </c>
      <c r="BQ138" s="116">
        <f>SUMIFS('IS Proforma'!CC:CC,'IS Proforma'!$C:$C,'Opex Departments'!$C138,'IS Proforma'!$A:$A,'Opex Departments'!$A138)</f>
        <v>65189.87936</v>
      </c>
      <c r="BR138" s="116">
        <f>SUMIFS('IS Proforma'!CD:CD,'IS Proforma'!$C:$C,'Opex Departments'!$C138,'IS Proforma'!$A:$A,'Opex Departments'!$A138)</f>
        <v>67242.73294</v>
      </c>
      <c r="BS138" s="116">
        <f>SUMIFS('IS Proforma'!CE:CE,'IS Proforma'!$C:$C,'Opex Departments'!$C138,'IS Proforma'!$A:$A,'Opex Departments'!$A138)</f>
        <v>67242.73294</v>
      </c>
      <c r="BT138" s="116">
        <f>SUMIFS('IS Proforma'!CF:CF,'IS Proforma'!$C:$C,'Opex Departments'!$C138,'IS Proforma'!$A:$A,'Opex Departments'!$A138)</f>
        <v>69932.44225</v>
      </c>
      <c r="BU138" s="116">
        <f>SUMIFS('IS Proforma'!CG:CG,'IS Proforma'!$C:$C,'Opex Departments'!$C138,'IS Proforma'!$A:$A,'Opex Departments'!$A138)</f>
        <v>71985.29583</v>
      </c>
      <c r="BV138" s="116">
        <f>SUMIFS('IS Proforma'!CH:CH,'IS Proforma'!$C:$C,'Opex Departments'!$C138,'IS Proforma'!$A:$A,'Opex Departments'!$A138)</f>
        <v>71985.29583</v>
      </c>
      <c r="BW138" s="116">
        <f>SUMIFS('IS Proforma'!CI:CI,'IS Proforma'!$C:$C,'Opex Departments'!$C138,'IS Proforma'!$A:$A,'Opex Departments'!$A138)</f>
        <v>71985.29583</v>
      </c>
      <c r="BX138" s="116">
        <f>SUMIFS('IS Proforma'!CJ:CJ,'IS Proforma'!$C:$C,'Opex Departments'!$C138,'IS Proforma'!$A:$A,'Opex Departments'!$A138)</f>
        <v>76999.67538</v>
      </c>
      <c r="BY138" s="116">
        <f>SUMIFS('IS Proforma'!CK:CK,'IS Proforma'!$C:$C,'Opex Departments'!$C138,'IS Proforma'!$A:$A,'Opex Departments'!$A138)</f>
        <v>76999.67538</v>
      </c>
      <c r="BZ138" s="116">
        <f>SUMIFS('IS Proforma'!CL:CL,'IS Proforma'!$C:$C,'Opex Departments'!$C138,'IS Proforma'!$A:$A,'Opex Departments'!$A138)</f>
        <v>76999.67538</v>
      </c>
      <c r="CA138" s="116">
        <f>SUMIFS('IS Proforma'!CM:CM,'IS Proforma'!$C:$C,'Opex Departments'!$C138,'IS Proforma'!$A:$A,'Opex Departments'!$A138)</f>
        <v>76999.67538</v>
      </c>
      <c r="CB138" s="116">
        <f>SUMIFS('IS Proforma'!CN:CN,'IS Proforma'!$C:$C,'Opex Departments'!$C138,'IS Proforma'!$A:$A,'Opex Departments'!$A138)</f>
        <v>80079.6624</v>
      </c>
      <c r="CC138" s="116">
        <f>SUMIFS('IS Proforma'!CO:CO,'IS Proforma'!$C:$C,'Opex Departments'!$C138,'IS Proforma'!$A:$A,'Opex Departments'!$A138)</f>
        <v>80079.6624</v>
      </c>
      <c r="CD138" s="116">
        <f>SUMIFS('IS Proforma'!CP:CP,'IS Proforma'!$C:$C,'Opex Departments'!$C138,'IS Proforma'!$A:$A,'Opex Departments'!$A138)</f>
        <v>80079.6624</v>
      </c>
      <c r="CE138" s="116">
        <f>SUMIFS('IS Proforma'!CQ:CQ,'IS Proforma'!$C:$C,'Opex Departments'!$C138,'IS Proforma'!$A:$A,'Opex Departments'!$A138)</f>
        <v>80079.6624</v>
      </c>
      <c r="CF138" s="116">
        <f>SUMIFS('IS Proforma'!CR:CR,'IS Proforma'!$C:$C,'Opex Departments'!$C138,'IS Proforma'!$A:$A,'Opex Departments'!$A138)</f>
        <v>83282.84889</v>
      </c>
      <c r="CG138" s="116">
        <f>SUMIFS('IS Proforma'!CS:CS,'IS Proforma'!$C:$C,'Opex Departments'!$C138,'IS Proforma'!$A:$A,'Opex Departments'!$A138)</f>
        <v>83282.84889</v>
      </c>
      <c r="CH138" s="116">
        <f>SUMIFS('IS Proforma'!CT:CT,'IS Proforma'!$C:$C,'Opex Departments'!$C138,'IS Proforma'!$A:$A,'Opex Departments'!$A138)</f>
        <v>83282.84889</v>
      </c>
      <c r="CI138" s="116">
        <f>SUMIFS('IS Proforma'!CU:CU,'IS Proforma'!$C:$C,'Opex Departments'!$C138,'IS Proforma'!$A:$A,'Opex Departments'!$A138)</f>
        <v>83282.84889</v>
      </c>
    </row>
    <row r="139" ht="15.75" customHeight="1" outlineLevel="1">
      <c r="A139" s="1" t="s">
        <v>174</v>
      </c>
      <c r="B139" s="91" t="s">
        <v>175</v>
      </c>
      <c r="C139" s="132" t="s">
        <v>227</v>
      </c>
      <c r="D139" s="116">
        <f>SUMIFS('IS Proforma'!P:P,'IS Proforma'!$C:$C,'Opex Departments'!$C139,'IS Proforma'!$A:$A,'Opex Departments'!$A139)</f>
        <v>2247</v>
      </c>
      <c r="E139" s="116">
        <f>SUMIFS('IS Proforma'!Q:Q,'IS Proforma'!$C:$C,'Opex Departments'!$C139,'IS Proforma'!$A:$A,'Opex Departments'!$A139)</f>
        <v>1622</v>
      </c>
      <c r="F139" s="116">
        <f>SUMIFS('IS Proforma'!R:R,'IS Proforma'!$C:$C,'Opex Departments'!$C139,'IS Proforma'!$A:$A,'Opex Departments'!$A139)</f>
        <v>1780</v>
      </c>
      <c r="G139" s="116">
        <f>SUMIFS('IS Proforma'!S:S,'IS Proforma'!$C:$C,'Opex Departments'!$C139,'IS Proforma'!$A:$A,'Opex Departments'!$A139)</f>
        <v>1778</v>
      </c>
      <c r="H139" s="116">
        <f>SUMIFS('IS Proforma'!T:T,'IS Proforma'!$C:$C,'Opex Departments'!$C139,'IS Proforma'!$A:$A,'Opex Departments'!$A139)</f>
        <v>1873</v>
      </c>
      <c r="I139" s="116">
        <f>SUMIFS('IS Proforma'!U:U,'IS Proforma'!$C:$C,'Opex Departments'!$C139,'IS Proforma'!$A:$A,'Opex Departments'!$A139)</f>
        <v>1089</v>
      </c>
      <c r="J139" s="116">
        <f>SUMIFS('IS Proforma'!V:V,'IS Proforma'!$C:$C,'Opex Departments'!$C139,'IS Proforma'!$A:$A,'Opex Departments'!$A139)</f>
        <v>1418</v>
      </c>
      <c r="K139" s="116">
        <f>SUMIFS('IS Proforma'!W:W,'IS Proforma'!$C:$C,'Opex Departments'!$C139,'IS Proforma'!$A:$A,'Opex Departments'!$A139)</f>
        <v>2388</v>
      </c>
      <c r="L139" s="116">
        <f>SUMIFS('IS Proforma'!X:X,'IS Proforma'!$C:$C,'Opex Departments'!$C139,'IS Proforma'!$A:$A,'Opex Departments'!$A139)</f>
        <v>1270</v>
      </c>
      <c r="M139" s="116">
        <f>SUMIFS('IS Proforma'!Y:Y,'IS Proforma'!$C:$C,'Opex Departments'!$C139,'IS Proforma'!$A:$A,'Opex Departments'!$A139)</f>
        <v>1765</v>
      </c>
      <c r="N139" s="116">
        <f>SUMIFS('IS Proforma'!Z:Z,'IS Proforma'!$C:$C,'Opex Departments'!$C139,'IS Proforma'!$A:$A,'Opex Departments'!$A139)</f>
        <v>1819</v>
      </c>
      <c r="O139" s="116">
        <f>SUMIFS('IS Proforma'!AA:AA,'IS Proforma'!$C:$C,'Opex Departments'!$C139,'IS Proforma'!$A:$A,'Opex Departments'!$A139)</f>
        <v>1477</v>
      </c>
      <c r="P139" s="116">
        <f>SUMIFS('IS Proforma'!AB:AB,'IS Proforma'!$C:$C,'Opex Departments'!$C139,'IS Proforma'!$A:$A,'Opex Departments'!$A139)</f>
        <v>2181</v>
      </c>
      <c r="Q139" s="116">
        <f>SUMIFS('IS Proforma'!AC:AC,'IS Proforma'!$C:$C,'Opex Departments'!$C139,'IS Proforma'!$A:$A,'Opex Departments'!$A139)</f>
        <v>2007</v>
      </c>
      <c r="R139" s="116">
        <f>SUMIFS('IS Proforma'!AD:AD,'IS Proforma'!$C:$C,'Opex Departments'!$C139,'IS Proforma'!$A:$A,'Opex Departments'!$A139)</f>
        <v>1221</v>
      </c>
      <c r="S139" s="116">
        <f>SUMIFS('IS Proforma'!AE:AE,'IS Proforma'!$C:$C,'Opex Departments'!$C139,'IS Proforma'!$A:$A,'Opex Departments'!$A139)</f>
        <v>1819</v>
      </c>
      <c r="T139" s="116">
        <f>SUMIFS('IS Proforma'!AF:AF,'IS Proforma'!$C:$C,'Opex Departments'!$C139,'IS Proforma'!$A:$A,'Opex Departments'!$A139)</f>
        <v>1747</v>
      </c>
      <c r="U139" s="116">
        <f>SUMIFS('IS Proforma'!AG:AG,'IS Proforma'!$C:$C,'Opex Departments'!$C139,'IS Proforma'!$A:$A,'Opex Departments'!$A139)</f>
        <v>1662</v>
      </c>
      <c r="V139" s="116">
        <f>SUMIFS('IS Proforma'!AH:AH,'IS Proforma'!$C:$C,'Opex Departments'!$C139,'IS Proforma'!$A:$A,'Opex Departments'!$A139)</f>
        <v>1647</v>
      </c>
      <c r="W139" s="116">
        <f>SUMIFS('IS Proforma'!AI:AI,'IS Proforma'!$C:$C,'Opex Departments'!$C139,'IS Proforma'!$A:$A,'Opex Departments'!$A139)</f>
        <v>1194</v>
      </c>
      <c r="X139" s="116">
        <f>SUMIFS('IS Proforma'!AJ:AJ,'IS Proforma'!$C:$C,'Opex Departments'!$C139,'IS Proforma'!$A:$A,'Opex Departments'!$A139)</f>
        <v>1990</v>
      </c>
      <c r="Y139" s="116">
        <f>SUMIFS('IS Proforma'!AK:AK,'IS Proforma'!$C:$C,'Opex Departments'!$C139,'IS Proforma'!$A:$A,'Opex Departments'!$A139)</f>
        <v>1129</v>
      </c>
      <c r="Z139" s="116">
        <f>SUMIFS('IS Proforma'!AL:AL,'IS Proforma'!$C:$C,'Opex Departments'!$C139,'IS Proforma'!$A:$A,'Opex Departments'!$A139)</f>
        <v>1129</v>
      </c>
      <c r="AA139" s="116">
        <f>SUMIFS('IS Proforma'!AM:AM,'IS Proforma'!$C:$C,'Opex Departments'!$C139,'IS Proforma'!$A:$A,'Opex Departments'!$A139)</f>
        <v>1432.94</v>
      </c>
      <c r="AB139" s="116">
        <f>SUMIFS('IS Proforma'!AN:AN,'IS Proforma'!$C:$C,'Opex Departments'!$C139,'IS Proforma'!$A:$A,'Opex Departments'!$A139)</f>
        <v>2329.4223</v>
      </c>
      <c r="AC139" s="116">
        <f>SUMIFS('IS Proforma'!AO:AO,'IS Proforma'!$C:$C,'Opex Departments'!$C139,'IS Proforma'!$A:$A,'Opex Departments'!$A139)</f>
        <v>2697.4223</v>
      </c>
      <c r="AD139" s="116">
        <f>SUMIFS('IS Proforma'!AP:AP,'IS Proforma'!$C:$C,'Opex Departments'!$C139,'IS Proforma'!$A:$A,'Opex Departments'!$A139)</f>
        <v>2857.4223</v>
      </c>
      <c r="AE139" s="116">
        <f>SUMIFS('IS Proforma'!AQ:AQ,'IS Proforma'!$C:$C,'Opex Departments'!$C139,'IS Proforma'!$A:$A,'Opex Departments'!$A139)</f>
        <v>3117.4223</v>
      </c>
      <c r="AF139" s="116">
        <f>SUMIFS('IS Proforma'!AR:AR,'IS Proforma'!$C:$C,'Opex Departments'!$C139,'IS Proforma'!$A:$A,'Opex Departments'!$A139)</f>
        <v>3257.706304</v>
      </c>
      <c r="AG139" s="116">
        <f>SUMIFS('IS Proforma'!AS:AS,'IS Proforma'!$C:$C,'Opex Departments'!$C139,'IS Proforma'!$A:$A,'Opex Departments'!$A139)</f>
        <v>3257.706304</v>
      </c>
      <c r="AH139" s="116">
        <f>SUMIFS('IS Proforma'!AT:AT,'IS Proforma'!$C:$C,'Opex Departments'!$C139,'IS Proforma'!$A:$A,'Opex Departments'!$A139)</f>
        <v>3474.026304</v>
      </c>
      <c r="AI139" s="116">
        <f>SUMIFS('IS Proforma'!AU:AU,'IS Proforma'!$C:$C,'Opex Departments'!$C139,'IS Proforma'!$A:$A,'Opex Departments'!$A139)</f>
        <v>3794.346304</v>
      </c>
      <c r="AJ139" s="116">
        <f>SUMIFS('IS Proforma'!AV:AV,'IS Proforma'!$C:$C,'Opex Departments'!$C139,'IS Proforma'!$A:$A,'Opex Departments'!$A139)</f>
        <v>4181.411887</v>
      </c>
      <c r="AK139" s="116">
        <f>SUMIFS('IS Proforma'!AW:AW,'IS Proforma'!$C:$C,'Opex Departments'!$C139,'IS Proforma'!$A:$A,'Opex Departments'!$A139)</f>
        <v>4397.731887</v>
      </c>
      <c r="AL139" s="116">
        <f>SUMIFS('IS Proforma'!AX:AX,'IS Proforma'!$C:$C,'Opex Departments'!$C139,'IS Proforma'!$A:$A,'Opex Departments'!$A139)</f>
        <v>4718.051887</v>
      </c>
      <c r="AM139" s="116">
        <f>SUMIFS('IS Proforma'!AY:AY,'IS Proforma'!$C:$C,'Opex Departments'!$C139,'IS Proforma'!$A:$A,'Opex Departments'!$A139)</f>
        <v>4934.371887</v>
      </c>
      <c r="AN139" s="116">
        <f>SUMIFS('IS Proforma'!AZ:AZ,'IS Proforma'!$C:$C,'Opex Departments'!$C139,'IS Proforma'!$A:$A,'Opex Departments'!$A139)</f>
        <v>5356.719563</v>
      </c>
      <c r="AO139" s="116">
        <f>SUMIFS('IS Proforma'!BA:BA,'IS Proforma'!$C:$C,'Opex Departments'!$C139,'IS Proforma'!$A:$A,'Opex Departments'!$A139)</f>
        <v>5356.719563</v>
      </c>
      <c r="AP139" s="116">
        <f>SUMIFS('IS Proforma'!BB:BB,'IS Proforma'!$C:$C,'Opex Departments'!$C139,'IS Proforma'!$A:$A,'Opex Departments'!$A139)</f>
        <v>5356.719563</v>
      </c>
      <c r="AQ139" s="116">
        <f>SUMIFS('IS Proforma'!BC:BC,'IS Proforma'!$C:$C,'Opex Departments'!$C139,'IS Proforma'!$A:$A,'Opex Departments'!$A139)</f>
        <v>5356.719563</v>
      </c>
      <c r="AR139" s="116">
        <f>SUMIFS('IS Proforma'!BD:BD,'IS Proforma'!$C:$C,'Opex Departments'!$C139,'IS Proforma'!$A:$A,'Opex Departments'!$A139)</f>
        <v>5570.988345</v>
      </c>
      <c r="AS139" s="116">
        <f>SUMIFS('IS Proforma'!BE:BE,'IS Proforma'!$C:$C,'Opex Departments'!$C139,'IS Proforma'!$A:$A,'Opex Departments'!$A139)</f>
        <v>5570.988345</v>
      </c>
      <c r="AT139" s="116">
        <f>SUMIFS('IS Proforma'!BF:BF,'IS Proforma'!$C:$C,'Opex Departments'!$C139,'IS Proforma'!$A:$A,'Opex Departments'!$A139)</f>
        <v>5570.988345</v>
      </c>
      <c r="AU139" s="116">
        <f>SUMIFS('IS Proforma'!BG:BG,'IS Proforma'!$C:$C,'Opex Departments'!$C139,'IS Proforma'!$A:$A,'Opex Departments'!$A139)</f>
        <v>5570.988345</v>
      </c>
      <c r="AV139" s="116">
        <f>SUMIFS('IS Proforma'!BH:BH,'IS Proforma'!$C:$C,'Opex Departments'!$C139,'IS Proforma'!$A:$A,'Opex Departments'!$A139)</f>
        <v>5793.827879</v>
      </c>
      <c r="AW139" s="116">
        <f>SUMIFS('IS Proforma'!BI:BI,'IS Proforma'!$C:$C,'Opex Departments'!$C139,'IS Proforma'!$A:$A,'Opex Departments'!$A139)</f>
        <v>5793.827879</v>
      </c>
      <c r="AX139" s="116">
        <f>SUMIFS('IS Proforma'!BJ:BJ,'IS Proforma'!$C:$C,'Opex Departments'!$C139,'IS Proforma'!$A:$A,'Opex Departments'!$A139)</f>
        <v>5793.827879</v>
      </c>
      <c r="AY139" s="116">
        <f>SUMIFS('IS Proforma'!BK:BK,'IS Proforma'!$C:$C,'Opex Departments'!$C139,'IS Proforma'!$A:$A,'Opex Departments'!$A139)</f>
        <v>5793.827879</v>
      </c>
      <c r="AZ139" s="116">
        <f>SUMIFS('IS Proforma'!BL:BL,'IS Proforma'!$C:$C,'Opex Departments'!$C139,'IS Proforma'!$A:$A,'Opex Departments'!$A139)</f>
        <v>6025.580994</v>
      </c>
      <c r="BA139" s="116">
        <f>SUMIFS('IS Proforma'!BM:BM,'IS Proforma'!$C:$C,'Opex Departments'!$C139,'IS Proforma'!$A:$A,'Opex Departments'!$A139)</f>
        <v>6025.580994</v>
      </c>
      <c r="BB139" s="116">
        <f>SUMIFS('IS Proforma'!BN:BN,'IS Proforma'!$C:$C,'Opex Departments'!$C139,'IS Proforma'!$A:$A,'Opex Departments'!$A139)</f>
        <v>6025.580994</v>
      </c>
      <c r="BC139" s="116">
        <f>SUMIFS('IS Proforma'!BO:BO,'IS Proforma'!$C:$C,'Opex Departments'!$C139,'IS Proforma'!$A:$A,'Opex Departments'!$A139)</f>
        <v>6025.580994</v>
      </c>
      <c r="BD139" s="116">
        <f>SUMIFS('IS Proforma'!BP:BP,'IS Proforma'!$C:$C,'Opex Departments'!$C139,'IS Proforma'!$A:$A,'Opex Departments'!$A139)</f>
        <v>6509.934814</v>
      </c>
      <c r="BE139" s="116">
        <f>SUMIFS('IS Proforma'!BQ:BQ,'IS Proforma'!$C:$C,'Opex Departments'!$C139,'IS Proforma'!$A:$A,'Opex Departments'!$A139)</f>
        <v>6509.934814</v>
      </c>
      <c r="BF139" s="116">
        <f>SUMIFS('IS Proforma'!BR:BR,'IS Proforma'!$C:$C,'Opex Departments'!$C139,'IS Proforma'!$A:$A,'Opex Departments'!$A139)</f>
        <v>6631.600105</v>
      </c>
      <c r="BG139" s="116">
        <f>SUMIFS('IS Proforma'!BS:BS,'IS Proforma'!$C:$C,'Opex Departments'!$C139,'IS Proforma'!$A:$A,'Opex Departments'!$A139)</f>
        <v>6884.663908</v>
      </c>
      <c r="BH139" s="116">
        <f>SUMIFS('IS Proforma'!BT:BT,'IS Proforma'!$C:$C,'Opex Departments'!$C139,'IS Proforma'!$A:$A,'Opex Departments'!$A139)</f>
        <v>7160.050465</v>
      </c>
      <c r="BI139" s="116">
        <f>SUMIFS('IS Proforma'!BU:BU,'IS Proforma'!$C:$C,'Opex Departments'!$C139,'IS Proforma'!$A:$A,'Opex Departments'!$A139)</f>
        <v>7413.114268</v>
      </c>
      <c r="BJ139" s="116">
        <f>SUMIFS('IS Proforma'!BV:BV,'IS Proforma'!$C:$C,'Opex Departments'!$C139,'IS Proforma'!$A:$A,'Opex Departments'!$A139)</f>
        <v>7413.114268</v>
      </c>
      <c r="BK139" s="116">
        <f>SUMIFS('IS Proforma'!BW:BW,'IS Proforma'!$C:$C,'Opex Departments'!$C139,'IS Proforma'!$A:$A,'Opex Departments'!$A139)</f>
        <v>7413.114268</v>
      </c>
      <c r="BL139" s="116">
        <f>SUMIFS('IS Proforma'!BX:BX,'IS Proforma'!$C:$C,'Opex Departments'!$C139,'IS Proforma'!$A:$A,'Opex Departments'!$A139)</f>
        <v>7972.825195</v>
      </c>
      <c r="BM139" s="116">
        <f>SUMIFS('IS Proforma'!BY:BY,'IS Proforma'!$C:$C,'Opex Departments'!$C139,'IS Proforma'!$A:$A,'Opex Departments'!$A139)</f>
        <v>7972.825195</v>
      </c>
      <c r="BN139" s="116">
        <f>SUMIFS('IS Proforma'!BZ:BZ,'IS Proforma'!$C:$C,'Opex Departments'!$C139,'IS Proforma'!$A:$A,'Opex Departments'!$A139)</f>
        <v>7972.825195</v>
      </c>
      <c r="BO139" s="116">
        <f>SUMIFS('IS Proforma'!CA:CA,'IS Proforma'!$C:$C,'Opex Departments'!$C139,'IS Proforma'!$A:$A,'Opex Departments'!$A139)</f>
        <v>8236.011551</v>
      </c>
      <c r="BP139" s="116">
        <f>SUMIFS('IS Proforma'!CB:CB,'IS Proforma'!$C:$C,'Opex Departments'!$C139,'IS Proforma'!$A:$A,'Opex Departments'!$A139)</f>
        <v>8691.983915</v>
      </c>
      <c r="BQ139" s="116">
        <f>SUMIFS('IS Proforma'!CC:CC,'IS Proforma'!$C:$C,'Opex Departments'!$C139,'IS Proforma'!$A:$A,'Opex Departments'!$A139)</f>
        <v>8691.983915</v>
      </c>
      <c r="BR139" s="116">
        <f>SUMIFS('IS Proforma'!CD:CD,'IS Proforma'!$C:$C,'Opex Departments'!$C139,'IS Proforma'!$A:$A,'Opex Departments'!$A139)</f>
        <v>8965.697725</v>
      </c>
      <c r="BS139" s="116">
        <f>SUMIFS('IS Proforma'!CE:CE,'IS Proforma'!$C:$C,'Opex Departments'!$C139,'IS Proforma'!$A:$A,'Opex Departments'!$A139)</f>
        <v>8965.697725</v>
      </c>
      <c r="BT139" s="116">
        <f>SUMIFS('IS Proforma'!CF:CF,'IS Proforma'!$C:$C,'Opex Departments'!$C139,'IS Proforma'!$A:$A,'Opex Departments'!$A139)</f>
        <v>9324.325634</v>
      </c>
      <c r="BU139" s="116">
        <f>SUMIFS('IS Proforma'!CG:CG,'IS Proforma'!$C:$C,'Opex Departments'!$C139,'IS Proforma'!$A:$A,'Opex Departments'!$A139)</f>
        <v>9598.039444</v>
      </c>
      <c r="BV139" s="116">
        <f>SUMIFS('IS Proforma'!CH:CH,'IS Proforma'!$C:$C,'Opex Departments'!$C139,'IS Proforma'!$A:$A,'Opex Departments'!$A139)</f>
        <v>9598.039444</v>
      </c>
      <c r="BW139" s="116">
        <f>SUMIFS('IS Proforma'!CI:CI,'IS Proforma'!$C:$C,'Opex Departments'!$C139,'IS Proforma'!$A:$A,'Opex Departments'!$A139)</f>
        <v>9598.039444</v>
      </c>
      <c r="BX139" s="116">
        <f>SUMIFS('IS Proforma'!CJ:CJ,'IS Proforma'!$C:$C,'Opex Departments'!$C139,'IS Proforma'!$A:$A,'Opex Departments'!$A139)</f>
        <v>10266.62338</v>
      </c>
      <c r="BY139" s="116">
        <f>SUMIFS('IS Proforma'!CK:CK,'IS Proforma'!$C:$C,'Opex Departments'!$C139,'IS Proforma'!$A:$A,'Opex Departments'!$A139)</f>
        <v>10266.62338</v>
      </c>
      <c r="BZ139" s="116">
        <f>SUMIFS('IS Proforma'!CL:CL,'IS Proforma'!$C:$C,'Opex Departments'!$C139,'IS Proforma'!$A:$A,'Opex Departments'!$A139)</f>
        <v>10266.62338</v>
      </c>
      <c r="CA139" s="116">
        <f>SUMIFS('IS Proforma'!CM:CM,'IS Proforma'!$C:$C,'Opex Departments'!$C139,'IS Proforma'!$A:$A,'Opex Departments'!$A139)</f>
        <v>10266.62338</v>
      </c>
      <c r="CB139" s="116">
        <f>SUMIFS('IS Proforma'!CN:CN,'IS Proforma'!$C:$C,'Opex Departments'!$C139,'IS Proforma'!$A:$A,'Opex Departments'!$A139)</f>
        <v>10677.28832</v>
      </c>
      <c r="CC139" s="116">
        <f>SUMIFS('IS Proforma'!CO:CO,'IS Proforma'!$C:$C,'Opex Departments'!$C139,'IS Proforma'!$A:$A,'Opex Departments'!$A139)</f>
        <v>10677.28832</v>
      </c>
      <c r="CD139" s="116">
        <f>SUMIFS('IS Proforma'!CP:CP,'IS Proforma'!$C:$C,'Opex Departments'!$C139,'IS Proforma'!$A:$A,'Opex Departments'!$A139)</f>
        <v>10677.28832</v>
      </c>
      <c r="CE139" s="116">
        <f>SUMIFS('IS Proforma'!CQ:CQ,'IS Proforma'!$C:$C,'Opex Departments'!$C139,'IS Proforma'!$A:$A,'Opex Departments'!$A139)</f>
        <v>10677.28832</v>
      </c>
      <c r="CF139" s="116">
        <f>SUMIFS('IS Proforma'!CR:CR,'IS Proforma'!$C:$C,'Opex Departments'!$C139,'IS Proforma'!$A:$A,'Opex Departments'!$A139)</f>
        <v>11104.37985</v>
      </c>
      <c r="CG139" s="116">
        <f>SUMIFS('IS Proforma'!CS:CS,'IS Proforma'!$C:$C,'Opex Departments'!$C139,'IS Proforma'!$A:$A,'Opex Departments'!$A139)</f>
        <v>11104.37985</v>
      </c>
      <c r="CH139" s="116">
        <f>SUMIFS('IS Proforma'!CT:CT,'IS Proforma'!$C:$C,'Opex Departments'!$C139,'IS Proforma'!$A:$A,'Opex Departments'!$A139)</f>
        <v>11104.37985</v>
      </c>
      <c r="CI139" s="116">
        <f>SUMIFS('IS Proforma'!CU:CU,'IS Proforma'!$C:$C,'Opex Departments'!$C139,'IS Proforma'!$A:$A,'Opex Departments'!$A139)</f>
        <v>11104.37985</v>
      </c>
    </row>
    <row r="140" ht="15.75" customHeight="1" outlineLevel="1">
      <c r="A140" s="1" t="s">
        <v>174</v>
      </c>
      <c r="B140" s="91" t="s">
        <v>175</v>
      </c>
      <c r="C140" s="132" t="s">
        <v>228</v>
      </c>
      <c r="D140" s="116">
        <f>SUMIFS('IS Proforma'!P:P,'IS Proforma'!$C:$C,'Opex Departments'!$C140,'IS Proforma'!$A:$A,'Opex Departments'!$A140)</f>
        <v>2421</v>
      </c>
      <c r="E140" s="116">
        <f>SUMIFS('IS Proforma'!Q:Q,'IS Proforma'!$C:$C,'Opex Departments'!$C140,'IS Proforma'!$A:$A,'Opex Departments'!$A140)</f>
        <v>1438</v>
      </c>
      <c r="F140" s="116">
        <f>SUMIFS('IS Proforma'!R:R,'IS Proforma'!$C:$C,'Opex Departments'!$C140,'IS Proforma'!$A:$A,'Opex Departments'!$A140)</f>
        <v>2007</v>
      </c>
      <c r="G140" s="116">
        <f>SUMIFS('IS Proforma'!S:S,'IS Proforma'!$C:$C,'Opex Departments'!$C140,'IS Proforma'!$A:$A,'Opex Departments'!$A140)</f>
        <v>1448</v>
      </c>
      <c r="H140" s="116">
        <f>SUMIFS('IS Proforma'!T:T,'IS Proforma'!$C:$C,'Opex Departments'!$C140,'IS Proforma'!$A:$A,'Opex Departments'!$A140)</f>
        <v>1567</v>
      </c>
      <c r="I140" s="116">
        <f>SUMIFS('IS Proforma'!U:U,'IS Proforma'!$C:$C,'Opex Departments'!$C140,'IS Proforma'!$A:$A,'Opex Departments'!$A140)</f>
        <v>1906</v>
      </c>
      <c r="J140" s="116">
        <f>SUMIFS('IS Proforma'!V:V,'IS Proforma'!$C:$C,'Opex Departments'!$C140,'IS Proforma'!$A:$A,'Opex Departments'!$A140)</f>
        <v>1549</v>
      </c>
      <c r="K140" s="116">
        <f>SUMIFS('IS Proforma'!W:W,'IS Proforma'!$C:$C,'Opex Departments'!$C140,'IS Proforma'!$A:$A,'Opex Departments'!$A140)</f>
        <v>2351</v>
      </c>
      <c r="L140" s="116">
        <f>SUMIFS('IS Proforma'!X:X,'IS Proforma'!$C:$C,'Opex Departments'!$C140,'IS Proforma'!$A:$A,'Opex Departments'!$A140)</f>
        <v>2132</v>
      </c>
      <c r="M140" s="116">
        <f>SUMIFS('IS Proforma'!Y:Y,'IS Proforma'!$C:$C,'Opex Departments'!$C140,'IS Proforma'!$A:$A,'Opex Departments'!$A140)</f>
        <v>1682</v>
      </c>
      <c r="N140" s="116">
        <f>SUMIFS('IS Proforma'!Z:Z,'IS Proforma'!$C:$C,'Opex Departments'!$C140,'IS Proforma'!$A:$A,'Opex Departments'!$A140)</f>
        <v>1478</v>
      </c>
      <c r="O140" s="116">
        <f>SUMIFS('IS Proforma'!AA:AA,'IS Proforma'!$C:$C,'Opex Departments'!$C140,'IS Proforma'!$A:$A,'Opex Departments'!$A140)</f>
        <v>2252</v>
      </c>
      <c r="P140" s="116">
        <f>SUMIFS('IS Proforma'!AB:AB,'IS Proforma'!$C:$C,'Opex Departments'!$C140,'IS Proforma'!$A:$A,'Opex Departments'!$A140)</f>
        <v>2172</v>
      </c>
      <c r="Q140" s="116">
        <f>SUMIFS('IS Proforma'!AC:AC,'IS Proforma'!$C:$C,'Opex Departments'!$C140,'IS Proforma'!$A:$A,'Opex Departments'!$A140)</f>
        <v>1733</v>
      </c>
      <c r="R140" s="116">
        <f>SUMIFS('IS Proforma'!AD:AD,'IS Proforma'!$C:$C,'Opex Departments'!$C140,'IS Proforma'!$A:$A,'Opex Departments'!$A140)</f>
        <v>2500</v>
      </c>
      <c r="S140" s="116">
        <f>SUMIFS('IS Proforma'!AE:AE,'IS Proforma'!$C:$C,'Opex Departments'!$C140,'IS Proforma'!$A:$A,'Opex Departments'!$A140)</f>
        <v>2183</v>
      </c>
      <c r="T140" s="116">
        <f>SUMIFS('IS Proforma'!AF:AF,'IS Proforma'!$C:$C,'Opex Departments'!$C140,'IS Proforma'!$A:$A,'Opex Departments'!$A140)</f>
        <v>1987</v>
      </c>
      <c r="U140" s="116">
        <f>SUMIFS('IS Proforma'!AG:AG,'IS Proforma'!$C:$C,'Opex Departments'!$C140,'IS Proforma'!$A:$A,'Opex Departments'!$A140)</f>
        <v>1136</v>
      </c>
      <c r="V140" s="116">
        <f>SUMIFS('IS Proforma'!AH:AH,'IS Proforma'!$C:$C,'Opex Departments'!$C140,'IS Proforma'!$A:$A,'Opex Departments'!$A140)</f>
        <v>1029</v>
      </c>
      <c r="W140" s="116">
        <f>SUMIFS('IS Proforma'!AI:AI,'IS Proforma'!$C:$C,'Opex Departments'!$C140,'IS Proforma'!$A:$A,'Opex Departments'!$A140)</f>
        <v>1867</v>
      </c>
      <c r="X140" s="116">
        <f>SUMIFS('IS Proforma'!AJ:AJ,'IS Proforma'!$C:$C,'Opex Departments'!$C140,'IS Proforma'!$A:$A,'Opex Departments'!$A140)</f>
        <v>1082</v>
      </c>
      <c r="Y140" s="116">
        <f>SUMIFS('IS Proforma'!AK:AK,'IS Proforma'!$C:$C,'Opex Departments'!$C140,'IS Proforma'!$A:$A,'Opex Departments'!$A140)</f>
        <v>1251</v>
      </c>
      <c r="Z140" s="116">
        <f>SUMIFS('IS Proforma'!AL:AL,'IS Proforma'!$C:$C,'Opex Departments'!$C140,'IS Proforma'!$A:$A,'Opex Departments'!$A140)</f>
        <v>2115</v>
      </c>
      <c r="AA140" s="116">
        <f>SUMIFS('IS Proforma'!AM:AM,'IS Proforma'!$C:$C,'Opex Departments'!$C140,'IS Proforma'!$A:$A,'Opex Departments'!$A140)</f>
        <v>2287.381337</v>
      </c>
      <c r="AB140" s="116">
        <f>SUMIFS('IS Proforma'!AN:AN,'IS Proforma'!$C:$C,'Opex Departments'!$C140,'IS Proforma'!$A:$A,'Opex Departments'!$A140)</f>
        <v>2693.977872</v>
      </c>
      <c r="AC140" s="116">
        <f>SUMIFS('IS Proforma'!AO:AO,'IS Proforma'!$C:$C,'Opex Departments'!$C140,'IS Proforma'!$A:$A,'Opex Departments'!$A140)</f>
        <v>3095.795648</v>
      </c>
      <c r="AD140" s="116">
        <f>SUMIFS('IS Proforma'!AP:AP,'IS Proforma'!$C:$C,'Opex Departments'!$C140,'IS Proforma'!$A:$A,'Opex Departments'!$A140)</f>
        <v>3463.775326</v>
      </c>
      <c r="AE140" s="116">
        <f>SUMIFS('IS Proforma'!AQ:AQ,'IS Proforma'!$C:$C,'Opex Departments'!$C140,'IS Proforma'!$A:$A,'Opex Departments'!$A140)</f>
        <v>3816.146554</v>
      </c>
      <c r="AF140" s="116">
        <f>SUMIFS('IS Proforma'!AR:AR,'IS Proforma'!$C:$C,'Opex Departments'!$C140,'IS Proforma'!$A:$A,'Opex Departments'!$A140)</f>
        <v>4166.256831</v>
      </c>
      <c r="AG140" s="116">
        <f>SUMIFS('IS Proforma'!AS:AS,'IS Proforma'!$C:$C,'Opex Departments'!$C140,'IS Proforma'!$A:$A,'Opex Departments'!$A140)</f>
        <v>4518.431713</v>
      </c>
      <c r="AH140" s="116">
        <f>SUMIFS('IS Proforma'!AT:AT,'IS Proforma'!$C:$C,'Opex Departments'!$C140,'IS Proforma'!$A:$A,'Opex Departments'!$A140)</f>
        <v>4835.898314</v>
      </c>
      <c r="AI140" s="116">
        <f>SUMIFS('IS Proforma'!AU:AU,'IS Proforma'!$C:$C,'Opex Departments'!$C140,'IS Proforma'!$A:$A,'Opex Departments'!$A140)</f>
        <v>5147.23714</v>
      </c>
      <c r="AJ140" s="116">
        <f>SUMIFS('IS Proforma'!AV:AV,'IS Proforma'!$C:$C,'Opex Departments'!$C140,'IS Proforma'!$A:$A,'Opex Departments'!$A140)</f>
        <v>5452.057036</v>
      </c>
      <c r="AK140" s="116">
        <f>SUMIFS('IS Proforma'!AW:AW,'IS Proforma'!$C:$C,'Opex Departments'!$C140,'IS Proforma'!$A:$A,'Opex Departments'!$A140)</f>
        <v>5735.41994</v>
      </c>
      <c r="AL140" s="116">
        <f>SUMIFS('IS Proforma'!AX:AX,'IS Proforma'!$C:$C,'Opex Departments'!$C140,'IS Proforma'!$A:$A,'Opex Departments'!$A140)</f>
        <v>6016.04732</v>
      </c>
      <c r="AM140" s="116">
        <f>SUMIFS('IS Proforma'!AY:AY,'IS Proforma'!$C:$C,'Opex Departments'!$C140,'IS Proforma'!$A:$A,'Opex Departments'!$A140)</f>
        <v>6300.208145</v>
      </c>
      <c r="AN140" s="116">
        <f>SUMIFS('IS Proforma'!AZ:AZ,'IS Proforma'!$C:$C,'Opex Departments'!$C140,'IS Proforma'!$A:$A,'Opex Departments'!$A140)</f>
        <v>6580.939009</v>
      </c>
      <c r="AO140" s="116">
        <f>SUMIFS('IS Proforma'!BA:BA,'IS Proforma'!$C:$C,'Opex Departments'!$C140,'IS Proforma'!$A:$A,'Opex Departments'!$A140)</f>
        <v>6630.936432</v>
      </c>
      <c r="AP140" s="116">
        <f>SUMIFS('IS Proforma'!BB:BB,'IS Proforma'!$C:$C,'Opex Departments'!$C140,'IS Proforma'!$A:$A,'Opex Departments'!$A140)</f>
        <v>6701.035277</v>
      </c>
      <c r="AQ140" s="116">
        <f>SUMIFS('IS Proforma'!BC:BC,'IS Proforma'!$C:$C,'Opex Departments'!$C140,'IS Proforma'!$A:$A,'Opex Departments'!$A140)</f>
        <v>6791.897792</v>
      </c>
      <c r="AR140" s="116">
        <f>SUMIFS('IS Proforma'!BD:BD,'IS Proforma'!$C:$C,'Opex Departments'!$C140,'IS Proforma'!$A:$A,'Opex Departments'!$A140)</f>
        <v>6888.36037</v>
      </c>
      <c r="AS140" s="116">
        <f>SUMIFS('IS Proforma'!BE:BE,'IS Proforma'!$C:$C,'Opex Departments'!$C140,'IS Proforma'!$A:$A,'Opex Departments'!$A140)</f>
        <v>6988.685408</v>
      </c>
      <c r="AT140" s="116">
        <f>SUMIFS('IS Proforma'!BF:BF,'IS Proforma'!$C:$C,'Opex Departments'!$C140,'IS Proforma'!$A:$A,'Opex Departments'!$A140)</f>
        <v>7087.914026</v>
      </c>
      <c r="AU140" s="116">
        <f>SUMIFS('IS Proforma'!BG:BG,'IS Proforma'!$C:$C,'Opex Departments'!$C140,'IS Proforma'!$A:$A,'Opex Departments'!$A140)</f>
        <v>7207.709799</v>
      </c>
      <c r="AV140" s="116">
        <f>SUMIFS('IS Proforma'!BH:BH,'IS Proforma'!$C:$C,'Opex Departments'!$C140,'IS Proforma'!$A:$A,'Opex Departments'!$A140)</f>
        <v>7304.399807</v>
      </c>
      <c r="AW140" s="116">
        <f>SUMIFS('IS Proforma'!BI:BI,'IS Proforma'!$C:$C,'Opex Departments'!$C140,'IS Proforma'!$A:$A,'Opex Departments'!$A140)</f>
        <v>7399.717078</v>
      </c>
      <c r="AX140" s="116">
        <f>SUMIFS('IS Proforma'!BJ:BJ,'IS Proforma'!$C:$C,'Opex Departments'!$C140,'IS Proforma'!$A:$A,'Opex Departments'!$A140)</f>
        <v>7493.716596</v>
      </c>
      <c r="AY140" s="116">
        <f>SUMIFS('IS Proforma'!BK:BK,'IS Proforma'!$C:$C,'Opex Departments'!$C140,'IS Proforma'!$A:$A,'Opex Departments'!$A140)</f>
        <v>7586.462249</v>
      </c>
      <c r="AZ140" s="116">
        <f>SUMIFS('IS Proforma'!BL:BL,'IS Proforma'!$C:$C,'Opex Departments'!$C140,'IS Proforma'!$A:$A,'Opex Departments'!$A140)</f>
        <v>7788.47772</v>
      </c>
      <c r="BA140" s="116">
        <f>SUMIFS('IS Proforma'!BM:BM,'IS Proforma'!$C:$C,'Opex Departments'!$C140,'IS Proforma'!$A:$A,'Opex Departments'!$A140)</f>
        <v>7940.545826</v>
      </c>
      <c r="BB140" s="116">
        <f>SUMIFS('IS Proforma'!BN:BN,'IS Proforma'!$C:$C,'Opex Departments'!$C140,'IS Proforma'!$A:$A,'Opex Departments'!$A140)</f>
        <v>8087.92554</v>
      </c>
      <c r="BC140" s="116">
        <f>SUMIFS('IS Proforma'!BO:BO,'IS Proforma'!$C:$C,'Opex Departments'!$C140,'IS Proforma'!$A:$A,'Opex Departments'!$A140)</f>
        <v>8231.51264</v>
      </c>
      <c r="BD140" s="116">
        <f>SUMIFS('IS Proforma'!BP:BP,'IS Proforma'!$C:$C,'Opex Departments'!$C140,'IS Proforma'!$A:$A,'Opex Departments'!$A140)</f>
        <v>8371.886297</v>
      </c>
      <c r="BE140" s="116">
        <f>SUMIFS('IS Proforma'!BQ:BQ,'IS Proforma'!$C:$C,'Opex Departments'!$C140,'IS Proforma'!$A:$A,'Opex Departments'!$A140)</f>
        <v>8509.419528</v>
      </c>
      <c r="BF140" s="116">
        <f>SUMIFS('IS Proforma'!BR:BR,'IS Proforma'!$C:$C,'Opex Departments'!$C140,'IS Proforma'!$A:$A,'Opex Departments'!$A140)</f>
        <v>8644.396695</v>
      </c>
      <c r="BG140" s="116">
        <f>SUMIFS('IS Proforma'!BS:BS,'IS Proforma'!$C:$C,'Opex Departments'!$C140,'IS Proforma'!$A:$A,'Opex Departments'!$A140)</f>
        <v>8777.049703</v>
      </c>
      <c r="BH140" s="116">
        <f>SUMIFS('IS Proforma'!BT:BT,'IS Proforma'!$C:$C,'Opex Departments'!$C140,'IS Proforma'!$A:$A,'Opex Departments'!$A140)</f>
        <v>8907.574307</v>
      </c>
      <c r="BI140" s="116">
        <f>SUMIFS('IS Proforma'!BU:BU,'IS Proforma'!$C:$C,'Opex Departments'!$C140,'IS Proforma'!$A:$A,'Opex Departments'!$A140)</f>
        <v>9036.139614</v>
      </c>
      <c r="BJ140" s="116">
        <f>SUMIFS('IS Proforma'!BV:BV,'IS Proforma'!$C:$C,'Opex Departments'!$C140,'IS Proforma'!$A:$A,'Opex Departments'!$A140)</f>
        <v>9162.894431</v>
      </c>
      <c r="BK140" s="116">
        <f>SUMIFS('IS Proforma'!BW:BW,'IS Proforma'!$C:$C,'Opex Departments'!$C140,'IS Proforma'!$A:$A,'Opex Departments'!$A140)</f>
        <v>9287.971757</v>
      </c>
      <c r="BL140" s="116">
        <f>SUMIFS('IS Proforma'!BX:BX,'IS Proforma'!$C:$C,'Opex Departments'!$C140,'IS Proforma'!$A:$A,'Opex Departments'!$A140)</f>
        <v>9468.739494</v>
      </c>
      <c r="BM140" s="116">
        <f>SUMIFS('IS Proforma'!BY:BY,'IS Proforma'!$C:$C,'Opex Departments'!$C140,'IS Proforma'!$A:$A,'Opex Departments'!$A140)</f>
        <v>9609.0568</v>
      </c>
      <c r="BN140" s="116">
        <f>SUMIFS('IS Proforma'!BZ:BZ,'IS Proforma'!$C:$C,'Opex Departments'!$C140,'IS Proforma'!$A:$A,'Opex Departments'!$A140)</f>
        <v>9736.134978</v>
      </c>
      <c r="BO140" s="116">
        <f>SUMIFS('IS Proforma'!CA:CA,'IS Proforma'!$C:$C,'Opex Departments'!$C140,'IS Proforma'!$A:$A,'Opex Departments'!$A140)</f>
        <v>9860.701795</v>
      </c>
      <c r="BP140" s="116">
        <f>SUMIFS('IS Proforma'!CB:CB,'IS Proforma'!$C:$C,'Opex Departments'!$C140,'IS Proforma'!$A:$A,'Opex Departments'!$A140)</f>
        <v>9984.65181</v>
      </c>
      <c r="BQ140" s="116">
        <f>SUMIFS('IS Proforma'!CC:CC,'IS Proforma'!$C:$C,'Opex Departments'!$C140,'IS Proforma'!$A:$A,'Opex Departments'!$A140)</f>
        <v>10108.03268</v>
      </c>
      <c r="BR140" s="116">
        <f>SUMIFS('IS Proforma'!CD:CD,'IS Proforma'!$C:$C,'Opex Departments'!$C140,'IS Proforma'!$A:$A,'Opex Departments'!$A140)</f>
        <v>10230.92659</v>
      </c>
      <c r="BS140" s="116">
        <f>SUMIFS('IS Proforma'!CE:CE,'IS Proforma'!$C:$C,'Opex Departments'!$C140,'IS Proforma'!$A:$A,'Opex Departments'!$A140)</f>
        <v>10353.4129</v>
      </c>
      <c r="BT140" s="116">
        <f>SUMIFS('IS Proforma'!CF:CF,'IS Proforma'!$C:$C,'Opex Departments'!$C140,'IS Proforma'!$A:$A,'Opex Departments'!$A140)</f>
        <v>10475.56679</v>
      </c>
      <c r="BU140" s="116">
        <f>SUMIFS('IS Proforma'!CG:CG,'IS Proforma'!$C:$C,'Opex Departments'!$C140,'IS Proforma'!$A:$A,'Opex Departments'!$A140)</f>
        <v>10597.46052</v>
      </c>
      <c r="BV140" s="116">
        <f>SUMIFS('IS Proforma'!CH:CH,'IS Proforma'!$C:$C,'Opex Departments'!$C140,'IS Proforma'!$A:$A,'Opex Departments'!$A140)</f>
        <v>10719.1643</v>
      </c>
      <c r="BW140" s="116">
        <f>SUMIFS('IS Proforma'!CI:CI,'IS Proforma'!$C:$C,'Opex Departments'!$C140,'IS Proforma'!$A:$A,'Opex Departments'!$A140)</f>
        <v>10840.74664</v>
      </c>
      <c r="BX140" s="116">
        <f>SUMIFS('IS Proforma'!CJ:CJ,'IS Proforma'!$C:$C,'Opex Departments'!$C140,'IS Proforma'!$A:$A,'Opex Departments'!$A140)</f>
        <v>11007.01497</v>
      </c>
      <c r="BY140" s="116">
        <f>SUMIFS('IS Proforma'!CK:CK,'IS Proforma'!$C:$C,'Opex Departments'!$C140,'IS Proforma'!$A:$A,'Opex Departments'!$A140)</f>
        <v>11084.73002</v>
      </c>
      <c r="BZ140" s="116">
        <f>SUMIFS('IS Proforma'!CL:CL,'IS Proforma'!$C:$C,'Opex Departments'!$C140,'IS Proforma'!$A:$A,'Opex Departments'!$A140)</f>
        <v>11159.01454</v>
      </c>
      <c r="CA140" s="116">
        <f>SUMIFS('IS Proforma'!CM:CM,'IS Proforma'!$C:$C,'Opex Departments'!$C140,'IS Proforma'!$A:$A,'Opex Departments'!$A140)</f>
        <v>11237.17632</v>
      </c>
      <c r="CB140" s="116">
        <f>SUMIFS('IS Proforma'!CN:CN,'IS Proforma'!$C:$C,'Opex Departments'!$C140,'IS Proforma'!$A:$A,'Opex Departments'!$A140)</f>
        <v>11317.5964</v>
      </c>
      <c r="CC140" s="116">
        <f>SUMIFS('IS Proforma'!CO:CO,'IS Proforma'!$C:$C,'Opex Departments'!$C140,'IS Proforma'!$A:$A,'Opex Departments'!$A140)</f>
        <v>11399.05746</v>
      </c>
      <c r="CD140" s="116">
        <f>SUMIFS('IS Proforma'!CP:CP,'IS Proforma'!$C:$C,'Opex Departments'!$C140,'IS Proforma'!$A:$A,'Opex Departments'!$A140)</f>
        <v>11481.05034</v>
      </c>
      <c r="CE140" s="116">
        <f>SUMIFS('IS Proforma'!CQ:CQ,'IS Proforma'!$C:$C,'Opex Departments'!$C140,'IS Proforma'!$A:$A,'Opex Departments'!$A140)</f>
        <v>11563.31459</v>
      </c>
      <c r="CF140" s="116">
        <f>SUMIFS('IS Proforma'!CR:CR,'IS Proforma'!$C:$C,'Opex Departments'!$C140,'IS Proforma'!$A:$A,'Opex Departments'!$A140)</f>
        <v>11645.70318</v>
      </c>
      <c r="CG140" s="116">
        <f>SUMIFS('IS Proforma'!CS:CS,'IS Proforma'!$C:$C,'Opex Departments'!$C140,'IS Proforma'!$A:$A,'Opex Departments'!$A140)</f>
        <v>11728.13187</v>
      </c>
      <c r="CH140" s="116">
        <f>SUMIFS('IS Proforma'!CT:CT,'IS Proforma'!$C:$C,'Opex Departments'!$C140,'IS Proforma'!$A:$A,'Opex Departments'!$A140)</f>
        <v>11810.55584</v>
      </c>
      <c r="CI140" s="116">
        <f>SUMIFS('IS Proforma'!CU:CU,'IS Proforma'!$C:$C,'Opex Departments'!$C140,'IS Proforma'!$A:$A,'Opex Departments'!$A140)</f>
        <v>11892.95672</v>
      </c>
    </row>
    <row r="141" ht="15.75" customHeight="1" outlineLevel="1">
      <c r="A141" s="1" t="s">
        <v>174</v>
      </c>
      <c r="B141" s="91" t="s">
        <v>175</v>
      </c>
      <c r="C141" s="132" t="s">
        <v>229</v>
      </c>
      <c r="D141" s="116">
        <f>SUMIFS('IS Proforma'!P:P,'IS Proforma'!$C:$C,'Opex Departments'!$C141,'IS Proforma'!$A:$A,'Opex Departments'!$A141)</f>
        <v>1478</v>
      </c>
      <c r="E141" s="116">
        <f>SUMIFS('IS Proforma'!Q:Q,'IS Proforma'!$C:$C,'Opex Departments'!$C141,'IS Proforma'!$A:$A,'Opex Departments'!$A141)</f>
        <v>1173</v>
      </c>
      <c r="F141" s="116">
        <f>SUMIFS('IS Proforma'!R:R,'IS Proforma'!$C:$C,'Opex Departments'!$C141,'IS Proforma'!$A:$A,'Opex Departments'!$A141)</f>
        <v>2033</v>
      </c>
      <c r="G141" s="116">
        <f>SUMIFS('IS Proforma'!S:S,'IS Proforma'!$C:$C,'Opex Departments'!$C141,'IS Proforma'!$A:$A,'Opex Departments'!$A141)</f>
        <v>1350</v>
      </c>
      <c r="H141" s="116">
        <f>SUMIFS('IS Proforma'!T:T,'IS Proforma'!$C:$C,'Opex Departments'!$C141,'IS Proforma'!$A:$A,'Opex Departments'!$A141)</f>
        <v>1843</v>
      </c>
      <c r="I141" s="116">
        <f>SUMIFS('IS Proforma'!U:U,'IS Proforma'!$C:$C,'Opex Departments'!$C141,'IS Proforma'!$A:$A,'Opex Departments'!$A141)</f>
        <v>1023</v>
      </c>
      <c r="J141" s="116">
        <f>SUMIFS('IS Proforma'!V:V,'IS Proforma'!$C:$C,'Opex Departments'!$C141,'IS Proforma'!$A:$A,'Opex Departments'!$A141)</f>
        <v>1037</v>
      </c>
      <c r="K141" s="116">
        <f>SUMIFS('IS Proforma'!W:W,'IS Proforma'!$C:$C,'Opex Departments'!$C141,'IS Proforma'!$A:$A,'Opex Departments'!$A141)</f>
        <v>1694</v>
      </c>
      <c r="L141" s="116">
        <f>SUMIFS('IS Proforma'!X:X,'IS Proforma'!$C:$C,'Opex Departments'!$C141,'IS Proforma'!$A:$A,'Opex Departments'!$A141)</f>
        <v>2159</v>
      </c>
      <c r="M141" s="116">
        <f>SUMIFS('IS Proforma'!Y:Y,'IS Proforma'!$C:$C,'Opex Departments'!$C141,'IS Proforma'!$A:$A,'Opex Departments'!$A141)</f>
        <v>1781</v>
      </c>
      <c r="N141" s="116">
        <f>SUMIFS('IS Proforma'!Z:Z,'IS Proforma'!$C:$C,'Opex Departments'!$C141,'IS Proforma'!$A:$A,'Opex Departments'!$A141)</f>
        <v>2008</v>
      </c>
      <c r="O141" s="116">
        <f>SUMIFS('IS Proforma'!AA:AA,'IS Proforma'!$C:$C,'Opex Departments'!$C141,'IS Proforma'!$A:$A,'Opex Departments'!$A141)</f>
        <v>2360</v>
      </c>
      <c r="P141" s="116">
        <f>SUMIFS('IS Proforma'!AB:AB,'IS Proforma'!$C:$C,'Opex Departments'!$C141,'IS Proforma'!$A:$A,'Opex Departments'!$A141)</f>
        <v>2367</v>
      </c>
      <c r="Q141" s="116">
        <f>SUMIFS('IS Proforma'!AC:AC,'IS Proforma'!$C:$C,'Opex Departments'!$C141,'IS Proforma'!$A:$A,'Opex Departments'!$A141)</f>
        <v>2035</v>
      </c>
      <c r="R141" s="116">
        <f>SUMIFS('IS Proforma'!AD:AD,'IS Proforma'!$C:$C,'Opex Departments'!$C141,'IS Proforma'!$A:$A,'Opex Departments'!$A141)</f>
        <v>2198</v>
      </c>
      <c r="S141" s="116">
        <f>SUMIFS('IS Proforma'!AE:AE,'IS Proforma'!$C:$C,'Opex Departments'!$C141,'IS Proforma'!$A:$A,'Opex Departments'!$A141)</f>
        <v>1668</v>
      </c>
      <c r="T141" s="116">
        <f>SUMIFS('IS Proforma'!AF:AF,'IS Proforma'!$C:$C,'Opex Departments'!$C141,'IS Proforma'!$A:$A,'Opex Departments'!$A141)</f>
        <v>2397</v>
      </c>
      <c r="U141" s="116">
        <f>SUMIFS('IS Proforma'!AG:AG,'IS Proforma'!$C:$C,'Opex Departments'!$C141,'IS Proforma'!$A:$A,'Opex Departments'!$A141)</f>
        <v>2265</v>
      </c>
      <c r="V141" s="116">
        <f>SUMIFS('IS Proforma'!AH:AH,'IS Proforma'!$C:$C,'Opex Departments'!$C141,'IS Proforma'!$A:$A,'Opex Departments'!$A141)</f>
        <v>1189</v>
      </c>
      <c r="W141" s="116">
        <f>SUMIFS('IS Proforma'!AI:AI,'IS Proforma'!$C:$C,'Opex Departments'!$C141,'IS Proforma'!$A:$A,'Opex Departments'!$A141)</f>
        <v>1184</v>
      </c>
      <c r="X141" s="116">
        <f>SUMIFS('IS Proforma'!AJ:AJ,'IS Proforma'!$C:$C,'Opex Departments'!$C141,'IS Proforma'!$A:$A,'Opex Departments'!$A141)</f>
        <v>1338</v>
      </c>
      <c r="Y141" s="116">
        <f>SUMIFS('IS Proforma'!AK:AK,'IS Proforma'!$C:$C,'Opex Departments'!$C141,'IS Proforma'!$A:$A,'Opex Departments'!$A141)</f>
        <v>2461</v>
      </c>
      <c r="Z141" s="116">
        <f>SUMIFS('IS Proforma'!AL:AL,'IS Proforma'!$C:$C,'Opex Departments'!$C141,'IS Proforma'!$A:$A,'Opex Departments'!$A141)</f>
        <v>1940</v>
      </c>
      <c r="AA141" s="116">
        <f>SUMIFS('IS Proforma'!AM:AM,'IS Proforma'!$C:$C,'Opex Departments'!$C141,'IS Proforma'!$A:$A,'Opex Departments'!$A141)</f>
        <v>2098.118106</v>
      </c>
      <c r="AB141" s="116">
        <f>SUMIFS('IS Proforma'!AN:AN,'IS Proforma'!$C:$C,'Opex Departments'!$C141,'IS Proforma'!$A:$A,'Opex Departments'!$A141)</f>
        <v>4168.64098</v>
      </c>
      <c r="AC141" s="116">
        <f>SUMIFS('IS Proforma'!AO:AO,'IS Proforma'!$C:$C,'Opex Departments'!$C141,'IS Proforma'!$A:$A,'Opex Departments'!$A141)</f>
        <v>4790.410767</v>
      </c>
      <c r="AD141" s="116">
        <f>SUMIFS('IS Proforma'!AP:AP,'IS Proforma'!$C:$C,'Opex Departments'!$C141,'IS Proforma'!$A:$A,'Opex Departments'!$A141)</f>
        <v>5359.819737</v>
      </c>
      <c r="AE141" s="116">
        <f>SUMIFS('IS Proforma'!AQ:AQ,'IS Proforma'!$C:$C,'Opex Departments'!$C141,'IS Proforma'!$A:$A,'Opex Departments'!$A141)</f>
        <v>5905.076308</v>
      </c>
      <c r="AF141" s="116">
        <f>SUMIFS('IS Proforma'!AR:AR,'IS Proforma'!$C:$C,'Opex Departments'!$C141,'IS Proforma'!$A:$A,'Opex Departments'!$A141)</f>
        <v>6446.834302</v>
      </c>
      <c r="AG141" s="116">
        <f>SUMIFS('IS Proforma'!AS:AS,'IS Proforma'!$C:$C,'Opex Departments'!$C141,'IS Proforma'!$A:$A,'Opex Departments'!$A141)</f>
        <v>6991.787051</v>
      </c>
      <c r="AH141" s="116">
        <f>SUMIFS('IS Proforma'!AT:AT,'IS Proforma'!$C:$C,'Opex Departments'!$C141,'IS Proforma'!$A:$A,'Opex Departments'!$A141)</f>
        <v>7483.032468</v>
      </c>
      <c r="AI141" s="116">
        <f>SUMIFS('IS Proforma'!AU:AU,'IS Proforma'!$C:$C,'Opex Departments'!$C141,'IS Proforma'!$A:$A,'Opex Departments'!$A141)</f>
        <v>7964.795812</v>
      </c>
      <c r="AJ141" s="116">
        <f>SUMIFS('IS Proforma'!AV:AV,'IS Proforma'!$C:$C,'Opex Departments'!$C141,'IS Proforma'!$A:$A,'Opex Departments'!$A141)</f>
        <v>8436.471813</v>
      </c>
      <c r="AK141" s="116">
        <f>SUMIFS('IS Proforma'!AW:AW,'IS Proforma'!$C:$C,'Opex Departments'!$C141,'IS Proforma'!$A:$A,'Opex Departments'!$A141)</f>
        <v>8874.945427</v>
      </c>
      <c r="AL141" s="116">
        <f>SUMIFS('IS Proforma'!AX:AX,'IS Proforma'!$C:$C,'Opex Departments'!$C141,'IS Proforma'!$A:$A,'Opex Departments'!$A141)</f>
        <v>9309.186112</v>
      </c>
      <c r="AM141" s="116">
        <f>SUMIFS('IS Proforma'!AY:AY,'IS Proforma'!$C:$C,'Opex Departments'!$C141,'IS Proforma'!$A:$A,'Opex Departments'!$A141)</f>
        <v>9748.894422</v>
      </c>
      <c r="AN141" s="116">
        <f>SUMIFS('IS Proforma'!AZ:AZ,'IS Proforma'!$C:$C,'Opex Departments'!$C141,'IS Proforma'!$A:$A,'Opex Departments'!$A141)</f>
        <v>30549.88571</v>
      </c>
      <c r="AO141" s="116">
        <f>SUMIFS('IS Proforma'!BA:BA,'IS Proforma'!$C:$C,'Opex Departments'!$C141,'IS Proforma'!$A:$A,'Opex Departments'!$A141)</f>
        <v>30781.98262</v>
      </c>
      <c r="AP141" s="116">
        <f>SUMIFS('IS Proforma'!BB:BB,'IS Proforma'!$C:$C,'Opex Departments'!$C141,'IS Proforma'!$A:$A,'Opex Departments'!$A141)</f>
        <v>31107.39388</v>
      </c>
      <c r="AQ141" s="116">
        <f>SUMIFS('IS Proforma'!BC:BC,'IS Proforma'!$C:$C,'Opex Departments'!$C141,'IS Proforma'!$A:$A,'Opex Departments'!$A141)</f>
        <v>31529.19379</v>
      </c>
      <c r="AR141" s="116">
        <f>SUMIFS('IS Proforma'!BD:BD,'IS Proforma'!$C:$C,'Opex Departments'!$C141,'IS Proforma'!$A:$A,'Opex Departments'!$A141)</f>
        <v>31976.99018</v>
      </c>
      <c r="AS141" s="116">
        <f>SUMIFS('IS Proforma'!BE:BE,'IS Proforma'!$C:$C,'Opex Departments'!$C141,'IS Proforma'!$A:$A,'Opex Departments'!$A141)</f>
        <v>32442.71679</v>
      </c>
      <c r="AT141" s="116">
        <f>SUMIFS('IS Proforma'!BF:BF,'IS Proforma'!$C:$C,'Opex Departments'!$C141,'IS Proforma'!$A:$A,'Opex Departments'!$A141)</f>
        <v>32903.35363</v>
      </c>
      <c r="AU141" s="116">
        <f>SUMIFS('IS Proforma'!BG:BG,'IS Proforma'!$C:$C,'Opex Departments'!$C141,'IS Proforma'!$A:$A,'Opex Departments'!$A141)</f>
        <v>33459.46685</v>
      </c>
      <c r="AV141" s="116">
        <f>SUMIFS('IS Proforma'!BH:BH,'IS Proforma'!$C:$C,'Opex Departments'!$C141,'IS Proforma'!$A:$A,'Opex Departments'!$A141)</f>
        <v>33908.31901</v>
      </c>
      <c r="AW141" s="116">
        <f>SUMIFS('IS Proforma'!BI:BI,'IS Proforma'!$C:$C,'Opex Departments'!$C141,'IS Proforma'!$A:$A,'Opex Departments'!$A141)</f>
        <v>34350.79868</v>
      </c>
      <c r="AX141" s="116">
        <f>SUMIFS('IS Proforma'!BJ:BJ,'IS Proforma'!$C:$C,'Opex Departments'!$C141,'IS Proforma'!$A:$A,'Opex Departments'!$A141)</f>
        <v>34787.16111</v>
      </c>
      <c r="AY141" s="116">
        <f>SUMIFS('IS Proforma'!BK:BK,'IS Proforma'!$C:$C,'Opex Departments'!$C141,'IS Proforma'!$A:$A,'Opex Departments'!$A141)</f>
        <v>35217.70288</v>
      </c>
      <c r="AZ141" s="116">
        <f>SUMIFS('IS Proforma'!BL:BL,'IS Proforma'!$C:$C,'Opex Departments'!$C141,'IS Proforma'!$A:$A,'Opex Departments'!$A141)</f>
        <v>40976.22712</v>
      </c>
      <c r="BA141" s="116">
        <f>SUMIFS('IS Proforma'!BM:BM,'IS Proforma'!$C:$C,'Opex Departments'!$C141,'IS Proforma'!$A:$A,'Opex Departments'!$A141)</f>
        <v>41776.27784</v>
      </c>
      <c r="BB141" s="116">
        <f>SUMIFS('IS Proforma'!BN:BN,'IS Proforma'!$C:$C,'Opex Departments'!$C141,'IS Proforma'!$A:$A,'Opex Departments'!$A141)</f>
        <v>42551.6623</v>
      </c>
      <c r="BC141" s="116">
        <f>SUMIFS('IS Proforma'!BO:BO,'IS Proforma'!$C:$C,'Opex Departments'!$C141,'IS Proforma'!$A:$A,'Opex Departments'!$A141)</f>
        <v>43307.09332</v>
      </c>
      <c r="BD141" s="116">
        <f>SUMIFS('IS Proforma'!BP:BP,'IS Proforma'!$C:$C,'Opex Departments'!$C141,'IS Proforma'!$A:$A,'Opex Departments'!$A141)</f>
        <v>44045.61798</v>
      </c>
      <c r="BE141" s="116">
        <f>SUMIFS('IS Proforma'!BQ:BQ,'IS Proforma'!$C:$C,'Opex Departments'!$C141,'IS Proforma'!$A:$A,'Opex Departments'!$A141)</f>
        <v>44769.19877</v>
      </c>
      <c r="BF141" s="116">
        <f>SUMIFS('IS Proforma'!BR:BR,'IS Proforma'!$C:$C,'Opex Departments'!$C141,'IS Proforma'!$A:$A,'Opex Departments'!$A141)</f>
        <v>45479.33177</v>
      </c>
      <c r="BG141" s="116">
        <f>SUMIFS('IS Proforma'!BS:BS,'IS Proforma'!$C:$C,'Opex Departments'!$C141,'IS Proforma'!$A:$A,'Opex Departments'!$A141)</f>
        <v>46177.23706</v>
      </c>
      <c r="BH141" s="116">
        <f>SUMIFS('IS Proforma'!BT:BT,'IS Proforma'!$C:$C,'Opex Departments'!$C141,'IS Proforma'!$A:$A,'Opex Departments'!$A141)</f>
        <v>46863.94453</v>
      </c>
      <c r="BI141" s="116">
        <f>SUMIFS('IS Proforma'!BU:BU,'IS Proforma'!$C:$C,'Opex Departments'!$C141,'IS Proforma'!$A:$A,'Opex Departments'!$A141)</f>
        <v>47540.34387</v>
      </c>
      <c r="BJ141" s="116">
        <f>SUMIFS('IS Proforma'!BV:BV,'IS Proforma'!$C:$C,'Opex Departments'!$C141,'IS Proforma'!$A:$A,'Opex Departments'!$A141)</f>
        <v>48207.21798</v>
      </c>
      <c r="BK141" s="116">
        <f>SUMIFS('IS Proforma'!BW:BW,'IS Proforma'!$C:$C,'Opex Departments'!$C141,'IS Proforma'!$A:$A,'Opex Departments'!$A141)</f>
        <v>48865.26659</v>
      </c>
      <c r="BL141" s="116">
        <f>SUMIFS('IS Proforma'!BX:BX,'IS Proforma'!$C:$C,'Opex Departments'!$C141,'IS Proforma'!$A:$A,'Opex Departments'!$A141)</f>
        <v>58607.42345</v>
      </c>
      <c r="BM141" s="116">
        <f>SUMIFS('IS Proforma'!BY:BY,'IS Proforma'!$C:$C,'Opex Departments'!$C141,'IS Proforma'!$A:$A,'Opex Departments'!$A141)</f>
        <v>59475.9272</v>
      </c>
      <c r="BN141" s="116">
        <f>SUMIFS('IS Proforma'!BZ:BZ,'IS Proforma'!$C:$C,'Opex Departments'!$C141,'IS Proforma'!$A:$A,'Opex Departments'!$A141)</f>
        <v>60262.48645</v>
      </c>
      <c r="BO141" s="116">
        <f>SUMIFS('IS Proforma'!CA:CA,'IS Proforma'!$C:$C,'Opex Departments'!$C141,'IS Proforma'!$A:$A,'Opex Departments'!$A141)</f>
        <v>61033.50145</v>
      </c>
      <c r="BP141" s="116">
        <f>SUMIFS('IS Proforma'!CB:CB,'IS Proforma'!$C:$C,'Opex Departments'!$C141,'IS Proforma'!$A:$A,'Opex Departments'!$A141)</f>
        <v>61800.69871</v>
      </c>
      <c r="BQ141" s="116">
        <f>SUMIFS('IS Proforma'!CC:CC,'IS Proforma'!$C:$C,'Opex Departments'!$C141,'IS Proforma'!$A:$A,'Opex Departments'!$A141)</f>
        <v>62564.37323</v>
      </c>
      <c r="BR141" s="116">
        <f>SUMIFS('IS Proforma'!CD:CD,'IS Proforma'!$C:$C,'Opex Departments'!$C141,'IS Proforma'!$A:$A,'Opex Departments'!$A141)</f>
        <v>63325.03361</v>
      </c>
      <c r="BS141" s="116">
        <f>SUMIFS('IS Proforma'!CE:CE,'IS Proforma'!$C:$C,'Opex Departments'!$C141,'IS Proforma'!$A:$A,'Opex Departments'!$A141)</f>
        <v>64083.1712</v>
      </c>
      <c r="BT141" s="116">
        <f>SUMIFS('IS Proforma'!CF:CF,'IS Proforma'!$C:$C,'Opex Departments'!$C141,'IS Proforma'!$A:$A,'Opex Departments'!$A141)</f>
        <v>64839.25121</v>
      </c>
      <c r="BU141" s="116">
        <f>SUMIFS('IS Proforma'!CG:CG,'IS Proforma'!$C:$C,'Opex Departments'!$C141,'IS Proforma'!$A:$A,'Opex Departments'!$A141)</f>
        <v>65593.72097</v>
      </c>
      <c r="BV141" s="116">
        <f>SUMIFS('IS Proforma'!CH:CH,'IS Proforma'!$C:$C,'Opex Departments'!$C141,'IS Proforma'!$A:$A,'Opex Departments'!$A141)</f>
        <v>66347.01496</v>
      </c>
      <c r="BW141" s="116">
        <f>SUMIFS('IS Proforma'!CI:CI,'IS Proforma'!$C:$C,'Opex Departments'!$C141,'IS Proforma'!$A:$A,'Opex Departments'!$A141)</f>
        <v>67099.55734</v>
      </c>
      <c r="BX141" s="116">
        <f>SUMIFS('IS Proforma'!CJ:CJ,'IS Proforma'!$C:$C,'Opex Departments'!$C141,'IS Proforma'!$A:$A,'Opex Departments'!$A141)</f>
        <v>78347.98981</v>
      </c>
      <c r="BY141" s="116">
        <f>SUMIFS('IS Proforma'!CK:CK,'IS Proforma'!$C:$C,'Opex Departments'!$C141,'IS Proforma'!$A:$A,'Opex Departments'!$A141)</f>
        <v>78901.16593</v>
      </c>
      <c r="BZ141" s="116">
        <f>SUMIFS('IS Proforma'!CL:CL,'IS Proforma'!$C:$C,'Opex Departments'!$C141,'IS Proforma'!$A:$A,'Opex Departments'!$A141)</f>
        <v>79429.92351</v>
      </c>
      <c r="CA141" s="116">
        <f>SUMIFS('IS Proforma'!CM:CM,'IS Proforma'!$C:$C,'Opex Departments'!$C141,'IS Proforma'!$A:$A,'Opex Departments'!$A141)</f>
        <v>79986.27952</v>
      </c>
      <c r="CB141" s="116">
        <f>SUMIFS('IS Proforma'!CN:CN,'IS Proforma'!$C:$C,'Opex Departments'!$C141,'IS Proforma'!$A:$A,'Opex Departments'!$A141)</f>
        <v>80558.71004</v>
      </c>
      <c r="CC141" s="116">
        <f>SUMIFS('IS Proforma'!CO:CO,'IS Proforma'!$C:$C,'Opex Departments'!$C141,'IS Proforma'!$A:$A,'Opex Departments'!$A141)</f>
        <v>81138.55027</v>
      </c>
      <c r="CD141" s="116">
        <f>SUMIFS('IS Proforma'!CP:CP,'IS Proforma'!$C:$C,'Opex Departments'!$C141,'IS Proforma'!$A:$A,'Opex Departments'!$A141)</f>
        <v>81722.17602</v>
      </c>
      <c r="CE141" s="116">
        <f>SUMIFS('IS Proforma'!CQ:CQ,'IS Proforma'!$C:$C,'Opex Departments'!$C141,'IS Proforma'!$A:$A,'Opex Departments'!$A141)</f>
        <v>82307.73342</v>
      </c>
      <c r="CF141" s="116">
        <f>SUMIFS('IS Proforma'!CR:CR,'IS Proforma'!$C:$C,'Opex Departments'!$C141,'IS Proforma'!$A:$A,'Opex Departments'!$A141)</f>
        <v>82894.17582</v>
      </c>
      <c r="CG141" s="116">
        <f>SUMIFS('IS Proforma'!CS:CS,'IS Proforma'!$C:$C,'Opex Departments'!$C141,'IS Proforma'!$A:$A,'Opex Departments'!$A141)</f>
        <v>83480.90368</v>
      </c>
      <c r="CH141" s="116">
        <f>SUMIFS('IS Proforma'!CT:CT,'IS Proforma'!$C:$C,'Opex Departments'!$C141,'IS Proforma'!$A:$A,'Opex Departments'!$A141)</f>
        <v>84067.59792</v>
      </c>
      <c r="CI141" s="116">
        <f>SUMIFS('IS Proforma'!CU:CU,'IS Proforma'!$C:$C,'Opex Departments'!$C141,'IS Proforma'!$A:$A,'Opex Departments'!$A141)</f>
        <v>84654.1278</v>
      </c>
    </row>
    <row r="142" ht="15.75" customHeight="1" outlineLevel="1">
      <c r="A142" s="1" t="s">
        <v>174</v>
      </c>
      <c r="B142" s="91" t="s">
        <v>175</v>
      </c>
      <c r="C142" s="132" t="s">
        <v>230</v>
      </c>
      <c r="D142" s="116">
        <f>SUMIFS('IS Proforma'!P:P,'IS Proforma'!$C:$C,'Opex Departments'!$C142,'IS Proforma'!$A:$A,'Opex Departments'!$A142)</f>
        <v>1462</v>
      </c>
      <c r="E142" s="116">
        <f>SUMIFS('IS Proforma'!Q:Q,'IS Proforma'!$C:$C,'Opex Departments'!$C142,'IS Proforma'!$A:$A,'Opex Departments'!$A142)</f>
        <v>2088</v>
      </c>
      <c r="F142" s="116">
        <f>SUMIFS('IS Proforma'!R:R,'IS Proforma'!$C:$C,'Opex Departments'!$C142,'IS Proforma'!$A:$A,'Opex Departments'!$A142)</f>
        <v>2133</v>
      </c>
      <c r="G142" s="116">
        <f>SUMIFS('IS Proforma'!S:S,'IS Proforma'!$C:$C,'Opex Departments'!$C142,'IS Proforma'!$A:$A,'Opex Departments'!$A142)</f>
        <v>1851</v>
      </c>
      <c r="H142" s="116">
        <f>SUMIFS('IS Proforma'!T:T,'IS Proforma'!$C:$C,'Opex Departments'!$C142,'IS Proforma'!$A:$A,'Opex Departments'!$A142)</f>
        <v>2221</v>
      </c>
      <c r="I142" s="116">
        <f>SUMIFS('IS Proforma'!U:U,'IS Proforma'!$C:$C,'Opex Departments'!$C142,'IS Proforma'!$A:$A,'Opex Departments'!$A142)</f>
        <v>2035</v>
      </c>
      <c r="J142" s="116">
        <f>SUMIFS('IS Proforma'!V:V,'IS Proforma'!$C:$C,'Opex Departments'!$C142,'IS Proforma'!$A:$A,'Opex Departments'!$A142)</f>
        <v>1908</v>
      </c>
      <c r="K142" s="116">
        <f>SUMIFS('IS Proforma'!W:W,'IS Proforma'!$C:$C,'Opex Departments'!$C142,'IS Proforma'!$A:$A,'Opex Departments'!$A142)</f>
        <v>1578</v>
      </c>
      <c r="L142" s="116">
        <f>SUMIFS('IS Proforma'!X:X,'IS Proforma'!$C:$C,'Opex Departments'!$C142,'IS Proforma'!$A:$A,'Opex Departments'!$A142)</f>
        <v>2458</v>
      </c>
      <c r="M142" s="116">
        <f>SUMIFS('IS Proforma'!Y:Y,'IS Proforma'!$C:$C,'Opex Departments'!$C142,'IS Proforma'!$A:$A,'Opex Departments'!$A142)</f>
        <v>1781</v>
      </c>
      <c r="N142" s="116">
        <f>SUMIFS('IS Proforma'!Z:Z,'IS Proforma'!$C:$C,'Opex Departments'!$C142,'IS Proforma'!$A:$A,'Opex Departments'!$A142)</f>
        <v>1425</v>
      </c>
      <c r="O142" s="116">
        <f>SUMIFS('IS Proforma'!AA:AA,'IS Proforma'!$C:$C,'Opex Departments'!$C142,'IS Proforma'!$A:$A,'Opex Departments'!$A142)</f>
        <v>1338</v>
      </c>
      <c r="P142" s="116">
        <f>SUMIFS('IS Proforma'!AB:AB,'IS Proforma'!$C:$C,'Opex Departments'!$C142,'IS Proforma'!$A:$A,'Opex Departments'!$A142)</f>
        <v>1110</v>
      </c>
      <c r="Q142" s="116">
        <f>SUMIFS('IS Proforma'!AC:AC,'IS Proforma'!$C:$C,'Opex Departments'!$C142,'IS Proforma'!$A:$A,'Opex Departments'!$A142)</f>
        <v>1905</v>
      </c>
      <c r="R142" s="116">
        <f>SUMIFS('IS Proforma'!AD:AD,'IS Proforma'!$C:$C,'Opex Departments'!$C142,'IS Proforma'!$A:$A,'Opex Departments'!$A142)</f>
        <v>2287</v>
      </c>
      <c r="S142" s="116">
        <f>SUMIFS('IS Proforma'!AE:AE,'IS Proforma'!$C:$C,'Opex Departments'!$C142,'IS Proforma'!$A:$A,'Opex Departments'!$A142)</f>
        <v>2048</v>
      </c>
      <c r="T142" s="116">
        <f>SUMIFS('IS Proforma'!AF:AF,'IS Proforma'!$C:$C,'Opex Departments'!$C142,'IS Proforma'!$A:$A,'Opex Departments'!$A142)</f>
        <v>1271</v>
      </c>
      <c r="U142" s="116">
        <f>SUMIFS('IS Proforma'!AG:AG,'IS Proforma'!$C:$C,'Opex Departments'!$C142,'IS Proforma'!$A:$A,'Opex Departments'!$A142)</f>
        <v>1961</v>
      </c>
      <c r="V142" s="116">
        <f>SUMIFS('IS Proforma'!AH:AH,'IS Proforma'!$C:$C,'Opex Departments'!$C142,'IS Proforma'!$A:$A,'Opex Departments'!$A142)</f>
        <v>2362</v>
      </c>
      <c r="W142" s="116">
        <f>SUMIFS('IS Proforma'!AI:AI,'IS Proforma'!$C:$C,'Opex Departments'!$C142,'IS Proforma'!$A:$A,'Opex Departments'!$A142)</f>
        <v>1582</v>
      </c>
      <c r="X142" s="116">
        <f>SUMIFS('IS Proforma'!AJ:AJ,'IS Proforma'!$C:$C,'Opex Departments'!$C142,'IS Proforma'!$A:$A,'Opex Departments'!$A142)</f>
        <v>1027</v>
      </c>
      <c r="Y142" s="116">
        <f>SUMIFS('IS Proforma'!AK:AK,'IS Proforma'!$C:$C,'Opex Departments'!$C142,'IS Proforma'!$A:$A,'Opex Departments'!$A142)</f>
        <v>2134</v>
      </c>
      <c r="Z142" s="116">
        <f>SUMIFS('IS Proforma'!AL:AL,'IS Proforma'!$C:$C,'Opex Departments'!$C142,'IS Proforma'!$A:$A,'Opex Departments'!$A142)</f>
        <v>2058</v>
      </c>
      <c r="AA142" s="116">
        <f>SUMIFS('IS Proforma'!AM:AM,'IS Proforma'!$C:$C,'Opex Departments'!$C142,'IS Proforma'!$A:$A,'Opex Departments'!$A142)</f>
        <v>39336.9375</v>
      </c>
      <c r="AB142" s="116">
        <f>SUMIFS('IS Proforma'!AN:AN,'IS Proforma'!$C:$C,'Opex Departments'!$C142,'IS Proforma'!$A:$A,'Opex Departments'!$A142)</f>
        <v>65462.39687</v>
      </c>
      <c r="AC142" s="116">
        <f>SUMIFS('IS Proforma'!AO:AO,'IS Proforma'!$C:$C,'Opex Departments'!$C142,'IS Proforma'!$A:$A,'Opex Departments'!$A142)</f>
        <v>72873.98023</v>
      </c>
      <c r="AD142" s="116">
        <f>SUMIFS('IS Proforma'!AP:AP,'IS Proforma'!$C:$C,'Opex Departments'!$C142,'IS Proforma'!$A:$A,'Opex Departments'!$A142)</f>
        <v>75204.09349</v>
      </c>
      <c r="AE142" s="116">
        <f>SUMIFS('IS Proforma'!AQ:AQ,'IS Proforma'!$C:$C,'Opex Departments'!$C142,'IS Proforma'!$A:$A,'Opex Departments'!$A142)</f>
        <v>77035.53214</v>
      </c>
      <c r="AF142" s="116">
        <f>SUMIFS('IS Proforma'!AR:AR,'IS Proforma'!$C:$C,'Opex Departments'!$C142,'IS Proforma'!$A:$A,'Opex Departments'!$A142)</f>
        <v>87013.87002</v>
      </c>
      <c r="AG142" s="116">
        <f>SUMIFS('IS Proforma'!AS:AS,'IS Proforma'!$C:$C,'Opex Departments'!$C142,'IS Proforma'!$A:$A,'Opex Departments'!$A142)</f>
        <v>88595.58488</v>
      </c>
      <c r="AH142" s="116">
        <f>SUMIFS('IS Proforma'!AT:AT,'IS Proforma'!$C:$C,'Opex Departments'!$C142,'IS Proforma'!$A:$A,'Opex Departments'!$A142)</f>
        <v>89121.39255</v>
      </c>
      <c r="AI142" s="116">
        <f>SUMIFS('IS Proforma'!AU:AU,'IS Proforma'!$C:$C,'Opex Departments'!$C142,'IS Proforma'!$A:$A,'Opex Departments'!$A142)</f>
        <v>89607.56763</v>
      </c>
      <c r="AJ142" s="116">
        <f>SUMIFS('IS Proforma'!AV:AV,'IS Proforma'!$C:$C,'Opex Departments'!$C142,'IS Proforma'!$A:$A,'Opex Departments'!$A142)</f>
        <v>91419.98819</v>
      </c>
      <c r="AK142" s="116">
        <f>SUMIFS('IS Proforma'!AW:AW,'IS Proforma'!$C:$C,'Opex Departments'!$C142,'IS Proforma'!$A:$A,'Opex Departments'!$A142)</f>
        <v>90114.26979</v>
      </c>
      <c r="AL142" s="116">
        <f>SUMIFS('IS Proforma'!AX:AX,'IS Proforma'!$C:$C,'Opex Departments'!$C142,'IS Proforma'!$A:$A,'Opex Departments'!$A142)</f>
        <v>91197.11396</v>
      </c>
      <c r="AM142" s="116">
        <f>SUMIFS('IS Proforma'!AY:AY,'IS Proforma'!$C:$C,'Opex Departments'!$C142,'IS Proforma'!$A:$A,'Opex Departments'!$A142)</f>
        <v>92671.81397</v>
      </c>
      <c r="AN142" s="116">
        <f>SUMIFS('IS Proforma'!AZ:AZ,'IS Proforma'!$C:$C,'Opex Departments'!$C142,'IS Proforma'!$A:$A,'Opex Departments'!$A142)</f>
        <v>83832.90752</v>
      </c>
      <c r="AO142" s="116">
        <f>SUMIFS('IS Proforma'!BA:BA,'IS Proforma'!$C:$C,'Opex Departments'!$C142,'IS Proforma'!$A:$A,'Opex Departments'!$A142)</f>
        <v>72801.51798</v>
      </c>
      <c r="AP142" s="116">
        <f>SUMIFS('IS Proforma'!BB:BB,'IS Proforma'!$C:$C,'Opex Departments'!$C142,'IS Proforma'!$A:$A,'Opex Departments'!$A142)</f>
        <v>71412.43937</v>
      </c>
      <c r="AQ142" s="116">
        <f>SUMIFS('IS Proforma'!BC:BC,'IS Proforma'!$C:$C,'Opex Departments'!$C142,'IS Proforma'!$A:$A,'Opex Departments'!$A142)</f>
        <v>71874.95258</v>
      </c>
      <c r="AR142" s="116">
        <f>SUMIFS('IS Proforma'!BD:BD,'IS Proforma'!$C:$C,'Opex Departments'!$C142,'IS Proforma'!$A:$A,'Opex Departments'!$A142)</f>
        <v>72341.71707</v>
      </c>
      <c r="AS142" s="116">
        <f>SUMIFS('IS Proforma'!BE:BE,'IS Proforma'!$C:$C,'Opex Departments'!$C142,'IS Proforma'!$A:$A,'Opex Departments'!$A142)</f>
        <v>73068.8989</v>
      </c>
      <c r="AT142" s="116">
        <f>SUMIFS('IS Proforma'!BF:BF,'IS Proforma'!$C:$C,'Opex Departments'!$C142,'IS Proforma'!$A:$A,'Opex Departments'!$A142)</f>
        <v>73545.58381</v>
      </c>
      <c r="AU142" s="116">
        <f>SUMIFS('IS Proforma'!BG:BG,'IS Proforma'!$C:$C,'Opex Departments'!$C142,'IS Proforma'!$A:$A,'Opex Departments'!$A142)</f>
        <v>74026.66473</v>
      </c>
      <c r="AV142" s="116">
        <f>SUMIFS('IS Proforma'!BH:BH,'IS Proforma'!$C:$C,'Opex Departments'!$C142,'IS Proforma'!$A:$A,'Opex Departments'!$A142)</f>
        <v>74512.18892</v>
      </c>
      <c r="AW142" s="116">
        <f>SUMIFS('IS Proforma'!BI:BI,'IS Proforma'!$C:$C,'Opex Departments'!$C142,'IS Proforma'!$A:$A,'Opex Departments'!$A142)</f>
        <v>75002.20416</v>
      </c>
      <c r="AX142" s="116">
        <f>SUMIFS('IS Proforma'!BJ:BJ,'IS Proforma'!$C:$C,'Opex Departments'!$C142,'IS Proforma'!$A:$A,'Opex Departments'!$A142)</f>
        <v>75496.75881</v>
      </c>
      <c r="AY142" s="116">
        <f>SUMIFS('IS Proforma'!BK:BK,'IS Proforma'!$C:$C,'Opex Departments'!$C142,'IS Proforma'!$A:$A,'Opex Departments'!$A142)</f>
        <v>75995.9018</v>
      </c>
      <c r="AZ142" s="116">
        <f>SUMIFS('IS Proforma'!BL:BL,'IS Proforma'!$C:$C,'Opex Departments'!$C142,'IS Proforma'!$A:$A,'Opex Departments'!$A142)</f>
        <v>76764.59193</v>
      </c>
      <c r="BA142" s="116">
        <f>SUMIFS('IS Proforma'!BM:BM,'IS Proforma'!$C:$C,'Opex Departments'!$C142,'IS Proforma'!$A:$A,'Opex Departments'!$A142)</f>
        <v>77448.94923</v>
      </c>
      <c r="BB142" s="116">
        <f>SUMIFS('IS Proforma'!BN:BN,'IS Proforma'!$C:$C,'Opex Departments'!$C142,'IS Proforma'!$A:$A,'Opex Departments'!$A142)</f>
        <v>77953.04767</v>
      </c>
      <c r="BC142" s="116">
        <f>SUMIFS('IS Proforma'!BO:BO,'IS Proforma'!$C:$C,'Opex Departments'!$C142,'IS Proforma'!$A:$A,'Opex Departments'!$A142)</f>
        <v>78461.66771</v>
      </c>
      <c r="BD142" s="116">
        <f>SUMIFS('IS Proforma'!BP:BP,'IS Proforma'!$C:$C,'Opex Departments'!$C142,'IS Proforma'!$A:$A,'Opex Departments'!$A142)</f>
        <v>78974.856</v>
      </c>
      <c r="BE142" s="116">
        <f>SUMIFS('IS Proforma'!BQ:BQ,'IS Proforma'!$C:$C,'Opex Departments'!$C142,'IS Proforma'!$A:$A,'Opex Departments'!$A142)</f>
        <v>79112.92389</v>
      </c>
      <c r="BF142" s="116">
        <f>SUMIFS('IS Proforma'!BR:BR,'IS Proforma'!$C:$C,'Opex Departments'!$C142,'IS Proforma'!$A:$A,'Opex Departments'!$A142)</f>
        <v>79633.49204</v>
      </c>
      <c r="BG142" s="116">
        <f>SUMIFS('IS Proforma'!BS:BS,'IS Proforma'!$C:$C,'Opex Departments'!$C142,'IS Proforma'!$A:$A,'Opex Departments'!$A142)</f>
        <v>80158.76203</v>
      </c>
      <c r="BH142" s="116">
        <f>SUMIFS('IS Proforma'!BT:BT,'IS Proforma'!$C:$C,'Opex Departments'!$C142,'IS Proforma'!$A:$A,'Opex Departments'!$A142)</f>
        <v>80688.7826</v>
      </c>
      <c r="BI142" s="116">
        <f>SUMIFS('IS Proforma'!BU:BU,'IS Proforma'!$C:$C,'Opex Departments'!$C142,'IS Proforma'!$A:$A,'Opex Departments'!$A142)</f>
        <v>81223.60302</v>
      </c>
      <c r="BJ142" s="116">
        <f>SUMIFS('IS Proforma'!BV:BV,'IS Proforma'!$C:$C,'Opex Departments'!$C142,'IS Proforma'!$A:$A,'Opex Departments'!$A142)</f>
        <v>81763.2731</v>
      </c>
      <c r="BK142" s="116">
        <f>SUMIFS('IS Proforma'!BW:BW,'IS Proforma'!$C:$C,'Opex Departments'!$C142,'IS Proforma'!$A:$A,'Opex Departments'!$A142)</f>
        <v>82307.84322</v>
      </c>
      <c r="BL142" s="116">
        <f>SUMIFS('IS Proforma'!BX:BX,'IS Proforma'!$C:$C,'Opex Departments'!$C142,'IS Proforma'!$A:$A,'Opex Departments'!$A142)</f>
        <v>84993.22926</v>
      </c>
      <c r="BM142" s="116">
        <f>SUMIFS('IS Proforma'!BY:BY,'IS Proforma'!$C:$C,'Opex Departments'!$C142,'IS Proforma'!$A:$A,'Opex Departments'!$A142)</f>
        <v>85633.20029</v>
      </c>
      <c r="BN142" s="116">
        <f>SUMIFS('IS Proforma'!BZ:BZ,'IS Proforma'!$C:$C,'Opex Departments'!$C142,'IS Proforma'!$A:$A,'Opex Departments'!$A142)</f>
        <v>85209.3806</v>
      </c>
      <c r="BO142" s="116">
        <f>SUMIFS('IS Proforma'!CA:CA,'IS Proforma'!$C:$C,'Opex Departments'!$C142,'IS Proforma'!$A:$A,'Opex Departments'!$A142)</f>
        <v>84858.38343</v>
      </c>
      <c r="BP142" s="116">
        <f>SUMIFS('IS Proforma'!CB:CB,'IS Proforma'!$C:$C,'Opex Departments'!$C142,'IS Proforma'!$A:$A,'Opex Departments'!$A142)</f>
        <v>85496.37225</v>
      </c>
      <c r="BQ142" s="116">
        <f>SUMIFS('IS Proforma'!CC:CC,'IS Proforma'!$C:$C,'Opex Departments'!$C142,'IS Proforma'!$A:$A,'Opex Departments'!$A142)</f>
        <v>86143.02053</v>
      </c>
      <c r="BR142" s="116">
        <f>SUMIFS('IS Proforma'!CD:CD,'IS Proforma'!$C:$C,'Opex Departments'!$C142,'IS Proforma'!$A:$A,'Opex Departments'!$A142)</f>
        <v>86798.51139</v>
      </c>
      <c r="BS142" s="116">
        <f>SUMIFS('IS Proforma'!CE:CE,'IS Proforma'!$C:$C,'Opex Departments'!$C142,'IS Proforma'!$A:$A,'Opex Departments'!$A142)</f>
        <v>87463.03299</v>
      </c>
      <c r="BT142" s="116">
        <f>SUMIFS('IS Proforma'!CF:CF,'IS Proforma'!$C:$C,'Opex Departments'!$C142,'IS Proforma'!$A:$A,'Opex Departments'!$A142)</f>
        <v>88136.77864</v>
      </c>
      <c r="BU142" s="116">
        <f>SUMIFS('IS Proforma'!CG:CG,'IS Proforma'!$C:$C,'Opex Departments'!$C142,'IS Proforma'!$A:$A,'Opex Departments'!$A142)</f>
        <v>88819.94696</v>
      </c>
      <c r="BV142" s="116">
        <f>SUMIFS('IS Proforma'!CH:CH,'IS Proforma'!$C:$C,'Opex Departments'!$C142,'IS Proforma'!$A:$A,'Opex Departments'!$A142)</f>
        <v>89512.74207</v>
      </c>
      <c r="BW142" s="116">
        <f>SUMIFS('IS Proforma'!CI:CI,'IS Proforma'!$C:$C,'Opex Departments'!$C142,'IS Proforma'!$A:$A,'Opex Departments'!$A142)</f>
        <v>90215.37374</v>
      </c>
      <c r="BX142" s="116">
        <f>SUMIFS('IS Proforma'!CJ:CJ,'IS Proforma'!$C:$C,'Opex Departments'!$C142,'IS Proforma'!$A:$A,'Opex Departments'!$A142)</f>
        <v>99253.04967</v>
      </c>
      <c r="BY142" s="116">
        <f>SUMIFS('IS Proforma'!CK:CK,'IS Proforma'!$C:$C,'Opex Departments'!$C142,'IS Proforma'!$A:$A,'Opex Departments'!$A142)</f>
        <v>99672.60472</v>
      </c>
      <c r="BZ142" s="116">
        <f>SUMIFS('IS Proforma'!CL:CL,'IS Proforma'!$C:$C,'Opex Departments'!$C142,'IS Proforma'!$A:$A,'Opex Departments'!$A142)</f>
        <v>97542.5219</v>
      </c>
      <c r="CA142" s="116">
        <f>SUMIFS('IS Proforma'!CM:CM,'IS Proforma'!$C:$C,'Opex Departments'!$C142,'IS Proforma'!$A:$A,'Opex Departments'!$A142)</f>
        <v>92596.4892</v>
      </c>
      <c r="CB142" s="116">
        <f>SUMIFS('IS Proforma'!CN:CN,'IS Proforma'!$C:$C,'Opex Departments'!$C142,'IS Proforma'!$A:$A,'Opex Departments'!$A142)</f>
        <v>92984.80585</v>
      </c>
      <c r="CC142" s="116">
        <f>SUMIFS('IS Proforma'!CO:CO,'IS Proforma'!$C:$C,'Opex Departments'!$C142,'IS Proforma'!$A:$A,'Opex Departments'!$A142)</f>
        <v>93381.39487</v>
      </c>
      <c r="CD142" s="116">
        <f>SUMIFS('IS Proforma'!CP:CP,'IS Proforma'!$C:$C,'Opex Departments'!$C142,'IS Proforma'!$A:$A,'Opex Departments'!$A142)</f>
        <v>93786.20512</v>
      </c>
      <c r="CE142" s="116">
        <f>SUMIFS('IS Proforma'!CQ:CQ,'IS Proforma'!$C:$C,'Opex Departments'!$C142,'IS Proforma'!$A:$A,'Opex Departments'!$A142)</f>
        <v>94199.18854</v>
      </c>
      <c r="CF142" s="116">
        <f>SUMIFS('IS Proforma'!CR:CR,'IS Proforma'!$C:$C,'Opex Departments'!$C142,'IS Proforma'!$A:$A,'Opex Departments'!$A142)</f>
        <v>94620.29999</v>
      </c>
      <c r="CG142" s="116">
        <f>SUMIFS('IS Proforma'!CS:CS,'IS Proforma'!$C:$C,'Opex Departments'!$C142,'IS Proforma'!$A:$A,'Opex Departments'!$A142)</f>
        <v>95049.49731</v>
      </c>
      <c r="CH142" s="116">
        <f>SUMIFS('IS Proforma'!CT:CT,'IS Proforma'!$C:$C,'Opex Departments'!$C142,'IS Proforma'!$A:$A,'Opex Departments'!$A142)</f>
        <v>95486.74117</v>
      </c>
      <c r="CI142" s="116">
        <f>SUMIFS('IS Proforma'!CU:CU,'IS Proforma'!$C:$C,'Opex Departments'!$C142,'IS Proforma'!$A:$A,'Opex Departments'!$A142)</f>
        <v>95931.99506</v>
      </c>
    </row>
    <row r="143" ht="15.75" customHeight="1" outlineLevel="1">
      <c r="A143" s="1" t="s">
        <v>174</v>
      </c>
      <c r="B143" s="91" t="s">
        <v>175</v>
      </c>
      <c r="C143" s="132" t="s">
        <v>231</v>
      </c>
      <c r="D143" s="116">
        <f>SUMIFS('IS Proforma'!P:P,'IS Proforma'!$C:$C,'Opex Departments'!$C143,'IS Proforma'!$A:$A,'Opex Departments'!$A143)</f>
        <v>2262</v>
      </c>
      <c r="E143" s="116">
        <f>SUMIFS('IS Proforma'!Q:Q,'IS Proforma'!$C:$C,'Opex Departments'!$C143,'IS Proforma'!$A:$A,'Opex Departments'!$A143)</f>
        <v>2173</v>
      </c>
      <c r="F143" s="116">
        <f>SUMIFS('IS Proforma'!R:R,'IS Proforma'!$C:$C,'Opex Departments'!$C143,'IS Proforma'!$A:$A,'Opex Departments'!$A143)</f>
        <v>1199</v>
      </c>
      <c r="G143" s="116">
        <f>SUMIFS('IS Proforma'!S:S,'IS Proforma'!$C:$C,'Opex Departments'!$C143,'IS Proforma'!$A:$A,'Opex Departments'!$A143)</f>
        <v>1706</v>
      </c>
      <c r="H143" s="116">
        <f>SUMIFS('IS Proforma'!T:T,'IS Proforma'!$C:$C,'Opex Departments'!$C143,'IS Proforma'!$A:$A,'Opex Departments'!$A143)</f>
        <v>1590</v>
      </c>
      <c r="I143" s="116">
        <f>SUMIFS('IS Proforma'!U:U,'IS Proforma'!$C:$C,'Opex Departments'!$C143,'IS Proforma'!$A:$A,'Opex Departments'!$A143)</f>
        <v>2020</v>
      </c>
      <c r="J143" s="116">
        <f>SUMIFS('IS Proforma'!V:V,'IS Proforma'!$C:$C,'Opex Departments'!$C143,'IS Proforma'!$A:$A,'Opex Departments'!$A143)</f>
        <v>1592</v>
      </c>
      <c r="K143" s="116">
        <f>SUMIFS('IS Proforma'!W:W,'IS Proforma'!$C:$C,'Opex Departments'!$C143,'IS Proforma'!$A:$A,'Opex Departments'!$A143)</f>
        <v>2367</v>
      </c>
      <c r="L143" s="116">
        <f>SUMIFS('IS Proforma'!X:X,'IS Proforma'!$C:$C,'Opex Departments'!$C143,'IS Proforma'!$A:$A,'Opex Departments'!$A143)</f>
        <v>2240</v>
      </c>
      <c r="M143" s="116">
        <f>SUMIFS('IS Proforma'!Y:Y,'IS Proforma'!$C:$C,'Opex Departments'!$C143,'IS Proforma'!$A:$A,'Opex Departments'!$A143)</f>
        <v>1784</v>
      </c>
      <c r="N143" s="116">
        <f>SUMIFS('IS Proforma'!Z:Z,'IS Proforma'!$C:$C,'Opex Departments'!$C143,'IS Proforma'!$A:$A,'Opex Departments'!$A143)</f>
        <v>2025</v>
      </c>
      <c r="O143" s="116">
        <f>SUMIFS('IS Proforma'!AA:AA,'IS Proforma'!$C:$C,'Opex Departments'!$C143,'IS Proforma'!$A:$A,'Opex Departments'!$A143)</f>
        <v>1806</v>
      </c>
      <c r="P143" s="116">
        <f>SUMIFS('IS Proforma'!AB:AB,'IS Proforma'!$C:$C,'Opex Departments'!$C143,'IS Proforma'!$A:$A,'Opex Departments'!$A143)</f>
        <v>1736</v>
      </c>
      <c r="Q143" s="116">
        <f>SUMIFS('IS Proforma'!AC:AC,'IS Proforma'!$C:$C,'Opex Departments'!$C143,'IS Proforma'!$A:$A,'Opex Departments'!$A143)</f>
        <v>1283</v>
      </c>
      <c r="R143" s="116">
        <f>SUMIFS('IS Proforma'!AD:AD,'IS Proforma'!$C:$C,'Opex Departments'!$C143,'IS Proforma'!$A:$A,'Opex Departments'!$A143)</f>
        <v>1201</v>
      </c>
      <c r="S143" s="116">
        <f>SUMIFS('IS Proforma'!AE:AE,'IS Proforma'!$C:$C,'Opex Departments'!$C143,'IS Proforma'!$A:$A,'Opex Departments'!$A143)</f>
        <v>2099</v>
      </c>
      <c r="T143" s="116">
        <f>SUMIFS('IS Proforma'!AF:AF,'IS Proforma'!$C:$C,'Opex Departments'!$C143,'IS Proforma'!$A:$A,'Opex Departments'!$A143)</f>
        <v>2240</v>
      </c>
      <c r="U143" s="116">
        <f>SUMIFS('IS Proforma'!AG:AG,'IS Proforma'!$C:$C,'Opex Departments'!$C143,'IS Proforma'!$A:$A,'Opex Departments'!$A143)</f>
        <v>1704</v>
      </c>
      <c r="V143" s="116">
        <f>SUMIFS('IS Proforma'!AH:AH,'IS Proforma'!$C:$C,'Opex Departments'!$C143,'IS Proforma'!$A:$A,'Opex Departments'!$A143)</f>
        <v>1123</v>
      </c>
      <c r="W143" s="116">
        <f>SUMIFS('IS Proforma'!AI:AI,'IS Proforma'!$C:$C,'Opex Departments'!$C143,'IS Proforma'!$A:$A,'Opex Departments'!$A143)</f>
        <v>1592</v>
      </c>
      <c r="X143" s="116">
        <f>SUMIFS('IS Proforma'!AJ:AJ,'IS Proforma'!$C:$C,'Opex Departments'!$C143,'IS Proforma'!$A:$A,'Opex Departments'!$A143)</f>
        <v>1643</v>
      </c>
      <c r="Y143" s="116">
        <f>SUMIFS('IS Proforma'!AK:AK,'IS Proforma'!$C:$C,'Opex Departments'!$C143,'IS Proforma'!$A:$A,'Opex Departments'!$A143)</f>
        <v>1575</v>
      </c>
      <c r="Z143" s="116">
        <f>SUMIFS('IS Proforma'!AL:AL,'IS Proforma'!$C:$C,'Opex Departments'!$C143,'IS Proforma'!$A:$A,'Opex Departments'!$A143)</f>
        <v>2406</v>
      </c>
      <c r="AA143" s="116">
        <f>SUMIFS('IS Proforma'!AM:AM,'IS Proforma'!$C:$C,'Opex Departments'!$C143,'IS Proforma'!$A:$A,'Opex Departments'!$A143)</f>
        <v>1074.705</v>
      </c>
      <c r="AB143" s="116">
        <f>SUMIFS('IS Proforma'!AN:AN,'IS Proforma'!$C:$C,'Opex Departments'!$C143,'IS Proforma'!$A:$A,'Opex Departments'!$A143)</f>
        <v>1747.066725</v>
      </c>
      <c r="AC143" s="116">
        <f>SUMIFS('IS Proforma'!AO:AO,'IS Proforma'!$C:$C,'Opex Departments'!$C143,'IS Proforma'!$A:$A,'Opex Departments'!$A143)</f>
        <v>2023.066725</v>
      </c>
      <c r="AD143" s="116">
        <f>SUMIFS('IS Proforma'!AP:AP,'IS Proforma'!$C:$C,'Opex Departments'!$C143,'IS Proforma'!$A:$A,'Opex Departments'!$A143)</f>
        <v>2143.066725</v>
      </c>
      <c r="AE143" s="116">
        <f>SUMIFS('IS Proforma'!AQ:AQ,'IS Proforma'!$C:$C,'Opex Departments'!$C143,'IS Proforma'!$A:$A,'Opex Departments'!$A143)</f>
        <v>2338.066725</v>
      </c>
      <c r="AF143" s="116">
        <f>SUMIFS('IS Proforma'!AR:AR,'IS Proforma'!$C:$C,'Opex Departments'!$C143,'IS Proforma'!$A:$A,'Opex Departments'!$A143)</f>
        <v>2443.279728</v>
      </c>
      <c r="AG143" s="116">
        <f>SUMIFS('IS Proforma'!AS:AS,'IS Proforma'!$C:$C,'Opex Departments'!$C143,'IS Proforma'!$A:$A,'Opex Departments'!$A143)</f>
        <v>2443.279728</v>
      </c>
      <c r="AH143" s="116">
        <f>SUMIFS('IS Proforma'!AT:AT,'IS Proforma'!$C:$C,'Opex Departments'!$C143,'IS Proforma'!$A:$A,'Opex Departments'!$A143)</f>
        <v>2605.519728</v>
      </c>
      <c r="AI143" s="116">
        <f>SUMIFS('IS Proforma'!AU:AU,'IS Proforma'!$C:$C,'Opex Departments'!$C143,'IS Proforma'!$A:$A,'Opex Departments'!$A143)</f>
        <v>2845.759728</v>
      </c>
      <c r="AJ143" s="116">
        <f>SUMIFS('IS Proforma'!AV:AV,'IS Proforma'!$C:$C,'Opex Departments'!$C143,'IS Proforma'!$A:$A,'Opex Departments'!$A143)</f>
        <v>3136.058915</v>
      </c>
      <c r="AK143" s="116">
        <f>SUMIFS('IS Proforma'!AW:AW,'IS Proforma'!$C:$C,'Opex Departments'!$C143,'IS Proforma'!$A:$A,'Opex Departments'!$A143)</f>
        <v>3298.298915</v>
      </c>
      <c r="AL143" s="116">
        <f>SUMIFS('IS Proforma'!AX:AX,'IS Proforma'!$C:$C,'Opex Departments'!$C143,'IS Proforma'!$A:$A,'Opex Departments'!$A143)</f>
        <v>3538.538915</v>
      </c>
      <c r="AM143" s="116">
        <f>SUMIFS('IS Proforma'!AY:AY,'IS Proforma'!$C:$C,'Opex Departments'!$C143,'IS Proforma'!$A:$A,'Opex Departments'!$A143)</f>
        <v>3700.778915</v>
      </c>
      <c r="AN143" s="116">
        <f>SUMIFS('IS Proforma'!AZ:AZ,'IS Proforma'!$C:$C,'Opex Departments'!$C143,'IS Proforma'!$A:$A,'Opex Departments'!$A143)</f>
        <v>4017.539672</v>
      </c>
      <c r="AO143" s="116">
        <f>SUMIFS('IS Proforma'!BA:BA,'IS Proforma'!$C:$C,'Opex Departments'!$C143,'IS Proforma'!$A:$A,'Opex Departments'!$A143)</f>
        <v>4017.539672</v>
      </c>
      <c r="AP143" s="116">
        <f>SUMIFS('IS Proforma'!BB:BB,'IS Proforma'!$C:$C,'Opex Departments'!$C143,'IS Proforma'!$A:$A,'Opex Departments'!$A143)</f>
        <v>4017.539672</v>
      </c>
      <c r="AQ143" s="116">
        <f>SUMIFS('IS Proforma'!BC:BC,'IS Proforma'!$C:$C,'Opex Departments'!$C143,'IS Proforma'!$A:$A,'Opex Departments'!$A143)</f>
        <v>4017.539672</v>
      </c>
      <c r="AR143" s="116">
        <f>SUMIFS('IS Proforma'!BD:BD,'IS Proforma'!$C:$C,'Opex Departments'!$C143,'IS Proforma'!$A:$A,'Opex Departments'!$A143)</f>
        <v>4178.241259</v>
      </c>
      <c r="AS143" s="116">
        <f>SUMIFS('IS Proforma'!BE:BE,'IS Proforma'!$C:$C,'Opex Departments'!$C143,'IS Proforma'!$A:$A,'Opex Departments'!$A143)</f>
        <v>4178.241259</v>
      </c>
      <c r="AT143" s="116">
        <f>SUMIFS('IS Proforma'!BF:BF,'IS Proforma'!$C:$C,'Opex Departments'!$C143,'IS Proforma'!$A:$A,'Opex Departments'!$A143)</f>
        <v>4178.241259</v>
      </c>
      <c r="AU143" s="116">
        <f>SUMIFS('IS Proforma'!BG:BG,'IS Proforma'!$C:$C,'Opex Departments'!$C143,'IS Proforma'!$A:$A,'Opex Departments'!$A143)</f>
        <v>4178.241259</v>
      </c>
      <c r="AV143" s="116">
        <f>SUMIFS('IS Proforma'!BH:BH,'IS Proforma'!$C:$C,'Opex Departments'!$C143,'IS Proforma'!$A:$A,'Opex Departments'!$A143)</f>
        <v>4345.370909</v>
      </c>
      <c r="AW143" s="116">
        <f>SUMIFS('IS Proforma'!BI:BI,'IS Proforma'!$C:$C,'Opex Departments'!$C143,'IS Proforma'!$A:$A,'Opex Departments'!$A143)</f>
        <v>4345.370909</v>
      </c>
      <c r="AX143" s="116">
        <f>SUMIFS('IS Proforma'!BJ:BJ,'IS Proforma'!$C:$C,'Opex Departments'!$C143,'IS Proforma'!$A:$A,'Opex Departments'!$A143)</f>
        <v>4345.370909</v>
      </c>
      <c r="AY143" s="116">
        <f>SUMIFS('IS Proforma'!BK:BK,'IS Proforma'!$C:$C,'Opex Departments'!$C143,'IS Proforma'!$A:$A,'Opex Departments'!$A143)</f>
        <v>4345.370909</v>
      </c>
      <c r="AZ143" s="116">
        <f>SUMIFS('IS Proforma'!BL:BL,'IS Proforma'!$C:$C,'Opex Departments'!$C143,'IS Proforma'!$A:$A,'Opex Departments'!$A143)</f>
        <v>4519.185746</v>
      </c>
      <c r="BA143" s="116">
        <f>SUMIFS('IS Proforma'!BM:BM,'IS Proforma'!$C:$C,'Opex Departments'!$C143,'IS Proforma'!$A:$A,'Opex Departments'!$A143)</f>
        <v>4519.185746</v>
      </c>
      <c r="BB143" s="116">
        <f>SUMIFS('IS Proforma'!BN:BN,'IS Proforma'!$C:$C,'Opex Departments'!$C143,'IS Proforma'!$A:$A,'Opex Departments'!$A143)</f>
        <v>4519.185746</v>
      </c>
      <c r="BC143" s="116">
        <f>SUMIFS('IS Proforma'!BO:BO,'IS Proforma'!$C:$C,'Opex Departments'!$C143,'IS Proforma'!$A:$A,'Opex Departments'!$A143)</f>
        <v>4519.185746</v>
      </c>
      <c r="BD143" s="116">
        <f>SUMIFS('IS Proforma'!BP:BP,'IS Proforma'!$C:$C,'Opex Departments'!$C143,'IS Proforma'!$A:$A,'Opex Departments'!$A143)</f>
        <v>4882.451111</v>
      </c>
      <c r="BE143" s="116">
        <f>SUMIFS('IS Proforma'!BQ:BQ,'IS Proforma'!$C:$C,'Opex Departments'!$C143,'IS Proforma'!$A:$A,'Opex Departments'!$A143)</f>
        <v>4882.451111</v>
      </c>
      <c r="BF143" s="116">
        <f>SUMIFS('IS Proforma'!BR:BR,'IS Proforma'!$C:$C,'Opex Departments'!$C143,'IS Proforma'!$A:$A,'Opex Departments'!$A143)</f>
        <v>4973.700078</v>
      </c>
      <c r="BG143" s="116">
        <f>SUMIFS('IS Proforma'!BS:BS,'IS Proforma'!$C:$C,'Opex Departments'!$C143,'IS Proforma'!$A:$A,'Opex Departments'!$A143)</f>
        <v>5163.497931</v>
      </c>
      <c r="BH143" s="116">
        <f>SUMIFS('IS Proforma'!BT:BT,'IS Proforma'!$C:$C,'Opex Departments'!$C143,'IS Proforma'!$A:$A,'Opex Departments'!$A143)</f>
        <v>5370.037848</v>
      </c>
      <c r="BI143" s="116">
        <f>SUMIFS('IS Proforma'!BU:BU,'IS Proforma'!$C:$C,'Opex Departments'!$C143,'IS Proforma'!$A:$A,'Opex Departments'!$A143)</f>
        <v>5559.835701</v>
      </c>
      <c r="BJ143" s="116">
        <f>SUMIFS('IS Proforma'!BV:BV,'IS Proforma'!$C:$C,'Opex Departments'!$C143,'IS Proforma'!$A:$A,'Opex Departments'!$A143)</f>
        <v>5559.835701</v>
      </c>
      <c r="BK143" s="116">
        <f>SUMIFS('IS Proforma'!BW:BW,'IS Proforma'!$C:$C,'Opex Departments'!$C143,'IS Proforma'!$A:$A,'Opex Departments'!$A143)</f>
        <v>5559.835701</v>
      </c>
      <c r="BL143" s="116">
        <f>SUMIFS('IS Proforma'!BX:BX,'IS Proforma'!$C:$C,'Opex Departments'!$C143,'IS Proforma'!$A:$A,'Opex Departments'!$A143)</f>
        <v>5979.618896</v>
      </c>
      <c r="BM143" s="116">
        <f>SUMIFS('IS Proforma'!BY:BY,'IS Proforma'!$C:$C,'Opex Departments'!$C143,'IS Proforma'!$A:$A,'Opex Departments'!$A143)</f>
        <v>5979.618896</v>
      </c>
      <c r="BN143" s="116">
        <f>SUMIFS('IS Proforma'!BZ:BZ,'IS Proforma'!$C:$C,'Opex Departments'!$C143,'IS Proforma'!$A:$A,'Opex Departments'!$A143)</f>
        <v>5979.618896</v>
      </c>
      <c r="BO143" s="116">
        <f>SUMIFS('IS Proforma'!CA:CA,'IS Proforma'!$C:$C,'Opex Departments'!$C143,'IS Proforma'!$A:$A,'Opex Departments'!$A143)</f>
        <v>6177.008663</v>
      </c>
      <c r="BP143" s="116">
        <f>SUMIFS('IS Proforma'!CB:CB,'IS Proforma'!$C:$C,'Opex Departments'!$C143,'IS Proforma'!$A:$A,'Opex Departments'!$A143)</f>
        <v>6518.987936</v>
      </c>
      <c r="BQ143" s="116">
        <f>SUMIFS('IS Proforma'!CC:CC,'IS Proforma'!$C:$C,'Opex Departments'!$C143,'IS Proforma'!$A:$A,'Opex Departments'!$A143)</f>
        <v>6518.987936</v>
      </c>
      <c r="BR143" s="116">
        <f>SUMIFS('IS Proforma'!CD:CD,'IS Proforma'!$C:$C,'Opex Departments'!$C143,'IS Proforma'!$A:$A,'Opex Departments'!$A143)</f>
        <v>6724.273294</v>
      </c>
      <c r="BS143" s="116">
        <f>SUMIFS('IS Proforma'!CE:CE,'IS Proforma'!$C:$C,'Opex Departments'!$C143,'IS Proforma'!$A:$A,'Opex Departments'!$A143)</f>
        <v>6724.273294</v>
      </c>
      <c r="BT143" s="116">
        <f>SUMIFS('IS Proforma'!CF:CF,'IS Proforma'!$C:$C,'Opex Departments'!$C143,'IS Proforma'!$A:$A,'Opex Departments'!$A143)</f>
        <v>6993.244225</v>
      </c>
      <c r="BU143" s="116">
        <f>SUMIFS('IS Proforma'!CG:CG,'IS Proforma'!$C:$C,'Opex Departments'!$C143,'IS Proforma'!$A:$A,'Opex Departments'!$A143)</f>
        <v>7198.529583</v>
      </c>
      <c r="BV143" s="116">
        <f>SUMIFS('IS Proforma'!CH:CH,'IS Proforma'!$C:$C,'Opex Departments'!$C143,'IS Proforma'!$A:$A,'Opex Departments'!$A143)</f>
        <v>7198.529583</v>
      </c>
      <c r="BW143" s="116">
        <f>SUMIFS('IS Proforma'!CI:CI,'IS Proforma'!$C:$C,'Opex Departments'!$C143,'IS Proforma'!$A:$A,'Opex Departments'!$A143)</f>
        <v>7198.529583</v>
      </c>
      <c r="BX143" s="116">
        <f>SUMIFS('IS Proforma'!CJ:CJ,'IS Proforma'!$C:$C,'Opex Departments'!$C143,'IS Proforma'!$A:$A,'Opex Departments'!$A143)</f>
        <v>7699.967538</v>
      </c>
      <c r="BY143" s="116">
        <f>SUMIFS('IS Proforma'!CK:CK,'IS Proforma'!$C:$C,'Opex Departments'!$C143,'IS Proforma'!$A:$A,'Opex Departments'!$A143)</f>
        <v>7699.967538</v>
      </c>
      <c r="BZ143" s="116">
        <f>SUMIFS('IS Proforma'!CL:CL,'IS Proforma'!$C:$C,'Opex Departments'!$C143,'IS Proforma'!$A:$A,'Opex Departments'!$A143)</f>
        <v>7699.967538</v>
      </c>
      <c r="CA143" s="116">
        <f>SUMIFS('IS Proforma'!CM:CM,'IS Proforma'!$C:$C,'Opex Departments'!$C143,'IS Proforma'!$A:$A,'Opex Departments'!$A143)</f>
        <v>7699.967538</v>
      </c>
      <c r="CB143" s="116">
        <f>SUMIFS('IS Proforma'!CN:CN,'IS Proforma'!$C:$C,'Opex Departments'!$C143,'IS Proforma'!$A:$A,'Opex Departments'!$A143)</f>
        <v>8007.96624</v>
      </c>
      <c r="CC143" s="116">
        <f>SUMIFS('IS Proforma'!CO:CO,'IS Proforma'!$C:$C,'Opex Departments'!$C143,'IS Proforma'!$A:$A,'Opex Departments'!$A143)</f>
        <v>8007.96624</v>
      </c>
      <c r="CD143" s="116">
        <f>SUMIFS('IS Proforma'!CP:CP,'IS Proforma'!$C:$C,'Opex Departments'!$C143,'IS Proforma'!$A:$A,'Opex Departments'!$A143)</f>
        <v>8007.96624</v>
      </c>
      <c r="CE143" s="116">
        <f>SUMIFS('IS Proforma'!CQ:CQ,'IS Proforma'!$C:$C,'Opex Departments'!$C143,'IS Proforma'!$A:$A,'Opex Departments'!$A143)</f>
        <v>8007.96624</v>
      </c>
      <c r="CF143" s="116">
        <f>SUMIFS('IS Proforma'!CR:CR,'IS Proforma'!$C:$C,'Opex Departments'!$C143,'IS Proforma'!$A:$A,'Opex Departments'!$A143)</f>
        <v>8328.284889</v>
      </c>
      <c r="CG143" s="116">
        <f>SUMIFS('IS Proforma'!CS:CS,'IS Proforma'!$C:$C,'Opex Departments'!$C143,'IS Proforma'!$A:$A,'Opex Departments'!$A143)</f>
        <v>8328.284889</v>
      </c>
      <c r="CH143" s="116">
        <f>SUMIFS('IS Proforma'!CT:CT,'IS Proforma'!$C:$C,'Opex Departments'!$C143,'IS Proforma'!$A:$A,'Opex Departments'!$A143)</f>
        <v>8328.284889</v>
      </c>
      <c r="CI143" s="116">
        <f>SUMIFS('IS Proforma'!CU:CU,'IS Proforma'!$C:$C,'Opex Departments'!$C143,'IS Proforma'!$A:$A,'Opex Departments'!$A143)</f>
        <v>8328.284889</v>
      </c>
    </row>
    <row r="144" ht="15.75" customHeight="1" outlineLevel="1">
      <c r="A144" s="1" t="s">
        <v>174</v>
      </c>
      <c r="B144" s="91" t="s">
        <v>176</v>
      </c>
      <c r="C144" s="132" t="s">
        <v>232</v>
      </c>
      <c r="D144" s="116">
        <f>SUMIFS('IS Proforma'!P:P,'IS Proforma'!$C:$C,'Opex Departments'!$C144,'IS Proforma'!$A:$A,'Opex Departments'!$A144)</f>
        <v>1664</v>
      </c>
      <c r="E144" s="116">
        <f>SUMIFS('IS Proforma'!Q:Q,'IS Proforma'!$C:$C,'Opex Departments'!$C144,'IS Proforma'!$A:$A,'Opex Departments'!$A144)</f>
        <v>2086</v>
      </c>
      <c r="F144" s="116">
        <f>SUMIFS('IS Proforma'!R:R,'IS Proforma'!$C:$C,'Opex Departments'!$C144,'IS Proforma'!$A:$A,'Opex Departments'!$A144)</f>
        <v>1657</v>
      </c>
      <c r="G144" s="116">
        <f>SUMIFS('IS Proforma'!S:S,'IS Proforma'!$C:$C,'Opex Departments'!$C144,'IS Proforma'!$A:$A,'Opex Departments'!$A144)</f>
        <v>2167</v>
      </c>
      <c r="H144" s="116">
        <f>SUMIFS('IS Proforma'!T:T,'IS Proforma'!$C:$C,'Opex Departments'!$C144,'IS Proforma'!$A:$A,'Opex Departments'!$A144)</f>
        <v>1899</v>
      </c>
      <c r="I144" s="116">
        <f>SUMIFS('IS Proforma'!U:U,'IS Proforma'!$C:$C,'Opex Departments'!$C144,'IS Proforma'!$A:$A,'Opex Departments'!$A144)</f>
        <v>2151</v>
      </c>
      <c r="J144" s="116">
        <f>SUMIFS('IS Proforma'!V:V,'IS Proforma'!$C:$C,'Opex Departments'!$C144,'IS Proforma'!$A:$A,'Opex Departments'!$A144)</f>
        <v>1244</v>
      </c>
      <c r="K144" s="116">
        <f>SUMIFS('IS Proforma'!W:W,'IS Proforma'!$C:$C,'Opex Departments'!$C144,'IS Proforma'!$A:$A,'Opex Departments'!$A144)</f>
        <v>2350</v>
      </c>
      <c r="L144" s="116">
        <f>SUMIFS('IS Proforma'!X:X,'IS Proforma'!$C:$C,'Opex Departments'!$C144,'IS Proforma'!$A:$A,'Opex Departments'!$A144)</f>
        <v>1589</v>
      </c>
      <c r="M144" s="116">
        <f>SUMIFS('IS Proforma'!Y:Y,'IS Proforma'!$C:$C,'Opex Departments'!$C144,'IS Proforma'!$A:$A,'Opex Departments'!$A144)</f>
        <v>1916</v>
      </c>
      <c r="N144" s="116">
        <f>SUMIFS('IS Proforma'!Z:Z,'IS Proforma'!$C:$C,'Opex Departments'!$C144,'IS Proforma'!$A:$A,'Opex Departments'!$A144)</f>
        <v>1836</v>
      </c>
      <c r="O144" s="116">
        <f>SUMIFS('IS Proforma'!AA:AA,'IS Proforma'!$C:$C,'Opex Departments'!$C144,'IS Proforma'!$A:$A,'Opex Departments'!$A144)</f>
        <v>1644</v>
      </c>
      <c r="P144" s="116">
        <f>SUMIFS('IS Proforma'!AB:AB,'IS Proforma'!$C:$C,'Opex Departments'!$C144,'IS Proforma'!$A:$A,'Opex Departments'!$A144)</f>
        <v>1185</v>
      </c>
      <c r="Q144" s="116">
        <f>SUMIFS('IS Proforma'!AC:AC,'IS Proforma'!$C:$C,'Opex Departments'!$C144,'IS Proforma'!$A:$A,'Opex Departments'!$A144)</f>
        <v>2212</v>
      </c>
      <c r="R144" s="116">
        <f>SUMIFS('IS Proforma'!AD:AD,'IS Proforma'!$C:$C,'Opex Departments'!$C144,'IS Proforma'!$A:$A,'Opex Departments'!$A144)</f>
        <v>1019</v>
      </c>
      <c r="S144" s="116">
        <f>SUMIFS('IS Proforma'!AE:AE,'IS Proforma'!$C:$C,'Opex Departments'!$C144,'IS Proforma'!$A:$A,'Opex Departments'!$A144)</f>
        <v>1687</v>
      </c>
      <c r="T144" s="116">
        <f>SUMIFS('IS Proforma'!AF:AF,'IS Proforma'!$C:$C,'Opex Departments'!$C144,'IS Proforma'!$A:$A,'Opex Departments'!$A144)</f>
        <v>1322</v>
      </c>
      <c r="U144" s="116">
        <f>SUMIFS('IS Proforma'!AG:AG,'IS Proforma'!$C:$C,'Opex Departments'!$C144,'IS Proforma'!$A:$A,'Opex Departments'!$A144)</f>
        <v>1672</v>
      </c>
      <c r="V144" s="116">
        <f>SUMIFS('IS Proforma'!AH:AH,'IS Proforma'!$C:$C,'Opex Departments'!$C144,'IS Proforma'!$A:$A,'Opex Departments'!$A144)</f>
        <v>1449</v>
      </c>
      <c r="W144" s="116">
        <f>SUMIFS('IS Proforma'!AI:AI,'IS Proforma'!$C:$C,'Opex Departments'!$C144,'IS Proforma'!$A:$A,'Opex Departments'!$A144)</f>
        <v>1462</v>
      </c>
      <c r="X144" s="116">
        <f>SUMIFS('IS Proforma'!AJ:AJ,'IS Proforma'!$C:$C,'Opex Departments'!$C144,'IS Proforma'!$A:$A,'Opex Departments'!$A144)</f>
        <v>1547</v>
      </c>
      <c r="Y144" s="116">
        <f>SUMIFS('IS Proforma'!AK:AK,'IS Proforma'!$C:$C,'Opex Departments'!$C144,'IS Proforma'!$A:$A,'Opex Departments'!$A144)</f>
        <v>2048</v>
      </c>
      <c r="Z144" s="116">
        <f>SUMIFS('IS Proforma'!AL:AL,'IS Proforma'!$C:$C,'Opex Departments'!$C144,'IS Proforma'!$A:$A,'Opex Departments'!$A144)</f>
        <v>2171</v>
      </c>
      <c r="AA144" s="116">
        <f>SUMIFS('IS Proforma'!AM:AM,'IS Proforma'!$C:$C,'Opex Departments'!$C144,'IS Proforma'!$A:$A,'Opex Departments'!$A144)</f>
        <v>71.647</v>
      </c>
      <c r="AB144" s="116">
        <f>SUMIFS('IS Proforma'!AN:AN,'IS Proforma'!$C:$C,'Opex Departments'!$C144,'IS Proforma'!$A:$A,'Opex Departments'!$A144)</f>
        <v>116.471115</v>
      </c>
      <c r="AC144" s="116">
        <f>SUMIFS('IS Proforma'!AO:AO,'IS Proforma'!$C:$C,'Opex Departments'!$C144,'IS Proforma'!$A:$A,'Opex Departments'!$A144)</f>
        <v>134.871115</v>
      </c>
      <c r="AD144" s="116">
        <f>SUMIFS('IS Proforma'!AP:AP,'IS Proforma'!$C:$C,'Opex Departments'!$C144,'IS Proforma'!$A:$A,'Opex Departments'!$A144)</f>
        <v>142.871115</v>
      </c>
      <c r="AE144" s="116">
        <f>SUMIFS('IS Proforma'!AQ:AQ,'IS Proforma'!$C:$C,'Opex Departments'!$C144,'IS Proforma'!$A:$A,'Opex Departments'!$A144)</f>
        <v>155.871115</v>
      </c>
      <c r="AF144" s="116">
        <f>SUMIFS('IS Proforma'!AR:AR,'IS Proforma'!$C:$C,'Opex Departments'!$C144,'IS Proforma'!$A:$A,'Opex Departments'!$A144)</f>
        <v>162.8853152</v>
      </c>
      <c r="AG144" s="116">
        <f>SUMIFS('IS Proforma'!AS:AS,'IS Proforma'!$C:$C,'Opex Departments'!$C144,'IS Proforma'!$A:$A,'Opex Departments'!$A144)</f>
        <v>162.8853152</v>
      </c>
      <c r="AH144" s="116">
        <f>SUMIFS('IS Proforma'!AT:AT,'IS Proforma'!$C:$C,'Opex Departments'!$C144,'IS Proforma'!$A:$A,'Opex Departments'!$A144)</f>
        <v>173.7013152</v>
      </c>
      <c r="AI144" s="116">
        <f>SUMIFS('IS Proforma'!AU:AU,'IS Proforma'!$C:$C,'Opex Departments'!$C144,'IS Proforma'!$A:$A,'Opex Departments'!$A144)</f>
        <v>189.7173152</v>
      </c>
      <c r="AJ144" s="116">
        <f>SUMIFS('IS Proforma'!AV:AV,'IS Proforma'!$C:$C,'Opex Departments'!$C144,'IS Proforma'!$A:$A,'Opex Departments'!$A144)</f>
        <v>209.0705944</v>
      </c>
      <c r="AK144" s="116">
        <f>SUMIFS('IS Proforma'!AW:AW,'IS Proforma'!$C:$C,'Opex Departments'!$C144,'IS Proforma'!$A:$A,'Opex Departments'!$A144)</f>
        <v>219.8865944</v>
      </c>
      <c r="AL144" s="116">
        <f>SUMIFS('IS Proforma'!AX:AX,'IS Proforma'!$C:$C,'Opex Departments'!$C144,'IS Proforma'!$A:$A,'Opex Departments'!$A144)</f>
        <v>235.9025944</v>
      </c>
      <c r="AM144" s="116">
        <f>SUMIFS('IS Proforma'!AY:AY,'IS Proforma'!$C:$C,'Opex Departments'!$C144,'IS Proforma'!$A:$A,'Opex Departments'!$A144)</f>
        <v>246.7185944</v>
      </c>
      <c r="AN144" s="116">
        <f>SUMIFS('IS Proforma'!AZ:AZ,'IS Proforma'!$C:$C,'Opex Departments'!$C144,'IS Proforma'!$A:$A,'Opex Departments'!$A144)</f>
        <v>535.6719563</v>
      </c>
      <c r="AO144" s="116">
        <f>SUMIFS('IS Proforma'!BA:BA,'IS Proforma'!$C:$C,'Opex Departments'!$C144,'IS Proforma'!$A:$A,'Opex Departments'!$A144)</f>
        <v>535.6719563</v>
      </c>
      <c r="AP144" s="116">
        <f>SUMIFS('IS Proforma'!BB:BB,'IS Proforma'!$C:$C,'Opex Departments'!$C144,'IS Proforma'!$A:$A,'Opex Departments'!$A144)</f>
        <v>535.6719563</v>
      </c>
      <c r="AQ144" s="116">
        <f>SUMIFS('IS Proforma'!BC:BC,'IS Proforma'!$C:$C,'Opex Departments'!$C144,'IS Proforma'!$A:$A,'Opex Departments'!$A144)</f>
        <v>535.6719563</v>
      </c>
      <c r="AR144" s="116">
        <f>SUMIFS('IS Proforma'!BD:BD,'IS Proforma'!$C:$C,'Opex Departments'!$C144,'IS Proforma'!$A:$A,'Opex Departments'!$A144)</f>
        <v>557.0988345</v>
      </c>
      <c r="AS144" s="116">
        <f>SUMIFS('IS Proforma'!BE:BE,'IS Proforma'!$C:$C,'Opex Departments'!$C144,'IS Proforma'!$A:$A,'Opex Departments'!$A144)</f>
        <v>557.0988345</v>
      </c>
      <c r="AT144" s="116">
        <f>SUMIFS('IS Proforma'!BF:BF,'IS Proforma'!$C:$C,'Opex Departments'!$C144,'IS Proforma'!$A:$A,'Opex Departments'!$A144)</f>
        <v>557.0988345</v>
      </c>
      <c r="AU144" s="116">
        <f>SUMIFS('IS Proforma'!BG:BG,'IS Proforma'!$C:$C,'Opex Departments'!$C144,'IS Proforma'!$A:$A,'Opex Departments'!$A144)</f>
        <v>557.0988345</v>
      </c>
      <c r="AV144" s="116">
        <f>SUMIFS('IS Proforma'!BH:BH,'IS Proforma'!$C:$C,'Opex Departments'!$C144,'IS Proforma'!$A:$A,'Opex Departments'!$A144)</f>
        <v>579.3827879</v>
      </c>
      <c r="AW144" s="116">
        <f>SUMIFS('IS Proforma'!BI:BI,'IS Proforma'!$C:$C,'Opex Departments'!$C144,'IS Proforma'!$A:$A,'Opex Departments'!$A144)</f>
        <v>579.3827879</v>
      </c>
      <c r="AX144" s="116">
        <f>SUMIFS('IS Proforma'!BJ:BJ,'IS Proforma'!$C:$C,'Opex Departments'!$C144,'IS Proforma'!$A:$A,'Opex Departments'!$A144)</f>
        <v>579.3827879</v>
      </c>
      <c r="AY144" s="116">
        <f>SUMIFS('IS Proforma'!BK:BK,'IS Proforma'!$C:$C,'Opex Departments'!$C144,'IS Proforma'!$A:$A,'Opex Departments'!$A144)</f>
        <v>579.3827879</v>
      </c>
      <c r="AZ144" s="116">
        <f>SUMIFS('IS Proforma'!BL:BL,'IS Proforma'!$C:$C,'Opex Departments'!$C144,'IS Proforma'!$A:$A,'Opex Departments'!$A144)</f>
        <v>903.8371491</v>
      </c>
      <c r="BA144" s="116">
        <f>SUMIFS('IS Proforma'!BM:BM,'IS Proforma'!$C:$C,'Opex Departments'!$C144,'IS Proforma'!$A:$A,'Opex Departments'!$A144)</f>
        <v>903.8371491</v>
      </c>
      <c r="BB144" s="116">
        <f>SUMIFS('IS Proforma'!BN:BN,'IS Proforma'!$C:$C,'Opex Departments'!$C144,'IS Proforma'!$A:$A,'Opex Departments'!$A144)</f>
        <v>903.8371491</v>
      </c>
      <c r="BC144" s="116">
        <f>SUMIFS('IS Proforma'!BO:BO,'IS Proforma'!$C:$C,'Opex Departments'!$C144,'IS Proforma'!$A:$A,'Opex Departments'!$A144)</f>
        <v>903.8371491</v>
      </c>
      <c r="BD144" s="116">
        <f>SUMIFS('IS Proforma'!BP:BP,'IS Proforma'!$C:$C,'Opex Departments'!$C144,'IS Proforma'!$A:$A,'Opex Departments'!$A144)</f>
        <v>976.4902222</v>
      </c>
      <c r="BE144" s="116">
        <f>SUMIFS('IS Proforma'!BQ:BQ,'IS Proforma'!$C:$C,'Opex Departments'!$C144,'IS Proforma'!$A:$A,'Opex Departments'!$A144)</f>
        <v>976.4902222</v>
      </c>
      <c r="BF144" s="116">
        <f>SUMIFS('IS Proforma'!BR:BR,'IS Proforma'!$C:$C,'Opex Departments'!$C144,'IS Proforma'!$A:$A,'Opex Departments'!$A144)</f>
        <v>994.7400157</v>
      </c>
      <c r="BG144" s="116">
        <f>SUMIFS('IS Proforma'!BS:BS,'IS Proforma'!$C:$C,'Opex Departments'!$C144,'IS Proforma'!$A:$A,'Opex Departments'!$A144)</f>
        <v>1032.699586</v>
      </c>
      <c r="BH144" s="116">
        <f>SUMIFS('IS Proforma'!BT:BT,'IS Proforma'!$C:$C,'Opex Departments'!$C144,'IS Proforma'!$A:$A,'Opex Departments'!$A144)</f>
        <v>1074.00757</v>
      </c>
      <c r="BI144" s="116">
        <f>SUMIFS('IS Proforma'!BU:BU,'IS Proforma'!$C:$C,'Opex Departments'!$C144,'IS Proforma'!$A:$A,'Opex Departments'!$A144)</f>
        <v>1111.96714</v>
      </c>
      <c r="BJ144" s="116">
        <f>SUMIFS('IS Proforma'!BV:BV,'IS Proforma'!$C:$C,'Opex Departments'!$C144,'IS Proforma'!$A:$A,'Opex Departments'!$A144)</f>
        <v>1111.96714</v>
      </c>
      <c r="BK144" s="116">
        <f>SUMIFS('IS Proforma'!BW:BW,'IS Proforma'!$C:$C,'Opex Departments'!$C144,'IS Proforma'!$A:$A,'Opex Departments'!$A144)</f>
        <v>1111.96714</v>
      </c>
      <c r="BL144" s="116">
        <f>SUMIFS('IS Proforma'!BX:BX,'IS Proforma'!$C:$C,'Opex Departments'!$C144,'IS Proforma'!$A:$A,'Opex Departments'!$A144)</f>
        <v>1195.923779</v>
      </c>
      <c r="BM144" s="116">
        <f>SUMIFS('IS Proforma'!BY:BY,'IS Proforma'!$C:$C,'Opex Departments'!$C144,'IS Proforma'!$A:$A,'Opex Departments'!$A144)</f>
        <v>1594.565039</v>
      </c>
      <c r="BN144" s="116">
        <f>SUMIFS('IS Proforma'!BZ:BZ,'IS Proforma'!$C:$C,'Opex Departments'!$C144,'IS Proforma'!$A:$A,'Opex Departments'!$A144)</f>
        <v>1594.565039</v>
      </c>
      <c r="BO144" s="116">
        <f>SUMIFS('IS Proforma'!CA:CA,'IS Proforma'!$C:$C,'Opex Departments'!$C144,'IS Proforma'!$A:$A,'Opex Departments'!$A144)</f>
        <v>1647.20231</v>
      </c>
      <c r="BP144" s="116">
        <f>SUMIFS('IS Proforma'!CB:CB,'IS Proforma'!$C:$C,'Opex Departments'!$C144,'IS Proforma'!$A:$A,'Opex Departments'!$A144)</f>
        <v>1738.396783</v>
      </c>
      <c r="BQ144" s="116">
        <f>SUMIFS('IS Proforma'!CC:CC,'IS Proforma'!$C:$C,'Opex Departments'!$C144,'IS Proforma'!$A:$A,'Opex Departments'!$A144)</f>
        <v>1738.396783</v>
      </c>
      <c r="BR144" s="116">
        <f>SUMIFS('IS Proforma'!CD:CD,'IS Proforma'!$C:$C,'Opex Departments'!$C144,'IS Proforma'!$A:$A,'Opex Departments'!$A144)</f>
        <v>1793.139545</v>
      </c>
      <c r="BS144" s="116">
        <f>SUMIFS('IS Proforma'!CE:CE,'IS Proforma'!$C:$C,'Opex Departments'!$C144,'IS Proforma'!$A:$A,'Opex Departments'!$A144)</f>
        <v>1793.139545</v>
      </c>
      <c r="BT144" s="116">
        <f>SUMIFS('IS Proforma'!CF:CF,'IS Proforma'!$C:$C,'Opex Departments'!$C144,'IS Proforma'!$A:$A,'Opex Departments'!$A144)</f>
        <v>1864.865127</v>
      </c>
      <c r="BU144" s="116">
        <f>SUMIFS('IS Proforma'!CG:CG,'IS Proforma'!$C:$C,'Opex Departments'!$C144,'IS Proforma'!$A:$A,'Opex Departments'!$A144)</f>
        <v>1919.607889</v>
      </c>
      <c r="BV144" s="116">
        <f>SUMIFS('IS Proforma'!CH:CH,'IS Proforma'!$C:$C,'Opex Departments'!$C144,'IS Proforma'!$A:$A,'Opex Departments'!$A144)</f>
        <v>1919.607889</v>
      </c>
      <c r="BW144" s="116">
        <f>SUMIFS('IS Proforma'!CI:CI,'IS Proforma'!$C:$C,'Opex Departments'!$C144,'IS Proforma'!$A:$A,'Opex Departments'!$A144)</f>
        <v>1919.607889</v>
      </c>
      <c r="BX144" s="116">
        <f>SUMIFS('IS Proforma'!CJ:CJ,'IS Proforma'!$C:$C,'Opex Departments'!$C144,'IS Proforma'!$A:$A,'Opex Departments'!$A144)</f>
        <v>2566.655846</v>
      </c>
      <c r="BY144" s="116">
        <f>SUMIFS('IS Proforma'!CK:CK,'IS Proforma'!$C:$C,'Opex Departments'!$C144,'IS Proforma'!$A:$A,'Opex Departments'!$A144)</f>
        <v>2566.655846</v>
      </c>
      <c r="BZ144" s="116">
        <f>SUMIFS('IS Proforma'!CL:CL,'IS Proforma'!$C:$C,'Opex Departments'!$C144,'IS Proforma'!$A:$A,'Opex Departments'!$A144)</f>
        <v>2566.655846</v>
      </c>
      <c r="CA144" s="116">
        <f>SUMIFS('IS Proforma'!CM:CM,'IS Proforma'!$C:$C,'Opex Departments'!$C144,'IS Proforma'!$A:$A,'Opex Departments'!$A144)</f>
        <v>2566.655846</v>
      </c>
      <c r="CB144" s="116">
        <f>SUMIFS('IS Proforma'!CN:CN,'IS Proforma'!$C:$C,'Opex Departments'!$C144,'IS Proforma'!$A:$A,'Opex Departments'!$A144)</f>
        <v>2669.32208</v>
      </c>
      <c r="CC144" s="116">
        <f>SUMIFS('IS Proforma'!CO:CO,'IS Proforma'!$C:$C,'Opex Departments'!$C144,'IS Proforma'!$A:$A,'Opex Departments'!$A144)</f>
        <v>2669.32208</v>
      </c>
      <c r="CD144" s="116">
        <f>SUMIFS('IS Proforma'!CP:CP,'IS Proforma'!$C:$C,'Opex Departments'!$C144,'IS Proforma'!$A:$A,'Opex Departments'!$A144)</f>
        <v>2669.32208</v>
      </c>
      <c r="CE144" s="116">
        <f>SUMIFS('IS Proforma'!CQ:CQ,'IS Proforma'!$C:$C,'Opex Departments'!$C144,'IS Proforma'!$A:$A,'Opex Departments'!$A144)</f>
        <v>2669.32208</v>
      </c>
      <c r="CF144" s="116">
        <f>SUMIFS('IS Proforma'!CR:CR,'IS Proforma'!$C:$C,'Opex Departments'!$C144,'IS Proforma'!$A:$A,'Opex Departments'!$A144)</f>
        <v>2776.094963</v>
      </c>
      <c r="CG144" s="116">
        <f>SUMIFS('IS Proforma'!CS:CS,'IS Proforma'!$C:$C,'Opex Departments'!$C144,'IS Proforma'!$A:$A,'Opex Departments'!$A144)</f>
        <v>2776.094963</v>
      </c>
      <c r="CH144" s="116">
        <f>SUMIFS('IS Proforma'!CT:CT,'IS Proforma'!$C:$C,'Opex Departments'!$C144,'IS Proforma'!$A:$A,'Opex Departments'!$A144)</f>
        <v>2776.094963</v>
      </c>
      <c r="CI144" s="116">
        <f>SUMIFS('IS Proforma'!CU:CU,'IS Proforma'!$C:$C,'Opex Departments'!$C144,'IS Proforma'!$A:$A,'Opex Departments'!$A144)</f>
        <v>2776.094963</v>
      </c>
    </row>
    <row r="145" ht="15.75" customHeight="1" outlineLevel="1">
      <c r="A145" s="1" t="s">
        <v>174</v>
      </c>
      <c r="B145" s="91" t="s">
        <v>176</v>
      </c>
      <c r="C145" s="132" t="s">
        <v>234</v>
      </c>
      <c r="D145" s="116">
        <f>SUMIFS('IS Proforma'!P:P,'IS Proforma'!$C:$C,'Opex Departments'!$C145,'IS Proforma'!$A:$A,'Opex Departments'!$A145)</f>
        <v>1381</v>
      </c>
      <c r="E145" s="116">
        <f>SUMIFS('IS Proforma'!Q:Q,'IS Proforma'!$C:$C,'Opex Departments'!$C145,'IS Proforma'!$A:$A,'Opex Departments'!$A145)</f>
        <v>1435</v>
      </c>
      <c r="F145" s="116">
        <f>SUMIFS('IS Proforma'!R:R,'IS Proforma'!$C:$C,'Opex Departments'!$C145,'IS Proforma'!$A:$A,'Opex Departments'!$A145)</f>
        <v>1270</v>
      </c>
      <c r="G145" s="116">
        <f>SUMIFS('IS Proforma'!S:S,'IS Proforma'!$C:$C,'Opex Departments'!$C145,'IS Proforma'!$A:$A,'Opex Departments'!$A145)</f>
        <v>1391</v>
      </c>
      <c r="H145" s="116">
        <f>SUMIFS('IS Proforma'!T:T,'IS Proforma'!$C:$C,'Opex Departments'!$C145,'IS Proforma'!$A:$A,'Opex Departments'!$A145)</f>
        <v>1305</v>
      </c>
      <c r="I145" s="116">
        <f>SUMIFS('IS Proforma'!U:U,'IS Proforma'!$C:$C,'Opex Departments'!$C145,'IS Proforma'!$A:$A,'Opex Departments'!$A145)</f>
        <v>1748</v>
      </c>
      <c r="J145" s="116">
        <f>SUMIFS('IS Proforma'!V:V,'IS Proforma'!$C:$C,'Opex Departments'!$C145,'IS Proforma'!$A:$A,'Opex Departments'!$A145)</f>
        <v>1057</v>
      </c>
      <c r="K145" s="116">
        <f>SUMIFS('IS Proforma'!W:W,'IS Proforma'!$C:$C,'Opex Departments'!$C145,'IS Proforma'!$A:$A,'Opex Departments'!$A145)</f>
        <v>2409</v>
      </c>
      <c r="L145" s="116">
        <f>SUMIFS('IS Proforma'!X:X,'IS Proforma'!$C:$C,'Opex Departments'!$C145,'IS Proforma'!$A:$A,'Opex Departments'!$A145)</f>
        <v>2364</v>
      </c>
      <c r="M145" s="116">
        <f>SUMIFS('IS Proforma'!Y:Y,'IS Proforma'!$C:$C,'Opex Departments'!$C145,'IS Proforma'!$A:$A,'Opex Departments'!$A145)</f>
        <v>1824</v>
      </c>
      <c r="N145" s="116">
        <f>SUMIFS('IS Proforma'!Z:Z,'IS Proforma'!$C:$C,'Opex Departments'!$C145,'IS Proforma'!$A:$A,'Opex Departments'!$A145)</f>
        <v>1479</v>
      </c>
      <c r="O145" s="116">
        <f>SUMIFS('IS Proforma'!AA:AA,'IS Proforma'!$C:$C,'Opex Departments'!$C145,'IS Proforma'!$A:$A,'Opex Departments'!$A145)</f>
        <v>1693</v>
      </c>
      <c r="P145" s="116">
        <f>SUMIFS('IS Proforma'!AB:AB,'IS Proforma'!$C:$C,'Opex Departments'!$C145,'IS Proforma'!$A:$A,'Opex Departments'!$A145)</f>
        <v>1950</v>
      </c>
      <c r="Q145" s="116">
        <f>SUMIFS('IS Proforma'!AC:AC,'IS Proforma'!$C:$C,'Opex Departments'!$C145,'IS Proforma'!$A:$A,'Opex Departments'!$A145)</f>
        <v>1057</v>
      </c>
      <c r="R145" s="116">
        <f>SUMIFS('IS Proforma'!AD:AD,'IS Proforma'!$C:$C,'Opex Departments'!$C145,'IS Proforma'!$A:$A,'Opex Departments'!$A145)</f>
        <v>1744</v>
      </c>
      <c r="S145" s="116">
        <f>SUMIFS('IS Proforma'!AE:AE,'IS Proforma'!$C:$C,'Opex Departments'!$C145,'IS Proforma'!$A:$A,'Opex Departments'!$A145)</f>
        <v>1800</v>
      </c>
      <c r="T145" s="116">
        <f>SUMIFS('IS Proforma'!AF:AF,'IS Proforma'!$C:$C,'Opex Departments'!$C145,'IS Proforma'!$A:$A,'Opex Departments'!$A145)</f>
        <v>1893</v>
      </c>
      <c r="U145" s="116">
        <f>SUMIFS('IS Proforma'!AG:AG,'IS Proforma'!$C:$C,'Opex Departments'!$C145,'IS Proforma'!$A:$A,'Opex Departments'!$A145)</f>
        <v>1014</v>
      </c>
      <c r="V145" s="116">
        <f>SUMIFS('IS Proforma'!AH:AH,'IS Proforma'!$C:$C,'Opex Departments'!$C145,'IS Proforma'!$A:$A,'Opex Departments'!$A145)</f>
        <v>1014</v>
      </c>
      <c r="W145" s="116">
        <f>SUMIFS('IS Proforma'!AI:AI,'IS Proforma'!$C:$C,'Opex Departments'!$C145,'IS Proforma'!$A:$A,'Opex Departments'!$A145)</f>
        <v>2385</v>
      </c>
      <c r="X145" s="116">
        <f>SUMIFS('IS Proforma'!AJ:AJ,'IS Proforma'!$C:$C,'Opex Departments'!$C145,'IS Proforma'!$A:$A,'Opex Departments'!$A145)</f>
        <v>1641</v>
      </c>
      <c r="Y145" s="116">
        <f>SUMIFS('IS Proforma'!AK:AK,'IS Proforma'!$C:$C,'Opex Departments'!$C145,'IS Proforma'!$A:$A,'Opex Departments'!$A145)</f>
        <v>1499</v>
      </c>
      <c r="Z145" s="116">
        <f>SUMIFS('IS Proforma'!AL:AL,'IS Proforma'!$C:$C,'Opex Departments'!$C145,'IS Proforma'!$A:$A,'Opex Departments'!$A145)</f>
        <v>2236</v>
      </c>
      <c r="AA145" s="116">
        <f>SUMIFS('IS Proforma'!AM:AM,'IS Proforma'!$C:$C,'Opex Departments'!$C145,'IS Proforma'!$A:$A,'Opex Departments'!$A145)</f>
        <v>5445.172</v>
      </c>
      <c r="AB145" s="116">
        <f>SUMIFS('IS Proforma'!AN:AN,'IS Proforma'!$C:$C,'Opex Departments'!$C145,'IS Proforma'!$A:$A,'Opex Departments'!$A145)</f>
        <v>8851.80474</v>
      </c>
      <c r="AC145" s="116">
        <f>SUMIFS('IS Proforma'!AO:AO,'IS Proforma'!$C:$C,'Opex Departments'!$C145,'IS Proforma'!$A:$A,'Opex Departments'!$A145)</f>
        <v>6743.55575</v>
      </c>
      <c r="AD145" s="116">
        <f>SUMIFS('IS Proforma'!AP:AP,'IS Proforma'!$C:$C,'Opex Departments'!$C145,'IS Proforma'!$A:$A,'Opex Departments'!$A145)</f>
        <v>4286.13345</v>
      </c>
      <c r="AE145" s="116">
        <f>SUMIFS('IS Proforma'!AQ:AQ,'IS Proforma'!$C:$C,'Opex Departments'!$C145,'IS Proforma'!$A:$A,'Opex Departments'!$A145)</f>
        <v>4676.13345</v>
      </c>
      <c r="AF145" s="116">
        <f>SUMIFS('IS Proforma'!AR:AR,'IS Proforma'!$C:$C,'Opex Departments'!$C145,'IS Proforma'!$A:$A,'Opex Departments'!$A145)</f>
        <v>3257.706304</v>
      </c>
      <c r="AG145" s="116">
        <f>SUMIFS('IS Proforma'!AS:AS,'IS Proforma'!$C:$C,'Opex Departments'!$C145,'IS Proforma'!$A:$A,'Opex Departments'!$A145)</f>
        <v>3257.706304</v>
      </c>
      <c r="AH145" s="116">
        <f>SUMIFS('IS Proforma'!AT:AT,'IS Proforma'!$C:$C,'Opex Departments'!$C145,'IS Proforma'!$A:$A,'Opex Departments'!$A145)</f>
        <v>3474.026304</v>
      </c>
      <c r="AI145" s="116">
        <f>SUMIFS('IS Proforma'!AU:AU,'IS Proforma'!$C:$C,'Opex Departments'!$C145,'IS Proforma'!$A:$A,'Opex Departments'!$A145)</f>
        <v>3794.346304</v>
      </c>
      <c r="AJ145" s="116">
        <f>SUMIFS('IS Proforma'!AV:AV,'IS Proforma'!$C:$C,'Opex Departments'!$C145,'IS Proforma'!$A:$A,'Opex Departments'!$A145)</f>
        <v>4181.411887</v>
      </c>
      <c r="AK145" s="116">
        <f>SUMIFS('IS Proforma'!AW:AW,'IS Proforma'!$C:$C,'Opex Departments'!$C145,'IS Proforma'!$A:$A,'Opex Departments'!$A145)</f>
        <v>4397.731887</v>
      </c>
      <c r="AL145" s="116">
        <f>SUMIFS('IS Proforma'!AX:AX,'IS Proforma'!$C:$C,'Opex Departments'!$C145,'IS Proforma'!$A:$A,'Opex Departments'!$A145)</f>
        <v>4718.051887</v>
      </c>
      <c r="AM145" s="116">
        <f>SUMIFS('IS Proforma'!AY:AY,'IS Proforma'!$C:$C,'Opex Departments'!$C145,'IS Proforma'!$A:$A,'Opex Departments'!$A145)</f>
        <v>4934.371887</v>
      </c>
      <c r="AN145" s="116">
        <f>SUMIFS('IS Proforma'!AZ:AZ,'IS Proforma'!$C:$C,'Opex Departments'!$C145,'IS Proforma'!$A:$A,'Opex Departments'!$A145)</f>
        <v>5356.719563</v>
      </c>
      <c r="AO145" s="116">
        <f>SUMIFS('IS Proforma'!BA:BA,'IS Proforma'!$C:$C,'Opex Departments'!$C145,'IS Proforma'!$A:$A,'Opex Departments'!$A145)</f>
        <v>5356.719563</v>
      </c>
      <c r="AP145" s="116">
        <f>SUMIFS('IS Proforma'!BB:BB,'IS Proforma'!$C:$C,'Opex Departments'!$C145,'IS Proforma'!$A:$A,'Opex Departments'!$A145)</f>
        <v>5356.719563</v>
      </c>
      <c r="AQ145" s="116">
        <f>SUMIFS('IS Proforma'!BC:BC,'IS Proforma'!$C:$C,'Opex Departments'!$C145,'IS Proforma'!$A:$A,'Opex Departments'!$A145)</f>
        <v>5356.719563</v>
      </c>
      <c r="AR145" s="116">
        <f>SUMIFS('IS Proforma'!BD:BD,'IS Proforma'!$C:$C,'Opex Departments'!$C145,'IS Proforma'!$A:$A,'Opex Departments'!$A145)</f>
        <v>5570.988345</v>
      </c>
      <c r="AS145" s="116">
        <f>SUMIFS('IS Proforma'!BE:BE,'IS Proforma'!$C:$C,'Opex Departments'!$C145,'IS Proforma'!$A:$A,'Opex Departments'!$A145)</f>
        <v>5570.988345</v>
      </c>
      <c r="AT145" s="116">
        <f>SUMIFS('IS Proforma'!BF:BF,'IS Proforma'!$C:$C,'Opex Departments'!$C145,'IS Proforma'!$A:$A,'Opex Departments'!$A145)</f>
        <v>5570.988345</v>
      </c>
      <c r="AU145" s="116">
        <f>SUMIFS('IS Proforma'!BG:BG,'IS Proforma'!$C:$C,'Opex Departments'!$C145,'IS Proforma'!$A:$A,'Opex Departments'!$A145)</f>
        <v>5570.988345</v>
      </c>
      <c r="AV145" s="116">
        <f>SUMIFS('IS Proforma'!BH:BH,'IS Proforma'!$C:$C,'Opex Departments'!$C145,'IS Proforma'!$A:$A,'Opex Departments'!$A145)</f>
        <v>5793.827879</v>
      </c>
      <c r="AW145" s="116">
        <f>SUMIFS('IS Proforma'!BI:BI,'IS Proforma'!$C:$C,'Opex Departments'!$C145,'IS Proforma'!$A:$A,'Opex Departments'!$A145)</f>
        <v>5793.827879</v>
      </c>
      <c r="AX145" s="116">
        <f>SUMIFS('IS Proforma'!BJ:BJ,'IS Proforma'!$C:$C,'Opex Departments'!$C145,'IS Proforma'!$A:$A,'Opex Departments'!$A145)</f>
        <v>5793.827879</v>
      </c>
      <c r="AY145" s="116">
        <f>SUMIFS('IS Proforma'!BK:BK,'IS Proforma'!$C:$C,'Opex Departments'!$C145,'IS Proforma'!$A:$A,'Opex Departments'!$A145)</f>
        <v>5793.827879</v>
      </c>
      <c r="AZ145" s="116">
        <f>SUMIFS('IS Proforma'!BL:BL,'IS Proforma'!$C:$C,'Opex Departments'!$C145,'IS Proforma'!$A:$A,'Opex Departments'!$A145)</f>
        <v>6025.580994</v>
      </c>
      <c r="BA145" s="116">
        <f>SUMIFS('IS Proforma'!BM:BM,'IS Proforma'!$C:$C,'Opex Departments'!$C145,'IS Proforma'!$A:$A,'Opex Departments'!$A145)</f>
        <v>6025.580994</v>
      </c>
      <c r="BB145" s="116">
        <f>SUMIFS('IS Proforma'!BN:BN,'IS Proforma'!$C:$C,'Opex Departments'!$C145,'IS Proforma'!$A:$A,'Opex Departments'!$A145)</f>
        <v>6025.580994</v>
      </c>
      <c r="BC145" s="116">
        <f>SUMIFS('IS Proforma'!BO:BO,'IS Proforma'!$C:$C,'Opex Departments'!$C145,'IS Proforma'!$A:$A,'Opex Departments'!$A145)</f>
        <v>6025.580994</v>
      </c>
      <c r="BD145" s="116">
        <f>SUMIFS('IS Proforma'!BP:BP,'IS Proforma'!$C:$C,'Opex Departments'!$C145,'IS Proforma'!$A:$A,'Opex Departments'!$A145)</f>
        <v>6509.934814</v>
      </c>
      <c r="BE145" s="116">
        <f>SUMIFS('IS Proforma'!BQ:BQ,'IS Proforma'!$C:$C,'Opex Departments'!$C145,'IS Proforma'!$A:$A,'Opex Departments'!$A145)</f>
        <v>6509.934814</v>
      </c>
      <c r="BF145" s="116">
        <f>SUMIFS('IS Proforma'!BR:BR,'IS Proforma'!$C:$C,'Opex Departments'!$C145,'IS Proforma'!$A:$A,'Opex Departments'!$A145)</f>
        <v>6631.600105</v>
      </c>
      <c r="BG145" s="116">
        <f>SUMIFS('IS Proforma'!BS:BS,'IS Proforma'!$C:$C,'Opex Departments'!$C145,'IS Proforma'!$A:$A,'Opex Departments'!$A145)</f>
        <v>6884.663908</v>
      </c>
      <c r="BH145" s="116">
        <f>SUMIFS('IS Proforma'!BT:BT,'IS Proforma'!$C:$C,'Opex Departments'!$C145,'IS Proforma'!$A:$A,'Opex Departments'!$A145)</f>
        <v>7160.050465</v>
      </c>
      <c r="BI145" s="116">
        <f>SUMIFS('IS Proforma'!BU:BU,'IS Proforma'!$C:$C,'Opex Departments'!$C145,'IS Proforma'!$A:$A,'Opex Departments'!$A145)</f>
        <v>7413.114268</v>
      </c>
      <c r="BJ145" s="116">
        <f>SUMIFS('IS Proforma'!BV:BV,'IS Proforma'!$C:$C,'Opex Departments'!$C145,'IS Proforma'!$A:$A,'Opex Departments'!$A145)</f>
        <v>7413.114268</v>
      </c>
      <c r="BK145" s="116">
        <f>SUMIFS('IS Proforma'!BW:BW,'IS Proforma'!$C:$C,'Opex Departments'!$C145,'IS Proforma'!$A:$A,'Opex Departments'!$A145)</f>
        <v>7413.114268</v>
      </c>
      <c r="BL145" s="116">
        <f>SUMIFS('IS Proforma'!BX:BX,'IS Proforma'!$C:$C,'Opex Departments'!$C145,'IS Proforma'!$A:$A,'Opex Departments'!$A145)</f>
        <v>7972.825195</v>
      </c>
      <c r="BM145" s="116">
        <f>SUMIFS('IS Proforma'!BY:BY,'IS Proforma'!$C:$C,'Opex Departments'!$C145,'IS Proforma'!$A:$A,'Opex Departments'!$A145)</f>
        <v>7972.825195</v>
      </c>
      <c r="BN145" s="116">
        <f>SUMIFS('IS Proforma'!BZ:BZ,'IS Proforma'!$C:$C,'Opex Departments'!$C145,'IS Proforma'!$A:$A,'Opex Departments'!$A145)</f>
        <v>7972.825195</v>
      </c>
      <c r="BO145" s="116">
        <f>SUMIFS('IS Proforma'!CA:CA,'IS Proforma'!$C:$C,'Opex Departments'!$C145,'IS Proforma'!$A:$A,'Opex Departments'!$A145)</f>
        <v>8236.011551</v>
      </c>
      <c r="BP145" s="116">
        <f>SUMIFS('IS Proforma'!CB:CB,'IS Proforma'!$C:$C,'Opex Departments'!$C145,'IS Proforma'!$A:$A,'Opex Departments'!$A145)</f>
        <v>8691.983915</v>
      </c>
      <c r="BQ145" s="116">
        <f>SUMIFS('IS Proforma'!CC:CC,'IS Proforma'!$C:$C,'Opex Departments'!$C145,'IS Proforma'!$A:$A,'Opex Departments'!$A145)</f>
        <v>8691.983915</v>
      </c>
      <c r="BR145" s="116">
        <f>SUMIFS('IS Proforma'!CD:CD,'IS Proforma'!$C:$C,'Opex Departments'!$C145,'IS Proforma'!$A:$A,'Opex Departments'!$A145)</f>
        <v>8965.697725</v>
      </c>
      <c r="BS145" s="116">
        <f>SUMIFS('IS Proforma'!CE:CE,'IS Proforma'!$C:$C,'Opex Departments'!$C145,'IS Proforma'!$A:$A,'Opex Departments'!$A145)</f>
        <v>8965.697725</v>
      </c>
      <c r="BT145" s="116">
        <f>SUMIFS('IS Proforma'!CF:CF,'IS Proforma'!$C:$C,'Opex Departments'!$C145,'IS Proforma'!$A:$A,'Opex Departments'!$A145)</f>
        <v>9324.325634</v>
      </c>
      <c r="BU145" s="116">
        <f>SUMIFS('IS Proforma'!CG:CG,'IS Proforma'!$C:$C,'Opex Departments'!$C145,'IS Proforma'!$A:$A,'Opex Departments'!$A145)</f>
        <v>9598.039444</v>
      </c>
      <c r="BV145" s="116">
        <f>SUMIFS('IS Proforma'!CH:CH,'IS Proforma'!$C:$C,'Opex Departments'!$C145,'IS Proforma'!$A:$A,'Opex Departments'!$A145)</f>
        <v>9598.039444</v>
      </c>
      <c r="BW145" s="116">
        <f>SUMIFS('IS Proforma'!CI:CI,'IS Proforma'!$C:$C,'Opex Departments'!$C145,'IS Proforma'!$A:$A,'Opex Departments'!$A145)</f>
        <v>9598.039444</v>
      </c>
      <c r="BX145" s="116">
        <f>SUMIFS('IS Proforma'!CJ:CJ,'IS Proforma'!$C:$C,'Opex Departments'!$C145,'IS Proforma'!$A:$A,'Opex Departments'!$A145)</f>
        <v>10266.62338</v>
      </c>
      <c r="BY145" s="116">
        <f>SUMIFS('IS Proforma'!CK:CK,'IS Proforma'!$C:$C,'Opex Departments'!$C145,'IS Proforma'!$A:$A,'Opex Departments'!$A145)</f>
        <v>10266.62338</v>
      </c>
      <c r="BZ145" s="116">
        <f>SUMIFS('IS Proforma'!CL:CL,'IS Proforma'!$C:$C,'Opex Departments'!$C145,'IS Proforma'!$A:$A,'Opex Departments'!$A145)</f>
        <v>10266.62338</v>
      </c>
      <c r="CA145" s="116">
        <f>SUMIFS('IS Proforma'!CM:CM,'IS Proforma'!$C:$C,'Opex Departments'!$C145,'IS Proforma'!$A:$A,'Opex Departments'!$A145)</f>
        <v>10266.62338</v>
      </c>
      <c r="CB145" s="116">
        <f>SUMIFS('IS Proforma'!CN:CN,'IS Proforma'!$C:$C,'Opex Departments'!$C145,'IS Proforma'!$A:$A,'Opex Departments'!$A145)</f>
        <v>10677.28832</v>
      </c>
      <c r="CC145" s="116">
        <f>SUMIFS('IS Proforma'!CO:CO,'IS Proforma'!$C:$C,'Opex Departments'!$C145,'IS Proforma'!$A:$A,'Opex Departments'!$A145)</f>
        <v>10677.28832</v>
      </c>
      <c r="CD145" s="116">
        <f>SUMIFS('IS Proforma'!CP:CP,'IS Proforma'!$C:$C,'Opex Departments'!$C145,'IS Proforma'!$A:$A,'Opex Departments'!$A145)</f>
        <v>10677.28832</v>
      </c>
      <c r="CE145" s="116">
        <f>SUMIFS('IS Proforma'!CQ:CQ,'IS Proforma'!$C:$C,'Opex Departments'!$C145,'IS Proforma'!$A:$A,'Opex Departments'!$A145)</f>
        <v>10677.28832</v>
      </c>
      <c r="CF145" s="116">
        <f>SUMIFS('IS Proforma'!CR:CR,'IS Proforma'!$C:$C,'Opex Departments'!$C145,'IS Proforma'!$A:$A,'Opex Departments'!$A145)</f>
        <v>11104.37985</v>
      </c>
      <c r="CG145" s="116">
        <f>SUMIFS('IS Proforma'!CS:CS,'IS Proforma'!$C:$C,'Opex Departments'!$C145,'IS Proforma'!$A:$A,'Opex Departments'!$A145)</f>
        <v>11104.37985</v>
      </c>
      <c r="CH145" s="116">
        <f>SUMIFS('IS Proforma'!CT:CT,'IS Proforma'!$C:$C,'Opex Departments'!$C145,'IS Proforma'!$A:$A,'Opex Departments'!$A145)</f>
        <v>11104.37985</v>
      </c>
      <c r="CI145" s="116">
        <f>SUMIFS('IS Proforma'!CU:CU,'IS Proforma'!$C:$C,'Opex Departments'!$C145,'IS Proforma'!$A:$A,'Opex Departments'!$A145)</f>
        <v>11104.37985</v>
      </c>
    </row>
    <row r="146" ht="15.75" customHeight="1" outlineLevel="1">
      <c r="A146" s="1" t="s">
        <v>174</v>
      </c>
      <c r="B146" s="91" t="s">
        <v>176</v>
      </c>
      <c r="C146" s="132" t="s">
        <v>235</v>
      </c>
      <c r="D146" s="116">
        <f>SUMIFS('IS Proforma'!P:P,'IS Proforma'!$C:$C,'Opex Departments'!$C146,'IS Proforma'!$A:$A,'Opex Departments'!$A146)</f>
        <v>1338</v>
      </c>
      <c r="E146" s="116">
        <f>SUMIFS('IS Proforma'!Q:Q,'IS Proforma'!$C:$C,'Opex Departments'!$C146,'IS Proforma'!$A:$A,'Opex Departments'!$A146)</f>
        <v>2139</v>
      </c>
      <c r="F146" s="116">
        <f>SUMIFS('IS Proforma'!R:R,'IS Proforma'!$C:$C,'Opex Departments'!$C146,'IS Proforma'!$A:$A,'Opex Departments'!$A146)</f>
        <v>2073</v>
      </c>
      <c r="G146" s="116">
        <f>SUMIFS('IS Proforma'!S:S,'IS Proforma'!$C:$C,'Opex Departments'!$C146,'IS Proforma'!$A:$A,'Opex Departments'!$A146)</f>
        <v>1091</v>
      </c>
      <c r="H146" s="116">
        <f>SUMIFS('IS Proforma'!T:T,'IS Proforma'!$C:$C,'Opex Departments'!$C146,'IS Proforma'!$A:$A,'Opex Departments'!$A146)</f>
        <v>2411</v>
      </c>
      <c r="I146" s="116">
        <f>SUMIFS('IS Proforma'!U:U,'IS Proforma'!$C:$C,'Opex Departments'!$C146,'IS Proforma'!$A:$A,'Opex Departments'!$A146)</f>
        <v>1076</v>
      </c>
      <c r="J146" s="116">
        <f>SUMIFS('IS Proforma'!V:V,'IS Proforma'!$C:$C,'Opex Departments'!$C146,'IS Proforma'!$A:$A,'Opex Departments'!$A146)</f>
        <v>1506</v>
      </c>
      <c r="K146" s="116">
        <f>SUMIFS('IS Proforma'!W:W,'IS Proforma'!$C:$C,'Opex Departments'!$C146,'IS Proforma'!$A:$A,'Opex Departments'!$A146)</f>
        <v>2126</v>
      </c>
      <c r="L146" s="116">
        <f>SUMIFS('IS Proforma'!X:X,'IS Proforma'!$C:$C,'Opex Departments'!$C146,'IS Proforma'!$A:$A,'Opex Departments'!$A146)</f>
        <v>1565</v>
      </c>
      <c r="M146" s="116">
        <f>SUMIFS('IS Proforma'!Y:Y,'IS Proforma'!$C:$C,'Opex Departments'!$C146,'IS Proforma'!$A:$A,'Opex Departments'!$A146)</f>
        <v>2482</v>
      </c>
      <c r="N146" s="116">
        <f>SUMIFS('IS Proforma'!Z:Z,'IS Proforma'!$C:$C,'Opex Departments'!$C146,'IS Proforma'!$A:$A,'Opex Departments'!$A146)</f>
        <v>1519</v>
      </c>
      <c r="O146" s="116">
        <f>SUMIFS('IS Proforma'!AA:AA,'IS Proforma'!$C:$C,'Opex Departments'!$C146,'IS Proforma'!$A:$A,'Opex Departments'!$A146)</f>
        <v>2189</v>
      </c>
      <c r="P146" s="116">
        <f>SUMIFS('IS Proforma'!AB:AB,'IS Proforma'!$C:$C,'Opex Departments'!$C146,'IS Proforma'!$A:$A,'Opex Departments'!$A146)</f>
        <v>1694</v>
      </c>
      <c r="Q146" s="116">
        <f>SUMIFS('IS Proforma'!AC:AC,'IS Proforma'!$C:$C,'Opex Departments'!$C146,'IS Proforma'!$A:$A,'Opex Departments'!$A146)</f>
        <v>1794</v>
      </c>
      <c r="R146" s="116">
        <f>SUMIFS('IS Proforma'!AD:AD,'IS Proforma'!$C:$C,'Opex Departments'!$C146,'IS Proforma'!$A:$A,'Opex Departments'!$A146)</f>
        <v>1342</v>
      </c>
      <c r="S146" s="116">
        <f>SUMIFS('IS Proforma'!AE:AE,'IS Proforma'!$C:$C,'Opex Departments'!$C146,'IS Proforma'!$A:$A,'Opex Departments'!$A146)</f>
        <v>2242</v>
      </c>
      <c r="T146" s="116">
        <f>SUMIFS('IS Proforma'!AF:AF,'IS Proforma'!$C:$C,'Opex Departments'!$C146,'IS Proforma'!$A:$A,'Opex Departments'!$A146)</f>
        <v>2107</v>
      </c>
      <c r="U146" s="116">
        <f>SUMIFS('IS Proforma'!AG:AG,'IS Proforma'!$C:$C,'Opex Departments'!$C146,'IS Proforma'!$A:$A,'Opex Departments'!$A146)</f>
        <v>1502</v>
      </c>
      <c r="V146" s="116">
        <f>SUMIFS('IS Proforma'!AH:AH,'IS Proforma'!$C:$C,'Opex Departments'!$C146,'IS Proforma'!$A:$A,'Opex Departments'!$A146)</f>
        <v>1054</v>
      </c>
      <c r="W146" s="116">
        <f>SUMIFS('IS Proforma'!AI:AI,'IS Proforma'!$C:$C,'Opex Departments'!$C146,'IS Proforma'!$A:$A,'Opex Departments'!$A146)</f>
        <v>1458</v>
      </c>
      <c r="X146" s="116">
        <f>SUMIFS('IS Proforma'!AJ:AJ,'IS Proforma'!$C:$C,'Opex Departments'!$C146,'IS Proforma'!$A:$A,'Opex Departments'!$A146)</f>
        <v>1702</v>
      </c>
      <c r="Y146" s="116">
        <f>SUMIFS('IS Proforma'!AK:AK,'IS Proforma'!$C:$C,'Opex Departments'!$C146,'IS Proforma'!$A:$A,'Opex Departments'!$A146)</f>
        <v>1106</v>
      </c>
      <c r="Z146" s="116">
        <f>SUMIFS('IS Proforma'!AL:AL,'IS Proforma'!$C:$C,'Opex Departments'!$C146,'IS Proforma'!$A:$A,'Opex Departments'!$A146)</f>
        <v>1621</v>
      </c>
      <c r="AA146" s="116">
        <f>SUMIFS('IS Proforma'!AM:AM,'IS Proforma'!$C:$C,'Opex Departments'!$C146,'IS Proforma'!$A:$A,'Opex Departments'!$A146)</f>
        <v>716.47</v>
      </c>
      <c r="AB146" s="116">
        <f>SUMIFS('IS Proforma'!AN:AN,'IS Proforma'!$C:$C,'Opex Departments'!$C146,'IS Proforma'!$A:$A,'Opex Departments'!$A146)</f>
        <v>1164.71115</v>
      </c>
      <c r="AC146" s="116">
        <f>SUMIFS('IS Proforma'!AO:AO,'IS Proforma'!$C:$C,'Opex Departments'!$C146,'IS Proforma'!$A:$A,'Opex Departments'!$A146)</f>
        <v>1348.71115</v>
      </c>
      <c r="AD146" s="116">
        <f>SUMIFS('IS Proforma'!AP:AP,'IS Proforma'!$C:$C,'Opex Departments'!$C146,'IS Proforma'!$A:$A,'Opex Departments'!$A146)</f>
        <v>1428.71115</v>
      </c>
      <c r="AE146" s="116">
        <f>SUMIFS('IS Proforma'!AQ:AQ,'IS Proforma'!$C:$C,'Opex Departments'!$C146,'IS Proforma'!$A:$A,'Opex Departments'!$A146)</f>
        <v>1558.71115</v>
      </c>
      <c r="AF146" s="116">
        <f>SUMIFS('IS Proforma'!AR:AR,'IS Proforma'!$C:$C,'Opex Departments'!$C146,'IS Proforma'!$A:$A,'Opex Departments'!$A146)</f>
        <v>1628.853152</v>
      </c>
      <c r="AG146" s="116">
        <f>SUMIFS('IS Proforma'!AS:AS,'IS Proforma'!$C:$C,'Opex Departments'!$C146,'IS Proforma'!$A:$A,'Opex Departments'!$A146)</f>
        <v>1628.853152</v>
      </c>
      <c r="AH146" s="116">
        <f>SUMIFS('IS Proforma'!AT:AT,'IS Proforma'!$C:$C,'Opex Departments'!$C146,'IS Proforma'!$A:$A,'Opex Departments'!$A146)</f>
        <v>1737.013152</v>
      </c>
      <c r="AI146" s="116">
        <f>SUMIFS('IS Proforma'!AU:AU,'IS Proforma'!$C:$C,'Opex Departments'!$C146,'IS Proforma'!$A:$A,'Opex Departments'!$A146)</f>
        <v>1897.173152</v>
      </c>
      <c r="AJ146" s="116">
        <f>SUMIFS('IS Proforma'!AV:AV,'IS Proforma'!$C:$C,'Opex Departments'!$C146,'IS Proforma'!$A:$A,'Opex Departments'!$A146)</f>
        <v>2090.705944</v>
      </c>
      <c r="AK146" s="116">
        <f>SUMIFS('IS Proforma'!AW:AW,'IS Proforma'!$C:$C,'Opex Departments'!$C146,'IS Proforma'!$A:$A,'Opex Departments'!$A146)</f>
        <v>2198.865944</v>
      </c>
      <c r="AL146" s="116">
        <f>SUMIFS('IS Proforma'!AX:AX,'IS Proforma'!$C:$C,'Opex Departments'!$C146,'IS Proforma'!$A:$A,'Opex Departments'!$A146)</f>
        <v>2359.025944</v>
      </c>
      <c r="AM146" s="116">
        <f>SUMIFS('IS Proforma'!AY:AY,'IS Proforma'!$C:$C,'Opex Departments'!$C146,'IS Proforma'!$A:$A,'Opex Departments'!$A146)</f>
        <v>2467.185944</v>
      </c>
      <c r="AN146" s="116">
        <f>SUMIFS('IS Proforma'!AZ:AZ,'IS Proforma'!$C:$C,'Opex Departments'!$C146,'IS Proforma'!$A:$A,'Opex Departments'!$A146)</f>
        <v>3214.031738</v>
      </c>
      <c r="AO146" s="116">
        <f>SUMIFS('IS Proforma'!BA:BA,'IS Proforma'!$C:$C,'Opex Departments'!$C146,'IS Proforma'!$A:$A,'Opex Departments'!$A146)</f>
        <v>3214.031738</v>
      </c>
      <c r="AP146" s="116">
        <f>SUMIFS('IS Proforma'!BB:BB,'IS Proforma'!$C:$C,'Opex Departments'!$C146,'IS Proforma'!$A:$A,'Opex Departments'!$A146)</f>
        <v>3214.031738</v>
      </c>
      <c r="AQ146" s="116">
        <f>SUMIFS('IS Proforma'!BC:BC,'IS Proforma'!$C:$C,'Opex Departments'!$C146,'IS Proforma'!$A:$A,'Opex Departments'!$A146)</f>
        <v>3214.031738</v>
      </c>
      <c r="AR146" s="116">
        <f>SUMIFS('IS Proforma'!BD:BD,'IS Proforma'!$C:$C,'Opex Departments'!$C146,'IS Proforma'!$A:$A,'Opex Departments'!$A146)</f>
        <v>3342.593007</v>
      </c>
      <c r="AS146" s="116">
        <f>SUMIFS('IS Proforma'!BE:BE,'IS Proforma'!$C:$C,'Opex Departments'!$C146,'IS Proforma'!$A:$A,'Opex Departments'!$A146)</f>
        <v>3342.593007</v>
      </c>
      <c r="AT146" s="116">
        <f>SUMIFS('IS Proforma'!BF:BF,'IS Proforma'!$C:$C,'Opex Departments'!$C146,'IS Proforma'!$A:$A,'Opex Departments'!$A146)</f>
        <v>3342.593007</v>
      </c>
      <c r="AU146" s="116">
        <f>SUMIFS('IS Proforma'!BG:BG,'IS Proforma'!$C:$C,'Opex Departments'!$C146,'IS Proforma'!$A:$A,'Opex Departments'!$A146)</f>
        <v>3342.593007</v>
      </c>
      <c r="AV146" s="116">
        <f>SUMIFS('IS Proforma'!BH:BH,'IS Proforma'!$C:$C,'Opex Departments'!$C146,'IS Proforma'!$A:$A,'Opex Departments'!$A146)</f>
        <v>3476.296727</v>
      </c>
      <c r="AW146" s="116">
        <f>SUMIFS('IS Proforma'!BI:BI,'IS Proforma'!$C:$C,'Opex Departments'!$C146,'IS Proforma'!$A:$A,'Opex Departments'!$A146)</f>
        <v>3476.296727</v>
      </c>
      <c r="AX146" s="116">
        <f>SUMIFS('IS Proforma'!BJ:BJ,'IS Proforma'!$C:$C,'Opex Departments'!$C146,'IS Proforma'!$A:$A,'Opex Departments'!$A146)</f>
        <v>3476.296727</v>
      </c>
      <c r="AY146" s="116">
        <f>SUMIFS('IS Proforma'!BK:BK,'IS Proforma'!$C:$C,'Opex Departments'!$C146,'IS Proforma'!$A:$A,'Opex Departments'!$A146)</f>
        <v>3476.296727</v>
      </c>
      <c r="AZ146" s="116">
        <f>SUMIFS('IS Proforma'!BL:BL,'IS Proforma'!$C:$C,'Opex Departments'!$C146,'IS Proforma'!$A:$A,'Opex Departments'!$A146)</f>
        <v>4217.906696</v>
      </c>
      <c r="BA146" s="116">
        <f>SUMIFS('IS Proforma'!BM:BM,'IS Proforma'!$C:$C,'Opex Departments'!$C146,'IS Proforma'!$A:$A,'Opex Departments'!$A146)</f>
        <v>4217.906696</v>
      </c>
      <c r="BB146" s="116">
        <f>SUMIFS('IS Proforma'!BN:BN,'IS Proforma'!$C:$C,'Opex Departments'!$C146,'IS Proforma'!$A:$A,'Opex Departments'!$A146)</f>
        <v>4217.906696</v>
      </c>
      <c r="BC146" s="116">
        <f>SUMIFS('IS Proforma'!BO:BO,'IS Proforma'!$C:$C,'Opex Departments'!$C146,'IS Proforma'!$A:$A,'Opex Departments'!$A146)</f>
        <v>4217.906696</v>
      </c>
      <c r="BD146" s="116">
        <f>SUMIFS('IS Proforma'!BP:BP,'IS Proforma'!$C:$C,'Opex Departments'!$C146,'IS Proforma'!$A:$A,'Opex Departments'!$A146)</f>
        <v>4556.95437</v>
      </c>
      <c r="BE146" s="116">
        <f>SUMIFS('IS Proforma'!BQ:BQ,'IS Proforma'!$C:$C,'Opex Departments'!$C146,'IS Proforma'!$A:$A,'Opex Departments'!$A146)</f>
        <v>4556.95437</v>
      </c>
      <c r="BF146" s="116">
        <f>SUMIFS('IS Proforma'!BR:BR,'IS Proforma'!$C:$C,'Opex Departments'!$C146,'IS Proforma'!$A:$A,'Opex Departments'!$A146)</f>
        <v>4642.120073</v>
      </c>
      <c r="BG146" s="116">
        <f>SUMIFS('IS Proforma'!BS:BS,'IS Proforma'!$C:$C,'Opex Departments'!$C146,'IS Proforma'!$A:$A,'Opex Departments'!$A146)</f>
        <v>4819.264736</v>
      </c>
      <c r="BH146" s="116">
        <f>SUMIFS('IS Proforma'!BT:BT,'IS Proforma'!$C:$C,'Opex Departments'!$C146,'IS Proforma'!$A:$A,'Opex Departments'!$A146)</f>
        <v>5012.035325</v>
      </c>
      <c r="BI146" s="116">
        <f>SUMIFS('IS Proforma'!BU:BU,'IS Proforma'!$C:$C,'Opex Departments'!$C146,'IS Proforma'!$A:$A,'Opex Departments'!$A146)</f>
        <v>5189.179988</v>
      </c>
      <c r="BJ146" s="116">
        <f>SUMIFS('IS Proforma'!BV:BV,'IS Proforma'!$C:$C,'Opex Departments'!$C146,'IS Proforma'!$A:$A,'Opex Departments'!$A146)</f>
        <v>5189.179988</v>
      </c>
      <c r="BK146" s="116">
        <f>SUMIFS('IS Proforma'!BW:BW,'IS Proforma'!$C:$C,'Opex Departments'!$C146,'IS Proforma'!$A:$A,'Opex Departments'!$A146)</f>
        <v>5189.179988</v>
      </c>
      <c r="BL146" s="116">
        <f>SUMIFS('IS Proforma'!BX:BX,'IS Proforma'!$C:$C,'Opex Departments'!$C146,'IS Proforma'!$A:$A,'Opex Departments'!$A146)</f>
        <v>5580.977636</v>
      </c>
      <c r="BM146" s="116">
        <f>SUMIFS('IS Proforma'!BY:BY,'IS Proforma'!$C:$C,'Opex Departments'!$C146,'IS Proforma'!$A:$A,'Opex Departments'!$A146)</f>
        <v>6378.260156</v>
      </c>
      <c r="BN146" s="116">
        <f>SUMIFS('IS Proforma'!BZ:BZ,'IS Proforma'!$C:$C,'Opex Departments'!$C146,'IS Proforma'!$A:$A,'Opex Departments'!$A146)</f>
        <v>6378.260156</v>
      </c>
      <c r="BO146" s="116">
        <f>SUMIFS('IS Proforma'!CA:CA,'IS Proforma'!$C:$C,'Opex Departments'!$C146,'IS Proforma'!$A:$A,'Opex Departments'!$A146)</f>
        <v>6588.809241</v>
      </c>
      <c r="BP146" s="116">
        <f>SUMIFS('IS Proforma'!CB:CB,'IS Proforma'!$C:$C,'Opex Departments'!$C146,'IS Proforma'!$A:$A,'Opex Departments'!$A146)</f>
        <v>6953.587132</v>
      </c>
      <c r="BQ146" s="116">
        <f>SUMIFS('IS Proforma'!CC:CC,'IS Proforma'!$C:$C,'Opex Departments'!$C146,'IS Proforma'!$A:$A,'Opex Departments'!$A146)</f>
        <v>6953.587132</v>
      </c>
      <c r="BR146" s="116">
        <f>SUMIFS('IS Proforma'!CD:CD,'IS Proforma'!$C:$C,'Opex Departments'!$C146,'IS Proforma'!$A:$A,'Opex Departments'!$A146)</f>
        <v>7172.55818</v>
      </c>
      <c r="BS146" s="116">
        <f>SUMIFS('IS Proforma'!CE:CE,'IS Proforma'!$C:$C,'Opex Departments'!$C146,'IS Proforma'!$A:$A,'Opex Departments'!$A146)</f>
        <v>7172.55818</v>
      </c>
      <c r="BT146" s="116">
        <f>SUMIFS('IS Proforma'!CF:CF,'IS Proforma'!$C:$C,'Opex Departments'!$C146,'IS Proforma'!$A:$A,'Opex Departments'!$A146)</f>
        <v>7459.460507</v>
      </c>
      <c r="BU146" s="116">
        <f>SUMIFS('IS Proforma'!CG:CG,'IS Proforma'!$C:$C,'Opex Departments'!$C146,'IS Proforma'!$A:$A,'Opex Departments'!$A146)</f>
        <v>7678.431555</v>
      </c>
      <c r="BV146" s="116">
        <f>SUMIFS('IS Proforma'!CH:CH,'IS Proforma'!$C:$C,'Opex Departments'!$C146,'IS Proforma'!$A:$A,'Opex Departments'!$A146)</f>
        <v>7678.431555</v>
      </c>
      <c r="BW146" s="116">
        <f>SUMIFS('IS Proforma'!CI:CI,'IS Proforma'!$C:$C,'Opex Departments'!$C146,'IS Proforma'!$A:$A,'Opex Departments'!$A146)</f>
        <v>7678.431555</v>
      </c>
      <c r="BX146" s="116">
        <f>SUMIFS('IS Proforma'!CJ:CJ,'IS Proforma'!$C:$C,'Opex Departments'!$C146,'IS Proforma'!$A:$A,'Opex Departments'!$A146)</f>
        <v>9239.961046</v>
      </c>
      <c r="BY146" s="116">
        <f>SUMIFS('IS Proforma'!CK:CK,'IS Proforma'!$C:$C,'Opex Departments'!$C146,'IS Proforma'!$A:$A,'Opex Departments'!$A146)</f>
        <v>9239.961046</v>
      </c>
      <c r="BZ146" s="116">
        <f>SUMIFS('IS Proforma'!CL:CL,'IS Proforma'!$C:$C,'Opex Departments'!$C146,'IS Proforma'!$A:$A,'Opex Departments'!$A146)</f>
        <v>9239.961046</v>
      </c>
      <c r="CA146" s="116">
        <f>SUMIFS('IS Proforma'!CM:CM,'IS Proforma'!$C:$C,'Opex Departments'!$C146,'IS Proforma'!$A:$A,'Opex Departments'!$A146)</f>
        <v>9239.961046</v>
      </c>
      <c r="CB146" s="116">
        <f>SUMIFS('IS Proforma'!CN:CN,'IS Proforma'!$C:$C,'Opex Departments'!$C146,'IS Proforma'!$A:$A,'Opex Departments'!$A146)</f>
        <v>9609.559487</v>
      </c>
      <c r="CC146" s="116">
        <f>SUMIFS('IS Proforma'!CO:CO,'IS Proforma'!$C:$C,'Opex Departments'!$C146,'IS Proforma'!$A:$A,'Opex Departments'!$A146)</f>
        <v>9609.559487</v>
      </c>
      <c r="CD146" s="116">
        <f>SUMIFS('IS Proforma'!CP:CP,'IS Proforma'!$C:$C,'Opex Departments'!$C146,'IS Proforma'!$A:$A,'Opex Departments'!$A146)</f>
        <v>9609.559487</v>
      </c>
      <c r="CE146" s="116">
        <f>SUMIFS('IS Proforma'!CQ:CQ,'IS Proforma'!$C:$C,'Opex Departments'!$C146,'IS Proforma'!$A:$A,'Opex Departments'!$A146)</f>
        <v>9609.559487</v>
      </c>
      <c r="CF146" s="116">
        <f>SUMIFS('IS Proforma'!CR:CR,'IS Proforma'!$C:$C,'Opex Departments'!$C146,'IS Proforma'!$A:$A,'Opex Departments'!$A146)</f>
        <v>9993.941867</v>
      </c>
      <c r="CG146" s="116">
        <f>SUMIFS('IS Proforma'!CS:CS,'IS Proforma'!$C:$C,'Opex Departments'!$C146,'IS Proforma'!$A:$A,'Opex Departments'!$A146)</f>
        <v>9993.941867</v>
      </c>
      <c r="CH146" s="116">
        <f>SUMIFS('IS Proforma'!CT:CT,'IS Proforma'!$C:$C,'Opex Departments'!$C146,'IS Proforma'!$A:$A,'Opex Departments'!$A146)</f>
        <v>9993.941867</v>
      </c>
      <c r="CI146" s="116">
        <f>SUMIFS('IS Proforma'!CU:CU,'IS Proforma'!$C:$C,'Opex Departments'!$C146,'IS Proforma'!$A:$A,'Opex Departments'!$A146)</f>
        <v>9993.941867</v>
      </c>
    </row>
    <row r="147" ht="15.75" customHeight="1" outlineLevel="1">
      <c r="A147" s="1" t="s">
        <v>174</v>
      </c>
      <c r="B147" s="91" t="s">
        <v>66</v>
      </c>
      <c r="C147" s="132" t="s">
        <v>236</v>
      </c>
      <c r="D147" s="116">
        <f>SUMIFS('IS Proforma'!P:P,'IS Proforma'!$C:$C,'Opex Departments'!$C147,'IS Proforma'!$A:$A,'Opex Departments'!$A147)</f>
        <v>1436</v>
      </c>
      <c r="E147" s="116">
        <f>SUMIFS('IS Proforma'!Q:Q,'IS Proforma'!$C:$C,'Opex Departments'!$C147,'IS Proforma'!$A:$A,'Opex Departments'!$A147)</f>
        <v>1534</v>
      </c>
      <c r="F147" s="116">
        <f>SUMIFS('IS Proforma'!R:R,'IS Proforma'!$C:$C,'Opex Departments'!$C147,'IS Proforma'!$A:$A,'Opex Departments'!$A147)</f>
        <v>1349</v>
      </c>
      <c r="G147" s="116">
        <f>SUMIFS('IS Proforma'!S:S,'IS Proforma'!$C:$C,'Opex Departments'!$C147,'IS Proforma'!$A:$A,'Opex Departments'!$A147)</f>
        <v>1123</v>
      </c>
      <c r="H147" s="116">
        <f>SUMIFS('IS Proforma'!T:T,'IS Proforma'!$C:$C,'Opex Departments'!$C147,'IS Proforma'!$A:$A,'Opex Departments'!$A147)</f>
        <v>2277</v>
      </c>
      <c r="I147" s="116">
        <f>SUMIFS('IS Proforma'!U:U,'IS Proforma'!$C:$C,'Opex Departments'!$C147,'IS Proforma'!$A:$A,'Opex Departments'!$A147)</f>
        <v>1644</v>
      </c>
      <c r="J147" s="116">
        <f>SUMIFS('IS Proforma'!V:V,'IS Proforma'!$C:$C,'Opex Departments'!$C147,'IS Proforma'!$A:$A,'Opex Departments'!$A147)</f>
        <v>1177</v>
      </c>
      <c r="K147" s="116">
        <f>SUMIFS('IS Proforma'!W:W,'IS Proforma'!$C:$C,'Opex Departments'!$C147,'IS Proforma'!$A:$A,'Opex Departments'!$A147)</f>
        <v>2079</v>
      </c>
      <c r="L147" s="116">
        <f>SUMIFS('IS Proforma'!X:X,'IS Proforma'!$C:$C,'Opex Departments'!$C147,'IS Proforma'!$A:$A,'Opex Departments'!$A147)</f>
        <v>1323</v>
      </c>
      <c r="M147" s="116">
        <f>SUMIFS('IS Proforma'!Y:Y,'IS Proforma'!$C:$C,'Opex Departments'!$C147,'IS Proforma'!$A:$A,'Opex Departments'!$A147)</f>
        <v>1911</v>
      </c>
      <c r="N147" s="116">
        <f>SUMIFS('IS Proforma'!Z:Z,'IS Proforma'!$C:$C,'Opex Departments'!$C147,'IS Proforma'!$A:$A,'Opex Departments'!$A147)</f>
        <v>1831</v>
      </c>
      <c r="O147" s="116">
        <f>SUMIFS('IS Proforma'!AA:AA,'IS Proforma'!$C:$C,'Opex Departments'!$C147,'IS Proforma'!$A:$A,'Opex Departments'!$A147)</f>
        <v>1967</v>
      </c>
      <c r="P147" s="116">
        <f>SUMIFS('IS Proforma'!AB:AB,'IS Proforma'!$C:$C,'Opex Departments'!$C147,'IS Proforma'!$A:$A,'Opex Departments'!$A147)</f>
        <v>2005</v>
      </c>
      <c r="Q147" s="116">
        <f>SUMIFS('IS Proforma'!AC:AC,'IS Proforma'!$C:$C,'Opex Departments'!$C147,'IS Proforma'!$A:$A,'Opex Departments'!$A147)</f>
        <v>1133</v>
      </c>
      <c r="R147" s="116">
        <f>SUMIFS('IS Proforma'!AD:AD,'IS Proforma'!$C:$C,'Opex Departments'!$C147,'IS Proforma'!$A:$A,'Opex Departments'!$A147)</f>
        <v>1023</v>
      </c>
      <c r="S147" s="116">
        <f>SUMIFS('IS Proforma'!AE:AE,'IS Proforma'!$C:$C,'Opex Departments'!$C147,'IS Proforma'!$A:$A,'Opex Departments'!$A147)</f>
        <v>2038</v>
      </c>
      <c r="T147" s="116">
        <f>SUMIFS('IS Proforma'!AF:AF,'IS Proforma'!$C:$C,'Opex Departments'!$C147,'IS Proforma'!$A:$A,'Opex Departments'!$A147)</f>
        <v>1637</v>
      </c>
      <c r="U147" s="116">
        <f>SUMIFS('IS Proforma'!AG:AG,'IS Proforma'!$C:$C,'Opex Departments'!$C147,'IS Proforma'!$A:$A,'Opex Departments'!$A147)</f>
        <v>2063</v>
      </c>
      <c r="V147" s="116">
        <f>SUMIFS('IS Proforma'!AH:AH,'IS Proforma'!$C:$C,'Opex Departments'!$C147,'IS Proforma'!$A:$A,'Opex Departments'!$A147)</f>
        <v>1794</v>
      </c>
      <c r="W147" s="116">
        <f>SUMIFS('IS Proforma'!AI:AI,'IS Proforma'!$C:$C,'Opex Departments'!$C147,'IS Proforma'!$A:$A,'Opex Departments'!$A147)</f>
        <v>1231</v>
      </c>
      <c r="X147" s="116">
        <f>SUMIFS('IS Proforma'!AJ:AJ,'IS Proforma'!$C:$C,'Opex Departments'!$C147,'IS Proforma'!$A:$A,'Opex Departments'!$A147)</f>
        <v>2076</v>
      </c>
      <c r="Y147" s="116">
        <f>SUMIFS('IS Proforma'!AK:AK,'IS Proforma'!$C:$C,'Opex Departments'!$C147,'IS Proforma'!$A:$A,'Opex Departments'!$A147)</f>
        <v>1590</v>
      </c>
      <c r="Z147" s="116">
        <f>SUMIFS('IS Proforma'!AL:AL,'IS Proforma'!$C:$C,'Opex Departments'!$C147,'IS Proforma'!$A:$A,'Opex Departments'!$A147)</f>
        <v>1425</v>
      </c>
      <c r="AA147" s="116">
        <f>SUMIFS('IS Proforma'!AM:AM,'IS Proforma'!$C:$C,'Opex Departments'!$C147,'IS Proforma'!$A:$A,'Opex Departments'!$A147)</f>
        <v>13133.59</v>
      </c>
      <c r="AB147" s="116">
        <f>SUMIFS('IS Proforma'!AN:AN,'IS Proforma'!$C:$C,'Opex Departments'!$C147,'IS Proforma'!$A:$A,'Opex Departments'!$A147)</f>
        <v>18149.25795</v>
      </c>
      <c r="AC147" s="116">
        <f>SUMIFS('IS Proforma'!AO:AO,'IS Proforma'!$C:$C,'Opex Departments'!$C147,'IS Proforma'!$A:$A,'Opex Departments'!$A147)</f>
        <v>18190.00424</v>
      </c>
      <c r="AD147" s="116">
        <f>SUMIFS('IS Proforma'!AP:AP,'IS Proforma'!$C:$C,'Opex Departments'!$C147,'IS Proforma'!$A:$A,'Opex Departments'!$A147)</f>
        <v>18230.95426</v>
      </c>
      <c r="AE147" s="116">
        <f>SUMIFS('IS Proforma'!AQ:AQ,'IS Proforma'!$C:$C,'Opex Departments'!$C147,'IS Proforma'!$A:$A,'Opex Departments'!$A147)</f>
        <v>18272.10903</v>
      </c>
      <c r="AF147" s="116">
        <f>SUMIFS('IS Proforma'!AR:AR,'IS Proforma'!$C:$C,'Opex Departments'!$C147,'IS Proforma'!$A:$A,'Opex Departments'!$A147)</f>
        <v>18313.46958</v>
      </c>
      <c r="AG147" s="116">
        <f>SUMIFS('IS Proforma'!AS:AS,'IS Proforma'!$C:$C,'Opex Departments'!$C147,'IS Proforma'!$A:$A,'Opex Departments'!$A147)</f>
        <v>18355.03693</v>
      </c>
      <c r="AH147" s="116">
        <f>SUMIFS('IS Proforma'!AT:AT,'IS Proforma'!$C:$C,'Opex Departments'!$C147,'IS Proforma'!$A:$A,'Opex Departments'!$A147)</f>
        <v>18396.81211</v>
      </c>
      <c r="AI147" s="116">
        <f>SUMIFS('IS Proforma'!AU:AU,'IS Proforma'!$C:$C,'Opex Departments'!$C147,'IS Proforma'!$A:$A,'Opex Departments'!$A147)</f>
        <v>18438.79617</v>
      </c>
      <c r="AJ147" s="116">
        <f>SUMIFS('IS Proforma'!AV:AV,'IS Proforma'!$C:$C,'Opex Departments'!$C147,'IS Proforma'!$A:$A,'Opex Departments'!$A147)</f>
        <v>18480.99015</v>
      </c>
      <c r="AK147" s="116">
        <f>SUMIFS('IS Proforma'!AW:AW,'IS Proforma'!$C:$C,'Opex Departments'!$C147,'IS Proforma'!$A:$A,'Opex Departments'!$A147)</f>
        <v>18523.3951</v>
      </c>
      <c r="AL147" s="116">
        <f>SUMIFS('IS Proforma'!AX:AX,'IS Proforma'!$C:$C,'Opex Departments'!$C147,'IS Proforma'!$A:$A,'Opex Departments'!$A147)</f>
        <v>18566.01208</v>
      </c>
      <c r="AM147" s="116">
        <f>SUMIFS('IS Proforma'!AY:AY,'IS Proforma'!$C:$C,'Opex Departments'!$C147,'IS Proforma'!$A:$A,'Opex Departments'!$A147)</f>
        <v>18608.84214</v>
      </c>
      <c r="AN147" s="116">
        <f>SUMIFS('IS Proforma'!AZ:AZ,'IS Proforma'!$C:$C,'Opex Departments'!$C147,'IS Proforma'!$A:$A,'Opex Departments'!$A147)</f>
        <v>18651.88635</v>
      </c>
      <c r="AO147" s="116">
        <f>SUMIFS('IS Proforma'!BA:BA,'IS Proforma'!$C:$C,'Opex Departments'!$C147,'IS Proforma'!$A:$A,'Opex Departments'!$A147)</f>
        <v>18695.14578</v>
      </c>
      <c r="AP147" s="116">
        <f>SUMIFS('IS Proforma'!BB:BB,'IS Proforma'!$C:$C,'Opex Departments'!$C147,'IS Proforma'!$A:$A,'Opex Departments'!$A147)</f>
        <v>18738.62151</v>
      </c>
      <c r="AQ147" s="116">
        <f>SUMIFS('IS Proforma'!BC:BC,'IS Proforma'!$C:$C,'Opex Departments'!$C147,'IS Proforma'!$A:$A,'Opex Departments'!$A147)</f>
        <v>18782.31462</v>
      </c>
      <c r="AR147" s="116">
        <f>SUMIFS('IS Proforma'!BD:BD,'IS Proforma'!$C:$C,'Opex Departments'!$C147,'IS Proforma'!$A:$A,'Opex Departments'!$A147)</f>
        <v>18826.22619</v>
      </c>
      <c r="AS147" s="116">
        <f>SUMIFS('IS Proforma'!BE:BE,'IS Proforma'!$C:$C,'Opex Departments'!$C147,'IS Proforma'!$A:$A,'Opex Departments'!$A147)</f>
        <v>18870.35732</v>
      </c>
      <c r="AT147" s="116">
        <f>SUMIFS('IS Proforma'!BF:BF,'IS Proforma'!$C:$C,'Opex Departments'!$C147,'IS Proforma'!$A:$A,'Opex Departments'!$A147)</f>
        <v>18914.70911</v>
      </c>
      <c r="AU147" s="116">
        <f>SUMIFS('IS Proforma'!BG:BG,'IS Proforma'!$C:$C,'Opex Departments'!$C147,'IS Proforma'!$A:$A,'Opex Departments'!$A147)</f>
        <v>18959.28265</v>
      </c>
      <c r="AV147" s="116">
        <f>SUMIFS('IS Proforma'!BH:BH,'IS Proforma'!$C:$C,'Opex Departments'!$C147,'IS Proforma'!$A:$A,'Opex Departments'!$A147)</f>
        <v>19004.07907</v>
      </c>
      <c r="AW147" s="116">
        <f>SUMIFS('IS Proforma'!BI:BI,'IS Proforma'!$C:$C,'Opex Departments'!$C147,'IS Proforma'!$A:$A,'Opex Departments'!$A147)</f>
        <v>19049.09946</v>
      </c>
      <c r="AX147" s="116">
        <f>SUMIFS('IS Proforma'!BJ:BJ,'IS Proforma'!$C:$C,'Opex Departments'!$C147,'IS Proforma'!$A:$A,'Opex Departments'!$A147)</f>
        <v>19094.34496</v>
      </c>
      <c r="AY147" s="116">
        <f>SUMIFS('IS Proforma'!BK:BK,'IS Proforma'!$C:$C,'Opex Departments'!$C147,'IS Proforma'!$A:$A,'Opex Departments'!$A147)</f>
        <v>19139.81668</v>
      </c>
      <c r="AZ147" s="116">
        <f>SUMIFS('IS Proforma'!BL:BL,'IS Proforma'!$C:$C,'Opex Departments'!$C147,'IS Proforma'!$A:$A,'Opex Departments'!$A147)</f>
        <v>19185.51577</v>
      </c>
      <c r="BA147" s="116">
        <f>SUMIFS('IS Proforma'!BM:BM,'IS Proforma'!$C:$C,'Opex Departments'!$C147,'IS Proforma'!$A:$A,'Opex Departments'!$A147)</f>
        <v>19231.44335</v>
      </c>
      <c r="BB147" s="116">
        <f>SUMIFS('IS Proforma'!BN:BN,'IS Proforma'!$C:$C,'Opex Departments'!$C147,'IS Proforma'!$A:$A,'Opex Departments'!$A147)</f>
        <v>19277.60056</v>
      </c>
      <c r="BC147" s="116">
        <f>SUMIFS('IS Proforma'!BO:BO,'IS Proforma'!$C:$C,'Opex Departments'!$C147,'IS Proforma'!$A:$A,'Opex Departments'!$A147)</f>
        <v>19323.98857</v>
      </c>
      <c r="BD147" s="116">
        <f>SUMIFS('IS Proforma'!BP:BP,'IS Proforma'!$C:$C,'Opex Departments'!$C147,'IS Proforma'!$A:$A,'Opex Departments'!$A147)</f>
        <v>19370.60851</v>
      </c>
      <c r="BE147" s="116">
        <f>SUMIFS('IS Proforma'!BQ:BQ,'IS Proforma'!$C:$C,'Opex Departments'!$C147,'IS Proforma'!$A:$A,'Opex Departments'!$A147)</f>
        <v>19417.46155</v>
      </c>
      <c r="BF147" s="116">
        <f>SUMIFS('IS Proforma'!BR:BR,'IS Proforma'!$C:$C,'Opex Departments'!$C147,'IS Proforma'!$A:$A,'Opex Departments'!$A147)</f>
        <v>19464.54886</v>
      </c>
      <c r="BG147" s="116">
        <f>SUMIFS('IS Proforma'!BS:BS,'IS Proforma'!$C:$C,'Opex Departments'!$C147,'IS Proforma'!$A:$A,'Opex Departments'!$A147)</f>
        <v>19511.8716</v>
      </c>
      <c r="BH147" s="116">
        <f>SUMIFS('IS Proforma'!BT:BT,'IS Proforma'!$C:$C,'Opex Departments'!$C147,'IS Proforma'!$A:$A,'Opex Departments'!$A147)</f>
        <v>19559.43096</v>
      </c>
      <c r="BI147" s="116">
        <f>SUMIFS('IS Proforma'!BU:BU,'IS Proforma'!$C:$C,'Opex Departments'!$C147,'IS Proforma'!$A:$A,'Opex Departments'!$A147)</f>
        <v>19607.22812</v>
      </c>
      <c r="BJ147" s="116">
        <f>SUMIFS('IS Proforma'!BV:BV,'IS Proforma'!$C:$C,'Opex Departments'!$C147,'IS Proforma'!$A:$A,'Opex Departments'!$A147)</f>
        <v>19655.26426</v>
      </c>
      <c r="BK147" s="116">
        <f>SUMIFS('IS Proforma'!BW:BW,'IS Proforma'!$C:$C,'Opex Departments'!$C147,'IS Proforma'!$A:$A,'Opex Departments'!$A147)</f>
        <v>19703.54058</v>
      </c>
      <c r="BL147" s="116">
        <f>SUMIFS('IS Proforma'!BX:BX,'IS Proforma'!$C:$C,'Opex Departments'!$C147,'IS Proforma'!$A:$A,'Opex Departments'!$A147)</f>
        <v>19752.05828</v>
      </c>
      <c r="BM147" s="116">
        <f>SUMIFS('IS Proforma'!BY:BY,'IS Proforma'!$C:$C,'Opex Departments'!$C147,'IS Proforma'!$A:$A,'Opex Departments'!$A147)</f>
        <v>19800.81857</v>
      </c>
      <c r="BN147" s="116">
        <f>SUMIFS('IS Proforma'!BZ:BZ,'IS Proforma'!$C:$C,'Opex Departments'!$C147,'IS Proforma'!$A:$A,'Opex Departments'!$A147)</f>
        <v>19849.82266</v>
      </c>
      <c r="BO147" s="116">
        <f>SUMIFS('IS Proforma'!CA:CA,'IS Proforma'!$C:$C,'Opex Departments'!$C147,'IS Proforma'!$A:$A,'Opex Departments'!$A147)</f>
        <v>19899.07178</v>
      </c>
      <c r="BP147" s="116">
        <f>SUMIFS('IS Proforma'!CB:CB,'IS Proforma'!$C:$C,'Opex Departments'!$C147,'IS Proforma'!$A:$A,'Opex Departments'!$A147)</f>
        <v>19948.56714</v>
      </c>
      <c r="BQ147" s="116">
        <f>SUMIFS('IS Proforma'!CC:CC,'IS Proforma'!$C:$C,'Opex Departments'!$C147,'IS Proforma'!$A:$A,'Opex Departments'!$A147)</f>
        <v>19998.30997</v>
      </c>
      <c r="BR147" s="116">
        <f>SUMIFS('IS Proforma'!CD:CD,'IS Proforma'!$C:$C,'Opex Departments'!$C147,'IS Proforma'!$A:$A,'Opex Departments'!$A147)</f>
        <v>20048.30152</v>
      </c>
      <c r="BS147" s="116">
        <f>SUMIFS('IS Proforma'!CE:CE,'IS Proforma'!$C:$C,'Opex Departments'!$C147,'IS Proforma'!$A:$A,'Opex Departments'!$A147)</f>
        <v>20098.54303</v>
      </c>
      <c r="BT147" s="116">
        <f>SUMIFS('IS Proforma'!CF:CF,'IS Proforma'!$C:$C,'Opex Departments'!$C147,'IS Proforma'!$A:$A,'Opex Departments'!$A147)</f>
        <v>20149.03575</v>
      </c>
      <c r="BU147" s="116">
        <f>SUMIFS('IS Proforma'!CG:CG,'IS Proforma'!$C:$C,'Opex Departments'!$C147,'IS Proforma'!$A:$A,'Opex Departments'!$A147)</f>
        <v>20199.78092</v>
      </c>
      <c r="BV147" s="116">
        <f>SUMIFS('IS Proforma'!CH:CH,'IS Proforma'!$C:$C,'Opex Departments'!$C147,'IS Proforma'!$A:$A,'Opex Departments'!$A147)</f>
        <v>20250.77983</v>
      </c>
      <c r="BW147" s="116">
        <f>SUMIFS('IS Proforma'!CI:CI,'IS Proforma'!$C:$C,'Opex Departments'!$C147,'IS Proforma'!$A:$A,'Opex Departments'!$A147)</f>
        <v>20302.03373</v>
      </c>
      <c r="BX147" s="116">
        <f>SUMIFS('IS Proforma'!CJ:CJ,'IS Proforma'!$C:$C,'Opex Departments'!$C147,'IS Proforma'!$A:$A,'Opex Departments'!$A147)</f>
        <v>20353.5439</v>
      </c>
      <c r="BY147" s="116">
        <f>SUMIFS('IS Proforma'!CK:CK,'IS Proforma'!$C:$C,'Opex Departments'!$C147,'IS Proforma'!$A:$A,'Opex Departments'!$A147)</f>
        <v>20405.31162</v>
      </c>
      <c r="BZ147" s="116">
        <f>SUMIFS('IS Proforma'!CL:CL,'IS Proforma'!$C:$C,'Opex Departments'!$C147,'IS Proforma'!$A:$A,'Opex Departments'!$A147)</f>
        <v>20457.33817</v>
      </c>
      <c r="CA147" s="116">
        <f>SUMIFS('IS Proforma'!CM:CM,'IS Proforma'!$C:$C,'Opex Departments'!$C147,'IS Proforma'!$A:$A,'Opex Departments'!$A147)</f>
        <v>20509.62486</v>
      </c>
      <c r="CB147" s="116">
        <f>SUMIFS('IS Proforma'!CN:CN,'IS Proforma'!$C:$C,'Opex Departments'!$C147,'IS Proforma'!$A:$A,'Opex Departments'!$A147)</f>
        <v>20562.17299</v>
      </c>
      <c r="CC147" s="116">
        <f>SUMIFS('IS Proforma'!CO:CO,'IS Proforma'!$C:$C,'Opex Departments'!$C147,'IS Proforma'!$A:$A,'Opex Departments'!$A147)</f>
        <v>20614.98385</v>
      </c>
      <c r="CD147" s="116">
        <f>SUMIFS('IS Proforma'!CP:CP,'IS Proforma'!$C:$C,'Opex Departments'!$C147,'IS Proforma'!$A:$A,'Opex Departments'!$A147)</f>
        <v>20668.05877</v>
      </c>
      <c r="CE147" s="116">
        <f>SUMIFS('IS Proforma'!CQ:CQ,'IS Proforma'!$C:$C,'Opex Departments'!$C147,'IS Proforma'!$A:$A,'Opex Departments'!$A147)</f>
        <v>20721.39907</v>
      </c>
      <c r="CF147" s="116">
        <f>SUMIFS('IS Proforma'!CR:CR,'IS Proforma'!$C:$C,'Opex Departments'!$C147,'IS Proforma'!$A:$A,'Opex Departments'!$A147)</f>
        <v>20775.00606</v>
      </c>
      <c r="CG147" s="116">
        <f>SUMIFS('IS Proforma'!CS:CS,'IS Proforma'!$C:$C,'Opex Departments'!$C147,'IS Proforma'!$A:$A,'Opex Departments'!$A147)</f>
        <v>20828.88109</v>
      </c>
      <c r="CH147" s="116">
        <f>SUMIFS('IS Proforma'!CT:CT,'IS Proforma'!$C:$C,'Opex Departments'!$C147,'IS Proforma'!$A:$A,'Opex Departments'!$A147)</f>
        <v>20883.0255</v>
      </c>
      <c r="CI147" s="116">
        <f>SUMIFS('IS Proforma'!CU:CU,'IS Proforma'!$C:$C,'Opex Departments'!$C147,'IS Proforma'!$A:$A,'Opex Departments'!$A147)</f>
        <v>20937.44063</v>
      </c>
    </row>
    <row r="148" ht="15.75" customHeight="1" outlineLevel="1">
      <c r="A148" s="1" t="s">
        <v>174</v>
      </c>
      <c r="B148" s="91" t="s">
        <v>66</v>
      </c>
      <c r="C148" s="132" t="s">
        <v>237</v>
      </c>
      <c r="D148" s="116">
        <f>SUMIFS('IS Proforma'!P:P,'IS Proforma'!$C:$C,'Opex Departments'!$C148,'IS Proforma'!$A:$A,'Opex Departments'!$A148)</f>
        <v>1775</v>
      </c>
      <c r="E148" s="116">
        <f>SUMIFS('IS Proforma'!Q:Q,'IS Proforma'!$C:$C,'Opex Departments'!$C148,'IS Proforma'!$A:$A,'Opex Departments'!$A148)</f>
        <v>1031</v>
      </c>
      <c r="F148" s="116">
        <f>SUMIFS('IS Proforma'!R:R,'IS Proforma'!$C:$C,'Opex Departments'!$C148,'IS Proforma'!$A:$A,'Opex Departments'!$A148)</f>
        <v>2350</v>
      </c>
      <c r="G148" s="116">
        <f>SUMIFS('IS Proforma'!S:S,'IS Proforma'!$C:$C,'Opex Departments'!$C148,'IS Proforma'!$A:$A,'Opex Departments'!$A148)</f>
        <v>1749</v>
      </c>
      <c r="H148" s="116">
        <f>SUMIFS('IS Proforma'!T:T,'IS Proforma'!$C:$C,'Opex Departments'!$C148,'IS Proforma'!$A:$A,'Opex Departments'!$A148)</f>
        <v>1863</v>
      </c>
      <c r="I148" s="116">
        <f>SUMIFS('IS Proforma'!U:U,'IS Proforma'!$C:$C,'Opex Departments'!$C148,'IS Proforma'!$A:$A,'Opex Departments'!$A148)</f>
        <v>2282</v>
      </c>
      <c r="J148" s="116">
        <f>SUMIFS('IS Proforma'!V:V,'IS Proforma'!$C:$C,'Opex Departments'!$C148,'IS Proforma'!$A:$A,'Opex Departments'!$A148)</f>
        <v>2042</v>
      </c>
      <c r="K148" s="116">
        <f>SUMIFS('IS Proforma'!W:W,'IS Proforma'!$C:$C,'Opex Departments'!$C148,'IS Proforma'!$A:$A,'Opex Departments'!$A148)</f>
        <v>1115</v>
      </c>
      <c r="L148" s="116">
        <f>SUMIFS('IS Proforma'!X:X,'IS Proforma'!$C:$C,'Opex Departments'!$C148,'IS Proforma'!$A:$A,'Opex Departments'!$A148)</f>
        <v>1729</v>
      </c>
      <c r="M148" s="116">
        <f>SUMIFS('IS Proforma'!Y:Y,'IS Proforma'!$C:$C,'Opex Departments'!$C148,'IS Proforma'!$A:$A,'Opex Departments'!$A148)</f>
        <v>1067</v>
      </c>
      <c r="N148" s="116">
        <f>SUMIFS('IS Proforma'!Z:Z,'IS Proforma'!$C:$C,'Opex Departments'!$C148,'IS Proforma'!$A:$A,'Opex Departments'!$A148)</f>
        <v>2124</v>
      </c>
      <c r="O148" s="116">
        <f>SUMIFS('IS Proforma'!AA:AA,'IS Proforma'!$C:$C,'Opex Departments'!$C148,'IS Proforma'!$A:$A,'Opex Departments'!$A148)</f>
        <v>1382</v>
      </c>
      <c r="P148" s="116">
        <f>SUMIFS('IS Proforma'!AB:AB,'IS Proforma'!$C:$C,'Opex Departments'!$C148,'IS Proforma'!$A:$A,'Opex Departments'!$A148)</f>
        <v>1997</v>
      </c>
      <c r="Q148" s="116">
        <f>SUMIFS('IS Proforma'!AC:AC,'IS Proforma'!$C:$C,'Opex Departments'!$C148,'IS Proforma'!$A:$A,'Opex Departments'!$A148)</f>
        <v>1273</v>
      </c>
      <c r="R148" s="116">
        <f>SUMIFS('IS Proforma'!AD:AD,'IS Proforma'!$C:$C,'Opex Departments'!$C148,'IS Proforma'!$A:$A,'Opex Departments'!$A148)</f>
        <v>1812</v>
      </c>
      <c r="S148" s="116">
        <f>SUMIFS('IS Proforma'!AE:AE,'IS Proforma'!$C:$C,'Opex Departments'!$C148,'IS Proforma'!$A:$A,'Opex Departments'!$A148)</f>
        <v>1629</v>
      </c>
      <c r="T148" s="116">
        <f>SUMIFS('IS Proforma'!AF:AF,'IS Proforma'!$C:$C,'Opex Departments'!$C148,'IS Proforma'!$A:$A,'Opex Departments'!$A148)</f>
        <v>2242</v>
      </c>
      <c r="U148" s="116">
        <f>SUMIFS('IS Proforma'!AG:AG,'IS Proforma'!$C:$C,'Opex Departments'!$C148,'IS Proforma'!$A:$A,'Opex Departments'!$A148)</f>
        <v>2283</v>
      </c>
      <c r="V148" s="116">
        <f>SUMIFS('IS Proforma'!AH:AH,'IS Proforma'!$C:$C,'Opex Departments'!$C148,'IS Proforma'!$A:$A,'Opex Departments'!$A148)</f>
        <v>1680</v>
      </c>
      <c r="W148" s="116">
        <f>SUMIFS('IS Proforma'!AI:AI,'IS Proforma'!$C:$C,'Opex Departments'!$C148,'IS Proforma'!$A:$A,'Opex Departments'!$A148)</f>
        <v>2173</v>
      </c>
      <c r="X148" s="116">
        <f>SUMIFS('IS Proforma'!AJ:AJ,'IS Proforma'!$C:$C,'Opex Departments'!$C148,'IS Proforma'!$A:$A,'Opex Departments'!$A148)</f>
        <v>1530</v>
      </c>
      <c r="Y148" s="116">
        <f>SUMIFS('IS Proforma'!AK:AK,'IS Proforma'!$C:$C,'Opex Departments'!$C148,'IS Proforma'!$A:$A,'Opex Departments'!$A148)</f>
        <v>2497</v>
      </c>
      <c r="Z148" s="116">
        <f>SUMIFS('IS Proforma'!AL:AL,'IS Proforma'!$C:$C,'Opex Departments'!$C148,'IS Proforma'!$A:$A,'Opex Departments'!$A148)</f>
        <v>2232</v>
      </c>
      <c r="AA148" s="116">
        <f>SUMIFS('IS Proforma'!AM:AM,'IS Proforma'!$C:$C,'Opex Departments'!$C148,'IS Proforma'!$A:$A,'Opex Departments'!$A148)</f>
        <v>2350.14</v>
      </c>
      <c r="AB148" s="116">
        <f>SUMIFS('IS Proforma'!AN:AN,'IS Proforma'!$C:$C,'Opex Departments'!$C148,'IS Proforma'!$A:$A,'Opex Departments'!$A148)</f>
        <v>2367.8157</v>
      </c>
      <c r="AC148" s="116">
        <f>SUMIFS('IS Proforma'!AO:AO,'IS Proforma'!$C:$C,'Opex Departments'!$C148,'IS Proforma'!$A:$A,'Opex Departments'!$A148)</f>
        <v>2385.579779</v>
      </c>
      <c r="AD148" s="116">
        <f>SUMIFS('IS Proforma'!AP:AP,'IS Proforma'!$C:$C,'Opex Departments'!$C148,'IS Proforma'!$A:$A,'Opex Departments'!$A148)</f>
        <v>2403.432677</v>
      </c>
      <c r="AE148" s="116">
        <f>SUMIFS('IS Proforma'!AQ:AQ,'IS Proforma'!$C:$C,'Opex Departments'!$C148,'IS Proforma'!$A:$A,'Opex Departments'!$A148)</f>
        <v>2421.374841</v>
      </c>
      <c r="AF148" s="116">
        <f>SUMIFS('IS Proforma'!AR:AR,'IS Proforma'!$C:$C,'Opex Departments'!$C148,'IS Proforma'!$A:$A,'Opex Departments'!$A148)</f>
        <v>2439.406715</v>
      </c>
      <c r="AG148" s="116">
        <f>SUMIFS('IS Proforma'!AS:AS,'IS Proforma'!$C:$C,'Opex Departments'!$C148,'IS Proforma'!$A:$A,'Opex Departments'!$A148)</f>
        <v>2457.528749</v>
      </c>
      <c r="AH148" s="116">
        <f>SUMIFS('IS Proforma'!AT:AT,'IS Proforma'!$C:$C,'Opex Departments'!$C148,'IS Proforma'!$A:$A,'Opex Departments'!$A148)</f>
        <v>2475.741392</v>
      </c>
      <c r="AI148" s="116">
        <f>SUMIFS('IS Proforma'!AU:AU,'IS Proforma'!$C:$C,'Opex Departments'!$C148,'IS Proforma'!$A:$A,'Opex Departments'!$A148)</f>
        <v>2494.045099</v>
      </c>
      <c r="AJ148" s="116">
        <f>SUMIFS('IS Proforma'!AV:AV,'IS Proforma'!$C:$C,'Opex Departments'!$C148,'IS Proforma'!$A:$A,'Opex Departments'!$A148)</f>
        <v>2512.440325</v>
      </c>
      <c r="AK148" s="116">
        <f>SUMIFS('IS Proforma'!AW:AW,'IS Proforma'!$C:$C,'Opex Departments'!$C148,'IS Proforma'!$A:$A,'Opex Departments'!$A148)</f>
        <v>2530.927526</v>
      </c>
      <c r="AL148" s="116">
        <f>SUMIFS('IS Proforma'!AX:AX,'IS Proforma'!$C:$C,'Opex Departments'!$C148,'IS Proforma'!$A:$A,'Opex Departments'!$A148)</f>
        <v>2549.507164</v>
      </c>
      <c r="AM148" s="116">
        <f>SUMIFS('IS Proforma'!AY:AY,'IS Proforma'!$C:$C,'Opex Departments'!$C148,'IS Proforma'!$A:$A,'Opex Departments'!$A148)</f>
        <v>2568.1797</v>
      </c>
      <c r="AN148" s="116">
        <f>SUMIFS('IS Proforma'!AZ:AZ,'IS Proforma'!$C:$C,'Opex Departments'!$C148,'IS Proforma'!$A:$A,'Opex Departments'!$A148)</f>
        <v>2581.020598</v>
      </c>
      <c r="AO148" s="116">
        <f>SUMIFS('IS Proforma'!BA:BA,'IS Proforma'!$C:$C,'Opex Departments'!$C148,'IS Proforma'!$A:$A,'Opex Departments'!$A148)</f>
        <v>2593.925701</v>
      </c>
      <c r="AP148" s="116">
        <f>SUMIFS('IS Proforma'!BB:BB,'IS Proforma'!$C:$C,'Opex Departments'!$C148,'IS Proforma'!$A:$A,'Opex Departments'!$A148)</f>
        <v>2606.89533</v>
      </c>
      <c r="AQ148" s="116">
        <f>SUMIFS('IS Proforma'!BC:BC,'IS Proforma'!$C:$C,'Opex Departments'!$C148,'IS Proforma'!$A:$A,'Opex Departments'!$A148)</f>
        <v>2619.929806</v>
      </c>
      <c r="AR148" s="116">
        <f>SUMIFS('IS Proforma'!BD:BD,'IS Proforma'!$C:$C,'Opex Departments'!$C148,'IS Proforma'!$A:$A,'Opex Departments'!$A148)</f>
        <v>2633.029456</v>
      </c>
      <c r="AS148" s="116">
        <f>SUMIFS('IS Proforma'!BE:BE,'IS Proforma'!$C:$C,'Opex Departments'!$C148,'IS Proforma'!$A:$A,'Opex Departments'!$A148)</f>
        <v>2646.194603</v>
      </c>
      <c r="AT148" s="116">
        <f>SUMIFS('IS Proforma'!BF:BF,'IS Proforma'!$C:$C,'Opex Departments'!$C148,'IS Proforma'!$A:$A,'Opex Departments'!$A148)</f>
        <v>2659.425576</v>
      </c>
      <c r="AU148" s="116">
        <f>SUMIFS('IS Proforma'!BG:BG,'IS Proforma'!$C:$C,'Opex Departments'!$C148,'IS Proforma'!$A:$A,'Opex Departments'!$A148)</f>
        <v>2672.722704</v>
      </c>
      <c r="AV148" s="116">
        <f>SUMIFS('IS Proforma'!BH:BH,'IS Proforma'!$C:$C,'Opex Departments'!$C148,'IS Proforma'!$A:$A,'Opex Departments'!$A148)</f>
        <v>2686.086317</v>
      </c>
      <c r="AW148" s="116">
        <f>SUMIFS('IS Proforma'!BI:BI,'IS Proforma'!$C:$C,'Opex Departments'!$C148,'IS Proforma'!$A:$A,'Opex Departments'!$A148)</f>
        <v>2699.516749</v>
      </c>
      <c r="AX148" s="116">
        <f>SUMIFS('IS Proforma'!BJ:BJ,'IS Proforma'!$C:$C,'Opex Departments'!$C148,'IS Proforma'!$A:$A,'Opex Departments'!$A148)</f>
        <v>2713.014333</v>
      </c>
      <c r="AY148" s="116">
        <f>SUMIFS('IS Proforma'!BK:BK,'IS Proforma'!$C:$C,'Opex Departments'!$C148,'IS Proforma'!$A:$A,'Opex Departments'!$A148)</f>
        <v>2726.579404</v>
      </c>
      <c r="AZ148" s="116">
        <f>SUMIFS('IS Proforma'!BL:BL,'IS Proforma'!$C:$C,'Opex Departments'!$C148,'IS Proforma'!$A:$A,'Opex Departments'!$A148)</f>
        <v>2740.212301</v>
      </c>
      <c r="BA148" s="116">
        <f>SUMIFS('IS Proforma'!BM:BM,'IS Proforma'!$C:$C,'Opex Departments'!$C148,'IS Proforma'!$A:$A,'Opex Departments'!$A148)</f>
        <v>2753.913363</v>
      </c>
      <c r="BB148" s="116">
        <f>SUMIFS('IS Proforma'!BN:BN,'IS Proforma'!$C:$C,'Opex Departments'!$C148,'IS Proforma'!$A:$A,'Opex Departments'!$A148)</f>
        <v>2767.68293</v>
      </c>
      <c r="BC148" s="116">
        <f>SUMIFS('IS Proforma'!BO:BO,'IS Proforma'!$C:$C,'Opex Departments'!$C148,'IS Proforma'!$A:$A,'Opex Departments'!$A148)</f>
        <v>2781.521344</v>
      </c>
      <c r="BD148" s="116">
        <f>SUMIFS('IS Proforma'!BP:BP,'IS Proforma'!$C:$C,'Opex Departments'!$C148,'IS Proforma'!$A:$A,'Opex Departments'!$A148)</f>
        <v>2795.428951</v>
      </c>
      <c r="BE148" s="116">
        <f>SUMIFS('IS Proforma'!BQ:BQ,'IS Proforma'!$C:$C,'Opex Departments'!$C148,'IS Proforma'!$A:$A,'Opex Departments'!$A148)</f>
        <v>2809.406096</v>
      </c>
      <c r="BF148" s="116">
        <f>SUMIFS('IS Proforma'!BR:BR,'IS Proforma'!$C:$C,'Opex Departments'!$C148,'IS Proforma'!$A:$A,'Opex Departments'!$A148)</f>
        <v>2823.453126</v>
      </c>
      <c r="BG148" s="116">
        <f>SUMIFS('IS Proforma'!BS:BS,'IS Proforma'!$C:$C,'Opex Departments'!$C148,'IS Proforma'!$A:$A,'Opex Departments'!$A148)</f>
        <v>2837.570392</v>
      </c>
      <c r="BH148" s="116">
        <f>SUMIFS('IS Proforma'!BT:BT,'IS Proforma'!$C:$C,'Opex Departments'!$C148,'IS Proforma'!$A:$A,'Opex Departments'!$A148)</f>
        <v>2851.758244</v>
      </c>
      <c r="BI148" s="116">
        <f>SUMIFS('IS Proforma'!BU:BU,'IS Proforma'!$C:$C,'Opex Departments'!$C148,'IS Proforma'!$A:$A,'Opex Departments'!$A148)</f>
        <v>2866.017035</v>
      </c>
      <c r="BJ148" s="116">
        <f>SUMIFS('IS Proforma'!BV:BV,'IS Proforma'!$C:$C,'Opex Departments'!$C148,'IS Proforma'!$A:$A,'Opex Departments'!$A148)</f>
        <v>2880.34712</v>
      </c>
      <c r="BK148" s="116">
        <f>SUMIFS('IS Proforma'!BW:BW,'IS Proforma'!$C:$C,'Opex Departments'!$C148,'IS Proforma'!$A:$A,'Opex Departments'!$A148)</f>
        <v>2894.748856</v>
      </c>
      <c r="BL148" s="116">
        <f>SUMIFS('IS Proforma'!BX:BX,'IS Proforma'!$C:$C,'Opex Departments'!$C148,'IS Proforma'!$A:$A,'Opex Departments'!$A148)</f>
        <v>2909.2226</v>
      </c>
      <c r="BM148" s="116">
        <f>SUMIFS('IS Proforma'!BY:BY,'IS Proforma'!$C:$C,'Opex Departments'!$C148,'IS Proforma'!$A:$A,'Opex Departments'!$A148)</f>
        <v>2923.768713</v>
      </c>
      <c r="BN148" s="116">
        <f>SUMIFS('IS Proforma'!BZ:BZ,'IS Proforma'!$C:$C,'Opex Departments'!$C148,'IS Proforma'!$A:$A,'Opex Departments'!$A148)</f>
        <v>2938.387557</v>
      </c>
      <c r="BO148" s="116">
        <f>SUMIFS('IS Proforma'!CA:CA,'IS Proforma'!$C:$C,'Opex Departments'!$C148,'IS Proforma'!$A:$A,'Opex Departments'!$A148)</f>
        <v>2953.079494</v>
      </c>
      <c r="BP148" s="116">
        <f>SUMIFS('IS Proforma'!CB:CB,'IS Proforma'!$C:$C,'Opex Departments'!$C148,'IS Proforma'!$A:$A,'Opex Departments'!$A148)</f>
        <v>2967.844892</v>
      </c>
      <c r="BQ148" s="116">
        <f>SUMIFS('IS Proforma'!CC:CC,'IS Proforma'!$C:$C,'Opex Departments'!$C148,'IS Proforma'!$A:$A,'Opex Departments'!$A148)</f>
        <v>2982.684116</v>
      </c>
      <c r="BR148" s="116">
        <f>SUMIFS('IS Proforma'!CD:CD,'IS Proforma'!$C:$C,'Opex Departments'!$C148,'IS Proforma'!$A:$A,'Opex Departments'!$A148)</f>
        <v>2997.597537</v>
      </c>
      <c r="BS148" s="116">
        <f>SUMIFS('IS Proforma'!CE:CE,'IS Proforma'!$C:$C,'Opex Departments'!$C148,'IS Proforma'!$A:$A,'Opex Departments'!$A148)</f>
        <v>3012.585525</v>
      </c>
      <c r="BT148" s="116">
        <f>SUMIFS('IS Proforma'!CF:CF,'IS Proforma'!$C:$C,'Opex Departments'!$C148,'IS Proforma'!$A:$A,'Opex Departments'!$A148)</f>
        <v>3027.648452</v>
      </c>
      <c r="BU148" s="116">
        <f>SUMIFS('IS Proforma'!CG:CG,'IS Proforma'!$C:$C,'Opex Departments'!$C148,'IS Proforma'!$A:$A,'Opex Departments'!$A148)</f>
        <v>3042.786694</v>
      </c>
      <c r="BV148" s="116">
        <f>SUMIFS('IS Proforma'!CH:CH,'IS Proforma'!$C:$C,'Opex Departments'!$C148,'IS Proforma'!$A:$A,'Opex Departments'!$A148)</f>
        <v>3058.000628</v>
      </c>
      <c r="BW148" s="116">
        <f>SUMIFS('IS Proforma'!CI:CI,'IS Proforma'!$C:$C,'Opex Departments'!$C148,'IS Proforma'!$A:$A,'Opex Departments'!$A148)</f>
        <v>3073.290631</v>
      </c>
      <c r="BX148" s="116">
        <f>SUMIFS('IS Proforma'!CJ:CJ,'IS Proforma'!$C:$C,'Opex Departments'!$C148,'IS Proforma'!$A:$A,'Opex Departments'!$A148)</f>
        <v>3088.657084</v>
      </c>
      <c r="BY148" s="116">
        <f>SUMIFS('IS Proforma'!CK:CK,'IS Proforma'!$C:$C,'Opex Departments'!$C148,'IS Proforma'!$A:$A,'Opex Departments'!$A148)</f>
        <v>3104.10037</v>
      </c>
      <c r="BZ148" s="116">
        <f>SUMIFS('IS Proforma'!CL:CL,'IS Proforma'!$C:$C,'Opex Departments'!$C148,'IS Proforma'!$A:$A,'Opex Departments'!$A148)</f>
        <v>3119.620871</v>
      </c>
      <c r="CA148" s="116">
        <f>SUMIFS('IS Proforma'!CM:CM,'IS Proforma'!$C:$C,'Opex Departments'!$C148,'IS Proforma'!$A:$A,'Opex Departments'!$A148)</f>
        <v>3135.218976</v>
      </c>
      <c r="CB148" s="116">
        <f>SUMIFS('IS Proforma'!CN:CN,'IS Proforma'!$C:$C,'Opex Departments'!$C148,'IS Proforma'!$A:$A,'Opex Departments'!$A148)</f>
        <v>3150.895071</v>
      </c>
      <c r="CC148" s="116">
        <f>SUMIFS('IS Proforma'!CO:CO,'IS Proforma'!$C:$C,'Opex Departments'!$C148,'IS Proforma'!$A:$A,'Opex Departments'!$A148)</f>
        <v>3166.649546</v>
      </c>
      <c r="CD148" s="116">
        <f>SUMIFS('IS Proforma'!CP:CP,'IS Proforma'!$C:$C,'Opex Departments'!$C148,'IS Proforma'!$A:$A,'Opex Departments'!$A148)</f>
        <v>3182.482794</v>
      </c>
      <c r="CE148" s="116">
        <f>SUMIFS('IS Proforma'!CQ:CQ,'IS Proforma'!$C:$C,'Opex Departments'!$C148,'IS Proforma'!$A:$A,'Opex Departments'!$A148)</f>
        <v>3198.395208</v>
      </c>
      <c r="CF148" s="116">
        <f>SUMIFS('IS Proforma'!CR:CR,'IS Proforma'!$C:$C,'Opex Departments'!$C148,'IS Proforma'!$A:$A,'Opex Departments'!$A148)</f>
        <v>3214.387184</v>
      </c>
      <c r="CG148" s="116">
        <f>SUMIFS('IS Proforma'!CS:CS,'IS Proforma'!$C:$C,'Opex Departments'!$C148,'IS Proforma'!$A:$A,'Opex Departments'!$A148)</f>
        <v>3230.45912</v>
      </c>
      <c r="CH148" s="116">
        <f>SUMIFS('IS Proforma'!CT:CT,'IS Proforma'!$C:$C,'Opex Departments'!$C148,'IS Proforma'!$A:$A,'Opex Departments'!$A148)</f>
        <v>3246.611415</v>
      </c>
      <c r="CI148" s="116">
        <f>SUMIFS('IS Proforma'!CU:CU,'IS Proforma'!$C:$C,'Opex Departments'!$C148,'IS Proforma'!$A:$A,'Opex Departments'!$A148)</f>
        <v>3262.844472</v>
      </c>
    </row>
    <row r="149" ht="15.75" customHeight="1" outlineLevel="1">
      <c r="A149" s="1" t="s">
        <v>174</v>
      </c>
      <c r="B149" s="91" t="s">
        <v>178</v>
      </c>
      <c r="C149" s="132" t="s">
        <v>238</v>
      </c>
      <c r="D149" s="116">
        <f>SUMIFS('IS Proforma'!P:P,'IS Proforma'!$C:$C,'Opex Departments'!$C149,'IS Proforma'!$A:$A,'Opex Departments'!$A149)</f>
        <v>2079</v>
      </c>
      <c r="E149" s="116">
        <f>SUMIFS('IS Proforma'!Q:Q,'IS Proforma'!$C:$C,'Opex Departments'!$C149,'IS Proforma'!$A:$A,'Opex Departments'!$A149)</f>
        <v>2127</v>
      </c>
      <c r="F149" s="116">
        <f>SUMIFS('IS Proforma'!R:R,'IS Proforma'!$C:$C,'Opex Departments'!$C149,'IS Proforma'!$A:$A,'Opex Departments'!$A149)</f>
        <v>2229</v>
      </c>
      <c r="G149" s="116">
        <f>SUMIFS('IS Proforma'!S:S,'IS Proforma'!$C:$C,'Opex Departments'!$C149,'IS Proforma'!$A:$A,'Opex Departments'!$A149)</f>
        <v>2473</v>
      </c>
      <c r="H149" s="116">
        <f>SUMIFS('IS Proforma'!T:T,'IS Proforma'!$C:$C,'Opex Departments'!$C149,'IS Proforma'!$A:$A,'Opex Departments'!$A149)</f>
        <v>2084</v>
      </c>
      <c r="I149" s="116">
        <f>SUMIFS('IS Proforma'!U:U,'IS Proforma'!$C:$C,'Opex Departments'!$C149,'IS Proforma'!$A:$A,'Opex Departments'!$A149)</f>
        <v>1108</v>
      </c>
      <c r="J149" s="116">
        <f>SUMIFS('IS Proforma'!V:V,'IS Proforma'!$C:$C,'Opex Departments'!$C149,'IS Proforma'!$A:$A,'Opex Departments'!$A149)</f>
        <v>2304</v>
      </c>
      <c r="K149" s="116">
        <f>SUMIFS('IS Proforma'!W:W,'IS Proforma'!$C:$C,'Opex Departments'!$C149,'IS Proforma'!$A:$A,'Opex Departments'!$A149)</f>
        <v>1013</v>
      </c>
      <c r="L149" s="116">
        <f>SUMIFS('IS Proforma'!X:X,'IS Proforma'!$C:$C,'Opex Departments'!$C149,'IS Proforma'!$A:$A,'Opex Departments'!$A149)</f>
        <v>1838</v>
      </c>
      <c r="M149" s="116">
        <f>SUMIFS('IS Proforma'!Y:Y,'IS Proforma'!$C:$C,'Opex Departments'!$C149,'IS Proforma'!$A:$A,'Opex Departments'!$A149)</f>
        <v>1803</v>
      </c>
      <c r="N149" s="116">
        <f>SUMIFS('IS Proforma'!Z:Z,'IS Proforma'!$C:$C,'Opex Departments'!$C149,'IS Proforma'!$A:$A,'Opex Departments'!$A149)</f>
        <v>1359</v>
      </c>
      <c r="O149" s="116">
        <f>SUMIFS('IS Proforma'!AA:AA,'IS Proforma'!$C:$C,'Opex Departments'!$C149,'IS Proforma'!$A:$A,'Opex Departments'!$A149)</f>
        <v>1587</v>
      </c>
      <c r="P149" s="116">
        <f>SUMIFS('IS Proforma'!AB:AB,'IS Proforma'!$C:$C,'Opex Departments'!$C149,'IS Proforma'!$A:$A,'Opex Departments'!$A149)</f>
        <v>1747</v>
      </c>
      <c r="Q149" s="116">
        <f>SUMIFS('IS Proforma'!AC:AC,'IS Proforma'!$C:$C,'Opex Departments'!$C149,'IS Proforma'!$A:$A,'Opex Departments'!$A149)</f>
        <v>2224</v>
      </c>
      <c r="R149" s="116">
        <f>SUMIFS('IS Proforma'!AD:AD,'IS Proforma'!$C:$C,'Opex Departments'!$C149,'IS Proforma'!$A:$A,'Opex Departments'!$A149)</f>
        <v>2108</v>
      </c>
      <c r="S149" s="116">
        <f>SUMIFS('IS Proforma'!AE:AE,'IS Proforma'!$C:$C,'Opex Departments'!$C149,'IS Proforma'!$A:$A,'Opex Departments'!$A149)</f>
        <v>1305</v>
      </c>
      <c r="T149" s="116">
        <f>SUMIFS('IS Proforma'!AF:AF,'IS Proforma'!$C:$C,'Opex Departments'!$C149,'IS Proforma'!$A:$A,'Opex Departments'!$A149)</f>
        <v>2169</v>
      </c>
      <c r="U149" s="116">
        <f>SUMIFS('IS Proforma'!AG:AG,'IS Proforma'!$C:$C,'Opex Departments'!$C149,'IS Proforma'!$A:$A,'Opex Departments'!$A149)</f>
        <v>1093</v>
      </c>
      <c r="V149" s="116">
        <f>SUMIFS('IS Proforma'!AH:AH,'IS Proforma'!$C:$C,'Opex Departments'!$C149,'IS Proforma'!$A:$A,'Opex Departments'!$A149)</f>
        <v>1197</v>
      </c>
      <c r="W149" s="116">
        <f>SUMIFS('IS Proforma'!AI:AI,'IS Proforma'!$C:$C,'Opex Departments'!$C149,'IS Proforma'!$A:$A,'Opex Departments'!$A149)</f>
        <v>1714</v>
      </c>
      <c r="X149" s="116">
        <f>SUMIFS('IS Proforma'!AJ:AJ,'IS Proforma'!$C:$C,'Opex Departments'!$C149,'IS Proforma'!$A:$A,'Opex Departments'!$A149)</f>
        <v>1823</v>
      </c>
      <c r="Y149" s="116">
        <f>SUMIFS('IS Proforma'!AK:AK,'IS Proforma'!$C:$C,'Opex Departments'!$C149,'IS Proforma'!$A:$A,'Opex Departments'!$A149)</f>
        <v>1151</v>
      </c>
      <c r="Z149" s="116">
        <f>SUMIFS('IS Proforma'!AL:AL,'IS Proforma'!$C:$C,'Opex Departments'!$C149,'IS Proforma'!$A:$A,'Opex Departments'!$A149)</f>
        <v>1756</v>
      </c>
      <c r="AA149" s="116">
        <f>SUMIFS('IS Proforma'!AM:AM,'IS Proforma'!$C:$C,'Opex Departments'!$C149,'IS Proforma'!$A:$A,'Opex Departments'!$A149)</f>
        <v>1358.88</v>
      </c>
      <c r="AB149" s="116">
        <f>SUMIFS('IS Proforma'!AN:AN,'IS Proforma'!$C:$C,'Opex Departments'!$C149,'IS Proforma'!$A:$A,'Opex Departments'!$A149)</f>
        <v>1358.88</v>
      </c>
      <c r="AC149" s="116">
        <f>SUMIFS('IS Proforma'!AO:AO,'IS Proforma'!$C:$C,'Opex Departments'!$C149,'IS Proforma'!$A:$A,'Opex Departments'!$A149)</f>
        <v>1358.88</v>
      </c>
      <c r="AD149" s="116">
        <f>SUMIFS('IS Proforma'!AP:AP,'IS Proforma'!$C:$C,'Opex Departments'!$C149,'IS Proforma'!$A:$A,'Opex Departments'!$A149)</f>
        <v>1358.88</v>
      </c>
      <c r="AE149" s="116">
        <f>SUMIFS('IS Proforma'!AQ:AQ,'IS Proforma'!$C:$C,'Opex Departments'!$C149,'IS Proforma'!$A:$A,'Opex Departments'!$A149)</f>
        <v>1358.88</v>
      </c>
      <c r="AF149" s="116">
        <f>SUMIFS('IS Proforma'!AR:AR,'IS Proforma'!$C:$C,'Opex Departments'!$C149,'IS Proforma'!$A:$A,'Opex Departments'!$A149)</f>
        <v>1358.88</v>
      </c>
      <c r="AG149" s="116">
        <f>SUMIFS('IS Proforma'!AS:AS,'IS Proforma'!$C:$C,'Opex Departments'!$C149,'IS Proforma'!$A:$A,'Opex Departments'!$A149)</f>
        <v>1358.88</v>
      </c>
      <c r="AH149" s="116">
        <f>SUMIFS('IS Proforma'!AT:AT,'IS Proforma'!$C:$C,'Opex Departments'!$C149,'IS Proforma'!$A:$A,'Opex Departments'!$A149)</f>
        <v>1358.88</v>
      </c>
      <c r="AI149" s="116">
        <f>SUMIFS('IS Proforma'!AU:AU,'IS Proforma'!$C:$C,'Opex Departments'!$C149,'IS Proforma'!$A:$A,'Opex Departments'!$A149)</f>
        <v>1358.88</v>
      </c>
      <c r="AJ149" s="116">
        <f>SUMIFS('IS Proforma'!AV:AV,'IS Proforma'!$C:$C,'Opex Departments'!$C149,'IS Proforma'!$A:$A,'Opex Departments'!$A149)</f>
        <v>1358.88</v>
      </c>
      <c r="AK149" s="116">
        <f>SUMIFS('IS Proforma'!AW:AW,'IS Proforma'!$C:$C,'Opex Departments'!$C149,'IS Proforma'!$A:$A,'Opex Departments'!$A149)</f>
        <v>1358.88</v>
      </c>
      <c r="AL149" s="116">
        <f>SUMIFS('IS Proforma'!AX:AX,'IS Proforma'!$C:$C,'Opex Departments'!$C149,'IS Proforma'!$A:$A,'Opex Departments'!$A149)</f>
        <v>1358.88</v>
      </c>
      <c r="AM149" s="116">
        <f>SUMIFS('IS Proforma'!AY:AY,'IS Proforma'!$C:$C,'Opex Departments'!$C149,'IS Proforma'!$A:$A,'Opex Departments'!$A149)</f>
        <v>1358.88</v>
      </c>
      <c r="AN149" s="116">
        <f>SUMIFS('IS Proforma'!AZ:AZ,'IS Proforma'!$C:$C,'Opex Departments'!$C149,'IS Proforma'!$A:$A,'Opex Departments'!$A149)</f>
        <v>2783.88</v>
      </c>
      <c r="AO149" s="116">
        <f>SUMIFS('IS Proforma'!BA:BA,'IS Proforma'!$C:$C,'Opex Departments'!$C149,'IS Proforma'!$A:$A,'Opex Departments'!$A149)</f>
        <v>2783.88</v>
      </c>
      <c r="AP149" s="116">
        <f>SUMIFS('IS Proforma'!BB:BB,'IS Proforma'!$C:$C,'Opex Departments'!$C149,'IS Proforma'!$A:$A,'Opex Departments'!$A149)</f>
        <v>2783.88</v>
      </c>
      <c r="AQ149" s="116">
        <f>SUMIFS('IS Proforma'!BC:BC,'IS Proforma'!$C:$C,'Opex Departments'!$C149,'IS Proforma'!$A:$A,'Opex Departments'!$A149)</f>
        <v>2783.88</v>
      </c>
      <c r="AR149" s="116">
        <f>SUMIFS('IS Proforma'!BD:BD,'IS Proforma'!$C:$C,'Opex Departments'!$C149,'IS Proforma'!$A:$A,'Opex Departments'!$A149)</f>
        <v>2783.88</v>
      </c>
      <c r="AS149" s="116">
        <f>SUMIFS('IS Proforma'!BE:BE,'IS Proforma'!$C:$C,'Opex Departments'!$C149,'IS Proforma'!$A:$A,'Opex Departments'!$A149)</f>
        <v>2783.88</v>
      </c>
      <c r="AT149" s="116">
        <f>SUMIFS('IS Proforma'!BF:BF,'IS Proforma'!$C:$C,'Opex Departments'!$C149,'IS Proforma'!$A:$A,'Opex Departments'!$A149)</f>
        <v>4208.88</v>
      </c>
      <c r="AU149" s="116">
        <f>SUMIFS('IS Proforma'!BG:BG,'IS Proforma'!$C:$C,'Opex Departments'!$C149,'IS Proforma'!$A:$A,'Opex Departments'!$A149)</f>
        <v>4208.88</v>
      </c>
      <c r="AV149" s="116">
        <f>SUMIFS('IS Proforma'!BH:BH,'IS Proforma'!$C:$C,'Opex Departments'!$C149,'IS Proforma'!$A:$A,'Opex Departments'!$A149)</f>
        <v>4208.88</v>
      </c>
      <c r="AW149" s="116">
        <f>SUMIFS('IS Proforma'!BI:BI,'IS Proforma'!$C:$C,'Opex Departments'!$C149,'IS Proforma'!$A:$A,'Opex Departments'!$A149)</f>
        <v>4208.88</v>
      </c>
      <c r="AX149" s="116">
        <f>SUMIFS('IS Proforma'!BJ:BJ,'IS Proforma'!$C:$C,'Opex Departments'!$C149,'IS Proforma'!$A:$A,'Opex Departments'!$A149)</f>
        <v>4208.88</v>
      </c>
      <c r="AY149" s="116">
        <f>SUMIFS('IS Proforma'!BK:BK,'IS Proforma'!$C:$C,'Opex Departments'!$C149,'IS Proforma'!$A:$A,'Opex Departments'!$A149)</f>
        <v>4208.88</v>
      </c>
      <c r="AZ149" s="116">
        <f>SUMIFS('IS Proforma'!BL:BL,'IS Proforma'!$C:$C,'Opex Departments'!$C149,'IS Proforma'!$A:$A,'Opex Departments'!$A149)</f>
        <v>5633.88</v>
      </c>
      <c r="BA149" s="116">
        <f>SUMIFS('IS Proforma'!BM:BM,'IS Proforma'!$C:$C,'Opex Departments'!$C149,'IS Proforma'!$A:$A,'Opex Departments'!$A149)</f>
        <v>5633.88</v>
      </c>
      <c r="BB149" s="116">
        <f>SUMIFS('IS Proforma'!BN:BN,'IS Proforma'!$C:$C,'Opex Departments'!$C149,'IS Proforma'!$A:$A,'Opex Departments'!$A149)</f>
        <v>5633.88</v>
      </c>
      <c r="BC149" s="116">
        <f>SUMIFS('IS Proforma'!BO:BO,'IS Proforma'!$C:$C,'Opex Departments'!$C149,'IS Proforma'!$A:$A,'Opex Departments'!$A149)</f>
        <v>5633.88</v>
      </c>
      <c r="BD149" s="116">
        <f>SUMIFS('IS Proforma'!BP:BP,'IS Proforma'!$C:$C,'Opex Departments'!$C149,'IS Proforma'!$A:$A,'Opex Departments'!$A149)</f>
        <v>5633.88</v>
      </c>
      <c r="BE149" s="116">
        <f>SUMIFS('IS Proforma'!BQ:BQ,'IS Proforma'!$C:$C,'Opex Departments'!$C149,'IS Proforma'!$A:$A,'Opex Departments'!$A149)</f>
        <v>5633.88</v>
      </c>
      <c r="BF149" s="116">
        <f>SUMIFS('IS Proforma'!BR:BR,'IS Proforma'!$C:$C,'Opex Departments'!$C149,'IS Proforma'!$A:$A,'Opex Departments'!$A149)</f>
        <v>7058.88</v>
      </c>
      <c r="BG149" s="116">
        <f>SUMIFS('IS Proforma'!BS:BS,'IS Proforma'!$C:$C,'Opex Departments'!$C149,'IS Proforma'!$A:$A,'Opex Departments'!$A149)</f>
        <v>7058.88</v>
      </c>
      <c r="BH149" s="116">
        <f>SUMIFS('IS Proforma'!BT:BT,'IS Proforma'!$C:$C,'Opex Departments'!$C149,'IS Proforma'!$A:$A,'Opex Departments'!$A149)</f>
        <v>7058.88</v>
      </c>
      <c r="BI149" s="116">
        <f>SUMIFS('IS Proforma'!BU:BU,'IS Proforma'!$C:$C,'Opex Departments'!$C149,'IS Proforma'!$A:$A,'Opex Departments'!$A149)</f>
        <v>7058.88</v>
      </c>
      <c r="BJ149" s="116">
        <f>SUMIFS('IS Proforma'!BV:BV,'IS Proforma'!$C:$C,'Opex Departments'!$C149,'IS Proforma'!$A:$A,'Opex Departments'!$A149)</f>
        <v>7058.88</v>
      </c>
      <c r="BK149" s="116">
        <f>SUMIFS('IS Proforma'!BW:BW,'IS Proforma'!$C:$C,'Opex Departments'!$C149,'IS Proforma'!$A:$A,'Opex Departments'!$A149)</f>
        <v>7058.88</v>
      </c>
      <c r="BL149" s="116">
        <f>SUMIFS('IS Proforma'!BX:BX,'IS Proforma'!$C:$C,'Opex Departments'!$C149,'IS Proforma'!$A:$A,'Opex Departments'!$A149)</f>
        <v>8483.88</v>
      </c>
      <c r="BM149" s="116">
        <f>SUMIFS('IS Proforma'!BY:BY,'IS Proforma'!$C:$C,'Opex Departments'!$C149,'IS Proforma'!$A:$A,'Opex Departments'!$A149)</f>
        <v>8483.88</v>
      </c>
      <c r="BN149" s="116">
        <f>SUMIFS('IS Proforma'!BZ:BZ,'IS Proforma'!$C:$C,'Opex Departments'!$C149,'IS Proforma'!$A:$A,'Opex Departments'!$A149)</f>
        <v>8483.88</v>
      </c>
      <c r="BO149" s="116">
        <f>SUMIFS('IS Proforma'!CA:CA,'IS Proforma'!$C:$C,'Opex Departments'!$C149,'IS Proforma'!$A:$A,'Opex Departments'!$A149)</f>
        <v>8483.88</v>
      </c>
      <c r="BP149" s="116">
        <f>SUMIFS('IS Proforma'!CB:CB,'IS Proforma'!$C:$C,'Opex Departments'!$C149,'IS Proforma'!$A:$A,'Opex Departments'!$A149)</f>
        <v>8483.88</v>
      </c>
      <c r="BQ149" s="116">
        <f>SUMIFS('IS Proforma'!CC:CC,'IS Proforma'!$C:$C,'Opex Departments'!$C149,'IS Proforma'!$A:$A,'Opex Departments'!$A149)</f>
        <v>8483.88</v>
      </c>
      <c r="BR149" s="116">
        <f>SUMIFS('IS Proforma'!CD:CD,'IS Proforma'!$C:$C,'Opex Departments'!$C149,'IS Proforma'!$A:$A,'Opex Departments'!$A149)</f>
        <v>9908.88</v>
      </c>
      <c r="BS149" s="116">
        <f>SUMIFS('IS Proforma'!CE:CE,'IS Proforma'!$C:$C,'Opex Departments'!$C149,'IS Proforma'!$A:$A,'Opex Departments'!$A149)</f>
        <v>9908.88</v>
      </c>
      <c r="BT149" s="116">
        <f>SUMIFS('IS Proforma'!CF:CF,'IS Proforma'!$C:$C,'Opex Departments'!$C149,'IS Proforma'!$A:$A,'Opex Departments'!$A149)</f>
        <v>9908.88</v>
      </c>
      <c r="BU149" s="116">
        <f>SUMIFS('IS Proforma'!CG:CG,'IS Proforma'!$C:$C,'Opex Departments'!$C149,'IS Proforma'!$A:$A,'Opex Departments'!$A149)</f>
        <v>9908.88</v>
      </c>
      <c r="BV149" s="116">
        <f>SUMIFS('IS Proforma'!CH:CH,'IS Proforma'!$C:$C,'Opex Departments'!$C149,'IS Proforma'!$A:$A,'Opex Departments'!$A149)</f>
        <v>9908.88</v>
      </c>
      <c r="BW149" s="116">
        <f>SUMIFS('IS Proforma'!CI:CI,'IS Proforma'!$C:$C,'Opex Departments'!$C149,'IS Proforma'!$A:$A,'Opex Departments'!$A149)</f>
        <v>9908.88</v>
      </c>
      <c r="BX149" s="116">
        <f>SUMIFS('IS Proforma'!CJ:CJ,'IS Proforma'!$C:$C,'Opex Departments'!$C149,'IS Proforma'!$A:$A,'Opex Departments'!$A149)</f>
        <v>11333.88</v>
      </c>
      <c r="BY149" s="116">
        <f>SUMIFS('IS Proforma'!CK:CK,'IS Proforma'!$C:$C,'Opex Departments'!$C149,'IS Proforma'!$A:$A,'Opex Departments'!$A149)</f>
        <v>11333.88</v>
      </c>
      <c r="BZ149" s="116">
        <f>SUMIFS('IS Proforma'!CL:CL,'IS Proforma'!$C:$C,'Opex Departments'!$C149,'IS Proforma'!$A:$A,'Opex Departments'!$A149)</f>
        <v>11333.88</v>
      </c>
      <c r="CA149" s="116">
        <f>SUMIFS('IS Proforma'!CM:CM,'IS Proforma'!$C:$C,'Opex Departments'!$C149,'IS Proforma'!$A:$A,'Opex Departments'!$A149)</f>
        <v>11333.88</v>
      </c>
      <c r="CB149" s="116">
        <f>SUMIFS('IS Proforma'!CN:CN,'IS Proforma'!$C:$C,'Opex Departments'!$C149,'IS Proforma'!$A:$A,'Opex Departments'!$A149)</f>
        <v>11333.88</v>
      </c>
      <c r="CC149" s="116">
        <f>SUMIFS('IS Proforma'!CO:CO,'IS Proforma'!$C:$C,'Opex Departments'!$C149,'IS Proforma'!$A:$A,'Opex Departments'!$A149)</f>
        <v>11333.88</v>
      </c>
      <c r="CD149" s="116">
        <f>SUMIFS('IS Proforma'!CP:CP,'IS Proforma'!$C:$C,'Opex Departments'!$C149,'IS Proforma'!$A:$A,'Opex Departments'!$A149)</f>
        <v>12758.88</v>
      </c>
      <c r="CE149" s="116">
        <f>SUMIFS('IS Proforma'!CQ:CQ,'IS Proforma'!$C:$C,'Opex Departments'!$C149,'IS Proforma'!$A:$A,'Opex Departments'!$A149)</f>
        <v>12758.88</v>
      </c>
      <c r="CF149" s="116">
        <f>SUMIFS('IS Proforma'!CR:CR,'IS Proforma'!$C:$C,'Opex Departments'!$C149,'IS Proforma'!$A:$A,'Opex Departments'!$A149)</f>
        <v>12758.88</v>
      </c>
      <c r="CG149" s="116">
        <f>SUMIFS('IS Proforma'!CS:CS,'IS Proforma'!$C:$C,'Opex Departments'!$C149,'IS Proforma'!$A:$A,'Opex Departments'!$A149)</f>
        <v>12758.88</v>
      </c>
      <c r="CH149" s="116">
        <f>SUMIFS('IS Proforma'!CT:CT,'IS Proforma'!$C:$C,'Opex Departments'!$C149,'IS Proforma'!$A:$A,'Opex Departments'!$A149)</f>
        <v>12758.88</v>
      </c>
      <c r="CI149" s="116">
        <f>SUMIFS('IS Proforma'!CU:CU,'IS Proforma'!$C:$C,'Opex Departments'!$C149,'IS Proforma'!$A:$A,'Opex Departments'!$A149)</f>
        <v>12758.88</v>
      </c>
    </row>
    <row r="150" ht="15.75" customHeight="1" outlineLevel="1">
      <c r="A150" s="1" t="s">
        <v>174</v>
      </c>
      <c r="B150" s="91" t="s">
        <v>178</v>
      </c>
      <c r="C150" s="132" t="s">
        <v>239</v>
      </c>
      <c r="D150" s="116">
        <f>SUMIFS('IS Proforma'!P:P,'IS Proforma'!$C:$C,'Opex Departments'!$C150,'IS Proforma'!$A:$A,'Opex Departments'!$A150)</f>
        <v>1710</v>
      </c>
      <c r="E150" s="116">
        <f>SUMIFS('IS Proforma'!Q:Q,'IS Proforma'!$C:$C,'Opex Departments'!$C150,'IS Proforma'!$A:$A,'Opex Departments'!$A150)</f>
        <v>2151</v>
      </c>
      <c r="F150" s="116">
        <f>SUMIFS('IS Proforma'!R:R,'IS Proforma'!$C:$C,'Opex Departments'!$C150,'IS Proforma'!$A:$A,'Opex Departments'!$A150)</f>
        <v>2224</v>
      </c>
      <c r="G150" s="116">
        <f>SUMIFS('IS Proforma'!S:S,'IS Proforma'!$C:$C,'Opex Departments'!$C150,'IS Proforma'!$A:$A,'Opex Departments'!$A150)</f>
        <v>2059</v>
      </c>
      <c r="H150" s="116">
        <f>SUMIFS('IS Proforma'!T:T,'IS Proforma'!$C:$C,'Opex Departments'!$C150,'IS Proforma'!$A:$A,'Opex Departments'!$A150)</f>
        <v>2474</v>
      </c>
      <c r="I150" s="116">
        <f>SUMIFS('IS Proforma'!U:U,'IS Proforma'!$C:$C,'Opex Departments'!$C150,'IS Proforma'!$A:$A,'Opex Departments'!$A150)</f>
        <v>1588</v>
      </c>
      <c r="J150" s="116">
        <f>SUMIFS('IS Proforma'!V:V,'IS Proforma'!$C:$C,'Opex Departments'!$C150,'IS Proforma'!$A:$A,'Opex Departments'!$A150)</f>
        <v>1136</v>
      </c>
      <c r="K150" s="116">
        <f>SUMIFS('IS Proforma'!W:W,'IS Proforma'!$C:$C,'Opex Departments'!$C150,'IS Proforma'!$A:$A,'Opex Departments'!$A150)</f>
        <v>1422</v>
      </c>
      <c r="L150" s="116">
        <f>SUMIFS('IS Proforma'!X:X,'IS Proforma'!$C:$C,'Opex Departments'!$C150,'IS Proforma'!$A:$A,'Opex Departments'!$A150)</f>
        <v>2227</v>
      </c>
      <c r="M150" s="116">
        <f>SUMIFS('IS Proforma'!Y:Y,'IS Proforma'!$C:$C,'Opex Departments'!$C150,'IS Proforma'!$A:$A,'Opex Departments'!$A150)</f>
        <v>1494</v>
      </c>
      <c r="N150" s="116">
        <f>SUMIFS('IS Proforma'!Z:Z,'IS Proforma'!$C:$C,'Opex Departments'!$C150,'IS Proforma'!$A:$A,'Opex Departments'!$A150)</f>
        <v>1090</v>
      </c>
      <c r="O150" s="116">
        <f>SUMIFS('IS Proforma'!AA:AA,'IS Proforma'!$C:$C,'Opex Departments'!$C150,'IS Proforma'!$A:$A,'Opex Departments'!$A150)</f>
        <v>2240</v>
      </c>
      <c r="P150" s="116">
        <f>SUMIFS('IS Proforma'!AB:AB,'IS Proforma'!$C:$C,'Opex Departments'!$C150,'IS Proforma'!$A:$A,'Opex Departments'!$A150)</f>
        <v>1272</v>
      </c>
      <c r="Q150" s="116">
        <f>SUMIFS('IS Proforma'!AC:AC,'IS Proforma'!$C:$C,'Opex Departments'!$C150,'IS Proforma'!$A:$A,'Opex Departments'!$A150)</f>
        <v>2306</v>
      </c>
      <c r="R150" s="116">
        <f>SUMIFS('IS Proforma'!AD:AD,'IS Proforma'!$C:$C,'Opex Departments'!$C150,'IS Proforma'!$A:$A,'Opex Departments'!$A150)</f>
        <v>1616</v>
      </c>
      <c r="S150" s="116">
        <f>SUMIFS('IS Proforma'!AE:AE,'IS Proforma'!$C:$C,'Opex Departments'!$C150,'IS Proforma'!$A:$A,'Opex Departments'!$A150)</f>
        <v>1156</v>
      </c>
      <c r="T150" s="116">
        <f>SUMIFS('IS Proforma'!AF:AF,'IS Proforma'!$C:$C,'Opex Departments'!$C150,'IS Proforma'!$A:$A,'Opex Departments'!$A150)</f>
        <v>2281</v>
      </c>
      <c r="U150" s="116">
        <f>SUMIFS('IS Proforma'!AG:AG,'IS Proforma'!$C:$C,'Opex Departments'!$C150,'IS Proforma'!$A:$A,'Opex Departments'!$A150)</f>
        <v>2272</v>
      </c>
      <c r="V150" s="116">
        <f>SUMIFS('IS Proforma'!AH:AH,'IS Proforma'!$C:$C,'Opex Departments'!$C150,'IS Proforma'!$A:$A,'Opex Departments'!$A150)</f>
        <v>2387</v>
      </c>
      <c r="W150" s="116">
        <f>SUMIFS('IS Proforma'!AI:AI,'IS Proforma'!$C:$C,'Opex Departments'!$C150,'IS Proforma'!$A:$A,'Opex Departments'!$A150)</f>
        <v>1398</v>
      </c>
      <c r="X150" s="116">
        <f>SUMIFS('IS Proforma'!AJ:AJ,'IS Proforma'!$C:$C,'Opex Departments'!$C150,'IS Proforma'!$A:$A,'Opex Departments'!$A150)</f>
        <v>2396</v>
      </c>
      <c r="Y150" s="116">
        <f>SUMIFS('IS Proforma'!AK:AK,'IS Proforma'!$C:$C,'Opex Departments'!$C150,'IS Proforma'!$A:$A,'Opex Departments'!$A150)</f>
        <v>2187</v>
      </c>
      <c r="Z150" s="116">
        <f>SUMIFS('IS Proforma'!AL:AL,'IS Proforma'!$C:$C,'Opex Departments'!$C150,'IS Proforma'!$A:$A,'Opex Departments'!$A150)</f>
        <v>1013</v>
      </c>
      <c r="AA150" s="116">
        <f>SUMIFS('IS Proforma'!AM:AM,'IS Proforma'!$C:$C,'Opex Departments'!$C150,'IS Proforma'!$A:$A,'Opex Departments'!$A150)</f>
        <v>153</v>
      </c>
      <c r="AB150" s="116">
        <f>SUMIFS('IS Proforma'!AN:AN,'IS Proforma'!$C:$C,'Opex Departments'!$C150,'IS Proforma'!$A:$A,'Opex Departments'!$A150)</f>
        <v>23.84</v>
      </c>
      <c r="AC150" s="116">
        <f>SUMIFS('IS Proforma'!AO:AO,'IS Proforma'!$C:$C,'Opex Departments'!$C150,'IS Proforma'!$A:$A,'Opex Departments'!$A150)</f>
        <v>23.84</v>
      </c>
      <c r="AD150" s="116">
        <f>SUMIFS('IS Proforma'!AP:AP,'IS Proforma'!$C:$C,'Opex Departments'!$C150,'IS Proforma'!$A:$A,'Opex Departments'!$A150)</f>
        <v>23.84</v>
      </c>
      <c r="AE150" s="116">
        <f>SUMIFS('IS Proforma'!AQ:AQ,'IS Proforma'!$C:$C,'Opex Departments'!$C150,'IS Proforma'!$A:$A,'Opex Departments'!$A150)</f>
        <v>23.84</v>
      </c>
      <c r="AF150" s="116">
        <f>SUMIFS('IS Proforma'!AR:AR,'IS Proforma'!$C:$C,'Opex Departments'!$C150,'IS Proforma'!$A:$A,'Opex Departments'!$A150)</f>
        <v>23.84</v>
      </c>
      <c r="AG150" s="116">
        <f>SUMIFS('IS Proforma'!AS:AS,'IS Proforma'!$C:$C,'Opex Departments'!$C150,'IS Proforma'!$A:$A,'Opex Departments'!$A150)</f>
        <v>23.84</v>
      </c>
      <c r="AH150" s="116">
        <f>SUMIFS('IS Proforma'!AT:AT,'IS Proforma'!$C:$C,'Opex Departments'!$C150,'IS Proforma'!$A:$A,'Opex Departments'!$A150)</f>
        <v>23.84</v>
      </c>
      <c r="AI150" s="116">
        <f>SUMIFS('IS Proforma'!AU:AU,'IS Proforma'!$C:$C,'Opex Departments'!$C150,'IS Proforma'!$A:$A,'Opex Departments'!$A150)</f>
        <v>23.84</v>
      </c>
      <c r="AJ150" s="116">
        <f>SUMIFS('IS Proforma'!AV:AV,'IS Proforma'!$C:$C,'Opex Departments'!$C150,'IS Proforma'!$A:$A,'Opex Departments'!$A150)</f>
        <v>23.84</v>
      </c>
      <c r="AK150" s="116">
        <f>SUMIFS('IS Proforma'!AW:AW,'IS Proforma'!$C:$C,'Opex Departments'!$C150,'IS Proforma'!$A:$A,'Opex Departments'!$A150)</f>
        <v>23.84</v>
      </c>
      <c r="AL150" s="116">
        <f>SUMIFS('IS Proforma'!AX:AX,'IS Proforma'!$C:$C,'Opex Departments'!$C150,'IS Proforma'!$A:$A,'Opex Departments'!$A150)</f>
        <v>23.84</v>
      </c>
      <c r="AM150" s="116">
        <f>SUMIFS('IS Proforma'!AY:AY,'IS Proforma'!$C:$C,'Opex Departments'!$C150,'IS Proforma'!$A:$A,'Opex Departments'!$A150)</f>
        <v>23.84</v>
      </c>
      <c r="AN150" s="116">
        <f>SUMIFS('IS Proforma'!AZ:AZ,'IS Proforma'!$C:$C,'Opex Departments'!$C150,'IS Proforma'!$A:$A,'Opex Departments'!$A150)</f>
        <v>48.84</v>
      </c>
      <c r="AO150" s="116">
        <f>SUMIFS('IS Proforma'!BA:BA,'IS Proforma'!$C:$C,'Opex Departments'!$C150,'IS Proforma'!$A:$A,'Opex Departments'!$A150)</f>
        <v>48.84</v>
      </c>
      <c r="AP150" s="116">
        <f>SUMIFS('IS Proforma'!BB:BB,'IS Proforma'!$C:$C,'Opex Departments'!$C150,'IS Proforma'!$A:$A,'Opex Departments'!$A150)</f>
        <v>48.84</v>
      </c>
      <c r="AQ150" s="116">
        <f>SUMIFS('IS Proforma'!BC:BC,'IS Proforma'!$C:$C,'Opex Departments'!$C150,'IS Proforma'!$A:$A,'Opex Departments'!$A150)</f>
        <v>48.84</v>
      </c>
      <c r="AR150" s="116">
        <f>SUMIFS('IS Proforma'!BD:BD,'IS Proforma'!$C:$C,'Opex Departments'!$C150,'IS Proforma'!$A:$A,'Opex Departments'!$A150)</f>
        <v>48.84</v>
      </c>
      <c r="AS150" s="116">
        <f>SUMIFS('IS Proforma'!BE:BE,'IS Proforma'!$C:$C,'Opex Departments'!$C150,'IS Proforma'!$A:$A,'Opex Departments'!$A150)</f>
        <v>48.84</v>
      </c>
      <c r="AT150" s="116">
        <f>SUMIFS('IS Proforma'!BF:BF,'IS Proforma'!$C:$C,'Opex Departments'!$C150,'IS Proforma'!$A:$A,'Opex Departments'!$A150)</f>
        <v>73.84</v>
      </c>
      <c r="AU150" s="116">
        <f>SUMIFS('IS Proforma'!BG:BG,'IS Proforma'!$C:$C,'Opex Departments'!$C150,'IS Proforma'!$A:$A,'Opex Departments'!$A150)</f>
        <v>73.84</v>
      </c>
      <c r="AV150" s="116">
        <f>SUMIFS('IS Proforma'!BH:BH,'IS Proforma'!$C:$C,'Opex Departments'!$C150,'IS Proforma'!$A:$A,'Opex Departments'!$A150)</f>
        <v>73.84</v>
      </c>
      <c r="AW150" s="116">
        <f>SUMIFS('IS Proforma'!BI:BI,'IS Proforma'!$C:$C,'Opex Departments'!$C150,'IS Proforma'!$A:$A,'Opex Departments'!$A150)</f>
        <v>73.84</v>
      </c>
      <c r="AX150" s="116">
        <f>SUMIFS('IS Proforma'!BJ:BJ,'IS Proforma'!$C:$C,'Opex Departments'!$C150,'IS Proforma'!$A:$A,'Opex Departments'!$A150)</f>
        <v>73.84</v>
      </c>
      <c r="AY150" s="116">
        <f>SUMIFS('IS Proforma'!BK:BK,'IS Proforma'!$C:$C,'Opex Departments'!$C150,'IS Proforma'!$A:$A,'Opex Departments'!$A150)</f>
        <v>73.84</v>
      </c>
      <c r="AZ150" s="116">
        <f>SUMIFS('IS Proforma'!BL:BL,'IS Proforma'!$C:$C,'Opex Departments'!$C150,'IS Proforma'!$A:$A,'Opex Departments'!$A150)</f>
        <v>98.84</v>
      </c>
      <c r="BA150" s="116">
        <f>SUMIFS('IS Proforma'!BM:BM,'IS Proforma'!$C:$C,'Opex Departments'!$C150,'IS Proforma'!$A:$A,'Opex Departments'!$A150)</f>
        <v>98.84</v>
      </c>
      <c r="BB150" s="116">
        <f>SUMIFS('IS Proforma'!BN:BN,'IS Proforma'!$C:$C,'Opex Departments'!$C150,'IS Proforma'!$A:$A,'Opex Departments'!$A150)</f>
        <v>98.84</v>
      </c>
      <c r="BC150" s="116">
        <f>SUMIFS('IS Proforma'!BO:BO,'IS Proforma'!$C:$C,'Opex Departments'!$C150,'IS Proforma'!$A:$A,'Opex Departments'!$A150)</f>
        <v>98.84</v>
      </c>
      <c r="BD150" s="116">
        <f>SUMIFS('IS Proforma'!BP:BP,'IS Proforma'!$C:$C,'Opex Departments'!$C150,'IS Proforma'!$A:$A,'Opex Departments'!$A150)</f>
        <v>98.84</v>
      </c>
      <c r="BE150" s="116">
        <f>SUMIFS('IS Proforma'!BQ:BQ,'IS Proforma'!$C:$C,'Opex Departments'!$C150,'IS Proforma'!$A:$A,'Opex Departments'!$A150)</f>
        <v>98.84</v>
      </c>
      <c r="BF150" s="116">
        <f>SUMIFS('IS Proforma'!BR:BR,'IS Proforma'!$C:$C,'Opex Departments'!$C150,'IS Proforma'!$A:$A,'Opex Departments'!$A150)</f>
        <v>123.84</v>
      </c>
      <c r="BG150" s="116">
        <f>SUMIFS('IS Proforma'!BS:BS,'IS Proforma'!$C:$C,'Opex Departments'!$C150,'IS Proforma'!$A:$A,'Opex Departments'!$A150)</f>
        <v>123.84</v>
      </c>
      <c r="BH150" s="116">
        <f>SUMIFS('IS Proforma'!BT:BT,'IS Proforma'!$C:$C,'Opex Departments'!$C150,'IS Proforma'!$A:$A,'Opex Departments'!$A150)</f>
        <v>123.84</v>
      </c>
      <c r="BI150" s="116">
        <f>SUMIFS('IS Proforma'!BU:BU,'IS Proforma'!$C:$C,'Opex Departments'!$C150,'IS Proforma'!$A:$A,'Opex Departments'!$A150)</f>
        <v>123.84</v>
      </c>
      <c r="BJ150" s="116">
        <f>SUMIFS('IS Proforma'!BV:BV,'IS Proforma'!$C:$C,'Opex Departments'!$C150,'IS Proforma'!$A:$A,'Opex Departments'!$A150)</f>
        <v>123.84</v>
      </c>
      <c r="BK150" s="116">
        <f>SUMIFS('IS Proforma'!BW:BW,'IS Proforma'!$C:$C,'Opex Departments'!$C150,'IS Proforma'!$A:$A,'Opex Departments'!$A150)</f>
        <v>123.84</v>
      </c>
      <c r="BL150" s="116">
        <f>SUMIFS('IS Proforma'!BX:BX,'IS Proforma'!$C:$C,'Opex Departments'!$C150,'IS Proforma'!$A:$A,'Opex Departments'!$A150)</f>
        <v>148.84</v>
      </c>
      <c r="BM150" s="116">
        <f>SUMIFS('IS Proforma'!BY:BY,'IS Proforma'!$C:$C,'Opex Departments'!$C150,'IS Proforma'!$A:$A,'Opex Departments'!$A150)</f>
        <v>148.84</v>
      </c>
      <c r="BN150" s="116">
        <f>SUMIFS('IS Proforma'!BZ:BZ,'IS Proforma'!$C:$C,'Opex Departments'!$C150,'IS Proforma'!$A:$A,'Opex Departments'!$A150)</f>
        <v>148.84</v>
      </c>
      <c r="BO150" s="116">
        <f>SUMIFS('IS Proforma'!CA:CA,'IS Proforma'!$C:$C,'Opex Departments'!$C150,'IS Proforma'!$A:$A,'Opex Departments'!$A150)</f>
        <v>148.84</v>
      </c>
      <c r="BP150" s="116">
        <f>SUMIFS('IS Proforma'!CB:CB,'IS Proforma'!$C:$C,'Opex Departments'!$C150,'IS Proforma'!$A:$A,'Opex Departments'!$A150)</f>
        <v>148.84</v>
      </c>
      <c r="BQ150" s="116">
        <f>SUMIFS('IS Proforma'!CC:CC,'IS Proforma'!$C:$C,'Opex Departments'!$C150,'IS Proforma'!$A:$A,'Opex Departments'!$A150)</f>
        <v>148.84</v>
      </c>
      <c r="BR150" s="116">
        <f>SUMIFS('IS Proforma'!CD:CD,'IS Proforma'!$C:$C,'Opex Departments'!$C150,'IS Proforma'!$A:$A,'Opex Departments'!$A150)</f>
        <v>173.84</v>
      </c>
      <c r="BS150" s="116">
        <f>SUMIFS('IS Proforma'!CE:CE,'IS Proforma'!$C:$C,'Opex Departments'!$C150,'IS Proforma'!$A:$A,'Opex Departments'!$A150)</f>
        <v>173.84</v>
      </c>
      <c r="BT150" s="116">
        <f>SUMIFS('IS Proforma'!CF:CF,'IS Proforma'!$C:$C,'Opex Departments'!$C150,'IS Proforma'!$A:$A,'Opex Departments'!$A150)</f>
        <v>173.84</v>
      </c>
      <c r="BU150" s="116">
        <f>SUMIFS('IS Proforma'!CG:CG,'IS Proforma'!$C:$C,'Opex Departments'!$C150,'IS Proforma'!$A:$A,'Opex Departments'!$A150)</f>
        <v>173.84</v>
      </c>
      <c r="BV150" s="116">
        <f>SUMIFS('IS Proforma'!CH:CH,'IS Proforma'!$C:$C,'Opex Departments'!$C150,'IS Proforma'!$A:$A,'Opex Departments'!$A150)</f>
        <v>173.84</v>
      </c>
      <c r="BW150" s="116">
        <f>SUMIFS('IS Proforma'!CI:CI,'IS Proforma'!$C:$C,'Opex Departments'!$C150,'IS Proforma'!$A:$A,'Opex Departments'!$A150)</f>
        <v>173.84</v>
      </c>
      <c r="BX150" s="116">
        <f>SUMIFS('IS Proforma'!CJ:CJ,'IS Proforma'!$C:$C,'Opex Departments'!$C150,'IS Proforma'!$A:$A,'Opex Departments'!$A150)</f>
        <v>198.84</v>
      </c>
      <c r="BY150" s="116">
        <f>SUMIFS('IS Proforma'!CK:CK,'IS Proforma'!$C:$C,'Opex Departments'!$C150,'IS Proforma'!$A:$A,'Opex Departments'!$A150)</f>
        <v>198.84</v>
      </c>
      <c r="BZ150" s="116">
        <f>SUMIFS('IS Proforma'!CL:CL,'IS Proforma'!$C:$C,'Opex Departments'!$C150,'IS Proforma'!$A:$A,'Opex Departments'!$A150)</f>
        <v>198.84</v>
      </c>
      <c r="CA150" s="116">
        <f>SUMIFS('IS Proforma'!CM:CM,'IS Proforma'!$C:$C,'Opex Departments'!$C150,'IS Proforma'!$A:$A,'Opex Departments'!$A150)</f>
        <v>198.84</v>
      </c>
      <c r="CB150" s="116">
        <f>SUMIFS('IS Proforma'!CN:CN,'IS Proforma'!$C:$C,'Opex Departments'!$C150,'IS Proforma'!$A:$A,'Opex Departments'!$A150)</f>
        <v>198.84</v>
      </c>
      <c r="CC150" s="116">
        <f>SUMIFS('IS Proforma'!CO:CO,'IS Proforma'!$C:$C,'Opex Departments'!$C150,'IS Proforma'!$A:$A,'Opex Departments'!$A150)</f>
        <v>198.84</v>
      </c>
      <c r="CD150" s="116">
        <f>SUMIFS('IS Proforma'!CP:CP,'IS Proforma'!$C:$C,'Opex Departments'!$C150,'IS Proforma'!$A:$A,'Opex Departments'!$A150)</f>
        <v>223.84</v>
      </c>
      <c r="CE150" s="116">
        <f>SUMIFS('IS Proforma'!CQ:CQ,'IS Proforma'!$C:$C,'Opex Departments'!$C150,'IS Proforma'!$A:$A,'Opex Departments'!$A150)</f>
        <v>223.84</v>
      </c>
      <c r="CF150" s="116">
        <f>SUMIFS('IS Proforma'!CR:CR,'IS Proforma'!$C:$C,'Opex Departments'!$C150,'IS Proforma'!$A:$A,'Opex Departments'!$A150)</f>
        <v>223.84</v>
      </c>
      <c r="CG150" s="116">
        <f>SUMIFS('IS Proforma'!CS:CS,'IS Proforma'!$C:$C,'Opex Departments'!$C150,'IS Proforma'!$A:$A,'Opex Departments'!$A150)</f>
        <v>223.84</v>
      </c>
      <c r="CH150" s="116">
        <f>SUMIFS('IS Proforma'!CT:CT,'IS Proforma'!$C:$C,'Opex Departments'!$C150,'IS Proforma'!$A:$A,'Opex Departments'!$A150)</f>
        <v>223.84</v>
      </c>
      <c r="CI150" s="116">
        <f>SUMIFS('IS Proforma'!CU:CU,'IS Proforma'!$C:$C,'Opex Departments'!$C150,'IS Proforma'!$A:$A,'Opex Departments'!$A150)</f>
        <v>223.84</v>
      </c>
    </row>
    <row r="151" ht="15.75" customHeight="1" outlineLevel="1">
      <c r="A151" s="1" t="s">
        <v>174</v>
      </c>
      <c r="B151" s="91" t="s">
        <v>178</v>
      </c>
      <c r="C151" s="132" t="s">
        <v>240</v>
      </c>
      <c r="D151" s="116">
        <f>SUMIFS('IS Proforma'!P:P,'IS Proforma'!$C:$C,'Opex Departments'!$C151,'IS Proforma'!$A:$A,'Opex Departments'!$A151)</f>
        <v>1404</v>
      </c>
      <c r="E151" s="116">
        <f>SUMIFS('IS Proforma'!Q:Q,'IS Proforma'!$C:$C,'Opex Departments'!$C151,'IS Proforma'!$A:$A,'Opex Departments'!$A151)</f>
        <v>1338</v>
      </c>
      <c r="F151" s="116">
        <f>SUMIFS('IS Proforma'!R:R,'IS Proforma'!$C:$C,'Opex Departments'!$C151,'IS Proforma'!$A:$A,'Opex Departments'!$A151)</f>
        <v>1690</v>
      </c>
      <c r="G151" s="116">
        <f>SUMIFS('IS Proforma'!S:S,'IS Proforma'!$C:$C,'Opex Departments'!$C151,'IS Proforma'!$A:$A,'Opex Departments'!$A151)</f>
        <v>2190</v>
      </c>
      <c r="H151" s="116">
        <f>SUMIFS('IS Proforma'!T:T,'IS Proforma'!$C:$C,'Opex Departments'!$C151,'IS Proforma'!$A:$A,'Opex Departments'!$A151)</f>
        <v>1897</v>
      </c>
      <c r="I151" s="116">
        <f>SUMIFS('IS Proforma'!U:U,'IS Proforma'!$C:$C,'Opex Departments'!$C151,'IS Proforma'!$A:$A,'Opex Departments'!$A151)</f>
        <v>1834</v>
      </c>
      <c r="J151" s="116">
        <f>SUMIFS('IS Proforma'!V:V,'IS Proforma'!$C:$C,'Opex Departments'!$C151,'IS Proforma'!$A:$A,'Opex Departments'!$A151)</f>
        <v>1397</v>
      </c>
      <c r="K151" s="116">
        <f>SUMIFS('IS Proforma'!W:W,'IS Proforma'!$C:$C,'Opex Departments'!$C151,'IS Proforma'!$A:$A,'Opex Departments'!$A151)</f>
        <v>1598</v>
      </c>
      <c r="L151" s="116">
        <f>SUMIFS('IS Proforma'!X:X,'IS Proforma'!$C:$C,'Opex Departments'!$C151,'IS Proforma'!$A:$A,'Opex Departments'!$A151)</f>
        <v>1227</v>
      </c>
      <c r="M151" s="116">
        <f>SUMIFS('IS Proforma'!Y:Y,'IS Proforma'!$C:$C,'Opex Departments'!$C151,'IS Proforma'!$A:$A,'Opex Departments'!$A151)</f>
        <v>2391</v>
      </c>
      <c r="N151" s="116">
        <f>SUMIFS('IS Proforma'!Z:Z,'IS Proforma'!$C:$C,'Opex Departments'!$C151,'IS Proforma'!$A:$A,'Opex Departments'!$A151)</f>
        <v>1982</v>
      </c>
      <c r="O151" s="116">
        <f>SUMIFS('IS Proforma'!AA:AA,'IS Proforma'!$C:$C,'Opex Departments'!$C151,'IS Proforma'!$A:$A,'Opex Departments'!$A151)</f>
        <v>2408</v>
      </c>
      <c r="P151" s="116">
        <f>SUMIFS('IS Proforma'!AB:AB,'IS Proforma'!$C:$C,'Opex Departments'!$C151,'IS Proforma'!$A:$A,'Opex Departments'!$A151)</f>
        <v>1254</v>
      </c>
      <c r="Q151" s="116">
        <f>SUMIFS('IS Proforma'!AC:AC,'IS Proforma'!$C:$C,'Opex Departments'!$C151,'IS Proforma'!$A:$A,'Opex Departments'!$A151)</f>
        <v>1528</v>
      </c>
      <c r="R151" s="116">
        <f>SUMIFS('IS Proforma'!AD:AD,'IS Proforma'!$C:$C,'Opex Departments'!$C151,'IS Proforma'!$A:$A,'Opex Departments'!$A151)</f>
        <v>1122</v>
      </c>
      <c r="S151" s="116">
        <f>SUMIFS('IS Proforma'!AE:AE,'IS Proforma'!$C:$C,'Opex Departments'!$C151,'IS Proforma'!$A:$A,'Opex Departments'!$A151)</f>
        <v>2227</v>
      </c>
      <c r="T151" s="116">
        <f>SUMIFS('IS Proforma'!AF:AF,'IS Proforma'!$C:$C,'Opex Departments'!$C151,'IS Proforma'!$A:$A,'Opex Departments'!$A151)</f>
        <v>1705</v>
      </c>
      <c r="U151" s="116">
        <f>SUMIFS('IS Proforma'!AG:AG,'IS Proforma'!$C:$C,'Opex Departments'!$C151,'IS Proforma'!$A:$A,'Opex Departments'!$A151)</f>
        <v>1755</v>
      </c>
      <c r="V151" s="116">
        <f>SUMIFS('IS Proforma'!AH:AH,'IS Proforma'!$C:$C,'Opex Departments'!$C151,'IS Proforma'!$A:$A,'Opex Departments'!$A151)</f>
        <v>1519</v>
      </c>
      <c r="W151" s="116">
        <f>SUMIFS('IS Proforma'!AI:AI,'IS Proforma'!$C:$C,'Opex Departments'!$C151,'IS Proforma'!$A:$A,'Opex Departments'!$A151)</f>
        <v>1224</v>
      </c>
      <c r="X151" s="116">
        <f>SUMIFS('IS Proforma'!AJ:AJ,'IS Proforma'!$C:$C,'Opex Departments'!$C151,'IS Proforma'!$A:$A,'Opex Departments'!$A151)</f>
        <v>2229</v>
      </c>
      <c r="Y151" s="116">
        <f>SUMIFS('IS Proforma'!AK:AK,'IS Proforma'!$C:$C,'Opex Departments'!$C151,'IS Proforma'!$A:$A,'Opex Departments'!$A151)</f>
        <v>1437</v>
      </c>
      <c r="Z151" s="116">
        <f>SUMIFS('IS Proforma'!AL:AL,'IS Proforma'!$C:$C,'Opex Departments'!$C151,'IS Proforma'!$A:$A,'Opex Departments'!$A151)</f>
        <v>2419</v>
      </c>
      <c r="AA151" s="116">
        <f>SUMIFS('IS Proforma'!AM:AM,'IS Proforma'!$C:$C,'Opex Departments'!$C151,'IS Proforma'!$A:$A,'Opex Departments'!$A151)</f>
        <v>2616.158607</v>
      </c>
      <c r="AB151" s="116">
        <f>SUMIFS('IS Proforma'!AN:AN,'IS Proforma'!$C:$C,'Opex Departments'!$C151,'IS Proforma'!$A:$A,'Opex Departments'!$A151)</f>
        <v>3081.197387</v>
      </c>
      <c r="AC151" s="116">
        <f>SUMIFS('IS Proforma'!AO:AO,'IS Proforma'!$C:$C,'Opex Departments'!$C151,'IS Proforma'!$A:$A,'Opex Departments'!$A151)</f>
        <v>3540.770531</v>
      </c>
      <c r="AD151" s="116">
        <f>SUMIFS('IS Proforma'!AP:AP,'IS Proforma'!$C:$C,'Opex Departments'!$C151,'IS Proforma'!$A:$A,'Opex Departments'!$A151)</f>
        <v>3961.641851</v>
      </c>
      <c r="AE151" s="116">
        <f>SUMIFS('IS Proforma'!AQ:AQ,'IS Proforma'!$C:$C,'Opex Departments'!$C151,'IS Proforma'!$A:$A,'Opex Departments'!$A151)</f>
        <v>4364.661236</v>
      </c>
      <c r="AF151" s="116">
        <f>SUMIFS('IS Proforma'!AR:AR,'IS Proforma'!$C:$C,'Opex Departments'!$C151,'IS Proforma'!$A:$A,'Opex Departments'!$A151)</f>
        <v>4765.094692</v>
      </c>
      <c r="AG151" s="116">
        <f>SUMIFS('IS Proforma'!AS:AS,'IS Proforma'!$C:$C,'Opex Departments'!$C151,'IS Proforma'!$A:$A,'Opex Departments'!$A151)</f>
        <v>5167.88951</v>
      </c>
      <c r="AH151" s="116">
        <f>SUMIFS('IS Proforma'!AT:AT,'IS Proforma'!$C:$C,'Opex Departments'!$C151,'IS Proforma'!$A:$A,'Opex Departments'!$A151)</f>
        <v>5530.987245</v>
      </c>
      <c r="AI151" s="116">
        <f>SUMIFS('IS Proforma'!AU:AU,'IS Proforma'!$C:$C,'Opex Departments'!$C151,'IS Proforma'!$A:$A,'Opex Departments'!$A151)</f>
        <v>5887.076426</v>
      </c>
      <c r="AJ151" s="116">
        <f>SUMIFS('IS Proforma'!AV:AV,'IS Proforma'!$C:$C,'Opex Departments'!$C151,'IS Proforma'!$A:$A,'Opex Departments'!$A151)</f>
        <v>6235.709679</v>
      </c>
      <c r="AK151" s="116">
        <f>SUMIFS('IS Proforma'!AW:AW,'IS Proforma'!$C:$C,'Opex Departments'!$C151,'IS Proforma'!$A:$A,'Opex Departments'!$A151)</f>
        <v>6559.801814</v>
      </c>
      <c r="AL151" s="116">
        <f>SUMIFS('IS Proforma'!AX:AX,'IS Proforma'!$C:$C,'Opex Departments'!$C151,'IS Proforma'!$A:$A,'Opex Departments'!$A151)</f>
        <v>6880.765233</v>
      </c>
      <c r="AM151" s="116">
        <f>SUMIFS('IS Proforma'!AY:AY,'IS Proforma'!$C:$C,'Opex Departments'!$C151,'IS Proforma'!$A:$A,'Opex Departments'!$A151)</f>
        <v>7205.769977</v>
      </c>
      <c r="AN151" s="116">
        <f>SUMIFS('IS Proforma'!AZ:AZ,'IS Proforma'!$C:$C,'Opex Departments'!$C151,'IS Proforma'!$A:$A,'Opex Departments'!$A151)</f>
        <v>7526.851755</v>
      </c>
      <c r="AO151" s="116">
        <f>SUMIFS('IS Proforma'!BA:BA,'IS Proforma'!$C:$C,'Opex Departments'!$C151,'IS Proforma'!$A:$A,'Opex Departments'!$A151)</f>
        <v>7584.035569</v>
      </c>
      <c r="AP151" s="116">
        <f>SUMIFS('IS Proforma'!BB:BB,'IS Proforma'!$C:$C,'Opex Departments'!$C151,'IS Proforma'!$A:$A,'Opex Departments'!$A151)</f>
        <v>7664.210087</v>
      </c>
      <c r="AQ151" s="116">
        <f>SUMIFS('IS Proforma'!BC:BC,'IS Proforma'!$C:$C,'Opex Departments'!$C151,'IS Proforma'!$A:$A,'Opex Departments'!$A151)</f>
        <v>7768.132747</v>
      </c>
      <c r="AR151" s="116">
        <f>SUMIFS('IS Proforma'!BD:BD,'IS Proforma'!$C:$C,'Opex Departments'!$C151,'IS Proforma'!$A:$A,'Opex Departments'!$A151)</f>
        <v>7878.460395</v>
      </c>
      <c r="AS151" s="116">
        <f>SUMIFS('IS Proforma'!BE:BE,'IS Proforma'!$C:$C,'Opex Departments'!$C151,'IS Proforma'!$A:$A,'Opex Departments'!$A151)</f>
        <v>7993.205675</v>
      </c>
      <c r="AT151" s="116">
        <f>SUMIFS('IS Proforma'!BF:BF,'IS Proforma'!$C:$C,'Opex Departments'!$C151,'IS Proforma'!$A:$A,'Opex Departments'!$A151)</f>
        <v>8106.69694</v>
      </c>
      <c r="AU151" s="116">
        <f>SUMIFS('IS Proforma'!BG:BG,'IS Proforma'!$C:$C,'Opex Departments'!$C151,'IS Proforma'!$A:$A,'Opex Departments'!$A151)</f>
        <v>8243.711586</v>
      </c>
      <c r="AV151" s="116">
        <f>SUMIFS('IS Proforma'!BH:BH,'IS Proforma'!$C:$C,'Opex Departments'!$C151,'IS Proforma'!$A:$A,'Opex Departments'!$A151)</f>
        <v>8354.299353</v>
      </c>
      <c r="AW151" s="116">
        <f>SUMIFS('IS Proforma'!BI:BI,'IS Proforma'!$C:$C,'Opex Departments'!$C151,'IS Proforma'!$A:$A,'Opex Departments'!$A151)</f>
        <v>8463.317075</v>
      </c>
      <c r="AX151" s="116">
        <f>SUMIFS('IS Proforma'!BJ:BJ,'IS Proforma'!$C:$C,'Opex Departments'!$C151,'IS Proforma'!$A:$A,'Opex Departments'!$A151)</f>
        <v>8570.827634</v>
      </c>
      <c r="AY151" s="116">
        <f>SUMIFS('IS Proforma'!BK:BK,'IS Proforma'!$C:$C,'Opex Departments'!$C151,'IS Proforma'!$A:$A,'Opex Departments'!$A151)</f>
        <v>8676.904104</v>
      </c>
      <c r="AZ151" s="116">
        <f>SUMIFS('IS Proforma'!BL:BL,'IS Proforma'!$C:$C,'Opex Departments'!$C151,'IS Proforma'!$A:$A,'Opex Departments'!$A151)</f>
        <v>8907.956315</v>
      </c>
      <c r="BA151" s="116">
        <f>SUMIFS('IS Proforma'!BM:BM,'IS Proforma'!$C:$C,'Opex Departments'!$C151,'IS Proforma'!$A:$A,'Opex Departments'!$A151)</f>
        <v>9081.881963</v>
      </c>
      <c r="BB151" s="116">
        <f>SUMIFS('IS Proforma'!BN:BN,'IS Proforma'!$C:$C,'Opex Departments'!$C151,'IS Proforma'!$A:$A,'Opex Departments'!$A151)</f>
        <v>9250.445334</v>
      </c>
      <c r="BC151" s="116">
        <f>SUMIFS('IS Proforma'!BO:BO,'IS Proforma'!$C:$C,'Opex Departments'!$C151,'IS Proforma'!$A:$A,'Opex Departments'!$A151)</f>
        <v>9414.670958</v>
      </c>
      <c r="BD151" s="116">
        <f>SUMIFS('IS Proforma'!BP:BP,'IS Proforma'!$C:$C,'Opex Departments'!$C151,'IS Proforma'!$A:$A,'Opex Departments'!$A151)</f>
        <v>9575.221254</v>
      </c>
      <c r="BE151" s="116">
        <f>SUMIFS('IS Proforma'!BQ:BQ,'IS Proforma'!$C:$C,'Opex Departments'!$C151,'IS Proforma'!$A:$A,'Opex Departments'!$A151)</f>
        <v>9732.522855</v>
      </c>
      <c r="BF151" s="116">
        <f>SUMIFS('IS Proforma'!BR:BR,'IS Proforma'!$C:$C,'Opex Departments'!$C151,'IS Proforma'!$A:$A,'Opex Departments'!$A151)</f>
        <v>9886.900995</v>
      </c>
      <c r="BG151" s="116">
        <f>SUMIFS('IS Proforma'!BS:BS,'IS Proforma'!$C:$C,'Opex Departments'!$C151,'IS Proforma'!$A:$A,'Opex Departments'!$A151)</f>
        <v>10038.62091</v>
      </c>
      <c r="BH151" s="116">
        <f>SUMIFS('IS Proforma'!BT:BT,'IS Proforma'!$C:$C,'Opex Departments'!$C151,'IS Proforma'!$A:$A,'Opex Departments'!$A151)</f>
        <v>10187.9065</v>
      </c>
      <c r="BI151" s="116">
        <f>SUMIFS('IS Proforma'!BU:BU,'IS Proforma'!$C:$C,'Opex Departments'!$C151,'IS Proforma'!$A:$A,'Opex Departments'!$A151)</f>
        <v>10334.95117</v>
      </c>
      <c r="BJ151" s="116">
        <f>SUMIFS('IS Proforma'!BV:BV,'IS Proforma'!$C:$C,'Opex Departments'!$C151,'IS Proforma'!$A:$A,'Opex Departments'!$A151)</f>
        <v>10479.92512</v>
      </c>
      <c r="BK151" s="116">
        <f>SUMIFS('IS Proforma'!BW:BW,'IS Proforma'!$C:$C,'Opex Departments'!$C151,'IS Proforma'!$A:$A,'Opex Departments'!$A151)</f>
        <v>10622.98046</v>
      </c>
      <c r="BL151" s="116">
        <f>SUMIFS('IS Proforma'!BX:BX,'IS Proforma'!$C:$C,'Opex Departments'!$C151,'IS Proforma'!$A:$A,'Opex Departments'!$A151)</f>
        <v>10829.73089</v>
      </c>
      <c r="BM151" s="116">
        <f>SUMIFS('IS Proforma'!BY:BY,'IS Proforma'!$C:$C,'Opex Departments'!$C151,'IS Proforma'!$A:$A,'Opex Departments'!$A151)</f>
        <v>10990.21674</v>
      </c>
      <c r="BN151" s="116">
        <f>SUMIFS('IS Proforma'!BZ:BZ,'IS Proforma'!$C:$C,'Opex Departments'!$C151,'IS Proforma'!$A:$A,'Opex Departments'!$A151)</f>
        <v>11135.56053</v>
      </c>
      <c r="BO151" s="116">
        <f>SUMIFS('IS Proforma'!CA:CA,'IS Proforma'!$C:$C,'Opex Departments'!$C151,'IS Proforma'!$A:$A,'Opex Departments'!$A151)</f>
        <v>11278.03198</v>
      </c>
      <c r="BP151" s="116">
        <f>SUMIFS('IS Proforma'!CB:CB,'IS Proforma'!$C:$C,'Opex Departments'!$C151,'IS Proforma'!$A:$A,'Opex Departments'!$A151)</f>
        <v>11419.79798</v>
      </c>
      <c r="BQ151" s="116">
        <f>SUMIFS('IS Proforma'!CC:CC,'IS Proforma'!$C:$C,'Opex Departments'!$C151,'IS Proforma'!$A:$A,'Opex Departments'!$A151)</f>
        <v>11560.91303</v>
      </c>
      <c r="BR151" s="116">
        <f>SUMIFS('IS Proforma'!CD:CD,'IS Proforma'!$C:$C,'Opex Departments'!$C151,'IS Proforma'!$A:$A,'Opex Departments'!$A151)</f>
        <v>11701.47112</v>
      </c>
      <c r="BS151" s="116">
        <f>SUMIFS('IS Proforma'!CE:CE,'IS Proforma'!$C:$C,'Opex Departments'!$C151,'IS Proforma'!$A:$A,'Opex Departments'!$A151)</f>
        <v>11841.56303</v>
      </c>
      <c r="BT151" s="116">
        <f>SUMIFS('IS Proforma'!CF:CF,'IS Proforma'!$C:$C,'Opex Departments'!$C151,'IS Proforma'!$A:$A,'Opex Departments'!$A151)</f>
        <v>11981.27473</v>
      </c>
      <c r="BU151" s="116">
        <f>SUMIFS('IS Proforma'!CG:CG,'IS Proforma'!$C:$C,'Opex Departments'!$C151,'IS Proforma'!$A:$A,'Opex Departments'!$A151)</f>
        <v>12120.68889</v>
      </c>
      <c r="BV151" s="116">
        <f>SUMIFS('IS Proforma'!CH:CH,'IS Proforma'!$C:$C,'Opex Departments'!$C151,'IS Proforma'!$A:$A,'Opex Departments'!$A151)</f>
        <v>12259.88578</v>
      </c>
      <c r="BW151" s="116">
        <f>SUMIFS('IS Proforma'!CI:CI,'IS Proforma'!$C:$C,'Opex Departments'!$C151,'IS Proforma'!$A:$A,'Opex Departments'!$A151)</f>
        <v>12398.94379</v>
      </c>
      <c r="BX151" s="116">
        <f>SUMIFS('IS Proforma'!CJ:CJ,'IS Proforma'!$C:$C,'Opex Departments'!$C151,'IS Proforma'!$A:$A,'Opex Departments'!$A151)</f>
        <v>12589.11074</v>
      </c>
      <c r="BY151" s="116">
        <f>SUMIFS('IS Proforma'!CK:CK,'IS Proforma'!$C:$C,'Opex Departments'!$C151,'IS Proforma'!$A:$A,'Opex Departments'!$A151)</f>
        <v>12677.99618</v>
      </c>
      <c r="BZ151" s="116">
        <f>SUMIFS('IS Proforma'!CL:CL,'IS Proforma'!$C:$C,'Opex Departments'!$C151,'IS Proforma'!$A:$A,'Opex Departments'!$A151)</f>
        <v>12762.958</v>
      </c>
      <c r="CA151" s="116">
        <f>SUMIFS('IS Proforma'!CM:CM,'IS Proforma'!$C:$C,'Opex Departments'!$C151,'IS Proforma'!$A:$A,'Opex Departments'!$A151)</f>
        <v>12852.35439</v>
      </c>
      <c r="CB151" s="116">
        <f>SUMIFS('IS Proforma'!CN:CN,'IS Proforma'!$C:$C,'Opex Departments'!$C151,'IS Proforma'!$A:$A,'Opex Departments'!$A151)</f>
        <v>12944.33366</v>
      </c>
      <c r="CC151" s="116">
        <f>SUMIFS('IS Proforma'!CO:CO,'IS Proforma'!$C:$C,'Opex Departments'!$C151,'IS Proforma'!$A:$A,'Opex Departments'!$A151)</f>
        <v>13037.50354</v>
      </c>
      <c r="CD151" s="116">
        <f>SUMIFS('IS Proforma'!CP:CP,'IS Proforma'!$C:$C,'Opex Departments'!$C151,'IS Proforma'!$A:$A,'Opex Departments'!$A151)</f>
        <v>13131.28169</v>
      </c>
      <c r="CE151" s="116">
        <f>SUMIFS('IS Proforma'!CQ:CQ,'IS Proforma'!$C:$C,'Opex Departments'!$C151,'IS Proforma'!$A:$A,'Opex Departments'!$A151)</f>
        <v>13225.37021</v>
      </c>
      <c r="CF151" s="116">
        <f>SUMIFS('IS Proforma'!CR:CR,'IS Proforma'!$C:$C,'Opex Departments'!$C151,'IS Proforma'!$A:$A,'Opex Departments'!$A151)</f>
        <v>13319.60094</v>
      </c>
      <c r="CG151" s="116">
        <f>SUMIFS('IS Proforma'!CS:CS,'IS Proforma'!$C:$C,'Opex Departments'!$C151,'IS Proforma'!$A:$A,'Opex Departments'!$A151)</f>
        <v>13413.87754</v>
      </c>
      <c r="CH151" s="116">
        <f>SUMIFS('IS Proforma'!CT:CT,'IS Proforma'!$C:$C,'Opex Departments'!$C151,'IS Proforma'!$A:$A,'Opex Departments'!$A151)</f>
        <v>13508.14874</v>
      </c>
      <c r="CI151" s="116">
        <f>SUMIFS('IS Proforma'!CU:CU,'IS Proforma'!$C:$C,'Opex Departments'!$C151,'IS Proforma'!$A:$A,'Opex Departments'!$A151)</f>
        <v>13602.39353</v>
      </c>
    </row>
    <row r="152" ht="15.75" customHeight="1" outlineLevel="1">
      <c r="A152" s="1" t="s">
        <v>174</v>
      </c>
      <c r="B152" s="91" t="s">
        <v>178</v>
      </c>
      <c r="C152" s="132" t="s">
        <v>241</v>
      </c>
      <c r="D152" s="116">
        <f>SUMIFS('IS Proforma'!P:P,'IS Proforma'!$C:$C,'Opex Departments'!$C152,'IS Proforma'!$A:$A,'Opex Departments'!$A152)</f>
        <v>1560</v>
      </c>
      <c r="E152" s="116">
        <f>SUMIFS('IS Proforma'!Q:Q,'IS Proforma'!$C:$C,'Opex Departments'!$C152,'IS Proforma'!$A:$A,'Opex Departments'!$A152)</f>
        <v>1926</v>
      </c>
      <c r="F152" s="116">
        <f>SUMIFS('IS Proforma'!R:R,'IS Proforma'!$C:$C,'Opex Departments'!$C152,'IS Proforma'!$A:$A,'Opex Departments'!$A152)</f>
        <v>1129</v>
      </c>
      <c r="G152" s="116">
        <f>SUMIFS('IS Proforma'!S:S,'IS Proforma'!$C:$C,'Opex Departments'!$C152,'IS Proforma'!$A:$A,'Opex Departments'!$A152)</f>
        <v>2346</v>
      </c>
      <c r="H152" s="116">
        <f>SUMIFS('IS Proforma'!T:T,'IS Proforma'!$C:$C,'Opex Departments'!$C152,'IS Proforma'!$A:$A,'Opex Departments'!$A152)</f>
        <v>2334</v>
      </c>
      <c r="I152" s="116">
        <f>SUMIFS('IS Proforma'!U:U,'IS Proforma'!$C:$C,'Opex Departments'!$C152,'IS Proforma'!$A:$A,'Opex Departments'!$A152)</f>
        <v>1976</v>
      </c>
      <c r="J152" s="116">
        <f>SUMIFS('IS Proforma'!V:V,'IS Proforma'!$C:$C,'Opex Departments'!$C152,'IS Proforma'!$A:$A,'Opex Departments'!$A152)</f>
        <v>1475</v>
      </c>
      <c r="K152" s="116">
        <f>SUMIFS('IS Proforma'!W:W,'IS Proforma'!$C:$C,'Opex Departments'!$C152,'IS Proforma'!$A:$A,'Opex Departments'!$A152)</f>
        <v>1027</v>
      </c>
      <c r="L152" s="116">
        <f>SUMIFS('IS Proforma'!X:X,'IS Proforma'!$C:$C,'Opex Departments'!$C152,'IS Proforma'!$A:$A,'Opex Departments'!$A152)</f>
        <v>1942</v>
      </c>
      <c r="M152" s="116">
        <f>SUMIFS('IS Proforma'!Y:Y,'IS Proforma'!$C:$C,'Opex Departments'!$C152,'IS Proforma'!$A:$A,'Opex Departments'!$A152)</f>
        <v>1541</v>
      </c>
      <c r="N152" s="116">
        <f>SUMIFS('IS Proforma'!Z:Z,'IS Proforma'!$C:$C,'Opex Departments'!$C152,'IS Proforma'!$A:$A,'Opex Departments'!$A152)</f>
        <v>1769</v>
      </c>
      <c r="O152" s="116">
        <f>SUMIFS('IS Proforma'!AA:AA,'IS Proforma'!$C:$C,'Opex Departments'!$C152,'IS Proforma'!$A:$A,'Opex Departments'!$A152)</f>
        <v>2146</v>
      </c>
      <c r="P152" s="116">
        <f>SUMIFS('IS Proforma'!AB:AB,'IS Proforma'!$C:$C,'Opex Departments'!$C152,'IS Proforma'!$A:$A,'Opex Departments'!$A152)</f>
        <v>2046</v>
      </c>
      <c r="Q152" s="116">
        <f>SUMIFS('IS Proforma'!AC:AC,'IS Proforma'!$C:$C,'Opex Departments'!$C152,'IS Proforma'!$A:$A,'Opex Departments'!$A152)</f>
        <v>1971</v>
      </c>
      <c r="R152" s="116">
        <f>SUMIFS('IS Proforma'!AD:AD,'IS Proforma'!$C:$C,'Opex Departments'!$C152,'IS Proforma'!$A:$A,'Opex Departments'!$A152)</f>
        <v>1568</v>
      </c>
      <c r="S152" s="116">
        <f>SUMIFS('IS Proforma'!AE:AE,'IS Proforma'!$C:$C,'Opex Departments'!$C152,'IS Proforma'!$A:$A,'Opex Departments'!$A152)</f>
        <v>1154</v>
      </c>
      <c r="T152" s="116">
        <f>SUMIFS('IS Proforma'!AF:AF,'IS Proforma'!$C:$C,'Opex Departments'!$C152,'IS Proforma'!$A:$A,'Opex Departments'!$A152)</f>
        <v>2014</v>
      </c>
      <c r="U152" s="116">
        <f>SUMIFS('IS Proforma'!AG:AG,'IS Proforma'!$C:$C,'Opex Departments'!$C152,'IS Proforma'!$A:$A,'Opex Departments'!$A152)</f>
        <v>2067</v>
      </c>
      <c r="V152" s="116">
        <f>SUMIFS('IS Proforma'!AH:AH,'IS Proforma'!$C:$C,'Opex Departments'!$C152,'IS Proforma'!$A:$A,'Opex Departments'!$A152)</f>
        <v>1821</v>
      </c>
      <c r="W152" s="116">
        <f>SUMIFS('IS Proforma'!AI:AI,'IS Proforma'!$C:$C,'Opex Departments'!$C152,'IS Proforma'!$A:$A,'Opex Departments'!$A152)</f>
        <v>1374</v>
      </c>
      <c r="X152" s="116">
        <f>SUMIFS('IS Proforma'!AJ:AJ,'IS Proforma'!$C:$C,'Opex Departments'!$C152,'IS Proforma'!$A:$A,'Opex Departments'!$A152)</f>
        <v>2402</v>
      </c>
      <c r="Y152" s="116">
        <f>SUMIFS('IS Proforma'!AK:AK,'IS Proforma'!$C:$C,'Opex Departments'!$C152,'IS Proforma'!$A:$A,'Opex Departments'!$A152)</f>
        <v>2357</v>
      </c>
      <c r="Z152" s="116">
        <f>SUMIFS('IS Proforma'!AL:AL,'IS Proforma'!$C:$C,'Opex Departments'!$C152,'IS Proforma'!$A:$A,'Opex Departments'!$A152)</f>
        <v>1349</v>
      </c>
      <c r="AA152" s="116">
        <f>SUMIFS('IS Proforma'!AM:AM,'IS Proforma'!$C:$C,'Opex Departments'!$C152,'IS Proforma'!$A:$A,'Opex Departments'!$A152)</f>
        <v>953.6</v>
      </c>
      <c r="AB152" s="116">
        <f>SUMIFS('IS Proforma'!AN:AN,'IS Proforma'!$C:$C,'Opex Departments'!$C152,'IS Proforma'!$A:$A,'Opex Departments'!$A152)</f>
        <v>953.6</v>
      </c>
      <c r="AC152" s="116">
        <f>SUMIFS('IS Proforma'!AO:AO,'IS Proforma'!$C:$C,'Opex Departments'!$C152,'IS Proforma'!$A:$A,'Opex Departments'!$A152)</f>
        <v>953.6</v>
      </c>
      <c r="AD152" s="116">
        <f>SUMIFS('IS Proforma'!AP:AP,'IS Proforma'!$C:$C,'Opex Departments'!$C152,'IS Proforma'!$A:$A,'Opex Departments'!$A152)</f>
        <v>953.6</v>
      </c>
      <c r="AE152" s="116">
        <f>SUMIFS('IS Proforma'!AQ:AQ,'IS Proforma'!$C:$C,'Opex Departments'!$C152,'IS Proforma'!$A:$A,'Opex Departments'!$A152)</f>
        <v>953.6</v>
      </c>
      <c r="AF152" s="116">
        <f>SUMIFS('IS Proforma'!AR:AR,'IS Proforma'!$C:$C,'Opex Departments'!$C152,'IS Proforma'!$A:$A,'Opex Departments'!$A152)</f>
        <v>953.6</v>
      </c>
      <c r="AG152" s="116">
        <f>SUMIFS('IS Proforma'!AS:AS,'IS Proforma'!$C:$C,'Opex Departments'!$C152,'IS Proforma'!$A:$A,'Opex Departments'!$A152)</f>
        <v>953.6</v>
      </c>
      <c r="AH152" s="116">
        <f>SUMIFS('IS Proforma'!AT:AT,'IS Proforma'!$C:$C,'Opex Departments'!$C152,'IS Proforma'!$A:$A,'Opex Departments'!$A152)</f>
        <v>953.6</v>
      </c>
      <c r="AI152" s="116">
        <f>SUMIFS('IS Proforma'!AU:AU,'IS Proforma'!$C:$C,'Opex Departments'!$C152,'IS Proforma'!$A:$A,'Opex Departments'!$A152)</f>
        <v>953.6</v>
      </c>
      <c r="AJ152" s="116">
        <f>SUMIFS('IS Proforma'!AV:AV,'IS Proforma'!$C:$C,'Opex Departments'!$C152,'IS Proforma'!$A:$A,'Opex Departments'!$A152)</f>
        <v>953.6</v>
      </c>
      <c r="AK152" s="116">
        <f>SUMIFS('IS Proforma'!AW:AW,'IS Proforma'!$C:$C,'Opex Departments'!$C152,'IS Proforma'!$A:$A,'Opex Departments'!$A152)</f>
        <v>953.6</v>
      </c>
      <c r="AL152" s="116">
        <f>SUMIFS('IS Proforma'!AX:AX,'IS Proforma'!$C:$C,'Opex Departments'!$C152,'IS Proforma'!$A:$A,'Opex Departments'!$A152)</f>
        <v>953.6</v>
      </c>
      <c r="AM152" s="116">
        <f>SUMIFS('IS Proforma'!AY:AY,'IS Proforma'!$C:$C,'Opex Departments'!$C152,'IS Proforma'!$A:$A,'Opex Departments'!$A152)</f>
        <v>953.6</v>
      </c>
      <c r="AN152" s="116">
        <f>SUMIFS('IS Proforma'!AZ:AZ,'IS Proforma'!$C:$C,'Opex Departments'!$C152,'IS Proforma'!$A:$A,'Opex Departments'!$A152)</f>
        <v>1953.6</v>
      </c>
      <c r="AO152" s="116">
        <f>SUMIFS('IS Proforma'!BA:BA,'IS Proforma'!$C:$C,'Opex Departments'!$C152,'IS Proforma'!$A:$A,'Opex Departments'!$A152)</f>
        <v>1953.6</v>
      </c>
      <c r="AP152" s="116">
        <f>SUMIFS('IS Proforma'!BB:BB,'IS Proforma'!$C:$C,'Opex Departments'!$C152,'IS Proforma'!$A:$A,'Opex Departments'!$A152)</f>
        <v>1953.6</v>
      </c>
      <c r="AQ152" s="116">
        <f>SUMIFS('IS Proforma'!BC:BC,'IS Proforma'!$C:$C,'Opex Departments'!$C152,'IS Proforma'!$A:$A,'Opex Departments'!$A152)</f>
        <v>1953.6</v>
      </c>
      <c r="AR152" s="116">
        <f>SUMIFS('IS Proforma'!BD:BD,'IS Proforma'!$C:$C,'Opex Departments'!$C152,'IS Proforma'!$A:$A,'Opex Departments'!$A152)</f>
        <v>1953.6</v>
      </c>
      <c r="AS152" s="116">
        <f>SUMIFS('IS Proforma'!BE:BE,'IS Proforma'!$C:$C,'Opex Departments'!$C152,'IS Proforma'!$A:$A,'Opex Departments'!$A152)</f>
        <v>1953.6</v>
      </c>
      <c r="AT152" s="116">
        <f>SUMIFS('IS Proforma'!BF:BF,'IS Proforma'!$C:$C,'Opex Departments'!$C152,'IS Proforma'!$A:$A,'Opex Departments'!$A152)</f>
        <v>2953.6</v>
      </c>
      <c r="AU152" s="116">
        <f>SUMIFS('IS Proforma'!BG:BG,'IS Proforma'!$C:$C,'Opex Departments'!$C152,'IS Proforma'!$A:$A,'Opex Departments'!$A152)</f>
        <v>2953.6</v>
      </c>
      <c r="AV152" s="116">
        <f>SUMIFS('IS Proforma'!BH:BH,'IS Proforma'!$C:$C,'Opex Departments'!$C152,'IS Proforma'!$A:$A,'Opex Departments'!$A152)</f>
        <v>2953.6</v>
      </c>
      <c r="AW152" s="116">
        <f>SUMIFS('IS Proforma'!BI:BI,'IS Proforma'!$C:$C,'Opex Departments'!$C152,'IS Proforma'!$A:$A,'Opex Departments'!$A152)</f>
        <v>2953.6</v>
      </c>
      <c r="AX152" s="116">
        <f>SUMIFS('IS Proforma'!BJ:BJ,'IS Proforma'!$C:$C,'Opex Departments'!$C152,'IS Proforma'!$A:$A,'Opex Departments'!$A152)</f>
        <v>2953.6</v>
      </c>
      <c r="AY152" s="116">
        <f>SUMIFS('IS Proforma'!BK:BK,'IS Proforma'!$C:$C,'Opex Departments'!$C152,'IS Proforma'!$A:$A,'Opex Departments'!$A152)</f>
        <v>2953.6</v>
      </c>
      <c r="AZ152" s="116">
        <f>SUMIFS('IS Proforma'!BL:BL,'IS Proforma'!$C:$C,'Opex Departments'!$C152,'IS Proforma'!$A:$A,'Opex Departments'!$A152)</f>
        <v>3953.6</v>
      </c>
      <c r="BA152" s="116">
        <f>SUMIFS('IS Proforma'!BM:BM,'IS Proforma'!$C:$C,'Opex Departments'!$C152,'IS Proforma'!$A:$A,'Opex Departments'!$A152)</f>
        <v>3953.6</v>
      </c>
      <c r="BB152" s="116">
        <f>SUMIFS('IS Proforma'!BN:BN,'IS Proforma'!$C:$C,'Opex Departments'!$C152,'IS Proforma'!$A:$A,'Opex Departments'!$A152)</f>
        <v>3953.6</v>
      </c>
      <c r="BC152" s="116">
        <f>SUMIFS('IS Proforma'!BO:BO,'IS Proforma'!$C:$C,'Opex Departments'!$C152,'IS Proforma'!$A:$A,'Opex Departments'!$A152)</f>
        <v>3953.6</v>
      </c>
      <c r="BD152" s="116">
        <f>SUMIFS('IS Proforma'!BP:BP,'IS Proforma'!$C:$C,'Opex Departments'!$C152,'IS Proforma'!$A:$A,'Opex Departments'!$A152)</f>
        <v>3953.6</v>
      </c>
      <c r="BE152" s="116">
        <f>SUMIFS('IS Proforma'!BQ:BQ,'IS Proforma'!$C:$C,'Opex Departments'!$C152,'IS Proforma'!$A:$A,'Opex Departments'!$A152)</f>
        <v>3953.6</v>
      </c>
      <c r="BF152" s="116">
        <f>SUMIFS('IS Proforma'!BR:BR,'IS Proforma'!$C:$C,'Opex Departments'!$C152,'IS Proforma'!$A:$A,'Opex Departments'!$A152)</f>
        <v>4953.6</v>
      </c>
      <c r="BG152" s="116">
        <f>SUMIFS('IS Proforma'!BS:BS,'IS Proforma'!$C:$C,'Opex Departments'!$C152,'IS Proforma'!$A:$A,'Opex Departments'!$A152)</f>
        <v>4953.6</v>
      </c>
      <c r="BH152" s="116">
        <f>SUMIFS('IS Proforma'!BT:BT,'IS Proforma'!$C:$C,'Opex Departments'!$C152,'IS Proforma'!$A:$A,'Opex Departments'!$A152)</f>
        <v>4953.6</v>
      </c>
      <c r="BI152" s="116">
        <f>SUMIFS('IS Proforma'!BU:BU,'IS Proforma'!$C:$C,'Opex Departments'!$C152,'IS Proforma'!$A:$A,'Opex Departments'!$A152)</f>
        <v>4953.6</v>
      </c>
      <c r="BJ152" s="116">
        <f>SUMIFS('IS Proforma'!BV:BV,'IS Proforma'!$C:$C,'Opex Departments'!$C152,'IS Proforma'!$A:$A,'Opex Departments'!$A152)</f>
        <v>4953.6</v>
      </c>
      <c r="BK152" s="116">
        <f>SUMIFS('IS Proforma'!BW:BW,'IS Proforma'!$C:$C,'Opex Departments'!$C152,'IS Proforma'!$A:$A,'Opex Departments'!$A152)</f>
        <v>4953.6</v>
      </c>
      <c r="BL152" s="116">
        <f>SUMIFS('IS Proforma'!BX:BX,'IS Proforma'!$C:$C,'Opex Departments'!$C152,'IS Proforma'!$A:$A,'Opex Departments'!$A152)</f>
        <v>5953.6</v>
      </c>
      <c r="BM152" s="116">
        <f>SUMIFS('IS Proforma'!BY:BY,'IS Proforma'!$C:$C,'Opex Departments'!$C152,'IS Proforma'!$A:$A,'Opex Departments'!$A152)</f>
        <v>5953.6</v>
      </c>
      <c r="BN152" s="116">
        <f>SUMIFS('IS Proforma'!BZ:BZ,'IS Proforma'!$C:$C,'Opex Departments'!$C152,'IS Proforma'!$A:$A,'Opex Departments'!$A152)</f>
        <v>5953.6</v>
      </c>
      <c r="BO152" s="116">
        <f>SUMIFS('IS Proforma'!CA:CA,'IS Proforma'!$C:$C,'Opex Departments'!$C152,'IS Proforma'!$A:$A,'Opex Departments'!$A152)</f>
        <v>5953.6</v>
      </c>
      <c r="BP152" s="116">
        <f>SUMIFS('IS Proforma'!CB:CB,'IS Proforma'!$C:$C,'Opex Departments'!$C152,'IS Proforma'!$A:$A,'Opex Departments'!$A152)</f>
        <v>5953.6</v>
      </c>
      <c r="BQ152" s="116">
        <f>SUMIFS('IS Proforma'!CC:CC,'IS Proforma'!$C:$C,'Opex Departments'!$C152,'IS Proforma'!$A:$A,'Opex Departments'!$A152)</f>
        <v>5953.6</v>
      </c>
      <c r="BR152" s="116">
        <f>SUMIFS('IS Proforma'!CD:CD,'IS Proforma'!$C:$C,'Opex Departments'!$C152,'IS Proforma'!$A:$A,'Opex Departments'!$A152)</f>
        <v>6953.6</v>
      </c>
      <c r="BS152" s="116">
        <f>SUMIFS('IS Proforma'!CE:CE,'IS Proforma'!$C:$C,'Opex Departments'!$C152,'IS Proforma'!$A:$A,'Opex Departments'!$A152)</f>
        <v>6953.6</v>
      </c>
      <c r="BT152" s="116">
        <f>SUMIFS('IS Proforma'!CF:CF,'IS Proforma'!$C:$C,'Opex Departments'!$C152,'IS Proforma'!$A:$A,'Opex Departments'!$A152)</f>
        <v>6953.6</v>
      </c>
      <c r="BU152" s="116">
        <f>SUMIFS('IS Proforma'!CG:CG,'IS Proforma'!$C:$C,'Opex Departments'!$C152,'IS Proforma'!$A:$A,'Opex Departments'!$A152)</f>
        <v>6953.6</v>
      </c>
      <c r="BV152" s="116">
        <f>SUMIFS('IS Proforma'!CH:CH,'IS Proforma'!$C:$C,'Opex Departments'!$C152,'IS Proforma'!$A:$A,'Opex Departments'!$A152)</f>
        <v>6953.6</v>
      </c>
      <c r="BW152" s="116">
        <f>SUMIFS('IS Proforma'!CI:CI,'IS Proforma'!$C:$C,'Opex Departments'!$C152,'IS Proforma'!$A:$A,'Opex Departments'!$A152)</f>
        <v>6953.6</v>
      </c>
      <c r="BX152" s="116">
        <f>SUMIFS('IS Proforma'!CJ:CJ,'IS Proforma'!$C:$C,'Opex Departments'!$C152,'IS Proforma'!$A:$A,'Opex Departments'!$A152)</f>
        <v>7953.6</v>
      </c>
      <c r="BY152" s="116">
        <f>SUMIFS('IS Proforma'!CK:CK,'IS Proforma'!$C:$C,'Opex Departments'!$C152,'IS Proforma'!$A:$A,'Opex Departments'!$A152)</f>
        <v>7953.6</v>
      </c>
      <c r="BZ152" s="116">
        <f>SUMIFS('IS Proforma'!CL:CL,'IS Proforma'!$C:$C,'Opex Departments'!$C152,'IS Proforma'!$A:$A,'Opex Departments'!$A152)</f>
        <v>7953.6</v>
      </c>
      <c r="CA152" s="116">
        <f>SUMIFS('IS Proforma'!CM:CM,'IS Proforma'!$C:$C,'Opex Departments'!$C152,'IS Proforma'!$A:$A,'Opex Departments'!$A152)</f>
        <v>7953.6</v>
      </c>
      <c r="CB152" s="116">
        <f>SUMIFS('IS Proforma'!CN:CN,'IS Proforma'!$C:$C,'Opex Departments'!$C152,'IS Proforma'!$A:$A,'Opex Departments'!$A152)</f>
        <v>7953.6</v>
      </c>
      <c r="CC152" s="116">
        <f>SUMIFS('IS Proforma'!CO:CO,'IS Proforma'!$C:$C,'Opex Departments'!$C152,'IS Proforma'!$A:$A,'Opex Departments'!$A152)</f>
        <v>7953.6</v>
      </c>
      <c r="CD152" s="116">
        <f>SUMIFS('IS Proforma'!CP:CP,'IS Proforma'!$C:$C,'Opex Departments'!$C152,'IS Proforma'!$A:$A,'Opex Departments'!$A152)</f>
        <v>8953.6</v>
      </c>
      <c r="CE152" s="116">
        <f>SUMIFS('IS Proforma'!CQ:CQ,'IS Proforma'!$C:$C,'Opex Departments'!$C152,'IS Proforma'!$A:$A,'Opex Departments'!$A152)</f>
        <v>8953.6</v>
      </c>
      <c r="CF152" s="116">
        <f>SUMIFS('IS Proforma'!CR:CR,'IS Proforma'!$C:$C,'Opex Departments'!$C152,'IS Proforma'!$A:$A,'Opex Departments'!$A152)</f>
        <v>8953.6</v>
      </c>
      <c r="CG152" s="116">
        <f>SUMIFS('IS Proforma'!CS:CS,'IS Proforma'!$C:$C,'Opex Departments'!$C152,'IS Proforma'!$A:$A,'Opex Departments'!$A152)</f>
        <v>8953.6</v>
      </c>
      <c r="CH152" s="116">
        <f>SUMIFS('IS Proforma'!CT:CT,'IS Proforma'!$C:$C,'Opex Departments'!$C152,'IS Proforma'!$A:$A,'Opex Departments'!$A152)</f>
        <v>8953.6</v>
      </c>
      <c r="CI152" s="116">
        <f>SUMIFS('IS Proforma'!CU:CU,'IS Proforma'!$C:$C,'Opex Departments'!$C152,'IS Proforma'!$A:$A,'Opex Departments'!$A152)</f>
        <v>8953.6</v>
      </c>
    </row>
    <row r="153" ht="15.75" customHeight="1" outlineLevel="1">
      <c r="A153" s="1" t="s">
        <v>174</v>
      </c>
      <c r="B153" s="91" t="s">
        <v>178</v>
      </c>
      <c r="C153" s="132" t="s">
        <v>242</v>
      </c>
      <c r="D153" s="116">
        <f>SUMIFS('IS Proforma'!P:P,'IS Proforma'!$C:$C,'Opex Departments'!$C153,'IS Proforma'!$A:$A,'Opex Departments'!$A153)</f>
        <v>2358</v>
      </c>
      <c r="E153" s="116">
        <f>SUMIFS('IS Proforma'!Q:Q,'IS Proforma'!$C:$C,'Opex Departments'!$C153,'IS Proforma'!$A:$A,'Opex Departments'!$A153)</f>
        <v>1636</v>
      </c>
      <c r="F153" s="116">
        <f>SUMIFS('IS Proforma'!R:R,'IS Proforma'!$C:$C,'Opex Departments'!$C153,'IS Proforma'!$A:$A,'Opex Departments'!$A153)</f>
        <v>1911</v>
      </c>
      <c r="G153" s="116">
        <f>SUMIFS('IS Proforma'!S:S,'IS Proforma'!$C:$C,'Opex Departments'!$C153,'IS Proforma'!$A:$A,'Opex Departments'!$A153)</f>
        <v>2310</v>
      </c>
      <c r="H153" s="116">
        <f>SUMIFS('IS Proforma'!T:T,'IS Proforma'!$C:$C,'Opex Departments'!$C153,'IS Proforma'!$A:$A,'Opex Departments'!$A153)</f>
        <v>2024</v>
      </c>
      <c r="I153" s="116">
        <f>SUMIFS('IS Proforma'!U:U,'IS Proforma'!$C:$C,'Opex Departments'!$C153,'IS Proforma'!$A:$A,'Opex Departments'!$A153)</f>
        <v>2342</v>
      </c>
      <c r="J153" s="116">
        <f>SUMIFS('IS Proforma'!V:V,'IS Proforma'!$C:$C,'Opex Departments'!$C153,'IS Proforma'!$A:$A,'Opex Departments'!$A153)</f>
        <v>1169</v>
      </c>
      <c r="K153" s="116">
        <f>SUMIFS('IS Proforma'!W:W,'IS Proforma'!$C:$C,'Opex Departments'!$C153,'IS Proforma'!$A:$A,'Opex Departments'!$A153)</f>
        <v>1638</v>
      </c>
      <c r="L153" s="116">
        <f>SUMIFS('IS Proforma'!X:X,'IS Proforma'!$C:$C,'Opex Departments'!$C153,'IS Proforma'!$A:$A,'Opex Departments'!$A153)</f>
        <v>1899</v>
      </c>
      <c r="M153" s="116">
        <f>SUMIFS('IS Proforma'!Y:Y,'IS Proforma'!$C:$C,'Opex Departments'!$C153,'IS Proforma'!$A:$A,'Opex Departments'!$A153)</f>
        <v>1775</v>
      </c>
      <c r="N153" s="116">
        <f>SUMIFS('IS Proforma'!Z:Z,'IS Proforma'!$C:$C,'Opex Departments'!$C153,'IS Proforma'!$A:$A,'Opex Departments'!$A153)</f>
        <v>1483</v>
      </c>
      <c r="O153" s="116">
        <f>SUMIFS('IS Proforma'!AA:AA,'IS Proforma'!$C:$C,'Opex Departments'!$C153,'IS Proforma'!$A:$A,'Opex Departments'!$A153)</f>
        <v>2495</v>
      </c>
      <c r="P153" s="116">
        <f>SUMIFS('IS Proforma'!AB:AB,'IS Proforma'!$C:$C,'Opex Departments'!$C153,'IS Proforma'!$A:$A,'Opex Departments'!$A153)</f>
        <v>2466</v>
      </c>
      <c r="Q153" s="116">
        <f>SUMIFS('IS Proforma'!AC:AC,'IS Proforma'!$C:$C,'Opex Departments'!$C153,'IS Proforma'!$A:$A,'Opex Departments'!$A153)</f>
        <v>1655</v>
      </c>
      <c r="R153" s="116">
        <f>SUMIFS('IS Proforma'!AD:AD,'IS Proforma'!$C:$C,'Opex Departments'!$C153,'IS Proforma'!$A:$A,'Opex Departments'!$A153)</f>
        <v>1476</v>
      </c>
      <c r="S153" s="116">
        <f>SUMIFS('IS Proforma'!AE:AE,'IS Proforma'!$C:$C,'Opex Departments'!$C153,'IS Proforma'!$A:$A,'Opex Departments'!$A153)</f>
        <v>1462</v>
      </c>
      <c r="T153" s="116">
        <f>SUMIFS('IS Proforma'!AF:AF,'IS Proforma'!$C:$C,'Opex Departments'!$C153,'IS Proforma'!$A:$A,'Opex Departments'!$A153)</f>
        <v>1671</v>
      </c>
      <c r="U153" s="116">
        <f>SUMIFS('IS Proforma'!AG:AG,'IS Proforma'!$C:$C,'Opex Departments'!$C153,'IS Proforma'!$A:$A,'Opex Departments'!$A153)</f>
        <v>2146</v>
      </c>
      <c r="V153" s="116">
        <f>SUMIFS('IS Proforma'!AH:AH,'IS Proforma'!$C:$C,'Opex Departments'!$C153,'IS Proforma'!$A:$A,'Opex Departments'!$A153)</f>
        <v>1630</v>
      </c>
      <c r="W153" s="116">
        <f>SUMIFS('IS Proforma'!AI:AI,'IS Proforma'!$C:$C,'Opex Departments'!$C153,'IS Proforma'!$A:$A,'Opex Departments'!$A153)</f>
        <v>2202</v>
      </c>
      <c r="X153" s="116">
        <f>SUMIFS('IS Proforma'!AJ:AJ,'IS Proforma'!$C:$C,'Opex Departments'!$C153,'IS Proforma'!$A:$A,'Opex Departments'!$A153)</f>
        <v>1480</v>
      </c>
      <c r="Y153" s="116">
        <f>SUMIFS('IS Proforma'!AK:AK,'IS Proforma'!$C:$C,'Opex Departments'!$C153,'IS Proforma'!$A:$A,'Opex Departments'!$A153)</f>
        <v>2042</v>
      </c>
      <c r="Z153" s="116">
        <f>SUMIFS('IS Proforma'!AL:AL,'IS Proforma'!$C:$C,'Opex Departments'!$C153,'IS Proforma'!$A:$A,'Opex Departments'!$A153)</f>
        <v>2266</v>
      </c>
      <c r="AA153" s="116">
        <f>SUMIFS('IS Proforma'!AM:AM,'IS Proforma'!$C:$C,'Opex Departments'!$C153,'IS Proforma'!$A:$A,'Opex Departments'!$A153)</f>
        <v>306</v>
      </c>
      <c r="AB153" s="116">
        <f>SUMIFS('IS Proforma'!AN:AN,'IS Proforma'!$C:$C,'Opex Departments'!$C153,'IS Proforma'!$A:$A,'Opex Departments'!$A153)</f>
        <v>47.68</v>
      </c>
      <c r="AC153" s="116">
        <f>SUMIFS('IS Proforma'!AO:AO,'IS Proforma'!$C:$C,'Opex Departments'!$C153,'IS Proforma'!$A:$A,'Opex Departments'!$A153)</f>
        <v>47.68</v>
      </c>
      <c r="AD153" s="116">
        <f>SUMIFS('IS Proforma'!AP:AP,'IS Proforma'!$C:$C,'Opex Departments'!$C153,'IS Proforma'!$A:$A,'Opex Departments'!$A153)</f>
        <v>47.68</v>
      </c>
      <c r="AE153" s="116">
        <f>SUMIFS('IS Proforma'!AQ:AQ,'IS Proforma'!$C:$C,'Opex Departments'!$C153,'IS Proforma'!$A:$A,'Opex Departments'!$A153)</f>
        <v>47.68</v>
      </c>
      <c r="AF153" s="116">
        <f>SUMIFS('IS Proforma'!AR:AR,'IS Proforma'!$C:$C,'Opex Departments'!$C153,'IS Proforma'!$A:$A,'Opex Departments'!$A153)</f>
        <v>47.68</v>
      </c>
      <c r="AG153" s="116">
        <f>SUMIFS('IS Proforma'!AS:AS,'IS Proforma'!$C:$C,'Opex Departments'!$C153,'IS Proforma'!$A:$A,'Opex Departments'!$A153)</f>
        <v>47.68</v>
      </c>
      <c r="AH153" s="116">
        <f>SUMIFS('IS Proforma'!AT:AT,'IS Proforma'!$C:$C,'Opex Departments'!$C153,'IS Proforma'!$A:$A,'Opex Departments'!$A153)</f>
        <v>47.68</v>
      </c>
      <c r="AI153" s="116">
        <f>SUMIFS('IS Proforma'!AU:AU,'IS Proforma'!$C:$C,'Opex Departments'!$C153,'IS Proforma'!$A:$A,'Opex Departments'!$A153)</f>
        <v>47.68</v>
      </c>
      <c r="AJ153" s="116">
        <f>SUMIFS('IS Proforma'!AV:AV,'IS Proforma'!$C:$C,'Opex Departments'!$C153,'IS Proforma'!$A:$A,'Opex Departments'!$A153)</f>
        <v>47.68</v>
      </c>
      <c r="AK153" s="116">
        <f>SUMIFS('IS Proforma'!AW:AW,'IS Proforma'!$C:$C,'Opex Departments'!$C153,'IS Proforma'!$A:$A,'Opex Departments'!$A153)</f>
        <v>47.68</v>
      </c>
      <c r="AL153" s="116">
        <f>SUMIFS('IS Proforma'!AX:AX,'IS Proforma'!$C:$C,'Opex Departments'!$C153,'IS Proforma'!$A:$A,'Opex Departments'!$A153)</f>
        <v>47.68</v>
      </c>
      <c r="AM153" s="116">
        <f>SUMIFS('IS Proforma'!AY:AY,'IS Proforma'!$C:$C,'Opex Departments'!$C153,'IS Proforma'!$A:$A,'Opex Departments'!$A153)</f>
        <v>47.68</v>
      </c>
      <c r="AN153" s="116">
        <f>SUMIFS('IS Proforma'!AZ:AZ,'IS Proforma'!$C:$C,'Opex Departments'!$C153,'IS Proforma'!$A:$A,'Opex Departments'!$A153)</f>
        <v>97.68</v>
      </c>
      <c r="AO153" s="116">
        <f>SUMIFS('IS Proforma'!BA:BA,'IS Proforma'!$C:$C,'Opex Departments'!$C153,'IS Proforma'!$A:$A,'Opex Departments'!$A153)</f>
        <v>97.68</v>
      </c>
      <c r="AP153" s="116">
        <f>SUMIFS('IS Proforma'!BB:BB,'IS Proforma'!$C:$C,'Opex Departments'!$C153,'IS Proforma'!$A:$A,'Opex Departments'!$A153)</f>
        <v>97.68</v>
      </c>
      <c r="AQ153" s="116">
        <f>SUMIFS('IS Proforma'!BC:BC,'IS Proforma'!$C:$C,'Opex Departments'!$C153,'IS Proforma'!$A:$A,'Opex Departments'!$A153)</f>
        <v>97.68</v>
      </c>
      <c r="AR153" s="116">
        <f>SUMIFS('IS Proforma'!BD:BD,'IS Proforma'!$C:$C,'Opex Departments'!$C153,'IS Proforma'!$A:$A,'Opex Departments'!$A153)</f>
        <v>97.68</v>
      </c>
      <c r="AS153" s="116">
        <f>SUMIFS('IS Proforma'!BE:BE,'IS Proforma'!$C:$C,'Opex Departments'!$C153,'IS Proforma'!$A:$A,'Opex Departments'!$A153)</f>
        <v>97.68</v>
      </c>
      <c r="AT153" s="116">
        <f>SUMIFS('IS Proforma'!BF:BF,'IS Proforma'!$C:$C,'Opex Departments'!$C153,'IS Proforma'!$A:$A,'Opex Departments'!$A153)</f>
        <v>147.68</v>
      </c>
      <c r="AU153" s="116">
        <f>SUMIFS('IS Proforma'!BG:BG,'IS Proforma'!$C:$C,'Opex Departments'!$C153,'IS Proforma'!$A:$A,'Opex Departments'!$A153)</f>
        <v>147.68</v>
      </c>
      <c r="AV153" s="116">
        <f>SUMIFS('IS Proforma'!BH:BH,'IS Proforma'!$C:$C,'Opex Departments'!$C153,'IS Proforma'!$A:$A,'Opex Departments'!$A153)</f>
        <v>147.68</v>
      </c>
      <c r="AW153" s="116">
        <f>SUMIFS('IS Proforma'!BI:BI,'IS Proforma'!$C:$C,'Opex Departments'!$C153,'IS Proforma'!$A:$A,'Opex Departments'!$A153)</f>
        <v>147.68</v>
      </c>
      <c r="AX153" s="116">
        <f>SUMIFS('IS Proforma'!BJ:BJ,'IS Proforma'!$C:$C,'Opex Departments'!$C153,'IS Proforma'!$A:$A,'Opex Departments'!$A153)</f>
        <v>147.68</v>
      </c>
      <c r="AY153" s="116">
        <f>SUMIFS('IS Proforma'!BK:BK,'IS Proforma'!$C:$C,'Opex Departments'!$C153,'IS Proforma'!$A:$A,'Opex Departments'!$A153)</f>
        <v>147.68</v>
      </c>
      <c r="AZ153" s="116">
        <f>SUMIFS('IS Proforma'!BL:BL,'IS Proforma'!$C:$C,'Opex Departments'!$C153,'IS Proforma'!$A:$A,'Opex Departments'!$A153)</f>
        <v>197.68</v>
      </c>
      <c r="BA153" s="116">
        <f>SUMIFS('IS Proforma'!BM:BM,'IS Proforma'!$C:$C,'Opex Departments'!$C153,'IS Proforma'!$A:$A,'Opex Departments'!$A153)</f>
        <v>197.68</v>
      </c>
      <c r="BB153" s="116">
        <f>SUMIFS('IS Proforma'!BN:BN,'IS Proforma'!$C:$C,'Opex Departments'!$C153,'IS Proforma'!$A:$A,'Opex Departments'!$A153)</f>
        <v>197.68</v>
      </c>
      <c r="BC153" s="116">
        <f>SUMIFS('IS Proforma'!BO:BO,'IS Proforma'!$C:$C,'Opex Departments'!$C153,'IS Proforma'!$A:$A,'Opex Departments'!$A153)</f>
        <v>197.68</v>
      </c>
      <c r="BD153" s="116">
        <f>SUMIFS('IS Proforma'!BP:BP,'IS Proforma'!$C:$C,'Opex Departments'!$C153,'IS Proforma'!$A:$A,'Opex Departments'!$A153)</f>
        <v>197.68</v>
      </c>
      <c r="BE153" s="116">
        <f>SUMIFS('IS Proforma'!BQ:BQ,'IS Proforma'!$C:$C,'Opex Departments'!$C153,'IS Proforma'!$A:$A,'Opex Departments'!$A153)</f>
        <v>197.68</v>
      </c>
      <c r="BF153" s="116">
        <f>SUMIFS('IS Proforma'!BR:BR,'IS Proforma'!$C:$C,'Opex Departments'!$C153,'IS Proforma'!$A:$A,'Opex Departments'!$A153)</f>
        <v>247.68</v>
      </c>
      <c r="BG153" s="116">
        <f>SUMIFS('IS Proforma'!BS:BS,'IS Proforma'!$C:$C,'Opex Departments'!$C153,'IS Proforma'!$A:$A,'Opex Departments'!$A153)</f>
        <v>247.68</v>
      </c>
      <c r="BH153" s="116">
        <f>SUMIFS('IS Proforma'!BT:BT,'IS Proforma'!$C:$C,'Opex Departments'!$C153,'IS Proforma'!$A:$A,'Opex Departments'!$A153)</f>
        <v>247.68</v>
      </c>
      <c r="BI153" s="116">
        <f>SUMIFS('IS Proforma'!BU:BU,'IS Proforma'!$C:$C,'Opex Departments'!$C153,'IS Proforma'!$A:$A,'Opex Departments'!$A153)</f>
        <v>247.68</v>
      </c>
      <c r="BJ153" s="116">
        <f>SUMIFS('IS Proforma'!BV:BV,'IS Proforma'!$C:$C,'Opex Departments'!$C153,'IS Proforma'!$A:$A,'Opex Departments'!$A153)</f>
        <v>247.68</v>
      </c>
      <c r="BK153" s="116">
        <f>SUMIFS('IS Proforma'!BW:BW,'IS Proforma'!$C:$C,'Opex Departments'!$C153,'IS Proforma'!$A:$A,'Opex Departments'!$A153)</f>
        <v>247.68</v>
      </c>
      <c r="BL153" s="116">
        <f>SUMIFS('IS Proforma'!BX:BX,'IS Proforma'!$C:$C,'Opex Departments'!$C153,'IS Proforma'!$A:$A,'Opex Departments'!$A153)</f>
        <v>297.68</v>
      </c>
      <c r="BM153" s="116">
        <f>SUMIFS('IS Proforma'!BY:BY,'IS Proforma'!$C:$C,'Opex Departments'!$C153,'IS Proforma'!$A:$A,'Opex Departments'!$A153)</f>
        <v>297.68</v>
      </c>
      <c r="BN153" s="116">
        <f>SUMIFS('IS Proforma'!BZ:BZ,'IS Proforma'!$C:$C,'Opex Departments'!$C153,'IS Proforma'!$A:$A,'Opex Departments'!$A153)</f>
        <v>297.68</v>
      </c>
      <c r="BO153" s="116">
        <f>SUMIFS('IS Proforma'!CA:CA,'IS Proforma'!$C:$C,'Opex Departments'!$C153,'IS Proforma'!$A:$A,'Opex Departments'!$A153)</f>
        <v>297.68</v>
      </c>
      <c r="BP153" s="116">
        <f>SUMIFS('IS Proforma'!CB:CB,'IS Proforma'!$C:$C,'Opex Departments'!$C153,'IS Proforma'!$A:$A,'Opex Departments'!$A153)</f>
        <v>297.68</v>
      </c>
      <c r="BQ153" s="116">
        <f>SUMIFS('IS Proforma'!CC:CC,'IS Proforma'!$C:$C,'Opex Departments'!$C153,'IS Proforma'!$A:$A,'Opex Departments'!$A153)</f>
        <v>297.68</v>
      </c>
      <c r="BR153" s="116">
        <f>SUMIFS('IS Proforma'!CD:CD,'IS Proforma'!$C:$C,'Opex Departments'!$C153,'IS Proforma'!$A:$A,'Opex Departments'!$A153)</f>
        <v>347.68</v>
      </c>
      <c r="BS153" s="116">
        <f>SUMIFS('IS Proforma'!CE:CE,'IS Proforma'!$C:$C,'Opex Departments'!$C153,'IS Proforma'!$A:$A,'Opex Departments'!$A153)</f>
        <v>347.68</v>
      </c>
      <c r="BT153" s="116">
        <f>SUMIFS('IS Proforma'!CF:CF,'IS Proforma'!$C:$C,'Opex Departments'!$C153,'IS Proforma'!$A:$A,'Opex Departments'!$A153)</f>
        <v>347.68</v>
      </c>
      <c r="BU153" s="116">
        <f>SUMIFS('IS Proforma'!CG:CG,'IS Proforma'!$C:$C,'Opex Departments'!$C153,'IS Proforma'!$A:$A,'Opex Departments'!$A153)</f>
        <v>347.68</v>
      </c>
      <c r="BV153" s="116">
        <f>SUMIFS('IS Proforma'!CH:CH,'IS Proforma'!$C:$C,'Opex Departments'!$C153,'IS Proforma'!$A:$A,'Opex Departments'!$A153)</f>
        <v>347.68</v>
      </c>
      <c r="BW153" s="116">
        <f>SUMIFS('IS Proforma'!CI:CI,'IS Proforma'!$C:$C,'Opex Departments'!$C153,'IS Proforma'!$A:$A,'Opex Departments'!$A153)</f>
        <v>347.68</v>
      </c>
      <c r="BX153" s="116">
        <f>SUMIFS('IS Proforma'!CJ:CJ,'IS Proforma'!$C:$C,'Opex Departments'!$C153,'IS Proforma'!$A:$A,'Opex Departments'!$A153)</f>
        <v>397.68</v>
      </c>
      <c r="BY153" s="116">
        <f>SUMIFS('IS Proforma'!CK:CK,'IS Proforma'!$C:$C,'Opex Departments'!$C153,'IS Proforma'!$A:$A,'Opex Departments'!$A153)</f>
        <v>397.68</v>
      </c>
      <c r="BZ153" s="116">
        <f>SUMIFS('IS Proforma'!CL:CL,'IS Proforma'!$C:$C,'Opex Departments'!$C153,'IS Proforma'!$A:$A,'Opex Departments'!$A153)</f>
        <v>397.68</v>
      </c>
      <c r="CA153" s="116">
        <f>SUMIFS('IS Proforma'!CM:CM,'IS Proforma'!$C:$C,'Opex Departments'!$C153,'IS Proforma'!$A:$A,'Opex Departments'!$A153)</f>
        <v>397.68</v>
      </c>
      <c r="CB153" s="116">
        <f>SUMIFS('IS Proforma'!CN:CN,'IS Proforma'!$C:$C,'Opex Departments'!$C153,'IS Proforma'!$A:$A,'Opex Departments'!$A153)</f>
        <v>397.68</v>
      </c>
      <c r="CC153" s="116">
        <f>SUMIFS('IS Proforma'!CO:CO,'IS Proforma'!$C:$C,'Opex Departments'!$C153,'IS Proforma'!$A:$A,'Opex Departments'!$A153)</f>
        <v>397.68</v>
      </c>
      <c r="CD153" s="116">
        <f>SUMIFS('IS Proforma'!CP:CP,'IS Proforma'!$C:$C,'Opex Departments'!$C153,'IS Proforma'!$A:$A,'Opex Departments'!$A153)</f>
        <v>447.68</v>
      </c>
      <c r="CE153" s="116">
        <f>SUMIFS('IS Proforma'!CQ:CQ,'IS Proforma'!$C:$C,'Opex Departments'!$C153,'IS Proforma'!$A:$A,'Opex Departments'!$A153)</f>
        <v>447.68</v>
      </c>
      <c r="CF153" s="116">
        <f>SUMIFS('IS Proforma'!CR:CR,'IS Proforma'!$C:$C,'Opex Departments'!$C153,'IS Proforma'!$A:$A,'Opex Departments'!$A153)</f>
        <v>447.68</v>
      </c>
      <c r="CG153" s="116">
        <f>SUMIFS('IS Proforma'!CS:CS,'IS Proforma'!$C:$C,'Opex Departments'!$C153,'IS Proforma'!$A:$A,'Opex Departments'!$A153)</f>
        <v>447.68</v>
      </c>
      <c r="CH153" s="116">
        <f>SUMIFS('IS Proforma'!CT:CT,'IS Proforma'!$C:$C,'Opex Departments'!$C153,'IS Proforma'!$A:$A,'Opex Departments'!$A153)</f>
        <v>447.68</v>
      </c>
      <c r="CI153" s="116">
        <f>SUMIFS('IS Proforma'!CU:CU,'IS Proforma'!$C:$C,'Opex Departments'!$C153,'IS Proforma'!$A:$A,'Opex Departments'!$A153)</f>
        <v>447.68</v>
      </c>
    </row>
    <row r="154" ht="15.75" customHeight="1" outlineLevel="1">
      <c r="A154" s="1" t="s">
        <v>174</v>
      </c>
      <c r="B154" s="91" t="s">
        <v>70</v>
      </c>
      <c r="C154" s="132" t="s">
        <v>243</v>
      </c>
      <c r="D154" s="116">
        <f>SUMIFS('IS Proforma'!P:P,'IS Proforma'!$C:$C,'Opex Departments'!$C154,'IS Proforma'!$A:$A,'Opex Departments'!$A154)</f>
        <v>2355</v>
      </c>
      <c r="E154" s="116">
        <f>SUMIFS('IS Proforma'!Q:Q,'IS Proforma'!$C:$C,'Opex Departments'!$C154,'IS Proforma'!$A:$A,'Opex Departments'!$A154)</f>
        <v>1011</v>
      </c>
      <c r="F154" s="116">
        <f>SUMIFS('IS Proforma'!R:R,'IS Proforma'!$C:$C,'Opex Departments'!$C154,'IS Proforma'!$A:$A,'Opex Departments'!$A154)</f>
        <v>1217</v>
      </c>
      <c r="G154" s="116">
        <f>SUMIFS('IS Proforma'!S:S,'IS Proforma'!$C:$C,'Opex Departments'!$C154,'IS Proforma'!$A:$A,'Opex Departments'!$A154)</f>
        <v>1485</v>
      </c>
      <c r="H154" s="116">
        <f>SUMIFS('IS Proforma'!T:T,'IS Proforma'!$C:$C,'Opex Departments'!$C154,'IS Proforma'!$A:$A,'Opex Departments'!$A154)</f>
        <v>2024</v>
      </c>
      <c r="I154" s="116">
        <f>SUMIFS('IS Proforma'!U:U,'IS Proforma'!$C:$C,'Opex Departments'!$C154,'IS Proforma'!$A:$A,'Opex Departments'!$A154)</f>
        <v>2283</v>
      </c>
      <c r="J154" s="116">
        <f>SUMIFS('IS Proforma'!V:V,'IS Proforma'!$C:$C,'Opex Departments'!$C154,'IS Proforma'!$A:$A,'Opex Departments'!$A154)</f>
        <v>1546</v>
      </c>
      <c r="K154" s="116">
        <f>SUMIFS('IS Proforma'!W:W,'IS Proforma'!$C:$C,'Opex Departments'!$C154,'IS Proforma'!$A:$A,'Opex Departments'!$A154)</f>
        <v>1301</v>
      </c>
      <c r="L154" s="116">
        <f>SUMIFS('IS Proforma'!X:X,'IS Proforma'!$C:$C,'Opex Departments'!$C154,'IS Proforma'!$A:$A,'Opex Departments'!$A154)</f>
        <v>1214</v>
      </c>
      <c r="M154" s="116">
        <f>SUMIFS('IS Proforma'!Y:Y,'IS Proforma'!$C:$C,'Opex Departments'!$C154,'IS Proforma'!$A:$A,'Opex Departments'!$A154)</f>
        <v>2290</v>
      </c>
      <c r="N154" s="116">
        <f>SUMIFS('IS Proforma'!Z:Z,'IS Proforma'!$C:$C,'Opex Departments'!$C154,'IS Proforma'!$A:$A,'Opex Departments'!$A154)</f>
        <v>2072</v>
      </c>
      <c r="O154" s="116">
        <f>SUMIFS('IS Proforma'!AA:AA,'IS Proforma'!$C:$C,'Opex Departments'!$C154,'IS Proforma'!$A:$A,'Opex Departments'!$A154)</f>
        <v>2319</v>
      </c>
      <c r="P154" s="116">
        <f>SUMIFS('IS Proforma'!AB:AB,'IS Proforma'!$C:$C,'Opex Departments'!$C154,'IS Proforma'!$A:$A,'Opex Departments'!$A154)</f>
        <v>2164</v>
      </c>
      <c r="Q154" s="116">
        <f>SUMIFS('IS Proforma'!AC:AC,'IS Proforma'!$C:$C,'Opex Departments'!$C154,'IS Proforma'!$A:$A,'Opex Departments'!$A154)</f>
        <v>1688</v>
      </c>
      <c r="R154" s="116">
        <f>SUMIFS('IS Proforma'!AD:AD,'IS Proforma'!$C:$C,'Opex Departments'!$C154,'IS Proforma'!$A:$A,'Opex Departments'!$A154)</f>
        <v>2037</v>
      </c>
      <c r="S154" s="116">
        <f>SUMIFS('IS Proforma'!AE:AE,'IS Proforma'!$C:$C,'Opex Departments'!$C154,'IS Proforma'!$A:$A,'Opex Departments'!$A154)</f>
        <v>2131</v>
      </c>
      <c r="T154" s="116">
        <f>SUMIFS('IS Proforma'!AF:AF,'IS Proforma'!$C:$C,'Opex Departments'!$C154,'IS Proforma'!$A:$A,'Opex Departments'!$A154)</f>
        <v>1392</v>
      </c>
      <c r="U154" s="116">
        <f>SUMIFS('IS Proforma'!AG:AG,'IS Proforma'!$C:$C,'Opex Departments'!$C154,'IS Proforma'!$A:$A,'Opex Departments'!$A154)</f>
        <v>1200</v>
      </c>
      <c r="V154" s="116">
        <f>SUMIFS('IS Proforma'!AH:AH,'IS Proforma'!$C:$C,'Opex Departments'!$C154,'IS Proforma'!$A:$A,'Opex Departments'!$A154)</f>
        <v>2014</v>
      </c>
      <c r="W154" s="116">
        <f>SUMIFS('IS Proforma'!AI:AI,'IS Proforma'!$C:$C,'Opex Departments'!$C154,'IS Proforma'!$A:$A,'Opex Departments'!$A154)</f>
        <v>1314</v>
      </c>
      <c r="X154" s="116">
        <f>SUMIFS('IS Proforma'!AJ:AJ,'IS Proforma'!$C:$C,'Opex Departments'!$C154,'IS Proforma'!$A:$A,'Opex Departments'!$A154)</f>
        <v>2048</v>
      </c>
      <c r="Y154" s="116">
        <f>SUMIFS('IS Proforma'!AK:AK,'IS Proforma'!$C:$C,'Opex Departments'!$C154,'IS Proforma'!$A:$A,'Opex Departments'!$A154)</f>
        <v>1053</v>
      </c>
      <c r="Z154" s="116">
        <f>SUMIFS('IS Proforma'!AL:AL,'IS Proforma'!$C:$C,'Opex Departments'!$C154,'IS Proforma'!$A:$A,'Opex Departments'!$A154)</f>
        <v>1913</v>
      </c>
      <c r="AA154" s="116">
        <f>SUMIFS('IS Proforma'!AM:AM,'IS Proforma'!$C:$C,'Opex Departments'!$C154,'IS Proforma'!$A:$A,'Opex Departments'!$A154)</f>
        <v>2494.2</v>
      </c>
      <c r="AB154" s="116">
        <f>SUMIFS('IS Proforma'!AN:AN,'IS Proforma'!$C:$C,'Opex Departments'!$C154,'IS Proforma'!$A:$A,'Opex Departments'!$A154)</f>
        <v>5494.2</v>
      </c>
      <c r="AC154" s="116">
        <f>SUMIFS('IS Proforma'!AO:AO,'IS Proforma'!$C:$C,'Opex Departments'!$C154,'IS Proforma'!$A:$A,'Opex Departments'!$A154)</f>
        <v>5494.2</v>
      </c>
      <c r="AD154" s="116">
        <f>SUMIFS('IS Proforma'!AP:AP,'IS Proforma'!$C:$C,'Opex Departments'!$C154,'IS Proforma'!$A:$A,'Opex Departments'!$A154)</f>
        <v>5494.2</v>
      </c>
      <c r="AE154" s="116">
        <f>SUMIFS('IS Proforma'!AQ:AQ,'IS Proforma'!$C:$C,'Opex Departments'!$C154,'IS Proforma'!$A:$A,'Opex Departments'!$A154)</f>
        <v>5494.2</v>
      </c>
      <c r="AF154" s="116">
        <f>SUMIFS('IS Proforma'!AR:AR,'IS Proforma'!$C:$C,'Opex Departments'!$C154,'IS Proforma'!$A:$A,'Opex Departments'!$A154)</f>
        <v>8494.2</v>
      </c>
      <c r="AG154" s="116">
        <f>SUMIFS('IS Proforma'!AS:AS,'IS Proforma'!$C:$C,'Opex Departments'!$C154,'IS Proforma'!$A:$A,'Opex Departments'!$A154)</f>
        <v>8494.2</v>
      </c>
      <c r="AH154" s="116">
        <f>SUMIFS('IS Proforma'!AT:AT,'IS Proforma'!$C:$C,'Opex Departments'!$C154,'IS Proforma'!$A:$A,'Opex Departments'!$A154)</f>
        <v>8494.2</v>
      </c>
      <c r="AI154" s="116">
        <f>SUMIFS('IS Proforma'!AU:AU,'IS Proforma'!$C:$C,'Opex Departments'!$C154,'IS Proforma'!$A:$A,'Opex Departments'!$A154)</f>
        <v>8494.2</v>
      </c>
      <c r="AJ154" s="116">
        <f>SUMIFS('IS Proforma'!AV:AV,'IS Proforma'!$C:$C,'Opex Departments'!$C154,'IS Proforma'!$A:$A,'Opex Departments'!$A154)</f>
        <v>11494.2</v>
      </c>
      <c r="AK154" s="116">
        <f>SUMIFS('IS Proforma'!AW:AW,'IS Proforma'!$C:$C,'Opex Departments'!$C154,'IS Proforma'!$A:$A,'Opex Departments'!$A154)</f>
        <v>11494.2</v>
      </c>
      <c r="AL154" s="116">
        <f>SUMIFS('IS Proforma'!AX:AX,'IS Proforma'!$C:$C,'Opex Departments'!$C154,'IS Proforma'!$A:$A,'Opex Departments'!$A154)</f>
        <v>11494.2</v>
      </c>
      <c r="AM154" s="116">
        <f>SUMIFS('IS Proforma'!AY:AY,'IS Proforma'!$C:$C,'Opex Departments'!$C154,'IS Proforma'!$A:$A,'Opex Departments'!$A154)</f>
        <v>11494.2</v>
      </c>
      <c r="AN154" s="116">
        <f>SUMIFS('IS Proforma'!AZ:AZ,'IS Proforma'!$C:$C,'Opex Departments'!$C154,'IS Proforma'!$A:$A,'Opex Departments'!$A154)</f>
        <v>11494.2</v>
      </c>
      <c r="AO154" s="116">
        <f>SUMIFS('IS Proforma'!BA:BA,'IS Proforma'!$C:$C,'Opex Departments'!$C154,'IS Proforma'!$A:$A,'Opex Departments'!$A154)</f>
        <v>11494.2</v>
      </c>
      <c r="AP154" s="116">
        <f>SUMIFS('IS Proforma'!BB:BB,'IS Proforma'!$C:$C,'Opex Departments'!$C154,'IS Proforma'!$A:$A,'Opex Departments'!$A154)</f>
        <v>11494.2</v>
      </c>
      <c r="AQ154" s="116">
        <f>SUMIFS('IS Proforma'!BC:BC,'IS Proforma'!$C:$C,'Opex Departments'!$C154,'IS Proforma'!$A:$A,'Opex Departments'!$A154)</f>
        <v>11494.2</v>
      </c>
      <c r="AR154" s="116">
        <f>SUMIFS('IS Proforma'!BD:BD,'IS Proforma'!$C:$C,'Opex Departments'!$C154,'IS Proforma'!$A:$A,'Opex Departments'!$A154)</f>
        <v>11494.2</v>
      </c>
      <c r="AS154" s="116">
        <f>SUMIFS('IS Proforma'!BE:BE,'IS Proforma'!$C:$C,'Opex Departments'!$C154,'IS Proforma'!$A:$A,'Opex Departments'!$A154)</f>
        <v>11494.2</v>
      </c>
      <c r="AT154" s="116">
        <f>SUMIFS('IS Proforma'!BF:BF,'IS Proforma'!$C:$C,'Opex Departments'!$C154,'IS Proforma'!$A:$A,'Opex Departments'!$A154)</f>
        <v>11494.2</v>
      </c>
      <c r="AU154" s="116">
        <f>SUMIFS('IS Proforma'!BG:BG,'IS Proforma'!$C:$C,'Opex Departments'!$C154,'IS Proforma'!$A:$A,'Opex Departments'!$A154)</f>
        <v>11494.2</v>
      </c>
      <c r="AV154" s="116">
        <f>SUMIFS('IS Proforma'!BH:BH,'IS Proforma'!$C:$C,'Opex Departments'!$C154,'IS Proforma'!$A:$A,'Opex Departments'!$A154)</f>
        <v>13894.2</v>
      </c>
      <c r="AW154" s="116">
        <f>SUMIFS('IS Proforma'!BI:BI,'IS Proforma'!$C:$C,'Opex Departments'!$C154,'IS Proforma'!$A:$A,'Opex Departments'!$A154)</f>
        <v>13894.2</v>
      </c>
      <c r="AX154" s="116">
        <f>SUMIFS('IS Proforma'!BJ:BJ,'IS Proforma'!$C:$C,'Opex Departments'!$C154,'IS Proforma'!$A:$A,'Opex Departments'!$A154)</f>
        <v>13894.2</v>
      </c>
      <c r="AY154" s="116">
        <f>SUMIFS('IS Proforma'!BK:BK,'IS Proforma'!$C:$C,'Opex Departments'!$C154,'IS Proforma'!$A:$A,'Opex Departments'!$A154)</f>
        <v>13894.2</v>
      </c>
      <c r="AZ154" s="116">
        <f>SUMIFS('IS Proforma'!BL:BL,'IS Proforma'!$C:$C,'Opex Departments'!$C154,'IS Proforma'!$A:$A,'Opex Departments'!$A154)</f>
        <v>19894.2</v>
      </c>
      <c r="BA154" s="116">
        <f>SUMIFS('IS Proforma'!BM:BM,'IS Proforma'!$C:$C,'Opex Departments'!$C154,'IS Proforma'!$A:$A,'Opex Departments'!$A154)</f>
        <v>19894.2</v>
      </c>
      <c r="BB154" s="116">
        <f>SUMIFS('IS Proforma'!BN:BN,'IS Proforma'!$C:$C,'Opex Departments'!$C154,'IS Proforma'!$A:$A,'Opex Departments'!$A154)</f>
        <v>19894.2</v>
      </c>
      <c r="BC154" s="116">
        <f>SUMIFS('IS Proforma'!BO:BO,'IS Proforma'!$C:$C,'Opex Departments'!$C154,'IS Proforma'!$A:$A,'Opex Departments'!$A154)</f>
        <v>19894.2</v>
      </c>
      <c r="BD154" s="116">
        <f>SUMIFS('IS Proforma'!BP:BP,'IS Proforma'!$C:$C,'Opex Departments'!$C154,'IS Proforma'!$A:$A,'Opex Departments'!$A154)</f>
        <v>25894.2</v>
      </c>
      <c r="BE154" s="116">
        <f>SUMIFS('IS Proforma'!BQ:BQ,'IS Proforma'!$C:$C,'Opex Departments'!$C154,'IS Proforma'!$A:$A,'Opex Departments'!$A154)</f>
        <v>25894.2</v>
      </c>
      <c r="BF154" s="116">
        <f>SUMIFS('IS Proforma'!BR:BR,'IS Proforma'!$C:$C,'Opex Departments'!$C154,'IS Proforma'!$A:$A,'Opex Departments'!$A154)</f>
        <v>25894.2</v>
      </c>
      <c r="BG154" s="116">
        <f>SUMIFS('IS Proforma'!BS:BS,'IS Proforma'!$C:$C,'Opex Departments'!$C154,'IS Proforma'!$A:$A,'Opex Departments'!$A154)</f>
        <v>25894.2</v>
      </c>
      <c r="BH154" s="116">
        <f>SUMIFS('IS Proforma'!BT:BT,'IS Proforma'!$C:$C,'Opex Departments'!$C154,'IS Proforma'!$A:$A,'Opex Departments'!$A154)</f>
        <v>31894.2</v>
      </c>
      <c r="BI154" s="116">
        <f>SUMIFS('IS Proforma'!BU:BU,'IS Proforma'!$C:$C,'Opex Departments'!$C154,'IS Proforma'!$A:$A,'Opex Departments'!$A154)</f>
        <v>31894.2</v>
      </c>
      <c r="BJ154" s="116">
        <f>SUMIFS('IS Proforma'!BV:BV,'IS Proforma'!$C:$C,'Opex Departments'!$C154,'IS Proforma'!$A:$A,'Opex Departments'!$A154)</f>
        <v>31894.2</v>
      </c>
      <c r="BK154" s="116">
        <f>SUMIFS('IS Proforma'!BW:BW,'IS Proforma'!$C:$C,'Opex Departments'!$C154,'IS Proforma'!$A:$A,'Opex Departments'!$A154)</f>
        <v>31894.2</v>
      </c>
      <c r="BL154" s="116">
        <f>SUMIFS('IS Proforma'!BX:BX,'IS Proforma'!$C:$C,'Opex Departments'!$C154,'IS Proforma'!$A:$A,'Opex Departments'!$A154)</f>
        <v>32014.2</v>
      </c>
      <c r="BM154" s="116">
        <f>SUMIFS('IS Proforma'!BY:BY,'IS Proforma'!$C:$C,'Opex Departments'!$C154,'IS Proforma'!$A:$A,'Opex Departments'!$A154)</f>
        <v>32014.2</v>
      </c>
      <c r="BN154" s="116">
        <f>SUMIFS('IS Proforma'!BZ:BZ,'IS Proforma'!$C:$C,'Opex Departments'!$C154,'IS Proforma'!$A:$A,'Opex Departments'!$A154)</f>
        <v>32014.2</v>
      </c>
      <c r="BO154" s="116">
        <f>SUMIFS('IS Proforma'!CA:CA,'IS Proforma'!$C:$C,'Opex Departments'!$C154,'IS Proforma'!$A:$A,'Opex Departments'!$A154)</f>
        <v>32014.2</v>
      </c>
      <c r="BP154" s="116">
        <f>SUMIFS('IS Proforma'!CB:CB,'IS Proforma'!$C:$C,'Opex Departments'!$C154,'IS Proforma'!$A:$A,'Opex Departments'!$A154)</f>
        <v>32134.2</v>
      </c>
      <c r="BQ154" s="116">
        <f>SUMIFS('IS Proforma'!CC:CC,'IS Proforma'!$C:$C,'Opex Departments'!$C154,'IS Proforma'!$A:$A,'Opex Departments'!$A154)</f>
        <v>32134.2</v>
      </c>
      <c r="BR154" s="116">
        <f>SUMIFS('IS Proforma'!CD:CD,'IS Proforma'!$C:$C,'Opex Departments'!$C154,'IS Proforma'!$A:$A,'Opex Departments'!$A154)</f>
        <v>32134.2</v>
      </c>
      <c r="BS154" s="116">
        <f>SUMIFS('IS Proforma'!CE:CE,'IS Proforma'!$C:$C,'Opex Departments'!$C154,'IS Proforma'!$A:$A,'Opex Departments'!$A154)</f>
        <v>32134.2</v>
      </c>
      <c r="BT154" s="116">
        <f>SUMIFS('IS Proforma'!CF:CF,'IS Proforma'!$C:$C,'Opex Departments'!$C154,'IS Proforma'!$A:$A,'Opex Departments'!$A154)</f>
        <v>32254.2</v>
      </c>
      <c r="BU154" s="116">
        <f>SUMIFS('IS Proforma'!CG:CG,'IS Proforma'!$C:$C,'Opex Departments'!$C154,'IS Proforma'!$A:$A,'Opex Departments'!$A154)</f>
        <v>32254.2</v>
      </c>
      <c r="BV154" s="116">
        <f>SUMIFS('IS Proforma'!CH:CH,'IS Proforma'!$C:$C,'Opex Departments'!$C154,'IS Proforma'!$A:$A,'Opex Departments'!$A154)</f>
        <v>32254.2</v>
      </c>
      <c r="BW154" s="116">
        <f>SUMIFS('IS Proforma'!CI:CI,'IS Proforma'!$C:$C,'Opex Departments'!$C154,'IS Proforma'!$A:$A,'Opex Departments'!$A154)</f>
        <v>32254.2</v>
      </c>
      <c r="BX154" s="116">
        <f>SUMIFS('IS Proforma'!CJ:CJ,'IS Proforma'!$C:$C,'Opex Departments'!$C154,'IS Proforma'!$A:$A,'Opex Departments'!$A154)</f>
        <v>32374.2</v>
      </c>
      <c r="BY154" s="116">
        <f>SUMIFS('IS Proforma'!CK:CK,'IS Proforma'!$C:$C,'Opex Departments'!$C154,'IS Proforma'!$A:$A,'Opex Departments'!$A154)</f>
        <v>32374.2</v>
      </c>
      <c r="BZ154" s="116">
        <f>SUMIFS('IS Proforma'!CL:CL,'IS Proforma'!$C:$C,'Opex Departments'!$C154,'IS Proforma'!$A:$A,'Opex Departments'!$A154)</f>
        <v>32374.2</v>
      </c>
      <c r="CA154" s="116">
        <f>SUMIFS('IS Proforma'!CM:CM,'IS Proforma'!$C:$C,'Opex Departments'!$C154,'IS Proforma'!$A:$A,'Opex Departments'!$A154)</f>
        <v>32374.2</v>
      </c>
      <c r="CB154" s="116">
        <f>SUMIFS('IS Proforma'!CN:CN,'IS Proforma'!$C:$C,'Opex Departments'!$C154,'IS Proforma'!$A:$A,'Opex Departments'!$A154)</f>
        <v>32494.2</v>
      </c>
      <c r="CC154" s="116">
        <f>SUMIFS('IS Proforma'!CO:CO,'IS Proforma'!$C:$C,'Opex Departments'!$C154,'IS Proforma'!$A:$A,'Opex Departments'!$A154)</f>
        <v>32494.2</v>
      </c>
      <c r="CD154" s="116">
        <f>SUMIFS('IS Proforma'!CP:CP,'IS Proforma'!$C:$C,'Opex Departments'!$C154,'IS Proforma'!$A:$A,'Opex Departments'!$A154)</f>
        <v>32494.2</v>
      </c>
      <c r="CE154" s="116">
        <f>SUMIFS('IS Proforma'!CQ:CQ,'IS Proforma'!$C:$C,'Opex Departments'!$C154,'IS Proforma'!$A:$A,'Opex Departments'!$A154)</f>
        <v>32494.2</v>
      </c>
      <c r="CF154" s="116">
        <f>SUMIFS('IS Proforma'!CR:CR,'IS Proforma'!$C:$C,'Opex Departments'!$C154,'IS Proforma'!$A:$A,'Opex Departments'!$A154)</f>
        <v>33994.2</v>
      </c>
      <c r="CG154" s="116">
        <f>SUMIFS('IS Proforma'!CS:CS,'IS Proforma'!$C:$C,'Opex Departments'!$C154,'IS Proforma'!$A:$A,'Opex Departments'!$A154)</f>
        <v>33994.2</v>
      </c>
      <c r="CH154" s="116">
        <f>SUMIFS('IS Proforma'!CT:CT,'IS Proforma'!$C:$C,'Opex Departments'!$C154,'IS Proforma'!$A:$A,'Opex Departments'!$A154)</f>
        <v>33994.2</v>
      </c>
      <c r="CI154" s="116">
        <f>SUMIFS('IS Proforma'!CU:CU,'IS Proforma'!$C:$C,'Opex Departments'!$C154,'IS Proforma'!$A:$A,'Opex Departments'!$A154)</f>
        <v>33994.2</v>
      </c>
    </row>
    <row r="155" ht="15.75" customHeight="1" outlineLevel="1">
      <c r="A155" s="1" t="s">
        <v>174</v>
      </c>
      <c r="B155" s="91" t="s">
        <v>120</v>
      </c>
      <c r="C155" s="132" t="s">
        <v>244</v>
      </c>
      <c r="D155" s="116">
        <f>SUMIFS('IS Proforma'!P:P,'IS Proforma'!$C:$C,'Opex Departments'!$C155,'IS Proforma'!$A:$A,'Opex Departments'!$A155)</f>
        <v>1875</v>
      </c>
      <c r="E155" s="116">
        <f>SUMIFS('IS Proforma'!Q:Q,'IS Proforma'!$C:$C,'Opex Departments'!$C155,'IS Proforma'!$A:$A,'Opex Departments'!$A155)</f>
        <v>1506</v>
      </c>
      <c r="F155" s="116">
        <f>SUMIFS('IS Proforma'!R:R,'IS Proforma'!$C:$C,'Opex Departments'!$C155,'IS Proforma'!$A:$A,'Opex Departments'!$A155)</f>
        <v>1653</v>
      </c>
      <c r="G155" s="116">
        <f>SUMIFS('IS Proforma'!S:S,'IS Proforma'!$C:$C,'Opex Departments'!$C155,'IS Proforma'!$A:$A,'Opex Departments'!$A155)</f>
        <v>1664</v>
      </c>
      <c r="H155" s="116">
        <f>SUMIFS('IS Proforma'!T:T,'IS Proforma'!$C:$C,'Opex Departments'!$C155,'IS Proforma'!$A:$A,'Opex Departments'!$A155)</f>
        <v>1496</v>
      </c>
      <c r="I155" s="116">
        <f>SUMIFS('IS Proforma'!U:U,'IS Proforma'!$C:$C,'Opex Departments'!$C155,'IS Proforma'!$A:$A,'Opex Departments'!$A155)</f>
        <v>1752</v>
      </c>
      <c r="J155" s="116">
        <f>SUMIFS('IS Proforma'!V:V,'IS Proforma'!$C:$C,'Opex Departments'!$C155,'IS Proforma'!$A:$A,'Opex Departments'!$A155)</f>
        <v>1848</v>
      </c>
      <c r="K155" s="116">
        <f>SUMIFS('IS Proforma'!W:W,'IS Proforma'!$C:$C,'Opex Departments'!$C155,'IS Proforma'!$A:$A,'Opex Departments'!$A155)</f>
        <v>1083</v>
      </c>
      <c r="L155" s="116">
        <f>SUMIFS('IS Proforma'!X:X,'IS Proforma'!$C:$C,'Opex Departments'!$C155,'IS Proforma'!$A:$A,'Opex Departments'!$A155)</f>
        <v>1774</v>
      </c>
      <c r="M155" s="116">
        <f>SUMIFS('IS Proforma'!Y:Y,'IS Proforma'!$C:$C,'Opex Departments'!$C155,'IS Proforma'!$A:$A,'Opex Departments'!$A155)</f>
        <v>1376</v>
      </c>
      <c r="N155" s="116">
        <f>SUMIFS('IS Proforma'!Z:Z,'IS Proforma'!$C:$C,'Opex Departments'!$C155,'IS Proforma'!$A:$A,'Opex Departments'!$A155)</f>
        <v>2124</v>
      </c>
      <c r="O155" s="116">
        <f>SUMIFS('IS Proforma'!AA:AA,'IS Proforma'!$C:$C,'Opex Departments'!$C155,'IS Proforma'!$A:$A,'Opex Departments'!$A155)</f>
        <v>1514</v>
      </c>
      <c r="P155" s="116">
        <f>SUMIFS('IS Proforma'!AB:AB,'IS Proforma'!$C:$C,'Opex Departments'!$C155,'IS Proforma'!$A:$A,'Opex Departments'!$A155)</f>
        <v>1162</v>
      </c>
      <c r="Q155" s="116">
        <f>SUMIFS('IS Proforma'!AC:AC,'IS Proforma'!$C:$C,'Opex Departments'!$C155,'IS Proforma'!$A:$A,'Opex Departments'!$A155)</f>
        <v>1899</v>
      </c>
      <c r="R155" s="116">
        <f>SUMIFS('IS Proforma'!AD:AD,'IS Proforma'!$C:$C,'Opex Departments'!$C155,'IS Proforma'!$A:$A,'Opex Departments'!$A155)</f>
        <v>1793</v>
      </c>
      <c r="S155" s="116">
        <f>SUMIFS('IS Proforma'!AE:AE,'IS Proforma'!$C:$C,'Opex Departments'!$C155,'IS Proforma'!$A:$A,'Opex Departments'!$A155)</f>
        <v>1862</v>
      </c>
      <c r="T155" s="116">
        <f>SUMIFS('IS Proforma'!AF:AF,'IS Proforma'!$C:$C,'Opex Departments'!$C155,'IS Proforma'!$A:$A,'Opex Departments'!$A155)</f>
        <v>1934</v>
      </c>
      <c r="U155" s="116">
        <f>SUMIFS('IS Proforma'!AG:AG,'IS Proforma'!$C:$C,'Opex Departments'!$C155,'IS Proforma'!$A:$A,'Opex Departments'!$A155)</f>
        <v>2224</v>
      </c>
      <c r="V155" s="116">
        <f>SUMIFS('IS Proforma'!AH:AH,'IS Proforma'!$C:$C,'Opex Departments'!$C155,'IS Proforma'!$A:$A,'Opex Departments'!$A155)</f>
        <v>1277</v>
      </c>
      <c r="W155" s="116">
        <f>SUMIFS('IS Proforma'!AI:AI,'IS Proforma'!$C:$C,'Opex Departments'!$C155,'IS Proforma'!$A:$A,'Opex Departments'!$A155)</f>
        <v>1605</v>
      </c>
      <c r="X155" s="116">
        <f>SUMIFS('IS Proforma'!AJ:AJ,'IS Proforma'!$C:$C,'Opex Departments'!$C155,'IS Proforma'!$A:$A,'Opex Departments'!$A155)</f>
        <v>1875</v>
      </c>
      <c r="Y155" s="116">
        <f>SUMIFS('IS Proforma'!AK:AK,'IS Proforma'!$C:$C,'Opex Departments'!$C155,'IS Proforma'!$A:$A,'Opex Departments'!$A155)</f>
        <v>1530</v>
      </c>
      <c r="Z155" s="116">
        <f>SUMIFS('IS Proforma'!AL:AL,'IS Proforma'!$C:$C,'Opex Departments'!$C155,'IS Proforma'!$A:$A,'Opex Departments'!$A155)</f>
        <v>2039</v>
      </c>
      <c r="AA155" s="116">
        <f>SUMIFS('IS Proforma'!AM:AM,'IS Proforma'!$C:$C,'Opex Departments'!$C155,'IS Proforma'!$A:$A,'Opex Departments'!$A155)</f>
        <v>1937.05</v>
      </c>
      <c r="AB155" s="116">
        <f>SUMIFS('IS Proforma'!AN:AN,'IS Proforma'!$C:$C,'Opex Departments'!$C155,'IS Proforma'!$A:$A,'Opex Departments'!$A155)</f>
        <v>2033.9025</v>
      </c>
      <c r="AC155" s="116">
        <f>SUMIFS('IS Proforma'!AO:AO,'IS Proforma'!$C:$C,'Opex Departments'!$C155,'IS Proforma'!$A:$A,'Opex Departments'!$A155)</f>
        <v>2033.9025</v>
      </c>
      <c r="AD155" s="116">
        <f>SUMIFS('IS Proforma'!AP:AP,'IS Proforma'!$C:$C,'Opex Departments'!$C155,'IS Proforma'!$A:$A,'Opex Departments'!$A155)</f>
        <v>2033.9025</v>
      </c>
      <c r="AE155" s="116">
        <f>SUMIFS('IS Proforma'!AQ:AQ,'IS Proforma'!$C:$C,'Opex Departments'!$C155,'IS Proforma'!$A:$A,'Opex Departments'!$A155)</f>
        <v>2033.9025</v>
      </c>
      <c r="AF155" s="116">
        <f>SUMIFS('IS Proforma'!AR:AR,'IS Proforma'!$C:$C,'Opex Departments'!$C155,'IS Proforma'!$A:$A,'Opex Departments'!$A155)</f>
        <v>2033.9025</v>
      </c>
      <c r="AG155" s="116">
        <f>SUMIFS('IS Proforma'!AS:AS,'IS Proforma'!$C:$C,'Opex Departments'!$C155,'IS Proforma'!$A:$A,'Opex Departments'!$A155)</f>
        <v>2033.9025</v>
      </c>
      <c r="AH155" s="116">
        <f>SUMIFS('IS Proforma'!AT:AT,'IS Proforma'!$C:$C,'Opex Departments'!$C155,'IS Proforma'!$A:$A,'Opex Departments'!$A155)</f>
        <v>2033.9025</v>
      </c>
      <c r="AI155" s="116">
        <f>SUMIFS('IS Proforma'!AU:AU,'IS Proforma'!$C:$C,'Opex Departments'!$C155,'IS Proforma'!$A:$A,'Opex Departments'!$A155)</f>
        <v>2033.9025</v>
      </c>
      <c r="AJ155" s="116">
        <f>SUMIFS('IS Proforma'!AV:AV,'IS Proforma'!$C:$C,'Opex Departments'!$C155,'IS Proforma'!$A:$A,'Opex Departments'!$A155)</f>
        <v>2033.9025</v>
      </c>
      <c r="AK155" s="116">
        <f>SUMIFS('IS Proforma'!AW:AW,'IS Proforma'!$C:$C,'Opex Departments'!$C155,'IS Proforma'!$A:$A,'Opex Departments'!$A155)</f>
        <v>2033.9025</v>
      </c>
      <c r="AL155" s="116">
        <f>SUMIFS('IS Proforma'!AX:AX,'IS Proforma'!$C:$C,'Opex Departments'!$C155,'IS Proforma'!$A:$A,'Opex Departments'!$A155)</f>
        <v>2033.9025</v>
      </c>
      <c r="AM155" s="116">
        <f>SUMIFS('IS Proforma'!AY:AY,'IS Proforma'!$C:$C,'Opex Departments'!$C155,'IS Proforma'!$A:$A,'Opex Departments'!$A155)</f>
        <v>2033.9025</v>
      </c>
      <c r="AN155" s="116">
        <f>SUMIFS('IS Proforma'!AZ:AZ,'IS Proforma'!$C:$C,'Opex Departments'!$C155,'IS Proforma'!$A:$A,'Opex Departments'!$A155)</f>
        <v>2054.241525</v>
      </c>
      <c r="AO155" s="116">
        <f>SUMIFS('IS Proforma'!BA:BA,'IS Proforma'!$C:$C,'Opex Departments'!$C155,'IS Proforma'!$A:$A,'Opex Departments'!$A155)</f>
        <v>2074.78394</v>
      </c>
      <c r="AP155" s="116">
        <f>SUMIFS('IS Proforma'!BB:BB,'IS Proforma'!$C:$C,'Opex Departments'!$C155,'IS Proforma'!$A:$A,'Opex Departments'!$A155)</f>
        <v>2095.53178</v>
      </c>
      <c r="AQ155" s="116">
        <f>SUMIFS('IS Proforma'!BC:BC,'IS Proforma'!$C:$C,'Opex Departments'!$C155,'IS Proforma'!$A:$A,'Opex Departments'!$A155)</f>
        <v>2116.487097</v>
      </c>
      <c r="AR155" s="116">
        <f>SUMIFS('IS Proforma'!BD:BD,'IS Proforma'!$C:$C,'Opex Departments'!$C155,'IS Proforma'!$A:$A,'Opex Departments'!$A155)</f>
        <v>2137.651968</v>
      </c>
      <c r="AS155" s="116">
        <f>SUMIFS('IS Proforma'!BE:BE,'IS Proforma'!$C:$C,'Opex Departments'!$C155,'IS Proforma'!$A:$A,'Opex Departments'!$A155)</f>
        <v>2159.028488</v>
      </c>
      <c r="AT155" s="116">
        <f>SUMIFS('IS Proforma'!BF:BF,'IS Proforma'!$C:$C,'Opex Departments'!$C155,'IS Proforma'!$A:$A,'Opex Departments'!$A155)</f>
        <v>2180.618773</v>
      </c>
      <c r="AU155" s="116">
        <f>SUMIFS('IS Proforma'!BG:BG,'IS Proforma'!$C:$C,'Opex Departments'!$C155,'IS Proforma'!$A:$A,'Opex Departments'!$A155)</f>
        <v>2202.424961</v>
      </c>
      <c r="AV155" s="116">
        <f>SUMIFS('IS Proforma'!BH:BH,'IS Proforma'!$C:$C,'Opex Departments'!$C155,'IS Proforma'!$A:$A,'Opex Departments'!$A155)</f>
        <v>2224.44921</v>
      </c>
      <c r="AW155" s="116">
        <f>SUMIFS('IS Proforma'!BI:BI,'IS Proforma'!$C:$C,'Opex Departments'!$C155,'IS Proforma'!$A:$A,'Opex Departments'!$A155)</f>
        <v>2246.693702</v>
      </c>
      <c r="AX155" s="116">
        <f>SUMIFS('IS Proforma'!BJ:BJ,'IS Proforma'!$C:$C,'Opex Departments'!$C155,'IS Proforma'!$A:$A,'Opex Departments'!$A155)</f>
        <v>2269.160639</v>
      </c>
      <c r="AY155" s="116">
        <f>SUMIFS('IS Proforma'!BK:BK,'IS Proforma'!$C:$C,'Opex Departments'!$C155,'IS Proforma'!$A:$A,'Opex Departments'!$A155)</f>
        <v>2291.852246</v>
      </c>
      <c r="AZ155" s="116">
        <f>SUMIFS('IS Proforma'!BL:BL,'IS Proforma'!$C:$C,'Opex Departments'!$C155,'IS Proforma'!$A:$A,'Opex Departments'!$A155)</f>
        <v>2314.770768</v>
      </c>
      <c r="BA155" s="116">
        <f>SUMIFS('IS Proforma'!BM:BM,'IS Proforma'!$C:$C,'Opex Departments'!$C155,'IS Proforma'!$A:$A,'Opex Departments'!$A155)</f>
        <v>2337.918476</v>
      </c>
      <c r="BB155" s="116">
        <f>SUMIFS('IS Proforma'!BN:BN,'IS Proforma'!$C:$C,'Opex Departments'!$C155,'IS Proforma'!$A:$A,'Opex Departments'!$A155)</f>
        <v>2361.297661</v>
      </c>
      <c r="BC155" s="116">
        <f>SUMIFS('IS Proforma'!BO:BO,'IS Proforma'!$C:$C,'Opex Departments'!$C155,'IS Proforma'!$A:$A,'Opex Departments'!$A155)</f>
        <v>2384.910637</v>
      </c>
      <c r="BD155" s="116">
        <f>SUMIFS('IS Proforma'!BP:BP,'IS Proforma'!$C:$C,'Opex Departments'!$C155,'IS Proforma'!$A:$A,'Opex Departments'!$A155)</f>
        <v>2408.759744</v>
      </c>
      <c r="BE155" s="116">
        <f>SUMIFS('IS Proforma'!BQ:BQ,'IS Proforma'!$C:$C,'Opex Departments'!$C155,'IS Proforma'!$A:$A,'Opex Departments'!$A155)</f>
        <v>2432.847341</v>
      </c>
      <c r="BF155" s="116">
        <f>SUMIFS('IS Proforma'!BR:BR,'IS Proforma'!$C:$C,'Opex Departments'!$C155,'IS Proforma'!$A:$A,'Opex Departments'!$A155)</f>
        <v>2457.175815</v>
      </c>
      <c r="BG155" s="116">
        <f>SUMIFS('IS Proforma'!BS:BS,'IS Proforma'!$C:$C,'Opex Departments'!$C155,'IS Proforma'!$A:$A,'Opex Departments'!$A155)</f>
        <v>2481.747573</v>
      </c>
      <c r="BH155" s="116">
        <f>SUMIFS('IS Proforma'!BT:BT,'IS Proforma'!$C:$C,'Opex Departments'!$C155,'IS Proforma'!$A:$A,'Opex Departments'!$A155)</f>
        <v>2506.565048</v>
      </c>
      <c r="BI155" s="116">
        <f>SUMIFS('IS Proforma'!BU:BU,'IS Proforma'!$C:$C,'Opex Departments'!$C155,'IS Proforma'!$A:$A,'Opex Departments'!$A155)</f>
        <v>2531.630699</v>
      </c>
      <c r="BJ155" s="116">
        <f>SUMIFS('IS Proforma'!BV:BV,'IS Proforma'!$C:$C,'Opex Departments'!$C155,'IS Proforma'!$A:$A,'Opex Departments'!$A155)</f>
        <v>2556.947006</v>
      </c>
      <c r="BK155" s="116">
        <f>SUMIFS('IS Proforma'!BW:BW,'IS Proforma'!$C:$C,'Opex Departments'!$C155,'IS Proforma'!$A:$A,'Opex Departments'!$A155)</f>
        <v>2582.516476</v>
      </c>
      <c r="BL155" s="116">
        <f>SUMIFS('IS Proforma'!BX:BX,'IS Proforma'!$C:$C,'Opex Departments'!$C155,'IS Proforma'!$A:$A,'Opex Departments'!$A155)</f>
        <v>2608.341641</v>
      </c>
      <c r="BM155" s="116">
        <f>SUMIFS('IS Proforma'!BY:BY,'IS Proforma'!$C:$C,'Opex Departments'!$C155,'IS Proforma'!$A:$A,'Opex Departments'!$A155)</f>
        <v>2634.425057</v>
      </c>
      <c r="BN155" s="116">
        <f>SUMIFS('IS Proforma'!BZ:BZ,'IS Proforma'!$C:$C,'Opex Departments'!$C155,'IS Proforma'!$A:$A,'Opex Departments'!$A155)</f>
        <v>2660.769308</v>
      </c>
      <c r="BO155" s="116">
        <f>SUMIFS('IS Proforma'!CA:CA,'IS Proforma'!$C:$C,'Opex Departments'!$C155,'IS Proforma'!$A:$A,'Opex Departments'!$A155)</f>
        <v>2687.377001</v>
      </c>
      <c r="BP155" s="116">
        <f>SUMIFS('IS Proforma'!CB:CB,'IS Proforma'!$C:$C,'Opex Departments'!$C155,'IS Proforma'!$A:$A,'Opex Departments'!$A155)</f>
        <v>2714.250771</v>
      </c>
      <c r="BQ155" s="116">
        <f>SUMIFS('IS Proforma'!CC:CC,'IS Proforma'!$C:$C,'Opex Departments'!$C155,'IS Proforma'!$A:$A,'Opex Departments'!$A155)</f>
        <v>2741.393279</v>
      </c>
      <c r="BR155" s="116">
        <f>SUMIFS('IS Proforma'!CD:CD,'IS Proforma'!$C:$C,'Opex Departments'!$C155,'IS Proforma'!$A:$A,'Opex Departments'!$A155)</f>
        <v>2768.807211</v>
      </c>
      <c r="BS155" s="116">
        <f>SUMIFS('IS Proforma'!CE:CE,'IS Proforma'!$C:$C,'Opex Departments'!$C155,'IS Proforma'!$A:$A,'Opex Departments'!$A155)</f>
        <v>2796.495283</v>
      </c>
      <c r="BT155" s="116">
        <f>SUMIFS('IS Proforma'!CF:CF,'IS Proforma'!$C:$C,'Opex Departments'!$C155,'IS Proforma'!$A:$A,'Opex Departments'!$A155)</f>
        <v>2824.460236</v>
      </c>
      <c r="BU155" s="116">
        <f>SUMIFS('IS Proforma'!CG:CG,'IS Proforma'!$C:$C,'Opex Departments'!$C155,'IS Proforma'!$A:$A,'Opex Departments'!$A155)</f>
        <v>2852.704839</v>
      </c>
      <c r="BV155" s="116">
        <f>SUMIFS('IS Proforma'!CH:CH,'IS Proforma'!$C:$C,'Opex Departments'!$C155,'IS Proforma'!$A:$A,'Opex Departments'!$A155)</f>
        <v>2881.231887</v>
      </c>
      <c r="BW155" s="116">
        <f>SUMIFS('IS Proforma'!CI:CI,'IS Proforma'!$C:$C,'Opex Departments'!$C155,'IS Proforma'!$A:$A,'Opex Departments'!$A155)</f>
        <v>2910.044206</v>
      </c>
      <c r="BX155" s="116">
        <f>SUMIFS('IS Proforma'!CJ:CJ,'IS Proforma'!$C:$C,'Opex Departments'!$C155,'IS Proforma'!$A:$A,'Opex Departments'!$A155)</f>
        <v>2939.144648</v>
      </c>
      <c r="BY155" s="116">
        <f>SUMIFS('IS Proforma'!CK:CK,'IS Proforma'!$C:$C,'Opex Departments'!$C155,'IS Proforma'!$A:$A,'Opex Departments'!$A155)</f>
        <v>2968.536094</v>
      </c>
      <c r="BZ155" s="116">
        <f>SUMIFS('IS Proforma'!CL:CL,'IS Proforma'!$C:$C,'Opex Departments'!$C155,'IS Proforma'!$A:$A,'Opex Departments'!$A155)</f>
        <v>2998.221455</v>
      </c>
      <c r="CA155" s="116">
        <f>SUMIFS('IS Proforma'!CM:CM,'IS Proforma'!$C:$C,'Opex Departments'!$C155,'IS Proforma'!$A:$A,'Opex Departments'!$A155)</f>
        <v>3028.20367</v>
      </c>
      <c r="CB155" s="116">
        <f>SUMIFS('IS Proforma'!CN:CN,'IS Proforma'!$C:$C,'Opex Departments'!$C155,'IS Proforma'!$A:$A,'Opex Departments'!$A155)</f>
        <v>3058.485707</v>
      </c>
      <c r="CC155" s="116">
        <f>SUMIFS('IS Proforma'!CO:CO,'IS Proforma'!$C:$C,'Opex Departments'!$C155,'IS Proforma'!$A:$A,'Opex Departments'!$A155)</f>
        <v>3089.070564</v>
      </c>
      <c r="CD155" s="116">
        <f>SUMIFS('IS Proforma'!CP:CP,'IS Proforma'!$C:$C,'Opex Departments'!$C155,'IS Proforma'!$A:$A,'Opex Departments'!$A155)</f>
        <v>3119.961269</v>
      </c>
      <c r="CE155" s="116">
        <f>SUMIFS('IS Proforma'!CQ:CQ,'IS Proforma'!$C:$C,'Opex Departments'!$C155,'IS Proforma'!$A:$A,'Opex Departments'!$A155)</f>
        <v>3151.160882</v>
      </c>
      <c r="CF155" s="116">
        <f>SUMIFS('IS Proforma'!CR:CR,'IS Proforma'!$C:$C,'Opex Departments'!$C155,'IS Proforma'!$A:$A,'Opex Departments'!$A155)</f>
        <v>3182.672491</v>
      </c>
      <c r="CG155" s="116">
        <f>SUMIFS('IS Proforma'!CS:CS,'IS Proforma'!$C:$C,'Opex Departments'!$C155,'IS Proforma'!$A:$A,'Opex Departments'!$A155)</f>
        <v>3214.499216</v>
      </c>
      <c r="CH155" s="116">
        <f>SUMIFS('IS Proforma'!CT:CT,'IS Proforma'!$C:$C,'Opex Departments'!$C155,'IS Proforma'!$A:$A,'Opex Departments'!$A155)</f>
        <v>3246.644208</v>
      </c>
      <c r="CI155" s="116">
        <f>SUMIFS('IS Proforma'!CU:CU,'IS Proforma'!$C:$C,'Opex Departments'!$C155,'IS Proforma'!$A:$A,'Opex Departments'!$A155)</f>
        <v>3279.11065</v>
      </c>
    </row>
    <row r="156" ht="15.75" customHeight="1" outlineLevel="1">
      <c r="A156" s="1" t="s">
        <v>174</v>
      </c>
      <c r="B156" s="91" t="s">
        <v>120</v>
      </c>
      <c r="C156" s="132" t="s">
        <v>245</v>
      </c>
      <c r="D156" s="116"/>
      <c r="E156" s="116"/>
      <c r="F156" s="116"/>
      <c r="G156" s="116"/>
      <c r="H156" s="116"/>
      <c r="I156" s="116"/>
      <c r="J156" s="116"/>
      <c r="K156" s="116"/>
      <c r="L156" s="116"/>
      <c r="M156" s="116"/>
      <c r="N156" s="116"/>
      <c r="O156" s="116">
        <f>SUMIFS('IS Proforma'!AA:AA,'IS Proforma'!$C:$C,'Opex Departments'!$C156,'IS Proforma'!$A:$A,'Opex Departments'!$A156)</f>
        <v>2424</v>
      </c>
      <c r="P156" s="116">
        <f>SUMIFS('IS Proforma'!AB:AB,'IS Proforma'!$C:$C,'Opex Departments'!$C156,'IS Proforma'!$A:$A,'Opex Departments'!$A156)</f>
        <v>1417</v>
      </c>
      <c r="Q156" s="116">
        <f>SUMIFS('IS Proforma'!AC:AC,'IS Proforma'!$C:$C,'Opex Departments'!$C156,'IS Proforma'!$A:$A,'Opex Departments'!$A156)</f>
        <v>2118</v>
      </c>
      <c r="R156" s="116">
        <f>SUMIFS('IS Proforma'!AD:AD,'IS Proforma'!$C:$C,'Opex Departments'!$C156,'IS Proforma'!$A:$A,'Opex Departments'!$A156)</f>
        <v>2158</v>
      </c>
      <c r="S156" s="116">
        <f>SUMIFS('IS Proforma'!AE:AE,'IS Proforma'!$C:$C,'Opex Departments'!$C156,'IS Proforma'!$A:$A,'Opex Departments'!$A156)</f>
        <v>1348</v>
      </c>
      <c r="T156" s="116">
        <f>SUMIFS('IS Proforma'!AF:AF,'IS Proforma'!$C:$C,'Opex Departments'!$C156,'IS Proforma'!$A:$A,'Opex Departments'!$A156)</f>
        <v>1180</v>
      </c>
      <c r="U156" s="116">
        <f>SUMIFS('IS Proforma'!AG:AG,'IS Proforma'!$C:$C,'Opex Departments'!$C156,'IS Proforma'!$A:$A,'Opex Departments'!$A156)</f>
        <v>1104</v>
      </c>
      <c r="V156" s="116">
        <f>SUMIFS('IS Proforma'!AH:AH,'IS Proforma'!$C:$C,'Opex Departments'!$C156,'IS Proforma'!$A:$A,'Opex Departments'!$A156)</f>
        <v>2025</v>
      </c>
      <c r="W156" s="116">
        <f>SUMIFS('IS Proforma'!AI:AI,'IS Proforma'!$C:$C,'Opex Departments'!$C156,'IS Proforma'!$A:$A,'Opex Departments'!$A156)</f>
        <v>2082</v>
      </c>
      <c r="X156" s="116">
        <f>SUMIFS('IS Proforma'!AJ:AJ,'IS Proforma'!$C:$C,'Opex Departments'!$C156,'IS Proforma'!$A:$A,'Opex Departments'!$A156)</f>
        <v>2121</v>
      </c>
      <c r="Y156" s="116">
        <f>SUMIFS('IS Proforma'!AK:AK,'IS Proforma'!$C:$C,'Opex Departments'!$C156,'IS Proforma'!$A:$A,'Opex Departments'!$A156)</f>
        <v>1042</v>
      </c>
      <c r="Z156" s="116">
        <f>SUMIFS('IS Proforma'!AL:AL,'IS Proforma'!$C:$C,'Opex Departments'!$C156,'IS Proforma'!$A:$A,'Opex Departments'!$A156)</f>
        <v>2258</v>
      </c>
      <c r="AA156" s="116">
        <f>SUMIFS('IS Proforma'!AM:AM,'IS Proforma'!$C:$C,'Opex Departments'!$C156,'IS Proforma'!$A:$A,'Opex Departments'!$A156)</f>
        <v>2258</v>
      </c>
      <c r="AB156" s="116">
        <f>SUMIFS('IS Proforma'!AN:AN,'IS Proforma'!$C:$C,'Opex Departments'!$C156,'IS Proforma'!$A:$A,'Opex Departments'!$A156)</f>
        <v>2370.9</v>
      </c>
      <c r="AC156" s="116">
        <f>SUMIFS('IS Proforma'!AO:AO,'IS Proforma'!$C:$C,'Opex Departments'!$C156,'IS Proforma'!$A:$A,'Opex Departments'!$A156)</f>
        <v>2370.9</v>
      </c>
      <c r="AD156" s="116">
        <f>SUMIFS('IS Proforma'!AP:AP,'IS Proforma'!$C:$C,'Opex Departments'!$C156,'IS Proforma'!$A:$A,'Opex Departments'!$A156)</f>
        <v>2370.9</v>
      </c>
      <c r="AE156" s="116">
        <f>SUMIFS('IS Proforma'!AQ:AQ,'IS Proforma'!$C:$C,'Opex Departments'!$C156,'IS Proforma'!$A:$A,'Opex Departments'!$A156)</f>
        <v>2370.9</v>
      </c>
      <c r="AF156" s="116">
        <f>SUMIFS('IS Proforma'!AR:AR,'IS Proforma'!$C:$C,'Opex Departments'!$C156,'IS Proforma'!$A:$A,'Opex Departments'!$A156)</f>
        <v>2370.9</v>
      </c>
      <c r="AG156" s="116">
        <f>SUMIFS('IS Proforma'!AS:AS,'IS Proforma'!$C:$C,'Opex Departments'!$C156,'IS Proforma'!$A:$A,'Opex Departments'!$A156)</f>
        <v>2370.9</v>
      </c>
      <c r="AH156" s="116">
        <f>SUMIFS('IS Proforma'!AT:AT,'IS Proforma'!$C:$C,'Opex Departments'!$C156,'IS Proforma'!$A:$A,'Opex Departments'!$A156)</f>
        <v>2382.7545</v>
      </c>
      <c r="AI156" s="116">
        <f>SUMIFS('IS Proforma'!AU:AU,'IS Proforma'!$C:$C,'Opex Departments'!$C156,'IS Proforma'!$A:$A,'Opex Departments'!$A156)</f>
        <v>2394.668273</v>
      </c>
      <c r="AJ156" s="116">
        <f>SUMIFS('IS Proforma'!AV:AV,'IS Proforma'!$C:$C,'Opex Departments'!$C156,'IS Proforma'!$A:$A,'Opex Departments'!$A156)</f>
        <v>2406.641614</v>
      </c>
      <c r="AK156" s="116">
        <f>SUMIFS('IS Proforma'!AW:AW,'IS Proforma'!$C:$C,'Opex Departments'!$C156,'IS Proforma'!$A:$A,'Opex Departments'!$A156)</f>
        <v>2418.674822</v>
      </c>
      <c r="AL156" s="116">
        <f>SUMIFS('IS Proforma'!AX:AX,'IS Proforma'!$C:$C,'Opex Departments'!$C156,'IS Proforma'!$A:$A,'Opex Departments'!$A156)</f>
        <v>2430.768196</v>
      </c>
      <c r="AM156" s="116">
        <f>SUMIFS('IS Proforma'!AY:AY,'IS Proforma'!$C:$C,'Opex Departments'!$C156,'IS Proforma'!$A:$A,'Opex Departments'!$A156)</f>
        <v>2442.922037</v>
      </c>
      <c r="AN156" s="116">
        <f>SUMIFS('IS Proforma'!AZ:AZ,'IS Proforma'!$C:$C,'Opex Departments'!$C156,'IS Proforma'!$A:$A,'Opex Departments'!$A156)</f>
        <v>2455.136647</v>
      </c>
      <c r="AO156" s="116">
        <f>SUMIFS('IS Proforma'!BA:BA,'IS Proforma'!$C:$C,'Opex Departments'!$C156,'IS Proforma'!$A:$A,'Opex Departments'!$A156)</f>
        <v>2467.41233</v>
      </c>
      <c r="AP156" s="116">
        <f>SUMIFS('IS Proforma'!BB:BB,'IS Proforma'!$C:$C,'Opex Departments'!$C156,'IS Proforma'!$A:$A,'Opex Departments'!$A156)</f>
        <v>2479.749392</v>
      </c>
      <c r="AQ156" s="116">
        <f>SUMIFS('IS Proforma'!BC:BC,'IS Proforma'!$C:$C,'Opex Departments'!$C156,'IS Proforma'!$A:$A,'Opex Departments'!$A156)</f>
        <v>2492.148139</v>
      </c>
      <c r="AR156" s="116">
        <f>SUMIFS('IS Proforma'!BD:BD,'IS Proforma'!$C:$C,'Opex Departments'!$C156,'IS Proforma'!$A:$A,'Opex Departments'!$A156)</f>
        <v>2504.60888</v>
      </c>
      <c r="AS156" s="116">
        <f>SUMIFS('IS Proforma'!BE:BE,'IS Proforma'!$C:$C,'Opex Departments'!$C156,'IS Proforma'!$A:$A,'Opex Departments'!$A156)</f>
        <v>2517.131924</v>
      </c>
      <c r="AT156" s="116">
        <f>SUMIFS('IS Proforma'!BF:BF,'IS Proforma'!$C:$C,'Opex Departments'!$C156,'IS Proforma'!$A:$A,'Opex Departments'!$A156)</f>
        <v>2529.717584</v>
      </c>
      <c r="AU156" s="116">
        <f>SUMIFS('IS Proforma'!BG:BG,'IS Proforma'!$C:$C,'Opex Departments'!$C156,'IS Proforma'!$A:$A,'Opex Departments'!$A156)</f>
        <v>2542.366172</v>
      </c>
      <c r="AV156" s="116">
        <f>SUMIFS('IS Proforma'!BH:BH,'IS Proforma'!$C:$C,'Opex Departments'!$C156,'IS Proforma'!$A:$A,'Opex Departments'!$A156)</f>
        <v>2555.078003</v>
      </c>
      <c r="AW156" s="116">
        <f>SUMIFS('IS Proforma'!BI:BI,'IS Proforma'!$C:$C,'Opex Departments'!$C156,'IS Proforma'!$A:$A,'Opex Departments'!$A156)</f>
        <v>2567.853393</v>
      </c>
      <c r="AX156" s="116">
        <f>SUMIFS('IS Proforma'!BJ:BJ,'IS Proforma'!$C:$C,'Opex Departments'!$C156,'IS Proforma'!$A:$A,'Opex Departments'!$A156)</f>
        <v>2580.69266</v>
      </c>
      <c r="AY156" s="116">
        <f>SUMIFS('IS Proforma'!BK:BK,'IS Proforma'!$C:$C,'Opex Departments'!$C156,'IS Proforma'!$A:$A,'Opex Departments'!$A156)</f>
        <v>2593.596123</v>
      </c>
      <c r="AZ156" s="116">
        <f>SUMIFS('IS Proforma'!BL:BL,'IS Proforma'!$C:$C,'Opex Departments'!$C156,'IS Proforma'!$A:$A,'Opex Departments'!$A156)</f>
        <v>2606.564103</v>
      </c>
      <c r="BA156" s="116">
        <f>SUMIFS('IS Proforma'!BM:BM,'IS Proforma'!$C:$C,'Opex Departments'!$C156,'IS Proforma'!$A:$A,'Opex Departments'!$A156)</f>
        <v>2619.596924</v>
      </c>
      <c r="BB156" s="116">
        <f>SUMIFS('IS Proforma'!BN:BN,'IS Proforma'!$C:$C,'Opex Departments'!$C156,'IS Proforma'!$A:$A,'Opex Departments'!$A156)</f>
        <v>2632.694909</v>
      </c>
      <c r="BC156" s="116">
        <f>SUMIFS('IS Proforma'!BO:BO,'IS Proforma'!$C:$C,'Opex Departments'!$C156,'IS Proforma'!$A:$A,'Opex Departments'!$A156)</f>
        <v>2645.858383</v>
      </c>
      <c r="BD156" s="116">
        <f>SUMIFS('IS Proforma'!BP:BP,'IS Proforma'!$C:$C,'Opex Departments'!$C156,'IS Proforma'!$A:$A,'Opex Departments'!$A156)</f>
        <v>2659.087675</v>
      </c>
      <c r="BE156" s="116">
        <f>SUMIFS('IS Proforma'!BQ:BQ,'IS Proforma'!$C:$C,'Opex Departments'!$C156,'IS Proforma'!$A:$A,'Opex Departments'!$A156)</f>
        <v>2672.383113</v>
      </c>
      <c r="BF156" s="116">
        <f>SUMIFS('IS Proforma'!BR:BR,'IS Proforma'!$C:$C,'Opex Departments'!$C156,'IS Proforma'!$A:$A,'Opex Departments'!$A156)</f>
        <v>2685.745029</v>
      </c>
      <c r="BG156" s="116">
        <f>SUMIFS('IS Proforma'!BS:BS,'IS Proforma'!$C:$C,'Opex Departments'!$C156,'IS Proforma'!$A:$A,'Opex Departments'!$A156)</f>
        <v>2699.173754</v>
      </c>
      <c r="BH156" s="116">
        <f>SUMIFS('IS Proforma'!BT:BT,'IS Proforma'!$C:$C,'Opex Departments'!$C156,'IS Proforma'!$A:$A,'Opex Departments'!$A156)</f>
        <v>2712.669623</v>
      </c>
      <c r="BI156" s="116">
        <f>SUMIFS('IS Proforma'!BU:BU,'IS Proforma'!$C:$C,'Opex Departments'!$C156,'IS Proforma'!$A:$A,'Opex Departments'!$A156)</f>
        <v>2726.232971</v>
      </c>
      <c r="BJ156" s="116">
        <f>SUMIFS('IS Proforma'!BV:BV,'IS Proforma'!$C:$C,'Opex Departments'!$C156,'IS Proforma'!$A:$A,'Opex Departments'!$A156)</f>
        <v>2739.864136</v>
      </c>
      <c r="BK156" s="116">
        <f>SUMIFS('IS Proforma'!BW:BW,'IS Proforma'!$C:$C,'Opex Departments'!$C156,'IS Proforma'!$A:$A,'Opex Departments'!$A156)</f>
        <v>2753.563457</v>
      </c>
      <c r="BL156" s="116">
        <f>SUMIFS('IS Proforma'!BX:BX,'IS Proforma'!$C:$C,'Opex Departments'!$C156,'IS Proforma'!$A:$A,'Opex Departments'!$A156)</f>
        <v>2767.331274</v>
      </c>
      <c r="BM156" s="116">
        <f>SUMIFS('IS Proforma'!BY:BY,'IS Proforma'!$C:$C,'Opex Departments'!$C156,'IS Proforma'!$A:$A,'Opex Departments'!$A156)</f>
        <v>2781.16793</v>
      </c>
      <c r="BN156" s="116">
        <f>SUMIFS('IS Proforma'!BZ:BZ,'IS Proforma'!$C:$C,'Opex Departments'!$C156,'IS Proforma'!$A:$A,'Opex Departments'!$A156)</f>
        <v>2795.07377</v>
      </c>
      <c r="BO156" s="116">
        <f>SUMIFS('IS Proforma'!CA:CA,'IS Proforma'!$C:$C,'Opex Departments'!$C156,'IS Proforma'!$A:$A,'Opex Departments'!$A156)</f>
        <v>2809.049139</v>
      </c>
      <c r="BP156" s="116">
        <f>SUMIFS('IS Proforma'!CB:CB,'IS Proforma'!$C:$C,'Opex Departments'!$C156,'IS Proforma'!$A:$A,'Opex Departments'!$A156)</f>
        <v>2823.094384</v>
      </c>
      <c r="BQ156" s="116">
        <f>SUMIFS('IS Proforma'!CC:CC,'IS Proforma'!$C:$C,'Opex Departments'!$C156,'IS Proforma'!$A:$A,'Opex Departments'!$A156)</f>
        <v>2837.209856</v>
      </c>
      <c r="BR156" s="116">
        <f>SUMIFS('IS Proforma'!CD:CD,'IS Proforma'!$C:$C,'Opex Departments'!$C156,'IS Proforma'!$A:$A,'Opex Departments'!$A156)</f>
        <v>2851.395906</v>
      </c>
      <c r="BS156" s="116">
        <f>SUMIFS('IS Proforma'!CE:CE,'IS Proforma'!$C:$C,'Opex Departments'!$C156,'IS Proforma'!$A:$A,'Opex Departments'!$A156)</f>
        <v>2865.652885</v>
      </c>
      <c r="BT156" s="116">
        <f>SUMIFS('IS Proforma'!CF:CF,'IS Proforma'!$C:$C,'Opex Departments'!$C156,'IS Proforma'!$A:$A,'Opex Departments'!$A156)</f>
        <v>2879.98115</v>
      </c>
      <c r="BU156" s="116">
        <f>SUMIFS('IS Proforma'!CG:CG,'IS Proforma'!$C:$C,'Opex Departments'!$C156,'IS Proforma'!$A:$A,'Opex Departments'!$A156)</f>
        <v>2894.381055</v>
      </c>
      <c r="BV156" s="116">
        <f>SUMIFS('IS Proforma'!CH:CH,'IS Proforma'!$C:$C,'Opex Departments'!$C156,'IS Proforma'!$A:$A,'Opex Departments'!$A156)</f>
        <v>2908.852961</v>
      </c>
      <c r="BW156" s="116">
        <f>SUMIFS('IS Proforma'!CI:CI,'IS Proforma'!$C:$C,'Opex Departments'!$C156,'IS Proforma'!$A:$A,'Opex Departments'!$A156)</f>
        <v>2923.397225</v>
      </c>
      <c r="BX156" s="116">
        <f>SUMIFS('IS Proforma'!CJ:CJ,'IS Proforma'!$C:$C,'Opex Departments'!$C156,'IS Proforma'!$A:$A,'Opex Departments'!$A156)</f>
        <v>2938.014211</v>
      </c>
      <c r="BY156" s="116">
        <f>SUMIFS('IS Proforma'!CK:CK,'IS Proforma'!$C:$C,'Opex Departments'!$C156,'IS Proforma'!$A:$A,'Opex Departments'!$A156)</f>
        <v>2952.704283</v>
      </c>
      <c r="BZ156" s="116">
        <f>SUMIFS('IS Proforma'!CL:CL,'IS Proforma'!$C:$C,'Opex Departments'!$C156,'IS Proforma'!$A:$A,'Opex Departments'!$A156)</f>
        <v>2967.467804</v>
      </c>
      <c r="CA156" s="116">
        <f>SUMIFS('IS Proforma'!CM:CM,'IS Proforma'!$C:$C,'Opex Departments'!$C156,'IS Proforma'!$A:$A,'Opex Departments'!$A156)</f>
        <v>2982.305143</v>
      </c>
      <c r="CB156" s="116">
        <f>SUMIFS('IS Proforma'!CN:CN,'IS Proforma'!$C:$C,'Opex Departments'!$C156,'IS Proforma'!$A:$A,'Opex Departments'!$A156)</f>
        <v>2997.216669</v>
      </c>
      <c r="CC156" s="116">
        <f>SUMIFS('IS Proforma'!CO:CO,'IS Proforma'!$C:$C,'Opex Departments'!$C156,'IS Proforma'!$A:$A,'Opex Departments'!$A156)</f>
        <v>3012.202752</v>
      </c>
      <c r="CD156" s="116">
        <f>SUMIFS('IS Proforma'!CP:CP,'IS Proforma'!$C:$C,'Opex Departments'!$C156,'IS Proforma'!$A:$A,'Opex Departments'!$A156)</f>
        <v>3027.263766</v>
      </c>
      <c r="CE156" s="116">
        <f>SUMIFS('IS Proforma'!CQ:CQ,'IS Proforma'!$C:$C,'Opex Departments'!$C156,'IS Proforma'!$A:$A,'Opex Departments'!$A156)</f>
        <v>3042.400085</v>
      </c>
      <c r="CF156" s="116">
        <f>SUMIFS('IS Proforma'!CR:CR,'IS Proforma'!$C:$C,'Opex Departments'!$C156,'IS Proforma'!$A:$A,'Opex Departments'!$A156)</f>
        <v>3057.612085</v>
      </c>
      <c r="CG156" s="116">
        <f>SUMIFS('IS Proforma'!CS:CS,'IS Proforma'!$C:$C,'Opex Departments'!$C156,'IS Proforma'!$A:$A,'Opex Departments'!$A156)</f>
        <v>3072.900145</v>
      </c>
      <c r="CH156" s="116">
        <f>SUMIFS('IS Proforma'!CT:CT,'IS Proforma'!$C:$C,'Opex Departments'!$C156,'IS Proforma'!$A:$A,'Opex Departments'!$A156)</f>
        <v>3088.264646</v>
      </c>
      <c r="CI156" s="116">
        <f>SUMIFS('IS Proforma'!CU:CU,'IS Proforma'!$C:$C,'Opex Departments'!$C156,'IS Proforma'!$A:$A,'Opex Departments'!$A156)</f>
        <v>3103.705969</v>
      </c>
    </row>
    <row r="157" ht="15.75" customHeight="1" outlineLevel="1">
      <c r="A157" s="1" t="s">
        <v>174</v>
      </c>
      <c r="B157" s="91" t="s">
        <v>120</v>
      </c>
      <c r="C157" s="132" t="s">
        <v>246</v>
      </c>
      <c r="D157" s="116">
        <f>SUMIFS('IS Proforma'!P:P,'IS Proforma'!$C:$C,'Opex Departments'!$C157,'IS Proforma'!$A:$A,'Opex Departments'!$A157)</f>
        <v>2095</v>
      </c>
      <c r="E157" s="116">
        <f>SUMIFS('IS Proforma'!Q:Q,'IS Proforma'!$C:$C,'Opex Departments'!$C157,'IS Proforma'!$A:$A,'Opex Departments'!$A157)</f>
        <v>1607</v>
      </c>
      <c r="F157" s="116">
        <f>SUMIFS('IS Proforma'!R:R,'IS Proforma'!$C:$C,'Opex Departments'!$C157,'IS Proforma'!$A:$A,'Opex Departments'!$A157)</f>
        <v>1232</v>
      </c>
      <c r="G157" s="116">
        <f>SUMIFS('IS Proforma'!S:S,'IS Proforma'!$C:$C,'Opex Departments'!$C157,'IS Proforma'!$A:$A,'Opex Departments'!$A157)</f>
        <v>2080</v>
      </c>
      <c r="H157" s="116">
        <f>SUMIFS('IS Proforma'!T:T,'IS Proforma'!$C:$C,'Opex Departments'!$C157,'IS Proforma'!$A:$A,'Opex Departments'!$A157)</f>
        <v>1724</v>
      </c>
      <c r="I157" s="116">
        <f>SUMIFS('IS Proforma'!U:U,'IS Proforma'!$C:$C,'Opex Departments'!$C157,'IS Proforma'!$A:$A,'Opex Departments'!$A157)</f>
        <v>1198</v>
      </c>
      <c r="J157" s="116">
        <f>SUMIFS('IS Proforma'!V:V,'IS Proforma'!$C:$C,'Opex Departments'!$C157,'IS Proforma'!$A:$A,'Opex Departments'!$A157)</f>
        <v>2158</v>
      </c>
      <c r="K157" s="116">
        <f>SUMIFS('IS Proforma'!W:W,'IS Proforma'!$C:$C,'Opex Departments'!$C157,'IS Proforma'!$A:$A,'Opex Departments'!$A157)</f>
        <v>2212</v>
      </c>
      <c r="L157" s="116">
        <f>SUMIFS('IS Proforma'!X:X,'IS Proforma'!$C:$C,'Opex Departments'!$C157,'IS Proforma'!$A:$A,'Opex Departments'!$A157)</f>
        <v>1381</v>
      </c>
      <c r="M157" s="116">
        <f>SUMIFS('IS Proforma'!Y:Y,'IS Proforma'!$C:$C,'Opex Departments'!$C157,'IS Proforma'!$A:$A,'Opex Departments'!$A157)</f>
        <v>1772</v>
      </c>
      <c r="N157" s="116">
        <f>SUMIFS('IS Proforma'!Z:Z,'IS Proforma'!$C:$C,'Opex Departments'!$C157,'IS Proforma'!$A:$A,'Opex Departments'!$A157)</f>
        <v>1266</v>
      </c>
      <c r="O157" s="116">
        <f>SUMIFS('IS Proforma'!AA:AA,'IS Proforma'!$C:$C,'Opex Departments'!$C157,'IS Proforma'!$A:$A,'Opex Departments'!$A157)</f>
        <v>1705</v>
      </c>
      <c r="P157" s="116">
        <f>SUMIFS('IS Proforma'!AB:AB,'IS Proforma'!$C:$C,'Opex Departments'!$C157,'IS Proforma'!$A:$A,'Opex Departments'!$A157)</f>
        <v>2485</v>
      </c>
      <c r="Q157" s="116">
        <f>SUMIFS('IS Proforma'!AC:AC,'IS Proforma'!$C:$C,'Opex Departments'!$C157,'IS Proforma'!$A:$A,'Opex Departments'!$A157)</f>
        <v>1772</v>
      </c>
      <c r="R157" s="116">
        <f>SUMIFS('IS Proforma'!AD:AD,'IS Proforma'!$C:$C,'Opex Departments'!$C157,'IS Proforma'!$A:$A,'Opex Departments'!$A157)</f>
        <v>1869</v>
      </c>
      <c r="S157" s="116">
        <f>SUMIFS('IS Proforma'!AE:AE,'IS Proforma'!$C:$C,'Opex Departments'!$C157,'IS Proforma'!$A:$A,'Opex Departments'!$A157)</f>
        <v>1421</v>
      </c>
      <c r="T157" s="116">
        <f>SUMIFS('IS Proforma'!AF:AF,'IS Proforma'!$C:$C,'Opex Departments'!$C157,'IS Proforma'!$A:$A,'Opex Departments'!$A157)</f>
        <v>1211</v>
      </c>
      <c r="U157" s="116">
        <f>SUMIFS('IS Proforma'!AG:AG,'IS Proforma'!$C:$C,'Opex Departments'!$C157,'IS Proforma'!$A:$A,'Opex Departments'!$A157)</f>
        <v>2282</v>
      </c>
      <c r="V157" s="116">
        <f>SUMIFS('IS Proforma'!AH:AH,'IS Proforma'!$C:$C,'Opex Departments'!$C157,'IS Proforma'!$A:$A,'Opex Departments'!$A157)</f>
        <v>1427</v>
      </c>
      <c r="W157" s="116">
        <f>SUMIFS('IS Proforma'!AI:AI,'IS Proforma'!$C:$C,'Opex Departments'!$C157,'IS Proforma'!$A:$A,'Opex Departments'!$A157)</f>
        <v>1047</v>
      </c>
      <c r="X157" s="116">
        <f>SUMIFS('IS Proforma'!AJ:AJ,'IS Proforma'!$C:$C,'Opex Departments'!$C157,'IS Proforma'!$A:$A,'Opex Departments'!$A157)</f>
        <v>1651</v>
      </c>
      <c r="Y157" s="116">
        <f>SUMIFS('IS Proforma'!AK:AK,'IS Proforma'!$C:$C,'Opex Departments'!$C157,'IS Proforma'!$A:$A,'Opex Departments'!$A157)</f>
        <v>2020</v>
      </c>
      <c r="Z157" s="116">
        <f>SUMIFS('IS Proforma'!AL:AL,'IS Proforma'!$C:$C,'Opex Departments'!$C157,'IS Proforma'!$A:$A,'Opex Departments'!$A157)</f>
        <v>1241</v>
      </c>
      <c r="AA157" s="116">
        <f>SUMIFS('IS Proforma'!AM:AM,'IS Proforma'!$C:$C,'Opex Departments'!$C157,'IS Proforma'!$A:$A,'Opex Departments'!$A157)</f>
        <v>3723</v>
      </c>
      <c r="AB157" s="116">
        <f>SUMIFS('IS Proforma'!AN:AN,'IS Proforma'!$C:$C,'Opex Departments'!$C157,'IS Proforma'!$A:$A,'Opex Departments'!$A157)</f>
        <v>3760.23</v>
      </c>
      <c r="AC157" s="116">
        <f>SUMIFS('IS Proforma'!AO:AO,'IS Proforma'!$C:$C,'Opex Departments'!$C157,'IS Proforma'!$A:$A,'Opex Departments'!$A157)</f>
        <v>107166.555</v>
      </c>
      <c r="AD157" s="116">
        <f>SUMIFS('IS Proforma'!AP:AP,'IS Proforma'!$C:$C,'Opex Departments'!$C157,'IS Proforma'!$A:$A,'Opex Departments'!$A157)</f>
        <v>4286.6622</v>
      </c>
      <c r="AE157" s="116">
        <f>SUMIFS('IS Proforma'!AQ:AQ,'IS Proforma'!$C:$C,'Opex Departments'!$C157,'IS Proforma'!$A:$A,'Opex Departments'!$A157)</f>
        <v>4308.095511</v>
      </c>
      <c r="AF157" s="116">
        <f>SUMIFS('IS Proforma'!AR:AR,'IS Proforma'!$C:$C,'Opex Departments'!$C157,'IS Proforma'!$A:$A,'Opex Departments'!$A157)</f>
        <v>4329.635989</v>
      </c>
      <c r="AG157" s="116">
        <f>SUMIFS('IS Proforma'!AS:AS,'IS Proforma'!$C:$C,'Opex Departments'!$C157,'IS Proforma'!$A:$A,'Opex Departments'!$A157)</f>
        <v>4351.284168</v>
      </c>
      <c r="AH157" s="116">
        <f>SUMIFS('IS Proforma'!AT:AT,'IS Proforma'!$C:$C,'Opex Departments'!$C157,'IS Proforma'!$A:$A,'Opex Departments'!$A157)</f>
        <v>113133.3884</v>
      </c>
      <c r="AI157" s="116">
        <f>SUMIFS('IS Proforma'!AU:AU,'IS Proforma'!$C:$C,'Opex Departments'!$C157,'IS Proforma'!$A:$A,'Opex Departments'!$A157)</f>
        <v>4525.335535</v>
      </c>
      <c r="AJ157" s="116">
        <f>SUMIFS('IS Proforma'!AV:AV,'IS Proforma'!$C:$C,'Opex Departments'!$C157,'IS Proforma'!$A:$A,'Opex Departments'!$A157)</f>
        <v>4547.962213</v>
      </c>
      <c r="AK157" s="116">
        <f>SUMIFS('IS Proforma'!AW:AW,'IS Proforma'!$C:$C,'Opex Departments'!$C157,'IS Proforma'!$A:$A,'Opex Departments'!$A157)</f>
        <v>4570.702024</v>
      </c>
      <c r="AL157" s="116">
        <f>SUMIFS('IS Proforma'!AX:AX,'IS Proforma'!$C:$C,'Opex Departments'!$C157,'IS Proforma'!$A:$A,'Opex Departments'!$A157)</f>
        <v>4593.555534</v>
      </c>
      <c r="AM157" s="116">
        <f>SUMIFS('IS Proforma'!AY:AY,'IS Proforma'!$C:$C,'Opex Departments'!$C157,'IS Proforma'!$A:$A,'Opex Departments'!$A157)</f>
        <v>4616.523312</v>
      </c>
      <c r="AN157" s="116">
        <f>SUMIFS('IS Proforma'!AZ:AZ,'IS Proforma'!$C:$C,'Opex Departments'!$C157,'IS Proforma'!$A:$A,'Opex Departments'!$A157)</f>
        <v>115413.0828</v>
      </c>
      <c r="AO157" s="116">
        <f>SUMIFS('IS Proforma'!BA:BA,'IS Proforma'!$C:$C,'Opex Departments'!$C157,'IS Proforma'!$A:$A,'Opex Departments'!$A157)</f>
        <v>4616.523312</v>
      </c>
      <c r="AP157" s="116">
        <f>SUMIFS('IS Proforma'!BB:BB,'IS Proforma'!$C:$C,'Opex Departments'!$C157,'IS Proforma'!$A:$A,'Opex Departments'!$A157)</f>
        <v>4639.605928</v>
      </c>
      <c r="AQ157" s="116">
        <f>SUMIFS('IS Proforma'!BC:BC,'IS Proforma'!$C:$C,'Opex Departments'!$C157,'IS Proforma'!$A:$A,'Opex Departments'!$A157)</f>
        <v>4662.803958</v>
      </c>
      <c r="AR157" s="116">
        <f>SUMIFS('IS Proforma'!BD:BD,'IS Proforma'!$C:$C,'Opex Departments'!$C157,'IS Proforma'!$A:$A,'Opex Departments'!$A157)</f>
        <v>4686.117978</v>
      </c>
      <c r="AS157" s="116">
        <f>SUMIFS('IS Proforma'!BE:BE,'IS Proforma'!$C:$C,'Opex Departments'!$C157,'IS Proforma'!$A:$A,'Opex Departments'!$A157)</f>
        <v>4709.548568</v>
      </c>
      <c r="AT157" s="116">
        <f>SUMIFS('IS Proforma'!BF:BF,'IS Proforma'!$C:$C,'Opex Departments'!$C157,'IS Proforma'!$A:$A,'Opex Departments'!$A157)</f>
        <v>108319.6171</v>
      </c>
      <c r="AU157" s="116">
        <f>SUMIFS('IS Proforma'!BG:BG,'IS Proforma'!$C:$C,'Opex Departments'!$C157,'IS Proforma'!$A:$A,'Opex Departments'!$A157)</f>
        <v>5415.980853</v>
      </c>
      <c r="AV157" s="116">
        <f>SUMIFS('IS Proforma'!BH:BH,'IS Proforma'!$C:$C,'Opex Departments'!$C157,'IS Proforma'!$A:$A,'Opex Departments'!$A157)</f>
        <v>5443.060757</v>
      </c>
      <c r="AW157" s="116">
        <f>SUMIFS('IS Proforma'!BI:BI,'IS Proforma'!$C:$C,'Opex Departments'!$C157,'IS Proforma'!$A:$A,'Opex Departments'!$A157)</f>
        <v>5470.276061</v>
      </c>
      <c r="AX157" s="116">
        <f>SUMIFS('IS Proforma'!BJ:BJ,'IS Proforma'!$C:$C,'Opex Departments'!$C157,'IS Proforma'!$A:$A,'Opex Departments'!$A157)</f>
        <v>5497.627441</v>
      </c>
      <c r="AY157" s="116">
        <f>SUMIFS('IS Proforma'!BK:BK,'IS Proforma'!$C:$C,'Opex Departments'!$C157,'IS Proforma'!$A:$A,'Opex Departments'!$A157)</f>
        <v>5525.115578</v>
      </c>
      <c r="AZ157" s="116">
        <f>SUMIFS('IS Proforma'!BL:BL,'IS Proforma'!$C:$C,'Opex Departments'!$C157,'IS Proforma'!$A:$A,'Opex Departments'!$A157)</f>
        <v>127077.6583</v>
      </c>
      <c r="BA157" s="116">
        <f>SUMIFS('IS Proforma'!BM:BM,'IS Proforma'!$C:$C,'Opex Departments'!$C157,'IS Proforma'!$A:$A,'Opex Departments'!$A157)</f>
        <v>6353.882915</v>
      </c>
      <c r="BB157" s="116">
        <f>SUMIFS('IS Proforma'!BN:BN,'IS Proforma'!$C:$C,'Opex Departments'!$C157,'IS Proforma'!$A:$A,'Opex Departments'!$A157)</f>
        <v>6385.65233</v>
      </c>
      <c r="BC157" s="116">
        <f>SUMIFS('IS Proforma'!BO:BO,'IS Proforma'!$C:$C,'Opex Departments'!$C157,'IS Proforma'!$A:$A,'Opex Departments'!$A157)</f>
        <v>6417.580591</v>
      </c>
      <c r="BD157" s="116">
        <f>SUMIFS('IS Proforma'!BP:BP,'IS Proforma'!$C:$C,'Opex Departments'!$C157,'IS Proforma'!$A:$A,'Opex Departments'!$A157)</f>
        <v>6449.668494</v>
      </c>
      <c r="BE157" s="116">
        <f>SUMIFS('IS Proforma'!BQ:BQ,'IS Proforma'!$C:$C,'Opex Departments'!$C157,'IS Proforma'!$A:$A,'Opex Departments'!$A157)</f>
        <v>6481.916837</v>
      </c>
      <c r="BF157" s="116">
        <f>SUMIFS('IS Proforma'!BR:BR,'IS Proforma'!$C:$C,'Opex Departments'!$C157,'IS Proforma'!$A:$A,'Opex Departments'!$A157)</f>
        <v>136120.2536</v>
      </c>
      <c r="BG157" s="116">
        <f>SUMIFS('IS Proforma'!BS:BS,'IS Proforma'!$C:$C,'Opex Departments'!$C157,'IS Proforma'!$A:$A,'Opex Departments'!$A157)</f>
        <v>6806.012679</v>
      </c>
      <c r="BH157" s="116">
        <f>SUMIFS('IS Proforma'!BT:BT,'IS Proforma'!$C:$C,'Opex Departments'!$C157,'IS Proforma'!$A:$A,'Opex Departments'!$A157)</f>
        <v>6840.042742</v>
      </c>
      <c r="BI157" s="116">
        <f>SUMIFS('IS Proforma'!BU:BU,'IS Proforma'!$C:$C,'Opex Departments'!$C157,'IS Proforma'!$A:$A,'Opex Departments'!$A157)</f>
        <v>6874.242956</v>
      </c>
      <c r="BJ157" s="116">
        <f>SUMIFS('IS Proforma'!BV:BV,'IS Proforma'!$C:$C,'Opex Departments'!$C157,'IS Proforma'!$A:$A,'Opex Departments'!$A157)</f>
        <v>6908.61417</v>
      </c>
      <c r="BK157" s="116">
        <f>SUMIFS('IS Proforma'!BW:BW,'IS Proforma'!$C:$C,'Opex Departments'!$C157,'IS Proforma'!$A:$A,'Opex Departments'!$A157)</f>
        <v>6943.157241</v>
      </c>
      <c r="BL157" s="116">
        <f>SUMIFS('IS Proforma'!BX:BX,'IS Proforma'!$C:$C,'Opex Departments'!$C157,'IS Proforma'!$A:$A,'Opex Departments'!$A157)</f>
        <v>131919.9876</v>
      </c>
      <c r="BM157" s="116">
        <f>SUMIFS('IS Proforma'!BY:BY,'IS Proforma'!$C:$C,'Opex Departments'!$C157,'IS Proforma'!$A:$A,'Opex Departments'!$A157)</f>
        <v>6595.999379</v>
      </c>
      <c r="BN157" s="116">
        <f>SUMIFS('IS Proforma'!BZ:BZ,'IS Proforma'!$C:$C,'Opex Departments'!$C157,'IS Proforma'!$A:$A,'Opex Departments'!$A157)</f>
        <v>6628.979376</v>
      </c>
      <c r="BO157" s="116">
        <f>SUMIFS('IS Proforma'!CA:CA,'IS Proforma'!$C:$C,'Opex Departments'!$C157,'IS Proforma'!$A:$A,'Opex Departments'!$A157)</f>
        <v>6662.124273</v>
      </c>
      <c r="BP157" s="116">
        <f>SUMIFS('IS Proforma'!CB:CB,'IS Proforma'!$C:$C,'Opex Departments'!$C157,'IS Proforma'!$A:$A,'Opex Departments'!$A157)</f>
        <v>6695.434894</v>
      </c>
      <c r="BQ157" s="116">
        <f>SUMIFS('IS Proforma'!CC:CC,'IS Proforma'!$C:$C,'Opex Departments'!$C157,'IS Proforma'!$A:$A,'Opex Departments'!$A157)</f>
        <v>6728.912069</v>
      </c>
      <c r="BR157" s="116">
        <f>SUMIFS('IS Proforma'!CD:CD,'IS Proforma'!$C:$C,'Opex Departments'!$C157,'IS Proforma'!$A:$A,'Opex Departments'!$A157)</f>
        <v>127849.3293</v>
      </c>
      <c r="BS157" s="116">
        <f>SUMIFS('IS Proforma'!CE:CE,'IS Proforma'!$C:$C,'Opex Departments'!$C157,'IS Proforma'!$A:$A,'Opex Departments'!$A157)</f>
        <v>6392.466465</v>
      </c>
      <c r="BT157" s="116">
        <f>SUMIFS('IS Proforma'!CF:CF,'IS Proforma'!$C:$C,'Opex Departments'!$C157,'IS Proforma'!$A:$A,'Opex Departments'!$A157)</f>
        <v>6424.428798</v>
      </c>
      <c r="BU157" s="116">
        <f>SUMIFS('IS Proforma'!CG:CG,'IS Proforma'!$C:$C,'Opex Departments'!$C157,'IS Proforma'!$A:$A,'Opex Departments'!$A157)</f>
        <v>6456.550942</v>
      </c>
      <c r="BV157" s="116">
        <f>SUMIFS('IS Proforma'!CH:CH,'IS Proforma'!$C:$C,'Opex Departments'!$C157,'IS Proforma'!$A:$A,'Opex Departments'!$A157)</f>
        <v>6488.833696</v>
      </c>
      <c r="BW157" s="116">
        <f>SUMIFS('IS Proforma'!CI:CI,'IS Proforma'!$C:$C,'Opex Departments'!$C157,'IS Proforma'!$A:$A,'Opex Departments'!$A157)</f>
        <v>6521.277865</v>
      </c>
      <c r="BX157" s="116">
        <f>SUMIFS('IS Proforma'!CJ:CJ,'IS Proforma'!$C:$C,'Opex Departments'!$C157,'IS Proforma'!$A:$A,'Opex Departments'!$A157)</f>
        <v>123904.2794</v>
      </c>
      <c r="BY157" s="116">
        <f>SUMIFS('IS Proforma'!CK:CK,'IS Proforma'!$C:$C,'Opex Departments'!$C157,'IS Proforma'!$A:$A,'Opex Departments'!$A157)</f>
        <v>6195.213972</v>
      </c>
      <c r="BZ157" s="116">
        <f>SUMIFS('IS Proforma'!CL:CL,'IS Proforma'!$C:$C,'Opex Departments'!$C157,'IS Proforma'!$A:$A,'Opex Departments'!$A157)</f>
        <v>6226.190042</v>
      </c>
      <c r="CA157" s="116">
        <f>SUMIFS('IS Proforma'!CM:CM,'IS Proforma'!$C:$C,'Opex Departments'!$C157,'IS Proforma'!$A:$A,'Opex Departments'!$A157)</f>
        <v>6257.320992</v>
      </c>
      <c r="CB157" s="116">
        <f>SUMIFS('IS Proforma'!CN:CN,'IS Proforma'!$C:$C,'Opex Departments'!$C157,'IS Proforma'!$A:$A,'Opex Departments'!$A157)</f>
        <v>6288.607597</v>
      </c>
      <c r="CC157" s="116">
        <f>SUMIFS('IS Proforma'!CO:CO,'IS Proforma'!$C:$C,'Opex Departments'!$C157,'IS Proforma'!$A:$A,'Opex Departments'!$A157)</f>
        <v>6320.050635</v>
      </c>
      <c r="CD157" s="116">
        <f>SUMIFS('IS Proforma'!CP:CP,'IS Proforma'!$C:$C,'Opex Departments'!$C157,'IS Proforma'!$A:$A,'Opex Departments'!$A157)</f>
        <v>107440.8608</v>
      </c>
      <c r="CE157" s="116">
        <f>SUMIFS('IS Proforma'!CQ:CQ,'IS Proforma'!$C:$C,'Opex Departments'!$C157,'IS Proforma'!$A:$A,'Opex Departments'!$A157)</f>
        <v>5372.043039</v>
      </c>
      <c r="CF157" s="116">
        <f>SUMIFS('IS Proforma'!CR:CR,'IS Proforma'!$C:$C,'Opex Departments'!$C157,'IS Proforma'!$A:$A,'Opex Departments'!$A157)</f>
        <v>5398.903255</v>
      </c>
      <c r="CG157" s="116">
        <f>SUMIFS('IS Proforma'!CS:CS,'IS Proforma'!$C:$C,'Opex Departments'!$C157,'IS Proforma'!$A:$A,'Opex Departments'!$A157)</f>
        <v>5425.897771</v>
      </c>
      <c r="CH157" s="116">
        <f>SUMIFS('IS Proforma'!CT:CT,'IS Proforma'!$C:$C,'Opex Departments'!$C157,'IS Proforma'!$A:$A,'Opex Departments'!$A157)</f>
        <v>5453.02726</v>
      </c>
      <c r="CI157" s="116">
        <f>SUMIFS('IS Proforma'!CU:CU,'IS Proforma'!$C:$C,'Opex Departments'!$C157,'IS Proforma'!$A:$A,'Opex Departments'!$A157)</f>
        <v>5480.292396</v>
      </c>
    </row>
    <row r="158" ht="15.75" customHeight="1" outlineLevel="1">
      <c r="A158" s="1" t="s">
        <v>174</v>
      </c>
      <c r="B158" s="91" t="s">
        <v>120</v>
      </c>
      <c r="C158" s="132" t="s">
        <v>247</v>
      </c>
      <c r="D158" s="116">
        <f>SUMIFS('IS Proforma'!P:P,'IS Proforma'!$C:$C,'Opex Departments'!$C158,'IS Proforma'!$A:$A,'Opex Departments'!$A158)</f>
        <v>1228</v>
      </c>
      <c r="E158" s="116">
        <f>SUMIFS('IS Proforma'!Q:Q,'IS Proforma'!$C:$C,'Opex Departments'!$C158,'IS Proforma'!$A:$A,'Opex Departments'!$A158)</f>
        <v>2313</v>
      </c>
      <c r="F158" s="116">
        <f>SUMIFS('IS Proforma'!R:R,'IS Proforma'!$C:$C,'Opex Departments'!$C158,'IS Proforma'!$A:$A,'Opex Departments'!$A158)</f>
        <v>1170</v>
      </c>
      <c r="G158" s="116">
        <f>SUMIFS('IS Proforma'!S:S,'IS Proforma'!$C:$C,'Opex Departments'!$C158,'IS Proforma'!$A:$A,'Opex Departments'!$A158)</f>
        <v>1431</v>
      </c>
      <c r="H158" s="116">
        <f>SUMIFS('IS Proforma'!T:T,'IS Proforma'!$C:$C,'Opex Departments'!$C158,'IS Proforma'!$A:$A,'Opex Departments'!$A158)</f>
        <v>1407</v>
      </c>
      <c r="I158" s="116">
        <f>SUMIFS('IS Proforma'!U:U,'IS Proforma'!$C:$C,'Opex Departments'!$C158,'IS Proforma'!$A:$A,'Opex Departments'!$A158)</f>
        <v>1303</v>
      </c>
      <c r="J158" s="116">
        <f>SUMIFS('IS Proforma'!V:V,'IS Proforma'!$C:$C,'Opex Departments'!$C158,'IS Proforma'!$A:$A,'Opex Departments'!$A158)</f>
        <v>1052</v>
      </c>
      <c r="K158" s="116">
        <f>SUMIFS('IS Proforma'!W:W,'IS Proforma'!$C:$C,'Opex Departments'!$C158,'IS Proforma'!$A:$A,'Opex Departments'!$A158)</f>
        <v>1114</v>
      </c>
      <c r="L158" s="116">
        <f>SUMIFS('IS Proforma'!X:X,'IS Proforma'!$C:$C,'Opex Departments'!$C158,'IS Proforma'!$A:$A,'Opex Departments'!$A158)</f>
        <v>2217</v>
      </c>
      <c r="M158" s="116">
        <f>SUMIFS('IS Proforma'!Y:Y,'IS Proforma'!$C:$C,'Opex Departments'!$C158,'IS Proforma'!$A:$A,'Opex Departments'!$A158)</f>
        <v>2087</v>
      </c>
      <c r="N158" s="116">
        <f>SUMIFS('IS Proforma'!Z:Z,'IS Proforma'!$C:$C,'Opex Departments'!$C158,'IS Proforma'!$A:$A,'Opex Departments'!$A158)</f>
        <v>2307</v>
      </c>
      <c r="O158" s="116">
        <f>SUMIFS('IS Proforma'!AA:AA,'IS Proforma'!$C:$C,'Opex Departments'!$C158,'IS Proforma'!$A:$A,'Opex Departments'!$A158)</f>
        <v>2019</v>
      </c>
      <c r="P158" s="116">
        <f>SUMIFS('IS Proforma'!AB:AB,'IS Proforma'!$C:$C,'Opex Departments'!$C158,'IS Proforma'!$A:$A,'Opex Departments'!$A158)</f>
        <v>2035</v>
      </c>
      <c r="Q158" s="116">
        <f>SUMIFS('IS Proforma'!AC:AC,'IS Proforma'!$C:$C,'Opex Departments'!$C158,'IS Proforma'!$A:$A,'Opex Departments'!$A158)</f>
        <v>2194</v>
      </c>
      <c r="R158" s="116">
        <f>SUMIFS('IS Proforma'!AD:AD,'IS Proforma'!$C:$C,'Opex Departments'!$C158,'IS Proforma'!$A:$A,'Opex Departments'!$A158)</f>
        <v>1452</v>
      </c>
      <c r="S158" s="116">
        <f>SUMIFS('IS Proforma'!AE:AE,'IS Proforma'!$C:$C,'Opex Departments'!$C158,'IS Proforma'!$A:$A,'Opex Departments'!$A158)</f>
        <v>2472</v>
      </c>
      <c r="T158" s="116">
        <f>SUMIFS('IS Proforma'!AF:AF,'IS Proforma'!$C:$C,'Opex Departments'!$C158,'IS Proforma'!$A:$A,'Opex Departments'!$A158)</f>
        <v>1194</v>
      </c>
      <c r="U158" s="116">
        <f>SUMIFS('IS Proforma'!AG:AG,'IS Proforma'!$C:$C,'Opex Departments'!$C158,'IS Proforma'!$A:$A,'Opex Departments'!$A158)</f>
        <v>1693</v>
      </c>
      <c r="V158" s="116">
        <f>SUMIFS('IS Proforma'!AH:AH,'IS Proforma'!$C:$C,'Opex Departments'!$C158,'IS Proforma'!$A:$A,'Opex Departments'!$A158)</f>
        <v>1276</v>
      </c>
      <c r="W158" s="116">
        <f>SUMIFS('IS Proforma'!AI:AI,'IS Proforma'!$C:$C,'Opex Departments'!$C158,'IS Proforma'!$A:$A,'Opex Departments'!$A158)</f>
        <v>1917</v>
      </c>
      <c r="X158" s="116">
        <f>SUMIFS('IS Proforma'!AJ:AJ,'IS Proforma'!$C:$C,'Opex Departments'!$C158,'IS Proforma'!$A:$A,'Opex Departments'!$A158)</f>
        <v>1772</v>
      </c>
      <c r="Y158" s="116">
        <f>SUMIFS('IS Proforma'!AK:AK,'IS Proforma'!$C:$C,'Opex Departments'!$C158,'IS Proforma'!$A:$A,'Opex Departments'!$A158)</f>
        <v>2433</v>
      </c>
      <c r="Z158" s="116">
        <f>SUMIFS('IS Proforma'!AL:AL,'IS Proforma'!$C:$C,'Opex Departments'!$C158,'IS Proforma'!$A:$A,'Opex Departments'!$A158)</f>
        <v>1448</v>
      </c>
      <c r="AA158" s="116">
        <f>SUMIFS('IS Proforma'!AM:AM,'IS Proforma'!$C:$C,'Opex Departments'!$C158,'IS Proforma'!$A:$A,'Opex Departments'!$A158)</f>
        <v>0</v>
      </c>
      <c r="AB158" s="116">
        <f>SUMIFS('IS Proforma'!AN:AN,'IS Proforma'!$C:$C,'Opex Departments'!$C158,'IS Proforma'!$A:$A,'Opex Departments'!$A158)</f>
        <v>0</v>
      </c>
      <c r="AC158" s="116">
        <f>SUMIFS('IS Proforma'!AO:AO,'IS Proforma'!$C:$C,'Opex Departments'!$C158,'IS Proforma'!$A:$A,'Opex Departments'!$A158)</f>
        <v>0</v>
      </c>
      <c r="AD158" s="116">
        <f>SUMIFS('IS Proforma'!AP:AP,'IS Proforma'!$C:$C,'Opex Departments'!$C158,'IS Proforma'!$A:$A,'Opex Departments'!$A158)</f>
        <v>0</v>
      </c>
      <c r="AE158" s="116">
        <f>SUMIFS('IS Proforma'!AQ:AQ,'IS Proforma'!$C:$C,'Opex Departments'!$C158,'IS Proforma'!$A:$A,'Opex Departments'!$A158)</f>
        <v>0</v>
      </c>
      <c r="AF158" s="116">
        <f>SUMIFS('IS Proforma'!AR:AR,'IS Proforma'!$C:$C,'Opex Departments'!$C158,'IS Proforma'!$A:$A,'Opex Departments'!$A158)</f>
        <v>0</v>
      </c>
      <c r="AG158" s="116">
        <f>SUMIFS('IS Proforma'!AS:AS,'IS Proforma'!$C:$C,'Opex Departments'!$C158,'IS Proforma'!$A:$A,'Opex Departments'!$A158)</f>
        <v>0</v>
      </c>
      <c r="AH158" s="116">
        <f>SUMIFS('IS Proforma'!AT:AT,'IS Proforma'!$C:$C,'Opex Departments'!$C158,'IS Proforma'!$A:$A,'Opex Departments'!$A158)</f>
        <v>0</v>
      </c>
      <c r="AI158" s="116">
        <f>SUMIFS('IS Proforma'!AU:AU,'IS Proforma'!$C:$C,'Opex Departments'!$C158,'IS Proforma'!$A:$A,'Opex Departments'!$A158)</f>
        <v>0</v>
      </c>
      <c r="AJ158" s="116">
        <f>SUMIFS('IS Proforma'!AV:AV,'IS Proforma'!$C:$C,'Opex Departments'!$C158,'IS Proforma'!$A:$A,'Opex Departments'!$A158)</f>
        <v>0</v>
      </c>
      <c r="AK158" s="116">
        <f>SUMIFS('IS Proforma'!AW:AW,'IS Proforma'!$C:$C,'Opex Departments'!$C158,'IS Proforma'!$A:$A,'Opex Departments'!$A158)</f>
        <v>0</v>
      </c>
      <c r="AL158" s="116">
        <f>SUMIFS('IS Proforma'!AX:AX,'IS Proforma'!$C:$C,'Opex Departments'!$C158,'IS Proforma'!$A:$A,'Opex Departments'!$A158)</f>
        <v>0</v>
      </c>
      <c r="AM158" s="116">
        <f>SUMIFS('IS Proforma'!AY:AY,'IS Proforma'!$C:$C,'Opex Departments'!$C158,'IS Proforma'!$A:$A,'Opex Departments'!$A158)</f>
        <v>0</v>
      </c>
      <c r="AN158" s="116">
        <f>SUMIFS('IS Proforma'!AZ:AZ,'IS Proforma'!$C:$C,'Opex Departments'!$C158,'IS Proforma'!$A:$A,'Opex Departments'!$A158)</f>
        <v>0</v>
      </c>
      <c r="AO158" s="116">
        <f>SUMIFS('IS Proforma'!BA:BA,'IS Proforma'!$C:$C,'Opex Departments'!$C158,'IS Proforma'!$A:$A,'Opex Departments'!$A158)</f>
        <v>0</v>
      </c>
      <c r="AP158" s="116">
        <f>SUMIFS('IS Proforma'!BB:BB,'IS Proforma'!$C:$C,'Opex Departments'!$C158,'IS Proforma'!$A:$A,'Opex Departments'!$A158)</f>
        <v>0</v>
      </c>
      <c r="AQ158" s="116">
        <f>SUMIFS('IS Proforma'!BC:BC,'IS Proforma'!$C:$C,'Opex Departments'!$C158,'IS Proforma'!$A:$A,'Opex Departments'!$A158)</f>
        <v>0</v>
      </c>
      <c r="AR158" s="116">
        <f>SUMIFS('IS Proforma'!BD:BD,'IS Proforma'!$C:$C,'Opex Departments'!$C158,'IS Proforma'!$A:$A,'Opex Departments'!$A158)</f>
        <v>0</v>
      </c>
      <c r="AS158" s="116">
        <f>SUMIFS('IS Proforma'!BE:BE,'IS Proforma'!$C:$C,'Opex Departments'!$C158,'IS Proforma'!$A:$A,'Opex Departments'!$A158)</f>
        <v>0</v>
      </c>
      <c r="AT158" s="116">
        <f>SUMIFS('IS Proforma'!BF:BF,'IS Proforma'!$C:$C,'Opex Departments'!$C158,'IS Proforma'!$A:$A,'Opex Departments'!$A158)</f>
        <v>0</v>
      </c>
      <c r="AU158" s="116">
        <f>SUMIFS('IS Proforma'!BG:BG,'IS Proforma'!$C:$C,'Opex Departments'!$C158,'IS Proforma'!$A:$A,'Opex Departments'!$A158)</f>
        <v>0</v>
      </c>
      <c r="AV158" s="116">
        <f>SUMIFS('IS Proforma'!BH:BH,'IS Proforma'!$C:$C,'Opex Departments'!$C158,'IS Proforma'!$A:$A,'Opex Departments'!$A158)</f>
        <v>0</v>
      </c>
      <c r="AW158" s="116">
        <f>SUMIFS('IS Proforma'!BI:BI,'IS Proforma'!$C:$C,'Opex Departments'!$C158,'IS Proforma'!$A:$A,'Opex Departments'!$A158)</f>
        <v>0</v>
      </c>
      <c r="AX158" s="116">
        <f>SUMIFS('IS Proforma'!BJ:BJ,'IS Proforma'!$C:$C,'Opex Departments'!$C158,'IS Proforma'!$A:$A,'Opex Departments'!$A158)</f>
        <v>0</v>
      </c>
      <c r="AY158" s="116">
        <f>SUMIFS('IS Proforma'!BK:BK,'IS Proforma'!$C:$C,'Opex Departments'!$C158,'IS Proforma'!$A:$A,'Opex Departments'!$A158)</f>
        <v>0</v>
      </c>
      <c r="AZ158" s="116">
        <f>SUMIFS('IS Proforma'!BL:BL,'IS Proforma'!$C:$C,'Opex Departments'!$C158,'IS Proforma'!$A:$A,'Opex Departments'!$A158)</f>
        <v>0</v>
      </c>
      <c r="BA158" s="116">
        <f>SUMIFS('IS Proforma'!BM:BM,'IS Proforma'!$C:$C,'Opex Departments'!$C158,'IS Proforma'!$A:$A,'Opex Departments'!$A158)</f>
        <v>0</v>
      </c>
      <c r="BB158" s="116">
        <f>SUMIFS('IS Proforma'!BN:BN,'IS Proforma'!$C:$C,'Opex Departments'!$C158,'IS Proforma'!$A:$A,'Opex Departments'!$A158)</f>
        <v>0</v>
      </c>
      <c r="BC158" s="116">
        <f>SUMIFS('IS Proforma'!BO:BO,'IS Proforma'!$C:$C,'Opex Departments'!$C158,'IS Proforma'!$A:$A,'Opex Departments'!$A158)</f>
        <v>0</v>
      </c>
      <c r="BD158" s="116">
        <f>SUMIFS('IS Proforma'!BP:BP,'IS Proforma'!$C:$C,'Opex Departments'!$C158,'IS Proforma'!$A:$A,'Opex Departments'!$A158)</f>
        <v>0</v>
      </c>
      <c r="BE158" s="116">
        <f>SUMIFS('IS Proforma'!BQ:BQ,'IS Proforma'!$C:$C,'Opex Departments'!$C158,'IS Proforma'!$A:$A,'Opex Departments'!$A158)</f>
        <v>0</v>
      </c>
      <c r="BF158" s="116">
        <f>SUMIFS('IS Proforma'!BR:BR,'IS Proforma'!$C:$C,'Opex Departments'!$C158,'IS Proforma'!$A:$A,'Opex Departments'!$A158)</f>
        <v>0</v>
      </c>
      <c r="BG158" s="116">
        <f>SUMIFS('IS Proforma'!BS:BS,'IS Proforma'!$C:$C,'Opex Departments'!$C158,'IS Proforma'!$A:$A,'Opex Departments'!$A158)</f>
        <v>0</v>
      </c>
      <c r="BH158" s="116">
        <f>SUMIFS('IS Proforma'!BT:BT,'IS Proforma'!$C:$C,'Opex Departments'!$C158,'IS Proforma'!$A:$A,'Opex Departments'!$A158)</f>
        <v>0</v>
      </c>
      <c r="BI158" s="116">
        <f>SUMIFS('IS Proforma'!BU:BU,'IS Proforma'!$C:$C,'Opex Departments'!$C158,'IS Proforma'!$A:$A,'Opex Departments'!$A158)</f>
        <v>0</v>
      </c>
      <c r="BJ158" s="116">
        <f>SUMIFS('IS Proforma'!BV:BV,'IS Proforma'!$C:$C,'Opex Departments'!$C158,'IS Proforma'!$A:$A,'Opex Departments'!$A158)</f>
        <v>0</v>
      </c>
      <c r="BK158" s="116">
        <f>SUMIFS('IS Proforma'!BW:BW,'IS Proforma'!$C:$C,'Opex Departments'!$C158,'IS Proforma'!$A:$A,'Opex Departments'!$A158)</f>
        <v>0</v>
      </c>
      <c r="BL158" s="116">
        <f>SUMIFS('IS Proforma'!BX:BX,'IS Proforma'!$C:$C,'Opex Departments'!$C158,'IS Proforma'!$A:$A,'Opex Departments'!$A158)</f>
        <v>0</v>
      </c>
      <c r="BM158" s="116">
        <f>SUMIFS('IS Proforma'!BY:BY,'IS Proforma'!$C:$C,'Opex Departments'!$C158,'IS Proforma'!$A:$A,'Opex Departments'!$A158)</f>
        <v>0</v>
      </c>
      <c r="BN158" s="116">
        <f>SUMIFS('IS Proforma'!BZ:BZ,'IS Proforma'!$C:$C,'Opex Departments'!$C158,'IS Proforma'!$A:$A,'Opex Departments'!$A158)</f>
        <v>0</v>
      </c>
      <c r="BO158" s="116">
        <f>SUMIFS('IS Proforma'!CA:CA,'IS Proforma'!$C:$C,'Opex Departments'!$C158,'IS Proforma'!$A:$A,'Opex Departments'!$A158)</f>
        <v>0</v>
      </c>
      <c r="BP158" s="116">
        <f>SUMIFS('IS Proforma'!CB:CB,'IS Proforma'!$C:$C,'Opex Departments'!$C158,'IS Proforma'!$A:$A,'Opex Departments'!$A158)</f>
        <v>0</v>
      </c>
      <c r="BQ158" s="116">
        <f>SUMIFS('IS Proforma'!CC:CC,'IS Proforma'!$C:$C,'Opex Departments'!$C158,'IS Proforma'!$A:$A,'Opex Departments'!$A158)</f>
        <v>0</v>
      </c>
      <c r="BR158" s="116">
        <f>SUMIFS('IS Proforma'!CD:CD,'IS Proforma'!$C:$C,'Opex Departments'!$C158,'IS Proforma'!$A:$A,'Opex Departments'!$A158)</f>
        <v>0</v>
      </c>
      <c r="BS158" s="116">
        <f>SUMIFS('IS Proforma'!CE:CE,'IS Proforma'!$C:$C,'Opex Departments'!$C158,'IS Proforma'!$A:$A,'Opex Departments'!$A158)</f>
        <v>0</v>
      </c>
      <c r="BT158" s="116">
        <f>SUMIFS('IS Proforma'!CF:CF,'IS Proforma'!$C:$C,'Opex Departments'!$C158,'IS Proforma'!$A:$A,'Opex Departments'!$A158)</f>
        <v>0</v>
      </c>
      <c r="BU158" s="116">
        <f>SUMIFS('IS Proforma'!CG:CG,'IS Proforma'!$C:$C,'Opex Departments'!$C158,'IS Proforma'!$A:$A,'Opex Departments'!$A158)</f>
        <v>0</v>
      </c>
      <c r="BV158" s="116">
        <f>SUMIFS('IS Proforma'!CH:CH,'IS Proforma'!$C:$C,'Opex Departments'!$C158,'IS Proforma'!$A:$A,'Opex Departments'!$A158)</f>
        <v>0</v>
      </c>
      <c r="BW158" s="116">
        <f>SUMIFS('IS Proforma'!CI:CI,'IS Proforma'!$C:$C,'Opex Departments'!$C158,'IS Proforma'!$A:$A,'Opex Departments'!$A158)</f>
        <v>0</v>
      </c>
      <c r="BX158" s="116">
        <f>SUMIFS('IS Proforma'!CJ:CJ,'IS Proforma'!$C:$C,'Opex Departments'!$C158,'IS Proforma'!$A:$A,'Opex Departments'!$A158)</f>
        <v>0</v>
      </c>
      <c r="BY158" s="116">
        <f>SUMIFS('IS Proforma'!CK:CK,'IS Proforma'!$C:$C,'Opex Departments'!$C158,'IS Proforma'!$A:$A,'Opex Departments'!$A158)</f>
        <v>0</v>
      </c>
      <c r="BZ158" s="116">
        <f>SUMIFS('IS Proforma'!CL:CL,'IS Proforma'!$C:$C,'Opex Departments'!$C158,'IS Proforma'!$A:$A,'Opex Departments'!$A158)</f>
        <v>0</v>
      </c>
      <c r="CA158" s="116">
        <f>SUMIFS('IS Proforma'!CM:CM,'IS Proforma'!$C:$C,'Opex Departments'!$C158,'IS Proforma'!$A:$A,'Opex Departments'!$A158)</f>
        <v>0</v>
      </c>
      <c r="CB158" s="116">
        <f>SUMIFS('IS Proforma'!CN:CN,'IS Proforma'!$C:$C,'Opex Departments'!$C158,'IS Proforma'!$A:$A,'Opex Departments'!$A158)</f>
        <v>0</v>
      </c>
      <c r="CC158" s="116">
        <f>SUMIFS('IS Proforma'!CO:CO,'IS Proforma'!$C:$C,'Opex Departments'!$C158,'IS Proforma'!$A:$A,'Opex Departments'!$A158)</f>
        <v>0</v>
      </c>
      <c r="CD158" s="116">
        <f>SUMIFS('IS Proforma'!CP:CP,'IS Proforma'!$C:$C,'Opex Departments'!$C158,'IS Proforma'!$A:$A,'Opex Departments'!$A158)</f>
        <v>0</v>
      </c>
      <c r="CE158" s="116">
        <f>SUMIFS('IS Proforma'!CQ:CQ,'IS Proforma'!$C:$C,'Opex Departments'!$C158,'IS Proforma'!$A:$A,'Opex Departments'!$A158)</f>
        <v>0</v>
      </c>
      <c r="CF158" s="116">
        <f>SUMIFS('IS Proforma'!CR:CR,'IS Proforma'!$C:$C,'Opex Departments'!$C158,'IS Proforma'!$A:$A,'Opex Departments'!$A158)</f>
        <v>0</v>
      </c>
      <c r="CG158" s="116">
        <f>SUMIFS('IS Proforma'!CS:CS,'IS Proforma'!$C:$C,'Opex Departments'!$C158,'IS Proforma'!$A:$A,'Opex Departments'!$A158)</f>
        <v>0</v>
      </c>
      <c r="CH158" s="116">
        <f>SUMIFS('IS Proforma'!CT:CT,'IS Proforma'!$C:$C,'Opex Departments'!$C158,'IS Proforma'!$A:$A,'Opex Departments'!$A158)</f>
        <v>0</v>
      </c>
      <c r="CI158" s="116">
        <f>SUMIFS('IS Proforma'!CU:CU,'IS Proforma'!$C:$C,'Opex Departments'!$C158,'IS Proforma'!$A:$A,'Opex Departments'!$A158)</f>
        <v>0</v>
      </c>
    </row>
    <row r="159" ht="15.75" customHeight="1" outlineLevel="1">
      <c r="A159" s="1" t="s">
        <v>174</v>
      </c>
      <c r="B159" s="91" t="s">
        <v>120</v>
      </c>
      <c r="C159" s="132" t="s">
        <v>248</v>
      </c>
      <c r="D159" s="116">
        <f>SUMIFS('IS Proforma'!P:P,'IS Proforma'!$C:$C,'Opex Departments'!$C159,'IS Proforma'!$A:$A,'Opex Departments'!$A159)</f>
        <v>2438</v>
      </c>
      <c r="E159" s="116">
        <f>SUMIFS('IS Proforma'!Q:Q,'IS Proforma'!$C:$C,'Opex Departments'!$C159,'IS Proforma'!$A:$A,'Opex Departments'!$A159)</f>
        <v>1520</v>
      </c>
      <c r="F159" s="116">
        <f>SUMIFS('IS Proforma'!R:R,'IS Proforma'!$C:$C,'Opex Departments'!$C159,'IS Proforma'!$A:$A,'Opex Departments'!$A159)</f>
        <v>1555</v>
      </c>
      <c r="G159" s="116">
        <f>SUMIFS('IS Proforma'!S:S,'IS Proforma'!$C:$C,'Opex Departments'!$C159,'IS Proforma'!$A:$A,'Opex Departments'!$A159)</f>
        <v>1971</v>
      </c>
      <c r="H159" s="116">
        <f>SUMIFS('IS Proforma'!T:T,'IS Proforma'!$C:$C,'Opex Departments'!$C159,'IS Proforma'!$A:$A,'Opex Departments'!$A159)</f>
        <v>1677</v>
      </c>
      <c r="I159" s="116">
        <f>SUMIFS('IS Proforma'!U:U,'IS Proforma'!$C:$C,'Opex Departments'!$C159,'IS Proforma'!$A:$A,'Opex Departments'!$A159)</f>
        <v>2388</v>
      </c>
      <c r="J159" s="116">
        <f>SUMIFS('IS Proforma'!V:V,'IS Proforma'!$C:$C,'Opex Departments'!$C159,'IS Proforma'!$A:$A,'Opex Departments'!$A159)</f>
        <v>1819</v>
      </c>
      <c r="K159" s="116">
        <f>SUMIFS('IS Proforma'!W:W,'IS Proforma'!$C:$C,'Opex Departments'!$C159,'IS Proforma'!$A:$A,'Opex Departments'!$A159)</f>
        <v>1423</v>
      </c>
      <c r="L159" s="116">
        <f>SUMIFS('IS Proforma'!X:X,'IS Proforma'!$C:$C,'Opex Departments'!$C159,'IS Proforma'!$A:$A,'Opex Departments'!$A159)</f>
        <v>1550</v>
      </c>
      <c r="M159" s="116">
        <f>SUMIFS('IS Proforma'!Y:Y,'IS Proforma'!$C:$C,'Opex Departments'!$C159,'IS Proforma'!$A:$A,'Opex Departments'!$A159)</f>
        <v>1249</v>
      </c>
      <c r="N159" s="116">
        <f>SUMIFS('IS Proforma'!Z:Z,'IS Proforma'!$C:$C,'Opex Departments'!$C159,'IS Proforma'!$A:$A,'Opex Departments'!$A159)</f>
        <v>2118</v>
      </c>
      <c r="O159" s="116">
        <f>SUMIFS('IS Proforma'!AA:AA,'IS Proforma'!$C:$C,'Opex Departments'!$C159,'IS Proforma'!$A:$A,'Opex Departments'!$A159)</f>
        <v>1372</v>
      </c>
      <c r="P159" s="116">
        <f>SUMIFS('IS Proforma'!AB:AB,'IS Proforma'!$C:$C,'Opex Departments'!$C159,'IS Proforma'!$A:$A,'Opex Departments'!$A159)</f>
        <v>1559</v>
      </c>
      <c r="Q159" s="116">
        <f>SUMIFS('IS Proforma'!AC:AC,'IS Proforma'!$C:$C,'Opex Departments'!$C159,'IS Proforma'!$A:$A,'Opex Departments'!$A159)</f>
        <v>1199</v>
      </c>
      <c r="R159" s="116">
        <f>SUMIFS('IS Proforma'!AD:AD,'IS Proforma'!$C:$C,'Opex Departments'!$C159,'IS Proforma'!$A:$A,'Opex Departments'!$A159)</f>
        <v>2225</v>
      </c>
      <c r="S159" s="116">
        <f>SUMIFS('IS Proforma'!AE:AE,'IS Proforma'!$C:$C,'Opex Departments'!$C159,'IS Proforma'!$A:$A,'Opex Departments'!$A159)</f>
        <v>2370</v>
      </c>
      <c r="T159" s="116">
        <f>SUMIFS('IS Proforma'!AF:AF,'IS Proforma'!$C:$C,'Opex Departments'!$C159,'IS Proforma'!$A:$A,'Opex Departments'!$A159)</f>
        <v>2004</v>
      </c>
      <c r="U159" s="116">
        <f>SUMIFS('IS Proforma'!AG:AG,'IS Proforma'!$C:$C,'Opex Departments'!$C159,'IS Proforma'!$A:$A,'Opex Departments'!$A159)</f>
        <v>1711</v>
      </c>
      <c r="V159" s="116">
        <f>SUMIFS('IS Proforma'!AH:AH,'IS Proforma'!$C:$C,'Opex Departments'!$C159,'IS Proforma'!$A:$A,'Opex Departments'!$A159)</f>
        <v>1095</v>
      </c>
      <c r="W159" s="116">
        <f>SUMIFS('IS Proforma'!AI:AI,'IS Proforma'!$C:$C,'Opex Departments'!$C159,'IS Proforma'!$A:$A,'Opex Departments'!$A159)</f>
        <v>1830</v>
      </c>
      <c r="X159" s="116">
        <f>SUMIFS('IS Proforma'!AJ:AJ,'IS Proforma'!$C:$C,'Opex Departments'!$C159,'IS Proforma'!$A:$A,'Opex Departments'!$A159)</f>
        <v>2380</v>
      </c>
      <c r="Y159" s="116">
        <f>SUMIFS('IS Proforma'!AK:AK,'IS Proforma'!$C:$C,'Opex Departments'!$C159,'IS Proforma'!$A:$A,'Opex Departments'!$A159)</f>
        <v>2444</v>
      </c>
      <c r="Z159" s="116">
        <f>SUMIFS('IS Proforma'!AL:AL,'IS Proforma'!$C:$C,'Opex Departments'!$C159,'IS Proforma'!$A:$A,'Opex Departments'!$A159)</f>
        <v>1307</v>
      </c>
      <c r="AA159" s="116">
        <f>SUMIFS('IS Proforma'!AM:AM,'IS Proforma'!$C:$C,'Opex Departments'!$C159,'IS Proforma'!$A:$A,'Opex Departments'!$A159)</f>
        <v>392.1</v>
      </c>
      <c r="AB159" s="116">
        <f>SUMIFS('IS Proforma'!AN:AN,'IS Proforma'!$C:$C,'Opex Departments'!$C159,'IS Proforma'!$A:$A,'Opex Departments'!$A159)</f>
        <v>394.0605</v>
      </c>
      <c r="AC159" s="116">
        <f>SUMIFS('IS Proforma'!AO:AO,'IS Proforma'!$C:$C,'Opex Departments'!$C159,'IS Proforma'!$A:$A,'Opex Departments'!$A159)</f>
        <v>396.0308025</v>
      </c>
      <c r="AD159" s="116">
        <f>SUMIFS('IS Proforma'!AP:AP,'IS Proforma'!$C:$C,'Opex Departments'!$C159,'IS Proforma'!$A:$A,'Opex Departments'!$A159)</f>
        <v>398.0109565</v>
      </c>
      <c r="AE159" s="116">
        <f>SUMIFS('IS Proforma'!AQ:AQ,'IS Proforma'!$C:$C,'Opex Departments'!$C159,'IS Proforma'!$A:$A,'Opex Departments'!$A159)</f>
        <v>400.0010113</v>
      </c>
      <c r="AF159" s="116">
        <f>SUMIFS('IS Proforma'!AR:AR,'IS Proforma'!$C:$C,'Opex Departments'!$C159,'IS Proforma'!$A:$A,'Opex Departments'!$A159)</f>
        <v>402.0010164</v>
      </c>
      <c r="AG159" s="116">
        <f>SUMIFS('IS Proforma'!AS:AS,'IS Proforma'!$C:$C,'Opex Departments'!$C159,'IS Proforma'!$A:$A,'Opex Departments'!$A159)</f>
        <v>404.0110214</v>
      </c>
      <c r="AH159" s="116">
        <f>SUMIFS('IS Proforma'!AT:AT,'IS Proforma'!$C:$C,'Opex Departments'!$C159,'IS Proforma'!$A:$A,'Opex Departments'!$A159)</f>
        <v>406.0310765</v>
      </c>
      <c r="AI159" s="116">
        <f>SUMIFS('IS Proforma'!AU:AU,'IS Proforma'!$C:$C,'Opex Departments'!$C159,'IS Proforma'!$A:$A,'Opex Departments'!$A159)</f>
        <v>408.0612319</v>
      </c>
      <c r="AJ159" s="116">
        <f>SUMIFS('IS Proforma'!AV:AV,'IS Proforma'!$C:$C,'Opex Departments'!$C159,'IS Proforma'!$A:$A,'Opex Departments'!$A159)</f>
        <v>410.1015381</v>
      </c>
      <c r="AK159" s="116">
        <f>SUMIFS('IS Proforma'!AW:AW,'IS Proforma'!$C:$C,'Opex Departments'!$C159,'IS Proforma'!$A:$A,'Opex Departments'!$A159)</f>
        <v>412.1520458</v>
      </c>
      <c r="AL159" s="116">
        <f>SUMIFS('IS Proforma'!AX:AX,'IS Proforma'!$C:$C,'Opex Departments'!$C159,'IS Proforma'!$A:$A,'Opex Departments'!$A159)</f>
        <v>414.212806</v>
      </c>
      <c r="AM159" s="116">
        <f>SUMIFS('IS Proforma'!AY:AY,'IS Proforma'!$C:$C,'Opex Departments'!$C159,'IS Proforma'!$A:$A,'Opex Departments'!$A159)</f>
        <v>416.28387</v>
      </c>
      <c r="AN159" s="116">
        <f>SUMIFS('IS Proforma'!AZ:AZ,'IS Proforma'!$C:$C,'Opex Departments'!$C159,'IS Proforma'!$A:$A,'Opex Departments'!$A159)</f>
        <v>418.3652894</v>
      </c>
      <c r="AO159" s="116">
        <f>SUMIFS('IS Proforma'!BA:BA,'IS Proforma'!$C:$C,'Opex Departments'!$C159,'IS Proforma'!$A:$A,'Opex Departments'!$A159)</f>
        <v>420.4571158</v>
      </c>
      <c r="AP159" s="116">
        <f>SUMIFS('IS Proforma'!BB:BB,'IS Proforma'!$C:$C,'Opex Departments'!$C159,'IS Proforma'!$A:$A,'Opex Departments'!$A159)</f>
        <v>422.5594014</v>
      </c>
      <c r="AQ159" s="116">
        <f>SUMIFS('IS Proforma'!BC:BC,'IS Proforma'!$C:$C,'Opex Departments'!$C159,'IS Proforma'!$A:$A,'Opex Departments'!$A159)</f>
        <v>424.6721984</v>
      </c>
      <c r="AR159" s="116">
        <f>SUMIFS('IS Proforma'!BD:BD,'IS Proforma'!$C:$C,'Opex Departments'!$C159,'IS Proforma'!$A:$A,'Opex Departments'!$A159)</f>
        <v>426.7955594</v>
      </c>
      <c r="AS159" s="116">
        <f>SUMIFS('IS Proforma'!BE:BE,'IS Proforma'!$C:$C,'Opex Departments'!$C159,'IS Proforma'!$A:$A,'Opex Departments'!$A159)</f>
        <v>428.9295372</v>
      </c>
      <c r="AT159" s="116">
        <f>SUMIFS('IS Proforma'!BF:BF,'IS Proforma'!$C:$C,'Opex Departments'!$C159,'IS Proforma'!$A:$A,'Opex Departments'!$A159)</f>
        <v>431.0741849</v>
      </c>
      <c r="AU159" s="116">
        <f>SUMIFS('IS Proforma'!BG:BG,'IS Proforma'!$C:$C,'Opex Departments'!$C159,'IS Proforma'!$A:$A,'Opex Departments'!$A159)</f>
        <v>433.2295558</v>
      </c>
      <c r="AV159" s="116">
        <f>SUMIFS('IS Proforma'!BH:BH,'IS Proforma'!$C:$C,'Opex Departments'!$C159,'IS Proforma'!$A:$A,'Opex Departments'!$A159)</f>
        <v>435.3957036</v>
      </c>
      <c r="AW159" s="116">
        <f>SUMIFS('IS Proforma'!BI:BI,'IS Proforma'!$C:$C,'Opex Departments'!$C159,'IS Proforma'!$A:$A,'Opex Departments'!$A159)</f>
        <v>437.5726821</v>
      </c>
      <c r="AX159" s="116">
        <f>SUMIFS('IS Proforma'!BJ:BJ,'IS Proforma'!$C:$C,'Opex Departments'!$C159,'IS Proforma'!$A:$A,'Opex Departments'!$A159)</f>
        <v>439.7605455</v>
      </c>
      <c r="AY159" s="116">
        <f>SUMIFS('IS Proforma'!BK:BK,'IS Proforma'!$C:$C,'Opex Departments'!$C159,'IS Proforma'!$A:$A,'Opex Departments'!$A159)</f>
        <v>441.9593483</v>
      </c>
      <c r="AZ159" s="116">
        <f>SUMIFS('IS Proforma'!BL:BL,'IS Proforma'!$C:$C,'Opex Departments'!$C159,'IS Proforma'!$A:$A,'Opex Departments'!$A159)</f>
        <v>444.169145</v>
      </c>
      <c r="BA159" s="116">
        <f>SUMIFS('IS Proforma'!BM:BM,'IS Proforma'!$C:$C,'Opex Departments'!$C159,'IS Proforma'!$A:$A,'Opex Departments'!$A159)</f>
        <v>446.3899907</v>
      </c>
      <c r="BB159" s="116">
        <f>SUMIFS('IS Proforma'!BN:BN,'IS Proforma'!$C:$C,'Opex Departments'!$C159,'IS Proforma'!$A:$A,'Opex Departments'!$A159)</f>
        <v>448.6219407</v>
      </c>
      <c r="BC159" s="116">
        <f>SUMIFS('IS Proforma'!BO:BO,'IS Proforma'!$C:$C,'Opex Departments'!$C159,'IS Proforma'!$A:$A,'Opex Departments'!$A159)</f>
        <v>450.8650504</v>
      </c>
      <c r="BD159" s="116">
        <f>SUMIFS('IS Proforma'!BP:BP,'IS Proforma'!$C:$C,'Opex Departments'!$C159,'IS Proforma'!$A:$A,'Opex Departments'!$A159)</f>
        <v>453.1193756</v>
      </c>
      <c r="BE159" s="116">
        <f>SUMIFS('IS Proforma'!BQ:BQ,'IS Proforma'!$C:$C,'Opex Departments'!$C159,'IS Proforma'!$A:$A,'Opex Departments'!$A159)</f>
        <v>455.3849725</v>
      </c>
      <c r="BF159" s="116">
        <f>SUMIFS('IS Proforma'!BR:BR,'IS Proforma'!$C:$C,'Opex Departments'!$C159,'IS Proforma'!$A:$A,'Opex Departments'!$A159)</f>
        <v>457.6618974</v>
      </c>
      <c r="BG159" s="116">
        <f>SUMIFS('IS Proforma'!BS:BS,'IS Proforma'!$C:$C,'Opex Departments'!$C159,'IS Proforma'!$A:$A,'Opex Departments'!$A159)</f>
        <v>459.9502069</v>
      </c>
      <c r="BH159" s="116">
        <f>SUMIFS('IS Proforma'!BT:BT,'IS Proforma'!$C:$C,'Opex Departments'!$C159,'IS Proforma'!$A:$A,'Opex Departments'!$A159)</f>
        <v>462.2499579</v>
      </c>
      <c r="BI159" s="116">
        <f>SUMIFS('IS Proforma'!BU:BU,'IS Proforma'!$C:$C,'Opex Departments'!$C159,'IS Proforma'!$A:$A,'Opex Departments'!$A159)</f>
        <v>464.5612077</v>
      </c>
      <c r="BJ159" s="116">
        <f>SUMIFS('IS Proforma'!BV:BV,'IS Proforma'!$C:$C,'Opex Departments'!$C159,'IS Proforma'!$A:$A,'Opex Departments'!$A159)</f>
        <v>466.8840137</v>
      </c>
      <c r="BK159" s="116">
        <f>SUMIFS('IS Proforma'!BW:BW,'IS Proforma'!$C:$C,'Opex Departments'!$C159,'IS Proforma'!$A:$A,'Opex Departments'!$A159)</f>
        <v>469.2184338</v>
      </c>
      <c r="BL159" s="116">
        <f>SUMIFS('IS Proforma'!BX:BX,'IS Proforma'!$C:$C,'Opex Departments'!$C159,'IS Proforma'!$A:$A,'Opex Departments'!$A159)</f>
        <v>471.564526</v>
      </c>
      <c r="BM159" s="116">
        <f>SUMIFS('IS Proforma'!BY:BY,'IS Proforma'!$C:$C,'Opex Departments'!$C159,'IS Proforma'!$A:$A,'Opex Departments'!$A159)</f>
        <v>473.9223486</v>
      </c>
      <c r="BN159" s="116">
        <f>SUMIFS('IS Proforma'!BZ:BZ,'IS Proforma'!$C:$C,'Opex Departments'!$C159,'IS Proforma'!$A:$A,'Opex Departments'!$A159)</f>
        <v>476.2919603</v>
      </c>
      <c r="BO159" s="116">
        <f>SUMIFS('IS Proforma'!CA:CA,'IS Proforma'!$C:$C,'Opex Departments'!$C159,'IS Proforma'!$A:$A,'Opex Departments'!$A159)</f>
        <v>478.6734201</v>
      </c>
      <c r="BP159" s="116">
        <f>SUMIFS('IS Proforma'!CB:CB,'IS Proforma'!$C:$C,'Opex Departments'!$C159,'IS Proforma'!$A:$A,'Opex Departments'!$A159)</f>
        <v>481.0667872</v>
      </c>
      <c r="BQ159" s="116">
        <f>SUMIFS('IS Proforma'!CC:CC,'IS Proforma'!$C:$C,'Opex Departments'!$C159,'IS Proforma'!$A:$A,'Opex Departments'!$A159)</f>
        <v>483.4721212</v>
      </c>
      <c r="BR159" s="116">
        <f>SUMIFS('IS Proforma'!CD:CD,'IS Proforma'!$C:$C,'Opex Departments'!$C159,'IS Proforma'!$A:$A,'Opex Departments'!$A159)</f>
        <v>485.8894818</v>
      </c>
      <c r="BS159" s="116">
        <f>SUMIFS('IS Proforma'!CE:CE,'IS Proforma'!$C:$C,'Opex Departments'!$C159,'IS Proforma'!$A:$A,'Opex Departments'!$A159)</f>
        <v>488.3189292</v>
      </c>
      <c r="BT159" s="116">
        <f>SUMIFS('IS Proforma'!CF:CF,'IS Proforma'!$C:$C,'Opex Departments'!$C159,'IS Proforma'!$A:$A,'Opex Departments'!$A159)</f>
        <v>490.7605238</v>
      </c>
      <c r="BU159" s="116">
        <f>SUMIFS('IS Proforma'!CG:CG,'IS Proforma'!$C:$C,'Opex Departments'!$C159,'IS Proforma'!$A:$A,'Opex Departments'!$A159)</f>
        <v>493.2143264</v>
      </c>
      <c r="BV159" s="116">
        <f>SUMIFS('IS Proforma'!CH:CH,'IS Proforma'!$C:$C,'Opex Departments'!$C159,'IS Proforma'!$A:$A,'Opex Departments'!$A159)</f>
        <v>495.6803981</v>
      </c>
      <c r="BW159" s="116">
        <f>SUMIFS('IS Proforma'!CI:CI,'IS Proforma'!$C:$C,'Opex Departments'!$C159,'IS Proforma'!$A:$A,'Opex Departments'!$A159)</f>
        <v>498.1588001</v>
      </c>
      <c r="BX159" s="116">
        <f>SUMIFS('IS Proforma'!CJ:CJ,'IS Proforma'!$C:$C,'Opex Departments'!$C159,'IS Proforma'!$A:$A,'Opex Departments'!$A159)</f>
        <v>500.6495941</v>
      </c>
      <c r="BY159" s="116">
        <f>SUMIFS('IS Proforma'!CK:CK,'IS Proforma'!$C:$C,'Opex Departments'!$C159,'IS Proforma'!$A:$A,'Opex Departments'!$A159)</f>
        <v>503.152842</v>
      </c>
      <c r="BZ159" s="116">
        <f>SUMIFS('IS Proforma'!CL:CL,'IS Proforma'!$C:$C,'Opex Departments'!$C159,'IS Proforma'!$A:$A,'Opex Departments'!$A159)</f>
        <v>505.6686062</v>
      </c>
      <c r="CA159" s="116">
        <f>SUMIFS('IS Proforma'!CM:CM,'IS Proforma'!$C:$C,'Opex Departments'!$C159,'IS Proforma'!$A:$A,'Opex Departments'!$A159)</f>
        <v>508.1969493</v>
      </c>
      <c r="CB159" s="116">
        <f>SUMIFS('IS Proforma'!CN:CN,'IS Proforma'!$C:$C,'Opex Departments'!$C159,'IS Proforma'!$A:$A,'Opex Departments'!$A159)</f>
        <v>510.737934</v>
      </c>
      <c r="CC159" s="116">
        <f>SUMIFS('IS Proforma'!CO:CO,'IS Proforma'!$C:$C,'Opex Departments'!$C159,'IS Proforma'!$A:$A,'Opex Departments'!$A159)</f>
        <v>513.2916237</v>
      </c>
      <c r="CD159" s="116">
        <f>SUMIFS('IS Proforma'!CP:CP,'IS Proforma'!$C:$C,'Opex Departments'!$C159,'IS Proforma'!$A:$A,'Opex Departments'!$A159)</f>
        <v>515.8580818</v>
      </c>
      <c r="CE159" s="116">
        <f>SUMIFS('IS Proforma'!CQ:CQ,'IS Proforma'!$C:$C,'Opex Departments'!$C159,'IS Proforma'!$A:$A,'Opex Departments'!$A159)</f>
        <v>518.4373722</v>
      </c>
      <c r="CF159" s="116">
        <f>SUMIFS('IS Proforma'!CR:CR,'IS Proforma'!$C:$C,'Opex Departments'!$C159,'IS Proforma'!$A:$A,'Opex Departments'!$A159)</f>
        <v>521.0295591</v>
      </c>
      <c r="CG159" s="116">
        <f>SUMIFS('IS Proforma'!CS:CS,'IS Proforma'!$C:$C,'Opex Departments'!$C159,'IS Proforma'!$A:$A,'Opex Departments'!$A159)</f>
        <v>523.6347069</v>
      </c>
      <c r="CH159" s="116">
        <f>SUMIFS('IS Proforma'!CT:CT,'IS Proforma'!$C:$C,'Opex Departments'!$C159,'IS Proforma'!$A:$A,'Opex Departments'!$A159)</f>
        <v>526.2528804</v>
      </c>
      <c r="CI159" s="116">
        <f>SUMIFS('IS Proforma'!CU:CU,'IS Proforma'!$C:$C,'Opex Departments'!$C159,'IS Proforma'!$A:$A,'Opex Departments'!$A159)</f>
        <v>528.8841448</v>
      </c>
    </row>
    <row r="160" ht="15.75" customHeight="1" outlineLevel="1">
      <c r="A160" s="1" t="s">
        <v>174</v>
      </c>
      <c r="B160" s="91" t="s">
        <v>179</v>
      </c>
      <c r="C160" s="132" t="s">
        <v>249</v>
      </c>
      <c r="D160" s="116">
        <f>SUMIFS('IS Proforma'!P:P,'IS Proforma'!$C:$C,'Opex Departments'!$C160,'IS Proforma'!$A:$A,'Opex Departments'!$A160)</f>
        <v>1601</v>
      </c>
      <c r="E160" s="116">
        <f>SUMIFS('IS Proforma'!Q:Q,'IS Proforma'!$C:$C,'Opex Departments'!$C160,'IS Proforma'!$A:$A,'Opex Departments'!$A160)</f>
        <v>1559</v>
      </c>
      <c r="F160" s="116">
        <f>SUMIFS('IS Proforma'!R:R,'IS Proforma'!$C:$C,'Opex Departments'!$C160,'IS Proforma'!$A:$A,'Opex Departments'!$A160)</f>
        <v>1696</v>
      </c>
      <c r="G160" s="116">
        <f>SUMIFS('IS Proforma'!S:S,'IS Proforma'!$C:$C,'Opex Departments'!$C160,'IS Proforma'!$A:$A,'Opex Departments'!$A160)</f>
        <v>1892</v>
      </c>
      <c r="H160" s="116">
        <f>SUMIFS('IS Proforma'!T:T,'IS Proforma'!$C:$C,'Opex Departments'!$C160,'IS Proforma'!$A:$A,'Opex Departments'!$A160)</f>
        <v>2008</v>
      </c>
      <c r="I160" s="116">
        <f>SUMIFS('IS Proforma'!U:U,'IS Proforma'!$C:$C,'Opex Departments'!$C160,'IS Proforma'!$A:$A,'Opex Departments'!$A160)</f>
        <v>1192</v>
      </c>
      <c r="J160" s="116">
        <f>SUMIFS('IS Proforma'!V:V,'IS Proforma'!$C:$C,'Opex Departments'!$C160,'IS Proforma'!$A:$A,'Opex Departments'!$A160)</f>
        <v>1740</v>
      </c>
      <c r="K160" s="116">
        <f>SUMIFS('IS Proforma'!W:W,'IS Proforma'!$C:$C,'Opex Departments'!$C160,'IS Proforma'!$A:$A,'Opex Departments'!$A160)</f>
        <v>1311</v>
      </c>
      <c r="L160" s="116">
        <f>SUMIFS('IS Proforma'!X:X,'IS Proforma'!$C:$C,'Opex Departments'!$C160,'IS Proforma'!$A:$A,'Opex Departments'!$A160)</f>
        <v>1789</v>
      </c>
      <c r="M160" s="116">
        <f>SUMIFS('IS Proforma'!Y:Y,'IS Proforma'!$C:$C,'Opex Departments'!$C160,'IS Proforma'!$A:$A,'Opex Departments'!$A160)</f>
        <v>1142</v>
      </c>
      <c r="N160" s="116">
        <f>SUMIFS('IS Proforma'!Z:Z,'IS Proforma'!$C:$C,'Opex Departments'!$C160,'IS Proforma'!$A:$A,'Opex Departments'!$A160)</f>
        <v>1654</v>
      </c>
      <c r="O160" s="116">
        <f>SUMIFS('IS Proforma'!AA:AA,'IS Proforma'!$C:$C,'Opex Departments'!$C160,'IS Proforma'!$A:$A,'Opex Departments'!$A160)</f>
        <v>2148</v>
      </c>
      <c r="P160" s="116">
        <f>SUMIFS('IS Proforma'!AB:AB,'IS Proforma'!$C:$C,'Opex Departments'!$C160,'IS Proforma'!$A:$A,'Opex Departments'!$A160)</f>
        <v>1023</v>
      </c>
      <c r="Q160" s="116">
        <f>SUMIFS('IS Proforma'!AC:AC,'IS Proforma'!$C:$C,'Opex Departments'!$C160,'IS Proforma'!$A:$A,'Opex Departments'!$A160)</f>
        <v>2351</v>
      </c>
      <c r="R160" s="116">
        <f>SUMIFS('IS Proforma'!AD:AD,'IS Proforma'!$C:$C,'Opex Departments'!$C160,'IS Proforma'!$A:$A,'Opex Departments'!$A160)</f>
        <v>1056</v>
      </c>
      <c r="S160" s="116">
        <f>SUMIFS('IS Proforma'!AE:AE,'IS Proforma'!$C:$C,'Opex Departments'!$C160,'IS Proforma'!$A:$A,'Opex Departments'!$A160)</f>
        <v>1518</v>
      </c>
      <c r="T160" s="116">
        <f>SUMIFS('IS Proforma'!AF:AF,'IS Proforma'!$C:$C,'Opex Departments'!$C160,'IS Proforma'!$A:$A,'Opex Departments'!$A160)</f>
        <v>2329</v>
      </c>
      <c r="U160" s="116">
        <f>SUMIFS('IS Proforma'!AG:AG,'IS Proforma'!$C:$C,'Opex Departments'!$C160,'IS Proforma'!$A:$A,'Opex Departments'!$A160)</f>
        <v>1523</v>
      </c>
      <c r="V160" s="116">
        <f>SUMIFS('IS Proforma'!AH:AH,'IS Proforma'!$C:$C,'Opex Departments'!$C160,'IS Proforma'!$A:$A,'Opex Departments'!$A160)</f>
        <v>1406</v>
      </c>
      <c r="W160" s="116">
        <f>SUMIFS('IS Proforma'!AI:AI,'IS Proforma'!$C:$C,'Opex Departments'!$C160,'IS Proforma'!$A:$A,'Opex Departments'!$A160)</f>
        <v>1971</v>
      </c>
      <c r="X160" s="116">
        <f>SUMIFS('IS Proforma'!AJ:AJ,'IS Proforma'!$C:$C,'Opex Departments'!$C160,'IS Proforma'!$A:$A,'Opex Departments'!$A160)</f>
        <v>2086</v>
      </c>
      <c r="Y160" s="116">
        <f>SUMIFS('IS Proforma'!AK:AK,'IS Proforma'!$C:$C,'Opex Departments'!$C160,'IS Proforma'!$A:$A,'Opex Departments'!$A160)</f>
        <v>2071</v>
      </c>
      <c r="Z160" s="116">
        <f>SUMIFS('IS Proforma'!AL:AL,'IS Proforma'!$C:$C,'Opex Departments'!$C160,'IS Proforma'!$A:$A,'Opex Departments'!$A160)</f>
        <v>2418</v>
      </c>
      <c r="AA160" s="116">
        <f>SUMIFS('IS Proforma'!AM:AM,'IS Proforma'!$C:$C,'Opex Departments'!$C160,'IS Proforma'!$A:$A,'Opex Departments'!$A160)</f>
        <v>11914.6</v>
      </c>
      <c r="AB160" s="116">
        <f>SUMIFS('IS Proforma'!AN:AN,'IS Proforma'!$C:$C,'Opex Departments'!$C160,'IS Proforma'!$A:$A,'Opex Departments'!$A160)</f>
        <v>6414</v>
      </c>
      <c r="AC160" s="116">
        <f>SUMIFS('IS Proforma'!AO:AO,'IS Proforma'!$C:$C,'Opex Departments'!$C160,'IS Proforma'!$A:$A,'Opex Departments'!$A160)</f>
        <v>2962.43256</v>
      </c>
      <c r="AD160" s="116">
        <f>SUMIFS('IS Proforma'!AP:AP,'IS Proforma'!$C:$C,'Opex Departments'!$C160,'IS Proforma'!$A:$A,'Opex Departments'!$A160)</f>
        <v>2992.056886</v>
      </c>
      <c r="AE160" s="116">
        <f>SUMIFS('IS Proforma'!AQ:AQ,'IS Proforma'!$C:$C,'Opex Departments'!$C160,'IS Proforma'!$A:$A,'Opex Departments'!$A160)</f>
        <v>3021.977455</v>
      </c>
      <c r="AF160" s="116">
        <f>SUMIFS('IS Proforma'!AR:AR,'IS Proforma'!$C:$C,'Opex Departments'!$C160,'IS Proforma'!$A:$A,'Opex Departments'!$A160)</f>
        <v>24050</v>
      </c>
      <c r="AG160" s="116">
        <f>SUMIFS('IS Proforma'!AS:AS,'IS Proforma'!$C:$C,'Opex Departments'!$C160,'IS Proforma'!$A:$A,'Opex Departments'!$A160)</f>
        <v>3082.719202</v>
      </c>
      <c r="AH160" s="116">
        <f>SUMIFS('IS Proforma'!AT:AT,'IS Proforma'!$C:$C,'Opex Departments'!$C160,'IS Proforma'!$A:$A,'Opex Departments'!$A160)</f>
        <v>3113.546394</v>
      </c>
      <c r="AI160" s="116">
        <f>SUMIFS('IS Proforma'!AU:AU,'IS Proforma'!$C:$C,'Opex Departments'!$C160,'IS Proforma'!$A:$A,'Opex Departments'!$A160)</f>
        <v>3144.681858</v>
      </c>
      <c r="AJ160" s="116">
        <f>SUMIFS('IS Proforma'!AV:AV,'IS Proforma'!$C:$C,'Opex Departments'!$C160,'IS Proforma'!$A:$A,'Opex Departments'!$A160)</f>
        <v>24700</v>
      </c>
      <c r="AK160" s="116">
        <f>SUMIFS('IS Proforma'!AW:AW,'IS Proforma'!$C:$C,'Opex Departments'!$C160,'IS Proforma'!$A:$A,'Opex Departments'!$A160)</f>
        <v>3207.889963</v>
      </c>
      <c r="AL160" s="116">
        <f>SUMIFS('IS Proforma'!AX:AX,'IS Proforma'!$C:$C,'Opex Departments'!$C160,'IS Proforma'!$A:$A,'Opex Departments'!$A160)</f>
        <v>3239.968863</v>
      </c>
      <c r="AM160" s="116">
        <f>SUMIFS('IS Proforma'!AY:AY,'IS Proforma'!$C:$C,'Opex Departments'!$C160,'IS Proforma'!$A:$A,'Opex Departments'!$A160)</f>
        <v>3272.368551</v>
      </c>
      <c r="AN160" s="116">
        <f>SUMIFS('IS Proforma'!AZ:AZ,'IS Proforma'!$C:$C,'Opex Departments'!$C160,'IS Proforma'!$A:$A,'Opex Departments'!$A160)</f>
        <v>26130</v>
      </c>
      <c r="AO160" s="116">
        <f>SUMIFS('IS Proforma'!BA:BA,'IS Proforma'!$C:$C,'Opex Departments'!$C160,'IS Proforma'!$A:$A,'Opex Departments'!$A160)</f>
        <v>981.8068115</v>
      </c>
      <c r="AP160" s="116">
        <f>SUMIFS('IS Proforma'!BB:BB,'IS Proforma'!$C:$C,'Opex Departments'!$C160,'IS Proforma'!$A:$A,'Opex Departments'!$A160)</f>
        <v>991.6248796</v>
      </c>
      <c r="AQ160" s="116">
        <f>SUMIFS('IS Proforma'!BC:BC,'IS Proforma'!$C:$C,'Opex Departments'!$C160,'IS Proforma'!$A:$A,'Opex Departments'!$A160)</f>
        <v>1001.541128</v>
      </c>
      <c r="AR160" s="116">
        <f>SUMIFS('IS Proforma'!BD:BD,'IS Proforma'!$C:$C,'Opex Departments'!$C160,'IS Proforma'!$A:$A,'Opex Departments'!$A160)</f>
        <v>26780</v>
      </c>
      <c r="AS160" s="116">
        <f>SUMIFS('IS Proforma'!BE:BE,'IS Proforma'!$C:$C,'Opex Departments'!$C160,'IS Proforma'!$A:$A,'Opex Departments'!$A160)</f>
        <v>1021.672105</v>
      </c>
      <c r="AT160" s="116">
        <f>SUMIFS('IS Proforma'!BF:BF,'IS Proforma'!$C:$C,'Opex Departments'!$C160,'IS Proforma'!$A:$A,'Opex Departments'!$A160)</f>
        <v>1031.888826</v>
      </c>
      <c r="AU160" s="116">
        <f>SUMIFS('IS Proforma'!BG:BG,'IS Proforma'!$C:$C,'Opex Departments'!$C160,'IS Proforma'!$A:$A,'Opex Departments'!$A160)</f>
        <v>1042.207714</v>
      </c>
      <c r="AV160" s="116">
        <f>SUMIFS('IS Proforma'!BH:BH,'IS Proforma'!$C:$C,'Opex Departments'!$C160,'IS Proforma'!$A:$A,'Opex Departments'!$A160)</f>
        <v>27430</v>
      </c>
      <c r="AW160" s="116">
        <f>SUMIFS('IS Proforma'!BI:BI,'IS Proforma'!$C:$C,'Opex Departments'!$C160,'IS Proforma'!$A:$A,'Opex Departments'!$A160)</f>
        <v>1063.156089</v>
      </c>
      <c r="AX160" s="116">
        <f>SUMIFS('IS Proforma'!BJ:BJ,'IS Proforma'!$C:$C,'Opex Departments'!$C160,'IS Proforma'!$A:$A,'Opex Departments'!$A160)</f>
        <v>1073.78765</v>
      </c>
      <c r="AY160" s="116">
        <f>SUMIFS('IS Proforma'!BK:BK,'IS Proforma'!$C:$C,'Opex Departments'!$C160,'IS Proforma'!$A:$A,'Opex Departments'!$A160)</f>
        <v>1084.525527</v>
      </c>
      <c r="AZ160" s="116">
        <f>SUMIFS('IS Proforma'!BL:BL,'IS Proforma'!$C:$C,'Opex Departments'!$C160,'IS Proforma'!$A:$A,'Opex Departments'!$A160)</f>
        <v>27950</v>
      </c>
      <c r="BA160" s="116">
        <f>SUMIFS('IS Proforma'!BM:BM,'IS Proforma'!$C:$C,'Opex Departments'!$C160,'IS Proforma'!$A:$A,'Opex Departments'!$A160)</f>
        <v>1106.32449</v>
      </c>
      <c r="BB160" s="116">
        <f>SUMIFS('IS Proforma'!BN:BN,'IS Proforma'!$C:$C,'Opex Departments'!$C160,'IS Proforma'!$A:$A,'Opex Departments'!$A160)</f>
        <v>1117.387735</v>
      </c>
      <c r="BC160" s="116">
        <f>SUMIFS('IS Proforma'!BO:BO,'IS Proforma'!$C:$C,'Opex Departments'!$C160,'IS Proforma'!$A:$A,'Opex Departments'!$A160)</f>
        <v>1128.561612</v>
      </c>
      <c r="BD160" s="116">
        <f>SUMIFS('IS Proforma'!BP:BP,'IS Proforma'!$C:$C,'Opex Departments'!$C160,'IS Proforma'!$A:$A,'Opex Departments'!$A160)</f>
        <v>29250</v>
      </c>
      <c r="BE160" s="116">
        <f>SUMIFS('IS Proforma'!BQ:BQ,'IS Proforma'!$C:$C,'Opex Departments'!$C160,'IS Proforma'!$A:$A,'Opex Departments'!$A160)</f>
        <v>1151.245701</v>
      </c>
      <c r="BF160" s="116">
        <f>SUMIFS('IS Proforma'!BR:BR,'IS Proforma'!$C:$C,'Opex Departments'!$C160,'IS Proforma'!$A:$A,'Opex Departments'!$A160)</f>
        <v>1162.758158</v>
      </c>
      <c r="BG160" s="116">
        <f>SUMIFS('IS Proforma'!BS:BS,'IS Proforma'!$C:$C,'Opex Departments'!$C160,'IS Proforma'!$A:$A,'Opex Departments'!$A160)</f>
        <v>1174.385739</v>
      </c>
      <c r="BH160" s="116">
        <f>SUMIFS('IS Proforma'!BT:BT,'IS Proforma'!$C:$C,'Opex Departments'!$C160,'IS Proforma'!$A:$A,'Opex Departments'!$A160)</f>
        <v>30160</v>
      </c>
      <c r="BI160" s="116">
        <f>SUMIFS('IS Proforma'!BU:BU,'IS Proforma'!$C:$C,'Opex Departments'!$C160,'IS Proforma'!$A:$A,'Opex Departments'!$A160)</f>
        <v>1197.990893</v>
      </c>
      <c r="BJ160" s="116">
        <f>SUMIFS('IS Proforma'!BV:BV,'IS Proforma'!$C:$C,'Opex Departments'!$C160,'IS Proforma'!$A:$A,'Opex Departments'!$A160)</f>
        <v>1209.970802</v>
      </c>
      <c r="BK160" s="116">
        <f>SUMIFS('IS Proforma'!BW:BW,'IS Proforma'!$C:$C,'Opex Departments'!$C160,'IS Proforma'!$A:$A,'Opex Departments'!$A160)</f>
        <v>1222.07051</v>
      </c>
      <c r="BL160" s="116">
        <f>SUMIFS('IS Proforma'!BX:BX,'IS Proforma'!$C:$C,'Opex Departments'!$C160,'IS Proforma'!$A:$A,'Opex Departments'!$A160)</f>
        <v>31070</v>
      </c>
      <c r="BM160" s="116">
        <f>SUMIFS('IS Proforma'!BY:BY,'IS Proforma'!$C:$C,'Opex Departments'!$C160,'IS Proforma'!$A:$A,'Opex Departments'!$A160)</f>
        <v>1246.634127</v>
      </c>
      <c r="BN160" s="116">
        <f>SUMIFS('IS Proforma'!BZ:BZ,'IS Proforma'!$C:$C,'Opex Departments'!$C160,'IS Proforma'!$A:$A,'Opex Departments'!$A160)</f>
        <v>1259.100468</v>
      </c>
      <c r="BO160" s="116">
        <f>SUMIFS('IS Proforma'!CA:CA,'IS Proforma'!$C:$C,'Opex Departments'!$C160,'IS Proforma'!$A:$A,'Opex Departments'!$A160)</f>
        <v>1271.691473</v>
      </c>
      <c r="BP160" s="116">
        <f>SUMIFS('IS Proforma'!CB:CB,'IS Proforma'!$C:$C,'Opex Departments'!$C160,'IS Proforma'!$A:$A,'Opex Departments'!$A160)</f>
        <v>34840</v>
      </c>
      <c r="BQ160" s="116">
        <f>SUMIFS('IS Proforma'!CC:CC,'IS Proforma'!$C:$C,'Opex Departments'!$C160,'IS Proforma'!$A:$A,'Opex Departments'!$A160)</f>
        <v>1297.252471</v>
      </c>
      <c r="BR160" s="116">
        <f>SUMIFS('IS Proforma'!CD:CD,'IS Proforma'!$C:$C,'Opex Departments'!$C160,'IS Proforma'!$A:$A,'Opex Departments'!$A160)</f>
        <v>1310.224996</v>
      </c>
      <c r="BS160" s="116">
        <f>SUMIFS('IS Proforma'!CE:CE,'IS Proforma'!$C:$C,'Opex Departments'!$C160,'IS Proforma'!$A:$A,'Opex Departments'!$A160)</f>
        <v>1323.327246</v>
      </c>
      <c r="BT160" s="116">
        <f>SUMIFS('IS Proforma'!CF:CF,'IS Proforma'!$C:$C,'Opex Departments'!$C160,'IS Proforma'!$A:$A,'Opex Departments'!$A160)</f>
        <v>35880</v>
      </c>
      <c r="BU160" s="116">
        <f>SUMIFS('IS Proforma'!CG:CG,'IS Proforma'!$C:$C,'Opex Departments'!$C160,'IS Proforma'!$A:$A,'Opex Departments'!$A160)</f>
        <v>1349.926124</v>
      </c>
      <c r="BV160" s="116">
        <f>SUMIFS('IS Proforma'!CH:CH,'IS Proforma'!$C:$C,'Opex Departments'!$C160,'IS Proforma'!$A:$A,'Opex Departments'!$A160)</f>
        <v>1363.425385</v>
      </c>
      <c r="BW160" s="116">
        <f>SUMIFS('IS Proforma'!CI:CI,'IS Proforma'!$C:$C,'Opex Departments'!$C160,'IS Proforma'!$A:$A,'Opex Departments'!$A160)</f>
        <v>1377.059639</v>
      </c>
      <c r="BX160" s="116">
        <f>SUMIFS('IS Proforma'!CJ:CJ,'IS Proforma'!$C:$C,'Opex Departments'!$C160,'IS Proforma'!$A:$A,'Opex Departments'!$A160)</f>
        <v>36660</v>
      </c>
      <c r="BY160" s="116">
        <f>SUMIFS('IS Proforma'!CK:CK,'IS Proforma'!$C:$C,'Opex Departments'!$C160,'IS Proforma'!$A:$A,'Opex Departments'!$A160)</f>
        <v>1404.738537</v>
      </c>
      <c r="BZ160" s="116">
        <f>SUMIFS('IS Proforma'!CL:CL,'IS Proforma'!$C:$C,'Opex Departments'!$C160,'IS Proforma'!$A:$A,'Opex Departments'!$A160)</f>
        <v>1418.785923</v>
      </c>
      <c r="CA160" s="116">
        <f>SUMIFS('IS Proforma'!CM:CM,'IS Proforma'!$C:$C,'Opex Departments'!$C160,'IS Proforma'!$A:$A,'Opex Departments'!$A160)</f>
        <v>1432.973782</v>
      </c>
      <c r="CB160" s="116">
        <f>SUMIFS('IS Proforma'!CN:CN,'IS Proforma'!$C:$C,'Opex Departments'!$C160,'IS Proforma'!$A:$A,'Opex Departments'!$A160)</f>
        <v>37700</v>
      </c>
      <c r="CC160" s="116">
        <f>SUMIFS('IS Proforma'!CO:CO,'IS Proforma'!$C:$C,'Opex Departments'!$C160,'IS Proforma'!$A:$A,'Opex Departments'!$A160)</f>
        <v>1461.776555</v>
      </c>
      <c r="CD160" s="116">
        <f>SUMIFS('IS Proforma'!CP:CP,'IS Proforma'!$C:$C,'Opex Departments'!$C160,'IS Proforma'!$A:$A,'Opex Departments'!$A160)</f>
        <v>1476.394321</v>
      </c>
      <c r="CE160" s="116">
        <f>SUMIFS('IS Proforma'!CQ:CQ,'IS Proforma'!$C:$C,'Opex Departments'!$C160,'IS Proforma'!$A:$A,'Opex Departments'!$A160)</f>
        <v>1491.158264</v>
      </c>
      <c r="CF160" s="116">
        <f>SUMIFS('IS Proforma'!CR:CR,'IS Proforma'!$C:$C,'Opex Departments'!$C160,'IS Proforma'!$A:$A,'Opex Departments'!$A160)</f>
        <v>38220</v>
      </c>
      <c r="CG160" s="116">
        <f>SUMIFS('IS Proforma'!CS:CS,'IS Proforma'!$C:$C,'Opex Departments'!$C160,'IS Proforma'!$A:$A,'Opex Departments'!$A160)</f>
        <v>1521.130545</v>
      </c>
      <c r="CH160" s="116">
        <f>SUMIFS('IS Proforma'!CT:CT,'IS Proforma'!$C:$C,'Opex Departments'!$C160,'IS Proforma'!$A:$A,'Opex Departments'!$A160)</f>
        <v>1536.34185</v>
      </c>
      <c r="CI160" s="116">
        <f>SUMIFS('IS Proforma'!CU:CU,'IS Proforma'!$C:$C,'Opex Departments'!$C160,'IS Proforma'!$A:$A,'Opex Departments'!$A160)</f>
        <v>1551.705269</v>
      </c>
    </row>
    <row r="161" ht="15.75" customHeight="1" outlineLevel="1">
      <c r="A161" s="1" t="s">
        <v>174</v>
      </c>
      <c r="B161" s="91" t="s">
        <v>179</v>
      </c>
      <c r="C161" s="132" t="s">
        <v>250</v>
      </c>
      <c r="D161" s="116">
        <f>SUMIFS('IS Proforma'!P:P,'IS Proforma'!$C:$C,'Opex Departments'!$C161,'IS Proforma'!$A:$A,'Opex Departments'!$A161)</f>
        <v>1139</v>
      </c>
      <c r="E161" s="116">
        <f>SUMIFS('IS Proforma'!Q:Q,'IS Proforma'!$C:$C,'Opex Departments'!$C161,'IS Proforma'!$A:$A,'Opex Departments'!$A161)</f>
        <v>1662</v>
      </c>
      <c r="F161" s="116">
        <f>SUMIFS('IS Proforma'!R:R,'IS Proforma'!$C:$C,'Opex Departments'!$C161,'IS Proforma'!$A:$A,'Opex Departments'!$A161)</f>
        <v>1094</v>
      </c>
      <c r="G161" s="116">
        <f>SUMIFS('IS Proforma'!S:S,'IS Proforma'!$C:$C,'Opex Departments'!$C161,'IS Proforma'!$A:$A,'Opex Departments'!$A161)</f>
        <v>1410</v>
      </c>
      <c r="H161" s="116">
        <f>SUMIFS('IS Proforma'!T:T,'IS Proforma'!$C:$C,'Opex Departments'!$C161,'IS Proforma'!$A:$A,'Opex Departments'!$A161)</f>
        <v>1998</v>
      </c>
      <c r="I161" s="116">
        <f>SUMIFS('IS Proforma'!U:U,'IS Proforma'!$C:$C,'Opex Departments'!$C161,'IS Proforma'!$A:$A,'Opex Departments'!$A161)</f>
        <v>1769</v>
      </c>
      <c r="J161" s="116">
        <f>SUMIFS('IS Proforma'!V:V,'IS Proforma'!$C:$C,'Opex Departments'!$C161,'IS Proforma'!$A:$A,'Opex Departments'!$A161)</f>
        <v>1673</v>
      </c>
      <c r="K161" s="116">
        <f>SUMIFS('IS Proforma'!W:W,'IS Proforma'!$C:$C,'Opex Departments'!$C161,'IS Proforma'!$A:$A,'Opex Departments'!$A161)</f>
        <v>2445</v>
      </c>
      <c r="L161" s="116">
        <f>SUMIFS('IS Proforma'!X:X,'IS Proforma'!$C:$C,'Opex Departments'!$C161,'IS Proforma'!$A:$A,'Opex Departments'!$A161)</f>
        <v>1238</v>
      </c>
      <c r="M161" s="116">
        <f>SUMIFS('IS Proforma'!Y:Y,'IS Proforma'!$C:$C,'Opex Departments'!$C161,'IS Proforma'!$A:$A,'Opex Departments'!$A161)</f>
        <v>1868</v>
      </c>
      <c r="N161" s="116">
        <f>SUMIFS('IS Proforma'!Z:Z,'IS Proforma'!$C:$C,'Opex Departments'!$C161,'IS Proforma'!$A:$A,'Opex Departments'!$A161)</f>
        <v>1376</v>
      </c>
      <c r="O161" s="116">
        <f>SUMIFS('IS Proforma'!AA:AA,'IS Proforma'!$C:$C,'Opex Departments'!$C161,'IS Proforma'!$A:$A,'Opex Departments'!$A161)</f>
        <v>1705</v>
      </c>
      <c r="P161" s="116">
        <f>SUMIFS('IS Proforma'!AB:AB,'IS Proforma'!$C:$C,'Opex Departments'!$C161,'IS Proforma'!$A:$A,'Opex Departments'!$A161)</f>
        <v>1049</v>
      </c>
      <c r="Q161" s="116">
        <f>SUMIFS('IS Proforma'!AC:AC,'IS Proforma'!$C:$C,'Opex Departments'!$C161,'IS Proforma'!$A:$A,'Opex Departments'!$A161)</f>
        <v>1805</v>
      </c>
      <c r="R161" s="116">
        <f>SUMIFS('IS Proforma'!AD:AD,'IS Proforma'!$C:$C,'Opex Departments'!$C161,'IS Proforma'!$A:$A,'Opex Departments'!$A161)</f>
        <v>2470</v>
      </c>
      <c r="S161" s="116">
        <f>SUMIFS('IS Proforma'!AE:AE,'IS Proforma'!$C:$C,'Opex Departments'!$C161,'IS Proforma'!$A:$A,'Opex Departments'!$A161)</f>
        <v>2407</v>
      </c>
      <c r="T161" s="116">
        <f>SUMIFS('IS Proforma'!AF:AF,'IS Proforma'!$C:$C,'Opex Departments'!$C161,'IS Proforma'!$A:$A,'Opex Departments'!$A161)</f>
        <v>1498</v>
      </c>
      <c r="U161" s="116">
        <f>SUMIFS('IS Proforma'!AG:AG,'IS Proforma'!$C:$C,'Opex Departments'!$C161,'IS Proforma'!$A:$A,'Opex Departments'!$A161)</f>
        <v>2134</v>
      </c>
      <c r="V161" s="116">
        <f>SUMIFS('IS Proforma'!AH:AH,'IS Proforma'!$C:$C,'Opex Departments'!$C161,'IS Proforma'!$A:$A,'Opex Departments'!$A161)</f>
        <v>2489</v>
      </c>
      <c r="W161" s="116">
        <f>SUMIFS('IS Proforma'!AI:AI,'IS Proforma'!$C:$C,'Opex Departments'!$C161,'IS Proforma'!$A:$A,'Opex Departments'!$A161)</f>
        <v>1123</v>
      </c>
      <c r="X161" s="116">
        <f>SUMIFS('IS Proforma'!AJ:AJ,'IS Proforma'!$C:$C,'Opex Departments'!$C161,'IS Proforma'!$A:$A,'Opex Departments'!$A161)</f>
        <v>2308</v>
      </c>
      <c r="Y161" s="116">
        <f>SUMIFS('IS Proforma'!AK:AK,'IS Proforma'!$C:$C,'Opex Departments'!$C161,'IS Proforma'!$A:$A,'Opex Departments'!$A161)</f>
        <v>1644</v>
      </c>
      <c r="Z161" s="116">
        <f>SUMIFS('IS Proforma'!AL:AL,'IS Proforma'!$C:$C,'Opex Departments'!$C161,'IS Proforma'!$A:$A,'Opex Departments'!$A161)</f>
        <v>1439</v>
      </c>
      <c r="AA161" s="116">
        <f>SUMIFS('IS Proforma'!AM:AM,'IS Proforma'!$C:$C,'Opex Departments'!$C161,'IS Proforma'!$A:$A,'Opex Departments'!$A161)</f>
        <v>11914.6</v>
      </c>
      <c r="AB161" s="116">
        <f>SUMIFS('IS Proforma'!AN:AN,'IS Proforma'!$C:$C,'Opex Departments'!$C161,'IS Proforma'!$A:$A,'Opex Departments'!$A161)</f>
        <v>6414</v>
      </c>
      <c r="AC161" s="116">
        <f>SUMIFS('IS Proforma'!AO:AO,'IS Proforma'!$C:$C,'Opex Departments'!$C161,'IS Proforma'!$A:$A,'Opex Departments'!$A161)</f>
        <v>2962.43256</v>
      </c>
      <c r="AD161" s="116">
        <f>SUMIFS('IS Proforma'!AP:AP,'IS Proforma'!$C:$C,'Opex Departments'!$C161,'IS Proforma'!$A:$A,'Opex Departments'!$A161)</f>
        <v>2992.056886</v>
      </c>
      <c r="AE161" s="116">
        <f>SUMIFS('IS Proforma'!AQ:AQ,'IS Proforma'!$C:$C,'Opex Departments'!$C161,'IS Proforma'!$A:$A,'Opex Departments'!$A161)</f>
        <v>3021.977455</v>
      </c>
      <c r="AF161" s="116">
        <f>SUMIFS('IS Proforma'!AR:AR,'IS Proforma'!$C:$C,'Opex Departments'!$C161,'IS Proforma'!$A:$A,'Opex Departments'!$A161)</f>
        <v>24050</v>
      </c>
      <c r="AG161" s="116">
        <f>SUMIFS('IS Proforma'!AS:AS,'IS Proforma'!$C:$C,'Opex Departments'!$C161,'IS Proforma'!$A:$A,'Opex Departments'!$A161)</f>
        <v>3082.719202</v>
      </c>
      <c r="AH161" s="116">
        <f>SUMIFS('IS Proforma'!AT:AT,'IS Proforma'!$C:$C,'Opex Departments'!$C161,'IS Proforma'!$A:$A,'Opex Departments'!$A161)</f>
        <v>3113.546394</v>
      </c>
      <c r="AI161" s="116">
        <f>SUMIFS('IS Proforma'!AU:AU,'IS Proforma'!$C:$C,'Opex Departments'!$C161,'IS Proforma'!$A:$A,'Opex Departments'!$A161)</f>
        <v>3144.681858</v>
      </c>
      <c r="AJ161" s="116">
        <f>SUMIFS('IS Proforma'!AV:AV,'IS Proforma'!$C:$C,'Opex Departments'!$C161,'IS Proforma'!$A:$A,'Opex Departments'!$A161)</f>
        <v>24700</v>
      </c>
      <c r="AK161" s="116">
        <f>SUMIFS('IS Proforma'!AW:AW,'IS Proforma'!$C:$C,'Opex Departments'!$C161,'IS Proforma'!$A:$A,'Opex Departments'!$A161)</f>
        <v>3207.889963</v>
      </c>
      <c r="AL161" s="116">
        <f>SUMIFS('IS Proforma'!AX:AX,'IS Proforma'!$C:$C,'Opex Departments'!$C161,'IS Proforma'!$A:$A,'Opex Departments'!$A161)</f>
        <v>3239.968863</v>
      </c>
      <c r="AM161" s="116">
        <f>SUMIFS('IS Proforma'!AY:AY,'IS Proforma'!$C:$C,'Opex Departments'!$C161,'IS Proforma'!$A:$A,'Opex Departments'!$A161)</f>
        <v>3272.368551</v>
      </c>
      <c r="AN161" s="116">
        <f>SUMIFS('IS Proforma'!AZ:AZ,'IS Proforma'!$C:$C,'Opex Departments'!$C161,'IS Proforma'!$A:$A,'Opex Departments'!$A161)</f>
        <v>26130</v>
      </c>
      <c r="AO161" s="116">
        <f>SUMIFS('IS Proforma'!BA:BA,'IS Proforma'!$C:$C,'Opex Departments'!$C161,'IS Proforma'!$A:$A,'Opex Departments'!$A161)</f>
        <v>981.8068115</v>
      </c>
      <c r="AP161" s="116">
        <f>SUMIFS('IS Proforma'!BB:BB,'IS Proforma'!$C:$C,'Opex Departments'!$C161,'IS Proforma'!$A:$A,'Opex Departments'!$A161)</f>
        <v>991.6248796</v>
      </c>
      <c r="AQ161" s="116">
        <f>SUMIFS('IS Proforma'!BC:BC,'IS Proforma'!$C:$C,'Opex Departments'!$C161,'IS Proforma'!$A:$A,'Opex Departments'!$A161)</f>
        <v>1001.541128</v>
      </c>
      <c r="AR161" s="116">
        <f>SUMIFS('IS Proforma'!BD:BD,'IS Proforma'!$C:$C,'Opex Departments'!$C161,'IS Proforma'!$A:$A,'Opex Departments'!$A161)</f>
        <v>26780</v>
      </c>
      <c r="AS161" s="116">
        <f>SUMIFS('IS Proforma'!BE:BE,'IS Proforma'!$C:$C,'Opex Departments'!$C161,'IS Proforma'!$A:$A,'Opex Departments'!$A161)</f>
        <v>1021.672105</v>
      </c>
      <c r="AT161" s="116">
        <f>SUMIFS('IS Proforma'!BF:BF,'IS Proforma'!$C:$C,'Opex Departments'!$C161,'IS Proforma'!$A:$A,'Opex Departments'!$A161)</f>
        <v>1031.888826</v>
      </c>
      <c r="AU161" s="116">
        <f>SUMIFS('IS Proforma'!BG:BG,'IS Proforma'!$C:$C,'Opex Departments'!$C161,'IS Proforma'!$A:$A,'Opex Departments'!$A161)</f>
        <v>1042.207714</v>
      </c>
      <c r="AV161" s="116">
        <f>SUMIFS('IS Proforma'!BH:BH,'IS Proforma'!$C:$C,'Opex Departments'!$C161,'IS Proforma'!$A:$A,'Opex Departments'!$A161)</f>
        <v>27430</v>
      </c>
      <c r="AW161" s="116">
        <f>SUMIFS('IS Proforma'!BI:BI,'IS Proforma'!$C:$C,'Opex Departments'!$C161,'IS Proforma'!$A:$A,'Opex Departments'!$A161)</f>
        <v>1063.156089</v>
      </c>
      <c r="AX161" s="116">
        <f>SUMIFS('IS Proforma'!BJ:BJ,'IS Proforma'!$C:$C,'Opex Departments'!$C161,'IS Proforma'!$A:$A,'Opex Departments'!$A161)</f>
        <v>1073.78765</v>
      </c>
      <c r="AY161" s="116">
        <f>SUMIFS('IS Proforma'!BK:BK,'IS Proforma'!$C:$C,'Opex Departments'!$C161,'IS Proforma'!$A:$A,'Opex Departments'!$A161)</f>
        <v>1084.525527</v>
      </c>
      <c r="AZ161" s="116">
        <f>SUMIFS('IS Proforma'!BL:BL,'IS Proforma'!$C:$C,'Opex Departments'!$C161,'IS Proforma'!$A:$A,'Opex Departments'!$A161)</f>
        <v>27950</v>
      </c>
      <c r="BA161" s="116">
        <f>SUMIFS('IS Proforma'!BM:BM,'IS Proforma'!$C:$C,'Opex Departments'!$C161,'IS Proforma'!$A:$A,'Opex Departments'!$A161)</f>
        <v>1106.32449</v>
      </c>
      <c r="BB161" s="116">
        <f>SUMIFS('IS Proforma'!BN:BN,'IS Proforma'!$C:$C,'Opex Departments'!$C161,'IS Proforma'!$A:$A,'Opex Departments'!$A161)</f>
        <v>1117.387735</v>
      </c>
      <c r="BC161" s="116">
        <f>SUMIFS('IS Proforma'!BO:BO,'IS Proforma'!$C:$C,'Opex Departments'!$C161,'IS Proforma'!$A:$A,'Opex Departments'!$A161)</f>
        <v>1128.561612</v>
      </c>
      <c r="BD161" s="116">
        <f>SUMIFS('IS Proforma'!BP:BP,'IS Proforma'!$C:$C,'Opex Departments'!$C161,'IS Proforma'!$A:$A,'Opex Departments'!$A161)</f>
        <v>29250</v>
      </c>
      <c r="BE161" s="116">
        <f>SUMIFS('IS Proforma'!BQ:BQ,'IS Proforma'!$C:$C,'Opex Departments'!$C161,'IS Proforma'!$A:$A,'Opex Departments'!$A161)</f>
        <v>1151.245701</v>
      </c>
      <c r="BF161" s="116">
        <f>SUMIFS('IS Proforma'!BR:BR,'IS Proforma'!$C:$C,'Opex Departments'!$C161,'IS Proforma'!$A:$A,'Opex Departments'!$A161)</f>
        <v>1162.758158</v>
      </c>
      <c r="BG161" s="116">
        <f>SUMIFS('IS Proforma'!BS:BS,'IS Proforma'!$C:$C,'Opex Departments'!$C161,'IS Proforma'!$A:$A,'Opex Departments'!$A161)</f>
        <v>1174.385739</v>
      </c>
      <c r="BH161" s="116">
        <f>SUMIFS('IS Proforma'!BT:BT,'IS Proforma'!$C:$C,'Opex Departments'!$C161,'IS Proforma'!$A:$A,'Opex Departments'!$A161)</f>
        <v>30160</v>
      </c>
      <c r="BI161" s="116">
        <f>SUMIFS('IS Proforma'!BU:BU,'IS Proforma'!$C:$C,'Opex Departments'!$C161,'IS Proforma'!$A:$A,'Opex Departments'!$A161)</f>
        <v>1197.990893</v>
      </c>
      <c r="BJ161" s="116">
        <f>SUMIFS('IS Proforma'!BV:BV,'IS Proforma'!$C:$C,'Opex Departments'!$C161,'IS Proforma'!$A:$A,'Opex Departments'!$A161)</f>
        <v>1209.970802</v>
      </c>
      <c r="BK161" s="116">
        <f>SUMIFS('IS Proforma'!BW:BW,'IS Proforma'!$C:$C,'Opex Departments'!$C161,'IS Proforma'!$A:$A,'Opex Departments'!$A161)</f>
        <v>1222.07051</v>
      </c>
      <c r="BL161" s="116">
        <f>SUMIFS('IS Proforma'!BX:BX,'IS Proforma'!$C:$C,'Opex Departments'!$C161,'IS Proforma'!$A:$A,'Opex Departments'!$A161)</f>
        <v>31070</v>
      </c>
      <c r="BM161" s="116">
        <f>SUMIFS('IS Proforma'!BY:BY,'IS Proforma'!$C:$C,'Opex Departments'!$C161,'IS Proforma'!$A:$A,'Opex Departments'!$A161)</f>
        <v>1246.634127</v>
      </c>
      <c r="BN161" s="116">
        <f>SUMIFS('IS Proforma'!BZ:BZ,'IS Proforma'!$C:$C,'Opex Departments'!$C161,'IS Proforma'!$A:$A,'Opex Departments'!$A161)</f>
        <v>1259.100468</v>
      </c>
      <c r="BO161" s="116">
        <f>SUMIFS('IS Proforma'!CA:CA,'IS Proforma'!$C:$C,'Opex Departments'!$C161,'IS Proforma'!$A:$A,'Opex Departments'!$A161)</f>
        <v>1271.691473</v>
      </c>
      <c r="BP161" s="116">
        <f>SUMIFS('IS Proforma'!CB:CB,'IS Proforma'!$C:$C,'Opex Departments'!$C161,'IS Proforma'!$A:$A,'Opex Departments'!$A161)</f>
        <v>34840</v>
      </c>
      <c r="BQ161" s="116">
        <f>SUMIFS('IS Proforma'!CC:CC,'IS Proforma'!$C:$C,'Opex Departments'!$C161,'IS Proforma'!$A:$A,'Opex Departments'!$A161)</f>
        <v>1297.252471</v>
      </c>
      <c r="BR161" s="116">
        <f>SUMIFS('IS Proforma'!CD:CD,'IS Proforma'!$C:$C,'Opex Departments'!$C161,'IS Proforma'!$A:$A,'Opex Departments'!$A161)</f>
        <v>1310.224996</v>
      </c>
      <c r="BS161" s="116">
        <f>SUMIFS('IS Proforma'!CE:CE,'IS Proforma'!$C:$C,'Opex Departments'!$C161,'IS Proforma'!$A:$A,'Opex Departments'!$A161)</f>
        <v>1323.327246</v>
      </c>
      <c r="BT161" s="116">
        <f>SUMIFS('IS Proforma'!CF:CF,'IS Proforma'!$C:$C,'Opex Departments'!$C161,'IS Proforma'!$A:$A,'Opex Departments'!$A161)</f>
        <v>35880</v>
      </c>
      <c r="BU161" s="116">
        <f>SUMIFS('IS Proforma'!CG:CG,'IS Proforma'!$C:$C,'Opex Departments'!$C161,'IS Proforma'!$A:$A,'Opex Departments'!$A161)</f>
        <v>1349.926124</v>
      </c>
      <c r="BV161" s="116">
        <f>SUMIFS('IS Proforma'!CH:CH,'IS Proforma'!$C:$C,'Opex Departments'!$C161,'IS Proforma'!$A:$A,'Opex Departments'!$A161)</f>
        <v>1363.425385</v>
      </c>
      <c r="BW161" s="116">
        <f>SUMIFS('IS Proforma'!CI:CI,'IS Proforma'!$C:$C,'Opex Departments'!$C161,'IS Proforma'!$A:$A,'Opex Departments'!$A161)</f>
        <v>1377.059639</v>
      </c>
      <c r="BX161" s="116">
        <f>SUMIFS('IS Proforma'!CJ:CJ,'IS Proforma'!$C:$C,'Opex Departments'!$C161,'IS Proforma'!$A:$A,'Opex Departments'!$A161)</f>
        <v>36660</v>
      </c>
      <c r="BY161" s="116">
        <f>SUMIFS('IS Proforma'!CK:CK,'IS Proforma'!$C:$C,'Opex Departments'!$C161,'IS Proforma'!$A:$A,'Opex Departments'!$A161)</f>
        <v>1404.738537</v>
      </c>
      <c r="BZ161" s="116">
        <f>SUMIFS('IS Proforma'!CL:CL,'IS Proforma'!$C:$C,'Opex Departments'!$C161,'IS Proforma'!$A:$A,'Opex Departments'!$A161)</f>
        <v>1418.785923</v>
      </c>
      <c r="CA161" s="116">
        <f>SUMIFS('IS Proforma'!CM:CM,'IS Proforma'!$C:$C,'Opex Departments'!$C161,'IS Proforma'!$A:$A,'Opex Departments'!$A161)</f>
        <v>1432.973782</v>
      </c>
      <c r="CB161" s="116">
        <f>SUMIFS('IS Proforma'!CN:CN,'IS Proforma'!$C:$C,'Opex Departments'!$C161,'IS Proforma'!$A:$A,'Opex Departments'!$A161)</f>
        <v>37700</v>
      </c>
      <c r="CC161" s="116">
        <f>SUMIFS('IS Proforma'!CO:CO,'IS Proforma'!$C:$C,'Opex Departments'!$C161,'IS Proforma'!$A:$A,'Opex Departments'!$A161)</f>
        <v>1461.776555</v>
      </c>
      <c r="CD161" s="116">
        <f>SUMIFS('IS Proforma'!CP:CP,'IS Proforma'!$C:$C,'Opex Departments'!$C161,'IS Proforma'!$A:$A,'Opex Departments'!$A161)</f>
        <v>1476.394321</v>
      </c>
      <c r="CE161" s="116">
        <f>SUMIFS('IS Proforma'!CQ:CQ,'IS Proforma'!$C:$C,'Opex Departments'!$C161,'IS Proforma'!$A:$A,'Opex Departments'!$A161)</f>
        <v>1491.158264</v>
      </c>
      <c r="CF161" s="116">
        <f>SUMIFS('IS Proforma'!CR:CR,'IS Proforma'!$C:$C,'Opex Departments'!$C161,'IS Proforma'!$A:$A,'Opex Departments'!$A161)</f>
        <v>38220</v>
      </c>
      <c r="CG161" s="116">
        <f>SUMIFS('IS Proforma'!CS:CS,'IS Proforma'!$C:$C,'Opex Departments'!$C161,'IS Proforma'!$A:$A,'Opex Departments'!$A161)</f>
        <v>1521.130545</v>
      </c>
      <c r="CH161" s="116">
        <f>SUMIFS('IS Proforma'!CT:CT,'IS Proforma'!$C:$C,'Opex Departments'!$C161,'IS Proforma'!$A:$A,'Opex Departments'!$A161)</f>
        <v>1536.34185</v>
      </c>
      <c r="CI161" s="116">
        <f>SUMIFS('IS Proforma'!CU:CU,'IS Proforma'!$C:$C,'Opex Departments'!$C161,'IS Proforma'!$A:$A,'Opex Departments'!$A161)</f>
        <v>1551.705269</v>
      </c>
    </row>
    <row r="162" ht="15.75" customHeight="1" outlineLevel="1">
      <c r="A162" s="1" t="s">
        <v>174</v>
      </c>
      <c r="B162" s="91" t="s">
        <v>179</v>
      </c>
      <c r="C162" s="132" t="s">
        <v>253</v>
      </c>
      <c r="D162" s="116">
        <f>SUMIFS('IS Proforma'!P:P,'IS Proforma'!$C:$C,'Opex Departments'!$C162,'IS Proforma'!$A:$A,'Opex Departments'!$A162)</f>
        <v>1609</v>
      </c>
      <c r="E162" s="116">
        <f>SUMIFS('IS Proforma'!Q:Q,'IS Proforma'!$C:$C,'Opex Departments'!$C162,'IS Proforma'!$A:$A,'Opex Departments'!$A162)</f>
        <v>1706</v>
      </c>
      <c r="F162" s="116">
        <f>SUMIFS('IS Proforma'!R:R,'IS Proforma'!$C:$C,'Opex Departments'!$C162,'IS Proforma'!$A:$A,'Opex Departments'!$A162)</f>
        <v>1225</v>
      </c>
      <c r="G162" s="116">
        <f>SUMIFS('IS Proforma'!S:S,'IS Proforma'!$C:$C,'Opex Departments'!$C162,'IS Proforma'!$A:$A,'Opex Departments'!$A162)</f>
        <v>1688</v>
      </c>
      <c r="H162" s="116">
        <f>SUMIFS('IS Proforma'!T:T,'IS Proforma'!$C:$C,'Opex Departments'!$C162,'IS Proforma'!$A:$A,'Opex Departments'!$A162)</f>
        <v>1928</v>
      </c>
      <c r="I162" s="116">
        <f>SUMIFS('IS Proforma'!U:U,'IS Proforma'!$C:$C,'Opex Departments'!$C162,'IS Proforma'!$A:$A,'Opex Departments'!$A162)</f>
        <v>1745</v>
      </c>
      <c r="J162" s="116">
        <f>SUMIFS('IS Proforma'!V:V,'IS Proforma'!$C:$C,'Opex Departments'!$C162,'IS Proforma'!$A:$A,'Opex Departments'!$A162)</f>
        <v>1817</v>
      </c>
      <c r="K162" s="116">
        <f>SUMIFS('IS Proforma'!W:W,'IS Proforma'!$C:$C,'Opex Departments'!$C162,'IS Proforma'!$A:$A,'Opex Departments'!$A162)</f>
        <v>1630</v>
      </c>
      <c r="L162" s="116">
        <f>SUMIFS('IS Proforma'!X:X,'IS Proforma'!$C:$C,'Opex Departments'!$C162,'IS Proforma'!$A:$A,'Opex Departments'!$A162)</f>
        <v>2112</v>
      </c>
      <c r="M162" s="116">
        <f>SUMIFS('IS Proforma'!Y:Y,'IS Proforma'!$C:$C,'Opex Departments'!$C162,'IS Proforma'!$A:$A,'Opex Departments'!$A162)</f>
        <v>1274</v>
      </c>
      <c r="N162" s="116">
        <f>SUMIFS('IS Proforma'!Z:Z,'IS Proforma'!$C:$C,'Opex Departments'!$C162,'IS Proforma'!$A:$A,'Opex Departments'!$A162)</f>
        <v>1996</v>
      </c>
      <c r="O162" s="116">
        <f>SUMIFS('IS Proforma'!AA:AA,'IS Proforma'!$C:$C,'Opex Departments'!$C162,'IS Proforma'!$A:$A,'Opex Departments'!$A162)</f>
        <v>1508</v>
      </c>
      <c r="P162" s="116">
        <f>SUMIFS('IS Proforma'!AB:AB,'IS Proforma'!$C:$C,'Opex Departments'!$C162,'IS Proforma'!$A:$A,'Opex Departments'!$A162)</f>
        <v>2215</v>
      </c>
      <c r="Q162" s="116">
        <f>SUMIFS('IS Proforma'!AC:AC,'IS Proforma'!$C:$C,'Opex Departments'!$C162,'IS Proforma'!$A:$A,'Opex Departments'!$A162)</f>
        <v>1940</v>
      </c>
      <c r="R162" s="116">
        <f>SUMIFS('IS Proforma'!AD:AD,'IS Proforma'!$C:$C,'Opex Departments'!$C162,'IS Proforma'!$A:$A,'Opex Departments'!$A162)</f>
        <v>1051</v>
      </c>
      <c r="S162" s="116">
        <f>SUMIFS('IS Proforma'!AE:AE,'IS Proforma'!$C:$C,'Opex Departments'!$C162,'IS Proforma'!$A:$A,'Opex Departments'!$A162)</f>
        <v>2295</v>
      </c>
      <c r="T162" s="116">
        <f>SUMIFS('IS Proforma'!AF:AF,'IS Proforma'!$C:$C,'Opex Departments'!$C162,'IS Proforma'!$A:$A,'Opex Departments'!$A162)</f>
        <v>2079</v>
      </c>
      <c r="U162" s="116">
        <f>SUMIFS('IS Proforma'!AG:AG,'IS Proforma'!$C:$C,'Opex Departments'!$C162,'IS Proforma'!$A:$A,'Opex Departments'!$A162)</f>
        <v>1823</v>
      </c>
      <c r="V162" s="116">
        <f>SUMIFS('IS Proforma'!AH:AH,'IS Proforma'!$C:$C,'Opex Departments'!$C162,'IS Proforma'!$A:$A,'Opex Departments'!$A162)</f>
        <v>1867</v>
      </c>
      <c r="W162" s="116">
        <f>SUMIFS('IS Proforma'!AI:AI,'IS Proforma'!$C:$C,'Opex Departments'!$C162,'IS Proforma'!$A:$A,'Opex Departments'!$A162)</f>
        <v>1564</v>
      </c>
      <c r="X162" s="116">
        <f>SUMIFS('IS Proforma'!AJ:AJ,'IS Proforma'!$C:$C,'Opex Departments'!$C162,'IS Proforma'!$A:$A,'Opex Departments'!$A162)</f>
        <v>2196</v>
      </c>
      <c r="Y162" s="116">
        <f>SUMIFS('IS Proforma'!AK:AK,'IS Proforma'!$C:$C,'Opex Departments'!$C162,'IS Proforma'!$A:$A,'Opex Departments'!$A162)</f>
        <v>1144</v>
      </c>
      <c r="Z162" s="116">
        <f>SUMIFS('IS Proforma'!AL:AL,'IS Proforma'!$C:$C,'Opex Departments'!$C162,'IS Proforma'!$A:$A,'Opex Departments'!$A162)</f>
        <v>1201</v>
      </c>
      <c r="AA162" s="116">
        <f>SUMIFS('IS Proforma'!AM:AM,'IS Proforma'!$C:$C,'Opex Departments'!$C162,'IS Proforma'!$A:$A,'Opex Departments'!$A162)</f>
        <v>35743.8</v>
      </c>
      <c r="AB162" s="116">
        <f>SUMIFS('IS Proforma'!AN:AN,'IS Proforma'!$C:$C,'Opex Departments'!$C162,'IS Proforma'!$A:$A,'Opex Departments'!$A162)</f>
        <v>19242</v>
      </c>
      <c r="AC162" s="116">
        <f>SUMIFS('IS Proforma'!AO:AO,'IS Proforma'!$C:$C,'Opex Departments'!$C162,'IS Proforma'!$A:$A,'Opex Departments'!$A162)</f>
        <v>8887.297681</v>
      </c>
      <c r="AD162" s="116">
        <f>SUMIFS('IS Proforma'!AP:AP,'IS Proforma'!$C:$C,'Opex Departments'!$C162,'IS Proforma'!$A:$A,'Opex Departments'!$A162)</f>
        <v>8976.170658</v>
      </c>
      <c r="AE162" s="116">
        <f>SUMIFS('IS Proforma'!AQ:AQ,'IS Proforma'!$C:$C,'Opex Departments'!$C162,'IS Proforma'!$A:$A,'Opex Departments'!$A162)</f>
        <v>9065.932365</v>
      </c>
      <c r="AF162" s="116">
        <f>SUMIFS('IS Proforma'!AR:AR,'IS Proforma'!$C:$C,'Opex Departments'!$C162,'IS Proforma'!$A:$A,'Opex Departments'!$A162)</f>
        <v>72150</v>
      </c>
      <c r="AG162" s="116">
        <f>SUMIFS('IS Proforma'!AS:AS,'IS Proforma'!$C:$C,'Opex Departments'!$C162,'IS Proforma'!$A:$A,'Opex Departments'!$A162)</f>
        <v>9248.157605</v>
      </c>
      <c r="AH162" s="116">
        <f>SUMIFS('IS Proforma'!AT:AT,'IS Proforma'!$C:$C,'Opex Departments'!$C162,'IS Proforma'!$A:$A,'Opex Departments'!$A162)</f>
        <v>9340.639181</v>
      </c>
      <c r="AI162" s="116">
        <f>SUMIFS('IS Proforma'!AU:AU,'IS Proforma'!$C:$C,'Opex Departments'!$C162,'IS Proforma'!$A:$A,'Opex Departments'!$A162)</f>
        <v>9434.045573</v>
      </c>
      <c r="AJ162" s="116">
        <f>SUMIFS('IS Proforma'!AV:AV,'IS Proforma'!$C:$C,'Opex Departments'!$C162,'IS Proforma'!$A:$A,'Opex Departments'!$A162)</f>
        <v>74100</v>
      </c>
      <c r="AK162" s="116">
        <f>SUMIFS('IS Proforma'!AW:AW,'IS Proforma'!$C:$C,'Opex Departments'!$C162,'IS Proforma'!$A:$A,'Opex Departments'!$A162)</f>
        <v>9623.669889</v>
      </c>
      <c r="AL162" s="116">
        <f>SUMIFS('IS Proforma'!AX:AX,'IS Proforma'!$C:$C,'Opex Departments'!$C162,'IS Proforma'!$A:$A,'Opex Departments'!$A162)</f>
        <v>9719.906588</v>
      </c>
      <c r="AM162" s="116">
        <f>SUMIFS('IS Proforma'!AY:AY,'IS Proforma'!$C:$C,'Opex Departments'!$C162,'IS Proforma'!$A:$A,'Opex Departments'!$A162)</f>
        <v>9817.105654</v>
      </c>
      <c r="AN162" s="116">
        <f>SUMIFS('IS Proforma'!AZ:AZ,'IS Proforma'!$C:$C,'Opex Departments'!$C162,'IS Proforma'!$A:$A,'Opex Departments'!$A162)</f>
        <v>78390</v>
      </c>
      <c r="AO162" s="116">
        <f>SUMIFS('IS Proforma'!BA:BA,'IS Proforma'!$C:$C,'Opex Departments'!$C162,'IS Proforma'!$A:$A,'Opex Departments'!$A162)</f>
        <v>2945.420435</v>
      </c>
      <c r="AP162" s="116">
        <f>SUMIFS('IS Proforma'!BB:BB,'IS Proforma'!$C:$C,'Opex Departments'!$C162,'IS Proforma'!$A:$A,'Opex Departments'!$A162)</f>
        <v>2974.874639</v>
      </c>
      <c r="AQ162" s="116">
        <f>SUMIFS('IS Proforma'!BC:BC,'IS Proforma'!$C:$C,'Opex Departments'!$C162,'IS Proforma'!$A:$A,'Opex Departments'!$A162)</f>
        <v>3004.623385</v>
      </c>
      <c r="AR162" s="116">
        <f>SUMIFS('IS Proforma'!BD:BD,'IS Proforma'!$C:$C,'Opex Departments'!$C162,'IS Proforma'!$A:$A,'Opex Departments'!$A162)</f>
        <v>80340</v>
      </c>
      <c r="AS162" s="116">
        <f>SUMIFS('IS Proforma'!BE:BE,'IS Proforma'!$C:$C,'Opex Departments'!$C162,'IS Proforma'!$A:$A,'Opex Departments'!$A162)</f>
        <v>3065.016315</v>
      </c>
      <c r="AT162" s="116">
        <f>SUMIFS('IS Proforma'!BF:BF,'IS Proforma'!$C:$C,'Opex Departments'!$C162,'IS Proforma'!$A:$A,'Opex Departments'!$A162)</f>
        <v>3095.666479</v>
      </c>
      <c r="AU162" s="116">
        <f>SUMIFS('IS Proforma'!BG:BG,'IS Proforma'!$C:$C,'Opex Departments'!$C162,'IS Proforma'!$A:$A,'Opex Departments'!$A162)</f>
        <v>3126.623143</v>
      </c>
      <c r="AV162" s="116">
        <f>SUMIFS('IS Proforma'!BH:BH,'IS Proforma'!$C:$C,'Opex Departments'!$C162,'IS Proforma'!$A:$A,'Opex Departments'!$A162)</f>
        <v>82290</v>
      </c>
      <c r="AW162" s="116">
        <f>SUMIFS('IS Proforma'!BI:BI,'IS Proforma'!$C:$C,'Opex Departments'!$C162,'IS Proforma'!$A:$A,'Opex Departments'!$A162)</f>
        <v>3189.468268</v>
      </c>
      <c r="AX162" s="116">
        <f>SUMIFS('IS Proforma'!BJ:BJ,'IS Proforma'!$C:$C,'Opex Departments'!$C162,'IS Proforma'!$A:$A,'Opex Departments'!$A162)</f>
        <v>3221.362951</v>
      </c>
      <c r="AY162" s="116">
        <f>SUMIFS('IS Proforma'!BK:BK,'IS Proforma'!$C:$C,'Opex Departments'!$C162,'IS Proforma'!$A:$A,'Opex Departments'!$A162)</f>
        <v>3253.576581</v>
      </c>
      <c r="AZ162" s="116">
        <f>SUMIFS('IS Proforma'!BL:BL,'IS Proforma'!$C:$C,'Opex Departments'!$C162,'IS Proforma'!$A:$A,'Opex Departments'!$A162)</f>
        <v>83850</v>
      </c>
      <c r="BA162" s="116">
        <f>SUMIFS('IS Proforma'!BM:BM,'IS Proforma'!$C:$C,'Opex Departments'!$C162,'IS Proforma'!$A:$A,'Opex Departments'!$A162)</f>
        <v>3318.97347</v>
      </c>
      <c r="BB162" s="116">
        <f>SUMIFS('IS Proforma'!BN:BN,'IS Proforma'!$C:$C,'Opex Departments'!$C162,'IS Proforma'!$A:$A,'Opex Departments'!$A162)</f>
        <v>3352.163205</v>
      </c>
      <c r="BC162" s="116">
        <f>SUMIFS('IS Proforma'!BO:BO,'IS Proforma'!$C:$C,'Opex Departments'!$C162,'IS Proforma'!$A:$A,'Opex Departments'!$A162)</f>
        <v>3385.684837</v>
      </c>
      <c r="BD162" s="116">
        <f>SUMIFS('IS Proforma'!BP:BP,'IS Proforma'!$C:$C,'Opex Departments'!$C162,'IS Proforma'!$A:$A,'Opex Departments'!$A162)</f>
        <v>87750</v>
      </c>
      <c r="BE162" s="116">
        <f>SUMIFS('IS Proforma'!BQ:BQ,'IS Proforma'!$C:$C,'Opex Departments'!$C162,'IS Proforma'!$A:$A,'Opex Departments'!$A162)</f>
        <v>3453.737102</v>
      </c>
      <c r="BF162" s="116">
        <f>SUMIFS('IS Proforma'!BR:BR,'IS Proforma'!$C:$C,'Opex Departments'!$C162,'IS Proforma'!$A:$A,'Opex Departments'!$A162)</f>
        <v>3488.274473</v>
      </c>
      <c r="BG162" s="116">
        <f>SUMIFS('IS Proforma'!BS:BS,'IS Proforma'!$C:$C,'Opex Departments'!$C162,'IS Proforma'!$A:$A,'Opex Departments'!$A162)</f>
        <v>3523.157218</v>
      </c>
      <c r="BH162" s="116">
        <f>SUMIFS('IS Proforma'!BT:BT,'IS Proforma'!$C:$C,'Opex Departments'!$C162,'IS Proforma'!$A:$A,'Opex Departments'!$A162)</f>
        <v>90480</v>
      </c>
      <c r="BI162" s="116">
        <f>SUMIFS('IS Proforma'!BU:BU,'IS Proforma'!$C:$C,'Opex Departments'!$C162,'IS Proforma'!$A:$A,'Opex Departments'!$A162)</f>
        <v>3593.972678</v>
      </c>
      <c r="BJ162" s="116">
        <f>SUMIFS('IS Proforma'!BV:BV,'IS Proforma'!$C:$C,'Opex Departments'!$C162,'IS Proforma'!$A:$A,'Opex Departments'!$A162)</f>
        <v>3629.912405</v>
      </c>
      <c r="BK162" s="116">
        <f>SUMIFS('IS Proforma'!BW:BW,'IS Proforma'!$C:$C,'Opex Departments'!$C162,'IS Proforma'!$A:$A,'Opex Departments'!$A162)</f>
        <v>3666.211529</v>
      </c>
      <c r="BL162" s="116">
        <f>SUMIFS('IS Proforma'!BX:BX,'IS Proforma'!$C:$C,'Opex Departments'!$C162,'IS Proforma'!$A:$A,'Opex Departments'!$A162)</f>
        <v>93210</v>
      </c>
      <c r="BM162" s="116">
        <f>SUMIFS('IS Proforma'!BY:BY,'IS Proforma'!$C:$C,'Opex Departments'!$C162,'IS Proforma'!$A:$A,'Opex Departments'!$A162)</f>
        <v>3739.90238</v>
      </c>
      <c r="BN162" s="116">
        <f>SUMIFS('IS Proforma'!BZ:BZ,'IS Proforma'!$C:$C,'Opex Departments'!$C162,'IS Proforma'!$A:$A,'Opex Departments'!$A162)</f>
        <v>3777.301404</v>
      </c>
      <c r="BO162" s="116">
        <f>SUMIFS('IS Proforma'!CA:CA,'IS Proforma'!$C:$C,'Opex Departments'!$C162,'IS Proforma'!$A:$A,'Opex Departments'!$A162)</f>
        <v>3815.074418</v>
      </c>
      <c r="BP162" s="116">
        <f>SUMIFS('IS Proforma'!CB:CB,'IS Proforma'!$C:$C,'Opex Departments'!$C162,'IS Proforma'!$A:$A,'Opex Departments'!$A162)</f>
        <v>104520</v>
      </c>
      <c r="BQ162" s="116">
        <f>SUMIFS('IS Proforma'!CC:CC,'IS Proforma'!$C:$C,'Opex Departments'!$C162,'IS Proforma'!$A:$A,'Opex Departments'!$A162)</f>
        <v>3891.757414</v>
      </c>
      <c r="BR162" s="116">
        <f>SUMIFS('IS Proforma'!CD:CD,'IS Proforma'!$C:$C,'Opex Departments'!$C162,'IS Proforma'!$A:$A,'Opex Departments'!$A162)</f>
        <v>3930.674988</v>
      </c>
      <c r="BS162" s="116">
        <f>SUMIFS('IS Proforma'!CE:CE,'IS Proforma'!$C:$C,'Opex Departments'!$C162,'IS Proforma'!$A:$A,'Opex Departments'!$A162)</f>
        <v>3969.981738</v>
      </c>
      <c r="BT162" s="116">
        <f>SUMIFS('IS Proforma'!CF:CF,'IS Proforma'!$C:$C,'Opex Departments'!$C162,'IS Proforma'!$A:$A,'Opex Departments'!$A162)</f>
        <v>107640</v>
      </c>
      <c r="BU162" s="116">
        <f>SUMIFS('IS Proforma'!CG:CG,'IS Proforma'!$C:$C,'Opex Departments'!$C162,'IS Proforma'!$A:$A,'Opex Departments'!$A162)</f>
        <v>4049.778371</v>
      </c>
      <c r="BV162" s="116">
        <f>SUMIFS('IS Proforma'!CH:CH,'IS Proforma'!$C:$C,'Opex Departments'!$C162,'IS Proforma'!$A:$A,'Opex Departments'!$A162)</f>
        <v>4090.276155</v>
      </c>
      <c r="BW162" s="116">
        <f>SUMIFS('IS Proforma'!CI:CI,'IS Proforma'!$C:$C,'Opex Departments'!$C162,'IS Proforma'!$A:$A,'Opex Departments'!$A162)</f>
        <v>4131.178916</v>
      </c>
      <c r="BX162" s="116">
        <f>SUMIFS('IS Proforma'!CJ:CJ,'IS Proforma'!$C:$C,'Opex Departments'!$C162,'IS Proforma'!$A:$A,'Opex Departments'!$A162)</f>
        <v>109980</v>
      </c>
      <c r="BY162" s="116">
        <f>SUMIFS('IS Proforma'!CK:CK,'IS Proforma'!$C:$C,'Opex Departments'!$C162,'IS Proforma'!$A:$A,'Opex Departments'!$A162)</f>
        <v>4214.215612</v>
      </c>
      <c r="BZ162" s="116">
        <f>SUMIFS('IS Proforma'!CL:CL,'IS Proforma'!$C:$C,'Opex Departments'!$C162,'IS Proforma'!$A:$A,'Opex Departments'!$A162)</f>
        <v>4256.357768</v>
      </c>
      <c r="CA162" s="116">
        <f>SUMIFS('IS Proforma'!CM:CM,'IS Proforma'!$C:$C,'Opex Departments'!$C162,'IS Proforma'!$A:$A,'Opex Departments'!$A162)</f>
        <v>4298.921346</v>
      </c>
      <c r="CB162" s="116">
        <f>SUMIFS('IS Proforma'!CN:CN,'IS Proforma'!$C:$C,'Opex Departments'!$C162,'IS Proforma'!$A:$A,'Opex Departments'!$A162)</f>
        <v>113100</v>
      </c>
      <c r="CC162" s="116">
        <f>SUMIFS('IS Proforma'!CO:CO,'IS Proforma'!$C:$C,'Opex Departments'!$C162,'IS Proforma'!$A:$A,'Opex Departments'!$A162)</f>
        <v>4385.329665</v>
      </c>
      <c r="CD162" s="116">
        <f>SUMIFS('IS Proforma'!CP:CP,'IS Proforma'!$C:$C,'Opex Departments'!$C162,'IS Proforma'!$A:$A,'Opex Departments'!$A162)</f>
        <v>4429.182962</v>
      </c>
      <c r="CE162" s="116">
        <f>SUMIFS('IS Proforma'!CQ:CQ,'IS Proforma'!$C:$C,'Opex Departments'!$C162,'IS Proforma'!$A:$A,'Opex Departments'!$A162)</f>
        <v>4473.474791</v>
      </c>
      <c r="CF162" s="116">
        <f>SUMIFS('IS Proforma'!CR:CR,'IS Proforma'!$C:$C,'Opex Departments'!$C162,'IS Proforma'!$A:$A,'Opex Departments'!$A162)</f>
        <v>114660</v>
      </c>
      <c r="CG162" s="116">
        <f>SUMIFS('IS Proforma'!CS:CS,'IS Proforma'!$C:$C,'Opex Departments'!$C162,'IS Proforma'!$A:$A,'Opex Departments'!$A162)</f>
        <v>4563.391635</v>
      </c>
      <c r="CH162" s="116">
        <f>SUMIFS('IS Proforma'!CT:CT,'IS Proforma'!$C:$C,'Opex Departments'!$C162,'IS Proforma'!$A:$A,'Opex Departments'!$A162)</f>
        <v>4609.025551</v>
      </c>
      <c r="CI162" s="116">
        <f>SUMIFS('IS Proforma'!CU:CU,'IS Proforma'!$C:$C,'Opex Departments'!$C162,'IS Proforma'!$A:$A,'Opex Departments'!$A162)</f>
        <v>4655.115807</v>
      </c>
    </row>
    <row r="163" ht="15.75" customHeight="1" outlineLevel="1">
      <c r="A163" s="1" t="s">
        <v>174</v>
      </c>
      <c r="B163" s="132" t="s">
        <v>72</v>
      </c>
      <c r="C163" s="132" t="s">
        <v>254</v>
      </c>
      <c r="D163" s="116">
        <f>SUMIFS('IS Proforma'!P:P,'IS Proforma'!$C:$C,'Opex Departments'!$C163,'IS Proforma'!$A:$A,'Opex Departments'!$A163)</f>
        <v>2301</v>
      </c>
      <c r="E163" s="116">
        <f>SUMIFS('IS Proforma'!Q:Q,'IS Proforma'!$C:$C,'Opex Departments'!$C163,'IS Proforma'!$A:$A,'Opex Departments'!$A163)</f>
        <v>1448</v>
      </c>
      <c r="F163" s="116">
        <f>SUMIFS('IS Proforma'!R:R,'IS Proforma'!$C:$C,'Opex Departments'!$C163,'IS Proforma'!$A:$A,'Opex Departments'!$A163)</f>
        <v>2139</v>
      </c>
      <c r="G163" s="116">
        <f>SUMIFS('IS Proforma'!S:S,'IS Proforma'!$C:$C,'Opex Departments'!$C163,'IS Proforma'!$A:$A,'Opex Departments'!$A163)</f>
        <v>2421</v>
      </c>
      <c r="H163" s="116">
        <f>SUMIFS('IS Proforma'!T:T,'IS Proforma'!$C:$C,'Opex Departments'!$C163,'IS Proforma'!$A:$A,'Opex Departments'!$A163)</f>
        <v>1974</v>
      </c>
      <c r="I163" s="116">
        <f>SUMIFS('IS Proforma'!U:U,'IS Proforma'!$C:$C,'Opex Departments'!$C163,'IS Proforma'!$A:$A,'Opex Departments'!$A163)</f>
        <v>1455</v>
      </c>
      <c r="J163" s="116">
        <f>SUMIFS('IS Proforma'!V:V,'IS Proforma'!$C:$C,'Opex Departments'!$C163,'IS Proforma'!$A:$A,'Opex Departments'!$A163)</f>
        <v>1610</v>
      </c>
      <c r="K163" s="116">
        <f>SUMIFS('IS Proforma'!W:W,'IS Proforma'!$C:$C,'Opex Departments'!$C163,'IS Proforma'!$A:$A,'Opex Departments'!$A163)</f>
        <v>2151</v>
      </c>
      <c r="L163" s="116">
        <f>SUMIFS('IS Proforma'!X:X,'IS Proforma'!$C:$C,'Opex Departments'!$C163,'IS Proforma'!$A:$A,'Opex Departments'!$A163)</f>
        <v>1552</v>
      </c>
      <c r="M163" s="116">
        <f>SUMIFS('IS Proforma'!Y:Y,'IS Proforma'!$C:$C,'Opex Departments'!$C163,'IS Proforma'!$A:$A,'Opex Departments'!$A163)</f>
        <v>1178</v>
      </c>
      <c r="N163" s="116">
        <f>SUMIFS('IS Proforma'!Z:Z,'IS Proforma'!$C:$C,'Opex Departments'!$C163,'IS Proforma'!$A:$A,'Opex Departments'!$A163)</f>
        <v>1489</v>
      </c>
      <c r="O163" s="116">
        <f>SUMIFS('IS Proforma'!AA:AA,'IS Proforma'!$C:$C,'Opex Departments'!$C163,'IS Proforma'!$A:$A,'Opex Departments'!$A163)</f>
        <v>2021</v>
      </c>
      <c r="P163" s="116">
        <f>SUMIFS('IS Proforma'!AB:AB,'IS Proforma'!$C:$C,'Opex Departments'!$C163,'IS Proforma'!$A:$A,'Opex Departments'!$A163)</f>
        <v>1734</v>
      </c>
      <c r="Q163" s="116">
        <f>SUMIFS('IS Proforma'!AC:AC,'IS Proforma'!$C:$C,'Opex Departments'!$C163,'IS Proforma'!$A:$A,'Opex Departments'!$A163)</f>
        <v>2380</v>
      </c>
      <c r="R163" s="116">
        <f>SUMIFS('IS Proforma'!AD:AD,'IS Proforma'!$C:$C,'Opex Departments'!$C163,'IS Proforma'!$A:$A,'Opex Departments'!$A163)</f>
        <v>1017</v>
      </c>
      <c r="S163" s="116">
        <f>SUMIFS('IS Proforma'!AE:AE,'IS Proforma'!$C:$C,'Opex Departments'!$C163,'IS Proforma'!$A:$A,'Opex Departments'!$A163)</f>
        <v>1133</v>
      </c>
      <c r="T163" s="116">
        <f>SUMIFS('IS Proforma'!AF:AF,'IS Proforma'!$C:$C,'Opex Departments'!$C163,'IS Proforma'!$A:$A,'Opex Departments'!$A163)</f>
        <v>1129</v>
      </c>
      <c r="U163" s="116">
        <f>SUMIFS('IS Proforma'!AG:AG,'IS Proforma'!$C:$C,'Opex Departments'!$C163,'IS Proforma'!$A:$A,'Opex Departments'!$A163)</f>
        <v>2281</v>
      </c>
      <c r="V163" s="116">
        <f>SUMIFS('IS Proforma'!AH:AH,'IS Proforma'!$C:$C,'Opex Departments'!$C163,'IS Proforma'!$A:$A,'Opex Departments'!$A163)</f>
        <v>1373</v>
      </c>
      <c r="W163" s="116">
        <f>SUMIFS('IS Proforma'!AI:AI,'IS Proforma'!$C:$C,'Opex Departments'!$C163,'IS Proforma'!$A:$A,'Opex Departments'!$A163)</f>
        <v>1096</v>
      </c>
      <c r="X163" s="116">
        <f>SUMIFS('IS Proforma'!AJ:AJ,'IS Proforma'!$C:$C,'Opex Departments'!$C163,'IS Proforma'!$A:$A,'Opex Departments'!$A163)</f>
        <v>1704</v>
      </c>
      <c r="Y163" s="116">
        <f>SUMIFS('IS Proforma'!AK:AK,'IS Proforma'!$C:$C,'Opex Departments'!$C163,'IS Proforma'!$A:$A,'Opex Departments'!$A163)</f>
        <v>2131</v>
      </c>
      <c r="Z163" s="116">
        <f>SUMIFS('IS Proforma'!AL:AL,'IS Proforma'!$C:$C,'Opex Departments'!$C163,'IS Proforma'!$A:$A,'Opex Departments'!$A163)</f>
        <v>2251</v>
      </c>
      <c r="AA163" s="116">
        <f>SUMIFS('IS Proforma'!AM:AM,'IS Proforma'!$C:$C,'Opex Departments'!$C163,'IS Proforma'!$A:$A,'Opex Departments'!$A163)</f>
        <v>1061.842973</v>
      </c>
      <c r="AB163" s="116">
        <f>SUMIFS('IS Proforma'!AN:AN,'IS Proforma'!$C:$C,'Opex Departments'!$C163,'IS Proforma'!$A:$A,'Opex Departments'!$A163)</f>
        <v>1250.592294</v>
      </c>
      <c r="AC163" s="116">
        <f>SUMIFS('IS Proforma'!AO:AO,'IS Proforma'!$C:$C,'Opex Departments'!$C163,'IS Proforma'!$A:$A,'Opex Departments'!$A163)</f>
        <v>1437.12323</v>
      </c>
      <c r="AD163" s="116">
        <f>SUMIFS('IS Proforma'!AP:AP,'IS Proforma'!$C:$C,'Opex Departments'!$C163,'IS Proforma'!$A:$A,'Opex Departments'!$A163)</f>
        <v>1607.945921</v>
      </c>
      <c r="AE163" s="116">
        <f>SUMIFS('IS Proforma'!AQ:AQ,'IS Proforma'!$C:$C,'Opex Departments'!$C163,'IS Proforma'!$A:$A,'Opex Departments'!$A163)</f>
        <v>1771.522892</v>
      </c>
      <c r="AF163" s="116">
        <f>SUMIFS('IS Proforma'!AR:AR,'IS Proforma'!$C:$C,'Opex Departments'!$C163,'IS Proforma'!$A:$A,'Opex Departments'!$A163)</f>
        <v>1934.050291</v>
      </c>
      <c r="AG163" s="116">
        <f>SUMIFS('IS Proforma'!AS:AS,'IS Proforma'!$C:$C,'Opex Departments'!$C163,'IS Proforma'!$A:$A,'Opex Departments'!$A163)</f>
        <v>2097.536115</v>
      </c>
      <c r="AH163" s="116">
        <f>SUMIFS('IS Proforma'!AT:AT,'IS Proforma'!$C:$C,'Opex Departments'!$C163,'IS Proforma'!$A:$A,'Opex Departments'!$A163)</f>
        <v>2244.90974</v>
      </c>
      <c r="AI163" s="116">
        <f>SUMIFS('IS Proforma'!AU:AU,'IS Proforma'!$C:$C,'Opex Departments'!$C163,'IS Proforma'!$A:$A,'Opex Departments'!$A163)</f>
        <v>2389.438743</v>
      </c>
      <c r="AJ163" s="116">
        <f>SUMIFS('IS Proforma'!AV:AV,'IS Proforma'!$C:$C,'Opex Departments'!$C163,'IS Proforma'!$A:$A,'Opex Departments'!$A163)</f>
        <v>2530.941544</v>
      </c>
      <c r="AK163" s="116">
        <f>SUMIFS('IS Proforma'!AW:AW,'IS Proforma'!$C:$C,'Opex Departments'!$C163,'IS Proforma'!$A:$A,'Opex Departments'!$A163)</f>
        <v>2662.483628</v>
      </c>
      <c r="AL163" s="116">
        <f>SUMIFS('IS Proforma'!AX:AX,'IS Proforma'!$C:$C,'Opex Departments'!$C163,'IS Proforma'!$A:$A,'Opex Departments'!$A163)</f>
        <v>2792.755834</v>
      </c>
      <c r="AM163" s="116">
        <f>SUMIFS('IS Proforma'!AY:AY,'IS Proforma'!$C:$C,'Opex Departments'!$C163,'IS Proforma'!$A:$A,'Opex Departments'!$A163)</f>
        <v>2924.668327</v>
      </c>
      <c r="AN163" s="116">
        <f>SUMIFS('IS Proforma'!AZ:AZ,'IS Proforma'!$C:$C,'Opex Departments'!$C163,'IS Proforma'!$A:$A,'Opex Departments'!$A163)</f>
        <v>3054.988571</v>
      </c>
      <c r="AO163" s="116">
        <f>SUMIFS('IS Proforma'!BA:BA,'IS Proforma'!$C:$C,'Opex Departments'!$C163,'IS Proforma'!$A:$A,'Opex Departments'!$A163)</f>
        <v>3078.198262</v>
      </c>
      <c r="AP163" s="116">
        <f>SUMIFS('IS Proforma'!BB:BB,'IS Proforma'!$C:$C,'Opex Departments'!$C163,'IS Proforma'!$A:$A,'Opex Departments'!$A163)</f>
        <v>3110.739388</v>
      </c>
      <c r="AQ163" s="116">
        <f>SUMIFS('IS Proforma'!BC:BC,'IS Proforma'!$C:$C,'Opex Departments'!$C163,'IS Proforma'!$A:$A,'Opex Departments'!$A163)</f>
        <v>3152.919379</v>
      </c>
      <c r="AR163" s="116">
        <f>SUMIFS('IS Proforma'!BD:BD,'IS Proforma'!$C:$C,'Opex Departments'!$C163,'IS Proforma'!$A:$A,'Opex Departments'!$A163)</f>
        <v>3197.699018</v>
      </c>
      <c r="AS163" s="116">
        <f>SUMIFS('IS Proforma'!BE:BE,'IS Proforma'!$C:$C,'Opex Departments'!$C163,'IS Proforma'!$A:$A,'Opex Departments'!$A163)</f>
        <v>3244.271679</v>
      </c>
      <c r="AT163" s="116">
        <f>SUMIFS('IS Proforma'!BF:BF,'IS Proforma'!$C:$C,'Opex Departments'!$C163,'IS Proforma'!$A:$A,'Opex Departments'!$A163)</f>
        <v>3290.335363</v>
      </c>
      <c r="AU163" s="116">
        <f>SUMIFS('IS Proforma'!BG:BG,'IS Proforma'!$C:$C,'Opex Departments'!$C163,'IS Proforma'!$A:$A,'Opex Departments'!$A163)</f>
        <v>3345.946685</v>
      </c>
      <c r="AV163" s="116">
        <f>SUMIFS('IS Proforma'!BH:BH,'IS Proforma'!$C:$C,'Opex Departments'!$C163,'IS Proforma'!$A:$A,'Opex Departments'!$A163)</f>
        <v>3390.831901</v>
      </c>
      <c r="AW163" s="116">
        <f>SUMIFS('IS Proforma'!BI:BI,'IS Proforma'!$C:$C,'Opex Departments'!$C163,'IS Proforma'!$A:$A,'Opex Departments'!$A163)</f>
        <v>3435.079868</v>
      </c>
      <c r="AX163" s="116">
        <f>SUMIFS('IS Proforma'!BJ:BJ,'IS Proforma'!$C:$C,'Opex Departments'!$C163,'IS Proforma'!$A:$A,'Opex Departments'!$A163)</f>
        <v>3478.716111</v>
      </c>
      <c r="AY163" s="116">
        <f>SUMIFS('IS Proforma'!BK:BK,'IS Proforma'!$C:$C,'Opex Departments'!$C163,'IS Proforma'!$A:$A,'Opex Departments'!$A163)</f>
        <v>3521.770288</v>
      </c>
      <c r="AZ163" s="116">
        <f>SUMIFS('IS Proforma'!BL:BL,'IS Proforma'!$C:$C,'Opex Departments'!$C163,'IS Proforma'!$A:$A,'Opex Departments'!$A163)</f>
        <v>3615.549451</v>
      </c>
      <c r="BA163" s="116">
        <f>SUMIFS('IS Proforma'!BM:BM,'IS Proforma'!$C:$C,'Opex Departments'!$C163,'IS Proforma'!$A:$A,'Opex Departments'!$A163)</f>
        <v>3686.142162</v>
      </c>
      <c r="BB163" s="116">
        <f>SUMIFS('IS Proforma'!BN:BN,'IS Proforma'!$C:$C,'Opex Departments'!$C163,'IS Proforma'!$A:$A,'Opex Departments'!$A163)</f>
        <v>3754.558438</v>
      </c>
      <c r="BC163" s="116">
        <f>SUMIFS('IS Proforma'!BO:BO,'IS Proforma'!$C:$C,'Opex Departments'!$C163,'IS Proforma'!$A:$A,'Opex Departments'!$A163)</f>
        <v>3821.214116</v>
      </c>
      <c r="BD163" s="116">
        <f>SUMIFS('IS Proforma'!BP:BP,'IS Proforma'!$C:$C,'Opex Departments'!$C163,'IS Proforma'!$A:$A,'Opex Departments'!$A163)</f>
        <v>3886.378057</v>
      </c>
      <c r="BE163" s="116">
        <f>SUMIFS('IS Proforma'!BQ:BQ,'IS Proforma'!$C:$C,'Opex Departments'!$C163,'IS Proforma'!$A:$A,'Opex Departments'!$A163)</f>
        <v>3950.223421</v>
      </c>
      <c r="BF163" s="116">
        <f>SUMIFS('IS Proforma'!BR:BR,'IS Proforma'!$C:$C,'Opex Departments'!$C163,'IS Proforma'!$A:$A,'Opex Departments'!$A163)</f>
        <v>4012.882215</v>
      </c>
      <c r="BG163" s="116">
        <f>SUMIFS('IS Proforma'!BS:BS,'IS Proforma'!$C:$C,'Opex Departments'!$C163,'IS Proforma'!$A:$A,'Opex Departments'!$A163)</f>
        <v>4074.462094</v>
      </c>
      <c r="BH163" s="116">
        <f>SUMIFS('IS Proforma'!BT:BT,'IS Proforma'!$C:$C,'Opex Departments'!$C163,'IS Proforma'!$A:$A,'Opex Departments'!$A163)</f>
        <v>4135.053929</v>
      </c>
      <c r="BI163" s="116">
        <f>SUMIFS('IS Proforma'!BU:BU,'IS Proforma'!$C:$C,'Opex Departments'!$C163,'IS Proforma'!$A:$A,'Opex Departments'!$A163)</f>
        <v>4194.736224</v>
      </c>
      <c r="BJ163" s="116">
        <f>SUMIFS('IS Proforma'!BV:BV,'IS Proforma'!$C:$C,'Opex Departments'!$C163,'IS Proforma'!$A:$A,'Opex Departments'!$A163)</f>
        <v>4253.578057</v>
      </c>
      <c r="BK163" s="116">
        <f>SUMIFS('IS Proforma'!BW:BW,'IS Proforma'!$C:$C,'Opex Departments'!$C163,'IS Proforma'!$A:$A,'Opex Departments'!$A163)</f>
        <v>4311.64117</v>
      </c>
      <c r="BL163" s="116">
        <f>SUMIFS('IS Proforma'!BX:BX,'IS Proforma'!$C:$C,'Opex Departments'!$C163,'IS Proforma'!$A:$A,'Opex Departments'!$A163)</f>
        <v>4395.556759</v>
      </c>
      <c r="BM163" s="116">
        <f>SUMIFS('IS Proforma'!BY:BY,'IS Proforma'!$C:$C,'Opex Departments'!$C163,'IS Proforma'!$A:$A,'Opex Departments'!$A163)</f>
        <v>4460.69454</v>
      </c>
      <c r="BN163" s="116">
        <f>SUMIFS('IS Proforma'!BZ:BZ,'IS Proforma'!$C:$C,'Opex Departments'!$C163,'IS Proforma'!$A:$A,'Opex Departments'!$A163)</f>
        <v>4519.686484</v>
      </c>
      <c r="BO163" s="116">
        <f>SUMIFS('IS Proforma'!CA:CA,'IS Proforma'!$C:$C,'Opex Departments'!$C163,'IS Proforma'!$A:$A,'Opex Departments'!$A163)</f>
        <v>4577.512608</v>
      </c>
      <c r="BP163" s="116">
        <f>SUMIFS('IS Proforma'!CB:CB,'IS Proforma'!$C:$C,'Opex Departments'!$C163,'IS Proforma'!$A:$A,'Opex Departments'!$A163)</f>
        <v>4635.052403</v>
      </c>
      <c r="BQ163" s="116">
        <f>SUMIFS('IS Proforma'!CC:CC,'IS Proforma'!$C:$C,'Opex Departments'!$C163,'IS Proforma'!$A:$A,'Opex Departments'!$A163)</f>
        <v>4692.327992</v>
      </c>
      <c r="BR163" s="116">
        <f>SUMIFS('IS Proforma'!CD:CD,'IS Proforma'!$C:$C,'Opex Departments'!$C163,'IS Proforma'!$A:$A,'Opex Departments'!$A163)</f>
        <v>4749.377521</v>
      </c>
      <c r="BS163" s="116">
        <f>SUMIFS('IS Proforma'!CE:CE,'IS Proforma'!$C:$C,'Opex Departments'!$C163,'IS Proforma'!$A:$A,'Opex Departments'!$A163)</f>
        <v>4806.23784</v>
      </c>
      <c r="BT163" s="116">
        <f>SUMIFS('IS Proforma'!CF:CF,'IS Proforma'!$C:$C,'Opex Departments'!$C163,'IS Proforma'!$A:$A,'Opex Departments'!$A163)</f>
        <v>4862.943841</v>
      </c>
      <c r="BU163" s="116">
        <f>SUMIFS('IS Proforma'!CG:CG,'IS Proforma'!$C:$C,'Opex Departments'!$C163,'IS Proforma'!$A:$A,'Opex Departments'!$A163)</f>
        <v>4919.529073</v>
      </c>
      <c r="BV163" s="116">
        <f>SUMIFS('IS Proforma'!CH:CH,'IS Proforma'!$C:$C,'Opex Departments'!$C163,'IS Proforma'!$A:$A,'Opex Departments'!$A163)</f>
        <v>4976.026122</v>
      </c>
      <c r="BW163" s="116">
        <f>SUMIFS('IS Proforma'!CI:CI,'IS Proforma'!$C:$C,'Opex Departments'!$C163,'IS Proforma'!$A:$A,'Opex Departments'!$A163)</f>
        <v>5032.4668</v>
      </c>
      <c r="BX163" s="116">
        <f>SUMIFS('IS Proforma'!CJ:CJ,'IS Proforma'!$C:$C,'Opex Departments'!$C163,'IS Proforma'!$A:$A,'Opex Departments'!$A163)</f>
        <v>5109.651509</v>
      </c>
      <c r="BY163" s="116">
        <f>SUMIFS('IS Proforma'!CK:CK,'IS Proforma'!$C:$C,'Opex Departments'!$C163,'IS Proforma'!$A:$A,'Opex Departments'!$A163)</f>
        <v>5145.728213</v>
      </c>
      <c r="BZ163" s="116">
        <f>SUMIFS('IS Proforma'!CL:CL,'IS Proforma'!$C:$C,'Opex Departments'!$C163,'IS Proforma'!$A:$A,'Opex Departments'!$A163)</f>
        <v>5180.212403</v>
      </c>
      <c r="CA163" s="116">
        <f>SUMIFS('IS Proforma'!CM:CM,'IS Proforma'!$C:$C,'Opex Departments'!$C163,'IS Proforma'!$A:$A,'Opex Departments'!$A163)</f>
        <v>5216.496491</v>
      </c>
      <c r="CB163" s="116">
        <f>SUMIFS('IS Proforma'!CN:CN,'IS Proforma'!$C:$C,'Opex Departments'!$C163,'IS Proforma'!$A:$A,'Opex Departments'!$A163)</f>
        <v>5253.828916</v>
      </c>
      <c r="CC163" s="116">
        <f>SUMIFS('IS Proforma'!CO:CO,'IS Proforma'!$C:$C,'Opex Departments'!$C163,'IS Proforma'!$A:$A,'Opex Departments'!$A163)</f>
        <v>5291.644583</v>
      </c>
      <c r="CD163" s="116">
        <f>SUMIFS('IS Proforma'!CP:CP,'IS Proforma'!$C:$C,'Opex Departments'!$C163,'IS Proforma'!$A:$A,'Opex Departments'!$A163)</f>
        <v>5329.707132</v>
      </c>
      <c r="CE163" s="116">
        <f>SUMIFS('IS Proforma'!CQ:CQ,'IS Proforma'!$C:$C,'Opex Departments'!$C163,'IS Proforma'!$A:$A,'Opex Departments'!$A163)</f>
        <v>5367.895658</v>
      </c>
      <c r="CF163" s="116">
        <f>SUMIFS('IS Proforma'!CR:CR,'IS Proforma'!$C:$C,'Opex Departments'!$C163,'IS Proforma'!$A:$A,'Opex Departments'!$A163)</f>
        <v>5406.141901</v>
      </c>
      <c r="CG163" s="116">
        <f>SUMIFS('IS Proforma'!CS:CS,'IS Proforma'!$C:$C,'Opex Departments'!$C163,'IS Proforma'!$A:$A,'Opex Departments'!$A163)</f>
        <v>5444.406762</v>
      </c>
      <c r="CH163" s="116">
        <f>SUMIFS('IS Proforma'!CT:CT,'IS Proforma'!$C:$C,'Opex Departments'!$C163,'IS Proforma'!$A:$A,'Opex Departments'!$A163)</f>
        <v>5482.669429</v>
      </c>
      <c r="CI163" s="116">
        <f>SUMIFS('IS Proforma'!CU:CU,'IS Proforma'!$C:$C,'Opex Departments'!$C163,'IS Proforma'!$A:$A,'Opex Departments'!$A163)</f>
        <v>5520.921378</v>
      </c>
    </row>
    <row r="164" ht="15.75" customHeight="1" outlineLevel="1">
      <c r="A164" s="1" t="s">
        <v>174</v>
      </c>
      <c r="B164" s="132" t="s">
        <v>72</v>
      </c>
      <c r="C164" s="132" t="s">
        <v>255</v>
      </c>
      <c r="D164" s="116">
        <f>SUMIFS('IS Proforma'!P:P,'IS Proforma'!$C:$C,'Opex Departments'!$C164,'IS Proforma'!$A:$A,'Opex Departments'!$A164)</f>
        <v>1361</v>
      </c>
      <c r="E164" s="116">
        <f>SUMIFS('IS Proforma'!Q:Q,'IS Proforma'!$C:$C,'Opex Departments'!$C164,'IS Proforma'!$A:$A,'Opex Departments'!$A164)</f>
        <v>1859</v>
      </c>
      <c r="F164" s="116">
        <f>SUMIFS('IS Proforma'!R:R,'IS Proforma'!$C:$C,'Opex Departments'!$C164,'IS Proforma'!$A:$A,'Opex Departments'!$A164)</f>
        <v>2345</v>
      </c>
      <c r="G164" s="116">
        <f>SUMIFS('IS Proforma'!S:S,'IS Proforma'!$C:$C,'Opex Departments'!$C164,'IS Proforma'!$A:$A,'Opex Departments'!$A164)</f>
        <v>2063</v>
      </c>
      <c r="H164" s="116">
        <f>SUMIFS('IS Proforma'!T:T,'IS Proforma'!$C:$C,'Opex Departments'!$C164,'IS Proforma'!$A:$A,'Opex Departments'!$A164)</f>
        <v>1310</v>
      </c>
      <c r="I164" s="116">
        <f>SUMIFS('IS Proforma'!U:U,'IS Proforma'!$C:$C,'Opex Departments'!$C164,'IS Proforma'!$A:$A,'Opex Departments'!$A164)</f>
        <v>1233</v>
      </c>
      <c r="J164" s="116">
        <f>SUMIFS('IS Proforma'!V:V,'IS Proforma'!$C:$C,'Opex Departments'!$C164,'IS Proforma'!$A:$A,'Opex Departments'!$A164)</f>
        <v>1041</v>
      </c>
      <c r="K164" s="116">
        <f>SUMIFS('IS Proforma'!W:W,'IS Proforma'!$C:$C,'Opex Departments'!$C164,'IS Proforma'!$A:$A,'Opex Departments'!$A164)</f>
        <v>1443</v>
      </c>
      <c r="L164" s="116">
        <f>SUMIFS('IS Proforma'!X:X,'IS Proforma'!$C:$C,'Opex Departments'!$C164,'IS Proforma'!$A:$A,'Opex Departments'!$A164)</f>
        <v>1316</v>
      </c>
      <c r="M164" s="116">
        <f>SUMIFS('IS Proforma'!Y:Y,'IS Proforma'!$C:$C,'Opex Departments'!$C164,'IS Proforma'!$A:$A,'Opex Departments'!$A164)</f>
        <v>1499</v>
      </c>
      <c r="N164" s="116">
        <f>SUMIFS('IS Proforma'!Z:Z,'IS Proforma'!$C:$C,'Opex Departments'!$C164,'IS Proforma'!$A:$A,'Opex Departments'!$A164)</f>
        <v>2372</v>
      </c>
      <c r="O164" s="116">
        <f>SUMIFS('IS Proforma'!AA:AA,'IS Proforma'!$C:$C,'Opex Departments'!$C164,'IS Proforma'!$A:$A,'Opex Departments'!$A164)</f>
        <v>1167</v>
      </c>
      <c r="P164" s="116">
        <f>SUMIFS('IS Proforma'!AB:AB,'IS Proforma'!$C:$C,'Opex Departments'!$C164,'IS Proforma'!$A:$A,'Opex Departments'!$A164)</f>
        <v>2050</v>
      </c>
      <c r="Q164" s="116">
        <f>SUMIFS('IS Proforma'!AC:AC,'IS Proforma'!$C:$C,'Opex Departments'!$C164,'IS Proforma'!$A:$A,'Opex Departments'!$A164)</f>
        <v>2144</v>
      </c>
      <c r="R164" s="116">
        <f>SUMIFS('IS Proforma'!AD:AD,'IS Proforma'!$C:$C,'Opex Departments'!$C164,'IS Proforma'!$A:$A,'Opex Departments'!$A164)</f>
        <v>1048</v>
      </c>
      <c r="S164" s="116">
        <f>SUMIFS('IS Proforma'!AE:AE,'IS Proforma'!$C:$C,'Opex Departments'!$C164,'IS Proforma'!$A:$A,'Opex Departments'!$A164)</f>
        <v>1643</v>
      </c>
      <c r="T164" s="116">
        <f>SUMIFS('IS Proforma'!AF:AF,'IS Proforma'!$C:$C,'Opex Departments'!$C164,'IS Proforma'!$A:$A,'Opex Departments'!$A164)</f>
        <v>2166</v>
      </c>
      <c r="U164" s="116">
        <f>SUMIFS('IS Proforma'!AG:AG,'IS Proforma'!$C:$C,'Opex Departments'!$C164,'IS Proforma'!$A:$A,'Opex Departments'!$A164)</f>
        <v>2351</v>
      </c>
      <c r="V164" s="116">
        <f>SUMIFS('IS Proforma'!AH:AH,'IS Proforma'!$C:$C,'Opex Departments'!$C164,'IS Proforma'!$A:$A,'Opex Departments'!$A164)</f>
        <v>2213</v>
      </c>
      <c r="W164" s="116">
        <f>SUMIFS('IS Proforma'!AI:AI,'IS Proforma'!$C:$C,'Opex Departments'!$C164,'IS Proforma'!$A:$A,'Opex Departments'!$A164)</f>
        <v>2010</v>
      </c>
      <c r="X164" s="116">
        <f>SUMIFS('IS Proforma'!AJ:AJ,'IS Proforma'!$C:$C,'Opex Departments'!$C164,'IS Proforma'!$A:$A,'Opex Departments'!$A164)</f>
        <v>2300</v>
      </c>
      <c r="Y164" s="116">
        <f>SUMIFS('IS Proforma'!AK:AK,'IS Proforma'!$C:$C,'Opex Departments'!$C164,'IS Proforma'!$A:$A,'Opex Departments'!$A164)</f>
        <v>1890</v>
      </c>
      <c r="Z164" s="116">
        <f>SUMIFS('IS Proforma'!AL:AL,'IS Proforma'!$C:$C,'Opex Departments'!$C164,'IS Proforma'!$A:$A,'Opex Departments'!$A164)</f>
        <v>1583</v>
      </c>
      <c r="AA164" s="116">
        <f>SUMIFS('IS Proforma'!AM:AM,'IS Proforma'!$C:$C,'Opex Departments'!$C164,'IS Proforma'!$A:$A,'Opex Departments'!$A164)</f>
        <v>2831.581261</v>
      </c>
      <c r="AB164" s="116">
        <f>SUMIFS('IS Proforma'!AN:AN,'IS Proforma'!$C:$C,'Opex Departments'!$C164,'IS Proforma'!$A:$A,'Opex Departments'!$A164)</f>
        <v>3334.912784</v>
      </c>
      <c r="AC164" s="116">
        <f>SUMIFS('IS Proforma'!AO:AO,'IS Proforma'!$C:$C,'Opex Departments'!$C164,'IS Proforma'!$A:$A,'Opex Departments'!$A164)</f>
        <v>3832.328613</v>
      </c>
      <c r="AD164" s="116">
        <f>SUMIFS('IS Proforma'!AP:AP,'IS Proforma'!$C:$C,'Opex Departments'!$C164,'IS Proforma'!$A:$A,'Opex Departments'!$A164)</f>
        <v>4287.855789</v>
      </c>
      <c r="AE164" s="116">
        <f>SUMIFS('IS Proforma'!AQ:AQ,'IS Proforma'!$C:$C,'Opex Departments'!$C164,'IS Proforma'!$A:$A,'Opex Departments'!$A164)</f>
        <v>4724.061046</v>
      </c>
      <c r="AF164" s="116">
        <f>SUMIFS('IS Proforma'!AR:AR,'IS Proforma'!$C:$C,'Opex Departments'!$C164,'IS Proforma'!$A:$A,'Opex Departments'!$A164)</f>
        <v>5157.467442</v>
      </c>
      <c r="AG164" s="116">
        <f>SUMIFS('IS Proforma'!AS:AS,'IS Proforma'!$C:$C,'Opex Departments'!$C164,'IS Proforma'!$A:$A,'Opex Departments'!$A164)</f>
        <v>5593.429641</v>
      </c>
      <c r="AH164" s="116">
        <f>SUMIFS('IS Proforma'!AT:AT,'IS Proforma'!$C:$C,'Opex Departments'!$C164,'IS Proforma'!$A:$A,'Opex Departments'!$A164)</f>
        <v>5986.425974</v>
      </c>
      <c r="AI164" s="116">
        <f>SUMIFS('IS Proforma'!AU:AU,'IS Proforma'!$C:$C,'Opex Departments'!$C164,'IS Proforma'!$A:$A,'Opex Departments'!$A164)</f>
        <v>6371.836649</v>
      </c>
      <c r="AJ164" s="116">
        <f>SUMIFS('IS Proforma'!AV:AV,'IS Proforma'!$C:$C,'Opex Departments'!$C164,'IS Proforma'!$A:$A,'Opex Departments'!$A164)</f>
        <v>6749.17745</v>
      </c>
      <c r="AK164" s="116">
        <f>SUMIFS('IS Proforma'!AW:AW,'IS Proforma'!$C:$C,'Opex Departments'!$C164,'IS Proforma'!$A:$A,'Opex Departments'!$A164)</f>
        <v>7099.956342</v>
      </c>
      <c r="AL164" s="116">
        <f>SUMIFS('IS Proforma'!AX:AX,'IS Proforma'!$C:$C,'Opex Departments'!$C164,'IS Proforma'!$A:$A,'Opex Departments'!$A164)</f>
        <v>7447.348889</v>
      </c>
      <c r="AM164" s="116">
        <f>SUMIFS('IS Proforma'!AY:AY,'IS Proforma'!$C:$C,'Opex Departments'!$C164,'IS Proforma'!$A:$A,'Opex Departments'!$A164)</f>
        <v>7799.115538</v>
      </c>
      <c r="AN164" s="116">
        <f>SUMIFS('IS Proforma'!AZ:AZ,'IS Proforma'!$C:$C,'Opex Departments'!$C164,'IS Proforma'!$A:$A,'Opex Departments'!$A164)</f>
        <v>8146.63619</v>
      </c>
      <c r="AO164" s="116">
        <f>SUMIFS('IS Proforma'!BA:BA,'IS Proforma'!$C:$C,'Opex Departments'!$C164,'IS Proforma'!$A:$A,'Opex Departments'!$A164)</f>
        <v>8208.528697</v>
      </c>
      <c r="AP164" s="116">
        <f>SUMIFS('IS Proforma'!BB:BB,'IS Proforma'!$C:$C,'Opex Departments'!$C164,'IS Proforma'!$A:$A,'Opex Departments'!$A164)</f>
        <v>8295.305035</v>
      </c>
      <c r="AQ164" s="116">
        <f>SUMIFS('IS Proforma'!BC:BC,'IS Proforma'!$C:$C,'Opex Departments'!$C164,'IS Proforma'!$A:$A,'Opex Departments'!$A164)</f>
        <v>8407.78501</v>
      </c>
      <c r="AR164" s="116">
        <f>SUMIFS('IS Proforma'!BD:BD,'IS Proforma'!$C:$C,'Opex Departments'!$C164,'IS Proforma'!$A:$A,'Opex Departments'!$A164)</f>
        <v>8527.197381</v>
      </c>
      <c r="AS164" s="116">
        <f>SUMIFS('IS Proforma'!BE:BE,'IS Proforma'!$C:$C,'Opex Departments'!$C164,'IS Proforma'!$A:$A,'Opex Departments'!$A164)</f>
        <v>8651.391145</v>
      </c>
      <c r="AT164" s="116">
        <f>SUMIFS('IS Proforma'!BF:BF,'IS Proforma'!$C:$C,'Opex Departments'!$C164,'IS Proforma'!$A:$A,'Opex Departments'!$A164)</f>
        <v>8774.227634</v>
      </c>
      <c r="AU164" s="116">
        <f>SUMIFS('IS Proforma'!BG:BG,'IS Proforma'!$C:$C,'Opex Departments'!$C164,'IS Proforma'!$A:$A,'Opex Departments'!$A164)</f>
        <v>8922.524494</v>
      </c>
      <c r="AV164" s="116">
        <f>SUMIFS('IS Proforma'!BH:BH,'IS Proforma'!$C:$C,'Opex Departments'!$C164,'IS Proforma'!$A:$A,'Opex Departments'!$A164)</f>
        <v>9042.218402</v>
      </c>
      <c r="AW164" s="116">
        <f>SUMIFS('IS Proforma'!BI:BI,'IS Proforma'!$C:$C,'Opex Departments'!$C164,'IS Proforma'!$A:$A,'Opex Departments'!$A164)</f>
        <v>9160.212983</v>
      </c>
      <c r="AX164" s="116">
        <f>SUMIFS('IS Proforma'!BJ:BJ,'IS Proforma'!$C:$C,'Opex Departments'!$C164,'IS Proforma'!$A:$A,'Opex Departments'!$A164)</f>
        <v>9276.576296</v>
      </c>
      <c r="AY164" s="116">
        <f>SUMIFS('IS Proforma'!BK:BK,'IS Proforma'!$C:$C,'Opex Departments'!$C164,'IS Proforma'!$A:$A,'Opex Departments'!$A164)</f>
        <v>9391.387434</v>
      </c>
      <c r="AZ164" s="116">
        <f>SUMIFS('IS Proforma'!BL:BL,'IS Proforma'!$C:$C,'Opex Departments'!$C164,'IS Proforma'!$A:$A,'Opex Departments'!$A164)</f>
        <v>9641.465204</v>
      </c>
      <c r="BA164" s="116">
        <f>SUMIFS('IS Proforma'!BM:BM,'IS Proforma'!$C:$C,'Opex Departments'!$C164,'IS Proforma'!$A:$A,'Opex Departments'!$A164)</f>
        <v>9829.712432</v>
      </c>
      <c r="BB164" s="116">
        <f>SUMIFS('IS Proforma'!BN:BN,'IS Proforma'!$C:$C,'Opex Departments'!$C164,'IS Proforma'!$A:$A,'Opex Departments'!$A164)</f>
        <v>10012.15584</v>
      </c>
      <c r="BC164" s="116">
        <f>SUMIFS('IS Proforma'!BO:BO,'IS Proforma'!$C:$C,'Opex Departments'!$C164,'IS Proforma'!$A:$A,'Opex Departments'!$A164)</f>
        <v>10189.90431</v>
      </c>
      <c r="BD164" s="116">
        <f>SUMIFS('IS Proforma'!BP:BP,'IS Proforma'!$C:$C,'Opex Departments'!$C164,'IS Proforma'!$A:$A,'Opex Departments'!$A164)</f>
        <v>10363.67482</v>
      </c>
      <c r="BE164" s="116">
        <f>SUMIFS('IS Proforma'!BQ:BQ,'IS Proforma'!$C:$C,'Opex Departments'!$C164,'IS Proforma'!$A:$A,'Opex Departments'!$A164)</f>
        <v>10533.92912</v>
      </c>
      <c r="BF164" s="116">
        <f>SUMIFS('IS Proforma'!BR:BR,'IS Proforma'!$C:$C,'Opex Departments'!$C164,'IS Proforma'!$A:$A,'Opex Departments'!$A164)</f>
        <v>10701.01924</v>
      </c>
      <c r="BG164" s="116">
        <f>SUMIFS('IS Proforma'!BS:BS,'IS Proforma'!$C:$C,'Opex Departments'!$C164,'IS Proforma'!$A:$A,'Opex Departments'!$A164)</f>
        <v>10865.23225</v>
      </c>
      <c r="BH164" s="116">
        <f>SUMIFS('IS Proforma'!BT:BT,'IS Proforma'!$C:$C,'Opex Departments'!$C164,'IS Proforma'!$A:$A,'Opex Departments'!$A164)</f>
        <v>11026.81048</v>
      </c>
      <c r="BI164" s="116">
        <f>SUMIFS('IS Proforma'!BU:BU,'IS Proforma'!$C:$C,'Opex Departments'!$C164,'IS Proforma'!$A:$A,'Opex Departments'!$A164)</f>
        <v>11185.96326</v>
      </c>
      <c r="BJ164" s="116">
        <f>SUMIFS('IS Proforma'!BV:BV,'IS Proforma'!$C:$C,'Opex Departments'!$C164,'IS Proforma'!$A:$A,'Opex Departments'!$A164)</f>
        <v>11342.87482</v>
      </c>
      <c r="BK164" s="116">
        <f>SUMIFS('IS Proforma'!BW:BW,'IS Proforma'!$C:$C,'Opex Departments'!$C164,'IS Proforma'!$A:$A,'Opex Departments'!$A164)</f>
        <v>11497.70979</v>
      </c>
      <c r="BL164" s="116">
        <f>SUMIFS('IS Proforma'!BX:BX,'IS Proforma'!$C:$C,'Opex Departments'!$C164,'IS Proforma'!$A:$A,'Opex Departments'!$A164)</f>
        <v>11721.48469</v>
      </c>
      <c r="BM164" s="116">
        <f>SUMIFS('IS Proforma'!BY:BY,'IS Proforma'!$C:$C,'Opex Departments'!$C164,'IS Proforma'!$A:$A,'Opex Departments'!$A164)</f>
        <v>11895.18544</v>
      </c>
      <c r="BN164" s="116">
        <f>SUMIFS('IS Proforma'!BZ:BZ,'IS Proforma'!$C:$C,'Opex Departments'!$C164,'IS Proforma'!$A:$A,'Opex Departments'!$A164)</f>
        <v>12052.49729</v>
      </c>
      <c r="BO164" s="116">
        <f>SUMIFS('IS Proforma'!CA:CA,'IS Proforma'!$C:$C,'Opex Departments'!$C164,'IS Proforma'!$A:$A,'Opex Departments'!$A164)</f>
        <v>12206.70029</v>
      </c>
      <c r="BP164" s="116">
        <f>SUMIFS('IS Proforma'!CB:CB,'IS Proforma'!$C:$C,'Opex Departments'!$C164,'IS Proforma'!$A:$A,'Opex Departments'!$A164)</f>
        <v>12360.13974</v>
      </c>
      <c r="BQ164" s="116">
        <f>SUMIFS('IS Proforma'!CC:CC,'IS Proforma'!$C:$C,'Opex Departments'!$C164,'IS Proforma'!$A:$A,'Opex Departments'!$A164)</f>
        <v>12512.87465</v>
      </c>
      <c r="BR164" s="116">
        <f>SUMIFS('IS Proforma'!CD:CD,'IS Proforma'!$C:$C,'Opex Departments'!$C164,'IS Proforma'!$A:$A,'Opex Departments'!$A164)</f>
        <v>12665.00672</v>
      </c>
      <c r="BS164" s="116">
        <f>SUMIFS('IS Proforma'!CE:CE,'IS Proforma'!$C:$C,'Opex Departments'!$C164,'IS Proforma'!$A:$A,'Opex Departments'!$A164)</f>
        <v>12816.63424</v>
      </c>
      <c r="BT164" s="116">
        <f>SUMIFS('IS Proforma'!CF:CF,'IS Proforma'!$C:$C,'Opex Departments'!$C164,'IS Proforma'!$A:$A,'Opex Departments'!$A164)</f>
        <v>12967.85024</v>
      </c>
      <c r="BU164" s="116">
        <f>SUMIFS('IS Proforma'!CG:CG,'IS Proforma'!$C:$C,'Opex Departments'!$C164,'IS Proforma'!$A:$A,'Opex Departments'!$A164)</f>
        <v>13118.74419</v>
      </c>
      <c r="BV164" s="116">
        <f>SUMIFS('IS Proforma'!CH:CH,'IS Proforma'!$C:$C,'Opex Departments'!$C164,'IS Proforma'!$A:$A,'Opex Departments'!$A164)</f>
        <v>13269.40299</v>
      </c>
      <c r="BW164" s="116">
        <f>SUMIFS('IS Proforma'!CI:CI,'IS Proforma'!$C:$C,'Opex Departments'!$C164,'IS Proforma'!$A:$A,'Opex Departments'!$A164)</f>
        <v>13419.91147</v>
      </c>
      <c r="BX164" s="116">
        <f>SUMIFS('IS Proforma'!CJ:CJ,'IS Proforma'!$C:$C,'Opex Departments'!$C164,'IS Proforma'!$A:$A,'Opex Departments'!$A164)</f>
        <v>13625.73736</v>
      </c>
      <c r="BY164" s="116">
        <f>SUMIFS('IS Proforma'!CK:CK,'IS Proforma'!$C:$C,'Opex Departments'!$C164,'IS Proforma'!$A:$A,'Opex Departments'!$A164)</f>
        <v>13721.9419</v>
      </c>
      <c r="BZ164" s="116">
        <f>SUMIFS('IS Proforma'!CL:CL,'IS Proforma'!$C:$C,'Opex Departments'!$C164,'IS Proforma'!$A:$A,'Opex Departments'!$A164)</f>
        <v>13813.89974</v>
      </c>
      <c r="CA164" s="116">
        <f>SUMIFS('IS Proforma'!CM:CM,'IS Proforma'!$C:$C,'Opex Departments'!$C164,'IS Proforma'!$A:$A,'Opex Departments'!$A164)</f>
        <v>13910.65731</v>
      </c>
      <c r="CB164" s="116">
        <f>SUMIFS('IS Proforma'!CN:CN,'IS Proforma'!$C:$C,'Opex Departments'!$C164,'IS Proforma'!$A:$A,'Opex Departments'!$A164)</f>
        <v>14010.21044</v>
      </c>
      <c r="CC164" s="116">
        <f>SUMIFS('IS Proforma'!CO:CO,'IS Proforma'!$C:$C,'Opex Departments'!$C164,'IS Proforma'!$A:$A,'Opex Departments'!$A164)</f>
        <v>14111.05222</v>
      </c>
      <c r="CD164" s="116">
        <f>SUMIFS('IS Proforma'!CP:CP,'IS Proforma'!$C:$C,'Opex Departments'!$C164,'IS Proforma'!$A:$A,'Opex Departments'!$A164)</f>
        <v>14212.55235</v>
      </c>
      <c r="CE164" s="116">
        <f>SUMIFS('IS Proforma'!CQ:CQ,'IS Proforma'!$C:$C,'Opex Departments'!$C164,'IS Proforma'!$A:$A,'Opex Departments'!$A164)</f>
        <v>14314.38842</v>
      </c>
      <c r="CF164" s="116">
        <f>SUMIFS('IS Proforma'!CR:CR,'IS Proforma'!$C:$C,'Opex Departments'!$C164,'IS Proforma'!$A:$A,'Opex Departments'!$A164)</f>
        <v>14416.3784</v>
      </c>
      <c r="CG164" s="116">
        <f>SUMIFS('IS Proforma'!CS:CS,'IS Proforma'!$C:$C,'Opex Departments'!$C164,'IS Proforma'!$A:$A,'Opex Departments'!$A164)</f>
        <v>14518.41803</v>
      </c>
      <c r="CH164" s="116">
        <f>SUMIFS('IS Proforma'!CT:CT,'IS Proforma'!$C:$C,'Opex Departments'!$C164,'IS Proforma'!$A:$A,'Opex Departments'!$A164)</f>
        <v>14620.45181</v>
      </c>
      <c r="CI164" s="116">
        <f>SUMIFS('IS Proforma'!CU:CU,'IS Proforma'!$C:$C,'Opex Departments'!$C164,'IS Proforma'!$A:$A,'Opex Departments'!$A164)</f>
        <v>14722.45701</v>
      </c>
    </row>
    <row r="165" ht="15.75" customHeight="1" outlineLevel="1">
      <c r="A165" s="1" t="s">
        <v>174</v>
      </c>
      <c r="B165" s="132" t="s">
        <v>72</v>
      </c>
      <c r="C165" s="132" t="s">
        <v>256</v>
      </c>
      <c r="D165" s="116">
        <f>SUMIFS('IS Proforma'!P:P,'IS Proforma'!$C:$C,'Opex Departments'!$C165,'IS Proforma'!$A:$A,'Opex Departments'!$A165)</f>
        <v>1915</v>
      </c>
      <c r="E165" s="116">
        <f>SUMIFS('IS Proforma'!Q:Q,'IS Proforma'!$C:$C,'Opex Departments'!$C165,'IS Proforma'!$A:$A,'Opex Departments'!$A165)</f>
        <v>1346</v>
      </c>
      <c r="F165" s="116">
        <f>SUMIFS('IS Proforma'!R:R,'IS Proforma'!$C:$C,'Opex Departments'!$C165,'IS Proforma'!$A:$A,'Opex Departments'!$A165)</f>
        <v>1471</v>
      </c>
      <c r="G165" s="116">
        <f>SUMIFS('IS Proforma'!S:S,'IS Proforma'!$C:$C,'Opex Departments'!$C165,'IS Proforma'!$A:$A,'Opex Departments'!$A165)</f>
        <v>2332</v>
      </c>
      <c r="H165" s="116">
        <f>SUMIFS('IS Proforma'!T:T,'IS Proforma'!$C:$C,'Opex Departments'!$C165,'IS Proforma'!$A:$A,'Opex Departments'!$A165)</f>
        <v>1296</v>
      </c>
      <c r="I165" s="116">
        <f>SUMIFS('IS Proforma'!U:U,'IS Proforma'!$C:$C,'Opex Departments'!$C165,'IS Proforma'!$A:$A,'Opex Departments'!$A165)</f>
        <v>1882</v>
      </c>
      <c r="J165" s="116">
        <f>SUMIFS('IS Proforma'!V:V,'IS Proforma'!$C:$C,'Opex Departments'!$C165,'IS Proforma'!$A:$A,'Opex Departments'!$A165)</f>
        <v>1209</v>
      </c>
      <c r="K165" s="116">
        <f>SUMIFS('IS Proforma'!W:W,'IS Proforma'!$C:$C,'Opex Departments'!$C165,'IS Proforma'!$A:$A,'Opex Departments'!$A165)</f>
        <v>1608</v>
      </c>
      <c r="L165" s="116">
        <f>SUMIFS('IS Proforma'!X:X,'IS Proforma'!$C:$C,'Opex Departments'!$C165,'IS Proforma'!$A:$A,'Opex Departments'!$A165)</f>
        <v>1066</v>
      </c>
      <c r="M165" s="116">
        <f>SUMIFS('IS Proforma'!Y:Y,'IS Proforma'!$C:$C,'Opex Departments'!$C165,'IS Proforma'!$A:$A,'Opex Departments'!$A165)</f>
        <v>2158</v>
      </c>
      <c r="N165" s="116">
        <f>SUMIFS('IS Proforma'!Z:Z,'IS Proforma'!$C:$C,'Opex Departments'!$C165,'IS Proforma'!$A:$A,'Opex Departments'!$A165)</f>
        <v>2375</v>
      </c>
      <c r="O165" s="116">
        <f>SUMIFS('IS Proforma'!AA:AA,'IS Proforma'!$C:$C,'Opex Departments'!$C165,'IS Proforma'!$A:$A,'Opex Departments'!$A165)</f>
        <v>1486</v>
      </c>
      <c r="P165" s="116">
        <f>SUMIFS('IS Proforma'!AB:AB,'IS Proforma'!$C:$C,'Opex Departments'!$C165,'IS Proforma'!$A:$A,'Opex Departments'!$A165)</f>
        <v>1416</v>
      </c>
      <c r="Q165" s="116">
        <f>SUMIFS('IS Proforma'!AC:AC,'IS Proforma'!$C:$C,'Opex Departments'!$C165,'IS Proforma'!$A:$A,'Opex Departments'!$A165)</f>
        <v>1108</v>
      </c>
      <c r="R165" s="116">
        <f>SUMIFS('IS Proforma'!AD:AD,'IS Proforma'!$C:$C,'Opex Departments'!$C165,'IS Proforma'!$A:$A,'Opex Departments'!$A165)</f>
        <v>1945</v>
      </c>
      <c r="S165" s="116">
        <f>SUMIFS('IS Proforma'!AE:AE,'IS Proforma'!$C:$C,'Opex Departments'!$C165,'IS Proforma'!$A:$A,'Opex Departments'!$A165)</f>
        <v>2274</v>
      </c>
      <c r="T165" s="116">
        <f>SUMIFS('IS Proforma'!AF:AF,'IS Proforma'!$C:$C,'Opex Departments'!$C165,'IS Proforma'!$A:$A,'Opex Departments'!$A165)</f>
        <v>2189</v>
      </c>
      <c r="U165" s="116">
        <f>SUMIFS('IS Proforma'!AG:AG,'IS Proforma'!$C:$C,'Opex Departments'!$C165,'IS Proforma'!$A:$A,'Opex Departments'!$A165)</f>
        <v>1674</v>
      </c>
      <c r="V165" s="116">
        <f>SUMIFS('IS Proforma'!AH:AH,'IS Proforma'!$C:$C,'Opex Departments'!$C165,'IS Proforma'!$A:$A,'Opex Departments'!$A165)</f>
        <v>2312</v>
      </c>
      <c r="W165" s="116">
        <f>SUMIFS('IS Proforma'!AI:AI,'IS Proforma'!$C:$C,'Opex Departments'!$C165,'IS Proforma'!$A:$A,'Opex Departments'!$A165)</f>
        <v>1762</v>
      </c>
      <c r="X165" s="116">
        <f>SUMIFS('IS Proforma'!AJ:AJ,'IS Proforma'!$C:$C,'Opex Departments'!$C165,'IS Proforma'!$A:$A,'Opex Departments'!$A165)</f>
        <v>1517</v>
      </c>
      <c r="Y165" s="116">
        <f>SUMIFS('IS Proforma'!AK:AK,'IS Proforma'!$C:$C,'Opex Departments'!$C165,'IS Proforma'!$A:$A,'Opex Departments'!$A165)</f>
        <v>1283</v>
      </c>
      <c r="Z165" s="116">
        <f>SUMIFS('IS Proforma'!AL:AL,'IS Proforma'!$C:$C,'Opex Departments'!$C165,'IS Proforma'!$A:$A,'Opex Departments'!$A165)</f>
        <v>1222</v>
      </c>
      <c r="AA165" s="116">
        <f>SUMIFS('IS Proforma'!AM:AM,'IS Proforma'!$C:$C,'Opex Departments'!$C165,'IS Proforma'!$A:$A,'Opex Departments'!$A165)</f>
        <v>5375</v>
      </c>
      <c r="AB165" s="116">
        <f>SUMIFS('IS Proforma'!AN:AN,'IS Proforma'!$C:$C,'Opex Departments'!$C165,'IS Proforma'!$A:$A,'Opex Departments'!$A165)</f>
        <v>5375</v>
      </c>
      <c r="AC165" s="116">
        <f>SUMIFS('IS Proforma'!AO:AO,'IS Proforma'!$C:$C,'Opex Departments'!$C165,'IS Proforma'!$A:$A,'Opex Departments'!$A165)</f>
        <v>5375</v>
      </c>
      <c r="AD165" s="116">
        <f>SUMIFS('IS Proforma'!AP:AP,'IS Proforma'!$C:$C,'Opex Departments'!$C165,'IS Proforma'!$A:$A,'Opex Departments'!$A165)</f>
        <v>5375</v>
      </c>
      <c r="AE165" s="116">
        <f>SUMIFS('IS Proforma'!AQ:AQ,'IS Proforma'!$C:$C,'Opex Departments'!$C165,'IS Proforma'!$A:$A,'Opex Departments'!$A165)</f>
        <v>5375</v>
      </c>
      <c r="AF165" s="116">
        <f>SUMIFS('IS Proforma'!AR:AR,'IS Proforma'!$C:$C,'Opex Departments'!$C165,'IS Proforma'!$A:$A,'Opex Departments'!$A165)</f>
        <v>5375</v>
      </c>
      <c r="AG165" s="116">
        <f>SUMIFS('IS Proforma'!AS:AS,'IS Proforma'!$C:$C,'Opex Departments'!$C165,'IS Proforma'!$A:$A,'Opex Departments'!$A165)</f>
        <v>5575</v>
      </c>
      <c r="AH165" s="116">
        <f>SUMIFS('IS Proforma'!AT:AT,'IS Proforma'!$C:$C,'Opex Departments'!$C165,'IS Proforma'!$A:$A,'Opex Departments'!$A165)</f>
        <v>5575</v>
      </c>
      <c r="AI165" s="116">
        <f>SUMIFS('IS Proforma'!AU:AU,'IS Proforma'!$C:$C,'Opex Departments'!$C165,'IS Proforma'!$A:$A,'Opex Departments'!$A165)</f>
        <v>5575</v>
      </c>
      <c r="AJ165" s="116">
        <f>SUMIFS('IS Proforma'!AV:AV,'IS Proforma'!$C:$C,'Opex Departments'!$C165,'IS Proforma'!$A:$A,'Opex Departments'!$A165)</f>
        <v>5575</v>
      </c>
      <c r="AK165" s="116">
        <f>SUMIFS('IS Proforma'!AW:AW,'IS Proforma'!$C:$C,'Opex Departments'!$C165,'IS Proforma'!$A:$A,'Opex Departments'!$A165)</f>
        <v>5575</v>
      </c>
      <c r="AL165" s="116">
        <f>SUMIFS('IS Proforma'!AX:AX,'IS Proforma'!$C:$C,'Opex Departments'!$C165,'IS Proforma'!$A:$A,'Opex Departments'!$A165)</f>
        <v>5575</v>
      </c>
      <c r="AM165" s="116">
        <f>SUMIFS('IS Proforma'!AY:AY,'IS Proforma'!$C:$C,'Opex Departments'!$C165,'IS Proforma'!$A:$A,'Opex Departments'!$A165)</f>
        <v>5575</v>
      </c>
      <c r="AN165" s="116">
        <f>SUMIFS('IS Proforma'!AZ:AZ,'IS Proforma'!$C:$C,'Opex Departments'!$C165,'IS Proforma'!$A:$A,'Opex Departments'!$A165)</f>
        <v>5575</v>
      </c>
      <c r="AO165" s="116">
        <f>SUMIFS('IS Proforma'!BA:BA,'IS Proforma'!$C:$C,'Opex Departments'!$C165,'IS Proforma'!$A:$A,'Opex Departments'!$A165)</f>
        <v>5575</v>
      </c>
      <c r="AP165" s="116">
        <f>SUMIFS('IS Proforma'!BB:BB,'IS Proforma'!$C:$C,'Opex Departments'!$C165,'IS Proforma'!$A:$A,'Opex Departments'!$A165)</f>
        <v>5575</v>
      </c>
      <c r="AQ165" s="116">
        <f>SUMIFS('IS Proforma'!BC:BC,'IS Proforma'!$C:$C,'Opex Departments'!$C165,'IS Proforma'!$A:$A,'Opex Departments'!$A165)</f>
        <v>5575</v>
      </c>
      <c r="AR165" s="116">
        <f>SUMIFS('IS Proforma'!BD:BD,'IS Proforma'!$C:$C,'Opex Departments'!$C165,'IS Proforma'!$A:$A,'Opex Departments'!$A165)</f>
        <v>5575</v>
      </c>
      <c r="AS165" s="116">
        <f>SUMIFS('IS Proforma'!BE:BE,'IS Proforma'!$C:$C,'Opex Departments'!$C165,'IS Proforma'!$A:$A,'Opex Departments'!$A165)</f>
        <v>5575</v>
      </c>
      <c r="AT165" s="116">
        <f>SUMIFS('IS Proforma'!BF:BF,'IS Proforma'!$C:$C,'Opex Departments'!$C165,'IS Proforma'!$A:$A,'Opex Departments'!$A165)</f>
        <v>5575</v>
      </c>
      <c r="AU165" s="116">
        <f>SUMIFS('IS Proforma'!BG:BG,'IS Proforma'!$C:$C,'Opex Departments'!$C165,'IS Proforma'!$A:$A,'Opex Departments'!$A165)</f>
        <v>5575</v>
      </c>
      <c r="AV165" s="116">
        <f>SUMIFS('IS Proforma'!BH:BH,'IS Proforma'!$C:$C,'Opex Departments'!$C165,'IS Proforma'!$A:$A,'Opex Departments'!$A165)</f>
        <v>5575</v>
      </c>
      <c r="AW165" s="116">
        <f>SUMIFS('IS Proforma'!BI:BI,'IS Proforma'!$C:$C,'Opex Departments'!$C165,'IS Proforma'!$A:$A,'Opex Departments'!$A165)</f>
        <v>5575</v>
      </c>
      <c r="AX165" s="116">
        <f>SUMIFS('IS Proforma'!BJ:BJ,'IS Proforma'!$C:$C,'Opex Departments'!$C165,'IS Proforma'!$A:$A,'Opex Departments'!$A165)</f>
        <v>5575</v>
      </c>
      <c r="AY165" s="116">
        <f>SUMIFS('IS Proforma'!BK:BK,'IS Proforma'!$C:$C,'Opex Departments'!$C165,'IS Proforma'!$A:$A,'Opex Departments'!$A165)</f>
        <v>5575</v>
      </c>
      <c r="AZ165" s="116">
        <f>SUMIFS('IS Proforma'!BL:BL,'IS Proforma'!$C:$C,'Opex Departments'!$C165,'IS Proforma'!$A:$A,'Opex Departments'!$A165)</f>
        <v>5575</v>
      </c>
      <c r="BA165" s="116">
        <f>SUMIFS('IS Proforma'!BM:BM,'IS Proforma'!$C:$C,'Opex Departments'!$C165,'IS Proforma'!$A:$A,'Opex Departments'!$A165)</f>
        <v>5575</v>
      </c>
      <c r="BB165" s="116">
        <f>SUMIFS('IS Proforma'!BN:BN,'IS Proforma'!$C:$C,'Opex Departments'!$C165,'IS Proforma'!$A:$A,'Opex Departments'!$A165)</f>
        <v>5575</v>
      </c>
      <c r="BC165" s="116">
        <f>SUMIFS('IS Proforma'!BO:BO,'IS Proforma'!$C:$C,'Opex Departments'!$C165,'IS Proforma'!$A:$A,'Opex Departments'!$A165)</f>
        <v>5575</v>
      </c>
      <c r="BD165" s="116">
        <f>SUMIFS('IS Proforma'!BP:BP,'IS Proforma'!$C:$C,'Opex Departments'!$C165,'IS Proforma'!$A:$A,'Opex Departments'!$A165)</f>
        <v>5575</v>
      </c>
      <c r="BE165" s="116">
        <f>SUMIFS('IS Proforma'!BQ:BQ,'IS Proforma'!$C:$C,'Opex Departments'!$C165,'IS Proforma'!$A:$A,'Opex Departments'!$A165)</f>
        <v>5575</v>
      </c>
      <c r="BF165" s="116">
        <f>SUMIFS('IS Proforma'!BR:BR,'IS Proforma'!$C:$C,'Opex Departments'!$C165,'IS Proforma'!$A:$A,'Opex Departments'!$A165)</f>
        <v>5575</v>
      </c>
      <c r="BG165" s="116">
        <f>SUMIFS('IS Proforma'!BS:BS,'IS Proforma'!$C:$C,'Opex Departments'!$C165,'IS Proforma'!$A:$A,'Opex Departments'!$A165)</f>
        <v>5575</v>
      </c>
      <c r="BH165" s="116">
        <f>SUMIFS('IS Proforma'!BT:BT,'IS Proforma'!$C:$C,'Opex Departments'!$C165,'IS Proforma'!$A:$A,'Opex Departments'!$A165)</f>
        <v>5575</v>
      </c>
      <c r="BI165" s="116">
        <f>SUMIFS('IS Proforma'!BU:BU,'IS Proforma'!$C:$C,'Opex Departments'!$C165,'IS Proforma'!$A:$A,'Opex Departments'!$A165)</f>
        <v>5575</v>
      </c>
      <c r="BJ165" s="116">
        <f>SUMIFS('IS Proforma'!BV:BV,'IS Proforma'!$C:$C,'Opex Departments'!$C165,'IS Proforma'!$A:$A,'Opex Departments'!$A165)</f>
        <v>5575</v>
      </c>
      <c r="BK165" s="116">
        <f>SUMIFS('IS Proforma'!BW:BW,'IS Proforma'!$C:$C,'Opex Departments'!$C165,'IS Proforma'!$A:$A,'Opex Departments'!$A165)</f>
        <v>5575</v>
      </c>
      <c r="BL165" s="116">
        <f>SUMIFS('IS Proforma'!BX:BX,'IS Proforma'!$C:$C,'Opex Departments'!$C165,'IS Proforma'!$A:$A,'Opex Departments'!$A165)</f>
        <v>5575</v>
      </c>
      <c r="BM165" s="116">
        <f>SUMIFS('IS Proforma'!BY:BY,'IS Proforma'!$C:$C,'Opex Departments'!$C165,'IS Proforma'!$A:$A,'Opex Departments'!$A165)</f>
        <v>5575</v>
      </c>
      <c r="BN165" s="116">
        <f>SUMIFS('IS Proforma'!BZ:BZ,'IS Proforma'!$C:$C,'Opex Departments'!$C165,'IS Proforma'!$A:$A,'Opex Departments'!$A165)</f>
        <v>5575</v>
      </c>
      <c r="BO165" s="116">
        <f>SUMIFS('IS Proforma'!CA:CA,'IS Proforma'!$C:$C,'Opex Departments'!$C165,'IS Proforma'!$A:$A,'Opex Departments'!$A165)</f>
        <v>5575</v>
      </c>
      <c r="BP165" s="116">
        <f>SUMIFS('IS Proforma'!CB:CB,'IS Proforma'!$C:$C,'Opex Departments'!$C165,'IS Proforma'!$A:$A,'Opex Departments'!$A165)</f>
        <v>5575</v>
      </c>
      <c r="BQ165" s="116">
        <f>SUMIFS('IS Proforma'!CC:CC,'IS Proforma'!$C:$C,'Opex Departments'!$C165,'IS Proforma'!$A:$A,'Opex Departments'!$A165)</f>
        <v>5575</v>
      </c>
      <c r="BR165" s="116">
        <f>SUMIFS('IS Proforma'!CD:CD,'IS Proforma'!$C:$C,'Opex Departments'!$C165,'IS Proforma'!$A:$A,'Opex Departments'!$A165)</f>
        <v>5575</v>
      </c>
      <c r="BS165" s="116">
        <f>SUMIFS('IS Proforma'!CE:CE,'IS Proforma'!$C:$C,'Opex Departments'!$C165,'IS Proforma'!$A:$A,'Opex Departments'!$A165)</f>
        <v>5575</v>
      </c>
      <c r="BT165" s="116">
        <f>SUMIFS('IS Proforma'!CF:CF,'IS Proforma'!$C:$C,'Opex Departments'!$C165,'IS Proforma'!$A:$A,'Opex Departments'!$A165)</f>
        <v>5575</v>
      </c>
      <c r="BU165" s="116">
        <f>SUMIFS('IS Proforma'!CG:CG,'IS Proforma'!$C:$C,'Opex Departments'!$C165,'IS Proforma'!$A:$A,'Opex Departments'!$A165)</f>
        <v>5575</v>
      </c>
      <c r="BV165" s="116">
        <f>SUMIFS('IS Proforma'!CH:CH,'IS Proforma'!$C:$C,'Opex Departments'!$C165,'IS Proforma'!$A:$A,'Opex Departments'!$A165)</f>
        <v>5575</v>
      </c>
      <c r="BW165" s="116">
        <f>SUMIFS('IS Proforma'!CI:CI,'IS Proforma'!$C:$C,'Opex Departments'!$C165,'IS Proforma'!$A:$A,'Opex Departments'!$A165)</f>
        <v>5575</v>
      </c>
      <c r="BX165" s="116">
        <f>SUMIFS('IS Proforma'!CJ:CJ,'IS Proforma'!$C:$C,'Opex Departments'!$C165,'IS Proforma'!$A:$A,'Opex Departments'!$A165)</f>
        <v>5575</v>
      </c>
      <c r="BY165" s="116">
        <f>SUMIFS('IS Proforma'!CK:CK,'IS Proforma'!$C:$C,'Opex Departments'!$C165,'IS Proforma'!$A:$A,'Opex Departments'!$A165)</f>
        <v>5575</v>
      </c>
      <c r="BZ165" s="116">
        <f>SUMIFS('IS Proforma'!CL:CL,'IS Proforma'!$C:$C,'Opex Departments'!$C165,'IS Proforma'!$A:$A,'Opex Departments'!$A165)</f>
        <v>5575</v>
      </c>
      <c r="CA165" s="116">
        <f>SUMIFS('IS Proforma'!CM:CM,'IS Proforma'!$C:$C,'Opex Departments'!$C165,'IS Proforma'!$A:$A,'Opex Departments'!$A165)</f>
        <v>5575</v>
      </c>
      <c r="CB165" s="116">
        <f>SUMIFS('IS Proforma'!CN:CN,'IS Proforma'!$C:$C,'Opex Departments'!$C165,'IS Proforma'!$A:$A,'Opex Departments'!$A165)</f>
        <v>5575</v>
      </c>
      <c r="CC165" s="116">
        <f>SUMIFS('IS Proforma'!CO:CO,'IS Proforma'!$C:$C,'Opex Departments'!$C165,'IS Proforma'!$A:$A,'Opex Departments'!$A165)</f>
        <v>5575</v>
      </c>
      <c r="CD165" s="116">
        <f>SUMIFS('IS Proforma'!CP:CP,'IS Proforma'!$C:$C,'Opex Departments'!$C165,'IS Proforma'!$A:$A,'Opex Departments'!$A165)</f>
        <v>5575</v>
      </c>
      <c r="CE165" s="116">
        <f>SUMIFS('IS Proforma'!CQ:CQ,'IS Proforma'!$C:$C,'Opex Departments'!$C165,'IS Proforma'!$A:$A,'Opex Departments'!$A165)</f>
        <v>5575</v>
      </c>
      <c r="CF165" s="116">
        <f>SUMIFS('IS Proforma'!CR:CR,'IS Proforma'!$C:$C,'Opex Departments'!$C165,'IS Proforma'!$A:$A,'Opex Departments'!$A165)</f>
        <v>5575</v>
      </c>
      <c r="CG165" s="116">
        <f>SUMIFS('IS Proforma'!CS:CS,'IS Proforma'!$C:$C,'Opex Departments'!$C165,'IS Proforma'!$A:$A,'Opex Departments'!$A165)</f>
        <v>5575</v>
      </c>
      <c r="CH165" s="116">
        <f>SUMIFS('IS Proforma'!CT:CT,'IS Proforma'!$C:$C,'Opex Departments'!$C165,'IS Proforma'!$A:$A,'Opex Departments'!$A165)</f>
        <v>5575</v>
      </c>
      <c r="CI165" s="116">
        <f>SUMIFS('IS Proforma'!CU:CU,'IS Proforma'!$C:$C,'Opex Departments'!$C165,'IS Proforma'!$A:$A,'Opex Departments'!$A165)</f>
        <v>5575</v>
      </c>
    </row>
    <row r="166" ht="15.75" customHeight="1" outlineLevel="1">
      <c r="A166" s="1" t="s">
        <v>174</v>
      </c>
      <c r="B166" s="132" t="s">
        <v>72</v>
      </c>
      <c r="C166" s="132" t="s">
        <v>257</v>
      </c>
      <c r="D166" s="116">
        <f>SUMIFS('IS Proforma'!P:P,'IS Proforma'!$C:$C,'Opex Departments'!$C166,'IS Proforma'!$A:$A,'Opex Departments'!$A166)</f>
        <v>1040</v>
      </c>
      <c r="E166" s="116">
        <f>SUMIFS('IS Proforma'!Q:Q,'IS Proforma'!$C:$C,'Opex Departments'!$C166,'IS Proforma'!$A:$A,'Opex Departments'!$A166)</f>
        <v>1780</v>
      </c>
      <c r="F166" s="116">
        <f>SUMIFS('IS Proforma'!R:R,'IS Proforma'!$C:$C,'Opex Departments'!$C166,'IS Proforma'!$A:$A,'Opex Departments'!$A166)</f>
        <v>1858</v>
      </c>
      <c r="G166" s="116">
        <f>SUMIFS('IS Proforma'!S:S,'IS Proforma'!$C:$C,'Opex Departments'!$C166,'IS Proforma'!$A:$A,'Opex Departments'!$A166)</f>
        <v>2021</v>
      </c>
      <c r="H166" s="116">
        <f>SUMIFS('IS Proforma'!T:T,'IS Proforma'!$C:$C,'Opex Departments'!$C166,'IS Proforma'!$A:$A,'Opex Departments'!$A166)</f>
        <v>1098</v>
      </c>
      <c r="I166" s="116">
        <f>SUMIFS('IS Proforma'!U:U,'IS Proforma'!$C:$C,'Opex Departments'!$C166,'IS Proforma'!$A:$A,'Opex Departments'!$A166)</f>
        <v>1438</v>
      </c>
      <c r="J166" s="116">
        <f>SUMIFS('IS Proforma'!V:V,'IS Proforma'!$C:$C,'Opex Departments'!$C166,'IS Proforma'!$A:$A,'Opex Departments'!$A166)</f>
        <v>1045</v>
      </c>
      <c r="K166" s="116">
        <f>SUMIFS('IS Proforma'!W:W,'IS Proforma'!$C:$C,'Opex Departments'!$C166,'IS Proforma'!$A:$A,'Opex Departments'!$A166)</f>
        <v>1783</v>
      </c>
      <c r="L166" s="116">
        <f>SUMIFS('IS Proforma'!X:X,'IS Proforma'!$C:$C,'Opex Departments'!$C166,'IS Proforma'!$A:$A,'Opex Departments'!$A166)</f>
        <v>2388</v>
      </c>
      <c r="M166" s="116">
        <f>SUMIFS('IS Proforma'!Y:Y,'IS Proforma'!$C:$C,'Opex Departments'!$C166,'IS Proforma'!$A:$A,'Opex Departments'!$A166)</f>
        <v>2064</v>
      </c>
      <c r="N166" s="116">
        <f>SUMIFS('IS Proforma'!Z:Z,'IS Proforma'!$C:$C,'Opex Departments'!$C166,'IS Proforma'!$A:$A,'Opex Departments'!$A166)</f>
        <v>1696</v>
      </c>
      <c r="O166" s="116">
        <f>SUMIFS('IS Proforma'!AA:AA,'IS Proforma'!$C:$C,'Opex Departments'!$C166,'IS Proforma'!$A:$A,'Opex Departments'!$A166)</f>
        <v>1898</v>
      </c>
      <c r="P166" s="116">
        <f>SUMIFS('IS Proforma'!AB:AB,'IS Proforma'!$C:$C,'Opex Departments'!$C166,'IS Proforma'!$A:$A,'Opex Departments'!$A166)</f>
        <v>1395</v>
      </c>
      <c r="Q166" s="116">
        <f>SUMIFS('IS Proforma'!AC:AC,'IS Proforma'!$C:$C,'Opex Departments'!$C166,'IS Proforma'!$A:$A,'Opex Departments'!$A166)</f>
        <v>1949</v>
      </c>
      <c r="R166" s="116">
        <f>SUMIFS('IS Proforma'!AD:AD,'IS Proforma'!$C:$C,'Opex Departments'!$C166,'IS Proforma'!$A:$A,'Opex Departments'!$A166)</f>
        <v>1506</v>
      </c>
      <c r="S166" s="116">
        <f>SUMIFS('IS Proforma'!AE:AE,'IS Proforma'!$C:$C,'Opex Departments'!$C166,'IS Proforma'!$A:$A,'Opex Departments'!$A166)</f>
        <v>1149</v>
      </c>
      <c r="T166" s="116">
        <f>SUMIFS('IS Proforma'!AF:AF,'IS Proforma'!$C:$C,'Opex Departments'!$C166,'IS Proforma'!$A:$A,'Opex Departments'!$A166)</f>
        <v>1526</v>
      </c>
      <c r="U166" s="116">
        <f>SUMIFS('IS Proforma'!AG:AG,'IS Proforma'!$C:$C,'Opex Departments'!$C166,'IS Proforma'!$A:$A,'Opex Departments'!$A166)</f>
        <v>1220</v>
      </c>
      <c r="V166" s="116">
        <f>SUMIFS('IS Proforma'!AH:AH,'IS Proforma'!$C:$C,'Opex Departments'!$C166,'IS Proforma'!$A:$A,'Opex Departments'!$A166)</f>
        <v>2404</v>
      </c>
      <c r="W166" s="116">
        <f>SUMIFS('IS Proforma'!AI:AI,'IS Proforma'!$C:$C,'Opex Departments'!$C166,'IS Proforma'!$A:$A,'Opex Departments'!$A166)</f>
        <v>1772</v>
      </c>
      <c r="X166" s="116">
        <f>SUMIFS('IS Proforma'!AJ:AJ,'IS Proforma'!$C:$C,'Opex Departments'!$C166,'IS Proforma'!$A:$A,'Opex Departments'!$A166)</f>
        <v>2194</v>
      </c>
      <c r="Y166" s="116">
        <f>SUMIFS('IS Proforma'!AK:AK,'IS Proforma'!$C:$C,'Opex Departments'!$C166,'IS Proforma'!$A:$A,'Opex Departments'!$A166)</f>
        <v>1170</v>
      </c>
      <c r="Z166" s="116">
        <f>SUMIFS('IS Proforma'!AL:AL,'IS Proforma'!$C:$C,'Opex Departments'!$C166,'IS Proforma'!$A:$A,'Opex Departments'!$A166)</f>
        <v>2204</v>
      </c>
      <c r="AA166" s="116">
        <f>SUMIFS('IS Proforma'!AM:AM,'IS Proforma'!$C:$C,'Opex Departments'!$C166,'IS Proforma'!$A:$A,'Opex Departments'!$A166)</f>
        <v>0</v>
      </c>
      <c r="AB166" s="116">
        <f>SUMIFS('IS Proforma'!AN:AN,'IS Proforma'!$C:$C,'Opex Departments'!$C166,'IS Proforma'!$A:$A,'Opex Departments'!$A166)</f>
        <v>0</v>
      </c>
      <c r="AC166" s="116">
        <f>SUMIFS('IS Proforma'!AO:AO,'IS Proforma'!$C:$C,'Opex Departments'!$C166,'IS Proforma'!$A:$A,'Opex Departments'!$A166)</f>
        <v>0</v>
      </c>
      <c r="AD166" s="116">
        <f>SUMIFS('IS Proforma'!AP:AP,'IS Proforma'!$C:$C,'Opex Departments'!$C166,'IS Proforma'!$A:$A,'Opex Departments'!$A166)</f>
        <v>0</v>
      </c>
      <c r="AE166" s="116">
        <f>SUMIFS('IS Proforma'!AQ:AQ,'IS Proforma'!$C:$C,'Opex Departments'!$C166,'IS Proforma'!$A:$A,'Opex Departments'!$A166)</f>
        <v>0</v>
      </c>
      <c r="AF166" s="116">
        <f>SUMIFS('IS Proforma'!AR:AR,'IS Proforma'!$C:$C,'Opex Departments'!$C166,'IS Proforma'!$A:$A,'Opex Departments'!$A166)</f>
        <v>0</v>
      </c>
      <c r="AG166" s="116">
        <f>SUMIFS('IS Proforma'!AS:AS,'IS Proforma'!$C:$C,'Opex Departments'!$C166,'IS Proforma'!$A:$A,'Opex Departments'!$A166)</f>
        <v>0</v>
      </c>
      <c r="AH166" s="116">
        <f>SUMIFS('IS Proforma'!AT:AT,'IS Proforma'!$C:$C,'Opex Departments'!$C166,'IS Proforma'!$A:$A,'Opex Departments'!$A166)</f>
        <v>0</v>
      </c>
      <c r="AI166" s="116">
        <f>SUMIFS('IS Proforma'!AU:AU,'IS Proforma'!$C:$C,'Opex Departments'!$C166,'IS Proforma'!$A:$A,'Opex Departments'!$A166)</f>
        <v>0</v>
      </c>
      <c r="AJ166" s="116">
        <f>SUMIFS('IS Proforma'!AV:AV,'IS Proforma'!$C:$C,'Opex Departments'!$C166,'IS Proforma'!$A:$A,'Opex Departments'!$A166)</f>
        <v>0</v>
      </c>
      <c r="AK166" s="116">
        <f>SUMIFS('IS Proforma'!AW:AW,'IS Proforma'!$C:$C,'Opex Departments'!$C166,'IS Proforma'!$A:$A,'Opex Departments'!$A166)</f>
        <v>0</v>
      </c>
      <c r="AL166" s="116">
        <f>SUMIFS('IS Proforma'!AX:AX,'IS Proforma'!$C:$C,'Opex Departments'!$C166,'IS Proforma'!$A:$A,'Opex Departments'!$A166)</f>
        <v>0</v>
      </c>
      <c r="AM166" s="116">
        <f>SUMIFS('IS Proforma'!AY:AY,'IS Proforma'!$C:$C,'Opex Departments'!$C166,'IS Proforma'!$A:$A,'Opex Departments'!$A166)</f>
        <v>0</v>
      </c>
      <c r="AN166" s="116">
        <f>SUMIFS('IS Proforma'!AZ:AZ,'IS Proforma'!$C:$C,'Opex Departments'!$C166,'IS Proforma'!$A:$A,'Opex Departments'!$A166)</f>
        <v>0</v>
      </c>
      <c r="AO166" s="116">
        <f>SUMIFS('IS Proforma'!BA:BA,'IS Proforma'!$C:$C,'Opex Departments'!$C166,'IS Proforma'!$A:$A,'Opex Departments'!$A166)</f>
        <v>0</v>
      </c>
      <c r="AP166" s="116">
        <f>SUMIFS('IS Proforma'!BB:BB,'IS Proforma'!$C:$C,'Opex Departments'!$C166,'IS Proforma'!$A:$A,'Opex Departments'!$A166)</f>
        <v>0</v>
      </c>
      <c r="AQ166" s="116">
        <f>SUMIFS('IS Proforma'!BC:BC,'IS Proforma'!$C:$C,'Opex Departments'!$C166,'IS Proforma'!$A:$A,'Opex Departments'!$A166)</f>
        <v>0</v>
      </c>
      <c r="AR166" s="116">
        <f>SUMIFS('IS Proforma'!BD:BD,'IS Proforma'!$C:$C,'Opex Departments'!$C166,'IS Proforma'!$A:$A,'Opex Departments'!$A166)</f>
        <v>0</v>
      </c>
      <c r="AS166" s="116">
        <f>SUMIFS('IS Proforma'!BE:BE,'IS Proforma'!$C:$C,'Opex Departments'!$C166,'IS Proforma'!$A:$A,'Opex Departments'!$A166)</f>
        <v>0</v>
      </c>
      <c r="AT166" s="116">
        <f>SUMIFS('IS Proforma'!BF:BF,'IS Proforma'!$C:$C,'Opex Departments'!$C166,'IS Proforma'!$A:$A,'Opex Departments'!$A166)</f>
        <v>0</v>
      </c>
      <c r="AU166" s="116">
        <f>SUMIFS('IS Proforma'!BG:BG,'IS Proforma'!$C:$C,'Opex Departments'!$C166,'IS Proforma'!$A:$A,'Opex Departments'!$A166)</f>
        <v>0</v>
      </c>
      <c r="AV166" s="116">
        <f>SUMIFS('IS Proforma'!BH:BH,'IS Proforma'!$C:$C,'Opex Departments'!$C166,'IS Proforma'!$A:$A,'Opex Departments'!$A166)</f>
        <v>0</v>
      </c>
      <c r="AW166" s="116">
        <f>SUMIFS('IS Proforma'!BI:BI,'IS Proforma'!$C:$C,'Opex Departments'!$C166,'IS Proforma'!$A:$A,'Opex Departments'!$A166)</f>
        <v>0</v>
      </c>
      <c r="AX166" s="116">
        <f>SUMIFS('IS Proforma'!BJ:BJ,'IS Proforma'!$C:$C,'Opex Departments'!$C166,'IS Proforma'!$A:$A,'Opex Departments'!$A166)</f>
        <v>0</v>
      </c>
      <c r="AY166" s="116">
        <f>SUMIFS('IS Proforma'!BK:BK,'IS Proforma'!$C:$C,'Opex Departments'!$C166,'IS Proforma'!$A:$A,'Opex Departments'!$A166)</f>
        <v>0</v>
      </c>
      <c r="AZ166" s="116">
        <f>SUMIFS('IS Proforma'!BL:BL,'IS Proforma'!$C:$C,'Opex Departments'!$C166,'IS Proforma'!$A:$A,'Opex Departments'!$A166)</f>
        <v>0</v>
      </c>
      <c r="BA166" s="116">
        <f>SUMIFS('IS Proforma'!BM:BM,'IS Proforma'!$C:$C,'Opex Departments'!$C166,'IS Proforma'!$A:$A,'Opex Departments'!$A166)</f>
        <v>0</v>
      </c>
      <c r="BB166" s="116">
        <f>SUMIFS('IS Proforma'!BN:BN,'IS Proforma'!$C:$C,'Opex Departments'!$C166,'IS Proforma'!$A:$A,'Opex Departments'!$A166)</f>
        <v>0</v>
      </c>
      <c r="BC166" s="116">
        <f>SUMIFS('IS Proforma'!BO:BO,'IS Proforma'!$C:$C,'Opex Departments'!$C166,'IS Proforma'!$A:$A,'Opex Departments'!$A166)</f>
        <v>0</v>
      </c>
      <c r="BD166" s="116">
        <f>SUMIFS('IS Proforma'!BP:BP,'IS Proforma'!$C:$C,'Opex Departments'!$C166,'IS Proforma'!$A:$A,'Opex Departments'!$A166)</f>
        <v>0</v>
      </c>
      <c r="BE166" s="116">
        <f>SUMIFS('IS Proforma'!BQ:BQ,'IS Proforma'!$C:$C,'Opex Departments'!$C166,'IS Proforma'!$A:$A,'Opex Departments'!$A166)</f>
        <v>0</v>
      </c>
      <c r="BF166" s="116">
        <f>SUMIFS('IS Proforma'!BR:BR,'IS Proforma'!$C:$C,'Opex Departments'!$C166,'IS Proforma'!$A:$A,'Opex Departments'!$A166)</f>
        <v>0</v>
      </c>
      <c r="BG166" s="116">
        <f>SUMIFS('IS Proforma'!BS:BS,'IS Proforma'!$C:$C,'Opex Departments'!$C166,'IS Proforma'!$A:$A,'Opex Departments'!$A166)</f>
        <v>0</v>
      </c>
      <c r="BH166" s="116">
        <f>SUMIFS('IS Proforma'!BT:BT,'IS Proforma'!$C:$C,'Opex Departments'!$C166,'IS Proforma'!$A:$A,'Opex Departments'!$A166)</f>
        <v>0</v>
      </c>
      <c r="BI166" s="116">
        <f>SUMIFS('IS Proforma'!BU:BU,'IS Proforma'!$C:$C,'Opex Departments'!$C166,'IS Proforma'!$A:$A,'Opex Departments'!$A166)</f>
        <v>0</v>
      </c>
      <c r="BJ166" s="116">
        <f>SUMIFS('IS Proforma'!BV:BV,'IS Proforma'!$C:$C,'Opex Departments'!$C166,'IS Proforma'!$A:$A,'Opex Departments'!$A166)</f>
        <v>0</v>
      </c>
      <c r="BK166" s="116">
        <f>SUMIFS('IS Proforma'!BW:BW,'IS Proforma'!$C:$C,'Opex Departments'!$C166,'IS Proforma'!$A:$A,'Opex Departments'!$A166)</f>
        <v>0</v>
      </c>
      <c r="BL166" s="116">
        <f>SUMIFS('IS Proforma'!BX:BX,'IS Proforma'!$C:$C,'Opex Departments'!$C166,'IS Proforma'!$A:$A,'Opex Departments'!$A166)</f>
        <v>0</v>
      </c>
      <c r="BM166" s="116">
        <f>SUMIFS('IS Proforma'!BY:BY,'IS Proforma'!$C:$C,'Opex Departments'!$C166,'IS Proforma'!$A:$A,'Opex Departments'!$A166)</f>
        <v>0</v>
      </c>
      <c r="BN166" s="116">
        <f>SUMIFS('IS Proforma'!BZ:BZ,'IS Proforma'!$C:$C,'Opex Departments'!$C166,'IS Proforma'!$A:$A,'Opex Departments'!$A166)</f>
        <v>0</v>
      </c>
      <c r="BO166" s="116">
        <f>SUMIFS('IS Proforma'!CA:CA,'IS Proforma'!$C:$C,'Opex Departments'!$C166,'IS Proforma'!$A:$A,'Opex Departments'!$A166)</f>
        <v>0</v>
      </c>
      <c r="BP166" s="116">
        <f>SUMIFS('IS Proforma'!CB:CB,'IS Proforma'!$C:$C,'Opex Departments'!$C166,'IS Proforma'!$A:$A,'Opex Departments'!$A166)</f>
        <v>0</v>
      </c>
      <c r="BQ166" s="116">
        <f>SUMIFS('IS Proforma'!CC:CC,'IS Proforma'!$C:$C,'Opex Departments'!$C166,'IS Proforma'!$A:$A,'Opex Departments'!$A166)</f>
        <v>0</v>
      </c>
      <c r="BR166" s="116">
        <f>SUMIFS('IS Proforma'!CD:CD,'IS Proforma'!$C:$C,'Opex Departments'!$C166,'IS Proforma'!$A:$A,'Opex Departments'!$A166)</f>
        <v>0</v>
      </c>
      <c r="BS166" s="116">
        <f>SUMIFS('IS Proforma'!CE:CE,'IS Proforma'!$C:$C,'Opex Departments'!$C166,'IS Proforma'!$A:$A,'Opex Departments'!$A166)</f>
        <v>0</v>
      </c>
      <c r="BT166" s="116">
        <f>SUMIFS('IS Proforma'!CF:CF,'IS Proforma'!$C:$C,'Opex Departments'!$C166,'IS Proforma'!$A:$A,'Opex Departments'!$A166)</f>
        <v>0</v>
      </c>
      <c r="BU166" s="116">
        <f>SUMIFS('IS Proforma'!CG:CG,'IS Proforma'!$C:$C,'Opex Departments'!$C166,'IS Proforma'!$A:$A,'Opex Departments'!$A166)</f>
        <v>0</v>
      </c>
      <c r="BV166" s="116">
        <f>SUMIFS('IS Proforma'!CH:CH,'IS Proforma'!$C:$C,'Opex Departments'!$C166,'IS Proforma'!$A:$A,'Opex Departments'!$A166)</f>
        <v>0</v>
      </c>
      <c r="BW166" s="116">
        <f>SUMIFS('IS Proforma'!CI:CI,'IS Proforma'!$C:$C,'Opex Departments'!$C166,'IS Proforma'!$A:$A,'Opex Departments'!$A166)</f>
        <v>0</v>
      </c>
      <c r="BX166" s="116">
        <f>SUMIFS('IS Proforma'!CJ:CJ,'IS Proforma'!$C:$C,'Opex Departments'!$C166,'IS Proforma'!$A:$A,'Opex Departments'!$A166)</f>
        <v>0</v>
      </c>
      <c r="BY166" s="116">
        <f>SUMIFS('IS Proforma'!CK:CK,'IS Proforma'!$C:$C,'Opex Departments'!$C166,'IS Proforma'!$A:$A,'Opex Departments'!$A166)</f>
        <v>0</v>
      </c>
      <c r="BZ166" s="116">
        <f>SUMIFS('IS Proforma'!CL:CL,'IS Proforma'!$C:$C,'Opex Departments'!$C166,'IS Proforma'!$A:$A,'Opex Departments'!$A166)</f>
        <v>0</v>
      </c>
      <c r="CA166" s="116">
        <f>SUMIFS('IS Proforma'!CM:CM,'IS Proforma'!$C:$C,'Opex Departments'!$C166,'IS Proforma'!$A:$A,'Opex Departments'!$A166)</f>
        <v>0</v>
      </c>
      <c r="CB166" s="116">
        <f>SUMIFS('IS Proforma'!CN:CN,'IS Proforma'!$C:$C,'Opex Departments'!$C166,'IS Proforma'!$A:$A,'Opex Departments'!$A166)</f>
        <v>0</v>
      </c>
      <c r="CC166" s="116">
        <f>SUMIFS('IS Proforma'!CO:CO,'IS Proforma'!$C:$C,'Opex Departments'!$C166,'IS Proforma'!$A:$A,'Opex Departments'!$A166)</f>
        <v>0</v>
      </c>
      <c r="CD166" s="116">
        <f>SUMIFS('IS Proforma'!CP:CP,'IS Proforma'!$C:$C,'Opex Departments'!$C166,'IS Proforma'!$A:$A,'Opex Departments'!$A166)</f>
        <v>0</v>
      </c>
      <c r="CE166" s="116">
        <f>SUMIFS('IS Proforma'!CQ:CQ,'IS Proforma'!$C:$C,'Opex Departments'!$C166,'IS Proforma'!$A:$A,'Opex Departments'!$A166)</f>
        <v>0</v>
      </c>
      <c r="CF166" s="116">
        <f>SUMIFS('IS Proforma'!CR:CR,'IS Proforma'!$C:$C,'Opex Departments'!$C166,'IS Proforma'!$A:$A,'Opex Departments'!$A166)</f>
        <v>0</v>
      </c>
      <c r="CG166" s="116">
        <f>SUMIFS('IS Proforma'!CS:CS,'IS Proforma'!$C:$C,'Opex Departments'!$C166,'IS Proforma'!$A:$A,'Opex Departments'!$A166)</f>
        <v>0</v>
      </c>
      <c r="CH166" s="116">
        <f>SUMIFS('IS Proforma'!CT:CT,'IS Proforma'!$C:$C,'Opex Departments'!$C166,'IS Proforma'!$A:$A,'Opex Departments'!$A166)</f>
        <v>0</v>
      </c>
      <c r="CI166" s="116">
        <f>SUMIFS('IS Proforma'!CU:CU,'IS Proforma'!$C:$C,'Opex Departments'!$C166,'IS Proforma'!$A:$A,'Opex Departments'!$A166)</f>
        <v>0</v>
      </c>
    </row>
    <row r="167" ht="15.75" customHeight="1" outlineLevel="1">
      <c r="A167" s="1" t="s">
        <v>174</v>
      </c>
      <c r="B167" s="91" t="s">
        <v>72</v>
      </c>
      <c r="C167" s="132" t="s">
        <v>258</v>
      </c>
      <c r="D167" s="116">
        <f>SUMIFS('IS Proforma'!P:P,'IS Proforma'!$C:$C,'Opex Departments'!$C167,'IS Proforma'!$A:$A,'Opex Departments'!$A167)</f>
        <v>2233</v>
      </c>
      <c r="E167" s="116">
        <f>SUMIFS('IS Proforma'!Q:Q,'IS Proforma'!$C:$C,'Opex Departments'!$C167,'IS Proforma'!$A:$A,'Opex Departments'!$A167)</f>
        <v>2080</v>
      </c>
      <c r="F167" s="116">
        <f>SUMIFS('IS Proforma'!R:R,'IS Proforma'!$C:$C,'Opex Departments'!$C167,'IS Proforma'!$A:$A,'Opex Departments'!$A167)</f>
        <v>2358</v>
      </c>
      <c r="G167" s="116">
        <f>SUMIFS('IS Proforma'!S:S,'IS Proforma'!$C:$C,'Opex Departments'!$C167,'IS Proforma'!$A:$A,'Opex Departments'!$A167)</f>
        <v>1130</v>
      </c>
      <c r="H167" s="116">
        <f>SUMIFS('IS Proforma'!T:T,'IS Proforma'!$C:$C,'Opex Departments'!$C167,'IS Proforma'!$A:$A,'Opex Departments'!$A167)</f>
        <v>2192</v>
      </c>
      <c r="I167" s="116">
        <f>SUMIFS('IS Proforma'!U:U,'IS Proforma'!$C:$C,'Opex Departments'!$C167,'IS Proforma'!$A:$A,'Opex Departments'!$A167)</f>
        <v>2488</v>
      </c>
      <c r="J167" s="116">
        <f>SUMIFS('IS Proforma'!V:V,'IS Proforma'!$C:$C,'Opex Departments'!$C167,'IS Proforma'!$A:$A,'Opex Departments'!$A167)</f>
        <v>1206</v>
      </c>
      <c r="K167" s="116">
        <f>SUMIFS('IS Proforma'!W:W,'IS Proforma'!$C:$C,'Opex Departments'!$C167,'IS Proforma'!$A:$A,'Opex Departments'!$A167)</f>
        <v>2171</v>
      </c>
      <c r="L167" s="116">
        <f>SUMIFS('IS Proforma'!X:X,'IS Proforma'!$C:$C,'Opex Departments'!$C167,'IS Proforma'!$A:$A,'Opex Departments'!$A167)</f>
        <v>2070</v>
      </c>
      <c r="M167" s="116">
        <f>SUMIFS('IS Proforma'!Y:Y,'IS Proforma'!$C:$C,'Opex Departments'!$C167,'IS Proforma'!$A:$A,'Opex Departments'!$A167)</f>
        <v>2085</v>
      </c>
      <c r="N167" s="116">
        <f>SUMIFS('IS Proforma'!Z:Z,'IS Proforma'!$C:$C,'Opex Departments'!$C167,'IS Proforma'!$A:$A,'Opex Departments'!$A167)</f>
        <v>1334</v>
      </c>
      <c r="O167" s="116">
        <f>SUMIFS('IS Proforma'!AA:AA,'IS Proforma'!$C:$C,'Opex Departments'!$C167,'IS Proforma'!$A:$A,'Opex Departments'!$A167)</f>
        <v>1117</v>
      </c>
      <c r="P167" s="116">
        <f>SUMIFS('IS Proforma'!AB:AB,'IS Proforma'!$C:$C,'Opex Departments'!$C167,'IS Proforma'!$A:$A,'Opex Departments'!$A167)</f>
        <v>1302</v>
      </c>
      <c r="Q167" s="116">
        <f>SUMIFS('IS Proforma'!AC:AC,'IS Proforma'!$C:$C,'Opex Departments'!$C167,'IS Proforma'!$A:$A,'Opex Departments'!$A167)</f>
        <v>1406</v>
      </c>
      <c r="R167" s="116">
        <f>SUMIFS('IS Proforma'!AD:AD,'IS Proforma'!$C:$C,'Opex Departments'!$C167,'IS Proforma'!$A:$A,'Opex Departments'!$A167)</f>
        <v>1009</v>
      </c>
      <c r="S167" s="116">
        <f>SUMIFS('IS Proforma'!AE:AE,'IS Proforma'!$C:$C,'Opex Departments'!$C167,'IS Proforma'!$A:$A,'Opex Departments'!$A167)</f>
        <v>2335</v>
      </c>
      <c r="T167" s="116">
        <f>SUMIFS('IS Proforma'!AF:AF,'IS Proforma'!$C:$C,'Opex Departments'!$C167,'IS Proforma'!$A:$A,'Opex Departments'!$A167)</f>
        <v>1022</v>
      </c>
      <c r="U167" s="116">
        <f>SUMIFS('IS Proforma'!AG:AG,'IS Proforma'!$C:$C,'Opex Departments'!$C167,'IS Proforma'!$A:$A,'Opex Departments'!$A167)</f>
        <v>2329</v>
      </c>
      <c r="V167" s="116">
        <f>SUMIFS('IS Proforma'!AH:AH,'IS Proforma'!$C:$C,'Opex Departments'!$C167,'IS Proforma'!$A:$A,'Opex Departments'!$A167)</f>
        <v>1906</v>
      </c>
      <c r="W167" s="116">
        <f>SUMIFS('IS Proforma'!AI:AI,'IS Proforma'!$C:$C,'Opex Departments'!$C167,'IS Proforma'!$A:$A,'Opex Departments'!$A167)</f>
        <v>2178</v>
      </c>
      <c r="X167" s="116">
        <f>SUMIFS('IS Proforma'!AJ:AJ,'IS Proforma'!$C:$C,'Opex Departments'!$C167,'IS Proforma'!$A:$A,'Opex Departments'!$A167)</f>
        <v>1287</v>
      </c>
      <c r="Y167" s="116">
        <f>SUMIFS('IS Proforma'!AK:AK,'IS Proforma'!$C:$C,'Opex Departments'!$C167,'IS Proforma'!$A:$A,'Opex Departments'!$A167)</f>
        <v>1005</v>
      </c>
      <c r="Z167" s="116">
        <f>SUMIFS('IS Proforma'!AL:AL,'IS Proforma'!$C:$C,'Opex Departments'!$C167,'IS Proforma'!$A:$A,'Opex Departments'!$A167)</f>
        <v>1949</v>
      </c>
      <c r="AA167" s="116">
        <f>SUMIFS('IS Proforma'!AM:AM,'IS Proforma'!$C:$C,'Opex Departments'!$C167,'IS Proforma'!$A:$A,'Opex Departments'!$A167)</f>
        <v>4000</v>
      </c>
      <c r="AB167" s="116">
        <f>SUMIFS('IS Proforma'!AN:AN,'IS Proforma'!$C:$C,'Opex Departments'!$C167,'IS Proforma'!$A:$A,'Opex Departments'!$A167)</f>
        <v>4000</v>
      </c>
      <c r="AC167" s="116">
        <f>SUMIFS('IS Proforma'!AO:AO,'IS Proforma'!$C:$C,'Opex Departments'!$C167,'IS Proforma'!$A:$A,'Opex Departments'!$A167)</f>
        <v>4000</v>
      </c>
      <c r="AD167" s="116">
        <f>SUMIFS('IS Proforma'!AP:AP,'IS Proforma'!$C:$C,'Opex Departments'!$C167,'IS Proforma'!$A:$A,'Opex Departments'!$A167)</f>
        <v>4000</v>
      </c>
      <c r="AE167" s="116">
        <f>SUMIFS('IS Proforma'!AQ:AQ,'IS Proforma'!$C:$C,'Opex Departments'!$C167,'IS Proforma'!$A:$A,'Opex Departments'!$A167)</f>
        <v>4000</v>
      </c>
      <c r="AF167" s="116">
        <f>SUMIFS('IS Proforma'!AR:AR,'IS Proforma'!$C:$C,'Opex Departments'!$C167,'IS Proforma'!$A:$A,'Opex Departments'!$A167)</f>
        <v>4000</v>
      </c>
      <c r="AG167" s="116">
        <f>SUMIFS('IS Proforma'!AS:AS,'IS Proforma'!$C:$C,'Opex Departments'!$C167,'IS Proforma'!$A:$A,'Opex Departments'!$A167)</f>
        <v>4000</v>
      </c>
      <c r="AH167" s="116">
        <f>SUMIFS('IS Proforma'!AT:AT,'IS Proforma'!$C:$C,'Opex Departments'!$C167,'IS Proforma'!$A:$A,'Opex Departments'!$A167)</f>
        <v>4000</v>
      </c>
      <c r="AI167" s="116">
        <f>SUMIFS('IS Proforma'!AU:AU,'IS Proforma'!$C:$C,'Opex Departments'!$C167,'IS Proforma'!$A:$A,'Opex Departments'!$A167)</f>
        <v>4000</v>
      </c>
      <c r="AJ167" s="116">
        <f>SUMIFS('IS Proforma'!AV:AV,'IS Proforma'!$C:$C,'Opex Departments'!$C167,'IS Proforma'!$A:$A,'Opex Departments'!$A167)</f>
        <v>4000</v>
      </c>
      <c r="AK167" s="116">
        <f>SUMIFS('IS Proforma'!AW:AW,'IS Proforma'!$C:$C,'Opex Departments'!$C167,'IS Proforma'!$A:$A,'Opex Departments'!$A167)</f>
        <v>4000</v>
      </c>
      <c r="AL167" s="116">
        <f>SUMIFS('IS Proforma'!AX:AX,'IS Proforma'!$C:$C,'Opex Departments'!$C167,'IS Proforma'!$A:$A,'Opex Departments'!$A167)</f>
        <v>4000</v>
      </c>
      <c r="AM167" s="116">
        <f>SUMIFS('IS Proforma'!AY:AY,'IS Proforma'!$C:$C,'Opex Departments'!$C167,'IS Proforma'!$A:$A,'Opex Departments'!$A167)</f>
        <v>4000</v>
      </c>
      <c r="AN167" s="116">
        <f>SUMIFS('IS Proforma'!AZ:AZ,'IS Proforma'!$C:$C,'Opex Departments'!$C167,'IS Proforma'!$A:$A,'Opex Departments'!$A167)</f>
        <v>4000</v>
      </c>
      <c r="AO167" s="116">
        <f>SUMIFS('IS Proforma'!BA:BA,'IS Proforma'!$C:$C,'Opex Departments'!$C167,'IS Proforma'!$A:$A,'Opex Departments'!$A167)</f>
        <v>4000</v>
      </c>
      <c r="AP167" s="116">
        <f>SUMIFS('IS Proforma'!BB:BB,'IS Proforma'!$C:$C,'Opex Departments'!$C167,'IS Proforma'!$A:$A,'Opex Departments'!$A167)</f>
        <v>4000</v>
      </c>
      <c r="AQ167" s="116">
        <f>SUMIFS('IS Proforma'!BC:BC,'IS Proforma'!$C:$C,'Opex Departments'!$C167,'IS Proforma'!$A:$A,'Opex Departments'!$A167)</f>
        <v>4000</v>
      </c>
      <c r="AR167" s="116">
        <f>SUMIFS('IS Proforma'!BD:BD,'IS Proforma'!$C:$C,'Opex Departments'!$C167,'IS Proforma'!$A:$A,'Opex Departments'!$A167)</f>
        <v>4000</v>
      </c>
      <c r="AS167" s="116">
        <f>SUMIFS('IS Proforma'!BE:BE,'IS Proforma'!$C:$C,'Opex Departments'!$C167,'IS Proforma'!$A:$A,'Opex Departments'!$A167)</f>
        <v>4000</v>
      </c>
      <c r="AT167" s="116">
        <f>SUMIFS('IS Proforma'!BF:BF,'IS Proforma'!$C:$C,'Opex Departments'!$C167,'IS Proforma'!$A:$A,'Opex Departments'!$A167)</f>
        <v>4000</v>
      </c>
      <c r="AU167" s="116">
        <f>SUMIFS('IS Proforma'!BG:BG,'IS Proforma'!$C:$C,'Opex Departments'!$C167,'IS Proforma'!$A:$A,'Opex Departments'!$A167)</f>
        <v>4000</v>
      </c>
      <c r="AV167" s="116">
        <f>SUMIFS('IS Proforma'!BH:BH,'IS Proforma'!$C:$C,'Opex Departments'!$C167,'IS Proforma'!$A:$A,'Opex Departments'!$A167)</f>
        <v>4000</v>
      </c>
      <c r="AW167" s="116">
        <f>SUMIFS('IS Proforma'!BI:BI,'IS Proforma'!$C:$C,'Opex Departments'!$C167,'IS Proforma'!$A:$A,'Opex Departments'!$A167)</f>
        <v>4000</v>
      </c>
      <c r="AX167" s="116">
        <f>SUMIFS('IS Proforma'!BJ:BJ,'IS Proforma'!$C:$C,'Opex Departments'!$C167,'IS Proforma'!$A:$A,'Opex Departments'!$A167)</f>
        <v>4000</v>
      </c>
      <c r="AY167" s="116">
        <f>SUMIFS('IS Proforma'!BK:BK,'IS Proforma'!$C:$C,'Opex Departments'!$C167,'IS Proforma'!$A:$A,'Opex Departments'!$A167)</f>
        <v>4000</v>
      </c>
      <c r="AZ167" s="116">
        <f>SUMIFS('IS Proforma'!BL:BL,'IS Proforma'!$C:$C,'Opex Departments'!$C167,'IS Proforma'!$A:$A,'Opex Departments'!$A167)</f>
        <v>4000</v>
      </c>
      <c r="BA167" s="116">
        <f>SUMIFS('IS Proforma'!BM:BM,'IS Proforma'!$C:$C,'Opex Departments'!$C167,'IS Proforma'!$A:$A,'Opex Departments'!$A167)</f>
        <v>4000</v>
      </c>
      <c r="BB167" s="116">
        <f>SUMIFS('IS Proforma'!BN:BN,'IS Proforma'!$C:$C,'Opex Departments'!$C167,'IS Proforma'!$A:$A,'Opex Departments'!$A167)</f>
        <v>4000</v>
      </c>
      <c r="BC167" s="116">
        <f>SUMIFS('IS Proforma'!BO:BO,'IS Proforma'!$C:$C,'Opex Departments'!$C167,'IS Proforma'!$A:$A,'Opex Departments'!$A167)</f>
        <v>4000</v>
      </c>
      <c r="BD167" s="116">
        <f>SUMIFS('IS Proforma'!BP:BP,'IS Proforma'!$C:$C,'Opex Departments'!$C167,'IS Proforma'!$A:$A,'Opex Departments'!$A167)</f>
        <v>4000</v>
      </c>
      <c r="BE167" s="116">
        <f>SUMIFS('IS Proforma'!BQ:BQ,'IS Proforma'!$C:$C,'Opex Departments'!$C167,'IS Proforma'!$A:$A,'Opex Departments'!$A167)</f>
        <v>4000</v>
      </c>
      <c r="BF167" s="116">
        <f>SUMIFS('IS Proforma'!BR:BR,'IS Proforma'!$C:$C,'Opex Departments'!$C167,'IS Proforma'!$A:$A,'Opex Departments'!$A167)</f>
        <v>4000</v>
      </c>
      <c r="BG167" s="116">
        <f>SUMIFS('IS Proforma'!BS:BS,'IS Proforma'!$C:$C,'Opex Departments'!$C167,'IS Proforma'!$A:$A,'Opex Departments'!$A167)</f>
        <v>4000</v>
      </c>
      <c r="BH167" s="116">
        <f>SUMIFS('IS Proforma'!BT:BT,'IS Proforma'!$C:$C,'Opex Departments'!$C167,'IS Proforma'!$A:$A,'Opex Departments'!$A167)</f>
        <v>4000</v>
      </c>
      <c r="BI167" s="116">
        <f>SUMIFS('IS Proforma'!BU:BU,'IS Proforma'!$C:$C,'Opex Departments'!$C167,'IS Proforma'!$A:$A,'Opex Departments'!$A167)</f>
        <v>4000</v>
      </c>
      <c r="BJ167" s="116">
        <f>SUMIFS('IS Proforma'!BV:BV,'IS Proforma'!$C:$C,'Opex Departments'!$C167,'IS Proforma'!$A:$A,'Opex Departments'!$A167)</f>
        <v>4000</v>
      </c>
      <c r="BK167" s="116">
        <f>SUMIFS('IS Proforma'!BW:BW,'IS Proforma'!$C:$C,'Opex Departments'!$C167,'IS Proforma'!$A:$A,'Opex Departments'!$A167)</f>
        <v>4000</v>
      </c>
      <c r="BL167" s="116">
        <f>SUMIFS('IS Proforma'!BX:BX,'IS Proforma'!$C:$C,'Opex Departments'!$C167,'IS Proforma'!$A:$A,'Opex Departments'!$A167)</f>
        <v>4000</v>
      </c>
      <c r="BM167" s="116">
        <f>SUMIFS('IS Proforma'!BY:BY,'IS Proforma'!$C:$C,'Opex Departments'!$C167,'IS Proforma'!$A:$A,'Opex Departments'!$A167)</f>
        <v>4000</v>
      </c>
      <c r="BN167" s="116">
        <f>SUMIFS('IS Proforma'!BZ:BZ,'IS Proforma'!$C:$C,'Opex Departments'!$C167,'IS Proforma'!$A:$A,'Opex Departments'!$A167)</f>
        <v>4000</v>
      </c>
      <c r="BO167" s="116">
        <f>SUMIFS('IS Proforma'!CA:CA,'IS Proforma'!$C:$C,'Opex Departments'!$C167,'IS Proforma'!$A:$A,'Opex Departments'!$A167)</f>
        <v>4000</v>
      </c>
      <c r="BP167" s="116">
        <f>SUMIFS('IS Proforma'!CB:CB,'IS Proforma'!$C:$C,'Opex Departments'!$C167,'IS Proforma'!$A:$A,'Opex Departments'!$A167)</f>
        <v>4000</v>
      </c>
      <c r="BQ167" s="116">
        <f>SUMIFS('IS Proforma'!CC:CC,'IS Proforma'!$C:$C,'Opex Departments'!$C167,'IS Proforma'!$A:$A,'Opex Departments'!$A167)</f>
        <v>4000</v>
      </c>
      <c r="BR167" s="116">
        <f>SUMIFS('IS Proforma'!CD:CD,'IS Proforma'!$C:$C,'Opex Departments'!$C167,'IS Proforma'!$A:$A,'Opex Departments'!$A167)</f>
        <v>4000</v>
      </c>
      <c r="BS167" s="116">
        <f>SUMIFS('IS Proforma'!CE:CE,'IS Proforma'!$C:$C,'Opex Departments'!$C167,'IS Proforma'!$A:$A,'Opex Departments'!$A167)</f>
        <v>4000</v>
      </c>
      <c r="BT167" s="116">
        <f>SUMIFS('IS Proforma'!CF:CF,'IS Proforma'!$C:$C,'Opex Departments'!$C167,'IS Proforma'!$A:$A,'Opex Departments'!$A167)</f>
        <v>4000</v>
      </c>
      <c r="BU167" s="116">
        <f>SUMIFS('IS Proforma'!CG:CG,'IS Proforma'!$C:$C,'Opex Departments'!$C167,'IS Proforma'!$A:$A,'Opex Departments'!$A167)</f>
        <v>4000</v>
      </c>
      <c r="BV167" s="116">
        <f>SUMIFS('IS Proforma'!CH:CH,'IS Proforma'!$C:$C,'Opex Departments'!$C167,'IS Proforma'!$A:$A,'Opex Departments'!$A167)</f>
        <v>4000</v>
      </c>
      <c r="BW167" s="116">
        <f>SUMIFS('IS Proforma'!CI:CI,'IS Proforma'!$C:$C,'Opex Departments'!$C167,'IS Proforma'!$A:$A,'Opex Departments'!$A167)</f>
        <v>4000</v>
      </c>
      <c r="BX167" s="116">
        <f>SUMIFS('IS Proforma'!CJ:CJ,'IS Proforma'!$C:$C,'Opex Departments'!$C167,'IS Proforma'!$A:$A,'Opex Departments'!$A167)</f>
        <v>4000</v>
      </c>
      <c r="BY167" s="116">
        <f>SUMIFS('IS Proforma'!CK:CK,'IS Proforma'!$C:$C,'Opex Departments'!$C167,'IS Proforma'!$A:$A,'Opex Departments'!$A167)</f>
        <v>4000</v>
      </c>
      <c r="BZ167" s="116">
        <f>SUMIFS('IS Proforma'!CL:CL,'IS Proforma'!$C:$C,'Opex Departments'!$C167,'IS Proforma'!$A:$A,'Opex Departments'!$A167)</f>
        <v>4000</v>
      </c>
      <c r="CA167" s="116">
        <f>SUMIFS('IS Proforma'!CM:CM,'IS Proforma'!$C:$C,'Opex Departments'!$C167,'IS Proforma'!$A:$A,'Opex Departments'!$A167)</f>
        <v>4000</v>
      </c>
      <c r="CB167" s="116">
        <f>SUMIFS('IS Proforma'!CN:CN,'IS Proforma'!$C:$C,'Opex Departments'!$C167,'IS Proforma'!$A:$A,'Opex Departments'!$A167)</f>
        <v>4000</v>
      </c>
      <c r="CC167" s="116">
        <f>SUMIFS('IS Proforma'!CO:CO,'IS Proforma'!$C:$C,'Opex Departments'!$C167,'IS Proforma'!$A:$A,'Opex Departments'!$A167)</f>
        <v>4000</v>
      </c>
      <c r="CD167" s="116">
        <f>SUMIFS('IS Proforma'!CP:CP,'IS Proforma'!$C:$C,'Opex Departments'!$C167,'IS Proforma'!$A:$A,'Opex Departments'!$A167)</f>
        <v>4000</v>
      </c>
      <c r="CE167" s="116">
        <f>SUMIFS('IS Proforma'!CQ:CQ,'IS Proforma'!$C:$C,'Opex Departments'!$C167,'IS Proforma'!$A:$A,'Opex Departments'!$A167)</f>
        <v>4000</v>
      </c>
      <c r="CF167" s="116">
        <f>SUMIFS('IS Proforma'!CR:CR,'IS Proforma'!$C:$C,'Opex Departments'!$C167,'IS Proforma'!$A:$A,'Opex Departments'!$A167)</f>
        <v>4000</v>
      </c>
      <c r="CG167" s="116">
        <f>SUMIFS('IS Proforma'!CS:CS,'IS Proforma'!$C:$C,'Opex Departments'!$C167,'IS Proforma'!$A:$A,'Opex Departments'!$A167)</f>
        <v>4000</v>
      </c>
      <c r="CH167" s="116">
        <f>SUMIFS('IS Proforma'!CT:CT,'IS Proforma'!$C:$C,'Opex Departments'!$C167,'IS Proforma'!$A:$A,'Opex Departments'!$A167)</f>
        <v>4000</v>
      </c>
      <c r="CI167" s="116">
        <f>SUMIFS('IS Proforma'!CU:CU,'IS Proforma'!$C:$C,'Opex Departments'!$C167,'IS Proforma'!$A:$A,'Opex Departments'!$A167)</f>
        <v>4000</v>
      </c>
    </row>
    <row r="168" ht="15.75" customHeight="1" outlineLevel="1">
      <c r="A168" s="1" t="s">
        <v>174</v>
      </c>
      <c r="B168" s="91" t="s">
        <v>72</v>
      </c>
      <c r="C168" s="132" t="s">
        <v>260</v>
      </c>
      <c r="D168" s="116">
        <f>SUMIFS('IS Proforma'!P:P,'IS Proforma'!$C:$C,'Opex Departments'!$C168,'IS Proforma'!$A:$A,'Opex Departments'!$A168)</f>
        <v>1965</v>
      </c>
      <c r="E168" s="116">
        <f>SUMIFS('IS Proforma'!Q:Q,'IS Proforma'!$C:$C,'Opex Departments'!$C168,'IS Proforma'!$A:$A,'Opex Departments'!$A168)</f>
        <v>1492</v>
      </c>
      <c r="F168" s="116">
        <f>SUMIFS('IS Proforma'!R:R,'IS Proforma'!$C:$C,'Opex Departments'!$C168,'IS Proforma'!$A:$A,'Opex Departments'!$A168)</f>
        <v>1878</v>
      </c>
      <c r="G168" s="116">
        <f>SUMIFS('IS Proforma'!S:S,'IS Proforma'!$C:$C,'Opex Departments'!$C168,'IS Proforma'!$A:$A,'Opex Departments'!$A168)</f>
        <v>2047</v>
      </c>
      <c r="H168" s="116">
        <f>SUMIFS('IS Proforma'!T:T,'IS Proforma'!$C:$C,'Opex Departments'!$C168,'IS Proforma'!$A:$A,'Opex Departments'!$A168)</f>
        <v>1504</v>
      </c>
      <c r="I168" s="116">
        <f>SUMIFS('IS Proforma'!U:U,'IS Proforma'!$C:$C,'Opex Departments'!$C168,'IS Proforma'!$A:$A,'Opex Departments'!$A168)</f>
        <v>1667</v>
      </c>
      <c r="J168" s="116">
        <f>SUMIFS('IS Proforma'!V:V,'IS Proforma'!$C:$C,'Opex Departments'!$C168,'IS Proforma'!$A:$A,'Opex Departments'!$A168)</f>
        <v>1004</v>
      </c>
      <c r="K168" s="116">
        <f>SUMIFS('IS Proforma'!W:W,'IS Proforma'!$C:$C,'Opex Departments'!$C168,'IS Proforma'!$A:$A,'Opex Departments'!$A168)</f>
        <v>2209</v>
      </c>
      <c r="L168" s="116">
        <f>SUMIFS('IS Proforma'!X:X,'IS Proforma'!$C:$C,'Opex Departments'!$C168,'IS Proforma'!$A:$A,'Opex Departments'!$A168)</f>
        <v>1680</v>
      </c>
      <c r="M168" s="116">
        <f>SUMIFS('IS Proforma'!Y:Y,'IS Proforma'!$C:$C,'Opex Departments'!$C168,'IS Proforma'!$A:$A,'Opex Departments'!$A168)</f>
        <v>2300</v>
      </c>
      <c r="N168" s="116">
        <f>SUMIFS('IS Proforma'!Z:Z,'IS Proforma'!$C:$C,'Opex Departments'!$C168,'IS Proforma'!$A:$A,'Opex Departments'!$A168)</f>
        <v>1975</v>
      </c>
      <c r="O168" s="116">
        <f>SUMIFS('IS Proforma'!AA:AA,'IS Proforma'!$C:$C,'Opex Departments'!$C168,'IS Proforma'!$A:$A,'Opex Departments'!$A168)</f>
        <v>1140</v>
      </c>
      <c r="P168" s="116">
        <f>SUMIFS('IS Proforma'!AB:AB,'IS Proforma'!$C:$C,'Opex Departments'!$C168,'IS Proforma'!$A:$A,'Opex Departments'!$A168)</f>
        <v>1411</v>
      </c>
      <c r="Q168" s="116">
        <f>SUMIFS('IS Proforma'!AC:AC,'IS Proforma'!$C:$C,'Opex Departments'!$C168,'IS Proforma'!$A:$A,'Opex Departments'!$A168)</f>
        <v>2253</v>
      </c>
      <c r="R168" s="116">
        <f>SUMIFS('IS Proforma'!AD:AD,'IS Proforma'!$C:$C,'Opex Departments'!$C168,'IS Proforma'!$A:$A,'Opex Departments'!$A168)</f>
        <v>1054</v>
      </c>
      <c r="S168" s="116">
        <f>SUMIFS('IS Proforma'!AE:AE,'IS Proforma'!$C:$C,'Opex Departments'!$C168,'IS Proforma'!$A:$A,'Opex Departments'!$A168)</f>
        <v>1848</v>
      </c>
      <c r="T168" s="116">
        <f>SUMIFS('IS Proforma'!AF:AF,'IS Proforma'!$C:$C,'Opex Departments'!$C168,'IS Proforma'!$A:$A,'Opex Departments'!$A168)</f>
        <v>1058</v>
      </c>
      <c r="U168" s="116">
        <f>SUMIFS('IS Proforma'!AG:AG,'IS Proforma'!$C:$C,'Opex Departments'!$C168,'IS Proforma'!$A:$A,'Opex Departments'!$A168)</f>
        <v>1310</v>
      </c>
      <c r="V168" s="116">
        <f>SUMIFS('IS Proforma'!AH:AH,'IS Proforma'!$C:$C,'Opex Departments'!$C168,'IS Proforma'!$A:$A,'Opex Departments'!$A168)</f>
        <v>2483</v>
      </c>
      <c r="W168" s="116">
        <f>SUMIFS('IS Proforma'!AI:AI,'IS Proforma'!$C:$C,'Opex Departments'!$C168,'IS Proforma'!$A:$A,'Opex Departments'!$A168)</f>
        <v>2435</v>
      </c>
      <c r="X168" s="116">
        <f>SUMIFS('IS Proforma'!AJ:AJ,'IS Proforma'!$C:$C,'Opex Departments'!$C168,'IS Proforma'!$A:$A,'Opex Departments'!$A168)</f>
        <v>1688</v>
      </c>
      <c r="Y168" s="116">
        <f>SUMIFS('IS Proforma'!AK:AK,'IS Proforma'!$C:$C,'Opex Departments'!$C168,'IS Proforma'!$A:$A,'Opex Departments'!$A168)</f>
        <v>1482</v>
      </c>
      <c r="Z168" s="116">
        <f>SUMIFS('IS Proforma'!AL:AL,'IS Proforma'!$C:$C,'Opex Departments'!$C168,'IS Proforma'!$A:$A,'Opex Departments'!$A168)</f>
        <v>1995</v>
      </c>
      <c r="AA168" s="116">
        <f>SUMIFS('IS Proforma'!AM:AM,'IS Proforma'!$C:$C,'Opex Departments'!$C168,'IS Proforma'!$A:$A,'Opex Departments'!$A168)</f>
        <v>0</v>
      </c>
      <c r="AB168" s="116">
        <f>SUMIFS('IS Proforma'!AN:AN,'IS Proforma'!$C:$C,'Opex Departments'!$C168,'IS Proforma'!$A:$A,'Opex Departments'!$A168)</f>
        <v>0</v>
      </c>
      <c r="AC168" s="116">
        <f>SUMIFS('IS Proforma'!AO:AO,'IS Proforma'!$C:$C,'Opex Departments'!$C168,'IS Proforma'!$A:$A,'Opex Departments'!$A168)</f>
        <v>0</v>
      </c>
      <c r="AD168" s="116">
        <f>SUMIFS('IS Proforma'!AP:AP,'IS Proforma'!$C:$C,'Opex Departments'!$C168,'IS Proforma'!$A:$A,'Opex Departments'!$A168)</f>
        <v>0</v>
      </c>
      <c r="AE168" s="116">
        <f>SUMIFS('IS Proforma'!AQ:AQ,'IS Proforma'!$C:$C,'Opex Departments'!$C168,'IS Proforma'!$A:$A,'Opex Departments'!$A168)</f>
        <v>0</v>
      </c>
      <c r="AF168" s="116">
        <f>SUMIFS('IS Proforma'!AR:AR,'IS Proforma'!$C:$C,'Opex Departments'!$C168,'IS Proforma'!$A:$A,'Opex Departments'!$A168)</f>
        <v>0</v>
      </c>
      <c r="AG168" s="116">
        <f>SUMIFS('IS Proforma'!AS:AS,'IS Proforma'!$C:$C,'Opex Departments'!$C168,'IS Proforma'!$A:$A,'Opex Departments'!$A168)</f>
        <v>0</v>
      </c>
      <c r="AH168" s="116">
        <f>SUMIFS('IS Proforma'!AT:AT,'IS Proforma'!$C:$C,'Opex Departments'!$C168,'IS Proforma'!$A:$A,'Opex Departments'!$A168)</f>
        <v>0</v>
      </c>
      <c r="AI168" s="116">
        <f>SUMIFS('IS Proforma'!AU:AU,'IS Proforma'!$C:$C,'Opex Departments'!$C168,'IS Proforma'!$A:$A,'Opex Departments'!$A168)</f>
        <v>0</v>
      </c>
      <c r="AJ168" s="116">
        <f>SUMIFS('IS Proforma'!AV:AV,'IS Proforma'!$C:$C,'Opex Departments'!$C168,'IS Proforma'!$A:$A,'Opex Departments'!$A168)</f>
        <v>0</v>
      </c>
      <c r="AK168" s="116">
        <f>SUMIFS('IS Proforma'!AW:AW,'IS Proforma'!$C:$C,'Opex Departments'!$C168,'IS Proforma'!$A:$A,'Opex Departments'!$A168)</f>
        <v>0</v>
      </c>
      <c r="AL168" s="116">
        <f>SUMIFS('IS Proforma'!AX:AX,'IS Proforma'!$C:$C,'Opex Departments'!$C168,'IS Proforma'!$A:$A,'Opex Departments'!$A168)</f>
        <v>0</v>
      </c>
      <c r="AM168" s="116">
        <f>SUMIFS('IS Proforma'!AY:AY,'IS Proforma'!$C:$C,'Opex Departments'!$C168,'IS Proforma'!$A:$A,'Opex Departments'!$A168)</f>
        <v>0</v>
      </c>
      <c r="AN168" s="116">
        <f>SUMIFS('IS Proforma'!AZ:AZ,'IS Proforma'!$C:$C,'Opex Departments'!$C168,'IS Proforma'!$A:$A,'Opex Departments'!$A168)</f>
        <v>0</v>
      </c>
      <c r="AO168" s="116">
        <f>SUMIFS('IS Proforma'!BA:BA,'IS Proforma'!$C:$C,'Opex Departments'!$C168,'IS Proforma'!$A:$A,'Opex Departments'!$A168)</f>
        <v>0</v>
      </c>
      <c r="AP168" s="116">
        <f>SUMIFS('IS Proforma'!BB:BB,'IS Proforma'!$C:$C,'Opex Departments'!$C168,'IS Proforma'!$A:$A,'Opex Departments'!$A168)</f>
        <v>0</v>
      </c>
      <c r="AQ168" s="116">
        <f>SUMIFS('IS Proforma'!BC:BC,'IS Proforma'!$C:$C,'Opex Departments'!$C168,'IS Proforma'!$A:$A,'Opex Departments'!$A168)</f>
        <v>0</v>
      </c>
      <c r="AR168" s="116">
        <f>SUMIFS('IS Proforma'!BD:BD,'IS Proforma'!$C:$C,'Opex Departments'!$C168,'IS Proforma'!$A:$A,'Opex Departments'!$A168)</f>
        <v>0</v>
      </c>
      <c r="AS168" s="116">
        <f>SUMIFS('IS Proforma'!BE:BE,'IS Proforma'!$C:$C,'Opex Departments'!$C168,'IS Proforma'!$A:$A,'Opex Departments'!$A168)</f>
        <v>0</v>
      </c>
      <c r="AT168" s="116">
        <f>SUMIFS('IS Proforma'!BF:BF,'IS Proforma'!$C:$C,'Opex Departments'!$C168,'IS Proforma'!$A:$A,'Opex Departments'!$A168)</f>
        <v>0</v>
      </c>
      <c r="AU168" s="116">
        <f>SUMIFS('IS Proforma'!BG:BG,'IS Proforma'!$C:$C,'Opex Departments'!$C168,'IS Proforma'!$A:$A,'Opex Departments'!$A168)</f>
        <v>0</v>
      </c>
      <c r="AV168" s="116">
        <f>SUMIFS('IS Proforma'!BH:BH,'IS Proforma'!$C:$C,'Opex Departments'!$C168,'IS Proforma'!$A:$A,'Opex Departments'!$A168)</f>
        <v>0</v>
      </c>
      <c r="AW168" s="116">
        <f>SUMIFS('IS Proforma'!BI:BI,'IS Proforma'!$C:$C,'Opex Departments'!$C168,'IS Proforma'!$A:$A,'Opex Departments'!$A168)</f>
        <v>0</v>
      </c>
      <c r="AX168" s="116">
        <f>SUMIFS('IS Proforma'!BJ:BJ,'IS Proforma'!$C:$C,'Opex Departments'!$C168,'IS Proforma'!$A:$A,'Opex Departments'!$A168)</f>
        <v>0</v>
      </c>
      <c r="AY168" s="116">
        <f>SUMIFS('IS Proforma'!BK:BK,'IS Proforma'!$C:$C,'Opex Departments'!$C168,'IS Proforma'!$A:$A,'Opex Departments'!$A168)</f>
        <v>0</v>
      </c>
      <c r="AZ168" s="116">
        <f>SUMIFS('IS Proforma'!BL:BL,'IS Proforma'!$C:$C,'Opex Departments'!$C168,'IS Proforma'!$A:$A,'Opex Departments'!$A168)</f>
        <v>0</v>
      </c>
      <c r="BA168" s="116">
        <f>SUMIFS('IS Proforma'!BM:BM,'IS Proforma'!$C:$C,'Opex Departments'!$C168,'IS Proforma'!$A:$A,'Opex Departments'!$A168)</f>
        <v>0</v>
      </c>
      <c r="BB168" s="116">
        <f>SUMIFS('IS Proforma'!BN:BN,'IS Proforma'!$C:$C,'Opex Departments'!$C168,'IS Proforma'!$A:$A,'Opex Departments'!$A168)</f>
        <v>0</v>
      </c>
      <c r="BC168" s="116">
        <f>SUMIFS('IS Proforma'!BO:BO,'IS Proforma'!$C:$C,'Opex Departments'!$C168,'IS Proforma'!$A:$A,'Opex Departments'!$A168)</f>
        <v>0</v>
      </c>
      <c r="BD168" s="116">
        <f>SUMIFS('IS Proforma'!BP:BP,'IS Proforma'!$C:$C,'Opex Departments'!$C168,'IS Proforma'!$A:$A,'Opex Departments'!$A168)</f>
        <v>0</v>
      </c>
      <c r="BE168" s="116">
        <f>SUMIFS('IS Proforma'!BQ:BQ,'IS Proforma'!$C:$C,'Opex Departments'!$C168,'IS Proforma'!$A:$A,'Opex Departments'!$A168)</f>
        <v>0</v>
      </c>
      <c r="BF168" s="116">
        <f>SUMIFS('IS Proforma'!BR:BR,'IS Proforma'!$C:$C,'Opex Departments'!$C168,'IS Proforma'!$A:$A,'Opex Departments'!$A168)</f>
        <v>0</v>
      </c>
      <c r="BG168" s="116">
        <f>SUMIFS('IS Proforma'!BS:BS,'IS Proforma'!$C:$C,'Opex Departments'!$C168,'IS Proforma'!$A:$A,'Opex Departments'!$A168)</f>
        <v>0</v>
      </c>
      <c r="BH168" s="116">
        <f>SUMIFS('IS Proforma'!BT:BT,'IS Proforma'!$C:$C,'Opex Departments'!$C168,'IS Proforma'!$A:$A,'Opex Departments'!$A168)</f>
        <v>0</v>
      </c>
      <c r="BI168" s="116">
        <f>SUMIFS('IS Proforma'!BU:BU,'IS Proforma'!$C:$C,'Opex Departments'!$C168,'IS Proforma'!$A:$A,'Opex Departments'!$A168)</f>
        <v>0</v>
      </c>
      <c r="BJ168" s="116">
        <f>SUMIFS('IS Proforma'!BV:BV,'IS Proforma'!$C:$C,'Opex Departments'!$C168,'IS Proforma'!$A:$A,'Opex Departments'!$A168)</f>
        <v>0</v>
      </c>
      <c r="BK168" s="116">
        <f>SUMIFS('IS Proforma'!BW:BW,'IS Proforma'!$C:$C,'Opex Departments'!$C168,'IS Proforma'!$A:$A,'Opex Departments'!$A168)</f>
        <v>0</v>
      </c>
      <c r="BL168" s="116">
        <f>SUMIFS('IS Proforma'!BX:BX,'IS Proforma'!$C:$C,'Opex Departments'!$C168,'IS Proforma'!$A:$A,'Opex Departments'!$A168)</f>
        <v>0</v>
      </c>
      <c r="BM168" s="116">
        <f>SUMIFS('IS Proforma'!BY:BY,'IS Proforma'!$C:$C,'Opex Departments'!$C168,'IS Proforma'!$A:$A,'Opex Departments'!$A168)</f>
        <v>0</v>
      </c>
      <c r="BN168" s="116">
        <f>SUMIFS('IS Proforma'!BZ:BZ,'IS Proforma'!$C:$C,'Opex Departments'!$C168,'IS Proforma'!$A:$A,'Opex Departments'!$A168)</f>
        <v>0</v>
      </c>
      <c r="BO168" s="116">
        <f>SUMIFS('IS Proforma'!CA:CA,'IS Proforma'!$C:$C,'Opex Departments'!$C168,'IS Proforma'!$A:$A,'Opex Departments'!$A168)</f>
        <v>0</v>
      </c>
      <c r="BP168" s="116">
        <f>SUMIFS('IS Proforma'!CB:CB,'IS Proforma'!$C:$C,'Opex Departments'!$C168,'IS Proforma'!$A:$A,'Opex Departments'!$A168)</f>
        <v>0</v>
      </c>
      <c r="BQ168" s="116">
        <f>SUMIFS('IS Proforma'!CC:CC,'IS Proforma'!$C:$C,'Opex Departments'!$C168,'IS Proforma'!$A:$A,'Opex Departments'!$A168)</f>
        <v>0</v>
      </c>
      <c r="BR168" s="116">
        <f>SUMIFS('IS Proforma'!CD:CD,'IS Proforma'!$C:$C,'Opex Departments'!$C168,'IS Proforma'!$A:$A,'Opex Departments'!$A168)</f>
        <v>0</v>
      </c>
      <c r="BS168" s="116">
        <f>SUMIFS('IS Proforma'!CE:CE,'IS Proforma'!$C:$C,'Opex Departments'!$C168,'IS Proforma'!$A:$A,'Opex Departments'!$A168)</f>
        <v>0</v>
      </c>
      <c r="BT168" s="116">
        <f>SUMIFS('IS Proforma'!CF:CF,'IS Proforma'!$C:$C,'Opex Departments'!$C168,'IS Proforma'!$A:$A,'Opex Departments'!$A168)</f>
        <v>0</v>
      </c>
      <c r="BU168" s="116">
        <f>SUMIFS('IS Proforma'!CG:CG,'IS Proforma'!$C:$C,'Opex Departments'!$C168,'IS Proforma'!$A:$A,'Opex Departments'!$A168)</f>
        <v>0</v>
      </c>
      <c r="BV168" s="116">
        <f>SUMIFS('IS Proforma'!CH:CH,'IS Proforma'!$C:$C,'Opex Departments'!$C168,'IS Proforma'!$A:$A,'Opex Departments'!$A168)</f>
        <v>0</v>
      </c>
      <c r="BW168" s="116">
        <f>SUMIFS('IS Proforma'!CI:CI,'IS Proforma'!$C:$C,'Opex Departments'!$C168,'IS Proforma'!$A:$A,'Opex Departments'!$A168)</f>
        <v>0</v>
      </c>
      <c r="BX168" s="116">
        <f>SUMIFS('IS Proforma'!CJ:CJ,'IS Proforma'!$C:$C,'Opex Departments'!$C168,'IS Proforma'!$A:$A,'Opex Departments'!$A168)</f>
        <v>0</v>
      </c>
      <c r="BY168" s="116">
        <f>SUMIFS('IS Proforma'!CK:CK,'IS Proforma'!$C:$C,'Opex Departments'!$C168,'IS Proforma'!$A:$A,'Opex Departments'!$A168)</f>
        <v>0</v>
      </c>
      <c r="BZ168" s="116">
        <f>SUMIFS('IS Proforma'!CL:CL,'IS Proforma'!$C:$C,'Opex Departments'!$C168,'IS Proforma'!$A:$A,'Opex Departments'!$A168)</f>
        <v>0</v>
      </c>
      <c r="CA168" s="116">
        <f>SUMIFS('IS Proforma'!CM:CM,'IS Proforma'!$C:$C,'Opex Departments'!$C168,'IS Proforma'!$A:$A,'Opex Departments'!$A168)</f>
        <v>0</v>
      </c>
      <c r="CB168" s="116">
        <f>SUMIFS('IS Proforma'!CN:CN,'IS Proforma'!$C:$C,'Opex Departments'!$C168,'IS Proforma'!$A:$A,'Opex Departments'!$A168)</f>
        <v>0</v>
      </c>
      <c r="CC168" s="116">
        <f>SUMIFS('IS Proforma'!CO:CO,'IS Proforma'!$C:$C,'Opex Departments'!$C168,'IS Proforma'!$A:$A,'Opex Departments'!$A168)</f>
        <v>0</v>
      </c>
      <c r="CD168" s="116">
        <f>SUMIFS('IS Proforma'!CP:CP,'IS Proforma'!$C:$C,'Opex Departments'!$C168,'IS Proforma'!$A:$A,'Opex Departments'!$A168)</f>
        <v>0</v>
      </c>
      <c r="CE168" s="116">
        <f>SUMIFS('IS Proforma'!CQ:CQ,'IS Proforma'!$C:$C,'Opex Departments'!$C168,'IS Proforma'!$A:$A,'Opex Departments'!$A168)</f>
        <v>0</v>
      </c>
      <c r="CF168" s="116">
        <f>SUMIFS('IS Proforma'!CR:CR,'IS Proforma'!$C:$C,'Opex Departments'!$C168,'IS Proforma'!$A:$A,'Opex Departments'!$A168)</f>
        <v>0</v>
      </c>
      <c r="CG168" s="116">
        <f>SUMIFS('IS Proforma'!CS:CS,'IS Proforma'!$C:$C,'Opex Departments'!$C168,'IS Proforma'!$A:$A,'Opex Departments'!$A168)</f>
        <v>0</v>
      </c>
      <c r="CH168" s="116">
        <f>SUMIFS('IS Proforma'!CT:CT,'IS Proforma'!$C:$C,'Opex Departments'!$C168,'IS Proforma'!$A:$A,'Opex Departments'!$A168)</f>
        <v>0</v>
      </c>
      <c r="CI168" s="116">
        <f>SUMIFS('IS Proforma'!CU:CU,'IS Proforma'!$C:$C,'Opex Departments'!$C168,'IS Proforma'!$A:$A,'Opex Departments'!$A168)</f>
        <v>0</v>
      </c>
    </row>
    <row r="169" ht="15.75" customHeight="1">
      <c r="A169" s="1"/>
      <c r="B169" s="91"/>
      <c r="C169" s="257" t="s">
        <v>261</v>
      </c>
      <c r="D169" s="514">
        <f t="shared" ref="D169:CI169" si="144">SUM(D135:D168)</f>
        <v>56630</v>
      </c>
      <c r="E169" s="514">
        <f t="shared" si="144"/>
        <v>53398</v>
      </c>
      <c r="F169" s="514">
        <f t="shared" si="144"/>
        <v>56244</v>
      </c>
      <c r="G169" s="514">
        <f t="shared" si="144"/>
        <v>57030</v>
      </c>
      <c r="H169" s="514">
        <f t="shared" si="144"/>
        <v>57900</v>
      </c>
      <c r="I169" s="514">
        <f t="shared" si="144"/>
        <v>53613</v>
      </c>
      <c r="J169" s="514">
        <f t="shared" si="144"/>
        <v>49114</v>
      </c>
      <c r="K169" s="514">
        <f t="shared" si="144"/>
        <v>57042</v>
      </c>
      <c r="L169" s="514">
        <f t="shared" si="144"/>
        <v>56550</v>
      </c>
      <c r="M169" s="514">
        <f t="shared" si="144"/>
        <v>57297</v>
      </c>
      <c r="N169" s="514">
        <f t="shared" si="144"/>
        <v>58027</v>
      </c>
      <c r="O169" s="514">
        <f t="shared" si="144"/>
        <v>62692</v>
      </c>
      <c r="P169" s="514">
        <f t="shared" si="144"/>
        <v>56935</v>
      </c>
      <c r="Q169" s="514">
        <f t="shared" si="144"/>
        <v>61174</v>
      </c>
      <c r="R169" s="514">
        <f t="shared" si="144"/>
        <v>56183</v>
      </c>
      <c r="S169" s="514">
        <f t="shared" si="144"/>
        <v>63074</v>
      </c>
      <c r="T169" s="514">
        <f t="shared" si="144"/>
        <v>60762</v>
      </c>
      <c r="U169" s="514">
        <f t="shared" si="144"/>
        <v>61015</v>
      </c>
      <c r="V169" s="514">
        <f t="shared" si="144"/>
        <v>57703</v>
      </c>
      <c r="W169" s="514">
        <f t="shared" si="144"/>
        <v>56225</v>
      </c>
      <c r="X169" s="514">
        <f t="shared" si="144"/>
        <v>61911</v>
      </c>
      <c r="Y169" s="514">
        <f t="shared" si="144"/>
        <v>57357</v>
      </c>
      <c r="Z169" s="514">
        <f t="shared" si="144"/>
        <v>61911</v>
      </c>
      <c r="AA169" s="514">
        <f t="shared" si="144"/>
        <v>246539.2638</v>
      </c>
      <c r="AB169" s="514">
        <f t="shared" si="144"/>
        <v>318189.4546</v>
      </c>
      <c r="AC169" s="514">
        <f t="shared" si="144"/>
        <v>435715.2649</v>
      </c>
      <c r="AD169" s="514">
        <f t="shared" si="144"/>
        <v>345269.5776</v>
      </c>
      <c r="AE169" s="514">
        <f t="shared" si="144"/>
        <v>366471.5688</v>
      </c>
      <c r="AF169" s="514">
        <f t="shared" si="144"/>
        <v>494233.1641</v>
      </c>
      <c r="AG169" s="514">
        <f t="shared" si="144"/>
        <v>393161.1931</v>
      </c>
      <c r="AH169" s="514">
        <f t="shared" si="144"/>
        <v>523643.139</v>
      </c>
      <c r="AI169" s="514">
        <f t="shared" si="144"/>
        <v>438507.3573</v>
      </c>
      <c r="AJ169" s="514">
        <f t="shared" si="144"/>
        <v>578306.4862</v>
      </c>
      <c r="AK169" s="514">
        <f t="shared" si="144"/>
        <v>485400.0389</v>
      </c>
      <c r="AL169" s="514">
        <f t="shared" si="144"/>
        <v>509332.0341</v>
      </c>
      <c r="AM169" s="514">
        <f t="shared" si="144"/>
        <v>526833.8369</v>
      </c>
      <c r="AN169" s="514">
        <f t="shared" si="144"/>
        <v>801144.7971</v>
      </c>
      <c r="AO169" s="514">
        <f t="shared" si="144"/>
        <v>554091.3369</v>
      </c>
      <c r="AP169" s="514">
        <f t="shared" si="144"/>
        <v>553461.0659</v>
      </c>
      <c r="AQ169" s="514">
        <f t="shared" si="144"/>
        <v>554859.7979</v>
      </c>
      <c r="AR169" s="514">
        <f t="shared" si="144"/>
        <v>699284.7358</v>
      </c>
      <c r="AS169" s="514">
        <f t="shared" si="144"/>
        <v>572188.6019</v>
      </c>
      <c r="AT169" s="514">
        <f t="shared" si="144"/>
        <v>684762.5992</v>
      </c>
      <c r="AU169" s="514">
        <f t="shared" si="144"/>
        <v>583502.951</v>
      </c>
      <c r="AV169" s="514">
        <f t="shared" si="144"/>
        <v>733966.5551</v>
      </c>
      <c r="AW169" s="514">
        <f t="shared" si="144"/>
        <v>603554.271</v>
      </c>
      <c r="AX169" s="514">
        <f t="shared" si="144"/>
        <v>605023.444</v>
      </c>
      <c r="AY169" s="514">
        <f t="shared" si="144"/>
        <v>606487.8244</v>
      </c>
      <c r="AZ169" s="514">
        <f t="shared" si="144"/>
        <v>899457.2618</v>
      </c>
      <c r="BA169" s="514">
        <f t="shared" si="144"/>
        <v>651682.3806</v>
      </c>
      <c r="BB169" s="514">
        <f t="shared" si="144"/>
        <v>658714.3878</v>
      </c>
      <c r="BC169" s="514">
        <f t="shared" si="144"/>
        <v>665717.6994</v>
      </c>
      <c r="BD169" s="514">
        <f t="shared" si="144"/>
        <v>851264.1984</v>
      </c>
      <c r="BE169" s="514">
        <f t="shared" si="144"/>
        <v>717293.7372</v>
      </c>
      <c r="BF169" s="514">
        <f t="shared" si="144"/>
        <v>864382.619</v>
      </c>
      <c r="BG169" s="514">
        <f t="shared" si="144"/>
        <v>758689.1033</v>
      </c>
      <c r="BH169" s="514">
        <f t="shared" si="144"/>
        <v>934675.3246</v>
      </c>
      <c r="BI169" s="514">
        <f t="shared" si="144"/>
        <v>813435.6577</v>
      </c>
      <c r="BJ169" s="514">
        <f t="shared" si="144"/>
        <v>820327.5914</v>
      </c>
      <c r="BK169" s="514">
        <f t="shared" si="144"/>
        <v>827210.5637</v>
      </c>
      <c r="BL169" s="514">
        <f t="shared" si="144"/>
        <v>1159271.616</v>
      </c>
      <c r="BM169" s="514">
        <f t="shared" si="144"/>
        <v>893180.4228</v>
      </c>
      <c r="BN169" s="514">
        <f t="shared" si="144"/>
        <v>899233.4425</v>
      </c>
      <c r="BO169" s="514">
        <f t="shared" si="144"/>
        <v>922771.6293</v>
      </c>
      <c r="BP169" s="514">
        <f t="shared" si="144"/>
        <v>1127964.106</v>
      </c>
      <c r="BQ169" s="514">
        <f t="shared" si="144"/>
        <v>967276.9202</v>
      </c>
      <c r="BR169" s="514">
        <f t="shared" si="144"/>
        <v>1116093.447</v>
      </c>
      <c r="BS169" s="514">
        <f t="shared" si="144"/>
        <v>1001705.425</v>
      </c>
      <c r="BT169" s="514">
        <f t="shared" si="144"/>
        <v>1205409.754</v>
      </c>
      <c r="BU169" s="514">
        <f t="shared" si="144"/>
        <v>1057942.453</v>
      </c>
      <c r="BV169" s="514">
        <f t="shared" si="144"/>
        <v>1065068.056</v>
      </c>
      <c r="BW169" s="514">
        <f t="shared" si="144"/>
        <v>1072203.814</v>
      </c>
      <c r="BX169" s="514">
        <f t="shared" si="144"/>
        <v>1440493.836</v>
      </c>
      <c r="BY169" s="514">
        <f t="shared" si="144"/>
        <v>1152893.872</v>
      </c>
      <c r="BZ169" s="514">
        <f t="shared" si="144"/>
        <v>1156793.959</v>
      </c>
      <c r="CA169" s="514">
        <f t="shared" si="144"/>
        <v>1157922.185</v>
      </c>
      <c r="CB169" s="514">
        <f t="shared" si="144"/>
        <v>1373062.746</v>
      </c>
      <c r="CC169" s="514">
        <f t="shared" si="144"/>
        <v>1198309.479</v>
      </c>
      <c r="CD169" s="514">
        <f t="shared" si="144"/>
        <v>1308424.574</v>
      </c>
      <c r="CE169" s="514">
        <f t="shared" si="144"/>
        <v>1212862.662</v>
      </c>
      <c r="CF169" s="514">
        <f t="shared" si="144"/>
        <v>1432835.933</v>
      </c>
      <c r="CG169" s="514">
        <f t="shared" si="144"/>
        <v>1255821.182</v>
      </c>
      <c r="CH169" s="514">
        <f t="shared" si="144"/>
        <v>1262385.722</v>
      </c>
      <c r="CI169" s="514">
        <f t="shared" si="144"/>
        <v>1268959.678</v>
      </c>
    </row>
    <row r="170" ht="15.75" customHeight="1">
      <c r="A170" s="1"/>
      <c r="B170" s="1"/>
      <c r="C170" s="1"/>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7"/>
      <c r="BO170" s="117"/>
      <c r="BP170" s="117"/>
      <c r="BQ170" s="117"/>
      <c r="BR170" s="117"/>
      <c r="BS170" s="117"/>
      <c r="BT170" s="117"/>
      <c r="BU170" s="117"/>
      <c r="BV170" s="117"/>
      <c r="BW170" s="117"/>
      <c r="BX170" s="117"/>
      <c r="BY170" s="117"/>
      <c r="BZ170" s="117"/>
      <c r="CA170" s="117"/>
      <c r="CB170" s="117"/>
      <c r="CC170" s="117"/>
      <c r="CD170" s="117"/>
      <c r="CE170" s="117"/>
      <c r="CF170" s="117"/>
      <c r="CG170" s="117"/>
      <c r="CH170" s="117"/>
      <c r="CI170" s="117"/>
    </row>
    <row r="171" ht="15.75" customHeight="1">
      <c r="A171" s="1"/>
      <c r="B171" s="1"/>
      <c r="C171" s="132" t="s">
        <v>84</v>
      </c>
      <c r="D171" s="117">
        <f>D169-'IS Proforma'!P84</f>
        <v>-13269</v>
      </c>
      <c r="E171" s="117">
        <f>E169-'IS Proforma'!Q84</f>
        <v>-10221</v>
      </c>
      <c r="F171" s="117">
        <f>F169-'IS Proforma'!R84</f>
        <v>-12874</v>
      </c>
      <c r="G171" s="117">
        <f>G169-'IS Proforma'!S84</f>
        <v>-12885</v>
      </c>
      <c r="H171" s="117">
        <f>H169-'IS Proforma'!T84</f>
        <v>-11811</v>
      </c>
      <c r="I171" s="117">
        <f>I169-'IS Proforma'!U84</f>
        <v>-9468</v>
      </c>
      <c r="J171" s="117">
        <f>J169-'IS Proforma'!V84</f>
        <v>-10882</v>
      </c>
      <c r="K171" s="117">
        <f>K169-'IS Proforma'!W84</f>
        <v>-13241</v>
      </c>
      <c r="L171" s="117">
        <f>L169-'IS Proforma'!X84</f>
        <v>-15387</v>
      </c>
      <c r="M171" s="117">
        <f>M169-'IS Proforma'!Y84</f>
        <v>-12733</v>
      </c>
      <c r="N171" s="117">
        <f>N169-'IS Proforma'!Z84</f>
        <v>-10090</v>
      </c>
      <c r="O171" s="117">
        <f>O169-'IS Proforma'!AA84</f>
        <v>-10101</v>
      </c>
      <c r="P171" s="117">
        <f>P169-'IS Proforma'!AB84</f>
        <v>-7869</v>
      </c>
      <c r="Q171" s="117">
        <f>Q169-'IS Proforma'!AC84</f>
        <v>-7724</v>
      </c>
      <c r="R171" s="117">
        <f>R169-'IS Proforma'!AD84</f>
        <v>-8805</v>
      </c>
      <c r="S171" s="117">
        <f>S169-'IS Proforma'!AE84</f>
        <v>-10169</v>
      </c>
      <c r="T171" s="117">
        <f>T169-'IS Proforma'!AF84</f>
        <v>-10590</v>
      </c>
      <c r="U171" s="117">
        <f>U169-'IS Proforma'!AG84</f>
        <v>-10685</v>
      </c>
      <c r="V171" s="117">
        <f>V169-'IS Proforma'!AH84</f>
        <v>-9025</v>
      </c>
      <c r="W171" s="117">
        <f>W169-'IS Proforma'!AI84</f>
        <v>-8814</v>
      </c>
      <c r="X171" s="117">
        <f>X169-'IS Proforma'!AJ84</f>
        <v>-8433</v>
      </c>
      <c r="Y171" s="117">
        <f>Y169-'IS Proforma'!AK84</f>
        <v>-7871</v>
      </c>
      <c r="Z171" s="117">
        <f>Z169-'IS Proforma'!AL84</f>
        <v>-8214</v>
      </c>
      <c r="AA171" s="117">
        <f>AA169-'IS Proforma'!AM84</f>
        <v>-71647</v>
      </c>
      <c r="AB171" s="117">
        <f>AB169-'IS Proforma'!AN84</f>
        <v>-116471.115</v>
      </c>
      <c r="AC171" s="117">
        <f>AC169-'IS Proforma'!AO84</f>
        <v>-134871.115</v>
      </c>
      <c r="AD171" s="117">
        <f>AD169-'IS Proforma'!AP84</f>
        <v>-142871.115</v>
      </c>
      <c r="AE171" s="117">
        <f>AE169-'IS Proforma'!AQ84</f>
        <v>-155871.115</v>
      </c>
      <c r="AF171" s="117">
        <f>AF169-'IS Proforma'!AR84</f>
        <v>-162885.3152</v>
      </c>
      <c r="AG171" s="117">
        <f>AG169-'IS Proforma'!AS84</f>
        <v>-162885.3152</v>
      </c>
      <c r="AH171" s="117">
        <f>AH169-'IS Proforma'!AT84</f>
        <v>-178701.3152</v>
      </c>
      <c r="AI171" s="117">
        <f>AI169-'IS Proforma'!AU84</f>
        <v>-194717.3152</v>
      </c>
      <c r="AJ171" s="117">
        <f>AJ169-'IS Proforma'!AV84</f>
        <v>-214070.5944</v>
      </c>
      <c r="AK171" s="117">
        <f>AK169-'IS Proforma'!AW84</f>
        <v>-224886.5944</v>
      </c>
      <c r="AL171" s="117">
        <f>AL169-'IS Proforma'!AX84</f>
        <v>-240902.5944</v>
      </c>
      <c r="AM171" s="117">
        <f>AM169-'IS Proforma'!AY84</f>
        <v>-251718.5944</v>
      </c>
      <c r="AN171" s="117">
        <f>AN169-'IS Proforma'!AZ84</f>
        <v>-277835.9781</v>
      </c>
      <c r="AO171" s="117">
        <f>AO169-'IS Proforma'!BA84</f>
        <v>-277835.9781</v>
      </c>
      <c r="AP171" s="117">
        <f>AP169-'IS Proforma'!BB84</f>
        <v>-277835.9781</v>
      </c>
      <c r="AQ171" s="117">
        <f>AQ169-'IS Proforma'!BC84</f>
        <v>-277835.9781</v>
      </c>
      <c r="AR171" s="117">
        <f>AR169-'IS Proforma'!BD84</f>
        <v>-288549.4173</v>
      </c>
      <c r="AS171" s="117">
        <f>AS169-'IS Proforma'!BE84</f>
        <v>-288549.4173</v>
      </c>
      <c r="AT171" s="117">
        <f>AT169-'IS Proforma'!BF84</f>
        <v>-293549.4173</v>
      </c>
      <c r="AU171" s="117">
        <f>AU169-'IS Proforma'!BG84</f>
        <v>-293549.4173</v>
      </c>
      <c r="AV171" s="117">
        <f>AV169-'IS Proforma'!BH84</f>
        <v>-304691.3939</v>
      </c>
      <c r="AW171" s="117">
        <f>AW169-'IS Proforma'!BI84</f>
        <v>-304691.3939</v>
      </c>
      <c r="AX171" s="117">
        <f>AX169-'IS Proforma'!BJ84</f>
        <v>-304691.3939</v>
      </c>
      <c r="AY171" s="117">
        <f>AY169-'IS Proforma'!BK84</f>
        <v>-304691.3939</v>
      </c>
      <c r="AZ171" s="117">
        <f>AZ169-'IS Proforma'!BL84</f>
        <v>-321279.0497</v>
      </c>
      <c r="BA171" s="117">
        <f>BA169-'IS Proforma'!BM84</f>
        <v>-326279.0497</v>
      </c>
      <c r="BB171" s="117">
        <f>BB169-'IS Proforma'!BN84</f>
        <v>-331279.0497</v>
      </c>
      <c r="BC171" s="117">
        <f>BC169-'IS Proforma'!BO84</f>
        <v>-336279.0497</v>
      </c>
      <c r="BD171" s="117">
        <f>BD169-'IS Proforma'!BP84</f>
        <v>-365496.7407</v>
      </c>
      <c r="BE171" s="117">
        <f>BE169-'IS Proforma'!BQ84</f>
        <v>-370496.7407</v>
      </c>
      <c r="BF171" s="117">
        <f>BF169-'IS Proforma'!BR84</f>
        <v>-381580.0052</v>
      </c>
      <c r="BG171" s="117">
        <f>BG169-'IS Proforma'!BS84</f>
        <v>-399233.1954</v>
      </c>
      <c r="BH171" s="117">
        <f>BH169-'IS Proforma'!BT84</f>
        <v>-418002.5232</v>
      </c>
      <c r="BI171" s="117">
        <f>BI169-'IS Proforma'!BU84</f>
        <v>-435655.7134</v>
      </c>
      <c r="BJ171" s="117">
        <f>BJ169-'IS Proforma'!BV84</f>
        <v>-440655.7134</v>
      </c>
      <c r="BK171" s="117">
        <f>BK169-'IS Proforma'!BW84</f>
        <v>-445655.7134</v>
      </c>
      <c r="BL171" s="117">
        <f>BL169-'IS Proforma'!BX84</f>
        <v>-478641.2597</v>
      </c>
      <c r="BM171" s="117">
        <f>BM169-'IS Proforma'!BY84</f>
        <v>-483641.2597</v>
      </c>
      <c r="BN171" s="117">
        <f>BN169-'IS Proforma'!BZ84</f>
        <v>-488641.2597</v>
      </c>
      <c r="BO171" s="117">
        <f>BO169-'IS Proforma'!CA84</f>
        <v>-506800.5775</v>
      </c>
      <c r="BP171" s="117">
        <f>BP169-'IS Proforma'!CB84</f>
        <v>-534599.1957</v>
      </c>
      <c r="BQ171" s="117">
        <f>BQ169-'IS Proforma'!CC84</f>
        <v>-539599.1957</v>
      </c>
      <c r="BR171" s="117">
        <f>BR169-'IS Proforma'!CD84</f>
        <v>-558284.8862</v>
      </c>
      <c r="BS171" s="117">
        <f>BS169-'IS Proforma'!CE84</f>
        <v>-563284.8862</v>
      </c>
      <c r="BT171" s="117">
        <f>BT169-'IS Proforma'!CF84</f>
        <v>-586216.2817</v>
      </c>
      <c r="BU171" s="117">
        <f>BU169-'IS Proforma'!CG84</f>
        <v>-604901.9722</v>
      </c>
      <c r="BV171" s="117">
        <f>BV169-'IS Proforma'!CH84</f>
        <v>-609901.9722</v>
      </c>
      <c r="BW171" s="117">
        <f>BW169-'IS Proforma'!CI84</f>
        <v>-614901.9722</v>
      </c>
      <c r="BX171" s="117">
        <f>BX169-'IS Proforma'!CJ84</f>
        <v>-653331.1692</v>
      </c>
      <c r="BY171" s="117">
        <f>BY169-'IS Proforma'!CK84</f>
        <v>-658331.1692</v>
      </c>
      <c r="BZ171" s="117">
        <f>BZ169-'IS Proforma'!CL84</f>
        <v>-663331.1692</v>
      </c>
      <c r="CA171" s="117">
        <f>CA169-'IS Proforma'!CM84</f>
        <v>-668331.1692</v>
      </c>
      <c r="CB171" s="117">
        <f>CB169-'IS Proforma'!CN84</f>
        <v>-693864.416</v>
      </c>
      <c r="CC171" s="117">
        <f>CC169-'IS Proforma'!CO84</f>
        <v>-698864.416</v>
      </c>
      <c r="CD171" s="117">
        <f>CD169-'IS Proforma'!CP84</f>
        <v>-703864.416</v>
      </c>
      <c r="CE171" s="117">
        <f>CE169-'IS Proforma'!CQ84</f>
        <v>-708864.416</v>
      </c>
      <c r="CF171" s="117">
        <f>CF169-'IS Proforma'!CR84</f>
        <v>-735218.9926</v>
      </c>
      <c r="CG171" s="117">
        <f>CG169-'IS Proforma'!CS84</f>
        <v>-740218.9926</v>
      </c>
      <c r="CH171" s="117">
        <f>CH169-'IS Proforma'!CT84</f>
        <v>-745218.9926</v>
      </c>
      <c r="CI171" s="117">
        <f>CI169-'IS Proforma'!CU84</f>
        <v>-750218.9926</v>
      </c>
    </row>
    <row r="172" ht="15.75" customHeight="1">
      <c r="A172" s="1"/>
      <c r="B172" s="1"/>
      <c r="C172" s="132"/>
      <c r="D172" s="1"/>
      <c r="E172" s="1"/>
      <c r="F172" s="1"/>
      <c r="G172" s="1"/>
      <c r="H172" s="1"/>
      <c r="I172" s="1"/>
      <c r="J172" s="1"/>
      <c r="K172" s="1"/>
      <c r="L172" s="1"/>
      <c r="M172" s="1"/>
      <c r="N172" s="1"/>
      <c r="O172" s="1"/>
      <c r="P172" s="1"/>
      <c r="Q172" s="1"/>
      <c r="R172" s="1"/>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c r="CF172" s="116"/>
      <c r="CG172" s="116"/>
      <c r="CH172" s="116"/>
      <c r="CI172" s="116"/>
    </row>
    <row r="173" ht="15.75" customHeight="1">
      <c r="A173" s="1"/>
      <c r="B173" s="1"/>
      <c r="C173" s="1"/>
      <c r="D173" s="1"/>
      <c r="E173" s="1"/>
      <c r="F173" s="1"/>
      <c r="G173" s="1"/>
      <c r="H173" s="1"/>
      <c r="I173" s="1"/>
      <c r="J173" s="1"/>
      <c r="K173" s="1"/>
      <c r="L173" s="1"/>
      <c r="M173" s="1"/>
      <c r="N173" s="1"/>
      <c r="O173" s="1"/>
      <c r="P173" s="1"/>
      <c r="Q173" s="1"/>
      <c r="R173" s="1"/>
      <c r="S173" s="1"/>
      <c r="T173" s="117"/>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row>
    <row r="174" ht="15.75" customHeight="1">
      <c r="A174" s="1"/>
      <c r="B174" s="1"/>
      <c r="C174" s="115" t="s">
        <v>835</v>
      </c>
      <c r="D174" s="1"/>
      <c r="E174" s="1"/>
      <c r="F174" s="1"/>
      <c r="G174" s="1"/>
      <c r="H174" s="1"/>
      <c r="I174" s="1"/>
      <c r="J174" s="1"/>
      <c r="K174" s="1"/>
      <c r="L174" s="1"/>
      <c r="M174" s="1"/>
      <c r="N174" s="1"/>
      <c r="O174" s="1"/>
      <c r="P174" s="1"/>
      <c r="Q174" s="1"/>
      <c r="R174" s="1"/>
      <c r="S174" s="1"/>
      <c r="T174" s="117"/>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row>
    <row r="175" ht="15.75" customHeight="1">
      <c r="A175" s="1"/>
      <c r="B175" s="1"/>
      <c r="C175" s="1"/>
      <c r="D175" s="1"/>
      <c r="E175" s="1"/>
      <c r="F175" s="1"/>
      <c r="G175" s="1"/>
      <c r="H175" s="1"/>
      <c r="I175" s="1"/>
      <c r="J175" s="1"/>
      <c r="K175" s="1"/>
      <c r="L175" s="1"/>
      <c r="M175" s="1"/>
      <c r="N175" s="1"/>
      <c r="O175" s="1"/>
      <c r="P175" s="1"/>
      <c r="Q175" s="1"/>
      <c r="R175" s="1"/>
      <c r="S175" s="1"/>
      <c r="T175" s="117"/>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row>
    <row r="176" ht="15.75" customHeight="1">
      <c r="A176" s="1"/>
      <c r="B176" s="1"/>
      <c r="C176" s="1" t="s">
        <v>47</v>
      </c>
      <c r="D176" s="116">
        <f>Revenue!C6</f>
        <v>145221</v>
      </c>
      <c r="E176" s="116">
        <f>Revenue!D6</f>
        <v>268153</v>
      </c>
      <c r="F176" s="116">
        <f>Revenue!E6</f>
        <v>202602</v>
      </c>
      <c r="G176" s="116">
        <f>Revenue!F6</f>
        <v>249435</v>
      </c>
      <c r="H176" s="116">
        <f>Revenue!G6</f>
        <v>251204</v>
      </c>
      <c r="I176" s="116">
        <f>Revenue!H6</f>
        <v>175735</v>
      </c>
      <c r="J176" s="116">
        <f>Revenue!I6</f>
        <v>173627</v>
      </c>
      <c r="K176" s="116">
        <f>Revenue!J6</f>
        <v>163316</v>
      </c>
      <c r="L176" s="116">
        <f>Revenue!K6</f>
        <v>214926</v>
      </c>
      <c r="M176" s="116">
        <f>Revenue!L6</f>
        <v>242871</v>
      </c>
      <c r="N176" s="116">
        <f>Revenue!M6</f>
        <v>234725</v>
      </c>
      <c r="O176" s="116">
        <f>Revenue!N6</f>
        <v>201170</v>
      </c>
      <c r="P176" s="116">
        <f>Revenue!O6</f>
        <v>225168</v>
      </c>
      <c r="Q176" s="116">
        <f>Revenue!P6</f>
        <v>202984</v>
      </c>
      <c r="R176" s="116">
        <f>Revenue!Q6</f>
        <v>230137</v>
      </c>
      <c r="S176" s="116">
        <f>Revenue!R6</f>
        <v>215710</v>
      </c>
      <c r="T176" s="116">
        <f>Revenue!S6</f>
        <v>275885</v>
      </c>
      <c r="U176" s="116">
        <f>Revenue!T6</f>
        <v>196349</v>
      </c>
      <c r="V176" s="116">
        <f>Revenue!U6</f>
        <v>274969</v>
      </c>
      <c r="W176" s="116">
        <f>Revenue!V6</f>
        <v>270100</v>
      </c>
      <c r="X176" s="116">
        <f>Revenue!W6</f>
        <v>241649</v>
      </c>
      <c r="Y176" s="116">
        <f>Revenue!X6</f>
        <v>195381</v>
      </c>
      <c r="Z176" s="116">
        <f>Revenue!Y6</f>
        <v>291011</v>
      </c>
      <c r="AA176" s="116">
        <f>Revenue!Z6</f>
        <v>424038.3587</v>
      </c>
      <c r="AB176" s="116">
        <f>Revenue!AA6</f>
        <v>504241.5363</v>
      </c>
      <c r="AC176" s="116">
        <f>Revenue!AB6</f>
        <v>582808.2623</v>
      </c>
      <c r="AD176" s="116">
        <f>Revenue!AC6</f>
        <v>656219.2844</v>
      </c>
      <c r="AE176" s="116">
        <f>Revenue!AD6</f>
        <v>729298.1637</v>
      </c>
      <c r="AF176" s="116">
        <f>Revenue!AE6</f>
        <v>810916.7567</v>
      </c>
      <c r="AG176" s="116">
        <f>Revenue!AF6</f>
        <v>888901.9038</v>
      </c>
      <c r="AH176" s="116">
        <f>Revenue!AG6</f>
        <v>964562.3903</v>
      </c>
      <c r="AI176" s="116">
        <f>Revenue!AH6</f>
        <v>1039304.834</v>
      </c>
      <c r="AJ176" s="116">
        <f>Revenue!AI6</f>
        <v>1116079.352</v>
      </c>
      <c r="AK176" s="116">
        <f>Revenue!AJ6</f>
        <v>1187157.271</v>
      </c>
      <c r="AL176" s="116">
        <f>Revenue!AK6</f>
        <v>1262204.801</v>
      </c>
      <c r="AM176" s="116">
        <f>Revenue!AL6</f>
        <v>1340193.399</v>
      </c>
      <c r="AN176" s="116">
        <f>Revenue!AM6</f>
        <v>1400947.54</v>
      </c>
      <c r="AO176" s="116">
        <f>Revenue!AN6</f>
        <v>1412547.753</v>
      </c>
      <c r="AP176" s="116">
        <f>Revenue!AO6</f>
        <v>1435663.774</v>
      </c>
      <c r="AQ176" s="116">
        <f>Revenue!AP6</f>
        <v>1463030.47</v>
      </c>
      <c r="AR176" s="116">
        <f>Revenue!AQ6</f>
        <v>1490534.739</v>
      </c>
      <c r="AS176" s="116">
        <f>Revenue!AR6</f>
        <v>1518058.964</v>
      </c>
      <c r="AT176" s="116">
        <f>Revenue!AS6</f>
        <v>1544868.694</v>
      </c>
      <c r="AU176" s="116">
        <f>Revenue!AT6</f>
        <v>1584805.768</v>
      </c>
      <c r="AV176" s="116">
        <f>Revenue!AU6</f>
        <v>1610842.016</v>
      </c>
      <c r="AW176" s="116">
        <f>Revenue!AV6</f>
        <v>1636433.352</v>
      </c>
      <c r="AX176" s="116">
        <f>Revenue!AW6</f>
        <v>1661609.333</v>
      </c>
      <c r="AY176" s="116">
        <f>Revenue!AX6</f>
        <v>1686397.772</v>
      </c>
      <c r="AZ176" s="116">
        <f>Revenue!AY6</f>
        <v>1739238.992</v>
      </c>
      <c r="BA176" s="116">
        <f>Revenue!AZ6</f>
        <v>1777119.667</v>
      </c>
      <c r="BB176" s="116">
        <f>Revenue!BA6</f>
        <v>1814093.164</v>
      </c>
      <c r="BC176" s="116">
        <f>Revenue!BB6</f>
        <v>1850394.164</v>
      </c>
      <c r="BD176" s="116">
        <f>Revenue!BC6</f>
        <v>1886085.975</v>
      </c>
      <c r="BE176" s="116">
        <f>Revenue!BD6</f>
        <v>1921205.146</v>
      </c>
      <c r="BF176" s="116">
        <f>Revenue!BE6</f>
        <v>1955783.201</v>
      </c>
      <c r="BG176" s="116">
        <f>Revenue!BF6</f>
        <v>1989849.94</v>
      </c>
      <c r="BH176" s="116">
        <f>Revenue!BG6</f>
        <v>2023433.974</v>
      </c>
      <c r="BI176" s="116">
        <f>Revenue!BH6</f>
        <v>2056562.845</v>
      </c>
      <c r="BJ176" s="116">
        <f>Revenue!BI6</f>
        <v>2089263.077</v>
      </c>
      <c r="BK176" s="116">
        <f>Revenue!BJ6</f>
        <v>2121560.221</v>
      </c>
      <c r="BL176" s="116">
        <f>Revenue!BK6</f>
        <v>2177703.884</v>
      </c>
      <c r="BM176" s="116">
        <f>Revenue!BL6</f>
        <v>2210505.931</v>
      </c>
      <c r="BN176" s="116">
        <f>Revenue!BM6</f>
        <v>2240108.088</v>
      </c>
      <c r="BO176" s="116">
        <f>Revenue!BN6</f>
        <v>2269833.804</v>
      </c>
      <c r="BP176" s="116">
        <f>Revenue!BO6</f>
        <v>2299513.652</v>
      </c>
      <c r="BQ176" s="116">
        <f>Revenue!BP6</f>
        <v>2329137.542</v>
      </c>
      <c r="BR176" s="116">
        <f>Revenue!BQ6</f>
        <v>2358718.982</v>
      </c>
      <c r="BS176" s="116">
        <f>Revenue!BR6</f>
        <v>2388274.732</v>
      </c>
      <c r="BT176" s="116">
        <f>Revenue!BS6</f>
        <v>2417821.78</v>
      </c>
      <c r="BU176" s="116">
        <f>Revenue!BT6</f>
        <v>2447376.898</v>
      </c>
      <c r="BV176" s="116">
        <f>Revenue!BU6</f>
        <v>2476956.595</v>
      </c>
      <c r="BW176" s="116">
        <f>Revenue!BV6</f>
        <v>2506577.134</v>
      </c>
      <c r="BX176" s="116">
        <f>Revenue!BW6</f>
        <v>2561373.418</v>
      </c>
      <c r="BY176" s="116">
        <f>Revenue!BX6</f>
        <v>2582415.164</v>
      </c>
      <c r="BZ176" s="116">
        <f>Revenue!BY6</f>
        <v>2603208.601</v>
      </c>
      <c r="CA176" s="116">
        <f>Revenue!BZ6</f>
        <v>2624466.562</v>
      </c>
      <c r="CB176" s="116">
        <f>Revenue!CA6</f>
        <v>2645601.904</v>
      </c>
      <c r="CC176" s="116">
        <f>Revenue!CB6</f>
        <v>2666545.797</v>
      </c>
      <c r="CD176" s="116">
        <f>Revenue!CC6</f>
        <v>2687306.365</v>
      </c>
      <c r="CE176" s="116">
        <f>Revenue!CD6</f>
        <v>2707902.517</v>
      </c>
      <c r="CF176" s="116">
        <f>Revenue!CE6</f>
        <v>2728354.052</v>
      </c>
      <c r="CG176" s="116">
        <f>Revenue!CF6</f>
        <v>2748680.209</v>
      </c>
      <c r="CH176" s="116">
        <f>Revenue!CG6</f>
        <v>2768899.477</v>
      </c>
      <c r="CI176" s="116">
        <f>Revenue!CH6</f>
        <v>2789029.597</v>
      </c>
    </row>
    <row r="177" ht="15.75" customHeight="1">
      <c r="A177" s="1"/>
      <c r="B177" s="1"/>
      <c r="C177" s="1" t="s">
        <v>85</v>
      </c>
      <c r="D177" s="116">
        <f>Revenue!C7</f>
        <v>157989</v>
      </c>
      <c r="E177" s="116">
        <f>Revenue!D7</f>
        <v>262015</v>
      </c>
      <c r="F177" s="116">
        <f>Revenue!E7</f>
        <v>239919</v>
      </c>
      <c r="G177" s="116">
        <f>Revenue!F7</f>
        <v>246852</v>
      </c>
      <c r="H177" s="116">
        <f>Revenue!G7</f>
        <v>168753</v>
      </c>
      <c r="I177" s="116">
        <f>Revenue!H7</f>
        <v>219427</v>
      </c>
      <c r="J177" s="116">
        <f>Revenue!I7</f>
        <v>179883</v>
      </c>
      <c r="K177" s="116">
        <f>Revenue!J7</f>
        <v>165543</v>
      </c>
      <c r="L177" s="116">
        <f>Revenue!K7</f>
        <v>227180</v>
      </c>
      <c r="M177" s="116">
        <f>Revenue!L7</f>
        <v>259006</v>
      </c>
      <c r="N177" s="116">
        <f>Revenue!M7</f>
        <v>234471</v>
      </c>
      <c r="O177" s="116">
        <f>Revenue!N7</f>
        <v>265758</v>
      </c>
      <c r="P177" s="116">
        <f>Revenue!O7</f>
        <v>231341</v>
      </c>
      <c r="Q177" s="116">
        <f>Revenue!P7</f>
        <v>219777</v>
      </c>
      <c r="R177" s="116">
        <f>Revenue!Q7</f>
        <v>140531</v>
      </c>
      <c r="S177" s="116">
        <f>Revenue!R7</f>
        <v>172522</v>
      </c>
      <c r="T177" s="116">
        <f>Revenue!S7</f>
        <v>167953</v>
      </c>
      <c r="U177" s="116">
        <f>Revenue!T7</f>
        <v>183441</v>
      </c>
      <c r="V177" s="116">
        <f>Revenue!U7</f>
        <v>128542</v>
      </c>
      <c r="W177" s="116">
        <f>Revenue!V7</f>
        <v>260968</v>
      </c>
      <c r="X177" s="116">
        <f>Revenue!W7</f>
        <v>274042</v>
      </c>
      <c r="Y177" s="116">
        <f>Revenue!X7</f>
        <v>169044</v>
      </c>
      <c r="Z177" s="116">
        <f>Revenue!Y7</f>
        <v>185698</v>
      </c>
      <c r="AA177" s="116">
        <f>Revenue!Z7</f>
        <v>273479.9044</v>
      </c>
      <c r="AB177" s="116">
        <f>Revenue!AA7</f>
        <v>333775.5366</v>
      </c>
      <c r="AC177" s="116">
        <f>Revenue!AB7</f>
        <v>396850.6096</v>
      </c>
      <c r="AD177" s="116">
        <f>Revenue!AC7</f>
        <v>456755.2775</v>
      </c>
      <c r="AE177" s="116">
        <f>Revenue!AD7</f>
        <v>516926.4202</v>
      </c>
      <c r="AF177" s="116">
        <f>Revenue!AE7</f>
        <v>576580.2861</v>
      </c>
      <c r="AG177" s="116">
        <f>Revenue!AF7</f>
        <v>635351.6453</v>
      </c>
      <c r="AH177" s="116">
        <f>Revenue!AG7</f>
        <v>689760.3533</v>
      </c>
      <c r="AI177" s="116">
        <f>Revenue!AH7</f>
        <v>741903.5395</v>
      </c>
      <c r="AJ177" s="116">
        <f>Revenue!AI7</f>
        <v>792652.34</v>
      </c>
      <c r="AK177" s="116">
        <f>Revenue!AJ7</f>
        <v>837160.0566</v>
      </c>
      <c r="AL177" s="116">
        <f>Revenue!AK7</f>
        <v>883691.7047</v>
      </c>
      <c r="AM177" s="116">
        <f>Revenue!AL7</f>
        <v>930090.3147</v>
      </c>
      <c r="AN177" s="116">
        <f>Revenue!AM7</f>
        <v>963108.0723</v>
      </c>
      <c r="AO177" s="116">
        <f>Revenue!AN7</f>
        <v>969388.3742</v>
      </c>
      <c r="AP177" s="116">
        <f>Revenue!AO7</f>
        <v>984545.4786</v>
      </c>
      <c r="AQ177" s="116">
        <f>Revenue!AP7</f>
        <v>1002925.257</v>
      </c>
      <c r="AR177" s="116">
        <f>Revenue!AQ7</f>
        <v>1021443.071</v>
      </c>
      <c r="AS177" s="116">
        <f>Revenue!AR7</f>
        <v>1039992.013</v>
      </c>
      <c r="AT177" s="116">
        <f>Revenue!AS7</f>
        <v>1058038.469</v>
      </c>
      <c r="AU177" s="116">
        <f>Revenue!AT7</f>
        <v>1075720.438</v>
      </c>
      <c r="AV177" s="116">
        <f>Revenue!AU7</f>
        <v>1093077.647</v>
      </c>
      <c r="AW177" s="116">
        <f>Revenue!AV7</f>
        <v>1110134.187</v>
      </c>
      <c r="AX177" s="116">
        <f>Revenue!AW7</f>
        <v>1126910.942</v>
      </c>
      <c r="AY177" s="116">
        <f>Revenue!AX7</f>
        <v>1143427.508</v>
      </c>
      <c r="AZ177" s="116">
        <f>Revenue!AY7</f>
        <v>1169957.427</v>
      </c>
      <c r="BA177" s="116">
        <f>Revenue!AZ7</f>
        <v>1196178.47</v>
      </c>
      <c r="BB177" s="116">
        <f>Revenue!BA7</f>
        <v>1221737.596</v>
      </c>
      <c r="BC177" s="116">
        <f>Revenue!BB7</f>
        <v>1246810.15</v>
      </c>
      <c r="BD177" s="116">
        <f>Revenue!BC7</f>
        <v>1271442.998</v>
      </c>
      <c r="BE177" s="116">
        <f>Revenue!BD7</f>
        <v>1295662.943</v>
      </c>
      <c r="BF177" s="116">
        <f>Revenue!BE7</f>
        <v>1319493.015</v>
      </c>
      <c r="BG177" s="116">
        <f>Revenue!BF7</f>
        <v>1342954.951</v>
      </c>
      <c r="BH177" s="116">
        <f>Revenue!BG7</f>
        <v>1366069.598</v>
      </c>
      <c r="BI177" s="116">
        <f>Revenue!BH7</f>
        <v>1388856.997</v>
      </c>
      <c r="BJ177" s="116">
        <f>Revenue!BI7</f>
        <v>1411336.429</v>
      </c>
      <c r="BK177" s="116">
        <f>Revenue!BJ7</f>
        <v>1433526.447</v>
      </c>
      <c r="BL177" s="116">
        <f>Revenue!BK7</f>
        <v>1459305.982</v>
      </c>
      <c r="BM177" s="116">
        <f>Revenue!BL7</f>
        <v>1481460.363</v>
      </c>
      <c r="BN177" s="116">
        <f>Revenue!BM7</f>
        <v>1501419.466</v>
      </c>
      <c r="BO177" s="116">
        <f>Revenue!BN7</f>
        <v>1521478.331</v>
      </c>
      <c r="BP177" s="116">
        <f>Revenue!BO7</f>
        <v>1541509.029</v>
      </c>
      <c r="BQ177" s="116">
        <f>Revenue!BP7</f>
        <v>1561503.092</v>
      </c>
      <c r="BR177" s="116">
        <f>Revenue!BQ7</f>
        <v>1581469.747</v>
      </c>
      <c r="BS177" s="116">
        <f>Revenue!BR7</f>
        <v>1601420.673</v>
      </c>
      <c r="BT177" s="116">
        <f>Revenue!BS7</f>
        <v>1621367.72</v>
      </c>
      <c r="BU177" s="116">
        <f>Revenue!BT7</f>
        <v>1641322.582</v>
      </c>
      <c r="BV177" s="116">
        <f>Revenue!BU7</f>
        <v>1661296.766</v>
      </c>
      <c r="BW177" s="116">
        <f>Revenue!BV7</f>
        <v>1681301.595</v>
      </c>
      <c r="BX177" s="116">
        <f>Revenue!BW7</f>
        <v>1703656.174</v>
      </c>
      <c r="BY177" s="116">
        <f>Revenue!BX7</f>
        <v>1717395.503</v>
      </c>
      <c r="BZ177" s="116">
        <f>Revenue!BY7</f>
        <v>1731196.241</v>
      </c>
      <c r="CA177" s="116">
        <f>Revenue!BZ7</f>
        <v>1745358.099</v>
      </c>
      <c r="CB177" s="116">
        <f>Revenue!CA7</f>
        <v>1759439.834</v>
      </c>
      <c r="CC177" s="116">
        <f>Revenue!CB7</f>
        <v>1773388.798</v>
      </c>
      <c r="CD177" s="116">
        <f>Revenue!CC7</f>
        <v>1787210.066</v>
      </c>
      <c r="CE177" s="116">
        <f>Revenue!CD7</f>
        <v>1800916.819</v>
      </c>
      <c r="CF177" s="116">
        <f>Revenue!CE7</f>
        <v>1814522.936</v>
      </c>
      <c r="CG177" s="116">
        <f>Revenue!CF7</f>
        <v>1828041.899</v>
      </c>
      <c r="CH177" s="116">
        <f>Revenue!CG7</f>
        <v>1841486.653</v>
      </c>
      <c r="CI177" s="116">
        <f>Revenue!CH7</f>
        <v>1854869.607</v>
      </c>
    </row>
    <row r="178" ht="15.75" customHeight="1">
      <c r="A178" s="1"/>
      <c r="B178" s="1"/>
      <c r="C178" s="1" t="s">
        <v>168</v>
      </c>
      <c r="D178" s="116">
        <f>Revenue!C8</f>
        <v>203271</v>
      </c>
      <c r="E178" s="116">
        <f>Revenue!D8</f>
        <v>139789</v>
      </c>
      <c r="F178" s="116">
        <f>Revenue!E8</f>
        <v>173116</v>
      </c>
      <c r="G178" s="116">
        <f>Revenue!F8</f>
        <v>234675</v>
      </c>
      <c r="H178" s="116">
        <f>Revenue!G8</f>
        <v>268150</v>
      </c>
      <c r="I178" s="116">
        <f>Revenue!H8</f>
        <v>263187</v>
      </c>
      <c r="J178" s="116">
        <f>Revenue!I8</f>
        <v>261112</v>
      </c>
      <c r="K178" s="116">
        <f>Revenue!J8</f>
        <v>188247</v>
      </c>
      <c r="L178" s="116">
        <f>Revenue!K8</f>
        <v>181572</v>
      </c>
      <c r="M178" s="116">
        <f>Revenue!L8</f>
        <v>150133</v>
      </c>
      <c r="N178" s="116">
        <f>Revenue!M8</f>
        <v>184682</v>
      </c>
      <c r="O178" s="116">
        <f>Revenue!N8</f>
        <v>148278</v>
      </c>
      <c r="P178" s="116">
        <f>Revenue!O8</f>
        <v>193838</v>
      </c>
      <c r="Q178" s="116">
        <f>Revenue!P8</f>
        <v>193578</v>
      </c>
      <c r="R178" s="116">
        <f>Revenue!Q8</f>
        <v>203241</v>
      </c>
      <c r="S178" s="116">
        <f>Revenue!R8</f>
        <v>250416</v>
      </c>
      <c r="T178" s="116">
        <f>Revenue!S8</f>
        <v>237819</v>
      </c>
      <c r="U178" s="116">
        <f>Revenue!T8</f>
        <v>158273</v>
      </c>
      <c r="V178" s="116">
        <f>Revenue!U8</f>
        <v>191633</v>
      </c>
      <c r="W178" s="116">
        <f>Revenue!V8</f>
        <v>230583</v>
      </c>
      <c r="X178" s="116">
        <f>Revenue!W8</f>
        <v>247749</v>
      </c>
      <c r="Y178" s="116">
        <f>Revenue!X8</f>
        <v>258341</v>
      </c>
      <c r="Z178" s="116">
        <f>Revenue!Y8</f>
        <v>207412</v>
      </c>
      <c r="AA178" s="116">
        <f>Revenue!Z8</f>
        <v>276010.975</v>
      </c>
      <c r="AB178" s="116">
        <f>Revenue!AA8</f>
        <v>350687.0274</v>
      </c>
      <c r="AC178" s="116">
        <f>Revenue!AB8</f>
        <v>425236.3339</v>
      </c>
      <c r="AD178" s="116">
        <f>Revenue!AC8</f>
        <v>493846.1583</v>
      </c>
      <c r="AE178" s="116">
        <f>Revenue!AD8</f>
        <v>557565.2007</v>
      </c>
      <c r="AF178" s="116">
        <f>Revenue!AE8</f>
        <v>618794.0664</v>
      </c>
      <c r="AG178" s="116">
        <f>Revenue!AF8</f>
        <v>679166.8654</v>
      </c>
      <c r="AH178" s="116">
        <f>Revenue!AG8</f>
        <v>737945.7206</v>
      </c>
      <c r="AI178" s="116">
        <f>Revenue!AH8</f>
        <v>798955.3159</v>
      </c>
      <c r="AJ178" s="116">
        <f>Revenue!AI8</f>
        <v>857035.5227</v>
      </c>
      <c r="AK178" s="116">
        <f>Revenue!AJ8</f>
        <v>909223.7479</v>
      </c>
      <c r="AL178" s="116">
        <f>Revenue!AK8</f>
        <v>954796.8069</v>
      </c>
      <c r="AM178" s="116">
        <f>Revenue!AL8</f>
        <v>1000310.763</v>
      </c>
      <c r="AN178" s="116">
        <f>Revenue!AM8</f>
        <v>1045803.08</v>
      </c>
      <c r="AO178" s="116">
        <f>Revenue!AN8</f>
        <v>1060837.482</v>
      </c>
      <c r="AP178" s="116">
        <f>Revenue!AO8</f>
        <v>1066689.864</v>
      </c>
      <c r="AQ178" s="116">
        <f>Revenue!AP8</f>
        <v>1076646.148</v>
      </c>
      <c r="AR178" s="116">
        <f>Revenue!AQ8</f>
        <v>1088887.103</v>
      </c>
      <c r="AS178" s="116">
        <f>Revenue!AR8</f>
        <v>1102294.281</v>
      </c>
      <c r="AT178" s="116">
        <f>Revenue!AS8</f>
        <v>1115918.837</v>
      </c>
      <c r="AU178" s="116">
        <f>Revenue!AT8</f>
        <v>1129283.422</v>
      </c>
      <c r="AV178" s="116">
        <f>Revenue!AU8</f>
        <v>1142410.106</v>
      </c>
      <c r="AW178" s="116">
        <f>Revenue!AV8</f>
        <v>1155316.089</v>
      </c>
      <c r="AX178" s="116">
        <f>Revenue!AW8</f>
        <v>1168016.417</v>
      </c>
      <c r="AY178" s="116">
        <f>Revenue!AX8</f>
        <v>1180524.946</v>
      </c>
      <c r="AZ178" s="116">
        <f>Revenue!AY8</f>
        <v>1193131.617</v>
      </c>
      <c r="BA178" s="116">
        <f>Revenue!AZ8</f>
        <v>1215896.824</v>
      </c>
      <c r="BB178" s="116">
        <f>Revenue!BA8</f>
        <v>1238203.963</v>
      </c>
      <c r="BC178" s="116">
        <f>Revenue!BB8</f>
        <v>1259966.901</v>
      </c>
      <c r="BD178" s="116">
        <f>Revenue!BC8</f>
        <v>1281262.865</v>
      </c>
      <c r="BE178" s="116">
        <f>Revenue!BD8</f>
        <v>1302132.414</v>
      </c>
      <c r="BF178" s="116">
        <f>Revenue!BE8</f>
        <v>1322602.735</v>
      </c>
      <c r="BG178" s="116">
        <f>Revenue!BF8</f>
        <v>1342695.826</v>
      </c>
      <c r="BH178" s="116">
        <f>Revenue!BG8</f>
        <v>1362431.372</v>
      </c>
      <c r="BI178" s="116">
        <f>Revenue!BH8</f>
        <v>1381827.782</v>
      </c>
      <c r="BJ178" s="116">
        <f>Revenue!BI8</f>
        <v>1400902.562</v>
      </c>
      <c r="BK178" s="116">
        <f>Revenue!BJ8</f>
        <v>1419672.474</v>
      </c>
      <c r="BL178" s="116">
        <f>Revenue!BK8</f>
        <v>1441122.851</v>
      </c>
      <c r="BM178" s="116">
        <f>Revenue!BL8</f>
        <v>1465179.478</v>
      </c>
      <c r="BN178" s="116">
        <f>Revenue!BM8</f>
        <v>1488062.037</v>
      </c>
      <c r="BO178" s="116">
        <f>Revenue!BN8</f>
        <v>1509147.715</v>
      </c>
      <c r="BP178" s="116">
        <f>Revenue!BO8</f>
        <v>1529904.053</v>
      </c>
      <c r="BQ178" s="116">
        <f>Revenue!BP8</f>
        <v>1550377.039</v>
      </c>
      <c r="BR178" s="116">
        <f>Revenue!BQ8</f>
        <v>1570593.034</v>
      </c>
      <c r="BS178" s="116">
        <f>Revenue!BR8</f>
        <v>1590571.194</v>
      </c>
      <c r="BT178" s="116">
        <f>Revenue!BS8</f>
        <v>1610327.838</v>
      </c>
      <c r="BU178" s="116">
        <f>Revenue!BT8</f>
        <v>1629877.987</v>
      </c>
      <c r="BV178" s="116">
        <f>Revenue!BU8</f>
        <v>1649235.922</v>
      </c>
      <c r="BW178" s="116">
        <f>Revenue!BV8</f>
        <v>1668415.386</v>
      </c>
      <c r="BX178" s="116">
        <f>Revenue!BW8</f>
        <v>1687429.669</v>
      </c>
      <c r="BY178" s="116">
        <f>Revenue!BX8</f>
        <v>1701265.07</v>
      </c>
      <c r="BZ178" s="116">
        <f>Revenue!BY8</f>
        <v>1712809.028</v>
      </c>
      <c r="CA178" s="116">
        <f>Revenue!BZ8</f>
        <v>1724389.739</v>
      </c>
      <c r="CB178" s="116">
        <f>Revenue!CA8</f>
        <v>1736419.269</v>
      </c>
      <c r="CC178" s="116">
        <f>Revenue!CB8</f>
        <v>1748552.268</v>
      </c>
      <c r="CD178" s="116">
        <f>Revenue!CC8</f>
        <v>1760673.347</v>
      </c>
      <c r="CE178" s="116">
        <f>Revenue!CD8</f>
        <v>1772747.379</v>
      </c>
      <c r="CF178" s="116">
        <f>Revenue!CE8</f>
        <v>1784767.117</v>
      </c>
      <c r="CG178" s="116">
        <f>Revenue!CF8</f>
        <v>1796734.866</v>
      </c>
      <c r="CH178" s="116">
        <f>Revenue!CG8</f>
        <v>1808656.08</v>
      </c>
      <c r="CI178" s="116">
        <f>Revenue!CH8</f>
        <v>1820537.127</v>
      </c>
    </row>
    <row r="179" ht="15.75" customHeight="1">
      <c r="A179" s="1"/>
      <c r="B179" s="1"/>
      <c r="C179" s="1" t="s">
        <v>89</v>
      </c>
      <c r="D179" s="116">
        <f>Revenue!C9</f>
        <v>195725</v>
      </c>
      <c r="E179" s="116">
        <f>Revenue!D9</f>
        <v>214613</v>
      </c>
      <c r="F179" s="116">
        <f>Revenue!E9</f>
        <v>197392</v>
      </c>
      <c r="G179" s="116">
        <f>Revenue!F9</f>
        <v>258277</v>
      </c>
      <c r="H179" s="116">
        <f>Revenue!G9</f>
        <v>139422</v>
      </c>
      <c r="I179" s="116">
        <f>Revenue!H9</f>
        <v>247130</v>
      </c>
      <c r="J179" s="116">
        <f>Revenue!I9</f>
        <v>139486</v>
      </c>
      <c r="K179" s="116">
        <f>Revenue!J9</f>
        <v>196567</v>
      </c>
      <c r="L179" s="116">
        <f>Revenue!K9</f>
        <v>153247</v>
      </c>
      <c r="M179" s="116">
        <f>Revenue!L9</f>
        <v>181294</v>
      </c>
      <c r="N179" s="116">
        <f>Revenue!M9</f>
        <v>169975</v>
      </c>
      <c r="O179" s="116">
        <f>Revenue!N9</f>
        <v>190504</v>
      </c>
      <c r="P179" s="116">
        <f>Revenue!O9</f>
        <v>266809</v>
      </c>
      <c r="Q179" s="116">
        <f>Revenue!P9</f>
        <v>171318</v>
      </c>
      <c r="R179" s="116">
        <f>Revenue!Q9</f>
        <v>241762</v>
      </c>
      <c r="S179" s="116">
        <f>Revenue!R9</f>
        <v>255611</v>
      </c>
      <c r="T179" s="116">
        <f>Revenue!S9</f>
        <v>205241</v>
      </c>
      <c r="U179" s="116">
        <f>Revenue!T9</f>
        <v>271510</v>
      </c>
      <c r="V179" s="116">
        <f>Revenue!U9</f>
        <v>256363</v>
      </c>
      <c r="W179" s="116">
        <f>Revenue!V9</f>
        <v>232452</v>
      </c>
      <c r="X179" s="116">
        <f>Revenue!W9</f>
        <v>156362</v>
      </c>
      <c r="Y179" s="116">
        <f>Revenue!X9</f>
        <v>208832</v>
      </c>
      <c r="Z179" s="116">
        <f>Revenue!Y9</f>
        <v>145395</v>
      </c>
      <c r="AA179" s="116">
        <f>Revenue!Z9</f>
        <v>163491.3524</v>
      </c>
      <c r="AB179" s="116">
        <f>Revenue!AA9</f>
        <v>183044.7388</v>
      </c>
      <c r="AC179" s="116">
        <f>Revenue!AB9</f>
        <v>200459.0335</v>
      </c>
      <c r="AD179" s="116">
        <f>Revenue!AC9</f>
        <v>213223.6562</v>
      </c>
      <c r="AE179" s="116">
        <f>Revenue!AD9</f>
        <v>222673.5289</v>
      </c>
      <c r="AF179" s="116">
        <f>Revenue!AE9</f>
        <v>230681.7352</v>
      </c>
      <c r="AG179" s="116">
        <f>Revenue!AF9</f>
        <v>236383.8968</v>
      </c>
      <c r="AH179" s="116">
        <f>Revenue!AG9</f>
        <v>240530.91</v>
      </c>
      <c r="AI179" s="116">
        <f>Revenue!AH9</f>
        <v>242301.9064</v>
      </c>
      <c r="AJ179" s="116">
        <f>Revenue!AI9</f>
        <v>241385.1234</v>
      </c>
      <c r="AK179" s="116">
        <f>Revenue!AJ9</f>
        <v>244331.6618</v>
      </c>
      <c r="AL179" s="116">
        <f>Revenue!AK9</f>
        <v>246786.6721</v>
      </c>
      <c r="AM179" s="116">
        <f>Revenue!AL9</f>
        <v>249026.6499</v>
      </c>
      <c r="AN179" s="116">
        <f>Revenue!AM9</f>
        <v>256165.6355</v>
      </c>
      <c r="AO179" s="116">
        <f>Revenue!AN9</f>
        <v>250965.6349</v>
      </c>
      <c r="AP179" s="116">
        <f>Revenue!AO9</f>
        <v>246100.6974</v>
      </c>
      <c r="AQ179" s="116">
        <f>Revenue!AP9</f>
        <v>242961.5661</v>
      </c>
      <c r="AR179" s="116">
        <f>Revenue!AQ9</f>
        <v>241063.1936</v>
      </c>
      <c r="AS179" s="116">
        <f>Revenue!AR9</f>
        <v>240318.7559</v>
      </c>
      <c r="AT179" s="116">
        <f>Revenue!AS9</f>
        <v>240144.3862</v>
      </c>
      <c r="AU179" s="116">
        <f>Revenue!AT9</f>
        <v>240381.0082</v>
      </c>
      <c r="AV179" s="116">
        <f>Revenue!AU9</f>
        <v>240914.4205</v>
      </c>
      <c r="AW179" s="116">
        <f>Revenue!AV9</f>
        <v>241662.6428</v>
      </c>
      <c r="AX179" s="116">
        <f>Revenue!AW9</f>
        <v>242566.8292</v>
      </c>
      <c r="AY179" s="116">
        <f>Revenue!AX9</f>
        <v>243584.7447</v>
      </c>
      <c r="AZ179" s="116">
        <f>Revenue!AY9</f>
        <v>248268.4075</v>
      </c>
      <c r="BA179" s="116">
        <f>Revenue!AZ9</f>
        <v>252237.2445</v>
      </c>
      <c r="BB179" s="116">
        <f>Revenue!BA9</f>
        <v>255538.7403</v>
      </c>
      <c r="BC179" s="116">
        <f>Revenue!BB9</f>
        <v>258348.16</v>
      </c>
      <c r="BD179" s="116">
        <f>Revenue!BC9</f>
        <v>260795.2157</v>
      </c>
      <c r="BE179" s="116">
        <f>Revenue!BD9</f>
        <v>262975.9103</v>
      </c>
      <c r="BF179" s="116">
        <f>Revenue!BE9</f>
        <v>264961.3019</v>
      </c>
      <c r="BG179" s="116">
        <f>Revenue!BF9</f>
        <v>266803.9899</v>
      </c>
      <c r="BH179" s="116">
        <f>Revenue!BG9</f>
        <v>268542.9142</v>
      </c>
      <c r="BI179" s="116">
        <f>Revenue!BH9</f>
        <v>270206.9072</v>
      </c>
      <c r="BJ179" s="116">
        <f>Revenue!BI9</f>
        <v>271817.3215</v>
      </c>
      <c r="BK179" s="116">
        <f>Revenue!BJ9</f>
        <v>273389.9749</v>
      </c>
      <c r="BL179" s="116">
        <f>Revenue!BK9</f>
        <v>277845.5494</v>
      </c>
      <c r="BM179" s="116">
        <f>Revenue!BL9</f>
        <v>281710.394</v>
      </c>
      <c r="BN179" s="116">
        <f>Revenue!BM9</f>
        <v>284656.6556</v>
      </c>
      <c r="BO179" s="116">
        <f>Revenue!BN9</f>
        <v>287637.3694</v>
      </c>
      <c r="BP179" s="116">
        <f>Revenue!BO9</f>
        <v>290646.5361</v>
      </c>
      <c r="BQ179" s="116">
        <f>Revenue!BP9</f>
        <v>293679.7702</v>
      </c>
      <c r="BR179" s="116">
        <f>Revenue!BQ9</f>
        <v>296733.8826</v>
      </c>
      <c r="BS179" s="116">
        <f>Revenue!BR9</f>
        <v>299806.5706</v>
      </c>
      <c r="BT179" s="116">
        <f>Revenue!BS9</f>
        <v>302896.1889</v>
      </c>
      <c r="BU179" s="116">
        <f>Revenue!BT9</f>
        <v>306001.5806</v>
      </c>
      <c r="BV179" s="116">
        <f>Revenue!BU9</f>
        <v>309121.9515</v>
      </c>
      <c r="BW179" s="116">
        <f>Revenue!BV9</f>
        <v>312256.7776</v>
      </c>
      <c r="BX179" s="116">
        <f>Revenue!BW9</f>
        <v>315560.6213</v>
      </c>
      <c r="BY179" s="116">
        <f>Revenue!BX9</f>
        <v>315249.591</v>
      </c>
      <c r="BZ179" s="116">
        <f>Revenue!BY9</f>
        <v>314993.7907</v>
      </c>
      <c r="CA179" s="116">
        <f>Revenue!BZ9</f>
        <v>315519.1105</v>
      </c>
      <c r="CB179" s="116">
        <f>Revenue!CA9</f>
        <v>316625.3067</v>
      </c>
      <c r="CC179" s="116">
        <f>Revenue!CB9</f>
        <v>318164.1851</v>
      </c>
      <c r="CD179" s="116">
        <f>Revenue!CC9</f>
        <v>320026.0694</v>
      </c>
      <c r="CE179" s="116">
        <f>Revenue!CD9</f>
        <v>322129.7871</v>
      </c>
      <c r="CF179" s="116">
        <f>Revenue!CE9</f>
        <v>324415.2595</v>
      </c>
      <c r="CG179" s="116">
        <f>Revenue!CF9</f>
        <v>326838.0183</v>
      </c>
      <c r="CH179" s="116">
        <f>Revenue!CG9</f>
        <v>329365.1476</v>
      </c>
      <c r="CI179" s="116">
        <f>Revenue!CH9</f>
        <v>331972.281</v>
      </c>
    </row>
    <row r="180" ht="15.75" customHeight="1">
      <c r="A180" s="1"/>
      <c r="B180" s="1"/>
      <c r="C180" s="1" t="s">
        <v>94</v>
      </c>
      <c r="D180" s="116">
        <f>Revenue!C10</f>
        <v>32145</v>
      </c>
      <c r="E180" s="116">
        <f>Revenue!D10</f>
        <v>20023</v>
      </c>
      <c r="F180" s="116">
        <f>Revenue!E10</f>
        <v>38675</v>
      </c>
      <c r="G180" s="116">
        <f>Revenue!F10</f>
        <v>38382</v>
      </c>
      <c r="H180" s="116">
        <f>Revenue!G10</f>
        <v>25077</v>
      </c>
      <c r="I180" s="116">
        <f>Revenue!H10</f>
        <v>31269</v>
      </c>
      <c r="J180" s="116">
        <f>Revenue!I10</f>
        <v>26693</v>
      </c>
      <c r="K180" s="116">
        <f>Revenue!J10</f>
        <v>35918</v>
      </c>
      <c r="L180" s="116">
        <f>Revenue!K10</f>
        <v>38988</v>
      </c>
      <c r="M180" s="116">
        <f>Revenue!L10</f>
        <v>26246</v>
      </c>
      <c r="N180" s="116">
        <f>Revenue!M10</f>
        <v>25203</v>
      </c>
      <c r="O180" s="116">
        <f>Revenue!N10</f>
        <v>174623</v>
      </c>
      <c r="P180" s="116">
        <f>Revenue!O10</f>
        <v>183152</v>
      </c>
      <c r="Q180" s="116">
        <f>Revenue!P10</f>
        <v>164354</v>
      </c>
      <c r="R180" s="116">
        <f>Revenue!Q10</f>
        <v>220307</v>
      </c>
      <c r="S180" s="116">
        <f>Revenue!R10</f>
        <v>239857</v>
      </c>
      <c r="T180" s="116">
        <f>Revenue!S10</f>
        <v>228761</v>
      </c>
      <c r="U180" s="116">
        <f>Revenue!T10</f>
        <v>182009</v>
      </c>
      <c r="V180" s="116">
        <f>Revenue!U10</f>
        <v>186834</v>
      </c>
      <c r="W180" s="116">
        <f>Revenue!V10</f>
        <v>265471</v>
      </c>
      <c r="X180" s="116">
        <f>Revenue!W10</f>
        <v>256373</v>
      </c>
      <c r="Y180" s="116">
        <f>Revenue!X10</f>
        <v>229020</v>
      </c>
      <c r="Z180" s="116">
        <f>Revenue!Y10</f>
        <v>222586</v>
      </c>
      <c r="AA180" s="116">
        <f>Revenue!Z10</f>
        <v>237288.2603</v>
      </c>
      <c r="AB180" s="116">
        <f>Revenue!AA10</f>
        <v>254182.8216</v>
      </c>
      <c r="AC180" s="116">
        <f>Revenue!AB10</f>
        <v>269240.6669</v>
      </c>
      <c r="AD180" s="116">
        <f>Revenue!AC10</f>
        <v>282267.6617</v>
      </c>
      <c r="AE180" s="116">
        <f>Revenue!AD10</f>
        <v>293903.0389</v>
      </c>
      <c r="AF180" s="116">
        <f>Revenue!AE10</f>
        <v>300046.4589</v>
      </c>
      <c r="AG180" s="116">
        <f>Revenue!AF10</f>
        <v>305551.8348</v>
      </c>
      <c r="AH180" s="116">
        <f>Revenue!AG10</f>
        <v>309000.5918</v>
      </c>
      <c r="AI180" s="116">
        <f>Revenue!AH10</f>
        <v>311983.1866</v>
      </c>
      <c r="AJ180" s="116">
        <f>Revenue!AI10</f>
        <v>315908.0636</v>
      </c>
      <c r="AK180" s="116">
        <f>Revenue!AJ10</f>
        <v>320515.9767</v>
      </c>
      <c r="AL180" s="116">
        <f>Revenue!AK10</f>
        <v>324541.4248</v>
      </c>
      <c r="AM180" s="116">
        <f>Revenue!AL10</f>
        <v>328217.4857</v>
      </c>
      <c r="AN180" s="116">
        <f>Revenue!AM10</f>
        <v>330505.8443</v>
      </c>
      <c r="AO180" s="116">
        <f>Revenue!AN10</f>
        <v>333665.665</v>
      </c>
      <c r="AP180" s="116">
        <f>Revenue!AO10</f>
        <v>337718.8864</v>
      </c>
      <c r="AQ180" s="116">
        <f>Revenue!AP10</f>
        <v>341317.8945</v>
      </c>
      <c r="AR180" s="116">
        <f>Revenue!AQ10</f>
        <v>344578.968</v>
      </c>
      <c r="AS180" s="116">
        <f>Revenue!AR10</f>
        <v>347856.2766</v>
      </c>
      <c r="AT180" s="116">
        <f>Revenue!AS10</f>
        <v>350881.1381</v>
      </c>
      <c r="AU180" s="116">
        <f>Revenue!AT10</f>
        <v>353718.8269</v>
      </c>
      <c r="AV180" s="116">
        <f>Revenue!AU10</f>
        <v>356418.1154</v>
      </c>
      <c r="AW180" s="116">
        <f>Revenue!AV10</f>
        <v>359015.4489</v>
      </c>
      <c r="AX180" s="116">
        <f>Revenue!AW10</f>
        <v>361538.0646</v>
      </c>
      <c r="AY180" s="116">
        <f>Revenue!AX10</f>
        <v>364006.3214</v>
      </c>
      <c r="AZ180" s="116">
        <f>Revenue!AY10</f>
        <v>367273.6368</v>
      </c>
      <c r="BA180" s="116">
        <f>Revenue!AZ10</f>
        <v>370446.9878</v>
      </c>
      <c r="BB180" s="116">
        <f>Revenue!BA10</f>
        <v>373408.3506</v>
      </c>
      <c r="BC180" s="116">
        <f>Revenue!BB10</f>
        <v>376212.8319</v>
      </c>
      <c r="BD180" s="116">
        <f>Revenue!BC10</f>
        <v>378901.6088</v>
      </c>
      <c r="BE180" s="116">
        <f>Revenue!BD10</f>
        <v>381505.4531</v>
      </c>
      <c r="BF180" s="116">
        <f>Revenue!BE10</f>
        <v>384047.3641</v>
      </c>
      <c r="BG180" s="116">
        <f>Revenue!BF10</f>
        <v>386544.5348</v>
      </c>
      <c r="BH180" s="116">
        <f>Revenue!BG10</f>
        <v>389009.8214</v>
      </c>
      <c r="BI180" s="116">
        <f>Revenue!BH10</f>
        <v>391452.8405</v>
      </c>
      <c r="BJ180" s="116">
        <f>Revenue!BI10</f>
        <v>393880.7887</v>
      </c>
      <c r="BK180" s="116">
        <f>Revenue!BJ10</f>
        <v>396299.0552</v>
      </c>
      <c r="BL180" s="116">
        <f>Revenue!BK10</f>
        <v>400181.0886</v>
      </c>
      <c r="BM180" s="116">
        <f>Revenue!BL10</f>
        <v>403970.2448</v>
      </c>
      <c r="BN180" s="116">
        <f>Revenue!BM10</f>
        <v>407045.4366</v>
      </c>
      <c r="BO180" s="116">
        <f>Revenue!BN10</f>
        <v>410097.6849</v>
      </c>
      <c r="BP180" s="116">
        <f>Revenue!BO10</f>
        <v>413135.151</v>
      </c>
      <c r="BQ180" s="116">
        <f>Revenue!BP10</f>
        <v>416163.9715</v>
      </c>
      <c r="BR180" s="116">
        <f>Revenue!BQ10</f>
        <v>419188.7715</v>
      </c>
      <c r="BS180" s="116">
        <f>Revenue!BR10</f>
        <v>422213.048</v>
      </c>
      <c r="BT180" s="116">
        <f>Revenue!BS10</f>
        <v>425239.4569</v>
      </c>
      <c r="BU180" s="116">
        <f>Revenue!BT10</f>
        <v>428270.0262</v>
      </c>
      <c r="BV180" s="116">
        <f>Revenue!BU10</f>
        <v>431306.3164</v>
      </c>
      <c r="BW180" s="116">
        <f>Revenue!BV10</f>
        <v>434349.5402</v>
      </c>
      <c r="BX180" s="116">
        <f>Revenue!BW10</f>
        <v>437511.2831</v>
      </c>
      <c r="BY180" s="116">
        <f>Revenue!BX10</f>
        <v>437014.607</v>
      </c>
      <c r="BZ180" s="116">
        <f>Revenue!BY10</f>
        <v>436805.9551</v>
      </c>
      <c r="CA180" s="116">
        <f>Revenue!BZ10</f>
        <v>437341.4376</v>
      </c>
      <c r="CB180" s="116">
        <f>Revenue!CA10</f>
        <v>438435.0543</v>
      </c>
      <c r="CC180" s="116">
        <f>Revenue!CB10</f>
        <v>439947.854</v>
      </c>
      <c r="CD180" s="116">
        <f>Revenue!CC10</f>
        <v>441776.0326</v>
      </c>
      <c r="CE180" s="116">
        <f>Revenue!CD10</f>
        <v>443842.0407</v>
      </c>
      <c r="CF180" s="116">
        <f>Revenue!CE10</f>
        <v>446087.9425</v>
      </c>
      <c r="CG180" s="116">
        <f>Revenue!CF10</f>
        <v>448470.4537</v>
      </c>
      <c r="CH180" s="116">
        <f>Revenue!CG10</f>
        <v>450957.2355</v>
      </c>
      <c r="CI180" s="116">
        <f>Revenue!CH10</f>
        <v>453524.1261</v>
      </c>
    </row>
    <row r="181" ht="15.75" customHeight="1">
      <c r="A181" s="1"/>
      <c r="B181" s="1"/>
      <c r="C181" s="1" t="s">
        <v>96</v>
      </c>
      <c r="D181" s="116">
        <f>Revenue!C11</f>
        <v>39950</v>
      </c>
      <c r="E181" s="116">
        <f>Revenue!D11</f>
        <v>38867</v>
      </c>
      <c r="F181" s="116">
        <f>Revenue!E11</f>
        <v>36759</v>
      </c>
      <c r="G181" s="116">
        <f>Revenue!F11</f>
        <v>25125</v>
      </c>
      <c r="H181" s="116">
        <f>Revenue!G11</f>
        <v>36781</v>
      </c>
      <c r="I181" s="116">
        <f>Revenue!H11</f>
        <v>37960</v>
      </c>
      <c r="J181" s="116">
        <f>Revenue!I11</f>
        <v>26320</v>
      </c>
      <c r="K181" s="116">
        <f>Revenue!J11</f>
        <v>26527</v>
      </c>
      <c r="L181" s="116">
        <f>Revenue!K11</f>
        <v>20651</v>
      </c>
      <c r="M181" s="116">
        <f>Revenue!L11</f>
        <v>39016</v>
      </c>
      <c r="N181" s="116">
        <f>Revenue!M11</f>
        <v>30718</v>
      </c>
      <c r="O181" s="116">
        <f>Revenue!N11</f>
        <v>20546</v>
      </c>
      <c r="P181" s="116">
        <f>Revenue!O11</f>
        <v>35731</v>
      </c>
      <c r="Q181" s="116">
        <f>Revenue!P11</f>
        <v>22841</v>
      </c>
      <c r="R181" s="116">
        <f>Revenue!Q11</f>
        <v>24132</v>
      </c>
      <c r="S181" s="116">
        <f>Revenue!R11</f>
        <v>24634</v>
      </c>
      <c r="T181" s="116">
        <f>Revenue!S11</f>
        <v>24667</v>
      </c>
      <c r="U181" s="116">
        <f>Revenue!T11</f>
        <v>35176</v>
      </c>
      <c r="V181" s="116">
        <f>Revenue!U11</f>
        <v>37262</v>
      </c>
      <c r="W181" s="116">
        <f>Revenue!V11</f>
        <v>25313</v>
      </c>
      <c r="X181" s="116">
        <f>Revenue!W11</f>
        <v>36298</v>
      </c>
      <c r="Y181" s="116">
        <f>Revenue!X11</f>
        <v>23322</v>
      </c>
      <c r="Z181" s="116">
        <f>Revenue!Y11</f>
        <v>35512</v>
      </c>
      <c r="AA181" s="116">
        <f>Revenue!Z11</f>
        <v>50000</v>
      </c>
      <c r="AB181" s="116">
        <f>Revenue!AA11</f>
        <v>50000</v>
      </c>
      <c r="AC181" s="116">
        <f>Revenue!AB11</f>
        <v>50000</v>
      </c>
      <c r="AD181" s="116">
        <f>Revenue!AC11</f>
        <v>50000</v>
      </c>
      <c r="AE181" s="116">
        <f>Revenue!AD11</f>
        <v>50000</v>
      </c>
      <c r="AF181" s="116">
        <f>Revenue!AE11</f>
        <v>50000</v>
      </c>
      <c r="AG181" s="116">
        <f>Revenue!AF11</f>
        <v>50000</v>
      </c>
      <c r="AH181" s="116">
        <f>Revenue!AG11</f>
        <v>50000</v>
      </c>
      <c r="AI181" s="116">
        <f>Revenue!AH11</f>
        <v>50000</v>
      </c>
      <c r="AJ181" s="116">
        <f>Revenue!AI11</f>
        <v>50000</v>
      </c>
      <c r="AK181" s="116">
        <f>Revenue!AJ11</f>
        <v>50000</v>
      </c>
      <c r="AL181" s="116">
        <f>Revenue!AK11</f>
        <v>50000</v>
      </c>
      <c r="AM181" s="116">
        <f>Revenue!AL11</f>
        <v>50000</v>
      </c>
      <c r="AN181" s="116">
        <f>Revenue!AM11</f>
        <v>75000</v>
      </c>
      <c r="AO181" s="116">
        <f>Revenue!AN11</f>
        <v>75000</v>
      </c>
      <c r="AP181" s="116">
        <f>Revenue!AO11</f>
        <v>75000</v>
      </c>
      <c r="AQ181" s="116">
        <f>Revenue!AP11</f>
        <v>75000</v>
      </c>
      <c r="AR181" s="116">
        <f>Revenue!AQ11</f>
        <v>75000</v>
      </c>
      <c r="AS181" s="116">
        <f>Revenue!AR11</f>
        <v>75000</v>
      </c>
      <c r="AT181" s="116">
        <f>Revenue!AS11</f>
        <v>75000</v>
      </c>
      <c r="AU181" s="116">
        <f>Revenue!AT11</f>
        <v>75000</v>
      </c>
      <c r="AV181" s="116">
        <f>Revenue!AU11</f>
        <v>75000</v>
      </c>
      <c r="AW181" s="116">
        <f>Revenue!AV11</f>
        <v>75000</v>
      </c>
      <c r="AX181" s="116">
        <f>Revenue!AW11</f>
        <v>75000</v>
      </c>
      <c r="AY181" s="116">
        <f>Revenue!AX11</f>
        <v>75000</v>
      </c>
      <c r="AZ181" s="116">
        <f>Revenue!AY11</f>
        <v>100000</v>
      </c>
      <c r="BA181" s="116">
        <f>Revenue!AZ11</f>
        <v>100000</v>
      </c>
      <c r="BB181" s="116">
        <f>Revenue!BA11</f>
        <v>100000</v>
      </c>
      <c r="BC181" s="116">
        <f>Revenue!BB11</f>
        <v>100000</v>
      </c>
      <c r="BD181" s="116">
        <f>Revenue!BC11</f>
        <v>100000</v>
      </c>
      <c r="BE181" s="116">
        <f>Revenue!BD11</f>
        <v>100000</v>
      </c>
      <c r="BF181" s="116">
        <f>Revenue!BE11</f>
        <v>100000</v>
      </c>
      <c r="BG181" s="116">
        <f>Revenue!BF11</f>
        <v>100000</v>
      </c>
      <c r="BH181" s="116">
        <f>Revenue!BG11</f>
        <v>100000</v>
      </c>
      <c r="BI181" s="116">
        <f>Revenue!BH11</f>
        <v>100000</v>
      </c>
      <c r="BJ181" s="116">
        <f>Revenue!BI11</f>
        <v>100000</v>
      </c>
      <c r="BK181" s="116">
        <f>Revenue!BJ11</f>
        <v>100000</v>
      </c>
      <c r="BL181" s="116">
        <f>Revenue!BK11</f>
        <v>100000</v>
      </c>
      <c r="BM181" s="116">
        <f>Revenue!BL11</f>
        <v>100000</v>
      </c>
      <c r="BN181" s="116">
        <f>Revenue!BM11</f>
        <v>100000</v>
      </c>
      <c r="BO181" s="116">
        <f>Revenue!BN11</f>
        <v>100000</v>
      </c>
      <c r="BP181" s="116">
        <f>Revenue!BO11</f>
        <v>100000</v>
      </c>
      <c r="BQ181" s="116">
        <f>Revenue!BP11</f>
        <v>100000</v>
      </c>
      <c r="BR181" s="116">
        <f>Revenue!BQ11</f>
        <v>100000</v>
      </c>
      <c r="BS181" s="116">
        <f>Revenue!BR11</f>
        <v>100000</v>
      </c>
      <c r="BT181" s="116">
        <f>Revenue!BS11</f>
        <v>100000</v>
      </c>
      <c r="BU181" s="116">
        <f>Revenue!BT11</f>
        <v>100000</v>
      </c>
      <c r="BV181" s="116">
        <f>Revenue!BU11</f>
        <v>100000</v>
      </c>
      <c r="BW181" s="116">
        <f>Revenue!BV11</f>
        <v>100000</v>
      </c>
      <c r="BX181" s="116">
        <f>Revenue!BW11</f>
        <v>100000</v>
      </c>
      <c r="BY181" s="116">
        <f>Revenue!BX11</f>
        <v>100000</v>
      </c>
      <c r="BZ181" s="116">
        <f>Revenue!BY11</f>
        <v>100000</v>
      </c>
      <c r="CA181" s="116">
        <f>Revenue!BZ11</f>
        <v>100000</v>
      </c>
      <c r="CB181" s="116">
        <f>Revenue!CA11</f>
        <v>100000</v>
      </c>
      <c r="CC181" s="116">
        <f>Revenue!CB11</f>
        <v>100000</v>
      </c>
      <c r="CD181" s="116">
        <f>Revenue!CC11</f>
        <v>100000</v>
      </c>
      <c r="CE181" s="116">
        <f>Revenue!CD11</f>
        <v>100000</v>
      </c>
      <c r="CF181" s="116">
        <f>Revenue!CE11</f>
        <v>100000</v>
      </c>
      <c r="CG181" s="116">
        <f>Revenue!CF11</f>
        <v>100000</v>
      </c>
      <c r="CH181" s="116">
        <f>Revenue!CG11</f>
        <v>100000</v>
      </c>
      <c r="CI181" s="116">
        <f>Revenue!CH11</f>
        <v>100000</v>
      </c>
    </row>
    <row r="182" ht="15.75" customHeight="1">
      <c r="A182" s="1"/>
      <c r="B182" s="1"/>
      <c r="C182" s="1" t="s">
        <v>72</v>
      </c>
      <c r="D182" s="116">
        <f>Revenue!C12</f>
        <v>-1149</v>
      </c>
      <c r="E182" s="116">
        <f>Revenue!D12</f>
        <v>-2038</v>
      </c>
      <c r="F182" s="116">
        <f>Revenue!E12</f>
        <v>5023</v>
      </c>
      <c r="G182" s="116">
        <f>Revenue!F12</f>
        <v>-1297</v>
      </c>
      <c r="H182" s="116">
        <f>Revenue!G12</f>
        <v>5789</v>
      </c>
      <c r="I182" s="116">
        <f>Revenue!H12</f>
        <v>-3042</v>
      </c>
      <c r="J182" s="116">
        <f>Revenue!I12</f>
        <v>2777</v>
      </c>
      <c r="K182" s="116">
        <f>Revenue!J12</f>
        <v>1676</v>
      </c>
      <c r="L182" s="116">
        <f>Revenue!K12</f>
        <v>3127</v>
      </c>
      <c r="M182" s="116">
        <f>Revenue!L12</f>
        <v>-1900</v>
      </c>
      <c r="N182" s="116">
        <f>Revenue!M12</f>
        <v>-7356</v>
      </c>
      <c r="O182" s="116">
        <f>Revenue!N12</f>
        <v>4009</v>
      </c>
      <c r="P182" s="116">
        <f>Revenue!O12</f>
        <v>-6964</v>
      </c>
      <c r="Q182" s="116">
        <f>Revenue!P12</f>
        <v>-2787</v>
      </c>
      <c r="R182" s="116">
        <f>Revenue!Q12</f>
        <v>5092</v>
      </c>
      <c r="S182" s="116">
        <f>Revenue!R12</f>
        <v>6226</v>
      </c>
      <c r="T182" s="116">
        <f>Revenue!S12</f>
        <v>889</v>
      </c>
      <c r="U182" s="116">
        <f>Revenue!T12</f>
        <v>-374</v>
      </c>
      <c r="V182" s="116">
        <f>Revenue!U12</f>
        <v>8839</v>
      </c>
      <c r="W182" s="116">
        <f>Revenue!V12</f>
        <v>-2947</v>
      </c>
      <c r="X182" s="116">
        <f>Revenue!W12</f>
        <v>-8179</v>
      </c>
      <c r="Y182" s="116">
        <f>Revenue!X12</f>
        <v>-7798</v>
      </c>
      <c r="Z182" s="116">
        <f>Revenue!Y12</f>
        <v>-8579</v>
      </c>
      <c r="AA182" s="116">
        <f>Revenue!Z12</f>
        <v>-8518.22</v>
      </c>
      <c r="AB182" s="116">
        <f>Revenue!AA12</f>
        <v>-8475.2688</v>
      </c>
      <c r="AC182" s="116">
        <f>Revenue!AB12</f>
        <v>-8430.599552</v>
      </c>
      <c r="AD182" s="116">
        <f>Revenue!AC12</f>
        <v>-8384.143534</v>
      </c>
      <c r="AE182" s="116">
        <f>Revenue!AD12</f>
        <v>-8335.829275</v>
      </c>
      <c r="AF182" s="116">
        <f>Revenue!AE12</f>
        <v>-8285.582446</v>
      </c>
      <c r="AG182" s="116">
        <f>Revenue!AF12</f>
        <v>1358.674256</v>
      </c>
      <c r="AH182" s="116">
        <f>Revenue!AG12</f>
        <v>1413.021226</v>
      </c>
      <c r="AI182" s="116">
        <f>Revenue!AH12</f>
        <v>1469.542075</v>
      </c>
      <c r="AJ182" s="116">
        <f>Revenue!AI12</f>
        <v>1528.323758</v>
      </c>
      <c r="AK182" s="116">
        <f>Revenue!AJ12</f>
        <v>1589.456708</v>
      </c>
      <c r="AL182" s="116">
        <f>Revenue!AK12</f>
        <v>1653.034977</v>
      </c>
      <c r="AM182" s="116">
        <f>Revenue!AL12</f>
        <v>1719.156376</v>
      </c>
      <c r="AN182" s="116">
        <f>Revenue!AM12</f>
        <v>1787.922631</v>
      </c>
      <c r="AO182" s="116">
        <f>Revenue!AN12</f>
        <v>1859.439536</v>
      </c>
      <c r="AP182" s="116">
        <f>Revenue!AO12</f>
        <v>1933.817117</v>
      </c>
      <c r="AQ182" s="116">
        <f>Revenue!AP12</f>
        <v>2011.169802</v>
      </c>
      <c r="AR182" s="116">
        <f>Revenue!AQ12</f>
        <v>2091.616594</v>
      </c>
      <c r="AS182" s="116">
        <f>Revenue!AR12</f>
        <v>2175.281258</v>
      </c>
      <c r="AT182" s="116">
        <f>Revenue!AS12</f>
        <v>2262.292508</v>
      </c>
      <c r="AU182" s="116">
        <f>Revenue!AT12</f>
        <v>2352.784209</v>
      </c>
      <c r="AV182" s="116">
        <f>Revenue!AU12</f>
        <v>2446.895577</v>
      </c>
      <c r="AW182" s="116">
        <f>Revenue!AV12</f>
        <v>2544.7714</v>
      </c>
      <c r="AX182" s="116">
        <f>Revenue!AW12</f>
        <v>2646.562256</v>
      </c>
      <c r="AY182" s="116">
        <f>Revenue!AX12</f>
        <v>2752.424746</v>
      </c>
      <c r="AZ182" s="116">
        <f>Revenue!AY12</f>
        <v>2862.521736</v>
      </c>
      <c r="BA182" s="116">
        <f>Revenue!AZ12</f>
        <v>2977.022605</v>
      </c>
      <c r="BB182" s="116">
        <f>Revenue!BA12</f>
        <v>3096.10351</v>
      </c>
      <c r="BC182" s="116">
        <f>Revenue!BB12</f>
        <v>3219.94765</v>
      </c>
      <c r="BD182" s="116">
        <f>Revenue!BC12</f>
        <v>3348.745556</v>
      </c>
      <c r="BE182" s="116">
        <f>Revenue!BD12</f>
        <v>3482.695378</v>
      </c>
      <c r="BF182" s="116">
        <f>Revenue!BE12</f>
        <v>3622.003193</v>
      </c>
      <c r="BG182" s="116">
        <f>Revenue!BF12</f>
        <v>3766.883321</v>
      </c>
      <c r="BH182" s="116">
        <f>Revenue!BG12</f>
        <v>3917.558654</v>
      </c>
      <c r="BI182" s="116">
        <f>Revenue!BH12</f>
        <v>4074.261</v>
      </c>
      <c r="BJ182" s="116">
        <f>Revenue!BI12</f>
        <v>4237.23144</v>
      </c>
      <c r="BK182" s="116">
        <f>Revenue!BJ12</f>
        <v>4406.720698</v>
      </c>
      <c r="BL182" s="116">
        <f>Revenue!BK12</f>
        <v>4582.989526</v>
      </c>
      <c r="BM182" s="116">
        <f>Revenue!BL12</f>
        <v>4766.309107</v>
      </c>
      <c r="BN182" s="116">
        <f>Revenue!BM12</f>
        <v>4956.961471</v>
      </c>
      <c r="BO182" s="116">
        <f>Revenue!BN12</f>
        <v>5155.23993</v>
      </c>
      <c r="BP182" s="116">
        <f>Revenue!BO12</f>
        <v>5361.449527</v>
      </c>
      <c r="BQ182" s="116">
        <f>Revenue!BP12</f>
        <v>5575.907508</v>
      </c>
      <c r="BR182" s="116">
        <f>Revenue!BQ12</f>
        <v>5798.943808</v>
      </c>
      <c r="BS182" s="116">
        <f>Revenue!BR12</f>
        <v>6030.901561</v>
      </c>
      <c r="BT182" s="116">
        <f>Revenue!BS12</f>
        <v>6272.137623</v>
      </c>
      <c r="BU182" s="116">
        <f>Revenue!BT12</f>
        <v>6523.023128</v>
      </c>
      <c r="BV182" s="116">
        <f>Revenue!BU12</f>
        <v>6783.944053</v>
      </c>
      <c r="BW182" s="116">
        <f>Revenue!BV12</f>
        <v>7055.301815</v>
      </c>
      <c r="BX182" s="116">
        <f>Revenue!BW12</f>
        <v>7337.513888</v>
      </c>
      <c r="BY182" s="116">
        <f>Revenue!BX12</f>
        <v>7631.014444</v>
      </c>
      <c r="BZ182" s="116">
        <f>Revenue!BY12</f>
        <v>7936.255021</v>
      </c>
      <c r="CA182" s="116">
        <f>Revenue!BZ12</f>
        <v>8253.705222</v>
      </c>
      <c r="CB182" s="116">
        <f>Revenue!CA12</f>
        <v>8583.853431</v>
      </c>
      <c r="CC182" s="116">
        <f>Revenue!CB12</f>
        <v>8927.207568</v>
      </c>
      <c r="CD182" s="116">
        <f>Revenue!CC12</f>
        <v>9284.295871</v>
      </c>
      <c r="CE182" s="116">
        <f>Revenue!CD12</f>
        <v>9655.667706</v>
      </c>
      <c r="CF182" s="116">
        <f>Revenue!CE12</f>
        <v>10041.89441</v>
      </c>
      <c r="CG182" s="116">
        <f>Revenue!CF12</f>
        <v>10443.57019</v>
      </c>
      <c r="CH182" s="116">
        <f>Revenue!CG12</f>
        <v>10861.313</v>
      </c>
      <c r="CI182" s="116">
        <f>Revenue!CH12</f>
        <v>11295.76552</v>
      </c>
    </row>
    <row r="183" ht="15.75" customHeight="1">
      <c r="A183" s="1"/>
      <c r="B183" s="1"/>
      <c r="C183" s="119" t="s">
        <v>98</v>
      </c>
      <c r="D183" s="121">
        <f>Revenue!C13</f>
        <v>773152</v>
      </c>
      <c r="E183" s="121">
        <f>Revenue!D13</f>
        <v>941422</v>
      </c>
      <c r="F183" s="121">
        <f>Revenue!E13</f>
        <v>893486</v>
      </c>
      <c r="G183" s="121">
        <f>Revenue!F13</f>
        <v>1051449</v>
      </c>
      <c r="H183" s="121">
        <f>Revenue!G13</f>
        <v>895176</v>
      </c>
      <c r="I183" s="121">
        <f>Revenue!H13</f>
        <v>971666</v>
      </c>
      <c r="J183" s="121">
        <f>Revenue!I13</f>
        <v>809898</v>
      </c>
      <c r="K183" s="121">
        <f>Revenue!J13</f>
        <v>777794</v>
      </c>
      <c r="L183" s="121">
        <f>Revenue!K13</f>
        <v>839691</v>
      </c>
      <c r="M183" s="121">
        <f>Revenue!L13</f>
        <v>896666</v>
      </c>
      <c r="N183" s="121">
        <f>Revenue!M13</f>
        <v>872418</v>
      </c>
      <c r="O183" s="121">
        <f>Revenue!N13</f>
        <v>1004888</v>
      </c>
      <c r="P183" s="121">
        <f>Revenue!O13</f>
        <v>1129075</v>
      </c>
      <c r="Q183" s="121">
        <f>Revenue!P13</f>
        <v>972065</v>
      </c>
      <c r="R183" s="121">
        <f>Revenue!Q13</f>
        <v>1065202</v>
      </c>
      <c r="S183" s="121">
        <f>Revenue!R13</f>
        <v>1164976</v>
      </c>
      <c r="T183" s="121">
        <f>Revenue!S13</f>
        <v>1141215</v>
      </c>
      <c r="U183" s="121">
        <f>Revenue!T13</f>
        <v>1026384</v>
      </c>
      <c r="V183" s="121">
        <f>Revenue!U13</f>
        <v>1084442</v>
      </c>
      <c r="W183" s="121">
        <f>Revenue!V13</f>
        <v>1281940</v>
      </c>
      <c r="X183" s="121">
        <f>Revenue!W13</f>
        <v>1204294</v>
      </c>
      <c r="Y183" s="121">
        <f>Revenue!X13</f>
        <v>1076142</v>
      </c>
      <c r="Z183" s="121">
        <f>Revenue!Y13</f>
        <v>1079035</v>
      </c>
      <c r="AA183" s="121">
        <f>Revenue!Z13</f>
        <v>1415790.631</v>
      </c>
      <c r="AB183" s="121">
        <f>Revenue!AA13</f>
        <v>1667456.392</v>
      </c>
      <c r="AC183" s="121">
        <f>Revenue!AB13</f>
        <v>1916164.307</v>
      </c>
      <c r="AD183" s="121">
        <f>Revenue!AC13</f>
        <v>2143927.895</v>
      </c>
      <c r="AE183" s="121">
        <f>Revenue!AD13</f>
        <v>2362030.523</v>
      </c>
      <c r="AF183" s="121">
        <f>Revenue!AE13</f>
        <v>2578733.721</v>
      </c>
      <c r="AG183" s="121">
        <f>Revenue!AF13</f>
        <v>2796714.82</v>
      </c>
      <c r="AH183" s="121">
        <f>Revenue!AG13</f>
        <v>2993212.987</v>
      </c>
      <c r="AI183" s="121">
        <f>Revenue!AH13</f>
        <v>3185918.325</v>
      </c>
      <c r="AJ183" s="121">
        <f>Revenue!AI13</f>
        <v>3374588.725</v>
      </c>
      <c r="AK183" s="121">
        <f>Revenue!AJ13</f>
        <v>3549978.171</v>
      </c>
      <c r="AL183" s="121">
        <f>Revenue!AK13</f>
        <v>3723674.445</v>
      </c>
      <c r="AM183" s="121">
        <f>Revenue!AL13</f>
        <v>3899557.769</v>
      </c>
      <c r="AN183" s="121">
        <f>Revenue!AM13</f>
        <v>4073318.095</v>
      </c>
      <c r="AO183" s="121">
        <f>Revenue!AN13</f>
        <v>4104264.349</v>
      </c>
      <c r="AP183" s="121">
        <f>Revenue!AO13</f>
        <v>4147652.518</v>
      </c>
      <c r="AQ183" s="121">
        <f>Revenue!AP13</f>
        <v>4203892.505</v>
      </c>
      <c r="AR183" s="121">
        <f>Revenue!AQ13</f>
        <v>4263598.691</v>
      </c>
      <c r="AS183" s="121">
        <f>Revenue!AR13</f>
        <v>4325695.573</v>
      </c>
      <c r="AT183" s="121">
        <f>Revenue!AS13</f>
        <v>4387113.817</v>
      </c>
      <c r="AU183" s="121">
        <f>Revenue!AT13</f>
        <v>4461262.247</v>
      </c>
      <c r="AV183" s="121">
        <f>Revenue!AU13</f>
        <v>4521109.201</v>
      </c>
      <c r="AW183" s="121">
        <f>Revenue!AV13</f>
        <v>4580106.491</v>
      </c>
      <c r="AX183" s="121">
        <f>Revenue!AW13</f>
        <v>4638288.148</v>
      </c>
      <c r="AY183" s="121">
        <f>Revenue!AX13</f>
        <v>4695693.717</v>
      </c>
      <c r="AZ183" s="121">
        <f>Revenue!AY13</f>
        <v>4820732.602</v>
      </c>
      <c r="BA183" s="121">
        <f>Revenue!AZ13</f>
        <v>4914856.216</v>
      </c>
      <c r="BB183" s="121">
        <f>Revenue!BA13</f>
        <v>5006077.918</v>
      </c>
      <c r="BC183" s="121">
        <f>Revenue!BB13</f>
        <v>5094952.155</v>
      </c>
      <c r="BD183" s="121">
        <f>Revenue!BC13</f>
        <v>5181837.409</v>
      </c>
      <c r="BE183" s="121">
        <f>Revenue!BD13</f>
        <v>5266964.562</v>
      </c>
      <c r="BF183" s="121">
        <f>Revenue!BE13</f>
        <v>5350509.62</v>
      </c>
      <c r="BG183" s="121">
        <f>Revenue!BF13</f>
        <v>5432616.125</v>
      </c>
      <c r="BH183" s="121">
        <f>Revenue!BG13</f>
        <v>5513405.239</v>
      </c>
      <c r="BI183" s="121">
        <f>Revenue!BH13</f>
        <v>5592981.632</v>
      </c>
      <c r="BJ183" s="121">
        <f>Revenue!BI13</f>
        <v>5671437.41</v>
      </c>
      <c r="BK183" s="121">
        <f>Revenue!BJ13</f>
        <v>5748854.893</v>
      </c>
      <c r="BL183" s="121">
        <f>Revenue!BK13</f>
        <v>5860742.345</v>
      </c>
      <c r="BM183" s="121">
        <f>Revenue!BL13</f>
        <v>5947592.72</v>
      </c>
      <c r="BN183" s="121">
        <f>Revenue!BM13</f>
        <v>6026248.645</v>
      </c>
      <c r="BO183" s="121">
        <f>Revenue!BN13</f>
        <v>6103350.145</v>
      </c>
      <c r="BP183" s="121">
        <f>Revenue!BO13</f>
        <v>6180069.871</v>
      </c>
      <c r="BQ183" s="121">
        <f>Revenue!BP13</f>
        <v>6256437.323</v>
      </c>
      <c r="BR183" s="121">
        <f>Revenue!BQ13</f>
        <v>6332503.361</v>
      </c>
      <c r="BS183" s="121">
        <f>Revenue!BR13</f>
        <v>6408317.12</v>
      </c>
      <c r="BT183" s="121">
        <f>Revenue!BS13</f>
        <v>6483925.121</v>
      </c>
      <c r="BU183" s="121">
        <f>Revenue!BT13</f>
        <v>6559372.097</v>
      </c>
      <c r="BV183" s="121">
        <f>Revenue!BU13</f>
        <v>6634701.496</v>
      </c>
      <c r="BW183" s="121">
        <f>Revenue!BV13</f>
        <v>6709955.734</v>
      </c>
      <c r="BX183" s="121">
        <f>Revenue!BW13</f>
        <v>6812868.679</v>
      </c>
      <c r="BY183" s="121">
        <f>Revenue!BX13</f>
        <v>6860970.95</v>
      </c>
      <c r="BZ183" s="121">
        <f>Revenue!BY13</f>
        <v>6906949.871</v>
      </c>
      <c r="CA183" s="121">
        <f>Revenue!BZ13</f>
        <v>6955328.654</v>
      </c>
      <c r="CB183" s="121">
        <f>Revenue!CA13</f>
        <v>7005105.221</v>
      </c>
      <c r="CC183" s="121">
        <f>Revenue!CB13</f>
        <v>7055526.11</v>
      </c>
      <c r="CD183" s="121">
        <f>Revenue!CC13</f>
        <v>7106276.176</v>
      </c>
      <c r="CE183" s="121">
        <f>Revenue!CD13</f>
        <v>7157194.211</v>
      </c>
      <c r="CF183" s="121">
        <f>Revenue!CE13</f>
        <v>7208189.201</v>
      </c>
      <c r="CG183" s="121">
        <f>Revenue!CF13</f>
        <v>7259209.016</v>
      </c>
      <c r="CH183" s="121">
        <f>Revenue!CG13</f>
        <v>7310225.906</v>
      </c>
      <c r="CI183" s="121">
        <f>Revenue!CH13</f>
        <v>7361228.504</v>
      </c>
    </row>
    <row r="184" ht="15.75" customHeight="1">
      <c r="A184" s="1"/>
      <c r="B184" s="1"/>
      <c r="C184" s="1"/>
      <c r="D184" s="1"/>
      <c r="E184" s="1"/>
      <c r="F184" s="1"/>
      <c r="G184" s="1"/>
      <c r="H184" s="1"/>
      <c r="I184" s="1"/>
      <c r="J184" s="1"/>
      <c r="K184" s="1"/>
      <c r="L184" s="1"/>
      <c r="M184" s="1"/>
      <c r="N184" s="1"/>
      <c r="O184" s="1"/>
      <c r="P184" s="1"/>
      <c r="Q184" s="1"/>
      <c r="R184" s="1"/>
      <c r="S184" s="1"/>
      <c r="T184" s="117"/>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row>
    <row r="185" ht="15.75" customHeight="1">
      <c r="A185" s="1"/>
      <c r="B185" s="1"/>
      <c r="C185" s="1" t="s">
        <v>47</v>
      </c>
      <c r="D185" s="130">
        <f t="shared" ref="D185:CI185" si="145">D176/SUM(D$176:D$181)</f>
        <v>0.1875510945</v>
      </c>
      <c r="E185" s="130">
        <f t="shared" si="145"/>
        <v>0.2842229665</v>
      </c>
      <c r="F185" s="130">
        <f t="shared" si="145"/>
        <v>0.228036508</v>
      </c>
      <c r="G185" s="130">
        <f t="shared" si="145"/>
        <v>0.2369374949</v>
      </c>
      <c r="H185" s="130">
        <f t="shared" si="145"/>
        <v>0.2824462242</v>
      </c>
      <c r="I185" s="130">
        <f t="shared" si="145"/>
        <v>0.1802950217</v>
      </c>
      <c r="J185" s="130">
        <f t="shared" si="145"/>
        <v>0.2151189227</v>
      </c>
      <c r="K185" s="130">
        <f t="shared" si="145"/>
        <v>0.210426765</v>
      </c>
      <c r="L185" s="130">
        <f t="shared" si="145"/>
        <v>0.2569151912</v>
      </c>
      <c r="M185" s="130">
        <f t="shared" si="145"/>
        <v>0.2702873245</v>
      </c>
      <c r="N185" s="130">
        <f t="shared" si="145"/>
        <v>0.266801474</v>
      </c>
      <c r="O185" s="130">
        <f t="shared" si="145"/>
        <v>0.2009933269</v>
      </c>
      <c r="P185" s="130">
        <f t="shared" si="145"/>
        <v>0.1982044631</v>
      </c>
      <c r="Q185" s="130">
        <f t="shared" si="145"/>
        <v>0.2082203247</v>
      </c>
      <c r="R185" s="130">
        <f t="shared" si="145"/>
        <v>0.2170878494</v>
      </c>
      <c r="S185" s="130">
        <f t="shared" si="145"/>
        <v>0.1861574973</v>
      </c>
      <c r="T185" s="130">
        <f t="shared" si="145"/>
        <v>0.241935201</v>
      </c>
      <c r="U185" s="130">
        <f t="shared" si="145"/>
        <v>0.1912320138</v>
      </c>
      <c r="V185" s="130">
        <f t="shared" si="145"/>
        <v>0.2556417191</v>
      </c>
      <c r="W185" s="130">
        <f t="shared" si="145"/>
        <v>0.2102130382</v>
      </c>
      <c r="X185" s="130">
        <f t="shared" si="145"/>
        <v>0.1993025824</v>
      </c>
      <c r="Y185" s="130">
        <f t="shared" si="145"/>
        <v>0.1802507519</v>
      </c>
      <c r="Z185" s="130">
        <f t="shared" si="145"/>
        <v>0.2675682733</v>
      </c>
      <c r="AA185" s="130">
        <f t="shared" si="145"/>
        <v>0.2977151749</v>
      </c>
      <c r="AB185" s="130">
        <f t="shared" si="145"/>
        <v>0.3008723733</v>
      </c>
      <c r="AC185" s="130">
        <f t="shared" si="145"/>
        <v>0.302821264</v>
      </c>
      <c r="AD185" s="130">
        <f t="shared" si="145"/>
        <v>0.3048904028</v>
      </c>
      <c r="AE185" s="130">
        <f t="shared" si="145"/>
        <v>0.3076731843</v>
      </c>
      <c r="AF185" s="130">
        <f t="shared" si="145"/>
        <v>0.3134560131</v>
      </c>
      <c r="AG185" s="130">
        <f t="shared" si="145"/>
        <v>0.3179923621</v>
      </c>
      <c r="AH185" s="130">
        <f t="shared" si="145"/>
        <v>0.3224020326</v>
      </c>
      <c r="AI185" s="130">
        <f t="shared" si="145"/>
        <v>0.3263688334</v>
      </c>
      <c r="AJ185" s="130">
        <f t="shared" si="145"/>
        <v>0.3308803338</v>
      </c>
      <c r="AK185" s="130">
        <f t="shared" si="145"/>
        <v>0.3345623512</v>
      </c>
      <c r="AL185" s="130">
        <f t="shared" si="145"/>
        <v>0.3391180926</v>
      </c>
      <c r="AM185" s="130">
        <f t="shared" si="145"/>
        <v>0.3438298844</v>
      </c>
      <c r="AN185" s="130">
        <f t="shared" si="145"/>
        <v>0.3440837918</v>
      </c>
      <c r="AO185" s="130">
        <f t="shared" si="145"/>
        <v>0.3443218756</v>
      </c>
      <c r="AP185" s="130">
        <f t="shared" si="145"/>
        <v>0.3463003348</v>
      </c>
      <c r="AQ185" s="130">
        <f t="shared" si="145"/>
        <v>0.3481846233</v>
      </c>
      <c r="AR185" s="130">
        <f t="shared" si="145"/>
        <v>0.3497670455</v>
      </c>
      <c r="AS185" s="130">
        <f t="shared" si="145"/>
        <v>0.3511164195</v>
      </c>
      <c r="AT185" s="130">
        <f t="shared" si="145"/>
        <v>0.3523194995</v>
      </c>
      <c r="AU185" s="130">
        <f t="shared" si="145"/>
        <v>0.3554245227</v>
      </c>
      <c r="AV185" s="130">
        <f t="shared" si="145"/>
        <v>0.3564864792</v>
      </c>
      <c r="AW185" s="130">
        <f t="shared" si="145"/>
        <v>0.3574901776</v>
      </c>
      <c r="AX185" s="130">
        <f t="shared" si="145"/>
        <v>0.3584421493</v>
      </c>
      <c r="AY185" s="130">
        <f t="shared" si="145"/>
        <v>0.359347724</v>
      </c>
      <c r="AZ185" s="130">
        <f t="shared" si="145"/>
        <v>0.3609974872</v>
      </c>
      <c r="BA185" s="130">
        <f t="shared" si="145"/>
        <v>0.3618003612</v>
      </c>
      <c r="BB185" s="130">
        <f t="shared" si="145"/>
        <v>0.3626023902</v>
      </c>
      <c r="BC185" s="130">
        <f t="shared" si="145"/>
        <v>0.3634115246</v>
      </c>
      <c r="BD185" s="130">
        <f t="shared" si="145"/>
        <v>0.3642155266</v>
      </c>
      <c r="BE185" s="130">
        <f t="shared" si="145"/>
        <v>0.3650065099</v>
      </c>
      <c r="BF185" s="130">
        <f t="shared" si="145"/>
        <v>0.3657797472</v>
      </c>
      <c r="BG185" s="130">
        <f t="shared" si="145"/>
        <v>0.366532547</v>
      </c>
      <c r="BH185" s="130">
        <f t="shared" si="145"/>
        <v>0.3672635446</v>
      </c>
      <c r="BI185" s="130">
        <f t="shared" si="145"/>
        <v>0.3679722544</v>
      </c>
      <c r="BJ185" s="130">
        <f t="shared" si="145"/>
        <v>0.3686587752</v>
      </c>
      <c r="BK185" s="130">
        <f t="shared" si="145"/>
        <v>0.3693235899</v>
      </c>
      <c r="BL185" s="130">
        <f t="shared" si="145"/>
        <v>0.3718655439</v>
      </c>
      <c r="BM185" s="130">
        <f t="shared" si="145"/>
        <v>0.3719620562</v>
      </c>
      <c r="BN185" s="130">
        <f t="shared" si="145"/>
        <v>0.372031153</v>
      </c>
      <c r="BO185" s="130">
        <f t="shared" si="145"/>
        <v>0.3722140468</v>
      </c>
      <c r="BP185" s="130">
        <f t="shared" si="145"/>
        <v>0.3724084597</v>
      </c>
      <c r="BQ185" s="130">
        <f t="shared" si="145"/>
        <v>0.3726106512</v>
      </c>
      <c r="BR185" s="130">
        <f t="shared" si="145"/>
        <v>0.3728195323</v>
      </c>
      <c r="BS185" s="130">
        <f t="shared" si="145"/>
        <v>0.3730346709</v>
      </c>
      <c r="BT185" s="130">
        <f t="shared" si="145"/>
        <v>0.3732558361</v>
      </c>
      <c r="BU185" s="130">
        <f t="shared" si="145"/>
        <v>0.3734828729</v>
      </c>
      <c r="BV185" s="130">
        <f t="shared" si="145"/>
        <v>0.373715662</v>
      </c>
      <c r="BW185" s="130">
        <f t="shared" si="145"/>
        <v>0.3739541053</v>
      </c>
      <c r="BX185" s="130">
        <f t="shared" si="145"/>
        <v>0.3763664225</v>
      </c>
      <c r="BY185" s="130">
        <f t="shared" si="145"/>
        <v>0.3768111882</v>
      </c>
      <c r="BZ185" s="130">
        <f t="shared" si="145"/>
        <v>0.3773305499</v>
      </c>
      <c r="CA185" s="130">
        <f t="shared" si="145"/>
        <v>0.3777800847</v>
      </c>
      <c r="CB185" s="130">
        <f t="shared" si="145"/>
        <v>0.3781310405</v>
      </c>
      <c r="CC185" s="130">
        <f t="shared" si="145"/>
        <v>0.3784160038</v>
      </c>
      <c r="CD185" s="130">
        <f t="shared" si="145"/>
        <v>0.3786542821</v>
      </c>
      <c r="CE185" s="130">
        <f t="shared" si="145"/>
        <v>0.3788580503</v>
      </c>
      <c r="CF185" s="130">
        <f t="shared" si="145"/>
        <v>0.3790355957</v>
      </c>
      <c r="CG185" s="130">
        <f t="shared" si="145"/>
        <v>0.3791928749</v>
      </c>
      <c r="CH185" s="130">
        <f t="shared" si="145"/>
        <v>0.3793343163</v>
      </c>
      <c r="CI185" s="130">
        <f t="shared" si="145"/>
        <v>0.3794632817</v>
      </c>
    </row>
    <row r="186" ht="15.75" customHeight="1">
      <c r="A186" s="1"/>
      <c r="B186" s="1"/>
      <c r="C186" s="1" t="s">
        <v>85</v>
      </c>
      <c r="D186" s="130">
        <f t="shared" ref="D186:CI186" si="146">D177/SUM(D$176:D$181)</f>
        <v>0.2040408058</v>
      </c>
      <c r="E186" s="130">
        <f t="shared" si="146"/>
        <v>0.2777171263</v>
      </c>
      <c r="F186" s="130">
        <f t="shared" si="146"/>
        <v>0.2700382571</v>
      </c>
      <c r="G186" s="130">
        <f t="shared" si="146"/>
        <v>0.2344839116</v>
      </c>
      <c r="H186" s="130">
        <f t="shared" si="146"/>
        <v>0.189740799</v>
      </c>
      <c r="I186" s="130">
        <f t="shared" si="146"/>
        <v>0.2251207541</v>
      </c>
      <c r="J186" s="130">
        <f t="shared" si="146"/>
        <v>0.222869929</v>
      </c>
      <c r="K186" s="130">
        <f t="shared" si="146"/>
        <v>0.213296174</v>
      </c>
      <c r="L186" s="130">
        <f t="shared" si="146"/>
        <v>0.2715632038</v>
      </c>
      <c r="M186" s="130">
        <f t="shared" si="146"/>
        <v>0.2882437128</v>
      </c>
      <c r="N186" s="130">
        <f t="shared" si="146"/>
        <v>0.2665127635</v>
      </c>
      <c r="O186" s="130">
        <f t="shared" si="146"/>
        <v>0.2655246039</v>
      </c>
      <c r="P186" s="130">
        <f t="shared" si="146"/>
        <v>0.2036382554</v>
      </c>
      <c r="Q186" s="130">
        <f t="shared" si="146"/>
        <v>0.2254465293</v>
      </c>
      <c r="R186" s="130">
        <f t="shared" si="146"/>
        <v>0.1325626586</v>
      </c>
      <c r="S186" s="130">
        <f t="shared" si="146"/>
        <v>0.1488862999</v>
      </c>
      <c r="T186" s="130">
        <f t="shared" si="146"/>
        <v>0.1472850746</v>
      </c>
      <c r="U186" s="130">
        <f t="shared" si="146"/>
        <v>0.1786604049</v>
      </c>
      <c r="V186" s="130">
        <f t="shared" si="146"/>
        <v>0.1195069184</v>
      </c>
      <c r="W186" s="130">
        <f t="shared" si="146"/>
        <v>0.2031057984</v>
      </c>
      <c r="X186" s="130">
        <f t="shared" si="146"/>
        <v>0.2260190536</v>
      </c>
      <c r="Y186" s="130">
        <f t="shared" si="146"/>
        <v>0.1559532815</v>
      </c>
      <c r="Z186" s="130">
        <f t="shared" si="146"/>
        <v>0.1707388835</v>
      </c>
      <c r="AA186" s="130">
        <f t="shared" si="146"/>
        <v>0.19200885</v>
      </c>
      <c r="AB186" s="130">
        <f t="shared" si="146"/>
        <v>0.1991582022</v>
      </c>
      <c r="AC186" s="130">
        <f t="shared" si="146"/>
        <v>0.2061995531</v>
      </c>
      <c r="AD186" s="130">
        <f t="shared" si="146"/>
        <v>0.212216105</v>
      </c>
      <c r="AE186" s="130">
        <f t="shared" si="146"/>
        <v>0.2180787032</v>
      </c>
      <c r="AF186" s="130">
        <f t="shared" si="146"/>
        <v>0.2228743656</v>
      </c>
      <c r="AG186" s="130">
        <f t="shared" si="146"/>
        <v>0.2272882639</v>
      </c>
      <c r="AH186" s="130">
        <f t="shared" si="146"/>
        <v>0.2305502912</v>
      </c>
      <c r="AI186" s="130">
        <f t="shared" si="146"/>
        <v>0.2329770677</v>
      </c>
      <c r="AJ186" s="130">
        <f t="shared" si="146"/>
        <v>0.2349950033</v>
      </c>
      <c r="AK186" s="130">
        <f t="shared" si="146"/>
        <v>0.2359268175</v>
      </c>
      <c r="AL186" s="130">
        <f t="shared" si="146"/>
        <v>0.2374225206</v>
      </c>
      <c r="AM186" s="130">
        <f t="shared" si="146"/>
        <v>0.238616938</v>
      </c>
      <c r="AN186" s="130">
        <f t="shared" si="146"/>
        <v>0.2365469569</v>
      </c>
      <c r="AO186" s="130">
        <f t="shared" si="146"/>
        <v>0.2362975854</v>
      </c>
      <c r="AP186" s="130">
        <f t="shared" si="146"/>
        <v>0.2374848729</v>
      </c>
      <c r="AQ186" s="130">
        <f t="shared" si="146"/>
        <v>0.2386848121</v>
      </c>
      <c r="AR186" s="130">
        <f t="shared" si="146"/>
        <v>0.2396905726</v>
      </c>
      <c r="AS186" s="130">
        <f t="shared" si="146"/>
        <v>0.2405428779</v>
      </c>
      <c r="AT186" s="130">
        <f t="shared" si="146"/>
        <v>0.2412940241</v>
      </c>
      <c r="AU186" s="130">
        <f t="shared" si="146"/>
        <v>0.241251913</v>
      </c>
      <c r="AV186" s="130">
        <f t="shared" si="146"/>
        <v>0.2419029291</v>
      </c>
      <c r="AW186" s="130">
        <f t="shared" si="146"/>
        <v>0.2425164869</v>
      </c>
      <c r="AX186" s="130">
        <f t="shared" si="146"/>
        <v>0.2430970819</v>
      </c>
      <c r="AY186" s="130">
        <f t="shared" si="146"/>
        <v>0.2436483725</v>
      </c>
      <c r="AZ186" s="130">
        <f t="shared" si="146"/>
        <v>0.2428370643</v>
      </c>
      <c r="BA186" s="130">
        <f t="shared" si="146"/>
        <v>0.2435276649</v>
      </c>
      <c r="BB186" s="130">
        <f t="shared" si="146"/>
        <v>0.2442018863</v>
      </c>
      <c r="BC186" s="130">
        <f t="shared" si="146"/>
        <v>0.2448695452</v>
      </c>
      <c r="BD186" s="130">
        <f t="shared" si="146"/>
        <v>0.2455239513</v>
      </c>
      <c r="BE186" s="130">
        <f t="shared" si="146"/>
        <v>0.2461608068</v>
      </c>
      <c r="BF186" s="130">
        <f t="shared" si="146"/>
        <v>0.2467777722</v>
      </c>
      <c r="BG186" s="130">
        <f t="shared" si="146"/>
        <v>0.2473737788</v>
      </c>
      <c r="BH186" s="130">
        <f t="shared" si="146"/>
        <v>0.2479485712</v>
      </c>
      <c r="BI186" s="130">
        <f t="shared" si="146"/>
        <v>0.2485024182</v>
      </c>
      <c r="BJ186" s="130">
        <f t="shared" si="146"/>
        <v>0.2490359233</v>
      </c>
      <c r="BK186" s="130">
        <f t="shared" si="146"/>
        <v>0.2495498965</v>
      </c>
      <c r="BL186" s="130">
        <f t="shared" si="146"/>
        <v>0.2491916448</v>
      </c>
      <c r="BM186" s="130">
        <f t="shared" si="146"/>
        <v>0.2492854848</v>
      </c>
      <c r="BN186" s="130">
        <f t="shared" si="146"/>
        <v>0.2493517247</v>
      </c>
      <c r="BO186" s="130">
        <f t="shared" si="146"/>
        <v>0.2494965076</v>
      </c>
      <c r="BP186" s="130">
        <f t="shared" si="146"/>
        <v>0.249648878</v>
      </c>
      <c r="BQ186" s="130">
        <f t="shared" si="146"/>
        <v>0.2498060648</v>
      </c>
      <c r="BR186" s="130">
        <f t="shared" si="146"/>
        <v>0.2499673832</v>
      </c>
      <c r="BS186" s="130">
        <f t="shared" si="146"/>
        <v>0.2501326274</v>
      </c>
      <c r="BT186" s="130">
        <f t="shared" si="146"/>
        <v>0.2503017256</v>
      </c>
      <c r="BU186" s="130">
        <f t="shared" si="146"/>
        <v>0.2504746506</v>
      </c>
      <c r="BV186" s="130">
        <f t="shared" si="146"/>
        <v>0.2506513929</v>
      </c>
      <c r="BW186" s="130">
        <f t="shared" si="146"/>
        <v>0.2508319513</v>
      </c>
      <c r="BX186" s="130">
        <f t="shared" si="146"/>
        <v>0.2503340492</v>
      </c>
      <c r="BY186" s="130">
        <f t="shared" si="146"/>
        <v>0.2505924877</v>
      </c>
      <c r="BZ186" s="130">
        <f t="shared" si="146"/>
        <v>0.2509338779</v>
      </c>
      <c r="CA186" s="130">
        <f t="shared" si="146"/>
        <v>0.2512363997</v>
      </c>
      <c r="CB186" s="130">
        <f t="shared" si="146"/>
        <v>0.2514735168</v>
      </c>
      <c r="CC186" s="130">
        <f t="shared" si="146"/>
        <v>0.2516659204</v>
      </c>
      <c r="CD186" s="130">
        <f t="shared" si="146"/>
        <v>0.2518264211</v>
      </c>
      <c r="CE186" s="130">
        <f t="shared" si="146"/>
        <v>0.2519632189</v>
      </c>
      <c r="CF186" s="130">
        <f t="shared" si="146"/>
        <v>0.2520819397</v>
      </c>
      <c r="CG186" s="130">
        <f t="shared" si="146"/>
        <v>0.2521866534</v>
      </c>
      <c r="CH186" s="130">
        <f t="shared" si="146"/>
        <v>0.2522804046</v>
      </c>
      <c r="CI186" s="130">
        <f t="shared" si="146"/>
        <v>0.2523655213</v>
      </c>
    </row>
    <row r="187" ht="15.75" customHeight="1">
      <c r="A187" s="1"/>
      <c r="B187" s="1"/>
      <c r="C187" s="1" t="s">
        <v>168</v>
      </c>
      <c r="D187" s="130">
        <f t="shared" ref="D187:CI187" si="147">D178/SUM(D$176:D$181)</f>
        <v>0.2625219391</v>
      </c>
      <c r="E187" s="130">
        <f t="shared" si="147"/>
        <v>0.148166324</v>
      </c>
      <c r="F187" s="130">
        <f t="shared" si="147"/>
        <v>0.194848857</v>
      </c>
      <c r="G187" s="130">
        <f t="shared" si="147"/>
        <v>0.2229170189</v>
      </c>
      <c r="H187" s="130">
        <f t="shared" si="147"/>
        <v>0.3014997971</v>
      </c>
      <c r="I187" s="130">
        <f t="shared" si="147"/>
        <v>0.270016251</v>
      </c>
      <c r="J187" s="130">
        <f t="shared" si="147"/>
        <v>0.3235103535</v>
      </c>
      <c r="K187" s="130">
        <f t="shared" si="147"/>
        <v>0.2425494577</v>
      </c>
      <c r="L187" s="130">
        <f t="shared" si="147"/>
        <v>0.2170449601</v>
      </c>
      <c r="M187" s="130">
        <f t="shared" si="147"/>
        <v>0.1670806596</v>
      </c>
      <c r="N187" s="130">
        <f t="shared" si="147"/>
        <v>0.2099198203</v>
      </c>
      <c r="O187" s="130">
        <f t="shared" si="147"/>
        <v>0.1481477781</v>
      </c>
      <c r="P187" s="130">
        <f t="shared" si="147"/>
        <v>0.1706261845</v>
      </c>
      <c r="Q187" s="130">
        <f t="shared" si="147"/>
        <v>0.1985716806</v>
      </c>
      <c r="R187" s="130">
        <f t="shared" si="147"/>
        <v>0.1917168973</v>
      </c>
      <c r="S187" s="130">
        <f t="shared" si="147"/>
        <v>0.2161087379</v>
      </c>
      <c r="T187" s="130">
        <f t="shared" si="147"/>
        <v>0.2085535189</v>
      </c>
      <c r="U187" s="130">
        <f t="shared" si="147"/>
        <v>0.1541482998</v>
      </c>
      <c r="V187" s="130">
        <f t="shared" si="147"/>
        <v>0.1781633186</v>
      </c>
      <c r="W187" s="130">
        <f t="shared" si="147"/>
        <v>0.1794578045</v>
      </c>
      <c r="X187" s="130">
        <f t="shared" si="147"/>
        <v>0.2043336223</v>
      </c>
      <c r="Y187" s="130">
        <f t="shared" si="147"/>
        <v>0.2383351477</v>
      </c>
      <c r="Z187" s="130">
        <f t="shared" si="147"/>
        <v>0.1907036872</v>
      </c>
      <c r="AA187" s="130">
        <f t="shared" si="147"/>
        <v>0.1937859017</v>
      </c>
      <c r="AB187" s="130">
        <f t="shared" si="147"/>
        <v>0.209249002</v>
      </c>
      <c r="AC187" s="130">
        <f t="shared" si="147"/>
        <v>0.2209484877</v>
      </c>
      <c r="AD187" s="130">
        <f t="shared" si="147"/>
        <v>0.2294491457</v>
      </c>
      <c r="AE187" s="130">
        <f t="shared" si="147"/>
        <v>0.2352232178</v>
      </c>
      <c r="AF187" s="130">
        <f t="shared" si="147"/>
        <v>0.2391919015</v>
      </c>
      <c r="AG187" s="130">
        <f t="shared" si="147"/>
        <v>0.2429625529</v>
      </c>
      <c r="AH187" s="130">
        <f t="shared" si="147"/>
        <v>0.246656103</v>
      </c>
      <c r="AI187" s="130">
        <f t="shared" si="147"/>
        <v>0.250892814</v>
      </c>
      <c r="AJ187" s="130">
        <f t="shared" si="147"/>
        <v>0.2540824713</v>
      </c>
      <c r="AK187" s="130">
        <f t="shared" si="147"/>
        <v>0.2562356667</v>
      </c>
      <c r="AL187" s="130">
        <f t="shared" si="147"/>
        <v>0.2565264145</v>
      </c>
      <c r="AM187" s="130">
        <f t="shared" si="147"/>
        <v>0.2566321652</v>
      </c>
      <c r="AN187" s="130">
        <f t="shared" si="147"/>
        <v>0.2568575047</v>
      </c>
      <c r="AO187" s="130">
        <f t="shared" si="147"/>
        <v>0.2585891704</v>
      </c>
      <c r="AP187" s="130">
        <f t="shared" si="147"/>
        <v>0.2572991419</v>
      </c>
      <c r="AQ187" s="130">
        <f t="shared" si="147"/>
        <v>0.2562295462</v>
      </c>
      <c r="AR187" s="130">
        <f t="shared" si="147"/>
        <v>0.2555169062</v>
      </c>
      <c r="AS187" s="130">
        <f t="shared" si="147"/>
        <v>0.2549529566</v>
      </c>
      <c r="AT187" s="130">
        <f t="shared" si="147"/>
        <v>0.2544940987</v>
      </c>
      <c r="AU187" s="130">
        <f t="shared" si="147"/>
        <v>0.2532644881</v>
      </c>
      <c r="AV187" s="130">
        <f t="shared" si="147"/>
        <v>0.2528204209</v>
      </c>
      <c r="AW187" s="130">
        <f t="shared" si="147"/>
        <v>0.2523867858</v>
      </c>
      <c r="AX187" s="130">
        <f t="shared" si="147"/>
        <v>0.2519643495</v>
      </c>
      <c r="AY187" s="130">
        <f t="shared" si="147"/>
        <v>0.2515533164</v>
      </c>
      <c r="AZ187" s="130">
        <f t="shared" si="147"/>
        <v>0.2476471131</v>
      </c>
      <c r="BA187" s="130">
        <f t="shared" si="147"/>
        <v>0.2475420865</v>
      </c>
      <c r="BB187" s="130">
        <f t="shared" si="147"/>
        <v>0.2474931969</v>
      </c>
      <c r="BC187" s="130">
        <f t="shared" si="147"/>
        <v>0.2474534893</v>
      </c>
      <c r="BD187" s="130">
        <f t="shared" si="147"/>
        <v>0.2474202318</v>
      </c>
      <c r="BE187" s="130">
        <f t="shared" si="147"/>
        <v>0.2473899307</v>
      </c>
      <c r="BF187" s="130">
        <f t="shared" si="147"/>
        <v>0.2473593668</v>
      </c>
      <c r="BG187" s="130">
        <f t="shared" si="147"/>
        <v>0.2473260476</v>
      </c>
      <c r="BH187" s="130">
        <f t="shared" si="147"/>
        <v>0.2472882146</v>
      </c>
      <c r="BI187" s="130">
        <f t="shared" si="147"/>
        <v>0.2472447099</v>
      </c>
      <c r="BJ187" s="130">
        <f t="shared" si="147"/>
        <v>0.2471948261</v>
      </c>
      <c r="BK187" s="130">
        <f t="shared" si="147"/>
        <v>0.2471381814</v>
      </c>
      <c r="BL187" s="130">
        <f t="shared" si="147"/>
        <v>0.2460866864</v>
      </c>
      <c r="BM187" s="130">
        <f t="shared" si="147"/>
        <v>0.2465458987</v>
      </c>
      <c r="BN187" s="130">
        <f t="shared" si="147"/>
        <v>0.2471333587</v>
      </c>
      <c r="BO187" s="130">
        <f t="shared" si="147"/>
        <v>0.2474744967</v>
      </c>
      <c r="BP187" s="130">
        <f t="shared" si="147"/>
        <v>0.2477694408</v>
      </c>
      <c r="BQ187" s="130">
        <f t="shared" si="147"/>
        <v>0.2480261417</v>
      </c>
      <c r="BR187" s="130">
        <f t="shared" si="147"/>
        <v>0.248248208</v>
      </c>
      <c r="BS187" s="130">
        <f t="shared" si="147"/>
        <v>0.2484380016</v>
      </c>
      <c r="BT187" s="130">
        <f t="shared" si="147"/>
        <v>0.2485974228</v>
      </c>
      <c r="BU187" s="130">
        <f t="shared" si="147"/>
        <v>0.2487281439</v>
      </c>
      <c r="BV187" s="130">
        <f t="shared" si="147"/>
        <v>0.2488316895</v>
      </c>
      <c r="BW187" s="130">
        <f t="shared" si="147"/>
        <v>0.2489094688</v>
      </c>
      <c r="BX187" s="130">
        <f t="shared" si="147"/>
        <v>0.247949738</v>
      </c>
      <c r="BY187" s="130">
        <f t="shared" si="147"/>
        <v>0.2482388275</v>
      </c>
      <c r="BZ187" s="130">
        <f t="shared" si="147"/>
        <v>0.2482686835</v>
      </c>
      <c r="CA187" s="130">
        <f t="shared" si="147"/>
        <v>0.2482180993</v>
      </c>
      <c r="CB187" s="130">
        <f t="shared" si="147"/>
        <v>0.2481832296</v>
      </c>
      <c r="CC187" s="130">
        <f t="shared" si="147"/>
        <v>0.2481413079</v>
      </c>
      <c r="CD187" s="130">
        <f t="shared" si="147"/>
        <v>0.2480872709</v>
      </c>
      <c r="CE187" s="130">
        <f t="shared" si="147"/>
        <v>0.2480220804</v>
      </c>
      <c r="CF187" s="130">
        <f t="shared" si="147"/>
        <v>0.2479481235</v>
      </c>
      <c r="CG187" s="130">
        <f t="shared" si="147"/>
        <v>0.2478677065</v>
      </c>
      <c r="CH187" s="130">
        <f t="shared" si="147"/>
        <v>0.2477826743</v>
      </c>
      <c r="CI187" s="130">
        <f t="shared" si="147"/>
        <v>0.2476943928</v>
      </c>
    </row>
    <row r="188" ht="15.75" customHeight="1">
      <c r="A188" s="1"/>
      <c r="B188" s="1"/>
      <c r="C188" s="1" t="s">
        <v>89</v>
      </c>
      <c r="D188" s="130">
        <f t="shared" ref="D188:CI188" si="148">D179/SUM(D$176:D$181)</f>
        <v>0.2527763751</v>
      </c>
      <c r="E188" s="130">
        <f t="shared" si="148"/>
        <v>0.2274744027</v>
      </c>
      <c r="F188" s="130">
        <f t="shared" si="148"/>
        <v>0.2221724484</v>
      </c>
      <c r="G188" s="130">
        <f t="shared" si="148"/>
        <v>0.2453364819</v>
      </c>
      <c r="H188" s="130">
        <f t="shared" si="148"/>
        <v>0.1567619045</v>
      </c>
      <c r="I188" s="130">
        <f t="shared" si="148"/>
        <v>0.2535425994</v>
      </c>
      <c r="J188" s="130">
        <f t="shared" si="148"/>
        <v>0.1728191932</v>
      </c>
      <c r="K188" s="130">
        <f t="shared" si="148"/>
        <v>0.2532694771</v>
      </c>
      <c r="L188" s="130">
        <f t="shared" si="148"/>
        <v>0.1831862236</v>
      </c>
      <c r="M188" s="130">
        <f t="shared" si="148"/>
        <v>0.2017592475</v>
      </c>
      <c r="N188" s="130">
        <f t="shared" si="148"/>
        <v>0.1932030271</v>
      </c>
      <c r="O188" s="130">
        <f t="shared" si="148"/>
        <v>0.190336694</v>
      </c>
      <c r="P188" s="130">
        <f t="shared" si="148"/>
        <v>0.2348590145</v>
      </c>
      <c r="Q188" s="130">
        <f t="shared" si="148"/>
        <v>0.1757374453</v>
      </c>
      <c r="R188" s="130">
        <f t="shared" si="148"/>
        <v>0.2280536925</v>
      </c>
      <c r="S188" s="130">
        <f t="shared" si="148"/>
        <v>0.2205920173</v>
      </c>
      <c r="T188" s="130">
        <f t="shared" si="148"/>
        <v>0.1799844957</v>
      </c>
      <c r="U188" s="130">
        <f t="shared" si="148"/>
        <v>0.2644342679</v>
      </c>
      <c r="V188" s="130">
        <f t="shared" si="148"/>
        <v>0.2383435152</v>
      </c>
      <c r="W188" s="130">
        <f t="shared" si="148"/>
        <v>0.1809124071</v>
      </c>
      <c r="X188" s="130">
        <f t="shared" si="148"/>
        <v>0.1289612222</v>
      </c>
      <c r="Y188" s="130">
        <f t="shared" si="148"/>
        <v>0.1926601103</v>
      </c>
      <c r="Z188" s="130">
        <f t="shared" si="148"/>
        <v>0.1336825381</v>
      </c>
      <c r="AA188" s="130">
        <f t="shared" si="148"/>
        <v>0.114786447</v>
      </c>
      <c r="AB188" s="130">
        <f t="shared" si="148"/>
        <v>0.1092196914</v>
      </c>
      <c r="AC188" s="130">
        <f t="shared" si="148"/>
        <v>0.1041564814</v>
      </c>
      <c r="AD188" s="130">
        <f t="shared" si="148"/>
        <v>0.09906725998</v>
      </c>
      <c r="AE188" s="130">
        <f t="shared" si="148"/>
        <v>0.09394055426</v>
      </c>
      <c r="AF188" s="130">
        <f t="shared" si="148"/>
        <v>0.08916892691</v>
      </c>
      <c r="AG188" s="130">
        <f t="shared" si="148"/>
        <v>0.08456306978</v>
      </c>
      <c r="AH188" s="130">
        <f t="shared" si="148"/>
        <v>0.08039672196</v>
      </c>
      <c r="AI188" s="130">
        <f t="shared" si="148"/>
        <v>0.07608912026</v>
      </c>
      <c r="AJ188" s="130">
        <f t="shared" si="148"/>
        <v>0.07156264481</v>
      </c>
      <c r="AK188" s="130">
        <f t="shared" si="148"/>
        <v>0.06885707332</v>
      </c>
      <c r="AL188" s="130">
        <f t="shared" si="148"/>
        <v>0.06630447409</v>
      </c>
      <c r="AM188" s="130">
        <f t="shared" si="148"/>
        <v>0.06388839422</v>
      </c>
      <c r="AN188" s="130">
        <f t="shared" si="148"/>
        <v>0.06291630533</v>
      </c>
      <c r="AO188" s="130">
        <f t="shared" si="148"/>
        <v>0.06117524731</v>
      </c>
      <c r="AP188" s="130">
        <f t="shared" si="148"/>
        <v>0.05936261362</v>
      </c>
      <c r="AQ188" s="130">
        <f t="shared" si="148"/>
        <v>0.05782209128</v>
      </c>
      <c r="AR188" s="130">
        <f t="shared" si="148"/>
        <v>0.05656759204</v>
      </c>
      <c r="AS188" s="130">
        <f t="shared" si="148"/>
        <v>0.05558404719</v>
      </c>
      <c r="AT188" s="130">
        <f t="shared" si="148"/>
        <v>0.05476682275</v>
      </c>
      <c r="AU188" s="130">
        <f t="shared" si="148"/>
        <v>0.05391026891</v>
      </c>
      <c r="AV188" s="130">
        <f t="shared" si="148"/>
        <v>0.05331542926</v>
      </c>
      <c r="AW188" s="130">
        <f t="shared" si="148"/>
        <v>0.05279287481</v>
      </c>
      <c r="AX188" s="130">
        <f t="shared" si="148"/>
        <v>0.05232648485</v>
      </c>
      <c r="AY188" s="130">
        <f t="shared" si="148"/>
        <v>0.05190449434</v>
      </c>
      <c r="AZ188" s="130">
        <f t="shared" si="148"/>
        <v>0.05153073939</v>
      </c>
      <c r="BA188" s="130">
        <f t="shared" si="148"/>
        <v>0.05135249352</v>
      </c>
      <c r="BB188" s="130">
        <f t="shared" si="148"/>
        <v>0.05107728745</v>
      </c>
      <c r="BC188" s="130">
        <f t="shared" si="148"/>
        <v>0.05073875638</v>
      </c>
      <c r="BD188" s="130">
        <f t="shared" si="148"/>
        <v>0.05036126034</v>
      </c>
      <c r="BE188" s="130">
        <f t="shared" si="148"/>
        <v>0.04996234754</v>
      </c>
      <c r="BF188" s="130">
        <f t="shared" si="148"/>
        <v>0.04955430539</v>
      </c>
      <c r="BG188" s="130">
        <f t="shared" si="148"/>
        <v>0.04914558832</v>
      </c>
      <c r="BH188" s="130">
        <f t="shared" si="148"/>
        <v>0.04874190303</v>
      </c>
      <c r="BI188" s="130">
        <f t="shared" si="148"/>
        <v>0.04834700046</v>
      </c>
      <c r="BJ188" s="130">
        <f t="shared" si="148"/>
        <v>0.04796324691</v>
      </c>
      <c r="BK188" s="130">
        <f t="shared" si="148"/>
        <v>0.04759203438</v>
      </c>
      <c r="BL188" s="130">
        <f t="shared" si="148"/>
        <v>0.04744501175</v>
      </c>
      <c r="BM188" s="130">
        <f t="shared" si="148"/>
        <v>0.04740343643</v>
      </c>
      <c r="BN188" s="130">
        <f t="shared" si="148"/>
        <v>0.04727501515</v>
      </c>
      <c r="BO188" s="130">
        <f t="shared" si="148"/>
        <v>0.04716762484</v>
      </c>
      <c r="BP188" s="130">
        <f t="shared" si="148"/>
        <v>0.04707048759</v>
      </c>
      <c r="BQ188" s="130">
        <f t="shared" si="148"/>
        <v>0.04698228784</v>
      </c>
      <c r="BR188" s="130">
        <f t="shared" si="148"/>
        <v>0.04690180907</v>
      </c>
      <c r="BS188" s="130">
        <f t="shared" si="148"/>
        <v>0.04682804867</v>
      </c>
      <c r="BT188" s="130">
        <f t="shared" si="148"/>
        <v>0.04676017529</v>
      </c>
      <c r="BU188" s="130">
        <f t="shared" si="148"/>
        <v>0.04669748642</v>
      </c>
      <c r="BV188" s="130">
        <f t="shared" si="148"/>
        <v>0.04663937792</v>
      </c>
      <c r="BW188" s="130">
        <f t="shared" si="148"/>
        <v>0.0465853224</v>
      </c>
      <c r="BX188" s="130">
        <f t="shared" si="148"/>
        <v>0.04636825747</v>
      </c>
      <c r="BY188" s="130">
        <f t="shared" si="148"/>
        <v>0.04599940963</v>
      </c>
      <c r="BZ188" s="130">
        <f t="shared" si="148"/>
        <v>0.045657801</v>
      </c>
      <c r="CA188" s="130">
        <f t="shared" si="148"/>
        <v>0.04541754808</v>
      </c>
      <c r="CB188" s="130">
        <f t="shared" si="148"/>
        <v>0.04525467587</v>
      </c>
      <c r="CC188" s="130">
        <f t="shared" si="148"/>
        <v>0.04515145385</v>
      </c>
      <c r="CD188" s="130">
        <f t="shared" si="148"/>
        <v>0.04509319932</v>
      </c>
      <c r="CE188" s="130">
        <f t="shared" si="148"/>
        <v>0.04506863239</v>
      </c>
      <c r="CF188" s="130">
        <f t="shared" si="148"/>
        <v>0.04506927209</v>
      </c>
      <c r="CG188" s="130">
        <f t="shared" si="148"/>
        <v>0.04508878384</v>
      </c>
      <c r="CH188" s="130">
        <f t="shared" si="148"/>
        <v>0.04512244091</v>
      </c>
      <c r="CI188" s="130">
        <f t="shared" si="148"/>
        <v>0.04516671006</v>
      </c>
    </row>
    <row r="189" ht="15.75" customHeight="1">
      <c r="A189" s="1"/>
      <c r="B189" s="1"/>
      <c r="C189" s="1" t="s">
        <v>94</v>
      </c>
      <c r="D189" s="130">
        <f t="shared" ref="D189:CI189" si="149">D180/SUM(D$176:D$181)</f>
        <v>0.04151486308</v>
      </c>
      <c r="E189" s="130">
        <f t="shared" si="149"/>
        <v>0.02122294533</v>
      </c>
      <c r="F189" s="130">
        <f t="shared" si="149"/>
        <v>0.04353023142</v>
      </c>
      <c r="G189" s="130">
        <f t="shared" si="149"/>
        <v>0.03645893691</v>
      </c>
      <c r="H189" s="130">
        <f t="shared" si="149"/>
        <v>0.02819582476</v>
      </c>
      <c r="I189" s="130">
        <f t="shared" si="149"/>
        <v>0.03208037689</v>
      </c>
      <c r="J189" s="130">
        <f t="shared" si="149"/>
        <v>0.03307186903</v>
      </c>
      <c r="K189" s="130">
        <f t="shared" si="149"/>
        <v>0.0462790452</v>
      </c>
      <c r="L189" s="130">
        <f t="shared" si="149"/>
        <v>0.04660492204</v>
      </c>
      <c r="M189" s="130">
        <f t="shared" si="149"/>
        <v>0.02920876152</v>
      </c>
      <c r="N189" s="130">
        <f t="shared" si="149"/>
        <v>0.02864712983</v>
      </c>
      <c r="O189" s="130">
        <f t="shared" si="149"/>
        <v>0.1744696412</v>
      </c>
      <c r="P189" s="130">
        <f t="shared" si="149"/>
        <v>0.1612198173</v>
      </c>
      <c r="Q189" s="130">
        <f t="shared" si="149"/>
        <v>0.1685937968</v>
      </c>
      <c r="R189" s="130">
        <f t="shared" si="149"/>
        <v>0.2078152267</v>
      </c>
      <c r="S189" s="130">
        <f t="shared" si="149"/>
        <v>0.2069963323</v>
      </c>
      <c r="T189" s="130">
        <f t="shared" si="149"/>
        <v>0.2006101764</v>
      </c>
      <c r="U189" s="130">
        <f t="shared" si="149"/>
        <v>0.1772657238</v>
      </c>
      <c r="V189" s="130">
        <f t="shared" si="149"/>
        <v>0.1737016353</v>
      </c>
      <c r="W189" s="130">
        <f t="shared" si="149"/>
        <v>0.2066103867</v>
      </c>
      <c r="X189" s="130">
        <f t="shared" si="149"/>
        <v>0.211446358</v>
      </c>
      <c r="Y189" s="130">
        <f t="shared" si="149"/>
        <v>0.2112847575</v>
      </c>
      <c r="Z189" s="130">
        <f t="shared" si="149"/>
        <v>0.2046553281</v>
      </c>
      <c r="AA189" s="130">
        <f t="shared" si="149"/>
        <v>0.1665988807</v>
      </c>
      <c r="AB189" s="130">
        <f t="shared" si="149"/>
        <v>0.151666579</v>
      </c>
      <c r="AC189" s="130">
        <f t="shared" si="149"/>
        <v>0.1398947207</v>
      </c>
      <c r="AD189" s="130">
        <f t="shared" si="149"/>
        <v>0.1311462542</v>
      </c>
      <c r="AE189" s="130">
        <f t="shared" si="149"/>
        <v>0.1239905547</v>
      </c>
      <c r="AF189" s="130">
        <f t="shared" si="149"/>
        <v>0.1159815308</v>
      </c>
      <c r="AG189" s="130">
        <f t="shared" si="149"/>
        <v>0.1093069429</v>
      </c>
      <c r="AH189" s="130">
        <f t="shared" si="149"/>
        <v>0.1032825039</v>
      </c>
      <c r="AI189" s="130">
        <f t="shared" si="149"/>
        <v>0.09797086023</v>
      </c>
      <c r="AJ189" s="130">
        <f t="shared" si="149"/>
        <v>0.09365621307</v>
      </c>
      <c r="AK189" s="130">
        <f t="shared" si="149"/>
        <v>0.09032718862</v>
      </c>
      <c r="AL189" s="130">
        <f t="shared" si="149"/>
        <v>0.08719493767</v>
      </c>
      <c r="AM189" s="130">
        <f t="shared" si="149"/>
        <v>0.08420499623</v>
      </c>
      <c r="AN189" s="130">
        <f t="shared" si="149"/>
        <v>0.08117484834</v>
      </c>
      <c r="AO189" s="130">
        <f t="shared" si="149"/>
        <v>0.08133416189</v>
      </c>
      <c r="AP189" s="130">
        <f t="shared" si="149"/>
        <v>0.08146208434</v>
      </c>
      <c r="AQ189" s="130">
        <f t="shared" si="149"/>
        <v>0.08122977954</v>
      </c>
      <c r="AR189" s="130">
        <f t="shared" si="149"/>
        <v>0.08085847612</v>
      </c>
      <c r="AS189" s="130">
        <f t="shared" si="149"/>
        <v>0.08045672349</v>
      </c>
      <c r="AT189" s="130">
        <f t="shared" si="149"/>
        <v>0.08002121306</v>
      </c>
      <c r="AU189" s="130">
        <f t="shared" si="149"/>
        <v>0.07932855104</v>
      </c>
      <c r="AV189" s="130">
        <f t="shared" si="149"/>
        <v>0.07887690898</v>
      </c>
      <c r="AW189" s="130">
        <f t="shared" si="149"/>
        <v>0.07842940649</v>
      </c>
      <c r="AX189" s="130">
        <f t="shared" si="149"/>
        <v>0.07799094427</v>
      </c>
      <c r="AY189" s="130">
        <f t="shared" si="149"/>
        <v>0.07756464417</v>
      </c>
      <c r="AZ189" s="130">
        <f t="shared" si="149"/>
        <v>0.07623153606</v>
      </c>
      <c r="BA189" s="130">
        <f t="shared" si="149"/>
        <v>0.07541858691</v>
      </c>
      <c r="BB189" s="130">
        <f t="shared" si="149"/>
        <v>0.07463715929</v>
      </c>
      <c r="BC189" s="130">
        <f t="shared" si="149"/>
        <v>0.0738870028</v>
      </c>
      <c r="BD189" s="130">
        <f t="shared" si="149"/>
        <v>0.0731683766</v>
      </c>
      <c r="BE189" s="130">
        <f t="shared" si="149"/>
        <v>0.07248157451</v>
      </c>
      <c r="BF189" s="130">
        <f t="shared" si="149"/>
        <v>0.07182633928</v>
      </c>
      <c r="BG189" s="130">
        <f t="shared" si="149"/>
        <v>0.07120192836</v>
      </c>
      <c r="BH189" s="130">
        <f t="shared" si="149"/>
        <v>0.07060725861</v>
      </c>
      <c r="BI189" s="130">
        <f t="shared" si="149"/>
        <v>0.07004103208</v>
      </c>
      <c r="BJ189" s="130">
        <f t="shared" si="149"/>
        <v>0.06950183094</v>
      </c>
      <c r="BK189" s="130">
        <f t="shared" si="149"/>
        <v>0.06898818534</v>
      </c>
      <c r="BL189" s="130">
        <f t="shared" si="149"/>
        <v>0.06833507498</v>
      </c>
      <c r="BM189" s="130">
        <f t="shared" si="149"/>
        <v>0.06797611387</v>
      </c>
      <c r="BN189" s="130">
        <f t="shared" si="149"/>
        <v>0.0676010162</v>
      </c>
      <c r="BO189" s="130">
        <f t="shared" si="149"/>
        <v>0.06724902882</v>
      </c>
      <c r="BP189" s="130">
        <f t="shared" si="149"/>
        <v>0.06690763723</v>
      </c>
      <c r="BQ189" s="130">
        <f t="shared" si="149"/>
        <v>0.06657705936</v>
      </c>
      <c r="BR189" s="130">
        <f t="shared" si="149"/>
        <v>0.06625705009</v>
      </c>
      <c r="BS189" s="130">
        <f t="shared" si="149"/>
        <v>0.06594723098</v>
      </c>
      <c r="BT189" s="130">
        <f t="shared" si="149"/>
        <v>0.06564714998</v>
      </c>
      <c r="BU189" s="130">
        <f t="shared" si="149"/>
        <v>0.06535630858</v>
      </c>
      <c r="BV189" s="130">
        <f t="shared" si="149"/>
        <v>0.06507418251</v>
      </c>
      <c r="BW189" s="130">
        <f t="shared" si="149"/>
        <v>0.06480023754</v>
      </c>
      <c r="BX189" s="130">
        <f t="shared" si="149"/>
        <v>0.06428760261</v>
      </c>
      <c r="BY189" s="130">
        <f t="shared" si="149"/>
        <v>0.06376666138</v>
      </c>
      <c r="BZ189" s="130">
        <f t="shared" si="149"/>
        <v>0.06331426192</v>
      </c>
      <c r="CA189" s="130">
        <f t="shared" si="149"/>
        <v>0.06295332076</v>
      </c>
      <c r="CB189" s="130">
        <f t="shared" si="149"/>
        <v>0.06266472025</v>
      </c>
      <c r="CC189" s="130">
        <f t="shared" si="149"/>
        <v>0.06243407069</v>
      </c>
      <c r="CD189" s="130">
        <f t="shared" si="149"/>
        <v>0.06224834973</v>
      </c>
      <c r="CE189" s="130">
        <f t="shared" si="149"/>
        <v>0.06209718745</v>
      </c>
      <c r="CF189" s="130">
        <f t="shared" si="149"/>
        <v>0.06197260537</v>
      </c>
      <c r="CG189" s="130">
        <f t="shared" si="149"/>
        <v>0.06186852879</v>
      </c>
      <c r="CH189" s="130">
        <f t="shared" si="149"/>
        <v>0.06178034126</v>
      </c>
      <c r="CI189" s="130">
        <f t="shared" si="149"/>
        <v>0.0617045274</v>
      </c>
    </row>
    <row r="190" ht="15.75" customHeight="1">
      <c r="A190" s="1"/>
      <c r="B190" s="1"/>
      <c r="C190" s="1" t="s">
        <v>96</v>
      </c>
      <c r="D190" s="130">
        <f t="shared" ref="D190:CI190" si="150">D181/SUM(D$176:D$181)</f>
        <v>0.05159492239</v>
      </c>
      <c r="E190" s="130">
        <f t="shared" si="150"/>
        <v>0.04119623513</v>
      </c>
      <c r="F190" s="130">
        <f t="shared" si="150"/>
        <v>0.04137369817</v>
      </c>
      <c r="G190" s="130">
        <f t="shared" si="150"/>
        <v>0.02386615575</v>
      </c>
      <c r="H190" s="130">
        <f t="shared" si="150"/>
        <v>0.04135545044</v>
      </c>
      <c r="I190" s="130">
        <f t="shared" si="150"/>
        <v>0.03894499686</v>
      </c>
      <c r="J190" s="130">
        <f t="shared" si="150"/>
        <v>0.03260973262</v>
      </c>
      <c r="K190" s="130">
        <f t="shared" si="150"/>
        <v>0.03417908102</v>
      </c>
      <c r="L190" s="130">
        <f t="shared" si="150"/>
        <v>0.02468549926</v>
      </c>
      <c r="M190" s="130">
        <f t="shared" si="150"/>
        <v>0.04342029411</v>
      </c>
      <c r="N190" s="130">
        <f t="shared" si="150"/>
        <v>0.03491578519</v>
      </c>
      <c r="O190" s="130">
        <f t="shared" si="150"/>
        <v>0.02052795593</v>
      </c>
      <c r="P190" s="130">
        <f t="shared" si="150"/>
        <v>0.03145226528</v>
      </c>
      <c r="Q190" s="130">
        <f t="shared" si="150"/>
        <v>0.02343022325</v>
      </c>
      <c r="R190" s="130">
        <f t="shared" si="150"/>
        <v>0.02276367547</v>
      </c>
      <c r="S190" s="130">
        <f t="shared" si="150"/>
        <v>0.02125911543</v>
      </c>
      <c r="T190" s="130">
        <f t="shared" si="150"/>
        <v>0.02163153344</v>
      </c>
      <c r="U190" s="130">
        <f t="shared" si="150"/>
        <v>0.03425928992</v>
      </c>
      <c r="V190" s="130">
        <f t="shared" si="150"/>
        <v>0.03464289334</v>
      </c>
      <c r="W190" s="130">
        <f t="shared" si="150"/>
        <v>0.01970056511</v>
      </c>
      <c r="X190" s="130">
        <f t="shared" si="150"/>
        <v>0.02993716149</v>
      </c>
      <c r="Y190" s="130">
        <f t="shared" si="150"/>
        <v>0.02151595107</v>
      </c>
      <c r="Z190" s="130">
        <f t="shared" si="150"/>
        <v>0.03265128989</v>
      </c>
      <c r="AA190" s="130">
        <f t="shared" si="150"/>
        <v>0.0351047457</v>
      </c>
      <c r="AB190" s="130">
        <f t="shared" si="150"/>
        <v>0.02983415206</v>
      </c>
      <c r="AC190" s="130">
        <f t="shared" si="150"/>
        <v>0.02597949306</v>
      </c>
      <c r="AD190" s="130">
        <f t="shared" si="150"/>
        <v>0.02323083229</v>
      </c>
      <c r="AE190" s="130">
        <f t="shared" si="150"/>
        <v>0.02109378576</v>
      </c>
      <c r="AF190" s="130">
        <f t="shared" si="150"/>
        <v>0.01932726205</v>
      </c>
      <c r="AG190" s="130">
        <f t="shared" si="150"/>
        <v>0.01788680847</v>
      </c>
      <c r="AH190" s="130">
        <f t="shared" si="150"/>
        <v>0.01671234727</v>
      </c>
      <c r="AI190" s="130">
        <f t="shared" si="150"/>
        <v>0.0157013045</v>
      </c>
      <c r="AJ190" s="130">
        <f t="shared" si="150"/>
        <v>0.01482333372</v>
      </c>
      <c r="AK190" s="130">
        <f t="shared" si="150"/>
        <v>0.01409090267</v>
      </c>
      <c r="AL190" s="130">
        <f t="shared" si="150"/>
        <v>0.01343356056</v>
      </c>
      <c r="AM190" s="130">
        <f t="shared" si="150"/>
        <v>0.01282762191</v>
      </c>
      <c r="AN190" s="130">
        <f t="shared" si="150"/>
        <v>0.01842059295</v>
      </c>
      <c r="AO190" s="130">
        <f t="shared" si="150"/>
        <v>0.0182819594</v>
      </c>
      <c r="AP190" s="130">
        <f t="shared" si="150"/>
        <v>0.01809095248</v>
      </c>
      <c r="AQ190" s="130">
        <f t="shared" si="150"/>
        <v>0.01784914756</v>
      </c>
      <c r="AR190" s="130">
        <f t="shared" si="150"/>
        <v>0.0175994076</v>
      </c>
      <c r="AS190" s="130">
        <f t="shared" si="150"/>
        <v>0.01734697537</v>
      </c>
      <c r="AT190" s="130">
        <f t="shared" si="150"/>
        <v>0.01710434198</v>
      </c>
      <c r="AU190" s="130">
        <f t="shared" si="150"/>
        <v>0.0168202563</v>
      </c>
      <c r="AV190" s="130">
        <f t="shared" si="150"/>
        <v>0.01659783248</v>
      </c>
      <c r="AW190" s="130">
        <f t="shared" si="150"/>
        <v>0.01638426844</v>
      </c>
      <c r="AX190" s="130">
        <f t="shared" si="150"/>
        <v>0.01617899025</v>
      </c>
      <c r="AY190" s="130">
        <f t="shared" si="150"/>
        <v>0.01598144859</v>
      </c>
      <c r="AZ190" s="130">
        <f t="shared" si="150"/>
        <v>0.02075605991</v>
      </c>
      <c r="BA190" s="130">
        <f t="shared" si="150"/>
        <v>0.0203588069</v>
      </c>
      <c r="BB190" s="130">
        <f t="shared" si="150"/>
        <v>0.01998807985</v>
      </c>
      <c r="BC190" s="130">
        <f t="shared" si="150"/>
        <v>0.01963968173</v>
      </c>
      <c r="BD190" s="130">
        <f t="shared" si="150"/>
        <v>0.01931065345</v>
      </c>
      <c r="BE190" s="130">
        <f t="shared" si="150"/>
        <v>0.01899883053</v>
      </c>
      <c r="BF190" s="130">
        <f t="shared" si="150"/>
        <v>0.01870246902</v>
      </c>
      <c r="BG190" s="130">
        <f t="shared" si="150"/>
        <v>0.01842010996</v>
      </c>
      <c r="BH190" s="130">
        <f t="shared" si="150"/>
        <v>0.01815050796</v>
      </c>
      <c r="BI190" s="130">
        <f t="shared" si="150"/>
        <v>0.01789258496</v>
      </c>
      <c r="BJ190" s="130">
        <f t="shared" si="150"/>
        <v>0.01764539752</v>
      </c>
      <c r="BK190" s="130">
        <f t="shared" si="150"/>
        <v>0.01740811249</v>
      </c>
      <c r="BL190" s="130">
        <f t="shared" si="150"/>
        <v>0.01707603805</v>
      </c>
      <c r="BM190" s="130">
        <f t="shared" si="150"/>
        <v>0.01682701009</v>
      </c>
      <c r="BN190" s="130">
        <f t="shared" si="150"/>
        <v>0.01660773224</v>
      </c>
      <c r="BO190" s="130">
        <f t="shared" si="150"/>
        <v>0.01639829516</v>
      </c>
      <c r="BP190" s="130">
        <f t="shared" si="150"/>
        <v>0.0161950967</v>
      </c>
      <c r="BQ190" s="130">
        <f t="shared" si="150"/>
        <v>0.01599779508</v>
      </c>
      <c r="BR190" s="130">
        <f t="shared" si="150"/>
        <v>0.01580601738</v>
      </c>
      <c r="BS190" s="130">
        <f t="shared" si="150"/>
        <v>0.01561942041</v>
      </c>
      <c r="BT190" s="130">
        <f t="shared" si="150"/>
        <v>0.0154376902</v>
      </c>
      <c r="BU190" s="130">
        <f t="shared" si="150"/>
        <v>0.01526053765</v>
      </c>
      <c r="BV190" s="130">
        <f t="shared" si="150"/>
        <v>0.01508769522</v>
      </c>
      <c r="BW190" s="130">
        <f t="shared" si="150"/>
        <v>0.01491891473</v>
      </c>
      <c r="BX190" s="130">
        <f t="shared" si="150"/>
        <v>0.01469393021</v>
      </c>
      <c r="BY190" s="130">
        <f t="shared" si="150"/>
        <v>0.01459142563</v>
      </c>
      <c r="BZ190" s="130">
        <f t="shared" si="150"/>
        <v>0.01449482572</v>
      </c>
      <c r="CA190" s="130">
        <f t="shared" si="150"/>
        <v>0.01439454745</v>
      </c>
      <c r="CB190" s="130">
        <f t="shared" si="150"/>
        <v>0.01429281706</v>
      </c>
      <c r="CC190" s="130">
        <f t="shared" si="150"/>
        <v>0.01419124338</v>
      </c>
      <c r="CD190" s="130">
        <f t="shared" si="150"/>
        <v>0.01409047688</v>
      </c>
      <c r="CE190" s="130">
        <f t="shared" si="150"/>
        <v>0.01399083047</v>
      </c>
      <c r="CF190" s="130">
        <f t="shared" si="150"/>
        <v>0.01389246368</v>
      </c>
      <c r="CG190" s="130">
        <f t="shared" si="150"/>
        <v>0.01379545258</v>
      </c>
      <c r="CH190" s="130">
        <f t="shared" si="150"/>
        <v>0.0136998226</v>
      </c>
      <c r="CI190" s="130">
        <f t="shared" si="150"/>
        <v>0.01360556668</v>
      </c>
    </row>
    <row r="191" ht="15.75" customHeight="1">
      <c r="A191" s="1"/>
      <c r="B191" s="1"/>
      <c r="C191" s="119" t="s">
        <v>836</v>
      </c>
      <c r="D191" s="529">
        <f t="shared" ref="D191:CI191" si="151">SUM(D185:D190)</f>
        <v>1</v>
      </c>
      <c r="E191" s="529">
        <f t="shared" si="151"/>
        <v>1</v>
      </c>
      <c r="F191" s="529">
        <f t="shared" si="151"/>
        <v>1</v>
      </c>
      <c r="G191" s="529">
        <f t="shared" si="151"/>
        <v>1</v>
      </c>
      <c r="H191" s="529">
        <f t="shared" si="151"/>
        <v>1</v>
      </c>
      <c r="I191" s="529">
        <f t="shared" si="151"/>
        <v>1</v>
      </c>
      <c r="J191" s="529">
        <f t="shared" si="151"/>
        <v>1</v>
      </c>
      <c r="K191" s="529">
        <f t="shared" si="151"/>
        <v>1</v>
      </c>
      <c r="L191" s="529">
        <f t="shared" si="151"/>
        <v>1</v>
      </c>
      <c r="M191" s="529">
        <f t="shared" si="151"/>
        <v>1</v>
      </c>
      <c r="N191" s="529">
        <f t="shared" si="151"/>
        <v>1</v>
      </c>
      <c r="O191" s="529">
        <f t="shared" si="151"/>
        <v>1</v>
      </c>
      <c r="P191" s="529">
        <f t="shared" si="151"/>
        <v>1</v>
      </c>
      <c r="Q191" s="529">
        <f t="shared" si="151"/>
        <v>1</v>
      </c>
      <c r="R191" s="529">
        <f t="shared" si="151"/>
        <v>1</v>
      </c>
      <c r="S191" s="529">
        <f t="shared" si="151"/>
        <v>1</v>
      </c>
      <c r="T191" s="529">
        <f t="shared" si="151"/>
        <v>1</v>
      </c>
      <c r="U191" s="529">
        <f t="shared" si="151"/>
        <v>1</v>
      </c>
      <c r="V191" s="529">
        <f t="shared" si="151"/>
        <v>1</v>
      </c>
      <c r="W191" s="529">
        <f t="shared" si="151"/>
        <v>1</v>
      </c>
      <c r="X191" s="529">
        <f t="shared" si="151"/>
        <v>1</v>
      </c>
      <c r="Y191" s="529">
        <f t="shared" si="151"/>
        <v>1</v>
      </c>
      <c r="Z191" s="529">
        <f t="shared" si="151"/>
        <v>1</v>
      </c>
      <c r="AA191" s="529">
        <f t="shared" si="151"/>
        <v>1</v>
      </c>
      <c r="AB191" s="529">
        <f t="shared" si="151"/>
        <v>1</v>
      </c>
      <c r="AC191" s="529">
        <f t="shared" si="151"/>
        <v>1</v>
      </c>
      <c r="AD191" s="529">
        <f t="shared" si="151"/>
        <v>1</v>
      </c>
      <c r="AE191" s="529">
        <f t="shared" si="151"/>
        <v>1</v>
      </c>
      <c r="AF191" s="529">
        <f t="shared" si="151"/>
        <v>1</v>
      </c>
      <c r="AG191" s="529">
        <f t="shared" si="151"/>
        <v>1</v>
      </c>
      <c r="AH191" s="529">
        <f t="shared" si="151"/>
        <v>1</v>
      </c>
      <c r="AI191" s="529">
        <f t="shared" si="151"/>
        <v>1</v>
      </c>
      <c r="AJ191" s="529">
        <f t="shared" si="151"/>
        <v>1</v>
      </c>
      <c r="AK191" s="529">
        <f t="shared" si="151"/>
        <v>1</v>
      </c>
      <c r="AL191" s="529">
        <f t="shared" si="151"/>
        <v>1</v>
      </c>
      <c r="AM191" s="529">
        <f t="shared" si="151"/>
        <v>1</v>
      </c>
      <c r="AN191" s="529">
        <f t="shared" si="151"/>
        <v>1</v>
      </c>
      <c r="AO191" s="529">
        <f t="shared" si="151"/>
        <v>1</v>
      </c>
      <c r="AP191" s="529">
        <f t="shared" si="151"/>
        <v>1</v>
      </c>
      <c r="AQ191" s="529">
        <f t="shared" si="151"/>
        <v>1</v>
      </c>
      <c r="AR191" s="529">
        <f t="shared" si="151"/>
        <v>1</v>
      </c>
      <c r="AS191" s="529">
        <f t="shared" si="151"/>
        <v>1</v>
      </c>
      <c r="AT191" s="529">
        <f t="shared" si="151"/>
        <v>1</v>
      </c>
      <c r="AU191" s="529">
        <f t="shared" si="151"/>
        <v>1</v>
      </c>
      <c r="AV191" s="529">
        <f t="shared" si="151"/>
        <v>1</v>
      </c>
      <c r="AW191" s="529">
        <f t="shared" si="151"/>
        <v>1</v>
      </c>
      <c r="AX191" s="529">
        <f t="shared" si="151"/>
        <v>1</v>
      </c>
      <c r="AY191" s="529">
        <f t="shared" si="151"/>
        <v>1</v>
      </c>
      <c r="AZ191" s="529">
        <f t="shared" si="151"/>
        <v>1</v>
      </c>
      <c r="BA191" s="529">
        <f t="shared" si="151"/>
        <v>1</v>
      </c>
      <c r="BB191" s="529">
        <f t="shared" si="151"/>
        <v>1</v>
      </c>
      <c r="BC191" s="529">
        <f t="shared" si="151"/>
        <v>1</v>
      </c>
      <c r="BD191" s="529">
        <f t="shared" si="151"/>
        <v>1</v>
      </c>
      <c r="BE191" s="529">
        <f t="shared" si="151"/>
        <v>1</v>
      </c>
      <c r="BF191" s="529">
        <f t="shared" si="151"/>
        <v>1</v>
      </c>
      <c r="BG191" s="529">
        <f t="shared" si="151"/>
        <v>1</v>
      </c>
      <c r="BH191" s="529">
        <f t="shared" si="151"/>
        <v>1</v>
      </c>
      <c r="BI191" s="529">
        <f t="shared" si="151"/>
        <v>1</v>
      </c>
      <c r="BJ191" s="529">
        <f t="shared" si="151"/>
        <v>1</v>
      </c>
      <c r="BK191" s="529">
        <f t="shared" si="151"/>
        <v>1</v>
      </c>
      <c r="BL191" s="529">
        <f t="shared" si="151"/>
        <v>1</v>
      </c>
      <c r="BM191" s="529">
        <f t="shared" si="151"/>
        <v>1</v>
      </c>
      <c r="BN191" s="529">
        <f t="shared" si="151"/>
        <v>1</v>
      </c>
      <c r="BO191" s="529">
        <f t="shared" si="151"/>
        <v>1</v>
      </c>
      <c r="BP191" s="529">
        <f t="shared" si="151"/>
        <v>1</v>
      </c>
      <c r="BQ191" s="529">
        <f t="shared" si="151"/>
        <v>1</v>
      </c>
      <c r="BR191" s="529">
        <f t="shared" si="151"/>
        <v>1</v>
      </c>
      <c r="BS191" s="529">
        <f t="shared" si="151"/>
        <v>1</v>
      </c>
      <c r="BT191" s="529">
        <f t="shared" si="151"/>
        <v>1</v>
      </c>
      <c r="BU191" s="529">
        <f t="shared" si="151"/>
        <v>1</v>
      </c>
      <c r="BV191" s="529">
        <f t="shared" si="151"/>
        <v>1</v>
      </c>
      <c r="BW191" s="529">
        <f t="shared" si="151"/>
        <v>1</v>
      </c>
      <c r="BX191" s="529">
        <f t="shared" si="151"/>
        <v>1</v>
      </c>
      <c r="BY191" s="529">
        <f t="shared" si="151"/>
        <v>1</v>
      </c>
      <c r="BZ191" s="529">
        <f t="shared" si="151"/>
        <v>1</v>
      </c>
      <c r="CA191" s="529">
        <f t="shared" si="151"/>
        <v>1</v>
      </c>
      <c r="CB191" s="529">
        <f t="shared" si="151"/>
        <v>1</v>
      </c>
      <c r="CC191" s="529">
        <f t="shared" si="151"/>
        <v>1</v>
      </c>
      <c r="CD191" s="529">
        <f t="shared" si="151"/>
        <v>1</v>
      </c>
      <c r="CE191" s="529">
        <f t="shared" si="151"/>
        <v>1</v>
      </c>
      <c r="CF191" s="529">
        <f t="shared" si="151"/>
        <v>1</v>
      </c>
      <c r="CG191" s="529">
        <f t="shared" si="151"/>
        <v>1</v>
      </c>
      <c r="CH191" s="529">
        <f t="shared" si="151"/>
        <v>1</v>
      </c>
      <c r="CI191" s="529">
        <f t="shared" si="151"/>
        <v>1</v>
      </c>
    </row>
    <row r="192" ht="15.75" customHeight="1">
      <c r="A192" s="1"/>
      <c r="B192" s="1"/>
      <c r="C192" s="1"/>
      <c r="D192" s="1"/>
      <c r="E192" s="1"/>
      <c r="F192" s="1"/>
      <c r="G192" s="1"/>
      <c r="H192" s="1"/>
      <c r="I192" s="1"/>
      <c r="J192" s="1"/>
      <c r="K192" s="1"/>
      <c r="L192" s="1"/>
      <c r="M192" s="1"/>
      <c r="N192" s="1"/>
      <c r="O192" s="1"/>
      <c r="P192" s="1"/>
      <c r="Q192" s="1"/>
      <c r="R192" s="1"/>
      <c r="S192" s="1"/>
      <c r="T192" s="117"/>
      <c r="U192" s="1"/>
      <c r="V192" s="1"/>
      <c r="W192" s="1"/>
      <c r="X192" s="1"/>
      <c r="Y192" s="1"/>
      <c r="Z192" s="1"/>
      <c r="AA192" s="1"/>
      <c r="AB192" s="1"/>
      <c r="AC192" s="1"/>
    </row>
    <row r="193" ht="15.75" customHeight="1">
      <c r="T193" s="117"/>
    </row>
    <row r="194" ht="15.75" customHeight="1">
      <c r="A194" s="4" t="s">
        <v>837</v>
      </c>
      <c r="C194" s="1" t="s">
        <v>25</v>
      </c>
      <c r="P194" s="162">
        <f>'IS Proforma'!AB22</f>
        <v>1347011</v>
      </c>
      <c r="Q194" s="162">
        <f>'IS Proforma'!AC22</f>
        <v>1100646</v>
      </c>
      <c r="R194" s="162">
        <f>'IS Proforma'!AD22</f>
        <v>1222111</v>
      </c>
      <c r="S194" s="162">
        <f>'IS Proforma'!AE22</f>
        <v>1271194</v>
      </c>
      <c r="T194" s="162">
        <f>'IS Proforma'!AF22</f>
        <v>1363749</v>
      </c>
      <c r="U194" s="162">
        <f>'IS Proforma'!AG22</f>
        <v>1168159</v>
      </c>
      <c r="V194" s="162">
        <f>'IS Proforma'!AH22</f>
        <v>1323566</v>
      </c>
      <c r="W194" s="162">
        <f>'IS Proforma'!AI22</f>
        <v>1496054</v>
      </c>
      <c r="X194" s="162">
        <f>'IS Proforma'!AJ22</f>
        <v>1451527</v>
      </c>
      <c r="Y194" s="162">
        <f>'IS Proforma'!AK22</f>
        <v>1263151</v>
      </c>
      <c r="Z194" s="162">
        <f>'IS Proforma'!AL22</f>
        <v>1309094</v>
      </c>
      <c r="AA194" s="162">
        <f>'IS Proforma'!AM22</f>
        <v>1415790.631</v>
      </c>
      <c r="AB194" s="162">
        <f>'IS Proforma'!AN22</f>
        <v>1667456.392</v>
      </c>
      <c r="AC194" s="162">
        <f>'IS Proforma'!AO22</f>
        <v>1916164.307</v>
      </c>
      <c r="AD194" s="162">
        <f>'IS Proforma'!AP22</f>
        <v>2143927.895</v>
      </c>
      <c r="AE194" s="162">
        <f>'IS Proforma'!AQ22</f>
        <v>2362030.523</v>
      </c>
      <c r="AF194" s="162">
        <f>'IS Proforma'!AR22</f>
        <v>2578733.721</v>
      </c>
      <c r="AG194" s="162">
        <f>'IS Proforma'!AS22</f>
        <v>2796714.82</v>
      </c>
      <c r="AH194" s="162">
        <f>'IS Proforma'!AT22</f>
        <v>2993212.987</v>
      </c>
      <c r="AI194" s="162">
        <f>'IS Proforma'!AU22</f>
        <v>3185918.325</v>
      </c>
      <c r="AJ194" s="162">
        <f>'IS Proforma'!AV22</f>
        <v>3374588.725</v>
      </c>
      <c r="AK194" s="162">
        <f>'IS Proforma'!AW22</f>
        <v>3549978.171</v>
      </c>
      <c r="AL194" s="162">
        <f>'IS Proforma'!AX22</f>
        <v>3723674.445</v>
      </c>
      <c r="AM194" s="162">
        <f>'IS Proforma'!AY22</f>
        <v>3899557.769</v>
      </c>
      <c r="AN194" s="162">
        <f>'IS Proforma'!AZ22</f>
        <v>4073318.095</v>
      </c>
      <c r="AO194" s="162">
        <f>'IS Proforma'!BA22</f>
        <v>4104264.349</v>
      </c>
      <c r="AP194" s="162">
        <f>'IS Proforma'!BB22</f>
        <v>4147652.518</v>
      </c>
      <c r="AQ194" s="162">
        <f>'IS Proforma'!BC22</f>
        <v>4203892.505</v>
      </c>
      <c r="AR194" s="162">
        <f>'IS Proforma'!BD22</f>
        <v>4263598.691</v>
      </c>
      <c r="AS194" s="162">
        <f>'IS Proforma'!BE22</f>
        <v>4325695.573</v>
      </c>
      <c r="AT194" s="162">
        <f>'IS Proforma'!BF22</f>
        <v>4387113.817</v>
      </c>
      <c r="AU194" s="162">
        <f>'IS Proforma'!BG22</f>
        <v>4461262.247</v>
      </c>
      <c r="AV194" s="162">
        <f>'IS Proforma'!BH22</f>
        <v>4521109.201</v>
      </c>
      <c r="AW194" s="162">
        <f>'IS Proforma'!BI22</f>
        <v>4580106.491</v>
      </c>
      <c r="AX194" s="162">
        <f>'IS Proforma'!BJ22</f>
        <v>4638288.148</v>
      </c>
      <c r="AY194" s="162">
        <f>'IS Proforma'!BK22</f>
        <v>4695693.717</v>
      </c>
      <c r="AZ194" s="162">
        <f>'IS Proforma'!BL22</f>
        <v>4820732.602</v>
      </c>
      <c r="BA194" s="162">
        <f>'IS Proforma'!BM22</f>
        <v>4914856.216</v>
      </c>
      <c r="BB194" s="162">
        <f>'IS Proforma'!BN22</f>
        <v>5006077.918</v>
      </c>
      <c r="BC194" s="162">
        <f>'IS Proforma'!BO22</f>
        <v>5094952.155</v>
      </c>
      <c r="BD194" s="162">
        <f>'IS Proforma'!BP22</f>
        <v>5181837.409</v>
      </c>
      <c r="BE194" s="162">
        <f>'IS Proforma'!BQ22</f>
        <v>5266964.562</v>
      </c>
      <c r="BF194" s="162">
        <f>'IS Proforma'!BR22</f>
        <v>5350509.62</v>
      </c>
      <c r="BG194" s="162">
        <f>'IS Proforma'!BS22</f>
        <v>5432616.125</v>
      </c>
      <c r="BH194" s="162">
        <f>'IS Proforma'!BT22</f>
        <v>5513405.239</v>
      </c>
      <c r="BI194" s="162">
        <f>'IS Proforma'!BU22</f>
        <v>5592981.632</v>
      </c>
      <c r="BJ194" s="162">
        <f>'IS Proforma'!BV22</f>
        <v>5671437.41</v>
      </c>
      <c r="BK194" s="162">
        <f>'IS Proforma'!BW22</f>
        <v>5748854.893</v>
      </c>
      <c r="BL194" s="162">
        <f>'IS Proforma'!BX22</f>
        <v>5860742.345</v>
      </c>
      <c r="BM194" s="162">
        <f>'IS Proforma'!BY22</f>
        <v>5947592.72</v>
      </c>
      <c r="BN194" s="162">
        <f>'IS Proforma'!BZ22</f>
        <v>6026248.645</v>
      </c>
      <c r="BO194" s="162">
        <f>'IS Proforma'!CA22</f>
        <v>6103350.145</v>
      </c>
      <c r="BP194" s="162">
        <f>'IS Proforma'!CB22</f>
        <v>6180069.871</v>
      </c>
      <c r="BQ194" s="162">
        <f>'IS Proforma'!CC22</f>
        <v>6256437.323</v>
      </c>
      <c r="BR194" s="162">
        <f>'IS Proforma'!CD22</f>
        <v>6332503.361</v>
      </c>
      <c r="BS194" s="162">
        <f>'IS Proforma'!CE22</f>
        <v>6408317.12</v>
      </c>
      <c r="BT194" s="162">
        <f>'IS Proforma'!CF22</f>
        <v>6483925.121</v>
      </c>
      <c r="BU194" s="162">
        <f>'IS Proforma'!CG22</f>
        <v>6559372.097</v>
      </c>
      <c r="BV194" s="162">
        <f>'IS Proforma'!CH22</f>
        <v>6634701.496</v>
      </c>
      <c r="BW194" s="162">
        <f>'IS Proforma'!CI22</f>
        <v>6709955.734</v>
      </c>
      <c r="BX194" s="162">
        <f>'IS Proforma'!CJ22</f>
        <v>6812868.679</v>
      </c>
      <c r="BY194" s="162">
        <f>'IS Proforma'!CK22</f>
        <v>6860970.95</v>
      </c>
      <c r="BZ194" s="162">
        <f>'IS Proforma'!CL22</f>
        <v>6906949.871</v>
      </c>
      <c r="CA194" s="162">
        <f>'IS Proforma'!CM22</f>
        <v>6955328.654</v>
      </c>
      <c r="CB194" s="162">
        <f>'IS Proforma'!CN22</f>
        <v>7005105.221</v>
      </c>
      <c r="CC194" s="162">
        <f>'IS Proforma'!CO22</f>
        <v>7055526.11</v>
      </c>
      <c r="CD194" s="162">
        <f>'IS Proforma'!CP22</f>
        <v>7106276.176</v>
      </c>
      <c r="CE194" s="162">
        <f>'IS Proforma'!CQ22</f>
        <v>7157194.211</v>
      </c>
      <c r="CF194" s="162">
        <f>'IS Proforma'!CR22</f>
        <v>7208189.201</v>
      </c>
      <c r="CG194" s="162">
        <f>'IS Proforma'!CS22</f>
        <v>7259209.016</v>
      </c>
      <c r="CH194" s="162">
        <f>'IS Proforma'!CT22</f>
        <v>7310225.906</v>
      </c>
      <c r="CI194" s="162">
        <f>'IS Proforma'!CU22</f>
        <v>7361228.504</v>
      </c>
    </row>
    <row r="195" ht="15.75" customHeight="1">
      <c r="C195" s="1" t="s">
        <v>838</v>
      </c>
      <c r="P195" s="162">
        <f>'IS Proforma'!AB40</f>
        <v>1324314</v>
      </c>
      <c r="Q195" s="162">
        <f>'IS Proforma'!AC40</f>
        <v>1077315</v>
      </c>
      <c r="R195" s="162">
        <f>'IS Proforma'!AD40</f>
        <v>1196497</v>
      </c>
      <c r="S195" s="162">
        <f>'IS Proforma'!AE40</f>
        <v>1247152</v>
      </c>
      <c r="T195" s="162">
        <f>'IS Proforma'!AF40</f>
        <v>1340639</v>
      </c>
      <c r="U195" s="162">
        <f>'IS Proforma'!AG40</f>
        <v>1147326</v>
      </c>
      <c r="V195" s="162">
        <f>'IS Proforma'!AH40</f>
        <v>1298790</v>
      </c>
      <c r="W195" s="162">
        <f>'IS Proforma'!AI40</f>
        <v>1475186</v>
      </c>
      <c r="X195" s="162">
        <f>'IS Proforma'!AJ40</f>
        <v>1426197</v>
      </c>
      <c r="Y195" s="162">
        <f>'IS Proforma'!AK40</f>
        <v>1238614</v>
      </c>
      <c r="Z195" s="162">
        <f>'IS Proforma'!AL40</f>
        <v>1287715</v>
      </c>
      <c r="AA195" s="162">
        <f>'IS Proforma'!AM40</f>
        <v>1229551.757</v>
      </c>
      <c r="AB195" s="162">
        <f>'IS Proforma'!AN40</f>
        <v>1470623.775</v>
      </c>
      <c r="AC195" s="162">
        <f>'IS Proforma'!AO40</f>
        <v>1704684.625</v>
      </c>
      <c r="AD195" s="162">
        <f>'IS Proforma'!AP40</f>
        <v>1917902.902</v>
      </c>
      <c r="AE195" s="162">
        <f>'IS Proforma'!AQ40</f>
        <v>2128117.064</v>
      </c>
      <c r="AF195" s="162">
        <f>'IS Proforma'!AR40</f>
        <v>2334652.891</v>
      </c>
      <c r="AG195" s="162">
        <f>'IS Proforma'!AS40</f>
        <v>2551421.611</v>
      </c>
      <c r="AH195" s="162">
        <f>'IS Proforma'!AT40</f>
        <v>2725187.428</v>
      </c>
      <c r="AI195" s="162">
        <f>'IS Proforma'!AU40</f>
        <v>2910168.036</v>
      </c>
      <c r="AJ195" s="162">
        <f>'IS Proforma'!AV40</f>
        <v>3081260.646</v>
      </c>
      <c r="AK195" s="162">
        <f>'IS Proforma'!AW40</f>
        <v>3240191.201</v>
      </c>
      <c r="AL195" s="162">
        <f>'IS Proforma'!AX40</f>
        <v>3406258.734</v>
      </c>
      <c r="AM195" s="162">
        <f>'IS Proforma'!AY40</f>
        <v>3560768.311</v>
      </c>
      <c r="AN195" s="162">
        <f>'IS Proforma'!AZ40</f>
        <v>3660852.457</v>
      </c>
      <c r="AO195" s="162">
        <f>'IS Proforma'!BA40</f>
        <v>3664307.539</v>
      </c>
      <c r="AP195" s="162">
        <f>'IS Proforma'!BB40</f>
        <v>3693447.803</v>
      </c>
      <c r="AQ195" s="162">
        <f>'IS Proforma'!BC40</f>
        <v>3748590.749</v>
      </c>
      <c r="AR195" s="162">
        <f>'IS Proforma'!BD40</f>
        <v>3782674.273</v>
      </c>
      <c r="AS195" s="162">
        <f>'IS Proforma'!BE40</f>
        <v>3837163.493</v>
      </c>
      <c r="AT195" s="162">
        <f>'IS Proforma'!BF40</f>
        <v>3863523.206</v>
      </c>
      <c r="AU195" s="162">
        <f>'IS Proforma'!BG40</f>
        <v>3915426.239</v>
      </c>
      <c r="AV195" s="162">
        <f>'IS Proforma'!BH40</f>
        <v>3944889.118</v>
      </c>
      <c r="AW195" s="162">
        <f>'IS Proforma'!BI40</f>
        <v>3988865.785</v>
      </c>
      <c r="AX195" s="162">
        <f>'IS Proforma'!BJ40</f>
        <v>4025101.382</v>
      </c>
      <c r="AY195" s="162">
        <f>'IS Proforma'!BK40</f>
        <v>4081383.509</v>
      </c>
      <c r="AZ195" s="162">
        <f>'IS Proforma'!BL40</f>
        <v>4162856.026</v>
      </c>
      <c r="BA195" s="162">
        <f>'IS Proforma'!BM40</f>
        <v>4211662.069</v>
      </c>
      <c r="BB195" s="162">
        <f>'IS Proforma'!BN40</f>
        <v>4279295.985</v>
      </c>
      <c r="BC195" s="162">
        <f>'IS Proforma'!BO40</f>
        <v>4320904.115</v>
      </c>
      <c r="BD195" s="162">
        <f>'IS Proforma'!BP40</f>
        <v>4380341.244</v>
      </c>
      <c r="BE195" s="162">
        <f>'IS Proforma'!BQ40</f>
        <v>4449213.622</v>
      </c>
      <c r="BF195" s="162">
        <f>'IS Proforma'!BR40</f>
        <v>4508436.783</v>
      </c>
      <c r="BG195" s="162">
        <f>'IS Proforma'!BS40</f>
        <v>4581566.841</v>
      </c>
      <c r="BH195" s="162">
        <f>'IS Proforma'!BT40</f>
        <v>4617345.849</v>
      </c>
      <c r="BI195" s="162">
        <f>'IS Proforma'!BU40</f>
        <v>4672667.111</v>
      </c>
      <c r="BJ195" s="162">
        <f>'IS Proforma'!BV40</f>
        <v>4749434.264</v>
      </c>
      <c r="BK195" s="162">
        <f>'IS Proforma'!BW40</f>
        <v>4787889.22</v>
      </c>
      <c r="BL195" s="162">
        <f>'IS Proforma'!BX40</f>
        <v>4793964.77</v>
      </c>
      <c r="BM195" s="162">
        <f>'IS Proforma'!BY40</f>
        <v>4643471.091</v>
      </c>
      <c r="BN195" s="162">
        <f>'IS Proforma'!BZ40</f>
        <v>4618161.801</v>
      </c>
      <c r="BO195" s="162">
        <f>'IS Proforma'!CA40</f>
        <v>4675271.989</v>
      </c>
      <c r="BP195" s="162">
        <f>'IS Proforma'!CB40</f>
        <v>4689324.696</v>
      </c>
      <c r="BQ195" s="162">
        <f>'IS Proforma'!CC40</f>
        <v>4755760.819</v>
      </c>
      <c r="BR195" s="162">
        <f>'IS Proforma'!CD40</f>
        <v>4797160.806</v>
      </c>
      <c r="BS195" s="162">
        <f>'IS Proforma'!CE40</f>
        <v>4846457.119</v>
      </c>
      <c r="BT195" s="162">
        <f>'IS Proforma'!CF40</f>
        <v>4853786.11</v>
      </c>
      <c r="BU195" s="162">
        <f>'IS Proforma'!CG40</f>
        <v>4919008.323</v>
      </c>
      <c r="BV195" s="162">
        <f>'IS Proforma'!CH40</f>
        <v>4943399.409</v>
      </c>
      <c r="BW195" s="162">
        <f>'IS Proforma'!CI40</f>
        <v>5016573.441</v>
      </c>
      <c r="BX195" s="162">
        <f>'IS Proforma'!CJ40</f>
        <v>5020455.305</v>
      </c>
      <c r="BY195" s="162">
        <f>'IS Proforma'!CK40</f>
        <v>5018570.855</v>
      </c>
      <c r="BZ195" s="162">
        <f>'IS Proforma'!CL40</f>
        <v>5046752.55</v>
      </c>
      <c r="CA195" s="162">
        <f>'IS Proforma'!CM40</f>
        <v>5068625.427</v>
      </c>
      <c r="CB195" s="162">
        <f>'IS Proforma'!CN40</f>
        <v>5056034.738</v>
      </c>
      <c r="CC195" s="162">
        <f>'IS Proforma'!CO40</f>
        <v>5071179.792</v>
      </c>
      <c r="CD195" s="162">
        <f>'IS Proforma'!CP40</f>
        <v>5103503.759</v>
      </c>
      <c r="CE195" s="162">
        <f>'IS Proforma'!CQ40</f>
        <v>5152868.572</v>
      </c>
      <c r="CF195" s="162">
        <f>'IS Proforma'!CR40</f>
        <v>5118843.548</v>
      </c>
      <c r="CG195" s="162">
        <f>'IS Proforma'!CS40</f>
        <v>5168225.4</v>
      </c>
      <c r="CH195" s="162">
        <f>'IS Proforma'!CT40</f>
        <v>5183701.455</v>
      </c>
      <c r="CI195" s="162">
        <f>'IS Proforma'!CU40</f>
        <v>5207609.965</v>
      </c>
    </row>
    <row r="196" ht="15.75" customHeight="1">
      <c r="C196" s="1" t="s">
        <v>839</v>
      </c>
      <c r="P196" s="116">
        <f t="shared" ref="P196:CI196" si="152">SUM(P135:P164)</f>
        <v>51411</v>
      </c>
      <c r="Q196" s="116">
        <f t="shared" si="152"/>
        <v>54458</v>
      </c>
      <c r="R196" s="116">
        <f t="shared" si="152"/>
        <v>50669</v>
      </c>
      <c r="S196" s="116">
        <f t="shared" si="152"/>
        <v>55468</v>
      </c>
      <c r="T196" s="116">
        <f t="shared" si="152"/>
        <v>54967</v>
      </c>
      <c r="U196" s="116">
        <f t="shared" si="152"/>
        <v>54482</v>
      </c>
      <c r="V196" s="116">
        <f t="shared" si="152"/>
        <v>48598</v>
      </c>
      <c r="W196" s="116">
        <f t="shared" si="152"/>
        <v>48078</v>
      </c>
      <c r="X196" s="116">
        <f t="shared" si="152"/>
        <v>55225</v>
      </c>
      <c r="Y196" s="116">
        <f t="shared" si="152"/>
        <v>52417</v>
      </c>
      <c r="Z196" s="116">
        <f t="shared" si="152"/>
        <v>54541</v>
      </c>
      <c r="AA196" s="116">
        <f t="shared" si="152"/>
        <v>237164.2638</v>
      </c>
      <c r="AB196" s="116">
        <f t="shared" si="152"/>
        <v>308814.4546</v>
      </c>
      <c r="AC196" s="116">
        <f t="shared" si="152"/>
        <v>426340.2649</v>
      </c>
      <c r="AD196" s="116">
        <f t="shared" si="152"/>
        <v>335894.5776</v>
      </c>
      <c r="AE196" s="116">
        <f t="shared" si="152"/>
        <v>357096.5688</v>
      </c>
      <c r="AF196" s="116">
        <f t="shared" si="152"/>
        <v>484858.1641</v>
      </c>
      <c r="AG196" s="116">
        <f t="shared" si="152"/>
        <v>383586.1931</v>
      </c>
      <c r="AH196" s="116">
        <f t="shared" si="152"/>
        <v>514068.139</v>
      </c>
      <c r="AI196" s="116">
        <f t="shared" si="152"/>
        <v>428932.3573</v>
      </c>
      <c r="AJ196" s="116">
        <f t="shared" si="152"/>
        <v>568731.4862</v>
      </c>
      <c r="AK196" s="116">
        <f t="shared" si="152"/>
        <v>475825.0389</v>
      </c>
      <c r="AL196" s="116">
        <f t="shared" si="152"/>
        <v>499757.0341</v>
      </c>
      <c r="AM196" s="116">
        <f t="shared" si="152"/>
        <v>517258.8369</v>
      </c>
      <c r="AN196" s="116">
        <f t="shared" si="152"/>
        <v>791569.7971</v>
      </c>
      <c r="AO196" s="116">
        <f t="shared" si="152"/>
        <v>544516.3369</v>
      </c>
      <c r="AP196" s="116">
        <f t="shared" si="152"/>
        <v>543886.0659</v>
      </c>
      <c r="AQ196" s="116">
        <f t="shared" si="152"/>
        <v>545284.7979</v>
      </c>
      <c r="AR196" s="116">
        <f t="shared" si="152"/>
        <v>689709.7358</v>
      </c>
      <c r="AS196" s="116">
        <f t="shared" si="152"/>
        <v>562613.6019</v>
      </c>
      <c r="AT196" s="116">
        <f t="shared" si="152"/>
        <v>675187.5992</v>
      </c>
      <c r="AU196" s="116">
        <f t="shared" si="152"/>
        <v>573927.951</v>
      </c>
      <c r="AV196" s="116">
        <f t="shared" si="152"/>
        <v>724391.5551</v>
      </c>
      <c r="AW196" s="116">
        <f t="shared" si="152"/>
        <v>593979.271</v>
      </c>
      <c r="AX196" s="116">
        <f t="shared" si="152"/>
        <v>595448.444</v>
      </c>
      <c r="AY196" s="116">
        <f t="shared" si="152"/>
        <v>596912.8244</v>
      </c>
      <c r="AZ196" s="116">
        <f t="shared" si="152"/>
        <v>889882.2618</v>
      </c>
      <c r="BA196" s="116">
        <f t="shared" si="152"/>
        <v>642107.3806</v>
      </c>
      <c r="BB196" s="116">
        <f t="shared" si="152"/>
        <v>649139.3878</v>
      </c>
      <c r="BC196" s="116">
        <f t="shared" si="152"/>
        <v>656142.6994</v>
      </c>
      <c r="BD196" s="116">
        <f t="shared" si="152"/>
        <v>841689.1984</v>
      </c>
      <c r="BE196" s="116">
        <f t="shared" si="152"/>
        <v>707718.7372</v>
      </c>
      <c r="BF196" s="116">
        <f t="shared" si="152"/>
        <v>854807.619</v>
      </c>
      <c r="BG196" s="116">
        <f t="shared" si="152"/>
        <v>749114.1033</v>
      </c>
      <c r="BH196" s="116">
        <f t="shared" si="152"/>
        <v>925100.3246</v>
      </c>
      <c r="BI196" s="116">
        <f t="shared" si="152"/>
        <v>803860.6577</v>
      </c>
      <c r="BJ196" s="116">
        <f t="shared" si="152"/>
        <v>810752.5914</v>
      </c>
      <c r="BK196" s="116">
        <f t="shared" si="152"/>
        <v>817635.5637</v>
      </c>
      <c r="BL196" s="116">
        <f t="shared" si="152"/>
        <v>1149696.616</v>
      </c>
      <c r="BM196" s="116">
        <f t="shared" si="152"/>
        <v>883605.4228</v>
      </c>
      <c r="BN196" s="116">
        <f t="shared" si="152"/>
        <v>889658.4425</v>
      </c>
      <c r="BO196" s="116">
        <f t="shared" si="152"/>
        <v>913196.6293</v>
      </c>
      <c r="BP196" s="116">
        <f t="shared" si="152"/>
        <v>1118389.106</v>
      </c>
      <c r="BQ196" s="116">
        <f t="shared" si="152"/>
        <v>957701.9202</v>
      </c>
      <c r="BR196" s="116">
        <f t="shared" si="152"/>
        <v>1106518.447</v>
      </c>
      <c r="BS196" s="116">
        <f t="shared" si="152"/>
        <v>992130.4248</v>
      </c>
      <c r="BT196" s="116">
        <f t="shared" si="152"/>
        <v>1195834.754</v>
      </c>
      <c r="BU196" s="116">
        <f t="shared" si="152"/>
        <v>1048367.453</v>
      </c>
      <c r="BV196" s="116">
        <f t="shared" si="152"/>
        <v>1055493.056</v>
      </c>
      <c r="BW196" s="116">
        <f t="shared" si="152"/>
        <v>1062628.814</v>
      </c>
      <c r="BX196" s="116">
        <f t="shared" si="152"/>
        <v>1430918.836</v>
      </c>
      <c r="BY196" s="116">
        <f t="shared" si="152"/>
        <v>1143318.872</v>
      </c>
      <c r="BZ196" s="116">
        <f t="shared" si="152"/>
        <v>1147218.959</v>
      </c>
      <c r="CA196" s="116">
        <f t="shared" si="152"/>
        <v>1148347.185</v>
      </c>
      <c r="CB196" s="116">
        <f t="shared" si="152"/>
        <v>1363487.746</v>
      </c>
      <c r="CC196" s="116">
        <f t="shared" si="152"/>
        <v>1188734.479</v>
      </c>
      <c r="CD196" s="116">
        <f t="shared" si="152"/>
        <v>1298849.574</v>
      </c>
      <c r="CE196" s="116">
        <f t="shared" si="152"/>
        <v>1203287.662</v>
      </c>
      <c r="CF196" s="116">
        <f t="shared" si="152"/>
        <v>1423260.933</v>
      </c>
      <c r="CG196" s="116">
        <f t="shared" si="152"/>
        <v>1246246.182</v>
      </c>
      <c r="CH196" s="116">
        <f t="shared" si="152"/>
        <v>1252810.722</v>
      </c>
      <c r="CI196" s="116">
        <f t="shared" si="152"/>
        <v>1259384.678</v>
      </c>
    </row>
    <row r="197" ht="15.75" customHeight="1">
      <c r="C197" s="1" t="s">
        <v>840</v>
      </c>
      <c r="P197" s="137">
        <f t="shared" ref="P197:CI197" si="153">P195-P196</f>
        <v>1272903</v>
      </c>
      <c r="Q197" s="137">
        <f t="shared" si="153"/>
        <v>1022857</v>
      </c>
      <c r="R197" s="137">
        <f t="shared" si="153"/>
        <v>1145828</v>
      </c>
      <c r="S197" s="137">
        <f t="shared" si="153"/>
        <v>1191684</v>
      </c>
      <c r="T197" s="137">
        <f t="shared" si="153"/>
        <v>1285672</v>
      </c>
      <c r="U197" s="137">
        <f t="shared" si="153"/>
        <v>1092844</v>
      </c>
      <c r="V197" s="137">
        <f t="shared" si="153"/>
        <v>1250192</v>
      </c>
      <c r="W197" s="137">
        <f t="shared" si="153"/>
        <v>1427108</v>
      </c>
      <c r="X197" s="137">
        <f t="shared" si="153"/>
        <v>1370972</v>
      </c>
      <c r="Y197" s="137">
        <f t="shared" si="153"/>
        <v>1186197</v>
      </c>
      <c r="Z197" s="137">
        <f t="shared" si="153"/>
        <v>1233174</v>
      </c>
      <c r="AA197" s="137">
        <f t="shared" si="153"/>
        <v>992387.4932</v>
      </c>
      <c r="AB197" s="137">
        <f t="shared" si="153"/>
        <v>1161809.321</v>
      </c>
      <c r="AC197" s="137">
        <f t="shared" si="153"/>
        <v>1278344.36</v>
      </c>
      <c r="AD197" s="137">
        <f t="shared" si="153"/>
        <v>1582008.325</v>
      </c>
      <c r="AE197" s="137">
        <f t="shared" si="153"/>
        <v>1771020.495</v>
      </c>
      <c r="AF197" s="137">
        <f t="shared" si="153"/>
        <v>1849794.727</v>
      </c>
      <c r="AG197" s="137">
        <f t="shared" si="153"/>
        <v>2167835.418</v>
      </c>
      <c r="AH197" s="137">
        <f t="shared" si="153"/>
        <v>2211119.289</v>
      </c>
      <c r="AI197" s="137">
        <f t="shared" si="153"/>
        <v>2481235.678</v>
      </c>
      <c r="AJ197" s="137">
        <f t="shared" si="153"/>
        <v>2512529.159</v>
      </c>
      <c r="AK197" s="137">
        <f t="shared" si="153"/>
        <v>2764366.162</v>
      </c>
      <c r="AL197" s="137">
        <f t="shared" si="153"/>
        <v>2906501.7</v>
      </c>
      <c r="AM197" s="137">
        <f t="shared" si="153"/>
        <v>3043509.474</v>
      </c>
      <c r="AN197" s="137">
        <f t="shared" si="153"/>
        <v>2869282.66</v>
      </c>
      <c r="AO197" s="137">
        <f t="shared" si="153"/>
        <v>3119791.202</v>
      </c>
      <c r="AP197" s="137">
        <f t="shared" si="153"/>
        <v>3149561.737</v>
      </c>
      <c r="AQ197" s="137">
        <f t="shared" si="153"/>
        <v>3203305.951</v>
      </c>
      <c r="AR197" s="137">
        <f t="shared" si="153"/>
        <v>3092964.537</v>
      </c>
      <c r="AS197" s="137">
        <f t="shared" si="153"/>
        <v>3274549.891</v>
      </c>
      <c r="AT197" s="137">
        <f t="shared" si="153"/>
        <v>3188335.606</v>
      </c>
      <c r="AU197" s="137">
        <f t="shared" si="153"/>
        <v>3341498.288</v>
      </c>
      <c r="AV197" s="137">
        <f t="shared" si="153"/>
        <v>3220497.563</v>
      </c>
      <c r="AW197" s="137">
        <f t="shared" si="153"/>
        <v>3394886.514</v>
      </c>
      <c r="AX197" s="137">
        <f t="shared" si="153"/>
        <v>3429652.938</v>
      </c>
      <c r="AY197" s="137">
        <f t="shared" si="153"/>
        <v>3484470.684</v>
      </c>
      <c r="AZ197" s="137">
        <f t="shared" si="153"/>
        <v>3272973.765</v>
      </c>
      <c r="BA197" s="137">
        <f t="shared" si="153"/>
        <v>3569554.689</v>
      </c>
      <c r="BB197" s="137">
        <f t="shared" si="153"/>
        <v>3630156.597</v>
      </c>
      <c r="BC197" s="137">
        <f t="shared" si="153"/>
        <v>3664761.415</v>
      </c>
      <c r="BD197" s="137">
        <f t="shared" si="153"/>
        <v>3538652.046</v>
      </c>
      <c r="BE197" s="137">
        <f t="shared" si="153"/>
        <v>3741494.885</v>
      </c>
      <c r="BF197" s="137">
        <f t="shared" si="153"/>
        <v>3653629.164</v>
      </c>
      <c r="BG197" s="137">
        <f t="shared" si="153"/>
        <v>3832452.737</v>
      </c>
      <c r="BH197" s="137">
        <f t="shared" si="153"/>
        <v>3692245.524</v>
      </c>
      <c r="BI197" s="137">
        <f t="shared" si="153"/>
        <v>3868806.453</v>
      </c>
      <c r="BJ197" s="137">
        <f t="shared" si="153"/>
        <v>3938681.673</v>
      </c>
      <c r="BK197" s="137">
        <f t="shared" si="153"/>
        <v>3970253.657</v>
      </c>
      <c r="BL197" s="137">
        <f t="shared" si="153"/>
        <v>3644268.154</v>
      </c>
      <c r="BM197" s="137">
        <f t="shared" si="153"/>
        <v>3759865.668</v>
      </c>
      <c r="BN197" s="137">
        <f t="shared" si="153"/>
        <v>3728503.358</v>
      </c>
      <c r="BO197" s="137">
        <f t="shared" si="153"/>
        <v>3762075.36</v>
      </c>
      <c r="BP197" s="137">
        <f t="shared" si="153"/>
        <v>3570935.589</v>
      </c>
      <c r="BQ197" s="137">
        <f t="shared" si="153"/>
        <v>3798058.899</v>
      </c>
      <c r="BR197" s="137">
        <f t="shared" si="153"/>
        <v>3690642.359</v>
      </c>
      <c r="BS197" s="137">
        <f t="shared" si="153"/>
        <v>3854326.694</v>
      </c>
      <c r="BT197" s="137">
        <f t="shared" si="153"/>
        <v>3657951.356</v>
      </c>
      <c r="BU197" s="137">
        <f t="shared" si="153"/>
        <v>3870640.869</v>
      </c>
      <c r="BV197" s="137">
        <f t="shared" si="153"/>
        <v>3887906.353</v>
      </c>
      <c r="BW197" s="137">
        <f t="shared" si="153"/>
        <v>3953944.628</v>
      </c>
      <c r="BX197" s="137">
        <f t="shared" si="153"/>
        <v>3589536.47</v>
      </c>
      <c r="BY197" s="137">
        <f t="shared" si="153"/>
        <v>3875251.984</v>
      </c>
      <c r="BZ197" s="137">
        <f t="shared" si="153"/>
        <v>3899533.59</v>
      </c>
      <c r="CA197" s="137">
        <f t="shared" si="153"/>
        <v>3920278.241</v>
      </c>
      <c r="CB197" s="137">
        <f t="shared" si="153"/>
        <v>3692546.992</v>
      </c>
      <c r="CC197" s="137">
        <f t="shared" si="153"/>
        <v>3882445.312</v>
      </c>
      <c r="CD197" s="137">
        <f t="shared" si="153"/>
        <v>3804654.185</v>
      </c>
      <c r="CE197" s="137">
        <f t="shared" si="153"/>
        <v>3949580.91</v>
      </c>
      <c r="CF197" s="137">
        <f t="shared" si="153"/>
        <v>3695582.615</v>
      </c>
      <c r="CG197" s="137">
        <f t="shared" si="153"/>
        <v>3921979.218</v>
      </c>
      <c r="CH197" s="137">
        <f t="shared" si="153"/>
        <v>3930890.733</v>
      </c>
      <c r="CI197" s="137">
        <f t="shared" si="153"/>
        <v>3948225.287</v>
      </c>
    </row>
    <row r="198" ht="15.75" customHeight="1">
      <c r="C198" s="1" t="s">
        <v>106</v>
      </c>
      <c r="P198" s="125">
        <f t="shared" ref="P198:CI198" si="154">(P195-P196)/P194</f>
        <v>0.9449833743</v>
      </c>
      <c r="Q198" s="125">
        <f t="shared" si="154"/>
        <v>0.9293242332</v>
      </c>
      <c r="R198" s="125">
        <f t="shared" si="154"/>
        <v>0.9375809562</v>
      </c>
      <c r="S198" s="125">
        <f t="shared" si="154"/>
        <v>0.9374525053</v>
      </c>
      <c r="T198" s="125">
        <f t="shared" si="154"/>
        <v>0.9427482623</v>
      </c>
      <c r="U198" s="125">
        <f t="shared" si="154"/>
        <v>0.9355267562</v>
      </c>
      <c r="V198" s="125">
        <f t="shared" si="154"/>
        <v>0.9445633992</v>
      </c>
      <c r="W198" s="125">
        <f t="shared" si="154"/>
        <v>0.9539147651</v>
      </c>
      <c r="X198" s="125">
        <f t="shared" si="154"/>
        <v>0.9445032714</v>
      </c>
      <c r="Y198" s="125">
        <f t="shared" si="154"/>
        <v>0.9390777508</v>
      </c>
      <c r="Z198" s="125">
        <f t="shared" si="154"/>
        <v>0.9420056925</v>
      </c>
      <c r="AA198" s="125">
        <f t="shared" si="154"/>
        <v>0.7009422662</v>
      </c>
      <c r="AB198" s="125">
        <f t="shared" si="154"/>
        <v>0.6967554451</v>
      </c>
      <c r="AC198" s="125">
        <f t="shared" si="154"/>
        <v>0.6671371319</v>
      </c>
      <c r="AD198" s="125">
        <f t="shared" si="154"/>
        <v>0.7379018337</v>
      </c>
      <c r="AE198" s="125">
        <f t="shared" si="154"/>
        <v>0.7497873027</v>
      </c>
      <c r="AF198" s="125">
        <f t="shared" si="154"/>
        <v>0.7173267687</v>
      </c>
      <c r="AG198" s="125">
        <f t="shared" si="154"/>
        <v>0.7751363858</v>
      </c>
      <c r="AH198" s="125">
        <f t="shared" si="154"/>
        <v>0.7387109767</v>
      </c>
      <c r="AI198" s="125">
        <f t="shared" si="154"/>
        <v>0.7788133359</v>
      </c>
      <c r="AJ198" s="125">
        <f t="shared" si="154"/>
        <v>0.7445438138</v>
      </c>
      <c r="AK198" s="125">
        <f t="shared" si="154"/>
        <v>0.7786994819</v>
      </c>
      <c r="AL198" s="125">
        <f t="shared" si="154"/>
        <v>0.7805466732</v>
      </c>
      <c r="AM198" s="125">
        <f t="shared" si="154"/>
        <v>0.7804755449</v>
      </c>
      <c r="AN198" s="125">
        <f t="shared" si="154"/>
        <v>0.7044091802</v>
      </c>
      <c r="AO198" s="125">
        <f t="shared" si="154"/>
        <v>0.7601340794</v>
      </c>
      <c r="AP198" s="125">
        <f t="shared" si="154"/>
        <v>0.7593600775</v>
      </c>
      <c r="AQ198" s="125">
        <f t="shared" si="154"/>
        <v>0.7619856947</v>
      </c>
      <c r="AR198" s="125">
        <f t="shared" si="154"/>
        <v>0.7254351925</v>
      </c>
      <c r="AS198" s="125">
        <f t="shared" si="154"/>
        <v>0.7569996168</v>
      </c>
      <c r="AT198" s="125">
        <f t="shared" si="154"/>
        <v>0.7267501458</v>
      </c>
      <c r="AU198" s="125">
        <f t="shared" si="154"/>
        <v>0.7490028837</v>
      </c>
      <c r="AV198" s="125">
        <f t="shared" si="154"/>
        <v>0.7123246575</v>
      </c>
      <c r="AW198" s="125">
        <f t="shared" si="154"/>
        <v>0.7412243624</v>
      </c>
      <c r="AX198" s="125">
        <f t="shared" si="154"/>
        <v>0.7394221377</v>
      </c>
      <c r="AY198" s="125">
        <f t="shared" si="154"/>
        <v>0.7420566363</v>
      </c>
      <c r="AZ198" s="125">
        <f t="shared" si="154"/>
        <v>0.6789370071</v>
      </c>
      <c r="BA198" s="125">
        <f t="shared" si="154"/>
        <v>0.7262785587</v>
      </c>
      <c r="BB198" s="125">
        <f t="shared" si="154"/>
        <v>0.7251498391</v>
      </c>
      <c r="BC198" s="125">
        <f t="shared" si="154"/>
        <v>0.7192926065</v>
      </c>
      <c r="BD198" s="125">
        <f t="shared" si="154"/>
        <v>0.6828952293</v>
      </c>
      <c r="BE198" s="125">
        <f t="shared" si="154"/>
        <v>0.710370241</v>
      </c>
      <c r="BF198" s="125">
        <f t="shared" si="154"/>
        <v>0.6828562928</v>
      </c>
      <c r="BG198" s="125">
        <f t="shared" si="154"/>
        <v>0.7054525203</v>
      </c>
      <c r="BH198" s="125">
        <f t="shared" si="154"/>
        <v>0.6696851337</v>
      </c>
      <c r="BI198" s="125">
        <f t="shared" si="154"/>
        <v>0.6917252205</v>
      </c>
      <c r="BJ198" s="125">
        <f t="shared" si="154"/>
        <v>0.6944767945</v>
      </c>
      <c r="BK198" s="125">
        <f t="shared" si="154"/>
        <v>0.6906164323</v>
      </c>
      <c r="BL198" s="125">
        <f t="shared" si="154"/>
        <v>0.6218099926</v>
      </c>
      <c r="BM198" s="125">
        <f t="shared" si="154"/>
        <v>0.6321659611</v>
      </c>
      <c r="BN198" s="125">
        <f t="shared" si="154"/>
        <v>0.6187105077</v>
      </c>
      <c r="BO198" s="125">
        <f t="shared" si="154"/>
        <v>0.6163951388</v>
      </c>
      <c r="BP198" s="125">
        <f t="shared" si="154"/>
        <v>0.57781476</v>
      </c>
      <c r="BQ198" s="125">
        <f t="shared" si="154"/>
        <v>0.607064165</v>
      </c>
      <c r="BR198" s="125">
        <f t="shared" si="154"/>
        <v>0.5828093803</v>
      </c>
      <c r="BS198" s="125">
        <f t="shared" si="154"/>
        <v>0.6014569227</v>
      </c>
      <c r="BT198" s="125">
        <f t="shared" si="154"/>
        <v>0.5641569401</v>
      </c>
      <c r="BU198" s="125">
        <f t="shared" si="154"/>
        <v>0.5900931998</v>
      </c>
      <c r="BV198" s="125">
        <f t="shared" si="154"/>
        <v>0.5859956707</v>
      </c>
      <c r="BW198" s="125">
        <f t="shared" si="154"/>
        <v>0.5892653819</v>
      </c>
      <c r="BX198" s="125">
        <f t="shared" si="154"/>
        <v>0.5268759224</v>
      </c>
      <c r="BY198" s="125">
        <f t="shared" si="154"/>
        <v>0.5648255927</v>
      </c>
      <c r="BZ198" s="125">
        <f t="shared" si="154"/>
        <v>0.564581134</v>
      </c>
      <c r="CA198" s="125">
        <f t="shared" si="154"/>
        <v>0.5636366642</v>
      </c>
      <c r="CB198" s="125">
        <f t="shared" si="154"/>
        <v>0.5271222738</v>
      </c>
      <c r="CC198" s="125">
        <f t="shared" si="154"/>
        <v>0.550270136</v>
      </c>
      <c r="CD198" s="125">
        <f t="shared" si="154"/>
        <v>0.5353935157</v>
      </c>
      <c r="CE198" s="125">
        <f t="shared" si="154"/>
        <v>0.5518336926</v>
      </c>
      <c r="CF198" s="125">
        <f t="shared" si="154"/>
        <v>0.5126922326</v>
      </c>
      <c r="CG198" s="125">
        <f t="shared" si="154"/>
        <v>0.5402763868</v>
      </c>
      <c r="CH198" s="125">
        <f t="shared" si="154"/>
        <v>0.5377249327</v>
      </c>
      <c r="CI198" s="125">
        <f t="shared" si="154"/>
        <v>0.5363541269</v>
      </c>
    </row>
    <row r="199" ht="15.75" customHeight="1">
      <c r="C199" s="1" t="s">
        <v>841</v>
      </c>
      <c r="P199" s="126">
        <f t="shared" ref="P199:W199" si="155">P194*($C$201)</f>
        <v>606154.95</v>
      </c>
      <c r="Q199" s="126">
        <f t="shared" si="155"/>
        <v>495290.7</v>
      </c>
      <c r="R199" s="126">
        <f t="shared" si="155"/>
        <v>549949.95</v>
      </c>
      <c r="S199" s="126">
        <f t="shared" si="155"/>
        <v>572037.3</v>
      </c>
      <c r="T199" s="126">
        <f t="shared" si="155"/>
        <v>613687.05</v>
      </c>
      <c r="U199" s="126">
        <f t="shared" si="155"/>
        <v>525671.55</v>
      </c>
      <c r="V199" s="126">
        <f t="shared" si="155"/>
        <v>595604.7</v>
      </c>
      <c r="W199" s="126">
        <f t="shared" si="155"/>
        <v>673224.3</v>
      </c>
      <c r="X199" s="126">
        <f t="shared" ref="X199:CI199" si="156">X194*($C$202)</f>
        <v>653187.15</v>
      </c>
      <c r="Y199" s="126">
        <f t="shared" si="156"/>
        <v>568417.95</v>
      </c>
      <c r="Z199" s="126">
        <f t="shared" si="156"/>
        <v>589092.3</v>
      </c>
      <c r="AA199" s="126">
        <f t="shared" si="156"/>
        <v>637105.7838</v>
      </c>
      <c r="AB199" s="126">
        <f t="shared" si="156"/>
        <v>750355.3764</v>
      </c>
      <c r="AC199" s="126">
        <f t="shared" si="156"/>
        <v>862273.938</v>
      </c>
      <c r="AD199" s="126">
        <f t="shared" si="156"/>
        <v>964767.5526</v>
      </c>
      <c r="AE199" s="126">
        <f t="shared" si="156"/>
        <v>1062913.735</v>
      </c>
      <c r="AF199" s="126">
        <f t="shared" si="156"/>
        <v>1160430.174</v>
      </c>
      <c r="AG199" s="126">
        <f t="shared" si="156"/>
        <v>1258521.669</v>
      </c>
      <c r="AH199" s="126">
        <f t="shared" si="156"/>
        <v>1346945.844</v>
      </c>
      <c r="AI199" s="126">
        <f t="shared" si="156"/>
        <v>1433663.246</v>
      </c>
      <c r="AJ199" s="126">
        <f t="shared" si="156"/>
        <v>1518564.926</v>
      </c>
      <c r="AK199" s="126">
        <f t="shared" si="156"/>
        <v>1597490.177</v>
      </c>
      <c r="AL199" s="126">
        <f t="shared" si="156"/>
        <v>1675653.5</v>
      </c>
      <c r="AM199" s="126">
        <f t="shared" si="156"/>
        <v>1754800.996</v>
      </c>
      <c r="AN199" s="126">
        <f t="shared" si="156"/>
        <v>1832993.143</v>
      </c>
      <c r="AO199" s="126">
        <f t="shared" si="156"/>
        <v>1846918.957</v>
      </c>
      <c r="AP199" s="126">
        <f t="shared" si="156"/>
        <v>1866443.633</v>
      </c>
      <c r="AQ199" s="126">
        <f t="shared" si="156"/>
        <v>1891751.627</v>
      </c>
      <c r="AR199" s="126">
        <f t="shared" si="156"/>
        <v>1918619.411</v>
      </c>
      <c r="AS199" s="126">
        <f t="shared" si="156"/>
        <v>1946563.008</v>
      </c>
      <c r="AT199" s="126">
        <f t="shared" si="156"/>
        <v>1974201.218</v>
      </c>
      <c r="AU199" s="126">
        <f t="shared" si="156"/>
        <v>2007568.011</v>
      </c>
      <c r="AV199" s="126">
        <f t="shared" si="156"/>
        <v>2034499.141</v>
      </c>
      <c r="AW199" s="126">
        <f t="shared" si="156"/>
        <v>2061047.921</v>
      </c>
      <c r="AX199" s="126">
        <f t="shared" si="156"/>
        <v>2087229.667</v>
      </c>
      <c r="AY199" s="126">
        <f t="shared" si="156"/>
        <v>2113062.173</v>
      </c>
      <c r="AZ199" s="126">
        <f t="shared" si="156"/>
        <v>2169329.671</v>
      </c>
      <c r="BA199" s="126">
        <f t="shared" si="156"/>
        <v>2211685.297</v>
      </c>
      <c r="BB199" s="126">
        <f t="shared" si="156"/>
        <v>2252735.063</v>
      </c>
      <c r="BC199" s="126">
        <f t="shared" si="156"/>
        <v>2292728.47</v>
      </c>
      <c r="BD199" s="126">
        <f t="shared" si="156"/>
        <v>2331826.834</v>
      </c>
      <c r="BE199" s="126">
        <f t="shared" si="156"/>
        <v>2370134.053</v>
      </c>
      <c r="BF199" s="126">
        <f t="shared" si="156"/>
        <v>2407729.329</v>
      </c>
      <c r="BG199" s="126">
        <f t="shared" si="156"/>
        <v>2444677.256</v>
      </c>
      <c r="BH199" s="126">
        <f t="shared" si="156"/>
        <v>2481032.357</v>
      </c>
      <c r="BI199" s="126">
        <f t="shared" si="156"/>
        <v>2516841.735</v>
      </c>
      <c r="BJ199" s="126">
        <f t="shared" si="156"/>
        <v>2552146.834</v>
      </c>
      <c r="BK199" s="126">
        <f t="shared" si="156"/>
        <v>2586984.702</v>
      </c>
      <c r="BL199" s="126">
        <f t="shared" si="156"/>
        <v>2637334.055</v>
      </c>
      <c r="BM199" s="126">
        <f t="shared" si="156"/>
        <v>2676416.724</v>
      </c>
      <c r="BN199" s="126">
        <f t="shared" si="156"/>
        <v>2711811.89</v>
      </c>
      <c r="BO199" s="126">
        <f t="shared" si="156"/>
        <v>2746507.565</v>
      </c>
      <c r="BP199" s="126">
        <f t="shared" si="156"/>
        <v>2781031.442</v>
      </c>
      <c r="BQ199" s="126">
        <f t="shared" si="156"/>
        <v>2815396.795</v>
      </c>
      <c r="BR199" s="126">
        <f t="shared" si="156"/>
        <v>2849626.512</v>
      </c>
      <c r="BS199" s="126">
        <f t="shared" si="156"/>
        <v>2883742.704</v>
      </c>
      <c r="BT199" s="126">
        <f t="shared" si="156"/>
        <v>2917766.304</v>
      </c>
      <c r="BU199" s="126">
        <f t="shared" si="156"/>
        <v>2951717.444</v>
      </c>
      <c r="BV199" s="126">
        <f t="shared" si="156"/>
        <v>2985615.673</v>
      </c>
      <c r="BW199" s="126">
        <f t="shared" si="156"/>
        <v>3019480.08</v>
      </c>
      <c r="BX199" s="126">
        <f t="shared" si="156"/>
        <v>3065790.905</v>
      </c>
      <c r="BY199" s="126">
        <f t="shared" si="156"/>
        <v>3087436.928</v>
      </c>
      <c r="BZ199" s="126">
        <f t="shared" si="156"/>
        <v>3108127.442</v>
      </c>
      <c r="CA199" s="126">
        <f t="shared" si="156"/>
        <v>3129897.894</v>
      </c>
      <c r="CB199" s="126">
        <f t="shared" si="156"/>
        <v>3152297.35</v>
      </c>
      <c r="CC199" s="126">
        <f t="shared" si="156"/>
        <v>3174986.75</v>
      </c>
      <c r="CD199" s="126">
        <f t="shared" si="156"/>
        <v>3197824.279</v>
      </c>
      <c r="CE199" s="126">
        <f t="shared" si="156"/>
        <v>3220737.395</v>
      </c>
      <c r="CF199" s="126">
        <f t="shared" si="156"/>
        <v>3243685.141</v>
      </c>
      <c r="CG199" s="126">
        <f t="shared" si="156"/>
        <v>3266644.057</v>
      </c>
      <c r="CH199" s="126">
        <f t="shared" si="156"/>
        <v>3289601.658</v>
      </c>
      <c r="CI199" s="126">
        <f t="shared" si="156"/>
        <v>3312552.827</v>
      </c>
    </row>
    <row r="200" ht="15.75" customHeight="1">
      <c r="C200" s="1" t="s">
        <v>842</v>
      </c>
      <c r="R200" s="137">
        <f t="shared" ref="R200:CI200" si="157">IF(R197&gt;R199,R197-R199,0)</f>
        <v>595878.05</v>
      </c>
      <c r="S200" s="137">
        <f t="shared" si="157"/>
        <v>619646.7</v>
      </c>
      <c r="T200" s="137">
        <f t="shared" si="157"/>
        <v>671984.95</v>
      </c>
      <c r="U200" s="137">
        <f t="shared" si="157"/>
        <v>567172.45</v>
      </c>
      <c r="V200" s="137">
        <f t="shared" si="157"/>
        <v>654587.3</v>
      </c>
      <c r="W200" s="137">
        <f t="shared" si="157"/>
        <v>753883.7</v>
      </c>
      <c r="X200" s="137">
        <f t="shared" si="157"/>
        <v>717784.85</v>
      </c>
      <c r="Y200" s="137">
        <f t="shared" si="157"/>
        <v>617779.05</v>
      </c>
      <c r="Z200" s="137">
        <f t="shared" si="157"/>
        <v>644081.7</v>
      </c>
      <c r="AA200" s="137">
        <f t="shared" si="157"/>
        <v>355281.7094</v>
      </c>
      <c r="AB200" s="137">
        <f t="shared" si="157"/>
        <v>411453.9441</v>
      </c>
      <c r="AC200" s="137">
        <f t="shared" si="157"/>
        <v>416070.4217</v>
      </c>
      <c r="AD200" s="137">
        <f t="shared" si="157"/>
        <v>617240.7721</v>
      </c>
      <c r="AE200" s="137">
        <f t="shared" si="157"/>
        <v>708106.7594</v>
      </c>
      <c r="AF200" s="137">
        <f t="shared" si="157"/>
        <v>689364.5529</v>
      </c>
      <c r="AG200" s="137">
        <f t="shared" si="157"/>
        <v>909313.7487</v>
      </c>
      <c r="AH200" s="137">
        <f t="shared" si="157"/>
        <v>864173.445</v>
      </c>
      <c r="AI200" s="137">
        <f t="shared" si="157"/>
        <v>1047572.432</v>
      </c>
      <c r="AJ200" s="137">
        <f t="shared" si="157"/>
        <v>993964.2331</v>
      </c>
      <c r="AK200" s="137">
        <f t="shared" si="157"/>
        <v>1166875.985</v>
      </c>
      <c r="AL200" s="137">
        <f t="shared" si="157"/>
        <v>1230848.2</v>
      </c>
      <c r="AM200" s="137">
        <f t="shared" si="157"/>
        <v>1288708.478</v>
      </c>
      <c r="AN200" s="137">
        <f t="shared" si="157"/>
        <v>1036289.517</v>
      </c>
      <c r="AO200" s="137">
        <f t="shared" si="157"/>
        <v>1272872.245</v>
      </c>
      <c r="AP200" s="137">
        <f t="shared" si="157"/>
        <v>1283118.105</v>
      </c>
      <c r="AQ200" s="137">
        <f t="shared" si="157"/>
        <v>1311554.324</v>
      </c>
      <c r="AR200" s="137">
        <f t="shared" si="157"/>
        <v>1174345.126</v>
      </c>
      <c r="AS200" s="137">
        <f t="shared" si="157"/>
        <v>1327986.883</v>
      </c>
      <c r="AT200" s="137">
        <f t="shared" si="157"/>
        <v>1214134.389</v>
      </c>
      <c r="AU200" s="137">
        <f t="shared" si="157"/>
        <v>1333930.277</v>
      </c>
      <c r="AV200" s="137">
        <f t="shared" si="157"/>
        <v>1185998.423</v>
      </c>
      <c r="AW200" s="137">
        <f t="shared" si="157"/>
        <v>1333838.593</v>
      </c>
      <c r="AX200" s="137">
        <f t="shared" si="157"/>
        <v>1342423.271</v>
      </c>
      <c r="AY200" s="137">
        <f t="shared" si="157"/>
        <v>1371408.512</v>
      </c>
      <c r="AZ200" s="137">
        <f t="shared" si="157"/>
        <v>1103644.094</v>
      </c>
      <c r="BA200" s="137">
        <f t="shared" si="157"/>
        <v>1357869.391</v>
      </c>
      <c r="BB200" s="137">
        <f t="shared" si="157"/>
        <v>1377421.534</v>
      </c>
      <c r="BC200" s="137">
        <f t="shared" si="157"/>
        <v>1372032.946</v>
      </c>
      <c r="BD200" s="137">
        <f t="shared" si="157"/>
        <v>1206825.211</v>
      </c>
      <c r="BE200" s="137">
        <f t="shared" si="157"/>
        <v>1371360.832</v>
      </c>
      <c r="BF200" s="137">
        <f t="shared" si="157"/>
        <v>1245899.835</v>
      </c>
      <c r="BG200" s="137">
        <f t="shared" si="157"/>
        <v>1387775.481</v>
      </c>
      <c r="BH200" s="137">
        <f t="shared" si="157"/>
        <v>1211213.167</v>
      </c>
      <c r="BI200" s="137">
        <f t="shared" si="157"/>
        <v>1351964.719</v>
      </c>
      <c r="BJ200" s="137">
        <f t="shared" si="157"/>
        <v>1386534.838</v>
      </c>
      <c r="BK200" s="137">
        <f t="shared" si="157"/>
        <v>1383268.955</v>
      </c>
      <c r="BL200" s="137">
        <f t="shared" si="157"/>
        <v>1006934.099</v>
      </c>
      <c r="BM200" s="137">
        <f t="shared" si="157"/>
        <v>1083448.944</v>
      </c>
      <c r="BN200" s="137">
        <f t="shared" si="157"/>
        <v>1016691.468</v>
      </c>
      <c r="BO200" s="137">
        <f t="shared" si="157"/>
        <v>1015567.794</v>
      </c>
      <c r="BP200" s="137">
        <f t="shared" si="157"/>
        <v>789904.1476</v>
      </c>
      <c r="BQ200" s="137">
        <f t="shared" si="157"/>
        <v>982662.104</v>
      </c>
      <c r="BR200" s="137">
        <f t="shared" si="157"/>
        <v>841015.8468</v>
      </c>
      <c r="BS200" s="137">
        <f t="shared" si="157"/>
        <v>970583.9904</v>
      </c>
      <c r="BT200" s="137">
        <f t="shared" si="157"/>
        <v>740185.0516</v>
      </c>
      <c r="BU200" s="137">
        <f t="shared" si="157"/>
        <v>918923.4258</v>
      </c>
      <c r="BV200" s="137">
        <f t="shared" si="157"/>
        <v>902290.6799</v>
      </c>
      <c r="BW200" s="137">
        <f t="shared" si="157"/>
        <v>934464.5476</v>
      </c>
      <c r="BX200" s="137">
        <f t="shared" si="157"/>
        <v>523745.5642</v>
      </c>
      <c r="BY200" s="137">
        <f t="shared" si="157"/>
        <v>787815.0561</v>
      </c>
      <c r="BZ200" s="137">
        <f t="shared" si="157"/>
        <v>791406.1486</v>
      </c>
      <c r="CA200" s="137">
        <f t="shared" si="157"/>
        <v>790380.3467</v>
      </c>
      <c r="CB200" s="137">
        <f t="shared" si="157"/>
        <v>540249.6427</v>
      </c>
      <c r="CC200" s="137">
        <f t="shared" si="157"/>
        <v>707458.5629</v>
      </c>
      <c r="CD200" s="137">
        <f t="shared" si="157"/>
        <v>606829.9063</v>
      </c>
      <c r="CE200" s="137">
        <f t="shared" si="157"/>
        <v>728843.5148</v>
      </c>
      <c r="CF200" s="137">
        <f t="shared" si="157"/>
        <v>451897.4744</v>
      </c>
      <c r="CG200" s="137">
        <f t="shared" si="157"/>
        <v>655335.1612</v>
      </c>
      <c r="CH200" s="137">
        <f t="shared" si="157"/>
        <v>641289.0754</v>
      </c>
      <c r="CI200" s="137">
        <f t="shared" si="157"/>
        <v>635672.4604</v>
      </c>
    </row>
    <row r="201" ht="15.75" customHeight="1">
      <c r="A201" s="1" t="s">
        <v>843</v>
      </c>
      <c r="B201" s="1" t="s">
        <v>53</v>
      </c>
      <c r="C201" s="252">
        <v>0.45</v>
      </c>
      <c r="T201" s="117"/>
    </row>
    <row r="202" ht="15.75" customHeight="1">
      <c r="B202" s="323" t="s">
        <v>844</v>
      </c>
      <c r="C202" s="252">
        <v>0.45</v>
      </c>
      <c r="T202" s="117"/>
      <c r="AA202" s="125">
        <f>AA199/AA194</f>
        <v>0.45</v>
      </c>
    </row>
    <row r="203" ht="15.75" customHeight="1">
      <c r="T203" s="117"/>
    </row>
    <row r="204" ht="15.75" customHeight="1">
      <c r="T204" s="117"/>
    </row>
    <row r="205" ht="15.75" customHeight="1">
      <c r="T205" s="117"/>
    </row>
    <row r="206" ht="15.75" customHeight="1">
      <c r="T206" s="117"/>
    </row>
    <row r="207" ht="15.75" customHeight="1">
      <c r="T207" s="117"/>
    </row>
    <row r="208" ht="15.75" customHeight="1">
      <c r="T208" s="117"/>
    </row>
    <row r="209" ht="15.75" customHeight="1">
      <c r="T209" s="117"/>
    </row>
    <row r="210" ht="15.75" customHeight="1">
      <c r="T210" s="117"/>
    </row>
    <row r="211" ht="15.75" customHeight="1">
      <c r="T211" s="117"/>
    </row>
    <row r="212" ht="15.75" customHeight="1">
      <c r="T212" s="117"/>
    </row>
    <row r="213" ht="15.75" customHeight="1">
      <c r="T213" s="117"/>
    </row>
    <row r="214" ht="15.75" customHeight="1">
      <c r="T214" s="117"/>
    </row>
    <row r="215" ht="15.75" customHeight="1">
      <c r="T215" s="117"/>
    </row>
    <row r="216" ht="15.75" customHeight="1">
      <c r="T216" s="117"/>
    </row>
    <row r="217" ht="15.75" customHeight="1">
      <c r="T217" s="117"/>
    </row>
    <row r="218" ht="15.75" customHeight="1">
      <c r="T218" s="117"/>
    </row>
    <row r="219" ht="15.75" customHeight="1">
      <c r="T219" s="117"/>
    </row>
    <row r="220" ht="15.75" customHeight="1">
      <c r="T220" s="117"/>
    </row>
    <row r="221" ht="15.75" customHeight="1">
      <c r="T221" s="117"/>
    </row>
    <row r="222" ht="15.75" customHeight="1">
      <c r="T222" s="117"/>
    </row>
    <row r="223" ht="15.75" customHeight="1">
      <c r="T223" s="117"/>
    </row>
    <row r="224" ht="15.75" customHeight="1">
      <c r="T224" s="117"/>
    </row>
    <row r="225" ht="15.75" customHeight="1">
      <c r="T225" s="117"/>
    </row>
    <row r="226" ht="15.75" customHeight="1">
      <c r="T226" s="117"/>
    </row>
    <row r="227" ht="15.75" customHeight="1">
      <c r="T227" s="117"/>
    </row>
    <row r="228" ht="15.75" customHeight="1">
      <c r="T228" s="117"/>
    </row>
    <row r="229" ht="15.75" customHeight="1">
      <c r="T229" s="117"/>
    </row>
    <row r="230" ht="15.75" customHeight="1">
      <c r="T230" s="117"/>
    </row>
    <row r="231" ht="15.75" customHeight="1">
      <c r="T231" s="117"/>
    </row>
    <row r="232" ht="15.75" customHeight="1">
      <c r="T232" s="117"/>
    </row>
    <row r="233" ht="15.75" customHeight="1">
      <c r="T233" s="117"/>
    </row>
    <row r="234" ht="15.75" customHeight="1">
      <c r="T234" s="117"/>
    </row>
    <row r="235" ht="15.75" customHeight="1">
      <c r="T235" s="117"/>
    </row>
    <row r="236" ht="15.75" customHeight="1">
      <c r="T236" s="117"/>
    </row>
    <row r="237" ht="15.75" customHeight="1">
      <c r="T237" s="117"/>
    </row>
    <row r="238" ht="15.75" customHeight="1">
      <c r="T238" s="117"/>
    </row>
    <row r="239" ht="15.75" customHeight="1">
      <c r="T239" s="117"/>
    </row>
    <row r="240" ht="15.75" customHeight="1">
      <c r="T240" s="117"/>
    </row>
    <row r="241" ht="15.75" customHeight="1">
      <c r="T241" s="117"/>
    </row>
    <row r="242" ht="15.75" customHeight="1">
      <c r="T242" s="117"/>
    </row>
    <row r="243" ht="15.75" customHeight="1">
      <c r="T243" s="117"/>
    </row>
    <row r="244" ht="15.75" customHeight="1">
      <c r="T244" s="117"/>
    </row>
    <row r="245" ht="15.75" customHeight="1">
      <c r="T245" s="117"/>
    </row>
    <row r="246" ht="15.75" customHeight="1">
      <c r="T246" s="117"/>
    </row>
    <row r="247" ht="15.75" customHeight="1">
      <c r="T247" s="117"/>
    </row>
    <row r="248" ht="15.75" customHeight="1">
      <c r="T248" s="117"/>
    </row>
    <row r="249" ht="15.75" customHeight="1">
      <c r="T249" s="117"/>
    </row>
    <row r="250" ht="15.75" customHeight="1">
      <c r="T250" s="117"/>
    </row>
    <row r="251" ht="15.75" customHeight="1">
      <c r="T251" s="117"/>
    </row>
    <row r="252" ht="15.75" customHeight="1">
      <c r="T252" s="117"/>
    </row>
    <row r="253" ht="15.75" customHeight="1">
      <c r="T253" s="117"/>
    </row>
    <row r="254" ht="15.75" customHeight="1">
      <c r="T254" s="117"/>
    </row>
    <row r="255" ht="15.75" customHeight="1">
      <c r="T255" s="117"/>
    </row>
    <row r="256" ht="15.75" customHeight="1">
      <c r="T256" s="117"/>
    </row>
    <row r="257" ht="15.75" customHeight="1">
      <c r="T257" s="117"/>
    </row>
    <row r="258" ht="15.75" customHeight="1">
      <c r="T258" s="117"/>
    </row>
    <row r="259" ht="15.75" customHeight="1">
      <c r="T259" s="117"/>
    </row>
    <row r="260" ht="15.75" customHeight="1">
      <c r="T260" s="117"/>
    </row>
    <row r="261" ht="15.75" customHeight="1">
      <c r="T261" s="117"/>
    </row>
    <row r="262" ht="15.75" customHeight="1">
      <c r="T262" s="117"/>
    </row>
    <row r="263" ht="15.75" customHeight="1">
      <c r="T263" s="117"/>
    </row>
    <row r="264" ht="15.75" customHeight="1">
      <c r="T264" s="117"/>
    </row>
    <row r="265" ht="15.75" customHeight="1">
      <c r="T265" s="117"/>
    </row>
    <row r="266" ht="15.75" customHeight="1">
      <c r="T266" s="117"/>
    </row>
    <row r="267" ht="15.75" customHeight="1">
      <c r="T267" s="117"/>
    </row>
    <row r="268" ht="15.75" customHeight="1">
      <c r="T268" s="117"/>
    </row>
    <row r="269" ht="15.75" customHeight="1">
      <c r="T269" s="117"/>
    </row>
    <row r="270" ht="15.75" customHeight="1">
      <c r="T270" s="117"/>
    </row>
    <row r="271" ht="15.75" customHeight="1">
      <c r="T271" s="117"/>
    </row>
    <row r="272" ht="15.75" customHeight="1">
      <c r="T272" s="117"/>
    </row>
    <row r="273" ht="15.75" customHeight="1">
      <c r="T273" s="117"/>
    </row>
    <row r="274" ht="15.75" customHeight="1">
      <c r="T274" s="117"/>
    </row>
    <row r="275" ht="15.75" customHeight="1">
      <c r="T275" s="117"/>
    </row>
    <row r="276" ht="15.75" customHeight="1">
      <c r="T276" s="117"/>
    </row>
    <row r="277" ht="15.75" customHeight="1">
      <c r="T277" s="117"/>
    </row>
    <row r="278" ht="15.75" customHeight="1">
      <c r="T278" s="117"/>
    </row>
    <row r="279" ht="15.75" customHeight="1">
      <c r="T279" s="117"/>
    </row>
    <row r="280" ht="15.75" customHeight="1">
      <c r="T280" s="117"/>
    </row>
    <row r="281" ht="15.75" customHeight="1">
      <c r="T281" s="117"/>
    </row>
    <row r="282" ht="15.75" customHeight="1">
      <c r="T282" s="117"/>
    </row>
    <row r="283" ht="15.75" customHeight="1">
      <c r="T283" s="117"/>
    </row>
    <row r="284" ht="15.75" customHeight="1">
      <c r="T284" s="117"/>
    </row>
    <row r="285" ht="15.75" customHeight="1">
      <c r="T285" s="117"/>
    </row>
    <row r="286" ht="15.75" customHeight="1">
      <c r="T286" s="117"/>
    </row>
    <row r="287" ht="15.75" customHeight="1">
      <c r="T287" s="117"/>
    </row>
    <row r="288" ht="15.75" customHeight="1">
      <c r="T288" s="117"/>
    </row>
    <row r="289" ht="15.75" customHeight="1">
      <c r="T289" s="117"/>
    </row>
    <row r="290" ht="15.75" customHeight="1">
      <c r="T290" s="117"/>
    </row>
    <row r="291" ht="15.75" customHeight="1">
      <c r="T291" s="117"/>
    </row>
    <row r="292" ht="15.75" customHeight="1">
      <c r="T292" s="117"/>
    </row>
    <row r="293" ht="15.75" customHeight="1">
      <c r="T293" s="117"/>
    </row>
    <row r="294" ht="15.75" customHeight="1">
      <c r="T294" s="117"/>
    </row>
    <row r="295" ht="15.75" customHeight="1">
      <c r="T295" s="117"/>
    </row>
    <row r="296" ht="15.75" customHeight="1">
      <c r="T296" s="117"/>
    </row>
    <row r="297" ht="15.75" customHeight="1">
      <c r="T297" s="117"/>
    </row>
    <row r="298" ht="15.75" customHeight="1">
      <c r="T298" s="117"/>
    </row>
    <row r="299" ht="15.75" customHeight="1">
      <c r="T299" s="117"/>
    </row>
    <row r="300" ht="15.75" customHeight="1">
      <c r="T300" s="117"/>
    </row>
    <row r="301" ht="15.75" customHeight="1">
      <c r="T301" s="117"/>
    </row>
    <row r="302" ht="15.75" customHeight="1">
      <c r="T302" s="117"/>
    </row>
    <row r="303" ht="15.75" customHeight="1">
      <c r="T303" s="117"/>
    </row>
    <row r="304" ht="15.75" customHeight="1">
      <c r="T304" s="117"/>
    </row>
    <row r="305" ht="15.75" customHeight="1">
      <c r="T305" s="117"/>
    </row>
    <row r="306" ht="15.75" customHeight="1">
      <c r="T306" s="117"/>
    </row>
    <row r="307" ht="15.75" customHeight="1">
      <c r="T307" s="117"/>
    </row>
    <row r="308" ht="15.75" customHeight="1">
      <c r="T308" s="117"/>
    </row>
    <row r="309" ht="15.75" customHeight="1">
      <c r="T309" s="117"/>
    </row>
    <row r="310" ht="15.75" customHeight="1">
      <c r="T310" s="117"/>
    </row>
    <row r="311" ht="15.75" customHeight="1">
      <c r="T311" s="117"/>
    </row>
    <row r="312" ht="15.75" customHeight="1">
      <c r="T312" s="117"/>
    </row>
    <row r="313" ht="15.75" customHeight="1">
      <c r="T313" s="117"/>
    </row>
    <row r="314" ht="15.75" customHeight="1">
      <c r="T314" s="117"/>
    </row>
    <row r="315" ht="15.75" customHeight="1">
      <c r="T315" s="117"/>
    </row>
    <row r="316" ht="15.75" customHeight="1">
      <c r="T316" s="117"/>
    </row>
    <row r="317" ht="15.75" customHeight="1">
      <c r="T317" s="117"/>
    </row>
    <row r="318" ht="15.75" customHeight="1">
      <c r="T318" s="117"/>
    </row>
    <row r="319" ht="15.75" customHeight="1">
      <c r="T319" s="117"/>
    </row>
    <row r="320" ht="15.75" customHeight="1">
      <c r="T320" s="117"/>
    </row>
    <row r="321" ht="15.75" customHeight="1">
      <c r="T321" s="117"/>
    </row>
    <row r="322" ht="15.75" customHeight="1">
      <c r="T322" s="117"/>
    </row>
    <row r="323" ht="15.75" customHeight="1">
      <c r="T323" s="117"/>
    </row>
    <row r="324" ht="15.75" customHeight="1">
      <c r="T324" s="117"/>
    </row>
    <row r="325" ht="15.75" customHeight="1">
      <c r="T325" s="117"/>
    </row>
    <row r="326" ht="15.75" customHeight="1">
      <c r="T326" s="117"/>
    </row>
    <row r="327" ht="15.75" customHeight="1">
      <c r="T327" s="117"/>
    </row>
    <row r="328" ht="15.75" customHeight="1">
      <c r="T328" s="117"/>
    </row>
    <row r="329" ht="15.75" customHeight="1">
      <c r="T329" s="117"/>
    </row>
    <row r="330" ht="15.75" customHeight="1">
      <c r="T330" s="117"/>
    </row>
    <row r="331" ht="15.75" customHeight="1">
      <c r="T331" s="117"/>
    </row>
    <row r="332" ht="15.75" customHeight="1">
      <c r="T332" s="117"/>
    </row>
    <row r="333" ht="15.75" customHeight="1">
      <c r="T333" s="117"/>
    </row>
    <row r="334" ht="15.75" customHeight="1">
      <c r="T334" s="117"/>
    </row>
    <row r="335" ht="15.75" customHeight="1">
      <c r="T335" s="117"/>
    </row>
    <row r="336" ht="15.75" customHeight="1">
      <c r="T336" s="117"/>
    </row>
    <row r="337" ht="15.75" customHeight="1">
      <c r="T337" s="117"/>
    </row>
    <row r="338" ht="15.75" customHeight="1">
      <c r="T338" s="117"/>
    </row>
    <row r="339" ht="15.75" customHeight="1">
      <c r="T339" s="117"/>
    </row>
    <row r="340" ht="15.75" customHeight="1">
      <c r="T340" s="117"/>
    </row>
    <row r="341" ht="15.75" customHeight="1">
      <c r="T341" s="117"/>
    </row>
    <row r="342" ht="15.75" customHeight="1">
      <c r="T342" s="117"/>
    </row>
    <row r="343" ht="15.75" customHeight="1">
      <c r="T343" s="117"/>
    </row>
    <row r="344" ht="15.75" customHeight="1">
      <c r="T344" s="117"/>
    </row>
    <row r="345" ht="15.75" customHeight="1">
      <c r="T345" s="117"/>
    </row>
    <row r="346" ht="15.75" customHeight="1">
      <c r="T346" s="117"/>
    </row>
    <row r="347" ht="15.75" customHeight="1">
      <c r="T347" s="117"/>
    </row>
    <row r="348" ht="15.75" customHeight="1">
      <c r="T348" s="117"/>
    </row>
    <row r="349" ht="15.75" customHeight="1">
      <c r="T349" s="117"/>
    </row>
    <row r="350" ht="15.75" customHeight="1">
      <c r="T350" s="117"/>
    </row>
    <row r="351" ht="15.75" customHeight="1">
      <c r="T351" s="117"/>
    </row>
    <row r="352" ht="15.75" customHeight="1">
      <c r="T352" s="117"/>
    </row>
    <row r="353" ht="15.75" customHeight="1">
      <c r="T353" s="117"/>
    </row>
    <row r="354" ht="15.75" customHeight="1">
      <c r="T354" s="117"/>
    </row>
    <row r="355" ht="15.75" customHeight="1">
      <c r="T355" s="117"/>
    </row>
    <row r="356" ht="15.75" customHeight="1">
      <c r="T356" s="117"/>
    </row>
    <row r="357" ht="15.75" customHeight="1">
      <c r="T357" s="117"/>
    </row>
    <row r="358" ht="15.75" customHeight="1">
      <c r="T358" s="117"/>
    </row>
    <row r="359" ht="15.75" customHeight="1">
      <c r="T359" s="117"/>
    </row>
    <row r="360" ht="15.75" customHeight="1">
      <c r="T360" s="117"/>
    </row>
    <row r="361" ht="15.75" customHeight="1">
      <c r="T361" s="117"/>
    </row>
    <row r="362" ht="15.75" customHeight="1">
      <c r="T362" s="117"/>
    </row>
    <row r="363" ht="15.75" customHeight="1">
      <c r="T363" s="117"/>
    </row>
    <row r="364" ht="15.75" customHeight="1">
      <c r="T364" s="117"/>
    </row>
    <row r="365" ht="15.75" customHeight="1">
      <c r="T365" s="117"/>
    </row>
    <row r="366" ht="15.75" customHeight="1">
      <c r="T366" s="117"/>
    </row>
    <row r="367" ht="15.75" customHeight="1">
      <c r="T367" s="117"/>
    </row>
    <row r="368" ht="15.75" customHeight="1">
      <c r="T368" s="117"/>
    </row>
    <row r="369" ht="15.75" customHeight="1">
      <c r="T369" s="117"/>
    </row>
    <row r="370" ht="15.75" customHeight="1">
      <c r="T370" s="117"/>
    </row>
    <row r="371" ht="15.75" customHeight="1">
      <c r="T371" s="117"/>
    </row>
    <row r="372" ht="15.75" customHeight="1">
      <c r="T372" s="117"/>
    </row>
    <row r="373" ht="15.75" customHeight="1">
      <c r="T373" s="117"/>
    </row>
    <row r="374" ht="15.75" customHeight="1">
      <c r="T374" s="117"/>
    </row>
    <row r="375" ht="15.75" customHeight="1">
      <c r="T375" s="117"/>
    </row>
    <row r="376" ht="15.75" customHeight="1">
      <c r="T376" s="117"/>
    </row>
    <row r="377" ht="15.75" customHeight="1">
      <c r="T377" s="117"/>
    </row>
    <row r="378" ht="15.75" customHeight="1">
      <c r="T378" s="117"/>
    </row>
    <row r="379" ht="15.75" customHeight="1">
      <c r="T379" s="117"/>
    </row>
    <row r="380" ht="15.75" customHeight="1">
      <c r="T380" s="117"/>
    </row>
    <row r="381" ht="15.75" customHeight="1">
      <c r="T381" s="117"/>
    </row>
    <row r="382" ht="15.75" customHeight="1">
      <c r="T382" s="117"/>
    </row>
    <row r="383" ht="15.75" customHeight="1">
      <c r="T383" s="117"/>
    </row>
    <row r="384" ht="15.75" customHeight="1">
      <c r="T384" s="117"/>
    </row>
    <row r="385" ht="15.75" customHeight="1">
      <c r="T385" s="117"/>
    </row>
    <row r="386" ht="15.75" customHeight="1">
      <c r="T386" s="117"/>
    </row>
    <row r="387" ht="15.75" customHeight="1">
      <c r="T387" s="117"/>
    </row>
    <row r="388" ht="15.75" customHeight="1">
      <c r="T388" s="117"/>
    </row>
    <row r="389" ht="15.75" customHeight="1">
      <c r="T389" s="117"/>
    </row>
    <row r="390" ht="15.75" customHeight="1">
      <c r="T390" s="117"/>
    </row>
    <row r="391" ht="15.75" customHeight="1">
      <c r="T391" s="117"/>
    </row>
    <row r="392" ht="15.75" customHeight="1">
      <c r="T392" s="117"/>
    </row>
    <row r="393" ht="15.75" customHeight="1">
      <c r="T393" s="117"/>
    </row>
    <row r="394" ht="15.75" customHeight="1">
      <c r="T394" s="117"/>
    </row>
    <row r="395" ht="15.75" customHeight="1">
      <c r="T395" s="117"/>
    </row>
    <row r="396" ht="15.75" customHeight="1">
      <c r="T396" s="117"/>
    </row>
    <row r="397" ht="15.75" customHeight="1">
      <c r="T397" s="117"/>
    </row>
    <row r="398" ht="15.75" customHeight="1">
      <c r="T398" s="117"/>
    </row>
    <row r="399" ht="15.75" customHeight="1">
      <c r="T399" s="117"/>
    </row>
    <row r="400" ht="15.75" customHeight="1">
      <c r="T400" s="117"/>
    </row>
    <row r="401" ht="15.75" customHeight="1">
      <c r="T401" s="117"/>
    </row>
    <row r="402" ht="15.75" customHeight="1">
      <c r="T402" s="117"/>
    </row>
    <row r="403" ht="15.75" customHeight="1">
      <c r="T403" s="117"/>
    </row>
    <row r="404" ht="15.75" customHeight="1">
      <c r="T404" s="117"/>
    </row>
    <row r="405" ht="15.75" customHeight="1">
      <c r="T405" s="117"/>
    </row>
    <row r="406" ht="15.75" customHeight="1">
      <c r="T406" s="117"/>
    </row>
    <row r="407" ht="15.75" customHeight="1">
      <c r="T407" s="117"/>
    </row>
    <row r="408" ht="15.75" customHeight="1">
      <c r="T408" s="117"/>
    </row>
    <row r="409" ht="15.75" customHeight="1">
      <c r="T409" s="117"/>
    </row>
    <row r="410" ht="15.75" customHeight="1">
      <c r="T410" s="117"/>
    </row>
    <row r="411" ht="15.75" customHeight="1">
      <c r="T411" s="117"/>
    </row>
    <row r="412" ht="15.75" customHeight="1">
      <c r="T412" s="117"/>
    </row>
    <row r="413" ht="15.75" customHeight="1">
      <c r="T413" s="117"/>
    </row>
    <row r="414" ht="15.75" customHeight="1">
      <c r="T414" s="117"/>
    </row>
    <row r="415" ht="15.75" customHeight="1">
      <c r="T415" s="117"/>
    </row>
    <row r="416" ht="15.75" customHeight="1">
      <c r="T416" s="117"/>
    </row>
    <row r="417" ht="15.75" customHeight="1">
      <c r="T417" s="117"/>
    </row>
    <row r="418" ht="15.75" customHeight="1">
      <c r="T418" s="117"/>
    </row>
    <row r="419" ht="15.75" customHeight="1">
      <c r="T419" s="117"/>
    </row>
    <row r="420" ht="15.75" customHeight="1">
      <c r="T420" s="117"/>
    </row>
    <row r="421" ht="15.75" customHeight="1">
      <c r="T421" s="117"/>
    </row>
    <row r="422" ht="15.75" customHeight="1">
      <c r="T422" s="117"/>
    </row>
    <row r="423" ht="15.75" customHeight="1">
      <c r="T423" s="117"/>
    </row>
    <row r="424" ht="15.75" customHeight="1">
      <c r="T424" s="117"/>
    </row>
    <row r="425" ht="15.75" customHeight="1">
      <c r="T425" s="117"/>
    </row>
    <row r="426" ht="15.75" customHeight="1">
      <c r="T426" s="117"/>
    </row>
    <row r="427" ht="15.75" customHeight="1">
      <c r="T427" s="117"/>
    </row>
    <row r="428" ht="15.75" customHeight="1">
      <c r="T428" s="117"/>
    </row>
    <row r="429" ht="15.75" customHeight="1">
      <c r="T429" s="117"/>
    </row>
    <row r="430" ht="15.75" customHeight="1">
      <c r="T430" s="117"/>
    </row>
    <row r="431" ht="15.75" customHeight="1">
      <c r="T431" s="117"/>
    </row>
    <row r="432" ht="15.75" customHeight="1">
      <c r="T432" s="117"/>
    </row>
    <row r="433" ht="15.75" customHeight="1">
      <c r="T433" s="117"/>
    </row>
    <row r="434" ht="15.75" customHeight="1">
      <c r="T434" s="117"/>
    </row>
    <row r="435" ht="15.75" customHeight="1">
      <c r="T435" s="117"/>
    </row>
    <row r="436" ht="15.75" customHeight="1">
      <c r="T436" s="117"/>
    </row>
    <row r="437" ht="15.75" customHeight="1">
      <c r="T437" s="117"/>
    </row>
    <row r="438" ht="15.75" customHeight="1">
      <c r="T438" s="117"/>
    </row>
    <row r="439" ht="15.75" customHeight="1">
      <c r="T439" s="117"/>
    </row>
    <row r="440" ht="15.75" customHeight="1">
      <c r="T440" s="117"/>
    </row>
    <row r="441" ht="15.75" customHeight="1">
      <c r="T441" s="117"/>
    </row>
    <row r="442" ht="15.75" customHeight="1">
      <c r="T442" s="117"/>
    </row>
    <row r="443" ht="15.75" customHeight="1">
      <c r="T443" s="117"/>
    </row>
    <row r="444" ht="15.75" customHeight="1">
      <c r="T444" s="117"/>
    </row>
    <row r="445" ht="15.75" customHeight="1">
      <c r="T445" s="117"/>
    </row>
    <row r="446" ht="15.75" customHeight="1">
      <c r="T446" s="117"/>
    </row>
    <row r="447" ht="15.75" customHeight="1">
      <c r="T447" s="117"/>
    </row>
    <row r="448" ht="15.75" customHeight="1">
      <c r="T448" s="117"/>
    </row>
    <row r="449" ht="15.75" customHeight="1">
      <c r="T449" s="117"/>
    </row>
    <row r="450" ht="15.75" customHeight="1">
      <c r="T450" s="117"/>
    </row>
    <row r="451" ht="15.75" customHeight="1">
      <c r="T451" s="117"/>
    </row>
    <row r="452" ht="15.75" customHeight="1">
      <c r="T452" s="117"/>
    </row>
    <row r="453" ht="15.75" customHeight="1">
      <c r="T453" s="117"/>
    </row>
    <row r="454" ht="15.75" customHeight="1">
      <c r="T454" s="117"/>
    </row>
    <row r="455" ht="15.75" customHeight="1">
      <c r="T455" s="117"/>
    </row>
    <row r="456" ht="15.75" customHeight="1">
      <c r="T456" s="117"/>
    </row>
    <row r="457" ht="15.75" customHeight="1">
      <c r="T457" s="117"/>
    </row>
    <row r="458" ht="15.75" customHeight="1">
      <c r="T458" s="117"/>
    </row>
    <row r="459" ht="15.75" customHeight="1">
      <c r="T459" s="117"/>
    </row>
    <row r="460" ht="15.75" customHeight="1">
      <c r="T460" s="117"/>
    </row>
    <row r="461" ht="15.75" customHeight="1">
      <c r="T461" s="117"/>
    </row>
    <row r="462" ht="15.75" customHeight="1">
      <c r="T462" s="117"/>
    </row>
    <row r="463" ht="15.75" customHeight="1">
      <c r="T463" s="117"/>
    </row>
    <row r="464" ht="15.75" customHeight="1">
      <c r="T464" s="117"/>
    </row>
    <row r="465" ht="15.75" customHeight="1">
      <c r="T465" s="117"/>
    </row>
    <row r="466" ht="15.75" customHeight="1">
      <c r="T466" s="117"/>
    </row>
    <row r="467" ht="15.75" customHeight="1">
      <c r="T467" s="117"/>
    </row>
    <row r="468" ht="15.75" customHeight="1">
      <c r="T468" s="117"/>
    </row>
    <row r="469" ht="15.75" customHeight="1">
      <c r="T469" s="117"/>
    </row>
    <row r="470" ht="15.75" customHeight="1">
      <c r="T470" s="117"/>
    </row>
    <row r="471" ht="15.75" customHeight="1">
      <c r="T471" s="117"/>
    </row>
    <row r="472" ht="15.75" customHeight="1">
      <c r="T472" s="117"/>
    </row>
    <row r="473" ht="15.75" customHeight="1">
      <c r="T473" s="117"/>
    </row>
    <row r="474" ht="15.75" customHeight="1">
      <c r="T474" s="117"/>
    </row>
    <row r="475" ht="15.75" customHeight="1">
      <c r="T475" s="117"/>
    </row>
    <row r="476" ht="15.75" customHeight="1">
      <c r="T476" s="117"/>
    </row>
    <row r="477" ht="15.75" customHeight="1">
      <c r="T477" s="117"/>
    </row>
    <row r="478" ht="15.75" customHeight="1">
      <c r="T478" s="117"/>
    </row>
    <row r="479" ht="15.75" customHeight="1">
      <c r="T479" s="117"/>
    </row>
    <row r="480" ht="15.75" customHeight="1">
      <c r="T480" s="117"/>
    </row>
    <row r="481" ht="15.75" customHeight="1">
      <c r="T481" s="117"/>
    </row>
    <row r="482" ht="15.75" customHeight="1">
      <c r="T482" s="117"/>
    </row>
    <row r="483" ht="15.75" customHeight="1">
      <c r="T483" s="117"/>
    </row>
    <row r="484" ht="15.75" customHeight="1">
      <c r="T484" s="117"/>
    </row>
    <row r="485" ht="15.75" customHeight="1">
      <c r="T485" s="117"/>
    </row>
    <row r="486" ht="15.75" customHeight="1">
      <c r="T486" s="117"/>
    </row>
    <row r="487" ht="15.75" customHeight="1">
      <c r="T487" s="117"/>
    </row>
    <row r="488" ht="15.75" customHeight="1">
      <c r="T488" s="117"/>
    </row>
    <row r="489" ht="15.75" customHeight="1">
      <c r="T489" s="117"/>
    </row>
    <row r="490" ht="15.75" customHeight="1">
      <c r="T490" s="117"/>
    </row>
    <row r="491" ht="15.75" customHeight="1">
      <c r="T491" s="117"/>
    </row>
    <row r="492" ht="15.75" customHeight="1">
      <c r="T492" s="117"/>
    </row>
    <row r="493" ht="15.75" customHeight="1">
      <c r="T493" s="117"/>
    </row>
    <row r="494" ht="15.75" customHeight="1">
      <c r="T494" s="117"/>
    </row>
    <row r="495" ht="15.75" customHeight="1">
      <c r="T495" s="117"/>
    </row>
    <row r="496" ht="15.75" customHeight="1">
      <c r="T496" s="117"/>
    </row>
    <row r="497" ht="15.75" customHeight="1">
      <c r="T497" s="117"/>
    </row>
    <row r="498" ht="15.75" customHeight="1">
      <c r="T498" s="117"/>
    </row>
    <row r="499" ht="15.75" customHeight="1">
      <c r="T499" s="117"/>
    </row>
    <row r="500" ht="15.75" customHeight="1">
      <c r="T500" s="117"/>
    </row>
    <row r="501" ht="15.75" customHeight="1">
      <c r="T501" s="117"/>
    </row>
    <row r="502" ht="15.75" customHeight="1">
      <c r="T502" s="117"/>
    </row>
    <row r="503" ht="15.75" customHeight="1">
      <c r="T503" s="117"/>
    </row>
    <row r="504" ht="15.75" customHeight="1">
      <c r="T504" s="117"/>
    </row>
    <row r="505" ht="15.75" customHeight="1">
      <c r="T505" s="117"/>
    </row>
    <row r="506" ht="15.75" customHeight="1">
      <c r="T506" s="117"/>
    </row>
    <row r="507" ht="15.75" customHeight="1">
      <c r="T507" s="117"/>
    </row>
    <row r="508" ht="15.75" customHeight="1">
      <c r="T508" s="117"/>
    </row>
    <row r="509" ht="15.75" customHeight="1">
      <c r="T509" s="117"/>
    </row>
    <row r="510" ht="15.75" customHeight="1">
      <c r="T510" s="117"/>
    </row>
    <row r="511" ht="15.75" customHeight="1">
      <c r="T511" s="117"/>
    </row>
    <row r="512" ht="15.75" customHeight="1">
      <c r="T512" s="117"/>
    </row>
    <row r="513" ht="15.75" customHeight="1">
      <c r="T513" s="117"/>
    </row>
    <row r="514" ht="15.75" customHeight="1">
      <c r="T514" s="117"/>
    </row>
    <row r="515" ht="15.75" customHeight="1">
      <c r="T515" s="117"/>
    </row>
    <row r="516" ht="15.75" customHeight="1">
      <c r="T516" s="117"/>
    </row>
    <row r="517" ht="15.75" customHeight="1">
      <c r="T517" s="117"/>
    </row>
    <row r="518" ht="15.75" customHeight="1">
      <c r="T518" s="117"/>
    </row>
    <row r="519" ht="15.75" customHeight="1">
      <c r="T519" s="117"/>
    </row>
    <row r="520" ht="15.75" customHeight="1">
      <c r="T520" s="117"/>
    </row>
    <row r="521" ht="15.75" customHeight="1">
      <c r="T521" s="117"/>
    </row>
    <row r="522" ht="15.75" customHeight="1">
      <c r="T522" s="117"/>
    </row>
    <row r="523" ht="15.75" customHeight="1">
      <c r="T523" s="117"/>
    </row>
    <row r="524" ht="15.75" customHeight="1">
      <c r="T524" s="117"/>
    </row>
    <row r="525" ht="15.75" customHeight="1">
      <c r="T525" s="117"/>
    </row>
    <row r="526" ht="15.75" customHeight="1">
      <c r="T526" s="117"/>
    </row>
    <row r="527" ht="15.75" customHeight="1">
      <c r="T527" s="117"/>
    </row>
    <row r="528" ht="15.75" customHeight="1">
      <c r="T528" s="117"/>
    </row>
    <row r="529" ht="15.75" customHeight="1">
      <c r="T529" s="117"/>
    </row>
    <row r="530" ht="15.75" customHeight="1">
      <c r="T530" s="117"/>
    </row>
    <row r="531" ht="15.75" customHeight="1">
      <c r="T531" s="117"/>
    </row>
    <row r="532" ht="15.75" customHeight="1">
      <c r="T532" s="117"/>
    </row>
    <row r="533" ht="15.75" customHeight="1">
      <c r="T533" s="117"/>
    </row>
    <row r="534" ht="15.75" customHeight="1">
      <c r="T534" s="117"/>
    </row>
    <row r="535" ht="15.75" customHeight="1">
      <c r="T535" s="117"/>
    </row>
    <row r="536" ht="15.75" customHeight="1">
      <c r="T536" s="117"/>
    </row>
    <row r="537" ht="15.75" customHeight="1">
      <c r="T537" s="117"/>
    </row>
    <row r="538" ht="15.75" customHeight="1">
      <c r="T538" s="117"/>
    </row>
    <row r="539" ht="15.75" customHeight="1">
      <c r="T539" s="117"/>
    </row>
    <row r="540" ht="15.75" customHeight="1">
      <c r="T540" s="117"/>
    </row>
    <row r="541" ht="15.75" customHeight="1">
      <c r="T541" s="117"/>
    </row>
    <row r="542" ht="15.75" customHeight="1">
      <c r="T542" s="117"/>
    </row>
    <row r="543" ht="15.75" customHeight="1">
      <c r="T543" s="117"/>
    </row>
    <row r="544" ht="15.75" customHeight="1">
      <c r="T544" s="117"/>
    </row>
    <row r="545" ht="15.75" customHeight="1">
      <c r="T545" s="117"/>
    </row>
    <row r="546" ht="15.75" customHeight="1">
      <c r="T546" s="117"/>
    </row>
    <row r="547" ht="15.75" customHeight="1">
      <c r="T547" s="117"/>
    </row>
    <row r="548" ht="15.75" customHeight="1">
      <c r="T548" s="117"/>
    </row>
    <row r="549" ht="15.75" customHeight="1">
      <c r="T549" s="117"/>
    </row>
    <row r="550" ht="15.75" customHeight="1">
      <c r="T550" s="117"/>
    </row>
    <row r="551" ht="15.75" customHeight="1">
      <c r="T551" s="117"/>
    </row>
    <row r="552" ht="15.75" customHeight="1">
      <c r="T552" s="117"/>
    </row>
    <row r="553" ht="15.75" customHeight="1">
      <c r="T553" s="117"/>
    </row>
    <row r="554" ht="15.75" customHeight="1">
      <c r="T554" s="117"/>
    </row>
    <row r="555" ht="15.75" customHeight="1">
      <c r="T555" s="117"/>
    </row>
    <row r="556" ht="15.75" customHeight="1">
      <c r="T556" s="117"/>
    </row>
    <row r="557" ht="15.75" customHeight="1">
      <c r="T557" s="117"/>
    </row>
    <row r="558" ht="15.75" customHeight="1">
      <c r="T558" s="117"/>
    </row>
    <row r="559" ht="15.75" customHeight="1">
      <c r="T559" s="117"/>
    </row>
    <row r="560" ht="15.75" customHeight="1">
      <c r="T560" s="117"/>
    </row>
    <row r="561" ht="15.75" customHeight="1">
      <c r="T561" s="117"/>
    </row>
    <row r="562" ht="15.75" customHeight="1">
      <c r="T562" s="117"/>
    </row>
    <row r="563" ht="15.75" customHeight="1">
      <c r="T563" s="117"/>
    </row>
    <row r="564" ht="15.75" customHeight="1">
      <c r="T564" s="117"/>
    </row>
    <row r="565" ht="15.75" customHeight="1">
      <c r="T565" s="117"/>
    </row>
    <row r="566" ht="15.75" customHeight="1">
      <c r="T566" s="117"/>
    </row>
    <row r="567" ht="15.75" customHeight="1">
      <c r="T567" s="117"/>
    </row>
    <row r="568" ht="15.75" customHeight="1">
      <c r="T568" s="117"/>
    </row>
    <row r="569" ht="15.75" customHeight="1">
      <c r="T569" s="117"/>
    </row>
    <row r="570" ht="15.75" customHeight="1">
      <c r="T570" s="117"/>
    </row>
    <row r="571" ht="15.75" customHeight="1">
      <c r="T571" s="117"/>
    </row>
    <row r="572" ht="15.75" customHeight="1">
      <c r="T572" s="117"/>
    </row>
    <row r="573" ht="15.75" customHeight="1">
      <c r="T573" s="117"/>
    </row>
    <row r="574" ht="15.75" customHeight="1">
      <c r="T574" s="117"/>
    </row>
    <row r="575" ht="15.75" customHeight="1">
      <c r="T575" s="117"/>
    </row>
    <row r="576" ht="15.75" customHeight="1">
      <c r="T576" s="117"/>
    </row>
    <row r="577" ht="15.75" customHeight="1">
      <c r="T577" s="117"/>
    </row>
    <row r="578" ht="15.75" customHeight="1">
      <c r="T578" s="117"/>
    </row>
    <row r="579" ht="15.75" customHeight="1">
      <c r="T579" s="117"/>
    </row>
    <row r="580" ht="15.75" customHeight="1">
      <c r="T580" s="117"/>
    </row>
    <row r="581" ht="15.75" customHeight="1">
      <c r="T581" s="117"/>
    </row>
    <row r="582" ht="15.75" customHeight="1">
      <c r="T582" s="117"/>
    </row>
    <row r="583" ht="15.75" customHeight="1">
      <c r="T583" s="117"/>
    </row>
    <row r="584" ht="15.75" customHeight="1">
      <c r="T584" s="117"/>
    </row>
    <row r="585" ht="15.75" customHeight="1">
      <c r="T585" s="117"/>
    </row>
    <row r="586" ht="15.75" customHeight="1">
      <c r="T586" s="117"/>
    </row>
    <row r="587" ht="15.75" customHeight="1">
      <c r="T587" s="117"/>
    </row>
    <row r="588" ht="15.75" customHeight="1">
      <c r="T588" s="117"/>
    </row>
    <row r="589" ht="15.75" customHeight="1">
      <c r="T589" s="117"/>
    </row>
    <row r="590" ht="15.75" customHeight="1">
      <c r="T590" s="117"/>
    </row>
    <row r="591" ht="15.75" customHeight="1">
      <c r="T591" s="117"/>
    </row>
    <row r="592" ht="15.75" customHeight="1">
      <c r="T592" s="117"/>
    </row>
    <row r="593" ht="15.75" customHeight="1">
      <c r="T593" s="117"/>
    </row>
    <row r="594" ht="15.75" customHeight="1">
      <c r="T594" s="117"/>
    </row>
    <row r="595" ht="15.75" customHeight="1">
      <c r="T595" s="117"/>
    </row>
    <row r="596" ht="15.75" customHeight="1">
      <c r="T596" s="117"/>
    </row>
    <row r="597" ht="15.75" customHeight="1">
      <c r="T597" s="117"/>
    </row>
    <row r="598" ht="15.75" customHeight="1">
      <c r="T598" s="117"/>
    </row>
    <row r="599" ht="15.75" customHeight="1">
      <c r="T599" s="117"/>
    </row>
    <row r="600" ht="15.75" customHeight="1">
      <c r="T600" s="117"/>
    </row>
    <row r="601" ht="15.75" customHeight="1">
      <c r="T601" s="117"/>
    </row>
    <row r="602" ht="15.75" customHeight="1">
      <c r="T602" s="117"/>
    </row>
    <row r="603" ht="15.75" customHeight="1">
      <c r="T603" s="117"/>
    </row>
    <row r="604" ht="15.75" customHeight="1">
      <c r="T604" s="117"/>
    </row>
    <row r="605" ht="15.75" customHeight="1">
      <c r="T605" s="117"/>
    </row>
    <row r="606" ht="15.75" customHeight="1">
      <c r="T606" s="117"/>
    </row>
    <row r="607" ht="15.75" customHeight="1">
      <c r="T607" s="117"/>
    </row>
    <row r="608" ht="15.75" customHeight="1">
      <c r="T608" s="117"/>
    </row>
    <row r="609" ht="15.75" customHeight="1">
      <c r="T609" s="117"/>
    </row>
    <row r="610" ht="15.75" customHeight="1">
      <c r="T610" s="117"/>
    </row>
    <row r="611" ht="15.75" customHeight="1">
      <c r="T611" s="117"/>
    </row>
    <row r="612" ht="15.75" customHeight="1">
      <c r="T612" s="117"/>
    </row>
    <row r="613" ht="15.75" customHeight="1">
      <c r="T613" s="117"/>
    </row>
    <row r="614" ht="15.75" customHeight="1">
      <c r="T614" s="117"/>
    </row>
    <row r="615" ht="15.75" customHeight="1">
      <c r="T615" s="117"/>
    </row>
    <row r="616" ht="15.75" customHeight="1">
      <c r="T616" s="117"/>
    </row>
    <row r="617" ht="15.75" customHeight="1">
      <c r="T617" s="117"/>
    </row>
    <row r="618" ht="15.75" customHeight="1">
      <c r="T618" s="117"/>
    </row>
    <row r="619" ht="15.75" customHeight="1">
      <c r="T619" s="117"/>
    </row>
    <row r="620" ht="15.75" customHeight="1">
      <c r="T620" s="117"/>
    </row>
    <row r="621" ht="15.75" customHeight="1">
      <c r="T621" s="117"/>
    </row>
    <row r="622" ht="15.75" customHeight="1">
      <c r="T622" s="117"/>
    </row>
    <row r="623" ht="15.75" customHeight="1">
      <c r="T623" s="117"/>
    </row>
    <row r="624" ht="15.75" customHeight="1">
      <c r="T624" s="117"/>
    </row>
    <row r="625" ht="15.75" customHeight="1">
      <c r="T625" s="117"/>
    </row>
    <row r="626" ht="15.75" customHeight="1">
      <c r="T626" s="117"/>
    </row>
    <row r="627" ht="15.75" customHeight="1">
      <c r="T627" s="117"/>
    </row>
    <row r="628" ht="15.75" customHeight="1">
      <c r="T628" s="117"/>
    </row>
    <row r="629" ht="15.75" customHeight="1">
      <c r="T629" s="117"/>
    </row>
    <row r="630" ht="15.75" customHeight="1">
      <c r="T630" s="117"/>
    </row>
    <row r="631" ht="15.75" customHeight="1">
      <c r="T631" s="117"/>
    </row>
    <row r="632" ht="15.75" customHeight="1">
      <c r="T632" s="117"/>
    </row>
    <row r="633" ht="15.75" customHeight="1">
      <c r="T633" s="117"/>
    </row>
    <row r="634" ht="15.75" customHeight="1">
      <c r="T634" s="117"/>
    </row>
    <row r="635" ht="15.75" customHeight="1">
      <c r="T635" s="117"/>
    </row>
    <row r="636" ht="15.75" customHeight="1">
      <c r="T636" s="117"/>
    </row>
    <row r="637" ht="15.75" customHeight="1">
      <c r="T637" s="117"/>
    </row>
    <row r="638" ht="15.75" customHeight="1">
      <c r="T638" s="117"/>
    </row>
    <row r="639" ht="15.75" customHeight="1">
      <c r="T639" s="117"/>
    </row>
    <row r="640" ht="15.75" customHeight="1">
      <c r="T640" s="117"/>
    </row>
    <row r="641" ht="15.75" customHeight="1">
      <c r="T641" s="117"/>
    </row>
    <row r="642" ht="15.75" customHeight="1">
      <c r="T642" s="117"/>
    </row>
    <row r="643" ht="15.75" customHeight="1">
      <c r="T643" s="117"/>
    </row>
    <row r="644" ht="15.75" customHeight="1">
      <c r="T644" s="117"/>
    </row>
    <row r="645" ht="15.75" customHeight="1">
      <c r="T645" s="117"/>
    </row>
    <row r="646" ht="15.75" customHeight="1">
      <c r="T646" s="117"/>
    </row>
    <row r="647" ht="15.75" customHeight="1">
      <c r="T647" s="117"/>
    </row>
    <row r="648" ht="15.75" customHeight="1">
      <c r="T648" s="117"/>
    </row>
    <row r="649" ht="15.75" customHeight="1">
      <c r="T649" s="117"/>
    </row>
    <row r="650" ht="15.75" customHeight="1">
      <c r="T650" s="117"/>
    </row>
    <row r="651" ht="15.75" customHeight="1">
      <c r="T651" s="117"/>
    </row>
    <row r="652" ht="15.75" customHeight="1">
      <c r="T652" s="117"/>
    </row>
    <row r="653" ht="15.75" customHeight="1">
      <c r="T653" s="117"/>
    </row>
    <row r="654" ht="15.75" customHeight="1">
      <c r="T654" s="117"/>
    </row>
    <row r="655" ht="15.75" customHeight="1">
      <c r="T655" s="117"/>
    </row>
    <row r="656" ht="15.75" customHeight="1">
      <c r="T656" s="117"/>
    </row>
    <row r="657" ht="15.75" customHeight="1">
      <c r="T657" s="117"/>
    </row>
    <row r="658" ht="15.75" customHeight="1">
      <c r="T658" s="117"/>
    </row>
    <row r="659" ht="15.75" customHeight="1">
      <c r="T659" s="117"/>
    </row>
    <row r="660" ht="15.75" customHeight="1">
      <c r="T660" s="117"/>
    </row>
    <row r="661" ht="15.75" customHeight="1">
      <c r="T661" s="117"/>
    </row>
    <row r="662" ht="15.75" customHeight="1">
      <c r="T662" s="117"/>
    </row>
    <row r="663" ht="15.75" customHeight="1">
      <c r="T663" s="117"/>
    </row>
    <row r="664" ht="15.75" customHeight="1">
      <c r="T664" s="117"/>
    </row>
    <row r="665" ht="15.75" customHeight="1">
      <c r="T665" s="117"/>
    </row>
    <row r="666" ht="15.75" customHeight="1">
      <c r="T666" s="117"/>
    </row>
    <row r="667" ht="15.75" customHeight="1">
      <c r="T667" s="117"/>
    </row>
    <row r="668" ht="15.75" customHeight="1">
      <c r="T668" s="117"/>
    </row>
    <row r="669" ht="15.75" customHeight="1">
      <c r="T669" s="117"/>
    </row>
    <row r="670" ht="15.75" customHeight="1">
      <c r="T670" s="117"/>
    </row>
    <row r="671" ht="15.75" customHeight="1">
      <c r="T671" s="117"/>
    </row>
    <row r="672" ht="15.75" customHeight="1">
      <c r="T672" s="117"/>
    </row>
    <row r="673" ht="15.75" customHeight="1">
      <c r="T673" s="117"/>
    </row>
    <row r="674" ht="15.75" customHeight="1">
      <c r="T674" s="117"/>
    </row>
    <row r="675" ht="15.75" customHeight="1">
      <c r="T675" s="117"/>
    </row>
    <row r="676" ht="15.75" customHeight="1">
      <c r="T676" s="117"/>
    </row>
    <row r="677" ht="15.75" customHeight="1">
      <c r="T677" s="117"/>
    </row>
    <row r="678" ht="15.75" customHeight="1">
      <c r="T678" s="117"/>
    </row>
    <row r="679" ht="15.75" customHeight="1">
      <c r="T679" s="117"/>
    </row>
    <row r="680" ht="15.75" customHeight="1">
      <c r="T680" s="117"/>
    </row>
    <row r="681" ht="15.75" customHeight="1">
      <c r="T681" s="117"/>
    </row>
    <row r="682" ht="15.75" customHeight="1">
      <c r="T682" s="117"/>
    </row>
    <row r="683" ht="15.75" customHeight="1">
      <c r="T683" s="117"/>
    </row>
    <row r="684" ht="15.75" customHeight="1">
      <c r="T684" s="117"/>
    </row>
    <row r="685" ht="15.75" customHeight="1">
      <c r="T685" s="117"/>
    </row>
    <row r="686" ht="15.75" customHeight="1">
      <c r="T686" s="117"/>
    </row>
    <row r="687" ht="15.75" customHeight="1">
      <c r="T687" s="117"/>
    </row>
    <row r="688" ht="15.75" customHeight="1">
      <c r="T688" s="117"/>
    </row>
    <row r="689" ht="15.75" customHeight="1">
      <c r="T689" s="117"/>
    </row>
    <row r="690" ht="15.75" customHeight="1">
      <c r="T690" s="117"/>
    </row>
    <row r="691" ht="15.75" customHeight="1">
      <c r="T691" s="117"/>
    </row>
    <row r="692" ht="15.75" customHeight="1">
      <c r="T692" s="117"/>
    </row>
    <row r="693" ht="15.75" customHeight="1">
      <c r="T693" s="117"/>
    </row>
    <row r="694" ht="15.75" customHeight="1">
      <c r="T694" s="117"/>
    </row>
    <row r="695" ht="15.75" customHeight="1">
      <c r="T695" s="117"/>
    </row>
    <row r="696" ht="15.75" customHeight="1">
      <c r="T696" s="117"/>
    </row>
    <row r="697" ht="15.75" customHeight="1">
      <c r="T697" s="117"/>
    </row>
    <row r="698" ht="15.75" customHeight="1">
      <c r="T698" s="117"/>
    </row>
    <row r="699" ht="15.75" customHeight="1">
      <c r="T699" s="117"/>
    </row>
    <row r="700" ht="15.75" customHeight="1">
      <c r="T700" s="117"/>
    </row>
    <row r="701" ht="15.75" customHeight="1">
      <c r="T701" s="117"/>
    </row>
    <row r="702" ht="15.75" customHeight="1">
      <c r="T702" s="117"/>
    </row>
    <row r="703" ht="15.75" customHeight="1">
      <c r="T703" s="117"/>
    </row>
    <row r="704" ht="15.75" customHeight="1">
      <c r="T704" s="117"/>
    </row>
    <row r="705" ht="15.75" customHeight="1">
      <c r="T705" s="117"/>
    </row>
    <row r="706" ht="15.75" customHeight="1">
      <c r="T706" s="117"/>
    </row>
    <row r="707" ht="15.75" customHeight="1">
      <c r="T707" s="117"/>
    </row>
    <row r="708" ht="15.75" customHeight="1">
      <c r="T708" s="117"/>
    </row>
    <row r="709" ht="15.75" customHeight="1">
      <c r="T709" s="117"/>
    </row>
    <row r="710" ht="15.75" customHeight="1">
      <c r="T710" s="117"/>
    </row>
    <row r="711" ht="15.75" customHeight="1">
      <c r="T711" s="117"/>
    </row>
    <row r="712" ht="15.75" customHeight="1">
      <c r="T712" s="117"/>
    </row>
    <row r="713" ht="15.75" customHeight="1">
      <c r="T713" s="117"/>
    </row>
    <row r="714" ht="15.75" customHeight="1">
      <c r="T714" s="117"/>
    </row>
    <row r="715" ht="15.75" customHeight="1">
      <c r="T715" s="117"/>
    </row>
    <row r="716" ht="15.75" customHeight="1">
      <c r="T716" s="117"/>
    </row>
    <row r="717" ht="15.75" customHeight="1">
      <c r="T717" s="117"/>
    </row>
    <row r="718" ht="15.75" customHeight="1">
      <c r="T718" s="117"/>
    </row>
    <row r="719" ht="15.75" customHeight="1">
      <c r="T719" s="117"/>
    </row>
    <row r="720" ht="15.75" customHeight="1">
      <c r="T720" s="117"/>
    </row>
    <row r="721" ht="15.75" customHeight="1">
      <c r="T721" s="117"/>
    </row>
    <row r="722" ht="15.75" customHeight="1">
      <c r="T722" s="117"/>
    </row>
    <row r="723" ht="15.75" customHeight="1">
      <c r="T723" s="117"/>
    </row>
    <row r="724" ht="15.75" customHeight="1">
      <c r="T724" s="117"/>
    </row>
    <row r="725" ht="15.75" customHeight="1">
      <c r="T725" s="117"/>
    </row>
    <row r="726" ht="15.75" customHeight="1">
      <c r="T726" s="117"/>
    </row>
    <row r="727" ht="15.75" customHeight="1">
      <c r="T727" s="117"/>
    </row>
    <row r="728" ht="15.75" customHeight="1">
      <c r="T728" s="117"/>
    </row>
    <row r="729" ht="15.75" customHeight="1">
      <c r="T729" s="117"/>
    </row>
    <row r="730" ht="15.75" customHeight="1">
      <c r="T730" s="117"/>
    </row>
    <row r="731" ht="15.75" customHeight="1">
      <c r="T731" s="117"/>
    </row>
    <row r="732" ht="15.75" customHeight="1">
      <c r="T732" s="117"/>
    </row>
    <row r="733" ht="15.75" customHeight="1">
      <c r="T733" s="117"/>
    </row>
    <row r="734" ht="15.75" customHeight="1">
      <c r="T734" s="117"/>
    </row>
    <row r="735" ht="15.75" customHeight="1">
      <c r="T735" s="117"/>
    </row>
    <row r="736" ht="15.75" customHeight="1">
      <c r="T736" s="117"/>
    </row>
    <row r="737" ht="15.75" customHeight="1">
      <c r="T737" s="117"/>
    </row>
    <row r="738" ht="15.75" customHeight="1">
      <c r="T738" s="117"/>
    </row>
    <row r="739" ht="15.75" customHeight="1">
      <c r="T739" s="117"/>
    </row>
    <row r="740" ht="15.75" customHeight="1">
      <c r="T740" s="117"/>
    </row>
    <row r="741" ht="15.75" customHeight="1">
      <c r="T741" s="117"/>
    </row>
    <row r="742" ht="15.75" customHeight="1">
      <c r="T742" s="117"/>
    </row>
    <row r="743" ht="15.75" customHeight="1">
      <c r="T743" s="117"/>
    </row>
    <row r="744" ht="15.75" customHeight="1">
      <c r="T744" s="117"/>
    </row>
    <row r="745" ht="15.75" customHeight="1">
      <c r="T745" s="117"/>
    </row>
    <row r="746" ht="15.75" customHeight="1">
      <c r="T746" s="117"/>
    </row>
    <row r="747" ht="15.75" customHeight="1">
      <c r="T747" s="117"/>
    </row>
    <row r="748" ht="15.75" customHeight="1">
      <c r="T748" s="117"/>
    </row>
    <row r="749" ht="15.75" customHeight="1">
      <c r="T749" s="117"/>
    </row>
    <row r="750" ht="15.75" customHeight="1">
      <c r="T750" s="117"/>
    </row>
    <row r="751" ht="15.75" customHeight="1">
      <c r="T751" s="117"/>
    </row>
    <row r="752" ht="15.75" customHeight="1">
      <c r="T752" s="117"/>
    </row>
    <row r="753" ht="15.75" customHeight="1">
      <c r="T753" s="117"/>
    </row>
    <row r="754" ht="15.75" customHeight="1">
      <c r="T754" s="117"/>
    </row>
    <row r="755" ht="15.75" customHeight="1">
      <c r="T755" s="117"/>
    </row>
    <row r="756" ht="15.75" customHeight="1">
      <c r="T756" s="117"/>
    </row>
    <row r="757" ht="15.75" customHeight="1">
      <c r="T757" s="117"/>
    </row>
    <row r="758" ht="15.75" customHeight="1">
      <c r="T758" s="117"/>
    </row>
    <row r="759" ht="15.75" customHeight="1">
      <c r="T759" s="117"/>
    </row>
    <row r="760" ht="15.75" customHeight="1">
      <c r="T760" s="117"/>
    </row>
    <row r="761" ht="15.75" customHeight="1">
      <c r="T761" s="117"/>
    </row>
    <row r="762" ht="15.75" customHeight="1">
      <c r="T762" s="117"/>
    </row>
    <row r="763" ht="15.75" customHeight="1">
      <c r="T763" s="117"/>
    </row>
    <row r="764" ht="15.75" customHeight="1">
      <c r="T764" s="117"/>
    </row>
    <row r="765" ht="15.75" customHeight="1">
      <c r="T765" s="117"/>
    </row>
    <row r="766" ht="15.75" customHeight="1">
      <c r="T766" s="117"/>
    </row>
    <row r="767" ht="15.75" customHeight="1">
      <c r="T767" s="117"/>
    </row>
    <row r="768" ht="15.75" customHeight="1">
      <c r="T768" s="117"/>
    </row>
    <row r="769" ht="15.75" customHeight="1">
      <c r="T769" s="117"/>
    </row>
    <row r="770" ht="15.75" customHeight="1">
      <c r="T770" s="117"/>
    </row>
    <row r="771" ht="15.75" customHeight="1">
      <c r="T771" s="117"/>
    </row>
    <row r="772" ht="15.75" customHeight="1">
      <c r="T772" s="117"/>
    </row>
    <row r="773" ht="15.75" customHeight="1">
      <c r="T773" s="117"/>
    </row>
    <row r="774" ht="15.75" customHeight="1">
      <c r="T774" s="117"/>
    </row>
    <row r="775" ht="15.75" customHeight="1">
      <c r="T775" s="117"/>
    </row>
    <row r="776" ht="15.75" customHeight="1">
      <c r="T776" s="117"/>
    </row>
    <row r="777" ht="15.75" customHeight="1">
      <c r="T777" s="117"/>
    </row>
    <row r="778" ht="15.75" customHeight="1">
      <c r="T778" s="117"/>
    </row>
    <row r="779" ht="15.75" customHeight="1">
      <c r="T779" s="117"/>
    </row>
    <row r="780" ht="15.75" customHeight="1">
      <c r="T780" s="117"/>
    </row>
    <row r="781" ht="15.75" customHeight="1">
      <c r="T781" s="117"/>
    </row>
    <row r="782" ht="15.75" customHeight="1">
      <c r="T782" s="117"/>
    </row>
    <row r="783" ht="15.75" customHeight="1">
      <c r="T783" s="117"/>
    </row>
    <row r="784" ht="15.75" customHeight="1">
      <c r="T784" s="117"/>
    </row>
    <row r="785" ht="15.75" customHeight="1">
      <c r="T785" s="117"/>
    </row>
    <row r="786" ht="15.75" customHeight="1">
      <c r="T786" s="117"/>
    </row>
    <row r="787" ht="15.75" customHeight="1">
      <c r="T787" s="117"/>
    </row>
    <row r="788" ht="15.75" customHeight="1">
      <c r="T788" s="117"/>
    </row>
    <row r="789" ht="15.75" customHeight="1">
      <c r="T789" s="117"/>
    </row>
    <row r="790" ht="15.75" customHeight="1">
      <c r="T790" s="117"/>
    </row>
    <row r="791" ht="15.75" customHeight="1">
      <c r="T791" s="117"/>
    </row>
    <row r="792" ht="15.75" customHeight="1">
      <c r="T792" s="117"/>
    </row>
    <row r="793" ht="15.75" customHeight="1">
      <c r="T793" s="117"/>
    </row>
    <row r="794" ht="15.75" customHeight="1">
      <c r="T794" s="117"/>
    </row>
    <row r="795" ht="15.75" customHeight="1">
      <c r="T795" s="117"/>
    </row>
    <row r="796" ht="15.75" customHeight="1">
      <c r="T796" s="117"/>
    </row>
    <row r="797" ht="15.75" customHeight="1">
      <c r="T797" s="117"/>
    </row>
    <row r="798" ht="15.75" customHeight="1">
      <c r="T798" s="117"/>
    </row>
    <row r="799" ht="15.75" customHeight="1">
      <c r="T799" s="117"/>
    </row>
    <row r="800" ht="15.75" customHeight="1">
      <c r="T800" s="117"/>
    </row>
    <row r="801" ht="15.75" customHeight="1">
      <c r="T801" s="117"/>
    </row>
    <row r="802" ht="15.75" customHeight="1">
      <c r="T802" s="117"/>
    </row>
    <row r="803" ht="15.75" customHeight="1">
      <c r="T803" s="117"/>
    </row>
    <row r="804" ht="15.75" customHeight="1">
      <c r="T804" s="117"/>
    </row>
    <row r="805" ht="15.75" customHeight="1">
      <c r="T805" s="117"/>
    </row>
    <row r="806" ht="15.75" customHeight="1">
      <c r="T806" s="117"/>
    </row>
    <row r="807" ht="15.75" customHeight="1">
      <c r="T807" s="117"/>
    </row>
    <row r="808" ht="15.75" customHeight="1">
      <c r="T808" s="117"/>
    </row>
    <row r="809" ht="15.75" customHeight="1">
      <c r="T809" s="117"/>
    </row>
    <row r="810" ht="15.75" customHeight="1">
      <c r="T810" s="117"/>
    </row>
    <row r="811" ht="15.75" customHeight="1">
      <c r="T811" s="117"/>
    </row>
    <row r="812" ht="15.75" customHeight="1">
      <c r="T812" s="117"/>
    </row>
    <row r="813" ht="15.75" customHeight="1">
      <c r="T813" s="117"/>
    </row>
    <row r="814" ht="15.75" customHeight="1">
      <c r="T814" s="117"/>
    </row>
    <row r="815" ht="15.75" customHeight="1">
      <c r="T815" s="117"/>
    </row>
    <row r="816" ht="15.75" customHeight="1">
      <c r="T816" s="117"/>
    </row>
    <row r="817" ht="15.75" customHeight="1">
      <c r="T817" s="117"/>
    </row>
    <row r="818" ht="15.75" customHeight="1">
      <c r="T818" s="117"/>
    </row>
    <row r="819" ht="15.75" customHeight="1">
      <c r="T819" s="117"/>
    </row>
    <row r="820" ht="15.75" customHeight="1">
      <c r="T820" s="117"/>
    </row>
    <row r="821" ht="15.75" customHeight="1">
      <c r="T821" s="117"/>
    </row>
    <row r="822" ht="15.75" customHeight="1">
      <c r="T822" s="117"/>
    </row>
    <row r="823" ht="15.75" customHeight="1">
      <c r="T823" s="117"/>
    </row>
    <row r="824" ht="15.75" customHeight="1">
      <c r="T824" s="117"/>
    </row>
    <row r="825" ht="15.75" customHeight="1">
      <c r="T825" s="117"/>
    </row>
    <row r="826" ht="15.75" customHeight="1">
      <c r="T826" s="117"/>
    </row>
    <row r="827" ht="15.75" customHeight="1">
      <c r="T827" s="117"/>
    </row>
    <row r="828" ht="15.75" customHeight="1">
      <c r="T828" s="117"/>
    </row>
    <row r="829" ht="15.75" customHeight="1">
      <c r="T829" s="117"/>
    </row>
    <row r="830" ht="15.75" customHeight="1">
      <c r="T830" s="117"/>
    </row>
    <row r="831" ht="15.75" customHeight="1">
      <c r="T831" s="117"/>
    </row>
    <row r="832" ht="15.75" customHeight="1">
      <c r="T832" s="117"/>
    </row>
    <row r="833" ht="15.75" customHeight="1">
      <c r="T833" s="117"/>
    </row>
    <row r="834" ht="15.75" customHeight="1">
      <c r="T834" s="117"/>
    </row>
    <row r="835" ht="15.75" customHeight="1">
      <c r="T835" s="117"/>
    </row>
    <row r="836" ht="15.75" customHeight="1">
      <c r="T836" s="117"/>
    </row>
    <row r="837" ht="15.75" customHeight="1">
      <c r="T837" s="117"/>
    </row>
    <row r="838" ht="15.75" customHeight="1">
      <c r="T838" s="117"/>
    </row>
    <row r="839" ht="15.75" customHeight="1">
      <c r="T839" s="117"/>
    </row>
    <row r="840" ht="15.75" customHeight="1">
      <c r="T840" s="117"/>
    </row>
    <row r="841" ht="15.75" customHeight="1">
      <c r="T841" s="117"/>
    </row>
    <row r="842" ht="15.75" customHeight="1">
      <c r="T842" s="117"/>
    </row>
    <row r="843" ht="15.75" customHeight="1">
      <c r="T843" s="117"/>
    </row>
    <row r="844" ht="15.75" customHeight="1">
      <c r="T844" s="117"/>
    </row>
    <row r="845" ht="15.75" customHeight="1">
      <c r="T845" s="117"/>
    </row>
    <row r="846" ht="15.75" customHeight="1">
      <c r="T846" s="117"/>
    </row>
    <row r="847" ht="15.75" customHeight="1">
      <c r="T847" s="117"/>
    </row>
    <row r="848" ht="15.75" customHeight="1">
      <c r="T848" s="117"/>
    </row>
    <row r="849" ht="15.75" customHeight="1">
      <c r="T849" s="117"/>
    </row>
    <row r="850" ht="15.75" customHeight="1">
      <c r="T850" s="117"/>
    </row>
    <row r="851" ht="15.75" customHeight="1">
      <c r="T851" s="117"/>
    </row>
    <row r="852" ht="15.75" customHeight="1">
      <c r="T852" s="117"/>
    </row>
    <row r="853" ht="15.75" customHeight="1">
      <c r="T853" s="117"/>
    </row>
    <row r="854" ht="15.75" customHeight="1">
      <c r="T854" s="117"/>
    </row>
    <row r="855" ht="15.75" customHeight="1">
      <c r="T855" s="117"/>
    </row>
    <row r="856" ht="15.75" customHeight="1">
      <c r="T856" s="117"/>
    </row>
    <row r="857" ht="15.75" customHeight="1">
      <c r="T857" s="117"/>
    </row>
    <row r="858" ht="15.75" customHeight="1">
      <c r="T858" s="117"/>
    </row>
    <row r="859" ht="15.75" customHeight="1">
      <c r="T859" s="117"/>
    </row>
    <row r="860" ht="15.75" customHeight="1">
      <c r="T860" s="117"/>
    </row>
    <row r="861" ht="15.75" customHeight="1">
      <c r="T861" s="117"/>
    </row>
    <row r="862" ht="15.75" customHeight="1">
      <c r="T862" s="117"/>
    </row>
    <row r="863" ht="15.75" customHeight="1">
      <c r="T863" s="117"/>
    </row>
    <row r="864" ht="15.75" customHeight="1">
      <c r="T864" s="117"/>
    </row>
    <row r="865" ht="15.75" customHeight="1">
      <c r="T865" s="117"/>
    </row>
    <row r="866" ht="15.75" customHeight="1">
      <c r="T866" s="117"/>
    </row>
    <row r="867" ht="15.75" customHeight="1">
      <c r="T867" s="117"/>
    </row>
    <row r="868" ht="15.75" customHeight="1">
      <c r="T868" s="117"/>
    </row>
    <row r="869" ht="15.75" customHeight="1">
      <c r="T869" s="117"/>
    </row>
    <row r="870" ht="15.75" customHeight="1">
      <c r="T870" s="117"/>
    </row>
    <row r="871" ht="15.75" customHeight="1">
      <c r="T871" s="117"/>
    </row>
    <row r="872" ht="15.75" customHeight="1">
      <c r="T872" s="117"/>
    </row>
    <row r="873" ht="15.75" customHeight="1">
      <c r="T873" s="117"/>
    </row>
    <row r="874" ht="15.75" customHeight="1">
      <c r="T874" s="117"/>
    </row>
    <row r="875" ht="15.75" customHeight="1">
      <c r="T875" s="117"/>
    </row>
    <row r="876" ht="15.75" customHeight="1">
      <c r="T876" s="117"/>
    </row>
    <row r="877" ht="15.75" customHeight="1">
      <c r="T877" s="117"/>
    </row>
    <row r="878" ht="15.75" customHeight="1">
      <c r="T878" s="117"/>
    </row>
    <row r="879" ht="15.75" customHeight="1">
      <c r="T879" s="117"/>
    </row>
    <row r="880" ht="15.75" customHeight="1">
      <c r="T880" s="117"/>
    </row>
    <row r="881" ht="15.75" customHeight="1">
      <c r="T881" s="117"/>
    </row>
    <row r="882" ht="15.75" customHeight="1">
      <c r="T882" s="117"/>
    </row>
    <row r="883" ht="15.75" customHeight="1">
      <c r="T883" s="117"/>
    </row>
    <row r="884" ht="15.75" customHeight="1">
      <c r="T884" s="117"/>
    </row>
    <row r="885" ht="15.75" customHeight="1">
      <c r="T885" s="117"/>
    </row>
    <row r="886" ht="15.75" customHeight="1">
      <c r="T886" s="117"/>
    </row>
    <row r="887" ht="15.75" customHeight="1">
      <c r="T887" s="117"/>
    </row>
    <row r="888" ht="15.75" customHeight="1">
      <c r="T888" s="117"/>
    </row>
    <row r="889" ht="15.75" customHeight="1">
      <c r="T889" s="117"/>
    </row>
    <row r="890" ht="15.75" customHeight="1">
      <c r="T890" s="117"/>
    </row>
    <row r="891" ht="15.75" customHeight="1">
      <c r="T891" s="117"/>
    </row>
    <row r="892" ht="15.75" customHeight="1">
      <c r="T892" s="117"/>
    </row>
    <row r="893" ht="15.75" customHeight="1">
      <c r="T893" s="117">
        <f>1210123/2179491</f>
        <v>0.5552319326</v>
      </c>
    </row>
    <row r="894" ht="15.75" customHeight="1">
      <c r="T894" s="117"/>
    </row>
    <row r="895" ht="15.75" customHeight="1">
      <c r="T895" s="117"/>
    </row>
    <row r="896" ht="15.75" customHeight="1">
      <c r="T896" s="117"/>
    </row>
    <row r="897" ht="15.75" customHeight="1">
      <c r="T897" s="117"/>
    </row>
    <row r="898" ht="15.75" customHeight="1">
      <c r="T898" s="117"/>
    </row>
    <row r="899" ht="15.75" customHeight="1">
      <c r="T899" s="117"/>
    </row>
    <row r="900" ht="15.75" customHeight="1">
      <c r="T900" s="117"/>
    </row>
    <row r="901" ht="15.75" customHeight="1">
      <c r="T901" s="117"/>
    </row>
    <row r="902" ht="15.75" customHeight="1">
      <c r="T902" s="117">
        <f>197731/180088</f>
        <v>1.097968771</v>
      </c>
    </row>
    <row r="903" ht="15.75" customHeight="1">
      <c r="T903" s="117"/>
    </row>
    <row r="904" ht="15.75" customHeight="1">
      <c r="T904" s="117"/>
    </row>
    <row r="905" ht="15.75" customHeight="1">
      <c r="T905" s="117"/>
    </row>
    <row r="906" ht="15.75" customHeight="1">
      <c r="T906" s="117"/>
    </row>
    <row r="907" ht="15.75" customHeight="1">
      <c r="T907" s="117"/>
    </row>
    <row r="908" ht="15.75" customHeight="1">
      <c r="T908" s="117"/>
    </row>
    <row r="909" ht="15.75" customHeight="1">
      <c r="T909" s="117"/>
    </row>
    <row r="910" ht="15.75" customHeight="1">
      <c r="T910" s="117"/>
    </row>
    <row r="911" ht="15.75" customHeight="1">
      <c r="T911" s="117"/>
    </row>
    <row r="912" ht="15.75" customHeight="1">
      <c r="T912" s="117"/>
    </row>
    <row r="913" ht="15.75" customHeight="1">
      <c r="T913" s="117"/>
    </row>
    <row r="914" ht="15.75" customHeight="1">
      <c r="T914" s="117"/>
    </row>
    <row r="915" ht="15.75" customHeight="1">
      <c r="T915" s="117"/>
    </row>
    <row r="916" ht="15.75" customHeight="1">
      <c r="T916" s="117"/>
    </row>
    <row r="917" ht="15.75" customHeight="1">
      <c r="T917" s="117"/>
    </row>
    <row r="918" ht="15.75" customHeight="1">
      <c r="T918" s="117"/>
    </row>
    <row r="919" ht="15.75" customHeight="1">
      <c r="T919" s="117"/>
    </row>
    <row r="920" ht="15.75" customHeight="1">
      <c r="T920" s="117"/>
    </row>
    <row r="921" ht="15.75" customHeight="1">
      <c r="T921" s="117"/>
    </row>
    <row r="922" ht="15.75" customHeight="1">
      <c r="T922" s="117"/>
    </row>
    <row r="923" ht="15.75" customHeight="1">
      <c r="T923" s="117"/>
    </row>
    <row r="924" ht="15.75" customHeight="1">
      <c r="T924" s="117"/>
    </row>
    <row r="925" ht="15.75" customHeight="1">
      <c r="T925" s="117"/>
    </row>
    <row r="926" ht="15.75" customHeight="1">
      <c r="T926" s="117"/>
    </row>
    <row r="927" ht="15.75" customHeight="1">
      <c r="T927" s="117"/>
    </row>
    <row r="928" ht="15.75" customHeight="1">
      <c r="T928" s="117"/>
    </row>
    <row r="929" ht="15.75" customHeight="1">
      <c r="T929" s="117"/>
    </row>
    <row r="930" ht="15.75" customHeight="1">
      <c r="T930" s="117"/>
    </row>
    <row r="931" ht="15.75" customHeight="1">
      <c r="T931" s="117"/>
    </row>
    <row r="932" ht="15.75" customHeight="1">
      <c r="T932" s="117"/>
    </row>
    <row r="933" ht="15.75" customHeight="1">
      <c r="T933" s="117"/>
    </row>
    <row r="934" ht="15.75" customHeight="1">
      <c r="T934" s="117"/>
    </row>
    <row r="935" ht="15.75" customHeight="1">
      <c r="T935" s="117"/>
    </row>
    <row r="936" ht="15.75" customHeight="1">
      <c r="T936" s="117"/>
    </row>
    <row r="937" ht="15.75" customHeight="1">
      <c r="T937" s="117"/>
    </row>
    <row r="938" ht="15.75" customHeight="1">
      <c r="T938" s="117"/>
    </row>
    <row r="939" ht="15.75" customHeight="1">
      <c r="T939" s="117"/>
    </row>
    <row r="940" ht="15.75" customHeight="1">
      <c r="T940" s="117"/>
    </row>
    <row r="941" ht="15.75" customHeight="1">
      <c r="T941" s="117"/>
    </row>
    <row r="942" ht="15.75" customHeight="1">
      <c r="T942" s="117"/>
    </row>
    <row r="943" ht="15.75" customHeight="1">
      <c r="T943" s="117"/>
    </row>
    <row r="944" ht="15.75" customHeight="1">
      <c r="T944" s="117"/>
    </row>
    <row r="945" ht="15.75" customHeight="1">
      <c r="T945" s="117"/>
    </row>
    <row r="946" ht="15.75" customHeight="1">
      <c r="T946" s="117"/>
    </row>
    <row r="947" ht="15.75" customHeight="1">
      <c r="T947" s="117"/>
    </row>
    <row r="948" ht="15.75" customHeight="1">
      <c r="T948" s="117"/>
    </row>
    <row r="949" ht="15.75" customHeight="1">
      <c r="T949" s="117"/>
    </row>
    <row r="950" ht="15.75" customHeight="1">
      <c r="T950" s="117"/>
    </row>
    <row r="951" ht="15.75" customHeight="1">
      <c r="T951" s="117"/>
    </row>
    <row r="952" ht="15.75" customHeight="1">
      <c r="T952" s="117"/>
    </row>
    <row r="953" ht="15.75" customHeight="1">
      <c r="T953" s="117"/>
    </row>
    <row r="954" ht="15.75" customHeight="1">
      <c r="T954" s="117"/>
    </row>
    <row r="955" ht="15.75" customHeight="1">
      <c r="T955" s="117"/>
    </row>
    <row r="956" ht="15.75" customHeight="1">
      <c r="T956" s="117"/>
    </row>
    <row r="957" ht="15.75" customHeight="1">
      <c r="T957" s="117"/>
    </row>
    <row r="958" ht="15.75" customHeight="1">
      <c r="T958" s="117"/>
    </row>
    <row r="959" ht="15.75" customHeight="1">
      <c r="T959" s="117"/>
    </row>
    <row r="960" ht="15.75" customHeight="1">
      <c r="T960" s="117"/>
    </row>
    <row r="961" ht="15.75" customHeight="1">
      <c r="T961" s="117"/>
    </row>
    <row r="962" ht="15.75" customHeight="1">
      <c r="T962" s="117"/>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36.71"/>
    <col customWidth="1" min="4" max="4" width="35.29"/>
  </cols>
  <sheetData>
    <row r="1">
      <c r="E1" s="92">
        <v>43831.0</v>
      </c>
      <c r="F1" s="93">
        <v>43862.0</v>
      </c>
      <c r="G1" s="93">
        <v>43891.0</v>
      </c>
      <c r="H1" s="93">
        <v>43922.0</v>
      </c>
      <c r="I1" s="93">
        <v>43952.0</v>
      </c>
      <c r="J1" s="93">
        <v>43983.0</v>
      </c>
      <c r="K1" s="93">
        <v>44013.0</v>
      </c>
      <c r="L1" s="93">
        <v>44044.0</v>
      </c>
      <c r="M1" s="93">
        <v>44075.0</v>
      </c>
      <c r="N1" s="93">
        <v>44105.0</v>
      </c>
      <c r="O1" s="93">
        <v>44136.0</v>
      </c>
      <c r="P1" s="94">
        <v>44166.0</v>
      </c>
      <c r="Q1" s="92">
        <v>44197.0</v>
      </c>
      <c r="R1" s="93">
        <v>44228.0</v>
      </c>
      <c r="S1" s="93">
        <v>44256.0</v>
      </c>
      <c r="T1" s="93">
        <v>44287.0</v>
      </c>
      <c r="U1" s="93">
        <v>44317.0</v>
      </c>
      <c r="V1" s="93">
        <v>44348.0</v>
      </c>
      <c r="W1" s="93">
        <v>44378.0</v>
      </c>
      <c r="X1" s="93">
        <v>44409.0</v>
      </c>
      <c r="Y1" s="93">
        <v>44440.0</v>
      </c>
      <c r="Z1" s="93">
        <v>44470.0</v>
      </c>
      <c r="AA1" s="93">
        <v>44501.0</v>
      </c>
      <c r="AB1" s="94">
        <v>44531.0</v>
      </c>
      <c r="AC1" s="530">
        <v>44562.0</v>
      </c>
      <c r="AD1" s="95">
        <v>44593.0</v>
      </c>
      <c r="AE1" s="95">
        <v>44621.0</v>
      </c>
      <c r="AF1" s="95">
        <v>44652.0</v>
      </c>
      <c r="AG1" s="97">
        <v>44682.0</v>
      </c>
      <c r="AH1" s="97">
        <v>44713.0</v>
      </c>
      <c r="AI1" s="97">
        <v>44743.0</v>
      </c>
      <c r="AJ1" s="97">
        <v>44774.0</v>
      </c>
      <c r="AK1" s="98">
        <v>44805.0</v>
      </c>
      <c r="AL1" s="98">
        <v>44835.0</v>
      </c>
      <c r="AM1" s="98">
        <v>44866.0</v>
      </c>
      <c r="AN1" s="99">
        <v>44896.0</v>
      </c>
      <c r="AO1" s="100">
        <v>44927.0</v>
      </c>
      <c r="AP1" s="98">
        <v>44958.0</v>
      </c>
      <c r="AQ1" s="98">
        <v>44986.0</v>
      </c>
      <c r="AR1" s="98">
        <v>45017.0</v>
      </c>
      <c r="AS1" s="98">
        <v>45047.0</v>
      </c>
      <c r="AT1" s="98">
        <v>45078.0</v>
      </c>
      <c r="AU1" s="98">
        <v>45108.0</v>
      </c>
      <c r="AV1" s="98">
        <v>45139.0</v>
      </c>
      <c r="AW1" s="98">
        <v>45170.0</v>
      </c>
      <c r="AX1" s="98">
        <v>45200.0</v>
      </c>
      <c r="AY1" s="98">
        <v>45231.0</v>
      </c>
      <c r="AZ1" s="99">
        <v>45261.0</v>
      </c>
      <c r="BA1" s="100">
        <v>45292.0</v>
      </c>
      <c r="BB1" s="98">
        <v>45323.0</v>
      </c>
      <c r="BC1" s="98">
        <v>45352.0</v>
      </c>
      <c r="BD1" s="98">
        <v>45383.0</v>
      </c>
      <c r="BE1" s="98">
        <v>45413.0</v>
      </c>
      <c r="BF1" s="98">
        <v>45444.0</v>
      </c>
      <c r="BG1" s="98">
        <v>45474.0</v>
      </c>
      <c r="BH1" s="98">
        <v>45505.0</v>
      </c>
      <c r="BI1" s="98">
        <v>45536.0</v>
      </c>
      <c r="BJ1" s="98">
        <v>45566.0</v>
      </c>
      <c r="BK1" s="98">
        <v>45597.0</v>
      </c>
      <c r="BL1" s="99">
        <v>45627.0</v>
      </c>
      <c r="BM1" s="100">
        <v>45658.0</v>
      </c>
      <c r="BN1" s="98">
        <v>45689.0</v>
      </c>
      <c r="BO1" s="98">
        <v>45717.0</v>
      </c>
      <c r="BP1" s="98">
        <v>45748.0</v>
      </c>
      <c r="BQ1" s="98">
        <v>45778.0</v>
      </c>
      <c r="BR1" s="98">
        <v>45809.0</v>
      </c>
      <c r="BS1" s="98">
        <v>45839.0</v>
      </c>
      <c r="BT1" s="98">
        <v>45870.0</v>
      </c>
      <c r="BU1" s="98">
        <v>45901.0</v>
      </c>
      <c r="BV1" s="98">
        <v>45931.0</v>
      </c>
      <c r="BW1" s="98">
        <v>45962.0</v>
      </c>
      <c r="BX1" s="99">
        <v>45992.0</v>
      </c>
    </row>
    <row r="2">
      <c r="E2" s="113" t="s">
        <v>166</v>
      </c>
      <c r="F2" s="113" t="s">
        <v>166</v>
      </c>
      <c r="G2" s="113" t="s">
        <v>166</v>
      </c>
      <c r="H2" s="113" t="s">
        <v>166</v>
      </c>
      <c r="I2" s="113" t="s">
        <v>166</v>
      </c>
      <c r="J2" s="113" t="s">
        <v>166</v>
      </c>
      <c r="K2" s="113" t="s">
        <v>166</v>
      </c>
      <c r="L2" s="113" t="s">
        <v>166</v>
      </c>
      <c r="M2" s="113" t="s">
        <v>166</v>
      </c>
      <c r="N2" s="113" t="s">
        <v>166</v>
      </c>
      <c r="O2" s="113" t="s">
        <v>166</v>
      </c>
      <c r="P2" s="113" t="s">
        <v>166</v>
      </c>
      <c r="Q2" s="113" t="s">
        <v>166</v>
      </c>
      <c r="R2" s="113" t="s">
        <v>166</v>
      </c>
      <c r="S2" s="113" t="s">
        <v>166</v>
      </c>
      <c r="T2" s="113" t="s">
        <v>166</v>
      </c>
      <c r="U2" s="113" t="s">
        <v>166</v>
      </c>
      <c r="V2" s="113" t="s">
        <v>166</v>
      </c>
      <c r="W2" s="113" t="s">
        <v>166</v>
      </c>
      <c r="X2" s="113" t="s">
        <v>166</v>
      </c>
      <c r="Y2" s="113" t="s">
        <v>166</v>
      </c>
      <c r="Z2" s="113" t="s">
        <v>166</v>
      </c>
      <c r="AA2" s="113" t="s">
        <v>166</v>
      </c>
      <c r="AB2" s="113" t="s">
        <v>166</v>
      </c>
      <c r="AC2" s="113" t="s">
        <v>166</v>
      </c>
      <c r="AD2" s="113" t="s">
        <v>166</v>
      </c>
      <c r="AE2" s="113" t="s">
        <v>166</v>
      </c>
      <c r="AF2" s="114" t="s">
        <v>167</v>
      </c>
      <c r="AG2" s="114" t="s">
        <v>167</v>
      </c>
      <c r="AH2" s="114" t="s">
        <v>167</v>
      </c>
      <c r="AI2" s="114" t="s">
        <v>167</v>
      </c>
      <c r="AJ2" s="114" t="s">
        <v>167</v>
      </c>
      <c r="AK2" s="114" t="s">
        <v>167</v>
      </c>
      <c r="AL2" s="114" t="s">
        <v>167</v>
      </c>
      <c r="AM2" s="114" t="s">
        <v>167</v>
      </c>
      <c r="AN2" s="114" t="s">
        <v>167</v>
      </c>
      <c r="AO2" s="114" t="s">
        <v>167</v>
      </c>
      <c r="AP2" s="114" t="s">
        <v>167</v>
      </c>
      <c r="AQ2" s="114" t="s">
        <v>167</v>
      </c>
      <c r="AR2" s="114" t="s">
        <v>167</v>
      </c>
      <c r="AS2" s="114" t="s">
        <v>167</v>
      </c>
      <c r="AT2" s="114" t="s">
        <v>167</v>
      </c>
      <c r="AU2" s="114" t="s">
        <v>167</v>
      </c>
      <c r="AV2" s="114" t="s">
        <v>167</v>
      </c>
      <c r="AW2" s="114" t="s">
        <v>167</v>
      </c>
      <c r="AX2" s="114" t="s">
        <v>167</v>
      </c>
      <c r="AY2" s="114" t="s">
        <v>167</v>
      </c>
      <c r="AZ2" s="114" t="s">
        <v>167</v>
      </c>
      <c r="BA2" s="114" t="s">
        <v>167</v>
      </c>
      <c r="BB2" s="114" t="s">
        <v>167</v>
      </c>
      <c r="BC2" s="114" t="s">
        <v>167</v>
      </c>
      <c r="BD2" s="114" t="s">
        <v>167</v>
      </c>
      <c r="BE2" s="114" t="s">
        <v>167</v>
      </c>
      <c r="BF2" s="114" t="s">
        <v>167</v>
      </c>
      <c r="BG2" s="114" t="s">
        <v>167</v>
      </c>
      <c r="BH2" s="114" t="s">
        <v>167</v>
      </c>
      <c r="BI2" s="114" t="s">
        <v>167</v>
      </c>
      <c r="BJ2" s="114" t="s">
        <v>167</v>
      </c>
      <c r="BK2" s="114" t="s">
        <v>167</v>
      </c>
      <c r="BL2" s="114" t="s">
        <v>167</v>
      </c>
      <c r="BM2" s="114" t="s">
        <v>167</v>
      </c>
      <c r="BN2" s="114" t="s">
        <v>167</v>
      </c>
      <c r="BO2" s="114" t="s">
        <v>167</v>
      </c>
      <c r="BP2" s="114" t="s">
        <v>167</v>
      </c>
      <c r="BQ2" s="114" t="s">
        <v>167</v>
      </c>
      <c r="BR2" s="114" t="s">
        <v>167</v>
      </c>
      <c r="BS2" s="114" t="s">
        <v>167</v>
      </c>
      <c r="BT2" s="114" t="s">
        <v>167</v>
      </c>
      <c r="BU2" s="114" t="s">
        <v>167</v>
      </c>
      <c r="BV2" s="114" t="s">
        <v>167</v>
      </c>
      <c r="BW2" s="114" t="s">
        <v>167</v>
      </c>
      <c r="BX2" s="114" t="s">
        <v>167</v>
      </c>
    </row>
    <row r="3">
      <c r="A3" s="1" t="s">
        <v>845</v>
      </c>
      <c r="B3" s="129"/>
      <c r="C3" s="115" t="s">
        <v>25</v>
      </c>
    </row>
    <row r="4">
      <c r="B4" s="1"/>
      <c r="C4" s="1"/>
      <c r="D4" s="1" t="s">
        <v>846</v>
      </c>
      <c r="E4" s="531">
        <v>724102.0</v>
      </c>
      <c r="F4" s="531">
        <v>741318.0</v>
      </c>
      <c r="G4" s="531">
        <v>736834.0</v>
      </c>
      <c r="H4" s="531">
        <v>646118.0</v>
      </c>
      <c r="I4" s="531">
        <v>637962.0</v>
      </c>
      <c r="J4" s="531">
        <v>657050.0</v>
      </c>
      <c r="K4" s="531">
        <v>631219.0</v>
      </c>
      <c r="L4" s="531">
        <v>591922.0</v>
      </c>
      <c r="M4" s="531">
        <v>664504.0</v>
      </c>
      <c r="N4" s="531">
        <v>714670.0</v>
      </c>
      <c r="O4" s="531">
        <v>735424.0</v>
      </c>
      <c r="P4" s="531">
        <v>749841.0</v>
      </c>
      <c r="Q4" s="531">
        <v>1359807.0</v>
      </c>
      <c r="R4" s="531">
        <v>809326.0</v>
      </c>
      <c r="S4" s="531">
        <v>744905.0</v>
      </c>
      <c r="T4" s="531">
        <v>701003.0</v>
      </c>
      <c r="U4" s="531">
        <v>705133.0</v>
      </c>
      <c r="V4" s="531">
        <v>723565.0</v>
      </c>
      <c r="W4" s="531">
        <v>739888.0</v>
      </c>
      <c r="X4" s="531">
        <v>769478.0</v>
      </c>
      <c r="Y4" s="531">
        <v>730623.0</v>
      </c>
      <c r="Z4" s="531">
        <v>791913.0</v>
      </c>
      <c r="AA4" s="531">
        <v>810068.0</v>
      </c>
      <c r="AB4" s="531">
        <v>932514.0</v>
      </c>
      <c r="AC4" s="531">
        <v>842259.0</v>
      </c>
      <c r="AD4" s="531">
        <v>786060.0</v>
      </c>
      <c r="AE4" s="531">
        <v>753752.0</v>
      </c>
      <c r="AF4" s="137">
        <f t="shared" ref="AF4:BX4" si="1">AE4*(1+AF8)</f>
        <v>766415.0336</v>
      </c>
      <c r="AG4" s="137">
        <f t="shared" si="1"/>
        <v>779290.8062</v>
      </c>
      <c r="AH4" s="137">
        <f t="shared" si="1"/>
        <v>792382.8917</v>
      </c>
      <c r="AI4" s="137">
        <f t="shared" si="1"/>
        <v>805694.9243</v>
      </c>
      <c r="AJ4" s="137">
        <f t="shared" si="1"/>
        <v>819230.599</v>
      </c>
      <c r="AK4" s="137">
        <f t="shared" si="1"/>
        <v>832993.6731</v>
      </c>
      <c r="AL4" s="137">
        <f t="shared" si="1"/>
        <v>855317.9035</v>
      </c>
      <c r="AM4" s="137">
        <f t="shared" si="1"/>
        <v>878240.4233</v>
      </c>
      <c r="AN4" s="137">
        <f t="shared" si="1"/>
        <v>901777.2667</v>
      </c>
      <c r="AO4" s="137">
        <f t="shared" si="1"/>
        <v>925944.8974</v>
      </c>
      <c r="AP4" s="137">
        <f t="shared" si="1"/>
        <v>950760.2207</v>
      </c>
      <c r="AQ4" s="137">
        <f t="shared" si="1"/>
        <v>976240.5946</v>
      </c>
      <c r="AR4" s="137">
        <f t="shared" si="1"/>
        <v>995765.4065</v>
      </c>
      <c r="AS4" s="137">
        <f t="shared" si="1"/>
        <v>1015680.715</v>
      </c>
      <c r="AT4" s="137">
        <f t="shared" si="1"/>
        <v>1035994.329</v>
      </c>
      <c r="AU4" s="137">
        <f t="shared" si="1"/>
        <v>1056714.215</v>
      </c>
      <c r="AV4" s="137">
        <f t="shared" si="1"/>
        <v>1077848.5</v>
      </c>
      <c r="AW4" s="137">
        <f t="shared" si="1"/>
        <v>1099405.47</v>
      </c>
      <c r="AX4" s="137">
        <f t="shared" si="1"/>
        <v>1121393.579</v>
      </c>
      <c r="AY4" s="137">
        <f t="shared" si="1"/>
        <v>1143821.451</v>
      </c>
      <c r="AZ4" s="137">
        <f t="shared" si="1"/>
        <v>1166697.88</v>
      </c>
      <c r="BA4" s="137">
        <f t="shared" si="1"/>
        <v>1190031.837</v>
      </c>
      <c r="BB4" s="137">
        <f t="shared" si="1"/>
        <v>1213832.474</v>
      </c>
      <c r="BC4" s="137">
        <f t="shared" si="1"/>
        <v>1238109.124</v>
      </c>
      <c r="BD4" s="137">
        <f t="shared" si="1"/>
        <v>1262871.306</v>
      </c>
      <c r="BE4" s="137">
        <f t="shared" si="1"/>
        <v>1288128.732</v>
      </c>
      <c r="BF4" s="137">
        <f t="shared" si="1"/>
        <v>1313891.307</v>
      </c>
      <c r="BG4" s="137">
        <f t="shared" si="1"/>
        <v>1340169.133</v>
      </c>
      <c r="BH4" s="137">
        <f t="shared" si="1"/>
        <v>1366972.516</v>
      </c>
      <c r="BI4" s="137">
        <f t="shared" si="1"/>
        <v>1394311.966</v>
      </c>
      <c r="BJ4" s="137">
        <f t="shared" si="1"/>
        <v>1422198.205</v>
      </c>
      <c r="BK4" s="137">
        <f t="shared" si="1"/>
        <v>1450642.169</v>
      </c>
      <c r="BL4" s="137">
        <f t="shared" si="1"/>
        <v>1479655.013</v>
      </c>
      <c r="BM4" s="137">
        <f t="shared" si="1"/>
        <v>1509248.113</v>
      </c>
      <c r="BN4" s="137">
        <f t="shared" si="1"/>
        <v>1539433.075</v>
      </c>
      <c r="BO4" s="137">
        <f t="shared" si="1"/>
        <v>1570221.737</v>
      </c>
      <c r="BP4" s="137">
        <f t="shared" si="1"/>
        <v>1601626.172</v>
      </c>
      <c r="BQ4" s="137">
        <f t="shared" si="1"/>
        <v>1633658.695</v>
      </c>
      <c r="BR4" s="137">
        <f t="shared" si="1"/>
        <v>1666331.869</v>
      </c>
      <c r="BS4" s="137">
        <f t="shared" si="1"/>
        <v>1699658.506</v>
      </c>
      <c r="BT4" s="137">
        <f t="shared" si="1"/>
        <v>1733651.676</v>
      </c>
      <c r="BU4" s="137">
        <f t="shared" si="1"/>
        <v>1768324.71</v>
      </c>
      <c r="BV4" s="137">
        <f t="shared" si="1"/>
        <v>1803691.204</v>
      </c>
      <c r="BW4" s="137">
        <f t="shared" si="1"/>
        <v>1839765.028</v>
      </c>
      <c r="BX4" s="137">
        <f t="shared" si="1"/>
        <v>1876560.329</v>
      </c>
    </row>
    <row r="5">
      <c r="B5" s="1"/>
      <c r="C5" s="1"/>
      <c r="D5" s="1" t="s">
        <v>847</v>
      </c>
      <c r="E5" s="264">
        <v>-35609.0</v>
      </c>
      <c r="F5" s="264">
        <v>-37597.0</v>
      </c>
      <c r="G5" s="264">
        <v>-40095.0</v>
      </c>
      <c r="H5" s="264">
        <v>-34701.0</v>
      </c>
      <c r="I5" s="264">
        <v>-35337.0</v>
      </c>
      <c r="J5" s="264">
        <v>-36651.0</v>
      </c>
      <c r="K5" s="264">
        <v>-37180.0</v>
      </c>
      <c r="L5" s="264">
        <v>-38284.0</v>
      </c>
      <c r="M5" s="264">
        <v>-37245.0</v>
      </c>
      <c r="N5" s="264">
        <v>-39078.0</v>
      </c>
      <c r="O5" s="264">
        <v>-41390.0</v>
      </c>
      <c r="P5" s="264">
        <v>-47926.0</v>
      </c>
      <c r="Q5" s="264">
        <v>-87472.0</v>
      </c>
      <c r="R5" s="264">
        <v>-52511.0</v>
      </c>
      <c r="S5" s="264">
        <v>-51468.0</v>
      </c>
      <c r="T5" s="264">
        <v>-48014.0</v>
      </c>
      <c r="U5" s="264">
        <v>-48392.0</v>
      </c>
      <c r="V5" s="264">
        <v>-45698.0</v>
      </c>
      <c r="W5" s="264">
        <v>-49543.0</v>
      </c>
      <c r="X5" s="264">
        <v>-39650.0</v>
      </c>
      <c r="Y5" s="264">
        <v>-43620.0</v>
      </c>
      <c r="Z5" s="264">
        <v>-48373.0</v>
      </c>
      <c r="AA5" s="264">
        <v>-47835.0</v>
      </c>
      <c r="AB5" s="264">
        <v>-46298.0</v>
      </c>
      <c r="AC5" s="264">
        <v>-38224.0</v>
      </c>
      <c r="AD5" s="264">
        <v>-33238.0</v>
      </c>
      <c r="AE5" s="264">
        <v>-31797.0</v>
      </c>
      <c r="AF5" s="137">
        <f t="shared" ref="AF5:BX5" si="2">AE5*(1+AF8)</f>
        <v>-32331.1896</v>
      </c>
      <c r="AG5" s="137">
        <f t="shared" si="2"/>
        <v>-32874.35359</v>
      </c>
      <c r="AH5" s="137">
        <f t="shared" si="2"/>
        <v>-33426.64273</v>
      </c>
      <c r="AI5" s="137">
        <f t="shared" si="2"/>
        <v>-33988.21032</v>
      </c>
      <c r="AJ5" s="137">
        <f t="shared" si="2"/>
        <v>-34559.21226</v>
      </c>
      <c r="AK5" s="137">
        <f t="shared" si="2"/>
        <v>-35139.80702</v>
      </c>
      <c r="AL5" s="137">
        <f t="shared" si="2"/>
        <v>-36081.55385</v>
      </c>
      <c r="AM5" s="137">
        <f t="shared" si="2"/>
        <v>-37048.53949</v>
      </c>
      <c r="AN5" s="137">
        <f t="shared" si="2"/>
        <v>-38041.44035</v>
      </c>
      <c r="AO5" s="137">
        <f t="shared" si="2"/>
        <v>-39060.95095</v>
      </c>
      <c r="AP5" s="137">
        <f t="shared" si="2"/>
        <v>-40107.78444</v>
      </c>
      <c r="AQ5" s="137">
        <f t="shared" si="2"/>
        <v>-41182.67306</v>
      </c>
      <c r="AR5" s="137">
        <f t="shared" si="2"/>
        <v>-42006.32652</v>
      </c>
      <c r="AS5" s="137">
        <f t="shared" si="2"/>
        <v>-42846.45305</v>
      </c>
      <c r="AT5" s="137">
        <f t="shared" si="2"/>
        <v>-43703.38212</v>
      </c>
      <c r="AU5" s="137">
        <f t="shared" si="2"/>
        <v>-44577.44976</v>
      </c>
      <c r="AV5" s="137">
        <f t="shared" si="2"/>
        <v>-45468.99875</v>
      </c>
      <c r="AW5" s="137">
        <f t="shared" si="2"/>
        <v>-46378.37873</v>
      </c>
      <c r="AX5" s="137">
        <f t="shared" si="2"/>
        <v>-47305.9463</v>
      </c>
      <c r="AY5" s="137">
        <f t="shared" si="2"/>
        <v>-48252.06523</v>
      </c>
      <c r="AZ5" s="137">
        <f t="shared" si="2"/>
        <v>-49217.10653</v>
      </c>
      <c r="BA5" s="137">
        <f t="shared" si="2"/>
        <v>-50201.44866</v>
      </c>
      <c r="BB5" s="137">
        <f t="shared" si="2"/>
        <v>-51205.47764</v>
      </c>
      <c r="BC5" s="137">
        <f t="shared" si="2"/>
        <v>-52229.58719</v>
      </c>
      <c r="BD5" s="137">
        <f t="shared" si="2"/>
        <v>-53274.17893</v>
      </c>
      <c r="BE5" s="137">
        <f t="shared" si="2"/>
        <v>-54339.66251</v>
      </c>
      <c r="BF5" s="137">
        <f t="shared" si="2"/>
        <v>-55426.45576</v>
      </c>
      <c r="BG5" s="137">
        <f t="shared" si="2"/>
        <v>-56534.98488</v>
      </c>
      <c r="BH5" s="137">
        <f t="shared" si="2"/>
        <v>-57665.68458</v>
      </c>
      <c r="BI5" s="137">
        <f t="shared" si="2"/>
        <v>-58818.99827</v>
      </c>
      <c r="BJ5" s="137">
        <f t="shared" si="2"/>
        <v>-59995.37823</v>
      </c>
      <c r="BK5" s="137">
        <f t="shared" si="2"/>
        <v>-61195.2858</v>
      </c>
      <c r="BL5" s="137">
        <f t="shared" si="2"/>
        <v>-62419.19151</v>
      </c>
      <c r="BM5" s="137">
        <f t="shared" si="2"/>
        <v>-63667.57534</v>
      </c>
      <c r="BN5" s="137">
        <f t="shared" si="2"/>
        <v>-64940.92685</v>
      </c>
      <c r="BO5" s="137">
        <f t="shared" si="2"/>
        <v>-66239.74539</v>
      </c>
      <c r="BP5" s="137">
        <f t="shared" si="2"/>
        <v>-67564.54029</v>
      </c>
      <c r="BQ5" s="137">
        <f t="shared" si="2"/>
        <v>-68915.8311</v>
      </c>
      <c r="BR5" s="137">
        <f t="shared" si="2"/>
        <v>-70294.14772</v>
      </c>
      <c r="BS5" s="137">
        <f t="shared" si="2"/>
        <v>-71700.03068</v>
      </c>
      <c r="BT5" s="137">
        <f t="shared" si="2"/>
        <v>-73134.03129</v>
      </c>
      <c r="BU5" s="137">
        <f t="shared" si="2"/>
        <v>-74596.71192</v>
      </c>
      <c r="BV5" s="137">
        <f t="shared" si="2"/>
        <v>-76088.64615</v>
      </c>
      <c r="BW5" s="137">
        <f t="shared" si="2"/>
        <v>-77610.41908</v>
      </c>
      <c r="BX5" s="137">
        <f t="shared" si="2"/>
        <v>-79162.62746</v>
      </c>
    </row>
    <row r="6">
      <c r="B6" s="4"/>
      <c r="C6" s="4"/>
      <c r="D6" s="119" t="s">
        <v>98</v>
      </c>
      <c r="E6" s="532">
        <f t="shared" ref="E6:BX6" si="3">E4+E5</f>
        <v>688493</v>
      </c>
      <c r="F6" s="532">
        <f t="shared" si="3"/>
        <v>703721</v>
      </c>
      <c r="G6" s="532">
        <f t="shared" si="3"/>
        <v>696739</v>
      </c>
      <c r="H6" s="532">
        <f t="shared" si="3"/>
        <v>611417</v>
      </c>
      <c r="I6" s="532">
        <f t="shared" si="3"/>
        <v>602625</v>
      </c>
      <c r="J6" s="532">
        <f t="shared" si="3"/>
        <v>620399</v>
      </c>
      <c r="K6" s="532">
        <f t="shared" si="3"/>
        <v>594039</v>
      </c>
      <c r="L6" s="532">
        <f t="shared" si="3"/>
        <v>553638</v>
      </c>
      <c r="M6" s="532">
        <f t="shared" si="3"/>
        <v>627259</v>
      </c>
      <c r="N6" s="532">
        <f t="shared" si="3"/>
        <v>675592</v>
      </c>
      <c r="O6" s="532">
        <f t="shared" si="3"/>
        <v>694034</v>
      </c>
      <c r="P6" s="532">
        <f t="shared" si="3"/>
        <v>701915</v>
      </c>
      <c r="Q6" s="532">
        <f t="shared" si="3"/>
        <v>1272335</v>
      </c>
      <c r="R6" s="532">
        <f t="shared" si="3"/>
        <v>756815</v>
      </c>
      <c r="S6" s="532">
        <f t="shared" si="3"/>
        <v>693437</v>
      </c>
      <c r="T6" s="532">
        <f t="shared" si="3"/>
        <v>652989</v>
      </c>
      <c r="U6" s="532">
        <f t="shared" si="3"/>
        <v>656741</v>
      </c>
      <c r="V6" s="532">
        <f t="shared" si="3"/>
        <v>677867</v>
      </c>
      <c r="W6" s="532">
        <f t="shared" si="3"/>
        <v>690345</v>
      </c>
      <c r="X6" s="532">
        <f t="shared" si="3"/>
        <v>729828</v>
      </c>
      <c r="Y6" s="532">
        <f t="shared" si="3"/>
        <v>687003</v>
      </c>
      <c r="Z6" s="532">
        <f t="shared" si="3"/>
        <v>743540</v>
      </c>
      <c r="AA6" s="532">
        <f t="shared" si="3"/>
        <v>762233</v>
      </c>
      <c r="AB6" s="532">
        <f t="shared" si="3"/>
        <v>886216</v>
      </c>
      <c r="AC6" s="532">
        <f t="shared" si="3"/>
        <v>804035</v>
      </c>
      <c r="AD6" s="532">
        <f t="shared" si="3"/>
        <v>752822</v>
      </c>
      <c r="AE6" s="532">
        <f t="shared" si="3"/>
        <v>721955</v>
      </c>
      <c r="AF6" s="357">
        <f t="shared" si="3"/>
        <v>734083.844</v>
      </c>
      <c r="AG6" s="357">
        <f t="shared" si="3"/>
        <v>746416.4526</v>
      </c>
      <c r="AH6" s="357">
        <f t="shared" si="3"/>
        <v>758956.249</v>
      </c>
      <c r="AI6" s="357">
        <f t="shared" si="3"/>
        <v>771706.714</v>
      </c>
      <c r="AJ6" s="357">
        <f t="shared" si="3"/>
        <v>784671.3868</v>
      </c>
      <c r="AK6" s="357">
        <f t="shared" si="3"/>
        <v>797853.8661</v>
      </c>
      <c r="AL6" s="357">
        <f t="shared" si="3"/>
        <v>819236.3497</v>
      </c>
      <c r="AM6" s="357">
        <f t="shared" si="3"/>
        <v>841191.8838</v>
      </c>
      <c r="AN6" s="357">
        <f t="shared" si="3"/>
        <v>863735.8263</v>
      </c>
      <c r="AO6" s="357">
        <f t="shared" si="3"/>
        <v>886883.9465</v>
      </c>
      <c r="AP6" s="357">
        <f t="shared" si="3"/>
        <v>910652.4362</v>
      </c>
      <c r="AQ6" s="357">
        <f t="shared" si="3"/>
        <v>935057.9215</v>
      </c>
      <c r="AR6" s="357">
        <f t="shared" si="3"/>
        <v>953759.08</v>
      </c>
      <c r="AS6" s="357">
        <f t="shared" si="3"/>
        <v>972834.2616</v>
      </c>
      <c r="AT6" s="357">
        <f t="shared" si="3"/>
        <v>992290.9468</v>
      </c>
      <c r="AU6" s="357">
        <f t="shared" si="3"/>
        <v>1012136.766</v>
      </c>
      <c r="AV6" s="357">
        <f t="shared" si="3"/>
        <v>1032379.501</v>
      </c>
      <c r="AW6" s="357">
        <f t="shared" si="3"/>
        <v>1053027.091</v>
      </c>
      <c r="AX6" s="357">
        <f t="shared" si="3"/>
        <v>1074087.633</v>
      </c>
      <c r="AY6" s="357">
        <f t="shared" si="3"/>
        <v>1095569.386</v>
      </c>
      <c r="AZ6" s="357">
        <f t="shared" si="3"/>
        <v>1117480.773</v>
      </c>
      <c r="BA6" s="357">
        <f t="shared" si="3"/>
        <v>1139830.389</v>
      </c>
      <c r="BB6" s="357">
        <f t="shared" si="3"/>
        <v>1162626.996</v>
      </c>
      <c r="BC6" s="357">
        <f t="shared" si="3"/>
        <v>1185879.536</v>
      </c>
      <c r="BD6" s="357">
        <f t="shared" si="3"/>
        <v>1209597.127</v>
      </c>
      <c r="BE6" s="357">
        <f t="shared" si="3"/>
        <v>1233789.07</v>
      </c>
      <c r="BF6" s="357">
        <f t="shared" si="3"/>
        <v>1258464.851</v>
      </c>
      <c r="BG6" s="357">
        <f t="shared" si="3"/>
        <v>1283634.148</v>
      </c>
      <c r="BH6" s="357">
        <f t="shared" si="3"/>
        <v>1309306.831</v>
      </c>
      <c r="BI6" s="357">
        <f t="shared" si="3"/>
        <v>1335492.968</v>
      </c>
      <c r="BJ6" s="357">
        <f t="shared" si="3"/>
        <v>1362202.827</v>
      </c>
      <c r="BK6" s="357">
        <f t="shared" si="3"/>
        <v>1389446.884</v>
      </c>
      <c r="BL6" s="357">
        <f t="shared" si="3"/>
        <v>1417235.821</v>
      </c>
      <c r="BM6" s="357">
        <f t="shared" si="3"/>
        <v>1445580.538</v>
      </c>
      <c r="BN6" s="357">
        <f t="shared" si="3"/>
        <v>1474492.148</v>
      </c>
      <c r="BO6" s="357">
        <f t="shared" si="3"/>
        <v>1503981.991</v>
      </c>
      <c r="BP6" s="357">
        <f t="shared" si="3"/>
        <v>1534061.631</v>
      </c>
      <c r="BQ6" s="357">
        <f t="shared" si="3"/>
        <v>1564742.864</v>
      </c>
      <c r="BR6" s="357">
        <f t="shared" si="3"/>
        <v>1596037.721</v>
      </c>
      <c r="BS6" s="357">
        <f t="shared" si="3"/>
        <v>1627958.476</v>
      </c>
      <c r="BT6" s="357">
        <f t="shared" si="3"/>
        <v>1660517.645</v>
      </c>
      <c r="BU6" s="357">
        <f t="shared" si="3"/>
        <v>1693727.998</v>
      </c>
      <c r="BV6" s="357">
        <f t="shared" si="3"/>
        <v>1727602.558</v>
      </c>
      <c r="BW6" s="357">
        <f t="shared" si="3"/>
        <v>1762154.609</v>
      </c>
      <c r="BX6" s="357">
        <f t="shared" si="3"/>
        <v>1797397.701</v>
      </c>
    </row>
    <row r="7">
      <c r="D7" s="1" t="s">
        <v>60</v>
      </c>
      <c r="E7" s="5"/>
      <c r="F7" s="264">
        <f t="shared" ref="F7:BX7" si="4">F6-E6</f>
        <v>15228</v>
      </c>
      <c r="G7" s="264">
        <f t="shared" si="4"/>
        <v>-6982</v>
      </c>
      <c r="H7" s="264">
        <f t="shared" si="4"/>
        <v>-85322</v>
      </c>
      <c r="I7" s="264">
        <f t="shared" si="4"/>
        <v>-8792</v>
      </c>
      <c r="J7" s="264">
        <f t="shared" si="4"/>
        <v>17774</v>
      </c>
      <c r="K7" s="264">
        <f t="shared" si="4"/>
        <v>-26360</v>
      </c>
      <c r="L7" s="264">
        <f t="shared" si="4"/>
        <v>-40401</v>
      </c>
      <c r="M7" s="264">
        <f t="shared" si="4"/>
        <v>73621</v>
      </c>
      <c r="N7" s="264">
        <f t="shared" si="4"/>
        <v>48333</v>
      </c>
      <c r="O7" s="264">
        <f t="shared" si="4"/>
        <v>18442</v>
      </c>
      <c r="P7" s="264">
        <f t="shared" si="4"/>
        <v>7881</v>
      </c>
      <c r="Q7" s="264">
        <f t="shared" si="4"/>
        <v>570420</v>
      </c>
      <c r="R7" s="264">
        <f t="shared" si="4"/>
        <v>-515520</v>
      </c>
      <c r="S7" s="264">
        <f t="shared" si="4"/>
        <v>-63378</v>
      </c>
      <c r="T7" s="264">
        <f t="shared" si="4"/>
        <v>-40448</v>
      </c>
      <c r="U7" s="264">
        <f t="shared" si="4"/>
        <v>3752</v>
      </c>
      <c r="V7" s="264">
        <f t="shared" si="4"/>
        <v>21126</v>
      </c>
      <c r="W7" s="264">
        <f t="shared" si="4"/>
        <v>12478</v>
      </c>
      <c r="X7" s="264">
        <f t="shared" si="4"/>
        <v>39483</v>
      </c>
      <c r="Y7" s="264">
        <f t="shared" si="4"/>
        <v>-42825</v>
      </c>
      <c r="Z7" s="264">
        <f t="shared" si="4"/>
        <v>56537</v>
      </c>
      <c r="AA7" s="264">
        <f t="shared" si="4"/>
        <v>18693</v>
      </c>
      <c r="AB7" s="264">
        <f t="shared" si="4"/>
        <v>123983</v>
      </c>
      <c r="AC7" s="264">
        <f t="shared" si="4"/>
        <v>-82181</v>
      </c>
      <c r="AD7" s="264">
        <f t="shared" si="4"/>
        <v>-51213</v>
      </c>
      <c r="AE7" s="264">
        <f t="shared" si="4"/>
        <v>-30867</v>
      </c>
      <c r="AF7" s="137">
        <f t="shared" si="4"/>
        <v>12128.844</v>
      </c>
      <c r="AG7" s="137">
        <f t="shared" si="4"/>
        <v>12332.60858</v>
      </c>
      <c r="AH7" s="137">
        <f t="shared" si="4"/>
        <v>12539.7964</v>
      </c>
      <c r="AI7" s="137">
        <f t="shared" si="4"/>
        <v>12750.46498</v>
      </c>
      <c r="AJ7" s="137">
        <f t="shared" si="4"/>
        <v>12964.67279</v>
      </c>
      <c r="AK7" s="137">
        <f t="shared" si="4"/>
        <v>13182.4793</v>
      </c>
      <c r="AL7" s="137">
        <f t="shared" si="4"/>
        <v>21382.48361</v>
      </c>
      <c r="AM7" s="137">
        <f t="shared" si="4"/>
        <v>21955.53417</v>
      </c>
      <c r="AN7" s="137">
        <f t="shared" si="4"/>
        <v>22543.94249</v>
      </c>
      <c r="AO7" s="137">
        <f t="shared" si="4"/>
        <v>23148.12015</v>
      </c>
      <c r="AP7" s="137">
        <f t="shared" si="4"/>
        <v>23768.48977</v>
      </c>
      <c r="AQ7" s="137">
        <f t="shared" si="4"/>
        <v>24405.48529</v>
      </c>
      <c r="AR7" s="137">
        <f t="shared" si="4"/>
        <v>18701.15843</v>
      </c>
      <c r="AS7" s="137">
        <f t="shared" si="4"/>
        <v>19075.1816</v>
      </c>
      <c r="AT7" s="137">
        <f t="shared" si="4"/>
        <v>19456.68523</v>
      </c>
      <c r="AU7" s="137">
        <f t="shared" si="4"/>
        <v>19845.81894</v>
      </c>
      <c r="AV7" s="137">
        <f t="shared" si="4"/>
        <v>20242.73531</v>
      </c>
      <c r="AW7" s="137">
        <f t="shared" si="4"/>
        <v>20647.59002</v>
      </c>
      <c r="AX7" s="137">
        <f t="shared" si="4"/>
        <v>21060.54182</v>
      </c>
      <c r="AY7" s="137">
        <f t="shared" si="4"/>
        <v>21481.75266</v>
      </c>
      <c r="AZ7" s="137">
        <f t="shared" si="4"/>
        <v>21911.38771</v>
      </c>
      <c r="BA7" s="137">
        <f t="shared" si="4"/>
        <v>22349.61546</v>
      </c>
      <c r="BB7" s="137">
        <f t="shared" si="4"/>
        <v>22796.60777</v>
      </c>
      <c r="BC7" s="137">
        <f t="shared" si="4"/>
        <v>23252.53993</v>
      </c>
      <c r="BD7" s="137">
        <f t="shared" si="4"/>
        <v>23717.59073</v>
      </c>
      <c r="BE7" s="137">
        <f t="shared" si="4"/>
        <v>24191.94254</v>
      </c>
      <c r="BF7" s="137">
        <f t="shared" si="4"/>
        <v>24675.78139</v>
      </c>
      <c r="BG7" s="137">
        <f t="shared" si="4"/>
        <v>25169.29702</v>
      </c>
      <c r="BH7" s="137">
        <f t="shared" si="4"/>
        <v>25672.68296</v>
      </c>
      <c r="BI7" s="137">
        <f t="shared" si="4"/>
        <v>26186.13662</v>
      </c>
      <c r="BJ7" s="137">
        <f t="shared" si="4"/>
        <v>26709.85935</v>
      </c>
      <c r="BK7" s="137">
        <f t="shared" si="4"/>
        <v>27244.05654</v>
      </c>
      <c r="BL7" s="137">
        <f t="shared" si="4"/>
        <v>27788.93767</v>
      </c>
      <c r="BM7" s="137">
        <f t="shared" si="4"/>
        <v>28344.71643</v>
      </c>
      <c r="BN7" s="137">
        <f t="shared" si="4"/>
        <v>28911.61075</v>
      </c>
      <c r="BO7" s="137">
        <f t="shared" si="4"/>
        <v>29489.84297</v>
      </c>
      <c r="BP7" s="137">
        <f t="shared" si="4"/>
        <v>30079.63983</v>
      </c>
      <c r="BQ7" s="137">
        <f t="shared" si="4"/>
        <v>30681.23262</v>
      </c>
      <c r="BR7" s="137">
        <f t="shared" si="4"/>
        <v>31294.85728</v>
      </c>
      <c r="BS7" s="137">
        <f t="shared" si="4"/>
        <v>31920.75442</v>
      </c>
      <c r="BT7" s="137">
        <f t="shared" si="4"/>
        <v>32559.16951</v>
      </c>
      <c r="BU7" s="137">
        <f t="shared" si="4"/>
        <v>33210.3529</v>
      </c>
      <c r="BV7" s="137">
        <f t="shared" si="4"/>
        <v>33874.55996</v>
      </c>
      <c r="BW7" s="137">
        <f t="shared" si="4"/>
        <v>34552.05116</v>
      </c>
      <c r="BX7" s="137">
        <f t="shared" si="4"/>
        <v>35243.09218</v>
      </c>
    </row>
    <row r="8">
      <c r="D8" s="1" t="s">
        <v>99</v>
      </c>
      <c r="E8" s="5"/>
      <c r="F8" s="263">
        <f t="shared" ref="F8:AE8" si="5">F6/E6-1</f>
        <v>0.02211787193</v>
      </c>
      <c r="G8" s="263">
        <f t="shared" si="5"/>
        <v>-0.009921545613</v>
      </c>
      <c r="H8" s="263">
        <f t="shared" si="5"/>
        <v>-0.1224590557</v>
      </c>
      <c r="I8" s="263">
        <f t="shared" si="5"/>
        <v>-0.01437971139</v>
      </c>
      <c r="J8" s="263">
        <f t="shared" si="5"/>
        <v>0.02949429579</v>
      </c>
      <c r="K8" s="263">
        <f t="shared" si="5"/>
        <v>-0.04248878544</v>
      </c>
      <c r="L8" s="263">
        <f t="shared" si="5"/>
        <v>-0.06801068617</v>
      </c>
      <c r="M8" s="263">
        <f t="shared" si="5"/>
        <v>0.1329767827</v>
      </c>
      <c r="N8" s="263">
        <f t="shared" si="5"/>
        <v>0.07705429496</v>
      </c>
      <c r="O8" s="263">
        <f t="shared" si="5"/>
        <v>0.02729754053</v>
      </c>
      <c r="P8" s="263">
        <f t="shared" si="5"/>
        <v>0.01135535147</v>
      </c>
      <c r="Q8" s="263">
        <f t="shared" si="5"/>
        <v>0.8126625019</v>
      </c>
      <c r="R8" s="263">
        <f t="shared" si="5"/>
        <v>-0.4051763097</v>
      </c>
      <c r="S8" s="263">
        <f t="shared" si="5"/>
        <v>-0.08374305478</v>
      </c>
      <c r="T8" s="263">
        <f t="shared" si="5"/>
        <v>-0.05832974012</v>
      </c>
      <c r="U8" s="263">
        <f t="shared" si="5"/>
        <v>0.005745885459</v>
      </c>
      <c r="V8" s="263">
        <f t="shared" si="5"/>
        <v>0.03216793226</v>
      </c>
      <c r="W8" s="263">
        <f t="shared" si="5"/>
        <v>0.01840774075</v>
      </c>
      <c r="X8" s="263">
        <f t="shared" si="5"/>
        <v>0.05719314256</v>
      </c>
      <c r="Y8" s="263">
        <f t="shared" si="5"/>
        <v>-0.05867820911</v>
      </c>
      <c r="Z8" s="263">
        <f t="shared" si="5"/>
        <v>0.08229512826</v>
      </c>
      <c r="AA8" s="263">
        <f t="shared" si="5"/>
        <v>0.02514054388</v>
      </c>
      <c r="AB8" s="263">
        <f t="shared" si="5"/>
        <v>0.1626576126</v>
      </c>
      <c r="AC8" s="263">
        <f t="shared" si="5"/>
        <v>-0.09273247154</v>
      </c>
      <c r="AD8" s="263">
        <f t="shared" si="5"/>
        <v>-0.0636949884</v>
      </c>
      <c r="AE8" s="263">
        <f t="shared" si="5"/>
        <v>-0.04100172418</v>
      </c>
      <c r="AF8" s="266">
        <v>0.0168</v>
      </c>
      <c r="AG8" s="266">
        <v>0.0168</v>
      </c>
      <c r="AH8" s="266">
        <v>0.0168</v>
      </c>
      <c r="AI8" s="266">
        <v>0.0168</v>
      </c>
      <c r="AJ8" s="266">
        <v>0.0168</v>
      </c>
      <c r="AK8" s="266">
        <v>0.0168</v>
      </c>
      <c r="AL8" s="266">
        <v>0.0268</v>
      </c>
      <c r="AM8" s="266">
        <f t="shared" ref="AM8:AQ8" si="6">AL8</f>
        <v>0.0268</v>
      </c>
      <c r="AN8" s="266">
        <f t="shared" si="6"/>
        <v>0.0268</v>
      </c>
      <c r="AO8" s="266">
        <f t="shared" si="6"/>
        <v>0.0268</v>
      </c>
      <c r="AP8" s="266">
        <f t="shared" si="6"/>
        <v>0.0268</v>
      </c>
      <c r="AQ8" s="266">
        <f t="shared" si="6"/>
        <v>0.0268</v>
      </c>
      <c r="AR8" s="266">
        <v>0.02</v>
      </c>
      <c r="AS8" s="266">
        <f t="shared" ref="AS8:BX8" si="7">AR8</f>
        <v>0.02</v>
      </c>
      <c r="AT8" s="266">
        <f t="shared" si="7"/>
        <v>0.02</v>
      </c>
      <c r="AU8" s="266">
        <f t="shared" si="7"/>
        <v>0.02</v>
      </c>
      <c r="AV8" s="266">
        <f t="shared" si="7"/>
        <v>0.02</v>
      </c>
      <c r="AW8" s="266">
        <f t="shared" si="7"/>
        <v>0.02</v>
      </c>
      <c r="AX8" s="266">
        <f t="shared" si="7"/>
        <v>0.02</v>
      </c>
      <c r="AY8" s="266">
        <f t="shared" si="7"/>
        <v>0.02</v>
      </c>
      <c r="AZ8" s="266">
        <f t="shared" si="7"/>
        <v>0.02</v>
      </c>
      <c r="BA8" s="266">
        <f t="shared" si="7"/>
        <v>0.02</v>
      </c>
      <c r="BB8" s="266">
        <f t="shared" si="7"/>
        <v>0.02</v>
      </c>
      <c r="BC8" s="266">
        <f t="shared" si="7"/>
        <v>0.02</v>
      </c>
      <c r="BD8" s="266">
        <f t="shared" si="7"/>
        <v>0.02</v>
      </c>
      <c r="BE8" s="266">
        <f t="shared" si="7"/>
        <v>0.02</v>
      </c>
      <c r="BF8" s="266">
        <f t="shared" si="7"/>
        <v>0.02</v>
      </c>
      <c r="BG8" s="266">
        <f t="shared" si="7"/>
        <v>0.02</v>
      </c>
      <c r="BH8" s="266">
        <f t="shared" si="7"/>
        <v>0.02</v>
      </c>
      <c r="BI8" s="266">
        <f t="shared" si="7"/>
        <v>0.02</v>
      </c>
      <c r="BJ8" s="266">
        <f t="shared" si="7"/>
        <v>0.02</v>
      </c>
      <c r="BK8" s="266">
        <f t="shared" si="7"/>
        <v>0.02</v>
      </c>
      <c r="BL8" s="266">
        <f t="shared" si="7"/>
        <v>0.02</v>
      </c>
      <c r="BM8" s="266">
        <f t="shared" si="7"/>
        <v>0.02</v>
      </c>
      <c r="BN8" s="266">
        <f t="shared" si="7"/>
        <v>0.02</v>
      </c>
      <c r="BO8" s="266">
        <f t="shared" si="7"/>
        <v>0.02</v>
      </c>
      <c r="BP8" s="266">
        <f t="shared" si="7"/>
        <v>0.02</v>
      </c>
      <c r="BQ8" s="266">
        <f t="shared" si="7"/>
        <v>0.02</v>
      </c>
      <c r="BR8" s="266">
        <f t="shared" si="7"/>
        <v>0.02</v>
      </c>
      <c r="BS8" s="266">
        <f t="shared" si="7"/>
        <v>0.02</v>
      </c>
      <c r="BT8" s="266">
        <f t="shared" si="7"/>
        <v>0.02</v>
      </c>
      <c r="BU8" s="266">
        <f t="shared" si="7"/>
        <v>0.02</v>
      </c>
      <c r="BV8" s="266">
        <f t="shared" si="7"/>
        <v>0.02</v>
      </c>
      <c r="BW8" s="266">
        <f t="shared" si="7"/>
        <v>0.02</v>
      </c>
      <c r="BX8" s="266">
        <f t="shared" si="7"/>
        <v>0.02</v>
      </c>
    </row>
    <row r="9">
      <c r="B9" s="129"/>
      <c r="C9" s="115" t="s">
        <v>170</v>
      </c>
      <c r="E9" s="5"/>
      <c r="F9" s="5"/>
      <c r="G9" s="5"/>
      <c r="H9" s="5"/>
      <c r="I9" s="5"/>
      <c r="J9" s="5"/>
      <c r="K9" s="5"/>
      <c r="L9" s="5"/>
      <c r="M9" s="5"/>
      <c r="N9" s="5"/>
      <c r="O9" s="5"/>
      <c r="P9" s="5"/>
      <c r="Q9" s="5"/>
      <c r="R9" s="5"/>
      <c r="S9" s="5"/>
      <c r="T9" s="5"/>
      <c r="U9" s="5"/>
      <c r="V9" s="5"/>
      <c r="W9" s="5"/>
      <c r="X9" s="5"/>
      <c r="Y9" s="5"/>
      <c r="Z9" s="5"/>
      <c r="AA9" s="5"/>
      <c r="AB9" s="5"/>
      <c r="AC9" s="5"/>
      <c r="AD9" s="264">
        <f>AVERAGE(AC6:AE6)</f>
        <v>759604</v>
      </c>
      <c r="AE9" s="5"/>
      <c r="AF9" s="5"/>
    </row>
    <row r="10">
      <c r="A10" s="533" t="s">
        <v>848</v>
      </c>
      <c r="B10" s="534">
        <v>15.0</v>
      </c>
      <c r="C10" s="1" t="s">
        <v>63</v>
      </c>
      <c r="D10" s="1" t="s">
        <v>171</v>
      </c>
      <c r="E10" s="264">
        <v>303501.0</v>
      </c>
      <c r="F10" s="264">
        <v>303861.0</v>
      </c>
      <c r="G10" s="264">
        <v>289446.0</v>
      </c>
      <c r="H10" s="264">
        <v>302736.0</v>
      </c>
      <c r="I10" s="264">
        <v>276431.0</v>
      </c>
      <c r="J10" s="264">
        <v>276083.0</v>
      </c>
      <c r="K10" s="264">
        <v>281277.0</v>
      </c>
      <c r="L10" s="264">
        <v>283785.0</v>
      </c>
      <c r="M10" s="264">
        <v>301881.0</v>
      </c>
      <c r="N10" s="264">
        <v>311111.0</v>
      </c>
      <c r="O10" s="264">
        <v>317745.0</v>
      </c>
      <c r="P10" s="264">
        <v>327260.0</v>
      </c>
      <c r="Q10" s="264">
        <v>334954.0</v>
      </c>
      <c r="R10" s="264">
        <v>344041.0</v>
      </c>
      <c r="S10" s="264">
        <v>337707.0</v>
      </c>
      <c r="T10" s="264">
        <v>363528.0</v>
      </c>
      <c r="U10" s="264">
        <v>337976.0</v>
      </c>
      <c r="V10" s="264">
        <v>349908.0</v>
      </c>
      <c r="W10" s="264">
        <v>364546.0</v>
      </c>
      <c r="X10" s="264">
        <v>350804.0</v>
      </c>
      <c r="Y10" s="264">
        <v>386308.0</v>
      </c>
      <c r="Z10" s="264">
        <v>391195.0</v>
      </c>
      <c r="AA10" s="264">
        <v>423301.0</v>
      </c>
      <c r="AB10" s="264">
        <v>420682.0</v>
      </c>
      <c r="AC10" s="264">
        <v>424771.0</v>
      </c>
      <c r="AD10" s="264">
        <v>441006.0</v>
      </c>
      <c r="AE10" s="264">
        <v>397871.0</v>
      </c>
      <c r="AF10" s="137">
        <f>AVERAGE($AC$10:$AE$10)</f>
        <v>421216</v>
      </c>
      <c r="AG10" s="137">
        <f t="shared" ref="AG10:AK10" si="8">AF10*(1+AG14)</f>
        <v>426691.808</v>
      </c>
      <c r="AH10" s="137">
        <f t="shared" si="8"/>
        <v>432238.8015</v>
      </c>
      <c r="AI10" s="137">
        <f t="shared" si="8"/>
        <v>437857.9059</v>
      </c>
      <c r="AJ10" s="137">
        <f t="shared" si="8"/>
        <v>443550.0587</v>
      </c>
      <c r="AK10" s="137">
        <f t="shared" si="8"/>
        <v>449316.2095</v>
      </c>
      <c r="AL10" s="137">
        <f>AK10-($B$10*7020)</f>
        <v>344016.2095</v>
      </c>
      <c r="AM10" s="137">
        <f t="shared" ref="AM10:BX10" si="9">AL10*(1+AM14)</f>
        <v>348488.4202</v>
      </c>
      <c r="AN10" s="137">
        <f t="shared" si="9"/>
        <v>353018.7696</v>
      </c>
      <c r="AO10" s="137">
        <f t="shared" si="9"/>
        <v>357608.0137</v>
      </c>
      <c r="AP10" s="137">
        <f t="shared" si="9"/>
        <v>362256.9178</v>
      </c>
      <c r="AQ10" s="137">
        <f t="shared" si="9"/>
        <v>366966.2578</v>
      </c>
      <c r="AR10" s="137">
        <f t="shared" si="9"/>
        <v>371736.8191</v>
      </c>
      <c r="AS10" s="137">
        <f t="shared" si="9"/>
        <v>376569.3978</v>
      </c>
      <c r="AT10" s="137">
        <f t="shared" si="9"/>
        <v>381464.7999</v>
      </c>
      <c r="AU10" s="137">
        <f t="shared" si="9"/>
        <v>386423.8423</v>
      </c>
      <c r="AV10" s="137">
        <f t="shared" si="9"/>
        <v>391447.3523</v>
      </c>
      <c r="AW10" s="137">
        <f t="shared" si="9"/>
        <v>396536.1679</v>
      </c>
      <c r="AX10" s="137">
        <f t="shared" si="9"/>
        <v>401691.138</v>
      </c>
      <c r="AY10" s="137">
        <f t="shared" si="9"/>
        <v>406913.1228</v>
      </c>
      <c r="AZ10" s="137">
        <f t="shared" si="9"/>
        <v>412202.9934</v>
      </c>
      <c r="BA10" s="137">
        <f t="shared" si="9"/>
        <v>417561.6324</v>
      </c>
      <c r="BB10" s="137">
        <f t="shared" si="9"/>
        <v>422989.9336</v>
      </c>
      <c r="BC10" s="137">
        <f t="shared" si="9"/>
        <v>428488.8027</v>
      </c>
      <c r="BD10" s="137">
        <f t="shared" si="9"/>
        <v>434059.1571</v>
      </c>
      <c r="BE10" s="137">
        <f t="shared" si="9"/>
        <v>439701.9262</v>
      </c>
      <c r="BF10" s="137">
        <f t="shared" si="9"/>
        <v>445418.0512</v>
      </c>
      <c r="BG10" s="137">
        <f t="shared" si="9"/>
        <v>451208.4859</v>
      </c>
      <c r="BH10" s="137">
        <f t="shared" si="9"/>
        <v>457074.1962</v>
      </c>
      <c r="BI10" s="137">
        <f t="shared" si="9"/>
        <v>463016.1608</v>
      </c>
      <c r="BJ10" s="137">
        <f t="shared" si="9"/>
        <v>469035.3709</v>
      </c>
      <c r="BK10" s="137">
        <f t="shared" si="9"/>
        <v>475132.8307</v>
      </c>
      <c r="BL10" s="137">
        <f t="shared" si="9"/>
        <v>481309.5575</v>
      </c>
      <c r="BM10" s="137">
        <f t="shared" si="9"/>
        <v>487566.5817</v>
      </c>
      <c r="BN10" s="137">
        <f t="shared" si="9"/>
        <v>493904.9473</v>
      </c>
      <c r="BO10" s="137">
        <f t="shared" si="9"/>
        <v>500325.7116</v>
      </c>
      <c r="BP10" s="137">
        <f t="shared" si="9"/>
        <v>506829.9458</v>
      </c>
      <c r="BQ10" s="137">
        <f t="shared" si="9"/>
        <v>513418.7351</v>
      </c>
      <c r="BR10" s="137">
        <f t="shared" si="9"/>
        <v>520093.1787</v>
      </c>
      <c r="BS10" s="137">
        <f t="shared" si="9"/>
        <v>526854.39</v>
      </c>
      <c r="BT10" s="137">
        <f t="shared" si="9"/>
        <v>533703.4971</v>
      </c>
      <c r="BU10" s="137">
        <f t="shared" si="9"/>
        <v>540641.6426</v>
      </c>
      <c r="BV10" s="137">
        <f t="shared" si="9"/>
        <v>547669.9839</v>
      </c>
      <c r="BW10" s="137">
        <f t="shared" si="9"/>
        <v>554789.6937</v>
      </c>
      <c r="BX10" s="137">
        <f t="shared" si="9"/>
        <v>562001.9597</v>
      </c>
    </row>
    <row r="11">
      <c r="A11" s="535" t="s">
        <v>849</v>
      </c>
      <c r="B11" s="536">
        <v>0.05</v>
      </c>
      <c r="C11" s="1" t="s">
        <v>65</v>
      </c>
      <c r="D11" s="1" t="s">
        <v>65</v>
      </c>
      <c r="E11" s="531">
        <v>55906.0</v>
      </c>
      <c r="F11" s="531">
        <v>27180.0</v>
      </c>
      <c r="G11" s="531">
        <v>40911.0</v>
      </c>
      <c r="H11" s="531">
        <v>58848.0</v>
      </c>
      <c r="I11" s="531">
        <v>62921.0</v>
      </c>
      <c r="J11" s="531">
        <v>22240.0</v>
      </c>
      <c r="K11" s="531">
        <v>47139.0</v>
      </c>
      <c r="L11" s="531">
        <v>34081.0</v>
      </c>
      <c r="M11" s="531">
        <v>26708.0</v>
      </c>
      <c r="N11" s="531">
        <v>28387.0</v>
      </c>
      <c r="O11" s="531">
        <v>24608.0</v>
      </c>
      <c r="P11" s="531">
        <v>32471.0</v>
      </c>
      <c r="Q11" s="531">
        <v>39521.0</v>
      </c>
      <c r="R11" s="531">
        <v>42806.0</v>
      </c>
      <c r="S11" s="531">
        <v>45525.0</v>
      </c>
      <c r="T11" s="531">
        <v>29545.0</v>
      </c>
      <c r="U11" s="531">
        <v>46564.0</v>
      </c>
      <c r="V11" s="531">
        <v>34808.0</v>
      </c>
      <c r="W11" s="531">
        <v>28474.0</v>
      </c>
      <c r="X11" s="531">
        <v>13066.0</v>
      </c>
      <c r="Y11" s="531">
        <v>25922.0</v>
      </c>
      <c r="Z11" s="531">
        <v>22005.0</v>
      </c>
      <c r="AA11" s="531">
        <v>28356.0</v>
      </c>
      <c r="AB11" s="531">
        <v>36249.0</v>
      </c>
      <c r="AC11" s="531">
        <v>36816.0</v>
      </c>
      <c r="AD11" s="531">
        <v>43406.0</v>
      </c>
      <c r="AE11" s="531">
        <v>59512.0</v>
      </c>
      <c r="AF11" s="137">
        <f t="shared" ref="AF11:AK11" si="10">AVERAGE($AC$11:$AE$11)</f>
        <v>46578</v>
      </c>
      <c r="AG11" s="137">
        <f t="shared" si="10"/>
        <v>46578</v>
      </c>
      <c r="AH11" s="137">
        <f t="shared" si="10"/>
        <v>46578</v>
      </c>
      <c r="AI11" s="137">
        <f t="shared" si="10"/>
        <v>46578</v>
      </c>
      <c r="AJ11" s="137">
        <f t="shared" si="10"/>
        <v>46578</v>
      </c>
      <c r="AK11" s="137">
        <f t="shared" si="10"/>
        <v>46578</v>
      </c>
      <c r="AL11" s="137">
        <f t="shared" ref="AL11:BX11" si="11">AL6*$B$11</f>
        <v>40961.81748</v>
      </c>
      <c r="AM11" s="137">
        <f t="shared" si="11"/>
        <v>42059.59419</v>
      </c>
      <c r="AN11" s="137">
        <f t="shared" si="11"/>
        <v>43186.79132</v>
      </c>
      <c r="AO11" s="137">
        <f t="shared" si="11"/>
        <v>44344.19732</v>
      </c>
      <c r="AP11" s="137">
        <f t="shared" si="11"/>
        <v>45532.62181</v>
      </c>
      <c r="AQ11" s="137">
        <f t="shared" si="11"/>
        <v>46752.89608</v>
      </c>
      <c r="AR11" s="137">
        <f t="shared" si="11"/>
        <v>47687.954</v>
      </c>
      <c r="AS11" s="137">
        <f t="shared" si="11"/>
        <v>48641.71308</v>
      </c>
      <c r="AT11" s="137">
        <f t="shared" si="11"/>
        <v>49614.54734</v>
      </c>
      <c r="AU11" s="137">
        <f t="shared" si="11"/>
        <v>50606.83829</v>
      </c>
      <c r="AV11" s="137">
        <f t="shared" si="11"/>
        <v>51618.97505</v>
      </c>
      <c r="AW11" s="137">
        <f t="shared" si="11"/>
        <v>52651.35455</v>
      </c>
      <c r="AX11" s="137">
        <f t="shared" si="11"/>
        <v>53704.38164</v>
      </c>
      <c r="AY11" s="137">
        <f t="shared" si="11"/>
        <v>54778.46928</v>
      </c>
      <c r="AZ11" s="137">
        <f t="shared" si="11"/>
        <v>55874.03866</v>
      </c>
      <c r="BA11" s="137">
        <f t="shared" si="11"/>
        <v>56991.51944</v>
      </c>
      <c r="BB11" s="137">
        <f t="shared" si="11"/>
        <v>58131.34982</v>
      </c>
      <c r="BC11" s="137">
        <f t="shared" si="11"/>
        <v>59293.97682</v>
      </c>
      <c r="BD11" s="137">
        <f t="shared" si="11"/>
        <v>60479.85636</v>
      </c>
      <c r="BE11" s="137">
        <f t="shared" si="11"/>
        <v>61689.45348</v>
      </c>
      <c r="BF11" s="137">
        <f t="shared" si="11"/>
        <v>62923.24255</v>
      </c>
      <c r="BG11" s="137">
        <f t="shared" si="11"/>
        <v>64181.70741</v>
      </c>
      <c r="BH11" s="137">
        <f t="shared" si="11"/>
        <v>65465.34155</v>
      </c>
      <c r="BI11" s="137">
        <f t="shared" si="11"/>
        <v>66774.64838</v>
      </c>
      <c r="BJ11" s="137">
        <f t="shared" si="11"/>
        <v>68110.14135</v>
      </c>
      <c r="BK11" s="137">
        <f t="shared" si="11"/>
        <v>69472.34418</v>
      </c>
      <c r="BL11" s="137">
        <f t="shared" si="11"/>
        <v>70861.79106</v>
      </c>
      <c r="BM11" s="137">
        <f t="shared" si="11"/>
        <v>72279.02688</v>
      </c>
      <c r="BN11" s="137">
        <f t="shared" si="11"/>
        <v>73724.60742</v>
      </c>
      <c r="BO11" s="137">
        <f t="shared" si="11"/>
        <v>75199.09957</v>
      </c>
      <c r="BP11" s="137">
        <f t="shared" si="11"/>
        <v>76703.08156</v>
      </c>
      <c r="BQ11" s="137">
        <f t="shared" si="11"/>
        <v>78237.14319</v>
      </c>
      <c r="BR11" s="137">
        <f t="shared" si="11"/>
        <v>79801.88606</v>
      </c>
      <c r="BS11" s="137">
        <f t="shared" si="11"/>
        <v>81397.92378</v>
      </c>
      <c r="BT11" s="137">
        <f t="shared" si="11"/>
        <v>83025.88225</v>
      </c>
      <c r="BU11" s="137">
        <f t="shared" si="11"/>
        <v>84686.3999</v>
      </c>
      <c r="BV11" s="137">
        <f t="shared" si="11"/>
        <v>86380.1279</v>
      </c>
      <c r="BW11" s="137">
        <f t="shared" si="11"/>
        <v>88107.73045</v>
      </c>
      <c r="BX11" s="137">
        <f t="shared" si="11"/>
        <v>89869.88506</v>
      </c>
    </row>
    <row r="12">
      <c r="A12" s="537" t="s">
        <v>850</v>
      </c>
      <c r="B12" s="538">
        <v>35.0</v>
      </c>
      <c r="C12" s="1" t="s">
        <v>69</v>
      </c>
      <c r="D12" s="1" t="s">
        <v>69</v>
      </c>
      <c r="E12" s="531">
        <v>10704.0</v>
      </c>
      <c r="F12" s="531">
        <v>5236.0</v>
      </c>
      <c r="G12" s="531">
        <v>7502.0</v>
      </c>
      <c r="H12" s="531">
        <v>5066.0</v>
      </c>
      <c r="I12" s="531">
        <v>10534.0</v>
      </c>
      <c r="J12" s="531">
        <v>5333.0</v>
      </c>
      <c r="K12" s="531">
        <v>5397.0</v>
      </c>
      <c r="L12" s="531">
        <v>5604.0</v>
      </c>
      <c r="M12" s="531">
        <v>5736.0</v>
      </c>
      <c r="N12" s="531">
        <v>10759.0</v>
      </c>
      <c r="O12" s="531">
        <v>4460.0</v>
      </c>
      <c r="P12" s="531">
        <v>5745.0</v>
      </c>
      <c r="Q12" s="531">
        <v>4912.0</v>
      </c>
      <c r="R12" s="531">
        <v>8549.0</v>
      </c>
      <c r="S12" s="531">
        <v>5744.0</v>
      </c>
      <c r="T12" s="531">
        <v>7205.0</v>
      </c>
      <c r="U12" s="531">
        <v>10640.0</v>
      </c>
      <c r="V12" s="531">
        <v>5942.0</v>
      </c>
      <c r="W12" s="531">
        <v>19252.0</v>
      </c>
      <c r="X12" s="531">
        <v>7542.0</v>
      </c>
      <c r="Y12" s="531">
        <v>15306.0</v>
      </c>
      <c r="Z12" s="531">
        <v>12137.0</v>
      </c>
      <c r="AA12" s="531">
        <v>8751.0</v>
      </c>
      <c r="AB12" s="531">
        <v>9633.0</v>
      </c>
      <c r="AC12" s="531">
        <v>21557.0</v>
      </c>
      <c r="AD12" s="531">
        <v>9233.0</v>
      </c>
      <c r="AE12" s="531">
        <v>9239.0</v>
      </c>
      <c r="AF12" s="137">
        <f t="shared" ref="AF12:AK12" si="12">AVERAGE($AC$12:$AE$12)</f>
        <v>13343</v>
      </c>
      <c r="AG12" s="137">
        <f t="shared" si="12"/>
        <v>13343</v>
      </c>
      <c r="AH12" s="137">
        <f t="shared" si="12"/>
        <v>13343</v>
      </c>
      <c r="AI12" s="137">
        <f t="shared" si="12"/>
        <v>13343</v>
      </c>
      <c r="AJ12" s="137">
        <f t="shared" si="12"/>
        <v>13343</v>
      </c>
      <c r="AK12" s="137">
        <f t="shared" si="12"/>
        <v>13343</v>
      </c>
      <c r="AL12" s="137">
        <f>(60-$B$10)*$B$12</f>
        <v>1575</v>
      </c>
      <c r="AM12" s="137">
        <f t="shared" ref="AM12:BX12" si="13">AL12*(1+AM14)</f>
        <v>1595.475</v>
      </c>
      <c r="AN12" s="137">
        <f t="shared" si="13"/>
        <v>1616.216175</v>
      </c>
      <c r="AO12" s="137">
        <f t="shared" si="13"/>
        <v>1637.226985</v>
      </c>
      <c r="AP12" s="137">
        <f t="shared" si="13"/>
        <v>1658.510936</v>
      </c>
      <c r="AQ12" s="137">
        <f t="shared" si="13"/>
        <v>1680.071578</v>
      </c>
      <c r="AR12" s="137">
        <f t="shared" si="13"/>
        <v>1701.912509</v>
      </c>
      <c r="AS12" s="137">
        <f t="shared" si="13"/>
        <v>1724.037371</v>
      </c>
      <c r="AT12" s="137">
        <f t="shared" si="13"/>
        <v>1746.449857</v>
      </c>
      <c r="AU12" s="137">
        <f t="shared" si="13"/>
        <v>1769.153705</v>
      </c>
      <c r="AV12" s="137">
        <f t="shared" si="13"/>
        <v>1792.152704</v>
      </c>
      <c r="AW12" s="137">
        <f t="shared" si="13"/>
        <v>1815.450689</v>
      </c>
      <c r="AX12" s="137">
        <f t="shared" si="13"/>
        <v>1839.051548</v>
      </c>
      <c r="AY12" s="137">
        <f t="shared" si="13"/>
        <v>1862.959218</v>
      </c>
      <c r="AZ12" s="137">
        <f t="shared" si="13"/>
        <v>1887.177688</v>
      </c>
      <c r="BA12" s="137">
        <f t="shared" si="13"/>
        <v>1911.710998</v>
      </c>
      <c r="BB12" s="137">
        <f t="shared" si="13"/>
        <v>1936.56324</v>
      </c>
      <c r="BC12" s="137">
        <f t="shared" si="13"/>
        <v>1961.738563</v>
      </c>
      <c r="BD12" s="137">
        <f t="shared" si="13"/>
        <v>1987.241164</v>
      </c>
      <c r="BE12" s="137">
        <f t="shared" si="13"/>
        <v>2013.075299</v>
      </c>
      <c r="BF12" s="137">
        <f t="shared" si="13"/>
        <v>2039.245278</v>
      </c>
      <c r="BG12" s="137">
        <f t="shared" si="13"/>
        <v>2065.755467</v>
      </c>
      <c r="BH12" s="137">
        <f t="shared" si="13"/>
        <v>2092.610288</v>
      </c>
      <c r="BI12" s="137">
        <f t="shared" si="13"/>
        <v>2119.814221</v>
      </c>
      <c r="BJ12" s="137">
        <f t="shared" si="13"/>
        <v>2147.371806</v>
      </c>
      <c r="BK12" s="137">
        <f t="shared" si="13"/>
        <v>2175.28764</v>
      </c>
      <c r="BL12" s="137">
        <f t="shared" si="13"/>
        <v>2203.566379</v>
      </c>
      <c r="BM12" s="137">
        <f t="shared" si="13"/>
        <v>2232.212742</v>
      </c>
      <c r="BN12" s="137">
        <f t="shared" si="13"/>
        <v>2261.231508</v>
      </c>
      <c r="BO12" s="137">
        <f t="shared" si="13"/>
        <v>2290.627517</v>
      </c>
      <c r="BP12" s="137">
        <f t="shared" si="13"/>
        <v>2320.405675</v>
      </c>
      <c r="BQ12" s="137">
        <f t="shared" si="13"/>
        <v>2350.570949</v>
      </c>
      <c r="BR12" s="137">
        <f t="shared" si="13"/>
        <v>2381.128371</v>
      </c>
      <c r="BS12" s="137">
        <f t="shared" si="13"/>
        <v>2412.08304</v>
      </c>
      <c r="BT12" s="137">
        <f t="shared" si="13"/>
        <v>2443.440119</v>
      </c>
      <c r="BU12" s="137">
        <f t="shared" si="13"/>
        <v>2475.204841</v>
      </c>
      <c r="BV12" s="137">
        <f t="shared" si="13"/>
        <v>2507.382504</v>
      </c>
      <c r="BW12" s="137">
        <f t="shared" si="13"/>
        <v>2539.978476</v>
      </c>
      <c r="BX12" s="137">
        <f t="shared" si="13"/>
        <v>2572.998197</v>
      </c>
    </row>
    <row r="13">
      <c r="B13" s="4"/>
      <c r="C13" s="4"/>
      <c r="D13" s="119" t="s">
        <v>73</v>
      </c>
      <c r="E13" s="357">
        <f t="shared" ref="E13:BX13" si="14">SUM(E10:E12)</f>
        <v>370111</v>
      </c>
      <c r="F13" s="357">
        <f t="shared" si="14"/>
        <v>336277</v>
      </c>
      <c r="G13" s="357">
        <f t="shared" si="14"/>
        <v>337859</v>
      </c>
      <c r="H13" s="357">
        <f t="shared" si="14"/>
        <v>366650</v>
      </c>
      <c r="I13" s="357">
        <f t="shared" si="14"/>
        <v>349886</v>
      </c>
      <c r="J13" s="357">
        <f t="shared" si="14"/>
        <v>303656</v>
      </c>
      <c r="K13" s="357">
        <f t="shared" si="14"/>
        <v>333813</v>
      </c>
      <c r="L13" s="357">
        <f t="shared" si="14"/>
        <v>323470</v>
      </c>
      <c r="M13" s="357">
        <f t="shared" si="14"/>
        <v>334325</v>
      </c>
      <c r="N13" s="357">
        <f t="shared" si="14"/>
        <v>350257</v>
      </c>
      <c r="O13" s="357">
        <f t="shared" si="14"/>
        <v>346813</v>
      </c>
      <c r="P13" s="357">
        <f t="shared" si="14"/>
        <v>365476</v>
      </c>
      <c r="Q13" s="357">
        <f t="shared" si="14"/>
        <v>379387</v>
      </c>
      <c r="R13" s="357">
        <f t="shared" si="14"/>
        <v>395396</v>
      </c>
      <c r="S13" s="357">
        <f t="shared" si="14"/>
        <v>388976</v>
      </c>
      <c r="T13" s="357">
        <f t="shared" si="14"/>
        <v>400278</v>
      </c>
      <c r="U13" s="357">
        <f t="shared" si="14"/>
        <v>395180</v>
      </c>
      <c r="V13" s="357">
        <f t="shared" si="14"/>
        <v>390658</v>
      </c>
      <c r="W13" s="357">
        <f t="shared" si="14"/>
        <v>412272</v>
      </c>
      <c r="X13" s="357">
        <f t="shared" si="14"/>
        <v>371412</v>
      </c>
      <c r="Y13" s="357">
        <f t="shared" si="14"/>
        <v>427536</v>
      </c>
      <c r="Z13" s="357">
        <f t="shared" si="14"/>
        <v>425337</v>
      </c>
      <c r="AA13" s="357">
        <f t="shared" si="14"/>
        <v>460408</v>
      </c>
      <c r="AB13" s="357">
        <f t="shared" si="14"/>
        <v>466564</v>
      </c>
      <c r="AC13" s="357">
        <f t="shared" si="14"/>
        <v>483144</v>
      </c>
      <c r="AD13" s="357">
        <f t="shared" si="14"/>
        <v>493645</v>
      </c>
      <c r="AE13" s="357">
        <f t="shared" si="14"/>
        <v>466622</v>
      </c>
      <c r="AF13" s="357">
        <f t="shared" si="14"/>
        <v>481137</v>
      </c>
      <c r="AG13" s="357">
        <f t="shared" si="14"/>
        <v>486612.808</v>
      </c>
      <c r="AH13" s="357">
        <f t="shared" si="14"/>
        <v>492159.8015</v>
      </c>
      <c r="AI13" s="357">
        <f t="shared" si="14"/>
        <v>497778.9059</v>
      </c>
      <c r="AJ13" s="357">
        <f t="shared" si="14"/>
        <v>503471.0587</v>
      </c>
      <c r="AK13" s="357">
        <f t="shared" si="14"/>
        <v>509237.2095</v>
      </c>
      <c r="AL13" s="357">
        <f t="shared" si="14"/>
        <v>386553.0269</v>
      </c>
      <c r="AM13" s="357">
        <f t="shared" si="14"/>
        <v>392143.4894</v>
      </c>
      <c r="AN13" s="357">
        <f t="shared" si="14"/>
        <v>397821.7771</v>
      </c>
      <c r="AO13" s="357">
        <f t="shared" si="14"/>
        <v>403589.438</v>
      </c>
      <c r="AP13" s="357">
        <f t="shared" si="14"/>
        <v>409448.0506</v>
      </c>
      <c r="AQ13" s="357">
        <f t="shared" si="14"/>
        <v>415399.2254</v>
      </c>
      <c r="AR13" s="357">
        <f t="shared" si="14"/>
        <v>421126.6856</v>
      </c>
      <c r="AS13" s="357">
        <f t="shared" si="14"/>
        <v>426935.1482</v>
      </c>
      <c r="AT13" s="357">
        <f t="shared" si="14"/>
        <v>432825.7971</v>
      </c>
      <c r="AU13" s="357">
        <f t="shared" si="14"/>
        <v>438799.8343</v>
      </c>
      <c r="AV13" s="357">
        <f t="shared" si="14"/>
        <v>444858.48</v>
      </c>
      <c r="AW13" s="357">
        <f t="shared" si="14"/>
        <v>451002.9731</v>
      </c>
      <c r="AX13" s="357">
        <f t="shared" si="14"/>
        <v>457234.5712</v>
      </c>
      <c r="AY13" s="357">
        <f t="shared" si="14"/>
        <v>463554.5513</v>
      </c>
      <c r="AZ13" s="357">
        <f t="shared" si="14"/>
        <v>469964.2098</v>
      </c>
      <c r="BA13" s="357">
        <f t="shared" si="14"/>
        <v>476464.8628</v>
      </c>
      <c r="BB13" s="357">
        <f t="shared" si="14"/>
        <v>483057.8466</v>
      </c>
      <c r="BC13" s="357">
        <f t="shared" si="14"/>
        <v>489744.5181</v>
      </c>
      <c r="BD13" s="357">
        <f t="shared" si="14"/>
        <v>496526.2547</v>
      </c>
      <c r="BE13" s="357">
        <f t="shared" si="14"/>
        <v>503404.455</v>
      </c>
      <c r="BF13" s="357">
        <f t="shared" si="14"/>
        <v>510380.5391</v>
      </c>
      <c r="BG13" s="357">
        <f t="shared" si="14"/>
        <v>517455.9488</v>
      </c>
      <c r="BH13" s="357">
        <f t="shared" si="14"/>
        <v>524632.1481</v>
      </c>
      <c r="BI13" s="357">
        <f t="shared" si="14"/>
        <v>531910.6234</v>
      </c>
      <c r="BJ13" s="357">
        <f t="shared" si="14"/>
        <v>539292.884</v>
      </c>
      <c r="BK13" s="357">
        <f t="shared" si="14"/>
        <v>546780.4625</v>
      </c>
      <c r="BL13" s="357">
        <f t="shared" si="14"/>
        <v>554374.9149</v>
      </c>
      <c r="BM13" s="357">
        <f t="shared" si="14"/>
        <v>562077.8213</v>
      </c>
      <c r="BN13" s="357">
        <f t="shared" si="14"/>
        <v>569890.7862</v>
      </c>
      <c r="BO13" s="357">
        <f t="shared" si="14"/>
        <v>577815.4387</v>
      </c>
      <c r="BP13" s="357">
        <f t="shared" si="14"/>
        <v>585853.4331</v>
      </c>
      <c r="BQ13" s="357">
        <f t="shared" si="14"/>
        <v>594006.4493</v>
      </c>
      <c r="BR13" s="357">
        <f t="shared" si="14"/>
        <v>602276.1931</v>
      </c>
      <c r="BS13" s="357">
        <f t="shared" si="14"/>
        <v>610664.3968</v>
      </c>
      <c r="BT13" s="357">
        <f t="shared" si="14"/>
        <v>619172.8195</v>
      </c>
      <c r="BU13" s="357">
        <f t="shared" si="14"/>
        <v>627803.2473</v>
      </c>
      <c r="BV13" s="357">
        <f t="shared" si="14"/>
        <v>636557.4943</v>
      </c>
      <c r="BW13" s="357">
        <f t="shared" si="14"/>
        <v>645437.4026</v>
      </c>
      <c r="BX13" s="357">
        <f t="shared" si="14"/>
        <v>654444.843</v>
      </c>
    </row>
    <row r="14">
      <c r="D14" s="1" t="s">
        <v>851</v>
      </c>
      <c r="AG14" s="266">
        <v>0.013</v>
      </c>
      <c r="AH14" s="266">
        <v>0.013</v>
      </c>
      <c r="AI14" s="266">
        <v>0.013</v>
      </c>
      <c r="AJ14" s="266">
        <v>0.013</v>
      </c>
      <c r="AK14" s="266">
        <v>0.013</v>
      </c>
      <c r="AL14" s="266">
        <v>0.013</v>
      </c>
      <c r="AM14" s="266">
        <v>0.013</v>
      </c>
      <c r="AN14" s="266">
        <v>0.013</v>
      </c>
      <c r="AO14" s="266">
        <v>0.013</v>
      </c>
      <c r="AP14" s="266">
        <v>0.013</v>
      </c>
      <c r="AQ14" s="266">
        <v>0.013</v>
      </c>
      <c r="AR14" s="266">
        <v>0.013</v>
      </c>
      <c r="AS14" s="266">
        <v>0.013</v>
      </c>
      <c r="AT14" s="266">
        <v>0.013</v>
      </c>
      <c r="AU14" s="266">
        <v>0.013</v>
      </c>
      <c r="AV14" s="266">
        <v>0.013</v>
      </c>
      <c r="AW14" s="266">
        <v>0.013</v>
      </c>
      <c r="AX14" s="266">
        <v>0.013</v>
      </c>
      <c r="AY14" s="266">
        <v>0.013</v>
      </c>
      <c r="AZ14" s="266">
        <v>0.013</v>
      </c>
      <c r="BA14" s="266">
        <v>0.013</v>
      </c>
      <c r="BB14" s="266">
        <v>0.013</v>
      </c>
      <c r="BC14" s="266">
        <v>0.013</v>
      </c>
      <c r="BD14" s="266">
        <v>0.013</v>
      </c>
      <c r="BE14" s="266">
        <v>0.013</v>
      </c>
      <c r="BF14" s="266">
        <v>0.013</v>
      </c>
      <c r="BG14" s="266">
        <v>0.013</v>
      </c>
      <c r="BH14" s="266">
        <v>0.013</v>
      </c>
      <c r="BI14" s="266">
        <v>0.013</v>
      </c>
      <c r="BJ14" s="266">
        <v>0.013</v>
      </c>
      <c r="BK14" s="266">
        <v>0.013</v>
      </c>
      <c r="BL14" s="266">
        <v>0.013</v>
      </c>
      <c r="BM14" s="266">
        <v>0.013</v>
      </c>
      <c r="BN14" s="266">
        <v>0.013</v>
      </c>
      <c r="BO14" s="266">
        <v>0.013</v>
      </c>
      <c r="BP14" s="266">
        <v>0.013</v>
      </c>
      <c r="BQ14" s="266">
        <v>0.013</v>
      </c>
      <c r="BR14" s="266">
        <v>0.013</v>
      </c>
      <c r="BS14" s="266">
        <v>0.013</v>
      </c>
      <c r="BT14" s="266">
        <v>0.013</v>
      </c>
      <c r="BU14" s="266">
        <v>0.013</v>
      </c>
      <c r="BV14" s="266">
        <v>0.013</v>
      </c>
      <c r="BW14" s="266">
        <v>0.013</v>
      </c>
      <c r="BX14" s="266">
        <v>0.013</v>
      </c>
    </row>
    <row r="16">
      <c r="B16" s="4"/>
      <c r="C16" s="4"/>
      <c r="D16" s="134" t="s">
        <v>104</v>
      </c>
      <c r="E16" s="539">
        <f t="shared" ref="E16:BX16" si="15">E6-E13</f>
        <v>318382</v>
      </c>
      <c r="F16" s="539">
        <f t="shared" si="15"/>
        <v>367444</v>
      </c>
      <c r="G16" s="539">
        <f t="shared" si="15"/>
        <v>358880</v>
      </c>
      <c r="H16" s="539">
        <f t="shared" si="15"/>
        <v>244767</v>
      </c>
      <c r="I16" s="539">
        <f t="shared" si="15"/>
        <v>252739</v>
      </c>
      <c r="J16" s="539">
        <f t="shared" si="15"/>
        <v>316743</v>
      </c>
      <c r="K16" s="539">
        <f t="shared" si="15"/>
        <v>260226</v>
      </c>
      <c r="L16" s="539">
        <f t="shared" si="15"/>
        <v>230168</v>
      </c>
      <c r="M16" s="539">
        <f t="shared" si="15"/>
        <v>292934</v>
      </c>
      <c r="N16" s="539">
        <f t="shared" si="15"/>
        <v>325335</v>
      </c>
      <c r="O16" s="539">
        <f t="shared" si="15"/>
        <v>347221</v>
      </c>
      <c r="P16" s="539">
        <f t="shared" si="15"/>
        <v>336439</v>
      </c>
      <c r="Q16" s="539">
        <f t="shared" si="15"/>
        <v>892948</v>
      </c>
      <c r="R16" s="539">
        <f t="shared" si="15"/>
        <v>361419</v>
      </c>
      <c r="S16" s="539">
        <f t="shared" si="15"/>
        <v>304461</v>
      </c>
      <c r="T16" s="539">
        <f t="shared" si="15"/>
        <v>252711</v>
      </c>
      <c r="U16" s="539">
        <f t="shared" si="15"/>
        <v>261561</v>
      </c>
      <c r="V16" s="539">
        <f t="shared" si="15"/>
        <v>287209</v>
      </c>
      <c r="W16" s="539">
        <f t="shared" si="15"/>
        <v>278073</v>
      </c>
      <c r="X16" s="539">
        <f t="shared" si="15"/>
        <v>358416</v>
      </c>
      <c r="Y16" s="539">
        <f t="shared" si="15"/>
        <v>259467</v>
      </c>
      <c r="Z16" s="539">
        <f t="shared" si="15"/>
        <v>318203</v>
      </c>
      <c r="AA16" s="539">
        <f t="shared" si="15"/>
        <v>301825</v>
      </c>
      <c r="AB16" s="539">
        <f t="shared" si="15"/>
        <v>419652</v>
      </c>
      <c r="AC16" s="539">
        <f t="shared" si="15"/>
        <v>320891</v>
      </c>
      <c r="AD16" s="539">
        <f t="shared" si="15"/>
        <v>259177</v>
      </c>
      <c r="AE16" s="539">
        <f t="shared" si="15"/>
        <v>255333</v>
      </c>
      <c r="AF16" s="539">
        <f t="shared" si="15"/>
        <v>252946.844</v>
      </c>
      <c r="AG16" s="539">
        <f t="shared" si="15"/>
        <v>259803.6446</v>
      </c>
      <c r="AH16" s="539">
        <f t="shared" si="15"/>
        <v>266796.4475</v>
      </c>
      <c r="AI16" s="539">
        <f t="shared" si="15"/>
        <v>273927.808</v>
      </c>
      <c r="AJ16" s="539">
        <f t="shared" si="15"/>
        <v>281200.3281</v>
      </c>
      <c r="AK16" s="539">
        <f t="shared" si="15"/>
        <v>288616.6566</v>
      </c>
      <c r="AL16" s="539">
        <f t="shared" si="15"/>
        <v>432683.3227</v>
      </c>
      <c r="AM16" s="539">
        <f t="shared" si="15"/>
        <v>449048.3945</v>
      </c>
      <c r="AN16" s="539">
        <f t="shared" si="15"/>
        <v>465914.0492</v>
      </c>
      <c r="AO16" s="539">
        <f t="shared" si="15"/>
        <v>483294.5085</v>
      </c>
      <c r="AP16" s="539">
        <f t="shared" si="15"/>
        <v>501204.3857</v>
      </c>
      <c r="AQ16" s="539">
        <f t="shared" si="15"/>
        <v>519658.6961</v>
      </c>
      <c r="AR16" s="539">
        <f t="shared" si="15"/>
        <v>532632.3943</v>
      </c>
      <c r="AS16" s="539">
        <f t="shared" si="15"/>
        <v>545899.1133</v>
      </c>
      <c r="AT16" s="539">
        <f t="shared" si="15"/>
        <v>559465.1497</v>
      </c>
      <c r="AU16" s="539">
        <f t="shared" si="15"/>
        <v>573336.9314</v>
      </c>
      <c r="AV16" s="539">
        <f t="shared" si="15"/>
        <v>587521.021</v>
      </c>
      <c r="AW16" s="539">
        <f t="shared" si="15"/>
        <v>602024.118</v>
      </c>
      <c r="AX16" s="539">
        <f t="shared" si="15"/>
        <v>616853.0616</v>
      </c>
      <c r="AY16" s="539">
        <f t="shared" si="15"/>
        <v>632014.8342</v>
      </c>
      <c r="AZ16" s="539">
        <f t="shared" si="15"/>
        <v>647516.5635</v>
      </c>
      <c r="BA16" s="539">
        <f t="shared" si="15"/>
        <v>663365.5259</v>
      </c>
      <c r="BB16" s="539">
        <f t="shared" si="15"/>
        <v>679569.1499</v>
      </c>
      <c r="BC16" s="539">
        <f t="shared" si="15"/>
        <v>696135.0183</v>
      </c>
      <c r="BD16" s="539">
        <f t="shared" si="15"/>
        <v>713070.8725</v>
      </c>
      <c r="BE16" s="539">
        <f t="shared" si="15"/>
        <v>730384.6147</v>
      </c>
      <c r="BF16" s="539">
        <f t="shared" si="15"/>
        <v>748084.312</v>
      </c>
      <c r="BG16" s="539">
        <f t="shared" si="15"/>
        <v>766178.1993</v>
      </c>
      <c r="BH16" s="539">
        <f t="shared" si="15"/>
        <v>784674.683</v>
      </c>
      <c r="BI16" s="539">
        <f t="shared" si="15"/>
        <v>803582.3443</v>
      </c>
      <c r="BJ16" s="539">
        <f t="shared" si="15"/>
        <v>822909.943</v>
      </c>
      <c r="BK16" s="539">
        <f t="shared" si="15"/>
        <v>842666.4211</v>
      </c>
      <c r="BL16" s="539">
        <f t="shared" si="15"/>
        <v>862860.9063</v>
      </c>
      <c r="BM16" s="539">
        <f t="shared" si="15"/>
        <v>883502.7163</v>
      </c>
      <c r="BN16" s="539">
        <f t="shared" si="15"/>
        <v>904601.3622</v>
      </c>
      <c r="BO16" s="539">
        <f t="shared" si="15"/>
        <v>926166.5527</v>
      </c>
      <c r="BP16" s="539">
        <f t="shared" si="15"/>
        <v>948208.1981</v>
      </c>
      <c r="BQ16" s="539">
        <f t="shared" si="15"/>
        <v>970736.4146</v>
      </c>
      <c r="BR16" s="539">
        <f t="shared" si="15"/>
        <v>993761.528</v>
      </c>
      <c r="BS16" s="539">
        <f t="shared" si="15"/>
        <v>1017294.079</v>
      </c>
      <c r="BT16" s="539">
        <f t="shared" si="15"/>
        <v>1041344.826</v>
      </c>
      <c r="BU16" s="539">
        <f t="shared" si="15"/>
        <v>1065924.751</v>
      </c>
      <c r="BV16" s="539">
        <f t="shared" si="15"/>
        <v>1091045.064</v>
      </c>
      <c r="BW16" s="539">
        <f t="shared" si="15"/>
        <v>1116717.206</v>
      </c>
      <c r="BX16" s="539">
        <f t="shared" si="15"/>
        <v>1142952.858</v>
      </c>
    </row>
    <row r="17">
      <c r="D17" s="136" t="s">
        <v>75</v>
      </c>
      <c r="E17" s="125">
        <f t="shared" ref="E17:BX17" si="16">E16/E6</f>
        <v>0.4624331693</v>
      </c>
      <c r="F17" s="125">
        <f t="shared" si="16"/>
        <v>0.5221444294</v>
      </c>
      <c r="G17" s="125">
        <f t="shared" si="16"/>
        <v>0.5150852758</v>
      </c>
      <c r="H17" s="125">
        <f t="shared" si="16"/>
        <v>0.4003274361</v>
      </c>
      <c r="I17" s="125">
        <f t="shared" si="16"/>
        <v>0.4193968056</v>
      </c>
      <c r="J17" s="125">
        <f t="shared" si="16"/>
        <v>0.5105472446</v>
      </c>
      <c r="K17" s="125">
        <f t="shared" si="16"/>
        <v>0.4380621474</v>
      </c>
      <c r="L17" s="125">
        <f t="shared" si="16"/>
        <v>0.4157373591</v>
      </c>
      <c r="M17" s="125">
        <f t="shared" si="16"/>
        <v>0.4670064519</v>
      </c>
      <c r="N17" s="125">
        <f t="shared" si="16"/>
        <v>0.4815554358</v>
      </c>
      <c r="O17" s="125">
        <f t="shared" si="16"/>
        <v>0.5002939337</v>
      </c>
      <c r="P17" s="125">
        <f t="shared" si="16"/>
        <v>0.4793158716</v>
      </c>
      <c r="Q17" s="125">
        <f t="shared" si="16"/>
        <v>0.7018183104</v>
      </c>
      <c r="R17" s="125">
        <f t="shared" si="16"/>
        <v>0.4775526384</v>
      </c>
      <c r="S17" s="125">
        <f t="shared" si="16"/>
        <v>0.4390607943</v>
      </c>
      <c r="T17" s="125">
        <f t="shared" si="16"/>
        <v>0.3870065193</v>
      </c>
      <c r="U17" s="125">
        <f t="shared" si="16"/>
        <v>0.3982711602</v>
      </c>
      <c r="V17" s="125">
        <f t="shared" si="16"/>
        <v>0.4236952086</v>
      </c>
      <c r="W17" s="125">
        <f t="shared" si="16"/>
        <v>0.4028029464</v>
      </c>
      <c r="X17" s="125">
        <f t="shared" si="16"/>
        <v>0.4910965323</v>
      </c>
      <c r="Y17" s="125">
        <f t="shared" si="16"/>
        <v>0.3776795735</v>
      </c>
      <c r="Z17" s="125">
        <f t="shared" si="16"/>
        <v>0.4279568012</v>
      </c>
      <c r="AA17" s="125">
        <f t="shared" si="16"/>
        <v>0.3959747216</v>
      </c>
      <c r="AB17" s="125">
        <f t="shared" si="16"/>
        <v>0.473532412</v>
      </c>
      <c r="AC17" s="125">
        <f t="shared" si="16"/>
        <v>0.3991007854</v>
      </c>
      <c r="AD17" s="125">
        <f t="shared" si="16"/>
        <v>0.3442739452</v>
      </c>
      <c r="AE17" s="125">
        <f t="shared" si="16"/>
        <v>0.3536688575</v>
      </c>
      <c r="AF17" s="125">
        <f t="shared" si="16"/>
        <v>0.3445748685</v>
      </c>
      <c r="AG17" s="125">
        <f t="shared" si="16"/>
        <v>0.3480679501</v>
      </c>
      <c r="AH17" s="125">
        <f t="shared" si="16"/>
        <v>0.3515307343</v>
      </c>
      <c r="AI17" s="125">
        <f t="shared" si="16"/>
        <v>0.3549636191</v>
      </c>
      <c r="AJ17" s="125">
        <f t="shared" si="16"/>
        <v>0.3583669964</v>
      </c>
      <c r="AK17" s="125">
        <f t="shared" si="16"/>
        <v>0.3617412522</v>
      </c>
      <c r="AL17" s="125">
        <f t="shared" si="16"/>
        <v>0.5281544488</v>
      </c>
      <c r="AM17" s="125">
        <f t="shared" si="16"/>
        <v>0.5338239742</v>
      </c>
      <c r="AN17" s="125">
        <f t="shared" si="16"/>
        <v>0.5394173021</v>
      </c>
      <c r="AO17" s="125">
        <f t="shared" si="16"/>
        <v>0.5449354568</v>
      </c>
      <c r="AP17" s="125">
        <f t="shared" si="16"/>
        <v>0.5503794485</v>
      </c>
      <c r="AQ17" s="125">
        <f t="shared" si="16"/>
        <v>0.555750274</v>
      </c>
      <c r="AR17" s="125">
        <f t="shared" si="16"/>
        <v>0.5584559094</v>
      </c>
      <c r="AS17" s="125">
        <f t="shared" si="16"/>
        <v>0.5611429767</v>
      </c>
      <c r="AT17" s="125">
        <f t="shared" si="16"/>
        <v>0.5638116033</v>
      </c>
      <c r="AU17" s="125">
        <f t="shared" si="16"/>
        <v>0.5664619158</v>
      </c>
      <c r="AV17" s="125">
        <f t="shared" si="16"/>
        <v>0.5690940399</v>
      </c>
      <c r="AW17" s="125">
        <f t="shared" si="16"/>
        <v>0.5717081005</v>
      </c>
      <c r="AX17" s="125">
        <f t="shared" si="16"/>
        <v>0.5743042213</v>
      </c>
      <c r="AY17" s="125">
        <f t="shared" si="16"/>
        <v>0.5768825257</v>
      </c>
      <c r="AZ17" s="125">
        <f t="shared" si="16"/>
        <v>0.5794431358</v>
      </c>
      <c r="BA17" s="125">
        <f t="shared" si="16"/>
        <v>0.5819861731</v>
      </c>
      <c r="BB17" s="125">
        <f t="shared" si="16"/>
        <v>0.5845117582</v>
      </c>
      <c r="BC17" s="125">
        <f t="shared" si="16"/>
        <v>0.5870200108</v>
      </c>
      <c r="BD17" s="125">
        <f t="shared" si="16"/>
        <v>0.58951105</v>
      </c>
      <c r="BE17" s="125">
        <f t="shared" si="16"/>
        <v>0.5919849938</v>
      </c>
      <c r="BF17" s="125">
        <f t="shared" si="16"/>
        <v>0.5944419595</v>
      </c>
      <c r="BG17" s="125">
        <f t="shared" si="16"/>
        <v>0.5968820637</v>
      </c>
      <c r="BH17" s="125">
        <f t="shared" si="16"/>
        <v>0.5993054221</v>
      </c>
      <c r="BI17" s="125">
        <f t="shared" si="16"/>
        <v>0.6017121496</v>
      </c>
      <c r="BJ17" s="125">
        <f t="shared" si="16"/>
        <v>0.6041023603</v>
      </c>
      <c r="BK17" s="125">
        <f t="shared" si="16"/>
        <v>0.6064761676</v>
      </c>
      <c r="BL17" s="125">
        <f t="shared" si="16"/>
        <v>0.6088336841</v>
      </c>
      <c r="BM17" s="125">
        <f t="shared" si="16"/>
        <v>0.6111750216</v>
      </c>
      <c r="BN17" s="125">
        <f t="shared" si="16"/>
        <v>0.6135002911</v>
      </c>
      <c r="BO17" s="125">
        <f t="shared" si="16"/>
        <v>0.6158096028</v>
      </c>
      <c r="BP17" s="125">
        <f t="shared" si="16"/>
        <v>0.6181030663</v>
      </c>
      <c r="BQ17" s="125">
        <f t="shared" si="16"/>
        <v>0.6203807903</v>
      </c>
      <c r="BR17" s="125">
        <f t="shared" si="16"/>
        <v>0.622642883</v>
      </c>
      <c r="BS17" s="125">
        <f t="shared" si="16"/>
        <v>0.6248894514</v>
      </c>
      <c r="BT17" s="125">
        <f t="shared" si="16"/>
        <v>0.6271206022</v>
      </c>
      <c r="BU17" s="125">
        <f t="shared" si="16"/>
        <v>0.6293364412</v>
      </c>
      <c r="BV17" s="125">
        <f t="shared" si="16"/>
        <v>0.6315370735</v>
      </c>
      <c r="BW17" s="125">
        <f t="shared" si="16"/>
        <v>0.6337226034</v>
      </c>
      <c r="BX17" s="125">
        <f t="shared" si="16"/>
        <v>0.6358931345</v>
      </c>
    </row>
    <row r="18">
      <c r="B18" s="129"/>
      <c r="C18" s="115" t="s">
        <v>174</v>
      </c>
    </row>
    <row r="19">
      <c r="A19" s="533" t="s">
        <v>848</v>
      </c>
      <c r="B19" s="540">
        <v>5.0</v>
      </c>
      <c r="C19" s="91" t="s">
        <v>175</v>
      </c>
      <c r="D19" s="1" t="s">
        <v>102</v>
      </c>
      <c r="E19" s="264">
        <v>75900.0</v>
      </c>
      <c r="F19" s="264">
        <v>82859.0</v>
      </c>
      <c r="G19" s="264">
        <v>75135.0</v>
      </c>
      <c r="H19" s="264">
        <v>85696.0</v>
      </c>
      <c r="I19" s="264">
        <v>96828.0</v>
      </c>
      <c r="J19" s="264">
        <v>89093.0</v>
      </c>
      <c r="K19" s="264">
        <v>89937.0</v>
      </c>
      <c r="L19" s="264">
        <v>91583.0</v>
      </c>
      <c r="M19" s="264">
        <v>99118.0</v>
      </c>
      <c r="N19" s="264">
        <v>98498.0</v>
      </c>
      <c r="O19" s="264">
        <v>104549.0</v>
      </c>
      <c r="P19" s="264">
        <v>103243.0</v>
      </c>
      <c r="Q19" s="264">
        <v>126882.0</v>
      </c>
      <c r="R19" s="264">
        <v>118663.0</v>
      </c>
      <c r="S19" s="264">
        <v>103505.0</v>
      </c>
      <c r="T19" s="264">
        <v>115261.0</v>
      </c>
      <c r="U19" s="264">
        <v>113611.0</v>
      </c>
      <c r="V19" s="264">
        <v>113082.0</v>
      </c>
      <c r="W19" s="264">
        <v>131791.0</v>
      </c>
      <c r="X19" s="264">
        <v>147616.0</v>
      </c>
      <c r="Y19" s="264">
        <v>130902.0</v>
      </c>
      <c r="Z19" s="264">
        <v>148082.0</v>
      </c>
      <c r="AA19" s="264">
        <v>138279.0</v>
      </c>
      <c r="AB19" s="264">
        <v>117775.0</v>
      </c>
      <c r="AC19" s="264">
        <v>116940.0</v>
      </c>
      <c r="AD19" s="264">
        <v>123395.0</v>
      </c>
      <c r="AE19" s="264">
        <v>145633.0</v>
      </c>
      <c r="AF19" s="137">
        <f t="shared" ref="AF19:AF26" si="19">AVERAGE($AC19:$AE19)</f>
        <v>128656</v>
      </c>
      <c r="AG19" s="137">
        <f t="shared" ref="AG19:AK19" si="17">AF19*(1+AG28)</f>
        <v>130328.528</v>
      </c>
      <c r="AH19" s="137">
        <f t="shared" si="17"/>
        <v>132022.7989</v>
      </c>
      <c r="AI19" s="137">
        <f t="shared" si="17"/>
        <v>133739.0952</v>
      </c>
      <c r="AJ19" s="137">
        <f t="shared" si="17"/>
        <v>135477.7035</v>
      </c>
      <c r="AK19" s="137">
        <f t="shared" si="17"/>
        <v>137238.9136</v>
      </c>
      <c r="AL19" s="137">
        <f>AK19*(1+AL28)-(B19*10721)</f>
        <v>85418.01951</v>
      </c>
      <c r="AM19" s="137">
        <f t="shared" ref="AM19:BX19" si="18">AL19*(1+AM28)</f>
        <v>86528.45376</v>
      </c>
      <c r="AN19" s="137">
        <f t="shared" si="18"/>
        <v>87653.32366</v>
      </c>
      <c r="AO19" s="137">
        <f t="shared" si="18"/>
        <v>88792.81687</v>
      </c>
      <c r="AP19" s="137">
        <f t="shared" si="18"/>
        <v>89947.12349</v>
      </c>
      <c r="AQ19" s="137">
        <f t="shared" si="18"/>
        <v>91746.06596</v>
      </c>
      <c r="AR19" s="137">
        <f t="shared" si="18"/>
        <v>93580.98728</v>
      </c>
      <c r="AS19" s="137">
        <f t="shared" si="18"/>
        <v>95452.60702</v>
      </c>
      <c r="AT19" s="137">
        <f t="shared" si="18"/>
        <v>97361.65916</v>
      </c>
      <c r="AU19" s="137">
        <f t="shared" si="18"/>
        <v>99308.89235</v>
      </c>
      <c r="AV19" s="137">
        <f t="shared" si="18"/>
        <v>101295.0702</v>
      </c>
      <c r="AW19" s="137">
        <f t="shared" si="18"/>
        <v>103320.9716</v>
      </c>
      <c r="AX19" s="137">
        <f t="shared" si="18"/>
        <v>105387.391</v>
      </c>
      <c r="AY19" s="137">
        <f t="shared" si="18"/>
        <v>107495.1389</v>
      </c>
      <c r="AZ19" s="137">
        <f t="shared" si="18"/>
        <v>109645.0416</v>
      </c>
      <c r="BA19" s="137">
        <f t="shared" si="18"/>
        <v>111837.9425</v>
      </c>
      <c r="BB19" s="137">
        <f t="shared" si="18"/>
        <v>114074.7013</v>
      </c>
      <c r="BC19" s="137">
        <f t="shared" si="18"/>
        <v>116356.1953</v>
      </c>
      <c r="BD19" s="137">
        <f t="shared" si="18"/>
        <v>118683.3192</v>
      </c>
      <c r="BE19" s="137">
        <f t="shared" si="18"/>
        <v>121056.9856</v>
      </c>
      <c r="BF19" s="137">
        <f t="shared" si="18"/>
        <v>123478.1253</v>
      </c>
      <c r="BG19" s="137">
        <f t="shared" si="18"/>
        <v>125947.6878</v>
      </c>
      <c r="BH19" s="137">
        <f t="shared" si="18"/>
        <v>128466.6416</v>
      </c>
      <c r="BI19" s="137">
        <f t="shared" si="18"/>
        <v>131035.9744</v>
      </c>
      <c r="BJ19" s="137">
        <f t="shared" si="18"/>
        <v>133656.6939</v>
      </c>
      <c r="BK19" s="137">
        <f t="shared" si="18"/>
        <v>136329.8278</v>
      </c>
      <c r="BL19" s="137">
        <f t="shared" si="18"/>
        <v>139056.4244</v>
      </c>
      <c r="BM19" s="137">
        <f t="shared" si="18"/>
        <v>141837.5528</v>
      </c>
      <c r="BN19" s="137">
        <f t="shared" si="18"/>
        <v>144674.3039</v>
      </c>
      <c r="BO19" s="137">
        <f t="shared" si="18"/>
        <v>147567.79</v>
      </c>
      <c r="BP19" s="137">
        <f t="shared" si="18"/>
        <v>150519.1458</v>
      </c>
      <c r="BQ19" s="137">
        <f t="shared" si="18"/>
        <v>153529.5287</v>
      </c>
      <c r="BR19" s="137">
        <f t="shared" si="18"/>
        <v>156600.1193</v>
      </c>
      <c r="BS19" s="137">
        <f t="shared" si="18"/>
        <v>159732.1217</v>
      </c>
      <c r="BT19" s="137">
        <f t="shared" si="18"/>
        <v>162926.7641</v>
      </c>
      <c r="BU19" s="137">
        <f t="shared" si="18"/>
        <v>166185.2994</v>
      </c>
      <c r="BV19" s="137">
        <f t="shared" si="18"/>
        <v>169509.0054</v>
      </c>
      <c r="BW19" s="137">
        <f t="shared" si="18"/>
        <v>172899.1855</v>
      </c>
      <c r="BX19" s="137">
        <f t="shared" si="18"/>
        <v>176357.1692</v>
      </c>
    </row>
    <row r="20">
      <c r="A20" s="535" t="s">
        <v>852</v>
      </c>
      <c r="B20" s="541">
        <v>0.008</v>
      </c>
      <c r="C20" s="91" t="s">
        <v>120</v>
      </c>
      <c r="D20" s="91" t="s">
        <v>111</v>
      </c>
      <c r="E20" s="264">
        <v>12133.0</v>
      </c>
      <c r="F20" s="264">
        <v>11979.0</v>
      </c>
      <c r="G20" s="264">
        <v>2570.0</v>
      </c>
      <c r="H20" s="264">
        <v>7994.0</v>
      </c>
      <c r="I20" s="264">
        <v>7785.0</v>
      </c>
      <c r="J20" s="264">
        <v>34324.0</v>
      </c>
      <c r="K20" s="264">
        <v>27889.0</v>
      </c>
      <c r="L20" s="264">
        <v>26731.0</v>
      </c>
      <c r="M20" s="264">
        <v>14794.0</v>
      </c>
      <c r="N20" s="264">
        <v>12365.0</v>
      </c>
      <c r="O20" s="264">
        <v>55908.0</v>
      </c>
      <c r="P20" s="264">
        <v>55187.0</v>
      </c>
      <c r="Q20" s="264">
        <v>23494.0</v>
      </c>
      <c r="R20" s="264">
        <v>11851.0</v>
      </c>
      <c r="S20" s="264">
        <v>12288.0</v>
      </c>
      <c r="T20" s="264">
        <v>13117.0</v>
      </c>
      <c r="U20" s="264">
        <v>14323.0</v>
      </c>
      <c r="V20" s="264">
        <v>10598.0</v>
      </c>
      <c r="W20" s="264">
        <v>8625.0</v>
      </c>
      <c r="X20" s="264">
        <v>16814.0</v>
      </c>
      <c r="Y20" s="264">
        <v>9762.0</v>
      </c>
      <c r="Z20" s="264">
        <v>13669.0</v>
      </c>
      <c r="AA20" s="264">
        <v>9225.0</v>
      </c>
      <c r="AB20" s="264">
        <v>15849.0</v>
      </c>
      <c r="AC20" s="264">
        <v>14010.0</v>
      </c>
      <c r="AD20" s="264">
        <v>12282.0</v>
      </c>
      <c r="AE20" s="264">
        <v>10684.0</v>
      </c>
      <c r="AF20" s="137">
        <f t="shared" si="19"/>
        <v>12325.33333</v>
      </c>
      <c r="AG20" s="137">
        <f t="shared" ref="AG20:AK20" si="20">AVERAGE($AC20:$AE20)</f>
        <v>12325.33333</v>
      </c>
      <c r="AH20" s="137">
        <f t="shared" si="20"/>
        <v>12325.33333</v>
      </c>
      <c r="AI20" s="137">
        <f t="shared" si="20"/>
        <v>12325.33333</v>
      </c>
      <c r="AJ20" s="137">
        <f t="shared" si="20"/>
        <v>12325.33333</v>
      </c>
      <c r="AK20" s="137">
        <f t="shared" si="20"/>
        <v>12325.33333</v>
      </c>
      <c r="AL20" s="137">
        <f t="shared" ref="AL20:BX20" si="21">AK20*(1+$B$20)</f>
        <v>12423.936</v>
      </c>
      <c r="AM20" s="137">
        <f t="shared" si="21"/>
        <v>12523.32749</v>
      </c>
      <c r="AN20" s="137">
        <f t="shared" si="21"/>
        <v>12623.51411</v>
      </c>
      <c r="AO20" s="137">
        <f t="shared" si="21"/>
        <v>12724.50222</v>
      </c>
      <c r="AP20" s="137">
        <f t="shared" si="21"/>
        <v>12826.29824</v>
      </c>
      <c r="AQ20" s="137">
        <f t="shared" si="21"/>
        <v>12928.90862</v>
      </c>
      <c r="AR20" s="137">
        <f t="shared" si="21"/>
        <v>13032.33989</v>
      </c>
      <c r="AS20" s="137">
        <f t="shared" si="21"/>
        <v>13136.59861</v>
      </c>
      <c r="AT20" s="137">
        <f t="shared" si="21"/>
        <v>13241.6914</v>
      </c>
      <c r="AU20" s="137">
        <f t="shared" si="21"/>
        <v>13347.62493</v>
      </c>
      <c r="AV20" s="137">
        <f t="shared" si="21"/>
        <v>13454.40593</v>
      </c>
      <c r="AW20" s="137">
        <f t="shared" si="21"/>
        <v>13562.04118</v>
      </c>
      <c r="AX20" s="137">
        <f t="shared" si="21"/>
        <v>13670.53751</v>
      </c>
      <c r="AY20" s="137">
        <f t="shared" si="21"/>
        <v>13779.90181</v>
      </c>
      <c r="AZ20" s="137">
        <f t="shared" si="21"/>
        <v>13890.14102</v>
      </c>
      <c r="BA20" s="137">
        <f t="shared" si="21"/>
        <v>14001.26215</v>
      </c>
      <c r="BB20" s="137">
        <f t="shared" si="21"/>
        <v>14113.27225</v>
      </c>
      <c r="BC20" s="137">
        <f t="shared" si="21"/>
        <v>14226.17843</v>
      </c>
      <c r="BD20" s="137">
        <f t="shared" si="21"/>
        <v>14339.98785</v>
      </c>
      <c r="BE20" s="137">
        <f t="shared" si="21"/>
        <v>14454.70776</v>
      </c>
      <c r="BF20" s="137">
        <f t="shared" si="21"/>
        <v>14570.34542</v>
      </c>
      <c r="BG20" s="137">
        <f t="shared" si="21"/>
        <v>14686.90818</v>
      </c>
      <c r="BH20" s="137">
        <f t="shared" si="21"/>
        <v>14804.40345</v>
      </c>
      <c r="BI20" s="137">
        <f t="shared" si="21"/>
        <v>14922.83868</v>
      </c>
      <c r="BJ20" s="137">
        <f t="shared" si="21"/>
        <v>15042.22139</v>
      </c>
      <c r="BK20" s="137">
        <f t="shared" si="21"/>
        <v>15162.55916</v>
      </c>
      <c r="BL20" s="137">
        <f t="shared" si="21"/>
        <v>15283.85963</v>
      </c>
      <c r="BM20" s="137">
        <f t="shared" si="21"/>
        <v>15406.13051</v>
      </c>
      <c r="BN20" s="137">
        <f t="shared" si="21"/>
        <v>15529.37955</v>
      </c>
      <c r="BO20" s="137">
        <f t="shared" si="21"/>
        <v>15653.61459</v>
      </c>
      <c r="BP20" s="137">
        <f t="shared" si="21"/>
        <v>15778.8435</v>
      </c>
      <c r="BQ20" s="137">
        <f t="shared" si="21"/>
        <v>15905.07425</v>
      </c>
      <c r="BR20" s="137">
        <f t="shared" si="21"/>
        <v>16032.31485</v>
      </c>
      <c r="BS20" s="137">
        <f t="shared" si="21"/>
        <v>16160.57336</v>
      </c>
      <c r="BT20" s="137">
        <f t="shared" si="21"/>
        <v>16289.85795</v>
      </c>
      <c r="BU20" s="137">
        <f t="shared" si="21"/>
        <v>16420.17681</v>
      </c>
      <c r="BV20" s="137">
        <f t="shared" si="21"/>
        <v>16551.53823</v>
      </c>
      <c r="BW20" s="137">
        <f t="shared" si="21"/>
        <v>16683.95054</v>
      </c>
      <c r="BX20" s="137">
        <f t="shared" si="21"/>
        <v>16817.42214</v>
      </c>
    </row>
    <row r="21" ht="15.75" customHeight="1">
      <c r="A21" s="535" t="s">
        <v>853</v>
      </c>
      <c r="B21" s="541">
        <v>0.017</v>
      </c>
      <c r="C21" s="1" t="s">
        <v>66</v>
      </c>
      <c r="D21" s="1" t="s">
        <v>109</v>
      </c>
      <c r="E21" s="531">
        <v>5047.0</v>
      </c>
      <c r="F21" s="531">
        <v>2582.0</v>
      </c>
      <c r="G21" s="531">
        <v>3440.0</v>
      </c>
      <c r="H21" s="531">
        <v>3388.0</v>
      </c>
      <c r="I21" s="531">
        <v>4490.0</v>
      </c>
      <c r="J21" s="531">
        <v>6954.0</v>
      </c>
      <c r="K21" s="531">
        <v>3703.0</v>
      </c>
      <c r="L21" s="531">
        <v>3403.0</v>
      </c>
      <c r="M21" s="531">
        <v>3636.0</v>
      </c>
      <c r="N21" s="531">
        <v>3692.0</v>
      </c>
      <c r="O21" s="531">
        <v>3788.0</v>
      </c>
      <c r="P21" s="531">
        <v>9376.0</v>
      </c>
      <c r="Q21" s="531">
        <v>5593.0</v>
      </c>
      <c r="R21" s="531">
        <v>5884.0</v>
      </c>
      <c r="S21" s="531">
        <v>5643.0</v>
      </c>
      <c r="T21" s="531">
        <v>5035.0</v>
      </c>
      <c r="U21" s="531">
        <v>6238.0</v>
      </c>
      <c r="V21" s="531">
        <v>7011.0</v>
      </c>
      <c r="W21" s="531">
        <v>6009.0</v>
      </c>
      <c r="X21" s="531">
        <v>11252.0</v>
      </c>
      <c r="Y21" s="531">
        <v>10647.0</v>
      </c>
      <c r="Z21" s="531">
        <v>8992.0</v>
      </c>
      <c r="AA21" s="531">
        <v>8557.0</v>
      </c>
      <c r="AB21" s="531">
        <v>8711.0</v>
      </c>
      <c r="AC21" s="531">
        <v>15911.0</v>
      </c>
      <c r="AD21" s="531">
        <v>11793.0</v>
      </c>
      <c r="AE21" s="531">
        <v>13984.0</v>
      </c>
      <c r="AF21" s="137">
        <f t="shared" si="19"/>
        <v>13896</v>
      </c>
      <c r="AG21" s="137">
        <f t="shared" ref="AG21:AK21" si="22">AVERAGE($AC21:$AE21)</f>
        <v>13896</v>
      </c>
      <c r="AH21" s="137">
        <f t="shared" si="22"/>
        <v>13896</v>
      </c>
      <c r="AI21" s="137">
        <f t="shared" si="22"/>
        <v>13896</v>
      </c>
      <c r="AJ21" s="137">
        <f t="shared" si="22"/>
        <v>13896</v>
      </c>
      <c r="AK21" s="137">
        <f t="shared" si="22"/>
        <v>13896</v>
      </c>
      <c r="AL21" s="137">
        <f t="shared" ref="AL21:BX21" si="23">AL4*$B$21</f>
        <v>14540.40436</v>
      </c>
      <c r="AM21" s="137">
        <f t="shared" si="23"/>
        <v>14930.0872</v>
      </c>
      <c r="AN21" s="137">
        <f t="shared" si="23"/>
        <v>15330.21353</v>
      </c>
      <c r="AO21" s="137">
        <f t="shared" si="23"/>
        <v>15741.06326</v>
      </c>
      <c r="AP21" s="137">
        <f t="shared" si="23"/>
        <v>16162.92375</v>
      </c>
      <c r="AQ21" s="137">
        <f t="shared" si="23"/>
        <v>16596.09011</v>
      </c>
      <c r="AR21" s="137">
        <f t="shared" si="23"/>
        <v>16928.01191</v>
      </c>
      <c r="AS21" s="137">
        <f t="shared" si="23"/>
        <v>17266.57215</v>
      </c>
      <c r="AT21" s="137">
        <f t="shared" si="23"/>
        <v>17611.90359</v>
      </c>
      <c r="AU21" s="137">
        <f t="shared" si="23"/>
        <v>17964.14166</v>
      </c>
      <c r="AV21" s="137">
        <f t="shared" si="23"/>
        <v>18323.4245</v>
      </c>
      <c r="AW21" s="137">
        <f t="shared" si="23"/>
        <v>18689.89299</v>
      </c>
      <c r="AX21" s="137">
        <f t="shared" si="23"/>
        <v>19063.69085</v>
      </c>
      <c r="AY21" s="137">
        <f t="shared" si="23"/>
        <v>19444.96466</v>
      </c>
      <c r="AZ21" s="137">
        <f t="shared" si="23"/>
        <v>19833.86396</v>
      </c>
      <c r="BA21" s="137">
        <f t="shared" si="23"/>
        <v>20230.54124</v>
      </c>
      <c r="BB21" s="137">
        <f t="shared" si="23"/>
        <v>20635.15206</v>
      </c>
      <c r="BC21" s="137">
        <f t="shared" si="23"/>
        <v>21047.8551</v>
      </c>
      <c r="BD21" s="137">
        <f t="shared" si="23"/>
        <v>21468.8122</v>
      </c>
      <c r="BE21" s="137">
        <f t="shared" si="23"/>
        <v>21898.18845</v>
      </c>
      <c r="BF21" s="137">
        <f t="shared" si="23"/>
        <v>22336.15222</v>
      </c>
      <c r="BG21" s="137">
        <f t="shared" si="23"/>
        <v>22782.87526</v>
      </c>
      <c r="BH21" s="137">
        <f t="shared" si="23"/>
        <v>23238.53277</v>
      </c>
      <c r="BI21" s="137">
        <f t="shared" si="23"/>
        <v>23703.30342</v>
      </c>
      <c r="BJ21" s="137">
        <f t="shared" si="23"/>
        <v>24177.36949</v>
      </c>
      <c r="BK21" s="137">
        <f t="shared" si="23"/>
        <v>24660.91688</v>
      </c>
      <c r="BL21" s="137">
        <f t="shared" si="23"/>
        <v>25154.13522</v>
      </c>
      <c r="BM21" s="137">
        <f t="shared" si="23"/>
        <v>25657.21792</v>
      </c>
      <c r="BN21" s="137">
        <f t="shared" si="23"/>
        <v>26170.36228</v>
      </c>
      <c r="BO21" s="137">
        <f t="shared" si="23"/>
        <v>26693.76953</v>
      </c>
      <c r="BP21" s="137">
        <f t="shared" si="23"/>
        <v>27227.64492</v>
      </c>
      <c r="BQ21" s="137">
        <f t="shared" si="23"/>
        <v>27772.19781</v>
      </c>
      <c r="BR21" s="137">
        <f t="shared" si="23"/>
        <v>28327.64177</v>
      </c>
      <c r="BS21" s="137">
        <f t="shared" si="23"/>
        <v>28894.19461</v>
      </c>
      <c r="BT21" s="137">
        <f t="shared" si="23"/>
        <v>29472.0785</v>
      </c>
      <c r="BU21" s="137">
        <f t="shared" si="23"/>
        <v>30061.52007</v>
      </c>
      <c r="BV21" s="137">
        <f t="shared" si="23"/>
        <v>30662.75047</v>
      </c>
      <c r="BW21" s="137">
        <f t="shared" si="23"/>
        <v>31276.00548</v>
      </c>
      <c r="BX21" s="137">
        <f t="shared" si="23"/>
        <v>31901.52559</v>
      </c>
    </row>
    <row r="22" ht="15.75" customHeight="1">
      <c r="A22" s="535" t="s">
        <v>854</v>
      </c>
      <c r="B22" s="542">
        <v>40.0</v>
      </c>
      <c r="C22" s="91" t="s">
        <v>70</v>
      </c>
      <c r="D22" s="1" t="s">
        <v>110</v>
      </c>
      <c r="E22" s="531">
        <v>14526.0</v>
      </c>
      <c r="F22" s="531">
        <v>7080.0</v>
      </c>
      <c r="G22" s="531">
        <v>7513.0</v>
      </c>
      <c r="H22" s="531">
        <v>7855.0</v>
      </c>
      <c r="I22" s="531">
        <v>9691.0</v>
      </c>
      <c r="J22" s="531">
        <v>9773.0</v>
      </c>
      <c r="K22" s="531">
        <v>11807.0</v>
      </c>
      <c r="L22" s="531">
        <v>7500.0</v>
      </c>
      <c r="M22" s="531">
        <v>12712.0</v>
      </c>
      <c r="N22" s="531">
        <v>12659.0</v>
      </c>
      <c r="O22" s="531">
        <v>11151.0</v>
      </c>
      <c r="P22" s="531">
        <v>9181.0</v>
      </c>
      <c r="Q22" s="531">
        <v>13648.0</v>
      </c>
      <c r="R22" s="531">
        <v>13272.0</v>
      </c>
      <c r="S22" s="531">
        <v>11239.0</v>
      </c>
      <c r="T22" s="531">
        <v>12771.0</v>
      </c>
      <c r="U22" s="531">
        <v>12574.0</v>
      </c>
      <c r="V22" s="531">
        <v>11889.0</v>
      </c>
      <c r="W22" s="531">
        <v>12019.0</v>
      </c>
      <c r="X22" s="531">
        <v>11164.0</v>
      </c>
      <c r="Y22" s="531">
        <v>11329.0</v>
      </c>
      <c r="Z22" s="531">
        <v>12031.0</v>
      </c>
      <c r="AA22" s="531">
        <v>12203.0</v>
      </c>
      <c r="AB22" s="531">
        <v>11837.0</v>
      </c>
      <c r="AC22" s="531">
        <v>15653.0</v>
      </c>
      <c r="AD22" s="264">
        <v>10861.0</v>
      </c>
      <c r="AE22" s="264">
        <v>13629.0</v>
      </c>
      <c r="AF22" s="137">
        <f t="shared" si="19"/>
        <v>13381</v>
      </c>
      <c r="AG22" s="137">
        <f t="shared" ref="AG22:AK22" si="24">AVERAGE($AC22:$AE22)</f>
        <v>13381</v>
      </c>
      <c r="AH22" s="137">
        <f t="shared" si="24"/>
        <v>13381</v>
      </c>
      <c r="AI22" s="137">
        <f t="shared" si="24"/>
        <v>13381</v>
      </c>
      <c r="AJ22" s="137">
        <f t="shared" si="24"/>
        <v>13381</v>
      </c>
      <c r="AK22" s="137">
        <f t="shared" si="24"/>
        <v>13381</v>
      </c>
      <c r="AL22" s="137">
        <f>(12-B19)*B22</f>
        <v>280</v>
      </c>
      <c r="AM22" s="137">
        <f t="shared" ref="AM22:BX22" si="25">AL22*(1+AM28)</f>
        <v>283.64</v>
      </c>
      <c r="AN22" s="137">
        <f t="shared" si="25"/>
        <v>287.32732</v>
      </c>
      <c r="AO22" s="137">
        <f t="shared" si="25"/>
        <v>291.0625752</v>
      </c>
      <c r="AP22" s="137">
        <f t="shared" si="25"/>
        <v>294.8463886</v>
      </c>
      <c r="AQ22" s="137">
        <f t="shared" si="25"/>
        <v>300.7433164</v>
      </c>
      <c r="AR22" s="137">
        <f t="shared" si="25"/>
        <v>306.7581827</v>
      </c>
      <c r="AS22" s="137">
        <f t="shared" si="25"/>
        <v>312.8933464</v>
      </c>
      <c r="AT22" s="137">
        <f t="shared" si="25"/>
        <v>319.1512133</v>
      </c>
      <c r="AU22" s="137">
        <f t="shared" si="25"/>
        <v>325.5342376</v>
      </c>
      <c r="AV22" s="137">
        <f t="shared" si="25"/>
        <v>332.0449223</v>
      </c>
      <c r="AW22" s="137">
        <f t="shared" si="25"/>
        <v>338.6858208</v>
      </c>
      <c r="AX22" s="137">
        <f t="shared" si="25"/>
        <v>345.4595372</v>
      </c>
      <c r="AY22" s="137">
        <f t="shared" si="25"/>
        <v>352.3687279</v>
      </c>
      <c r="AZ22" s="137">
        <f t="shared" si="25"/>
        <v>359.4161025</v>
      </c>
      <c r="BA22" s="137">
        <f t="shared" si="25"/>
        <v>366.6044246</v>
      </c>
      <c r="BB22" s="137">
        <f t="shared" si="25"/>
        <v>373.936513</v>
      </c>
      <c r="BC22" s="137">
        <f t="shared" si="25"/>
        <v>381.4152433</v>
      </c>
      <c r="BD22" s="137">
        <f t="shared" si="25"/>
        <v>389.0435482</v>
      </c>
      <c r="BE22" s="137">
        <f t="shared" si="25"/>
        <v>396.8244191</v>
      </c>
      <c r="BF22" s="137">
        <f t="shared" si="25"/>
        <v>404.7609075</v>
      </c>
      <c r="BG22" s="137">
        <f t="shared" si="25"/>
        <v>412.8561257</v>
      </c>
      <c r="BH22" s="137">
        <f t="shared" si="25"/>
        <v>421.1132482</v>
      </c>
      <c r="BI22" s="137">
        <f t="shared" si="25"/>
        <v>429.5355131</v>
      </c>
      <c r="BJ22" s="137">
        <f t="shared" si="25"/>
        <v>438.1262234</v>
      </c>
      <c r="BK22" s="137">
        <f t="shared" si="25"/>
        <v>446.8887479</v>
      </c>
      <c r="BL22" s="137">
        <f t="shared" si="25"/>
        <v>455.8265228</v>
      </c>
      <c r="BM22" s="137">
        <f t="shared" si="25"/>
        <v>464.9430533</v>
      </c>
      <c r="BN22" s="137">
        <f t="shared" si="25"/>
        <v>474.2419144</v>
      </c>
      <c r="BO22" s="137">
        <f t="shared" si="25"/>
        <v>483.7267526</v>
      </c>
      <c r="BP22" s="137">
        <f t="shared" si="25"/>
        <v>493.4012877</v>
      </c>
      <c r="BQ22" s="137">
        <f t="shared" si="25"/>
        <v>503.2693135</v>
      </c>
      <c r="BR22" s="137">
        <f t="shared" si="25"/>
        <v>513.3346997</v>
      </c>
      <c r="BS22" s="137">
        <f t="shared" si="25"/>
        <v>523.6013937</v>
      </c>
      <c r="BT22" s="137">
        <f t="shared" si="25"/>
        <v>534.0734216</v>
      </c>
      <c r="BU22" s="137">
        <f t="shared" si="25"/>
        <v>544.75489</v>
      </c>
      <c r="BV22" s="137">
        <f t="shared" si="25"/>
        <v>555.6499878</v>
      </c>
      <c r="BW22" s="137">
        <f t="shared" si="25"/>
        <v>566.7629876</v>
      </c>
      <c r="BX22" s="137">
        <f t="shared" si="25"/>
        <v>578.0982473</v>
      </c>
    </row>
    <row r="23" ht="15.75" customHeight="1">
      <c r="A23" s="535" t="s">
        <v>855</v>
      </c>
      <c r="B23" s="541">
        <v>0.011</v>
      </c>
      <c r="C23" s="91" t="s">
        <v>178</v>
      </c>
      <c r="D23" s="1" t="s">
        <v>112</v>
      </c>
      <c r="E23" s="264">
        <v>31473.0</v>
      </c>
      <c r="F23" s="264">
        <v>38419.0</v>
      </c>
      <c r="G23" s="264">
        <v>31727.0</v>
      </c>
      <c r="H23" s="264">
        <v>37325.0</v>
      </c>
      <c r="I23" s="264">
        <v>31461.0</v>
      </c>
      <c r="J23" s="264">
        <v>37865.0</v>
      </c>
      <c r="K23" s="264">
        <v>33531.0</v>
      </c>
      <c r="L23" s="264">
        <v>39502.0</v>
      </c>
      <c r="M23" s="264">
        <v>31777.0</v>
      </c>
      <c r="N23" s="264">
        <v>34102.0</v>
      </c>
      <c r="O23" s="264">
        <v>34324.0</v>
      </c>
      <c r="P23" s="264">
        <v>32501.0</v>
      </c>
      <c r="Q23" s="264">
        <v>21214.0</v>
      </c>
      <c r="R23" s="264">
        <v>20682.0</v>
      </c>
      <c r="S23" s="264">
        <v>24883.0</v>
      </c>
      <c r="T23" s="264">
        <v>25285.0</v>
      </c>
      <c r="U23" s="264">
        <v>24197.0</v>
      </c>
      <c r="V23" s="264">
        <v>30074.0</v>
      </c>
      <c r="W23" s="264">
        <v>26809.0</v>
      </c>
      <c r="X23" s="264">
        <v>28193.0</v>
      </c>
      <c r="Y23" s="264">
        <v>28661.0</v>
      </c>
      <c r="Z23" s="264">
        <v>40427.0</v>
      </c>
      <c r="AA23" s="264">
        <v>35918.0</v>
      </c>
      <c r="AB23" s="264">
        <v>33663.0</v>
      </c>
      <c r="AC23" s="264">
        <v>27205.0</v>
      </c>
      <c r="AD23" s="264">
        <v>22931.0</v>
      </c>
      <c r="AE23" s="264">
        <v>19082.0</v>
      </c>
      <c r="AF23" s="137">
        <f t="shared" si="19"/>
        <v>23072.66667</v>
      </c>
      <c r="AG23" s="137">
        <f t="shared" ref="AG23:AL23" si="26">(AF23-13067)*(1+$B$23)+13067</f>
        <v>23182.729</v>
      </c>
      <c r="AH23" s="137">
        <f t="shared" si="26"/>
        <v>23294.00202</v>
      </c>
      <c r="AI23" s="137">
        <f t="shared" si="26"/>
        <v>23406.49904</v>
      </c>
      <c r="AJ23" s="137">
        <f t="shared" si="26"/>
        <v>23520.23353</v>
      </c>
      <c r="AK23" s="137">
        <f t="shared" si="26"/>
        <v>23635.2191</v>
      </c>
      <c r="AL23" s="137">
        <f t="shared" si="26"/>
        <v>23751.46951</v>
      </c>
      <c r="AM23" s="137">
        <f t="shared" ref="AM23:AX23" si="27">(AL23-14013.17)*(1+$B$23)+14013.17</f>
        <v>23858.5908</v>
      </c>
      <c r="AN23" s="137">
        <f t="shared" si="27"/>
        <v>23966.89043</v>
      </c>
      <c r="AO23" s="137">
        <f t="shared" si="27"/>
        <v>24076.38136</v>
      </c>
      <c r="AP23" s="137">
        <f t="shared" si="27"/>
        <v>24187.07668</v>
      </c>
      <c r="AQ23" s="137">
        <f t="shared" si="27"/>
        <v>24298.98966</v>
      </c>
      <c r="AR23" s="137">
        <f t="shared" si="27"/>
        <v>24412.13367</v>
      </c>
      <c r="AS23" s="137">
        <f t="shared" si="27"/>
        <v>24526.52227</v>
      </c>
      <c r="AT23" s="137">
        <f t="shared" si="27"/>
        <v>24642.16915</v>
      </c>
      <c r="AU23" s="137">
        <f t="shared" si="27"/>
        <v>24759.08814</v>
      </c>
      <c r="AV23" s="137">
        <f t="shared" si="27"/>
        <v>24877.29324</v>
      </c>
      <c r="AW23" s="137">
        <f t="shared" si="27"/>
        <v>24996.79859</v>
      </c>
      <c r="AX23" s="137">
        <f t="shared" si="27"/>
        <v>25117.61851</v>
      </c>
      <c r="AY23" s="137">
        <f t="shared" ref="AY23:BA23" si="28">(AX23-14435.25)*(1+$B$23)+14435.25</f>
        <v>25235.12456</v>
      </c>
      <c r="AZ23" s="137">
        <f t="shared" si="28"/>
        <v>25353.92318</v>
      </c>
      <c r="BA23" s="137">
        <f t="shared" si="28"/>
        <v>25474.02859</v>
      </c>
      <c r="BB23" s="137">
        <f>(BA23-14435.25)*(1+$B$23)</f>
        <v>11160.20515</v>
      </c>
      <c r="BC23" s="137">
        <f t="shared" ref="BC23:BX23" si="29">(BB23)*(1+$B$23)</f>
        <v>11282.96741</v>
      </c>
      <c r="BD23" s="137">
        <f t="shared" si="29"/>
        <v>11407.08005</v>
      </c>
      <c r="BE23" s="137">
        <f t="shared" si="29"/>
        <v>11532.55793</v>
      </c>
      <c r="BF23" s="137">
        <f t="shared" si="29"/>
        <v>11659.41607</v>
      </c>
      <c r="BG23" s="137">
        <f t="shared" si="29"/>
        <v>11787.66964</v>
      </c>
      <c r="BH23" s="137">
        <f t="shared" si="29"/>
        <v>11917.33401</v>
      </c>
      <c r="BI23" s="137">
        <f t="shared" si="29"/>
        <v>12048.42468</v>
      </c>
      <c r="BJ23" s="137">
        <f t="shared" si="29"/>
        <v>12180.95736</v>
      </c>
      <c r="BK23" s="137">
        <f t="shared" si="29"/>
        <v>12314.94789</v>
      </c>
      <c r="BL23" s="137">
        <f t="shared" si="29"/>
        <v>12450.41231</v>
      </c>
      <c r="BM23" s="137">
        <f t="shared" si="29"/>
        <v>12587.36685</v>
      </c>
      <c r="BN23" s="137">
        <f t="shared" si="29"/>
        <v>12725.82788</v>
      </c>
      <c r="BO23" s="137">
        <f t="shared" si="29"/>
        <v>12865.81199</v>
      </c>
      <c r="BP23" s="137">
        <f t="shared" si="29"/>
        <v>13007.33592</v>
      </c>
      <c r="BQ23" s="137">
        <f t="shared" si="29"/>
        <v>13150.41662</v>
      </c>
      <c r="BR23" s="137">
        <f t="shared" si="29"/>
        <v>13295.0712</v>
      </c>
      <c r="BS23" s="137">
        <f t="shared" si="29"/>
        <v>13441.31698</v>
      </c>
      <c r="BT23" s="137">
        <f t="shared" si="29"/>
        <v>13589.17147</v>
      </c>
      <c r="BU23" s="137">
        <f t="shared" si="29"/>
        <v>13738.65236</v>
      </c>
      <c r="BV23" s="137">
        <f t="shared" si="29"/>
        <v>13889.77753</v>
      </c>
      <c r="BW23" s="137">
        <f t="shared" si="29"/>
        <v>14042.56509</v>
      </c>
      <c r="BX23" s="137">
        <f t="shared" si="29"/>
        <v>14197.0333</v>
      </c>
    </row>
    <row r="24" ht="15.75" customHeight="1">
      <c r="A24" s="535" t="s">
        <v>856</v>
      </c>
      <c r="B24" s="543">
        <v>0.0194</v>
      </c>
      <c r="C24" s="132" t="s">
        <v>179</v>
      </c>
      <c r="D24" s="1" t="s">
        <v>180</v>
      </c>
      <c r="E24" s="531">
        <v>10500.0</v>
      </c>
      <c r="F24" s="531">
        <v>10440.0</v>
      </c>
      <c r="G24" s="531">
        <v>6804.0</v>
      </c>
      <c r="H24" s="531">
        <v>3667.0</v>
      </c>
      <c r="I24" s="531">
        <v>3101.0</v>
      </c>
      <c r="J24" s="531">
        <v>2854.0</v>
      </c>
      <c r="K24" s="531">
        <v>2192.0</v>
      </c>
      <c r="L24" s="531">
        <v>1533.0</v>
      </c>
      <c r="M24" s="531">
        <v>1755.0</v>
      </c>
      <c r="N24" s="531">
        <v>4851.0</v>
      </c>
      <c r="O24" s="531">
        <v>12203.0</v>
      </c>
      <c r="P24" s="531">
        <v>18008.0</v>
      </c>
      <c r="Q24" s="531">
        <v>2260.0</v>
      </c>
      <c r="R24" s="531">
        <v>4072.0</v>
      </c>
      <c r="S24" s="531">
        <v>5704.0</v>
      </c>
      <c r="T24" s="531">
        <v>4034.0</v>
      </c>
      <c r="U24" s="531">
        <v>2374.0</v>
      </c>
      <c r="V24" s="531">
        <v>3437.0</v>
      </c>
      <c r="W24" s="531">
        <v>9241.0</v>
      </c>
      <c r="X24" s="531">
        <v>6355.0</v>
      </c>
      <c r="Y24" s="531">
        <v>7150.0</v>
      </c>
      <c r="Z24" s="531">
        <v>4355.0</v>
      </c>
      <c r="AA24" s="531">
        <v>4702.0</v>
      </c>
      <c r="AB24" s="531">
        <v>23129.0</v>
      </c>
      <c r="AC24" s="531">
        <v>4076.0</v>
      </c>
      <c r="AD24" s="531">
        <v>8034.0</v>
      </c>
      <c r="AE24" s="531">
        <v>4289.0</v>
      </c>
      <c r="AF24" s="137">
        <f t="shared" si="19"/>
        <v>5466.333333</v>
      </c>
      <c r="AG24" s="137">
        <f>AF24</f>
        <v>5466.333333</v>
      </c>
      <c r="AH24" s="137">
        <f t="shared" ref="AH24:AK24" si="30">AVERAGE($AC24:$AE24)</f>
        <v>5466.333333</v>
      </c>
      <c r="AI24" s="137">
        <f t="shared" si="30"/>
        <v>5466.333333</v>
      </c>
      <c r="AJ24" s="137">
        <f t="shared" si="30"/>
        <v>5466.333333</v>
      </c>
      <c r="AK24" s="137">
        <f t="shared" si="30"/>
        <v>5466.333333</v>
      </c>
      <c r="AL24" s="137">
        <f t="shared" ref="AL24:AM24" si="31">AL4*$B$24</f>
        <v>16593.16733</v>
      </c>
      <c r="AM24" s="137">
        <f t="shared" si="31"/>
        <v>17037.86421</v>
      </c>
      <c r="AN24" s="137">
        <f>(AN4*$B$24)+521*(72-B10-B19)</f>
        <v>44586.47897</v>
      </c>
      <c r="AO24" s="137">
        <f t="shared" ref="AO24:AQ24" si="32">AO4*$B$24</f>
        <v>17963.33101</v>
      </c>
      <c r="AP24" s="137">
        <f t="shared" si="32"/>
        <v>18444.74828</v>
      </c>
      <c r="AQ24" s="137">
        <f t="shared" si="32"/>
        <v>18939.06754</v>
      </c>
      <c r="AR24" s="137">
        <f>AR4*$B$24+521*(72-B10-B19)</f>
        <v>46409.84889</v>
      </c>
      <c r="AS24" s="137">
        <f t="shared" ref="AS24:AU24" si="33">AS4*$B$24</f>
        <v>19704.20586</v>
      </c>
      <c r="AT24" s="137">
        <f t="shared" si="33"/>
        <v>20098.28998</v>
      </c>
      <c r="AU24" s="137">
        <f t="shared" si="33"/>
        <v>20500.25578</v>
      </c>
      <c r="AV24" s="137">
        <f>AV4*$B$24+521*(72-B10-B19)</f>
        <v>48002.2609</v>
      </c>
      <c r="AW24" s="137">
        <f t="shared" ref="AW24:AY24" si="34">AW4*$B$24</f>
        <v>21328.46611</v>
      </c>
      <c r="AX24" s="137">
        <f t="shared" si="34"/>
        <v>21755.03544</v>
      </c>
      <c r="AY24" s="137">
        <f t="shared" si="34"/>
        <v>22190.13614</v>
      </c>
      <c r="AZ24" s="137">
        <f>AZ4*$B$24+521*(72-B10-B19)</f>
        <v>49725.93887</v>
      </c>
      <c r="BA24" s="137">
        <f t="shared" ref="BA24:BC24" si="35">BA4*$B$24</f>
        <v>23086.61765</v>
      </c>
      <c r="BB24" s="137">
        <f t="shared" si="35"/>
        <v>23548.35</v>
      </c>
      <c r="BC24" s="137">
        <f t="shared" si="35"/>
        <v>24019.317</v>
      </c>
      <c r="BD24" s="137">
        <f>(BD4*$B$24)+521*(72-B10-B19)</f>
        <v>51591.70334</v>
      </c>
      <c r="BE24" s="137">
        <f t="shared" ref="BE24:BG24" si="36">BE4*$B$24</f>
        <v>24989.6974</v>
      </c>
      <c r="BF24" s="137">
        <f t="shared" si="36"/>
        <v>25489.49135</v>
      </c>
      <c r="BG24" s="137">
        <f t="shared" si="36"/>
        <v>25999.28118</v>
      </c>
      <c r="BH24" s="137">
        <f>(BH4*$B$24)+521*(72-B10-B19)</f>
        <v>53611.2668</v>
      </c>
      <c r="BI24" s="137">
        <f t="shared" ref="BI24:BK24" si="37">BI4*$B$24</f>
        <v>27049.65214</v>
      </c>
      <c r="BJ24" s="137">
        <f t="shared" si="37"/>
        <v>27590.64518</v>
      </c>
      <c r="BK24" s="137">
        <f t="shared" si="37"/>
        <v>28142.45809</v>
      </c>
      <c r="BL24" s="137">
        <f>(BL4*$B$24)+521*(72-B10-B19)</f>
        <v>55797.30725</v>
      </c>
      <c r="BM24" s="137">
        <f t="shared" ref="BM24:BO24" si="38">BM4*$B$24</f>
        <v>29279.41339</v>
      </c>
      <c r="BN24" s="137">
        <f t="shared" si="38"/>
        <v>29865.00166</v>
      </c>
      <c r="BO24" s="137">
        <f t="shared" si="38"/>
        <v>30462.30169</v>
      </c>
      <c r="BP24" s="137">
        <f>(BP4*$B$24)+521*(72-B10-B19)</f>
        <v>58163.54773</v>
      </c>
      <c r="BQ24" s="137">
        <f t="shared" ref="BQ24:BS24" si="39">BQ4*$B$24</f>
        <v>31692.97868</v>
      </c>
      <c r="BR24" s="137">
        <f t="shared" si="39"/>
        <v>32326.83826</v>
      </c>
      <c r="BS24" s="137">
        <f t="shared" si="39"/>
        <v>32973.37502</v>
      </c>
      <c r="BT24" s="137">
        <f>(BT4*$B$24)+521*(72-B10-B19)</f>
        <v>60724.84252</v>
      </c>
      <c r="BU24" s="137">
        <f t="shared" ref="BU24:BW24" si="40">BU4*$B$24</f>
        <v>34305.49937</v>
      </c>
      <c r="BV24" s="137">
        <f t="shared" si="40"/>
        <v>34991.60936</v>
      </c>
      <c r="BW24" s="137">
        <f t="shared" si="40"/>
        <v>35691.44155</v>
      </c>
      <c r="BX24" s="137">
        <f>BX4*$B$24+521*(72-B10-B19)</f>
        <v>63497.27038</v>
      </c>
    </row>
    <row r="25" ht="15.75" customHeight="1">
      <c r="A25" s="535" t="s">
        <v>857</v>
      </c>
      <c r="B25" s="543">
        <v>0.021</v>
      </c>
      <c r="C25" s="132" t="s">
        <v>858</v>
      </c>
      <c r="D25" s="1" t="s">
        <v>858</v>
      </c>
      <c r="E25" s="264">
        <v>25469.0</v>
      </c>
      <c r="F25" s="264">
        <v>19149.0</v>
      </c>
      <c r="G25" s="264">
        <v>26872.0</v>
      </c>
      <c r="H25" s="264">
        <v>20340.0</v>
      </c>
      <c r="I25" s="264">
        <v>21116.0</v>
      </c>
      <c r="J25" s="264">
        <v>21446.0</v>
      </c>
      <c r="K25" s="264">
        <v>21218.0</v>
      </c>
      <c r="L25" s="264">
        <v>21748.0</v>
      </c>
      <c r="M25" s="264">
        <v>18370.0</v>
      </c>
      <c r="N25" s="264">
        <v>24883.0</v>
      </c>
      <c r="O25" s="264">
        <v>21369.0</v>
      </c>
      <c r="P25" s="264">
        <v>24356.0</v>
      </c>
      <c r="Q25" s="264">
        <v>23278.0</v>
      </c>
      <c r="R25" s="264">
        <v>26093.0</v>
      </c>
      <c r="S25" s="264">
        <v>26877.0</v>
      </c>
      <c r="T25" s="264">
        <v>21075.0</v>
      </c>
      <c r="U25" s="264">
        <v>24327.0</v>
      </c>
      <c r="V25" s="264">
        <v>26932.0</v>
      </c>
      <c r="W25" s="264">
        <v>24316.0</v>
      </c>
      <c r="X25" s="264">
        <v>26550.0</v>
      </c>
      <c r="Y25" s="264">
        <v>26961.0</v>
      </c>
      <c r="Z25" s="264">
        <v>25102.0</v>
      </c>
      <c r="AA25" s="264">
        <v>28059.0</v>
      </c>
      <c r="AB25" s="264">
        <v>31193.0</v>
      </c>
      <c r="AC25" s="264">
        <v>30404.0</v>
      </c>
      <c r="AD25" s="264">
        <v>31237.0</v>
      </c>
      <c r="AE25" s="264">
        <v>34582.0</v>
      </c>
      <c r="AF25" s="137">
        <f t="shared" si="19"/>
        <v>32074.33333</v>
      </c>
      <c r="AG25" s="137">
        <f t="shared" ref="AG25:BX25" si="41">AF25*(1+$B$25)</f>
        <v>32747.89433</v>
      </c>
      <c r="AH25" s="137">
        <f t="shared" si="41"/>
        <v>33435.60011</v>
      </c>
      <c r="AI25" s="137">
        <f t="shared" si="41"/>
        <v>34137.74772</v>
      </c>
      <c r="AJ25" s="137">
        <f t="shared" si="41"/>
        <v>34854.64042</v>
      </c>
      <c r="AK25" s="137">
        <f t="shared" si="41"/>
        <v>35586.58787</v>
      </c>
      <c r="AL25" s="137">
        <f t="shared" si="41"/>
        <v>36333.90621</v>
      </c>
      <c r="AM25" s="137">
        <f t="shared" si="41"/>
        <v>37096.91824</v>
      </c>
      <c r="AN25" s="137">
        <f t="shared" si="41"/>
        <v>37875.95353</v>
      </c>
      <c r="AO25" s="137">
        <f t="shared" si="41"/>
        <v>38671.34855</v>
      </c>
      <c r="AP25" s="137">
        <f t="shared" si="41"/>
        <v>39483.44687</v>
      </c>
      <c r="AQ25" s="137">
        <f t="shared" si="41"/>
        <v>40312.59925</v>
      </c>
      <c r="AR25" s="137">
        <f t="shared" si="41"/>
        <v>41159.16384</v>
      </c>
      <c r="AS25" s="137">
        <f t="shared" si="41"/>
        <v>42023.50628</v>
      </c>
      <c r="AT25" s="137">
        <f t="shared" si="41"/>
        <v>42905.99991</v>
      </c>
      <c r="AU25" s="137">
        <f t="shared" si="41"/>
        <v>43807.02591</v>
      </c>
      <c r="AV25" s="137">
        <f t="shared" si="41"/>
        <v>44726.97345</v>
      </c>
      <c r="AW25" s="137">
        <f t="shared" si="41"/>
        <v>45666.2399</v>
      </c>
      <c r="AX25" s="137">
        <f t="shared" si="41"/>
        <v>46625.23093</v>
      </c>
      <c r="AY25" s="137">
        <f t="shared" si="41"/>
        <v>47604.36078</v>
      </c>
      <c r="AZ25" s="137">
        <f t="shared" si="41"/>
        <v>48604.05236</v>
      </c>
      <c r="BA25" s="137">
        <f t="shared" si="41"/>
        <v>49624.73746</v>
      </c>
      <c r="BB25" s="137">
        <f t="shared" si="41"/>
        <v>50666.85695</v>
      </c>
      <c r="BC25" s="137">
        <f t="shared" si="41"/>
        <v>51730.86094</v>
      </c>
      <c r="BD25" s="137">
        <f t="shared" si="41"/>
        <v>52817.20902</v>
      </c>
      <c r="BE25" s="137">
        <f t="shared" si="41"/>
        <v>53926.37041</v>
      </c>
      <c r="BF25" s="137">
        <f t="shared" si="41"/>
        <v>55058.82419</v>
      </c>
      <c r="BG25" s="137">
        <f t="shared" si="41"/>
        <v>56215.0595</v>
      </c>
      <c r="BH25" s="137">
        <f t="shared" si="41"/>
        <v>57395.57575</v>
      </c>
      <c r="BI25" s="137">
        <f t="shared" si="41"/>
        <v>58600.88284</v>
      </c>
      <c r="BJ25" s="137">
        <f t="shared" si="41"/>
        <v>59831.50138</v>
      </c>
      <c r="BK25" s="137">
        <f t="shared" si="41"/>
        <v>61087.96291</v>
      </c>
      <c r="BL25" s="137">
        <f t="shared" si="41"/>
        <v>62370.81013</v>
      </c>
      <c r="BM25" s="137">
        <f t="shared" si="41"/>
        <v>63680.59714</v>
      </c>
      <c r="BN25" s="137">
        <f t="shared" si="41"/>
        <v>65017.88968</v>
      </c>
      <c r="BO25" s="137">
        <f t="shared" si="41"/>
        <v>66383.26536</v>
      </c>
      <c r="BP25" s="137">
        <f t="shared" si="41"/>
        <v>67777.31394</v>
      </c>
      <c r="BQ25" s="137">
        <f t="shared" si="41"/>
        <v>69200.63753</v>
      </c>
      <c r="BR25" s="137">
        <f t="shared" si="41"/>
        <v>70653.85092</v>
      </c>
      <c r="BS25" s="137">
        <f t="shared" si="41"/>
        <v>72137.58179</v>
      </c>
      <c r="BT25" s="137">
        <f t="shared" si="41"/>
        <v>73652.471</v>
      </c>
      <c r="BU25" s="137">
        <f t="shared" si="41"/>
        <v>75199.17289</v>
      </c>
      <c r="BV25" s="137">
        <f t="shared" si="41"/>
        <v>76778.35553</v>
      </c>
      <c r="BW25" s="137">
        <f t="shared" si="41"/>
        <v>78390.70099</v>
      </c>
      <c r="BX25" s="137">
        <f t="shared" si="41"/>
        <v>80036.90571</v>
      </c>
    </row>
    <row r="26" ht="15.75" customHeight="1">
      <c r="A26" s="537" t="s">
        <v>859</v>
      </c>
      <c r="B26" s="544">
        <v>0.005</v>
      </c>
      <c r="C26" s="132" t="s">
        <v>72</v>
      </c>
      <c r="D26" s="1" t="s">
        <v>113</v>
      </c>
      <c r="E26" s="264">
        <v>9806.0</v>
      </c>
      <c r="F26" s="264">
        <v>19258.0</v>
      </c>
      <c r="G26" s="264">
        <v>-1037.0</v>
      </c>
      <c r="H26" s="264">
        <v>26454.0</v>
      </c>
      <c r="I26" s="264">
        <v>2927.0</v>
      </c>
      <c r="J26" s="264">
        <v>18326.0</v>
      </c>
      <c r="K26" s="264">
        <v>2849.0</v>
      </c>
      <c r="L26" s="264">
        <v>16986.0</v>
      </c>
      <c r="M26" s="264">
        <v>16249.0</v>
      </c>
      <c r="N26" s="264">
        <v>10120.0</v>
      </c>
      <c r="O26" s="264">
        <v>11376.0</v>
      </c>
      <c r="P26" s="264">
        <v>11795.0</v>
      </c>
      <c r="Q26" s="264">
        <v>15738.0</v>
      </c>
      <c r="R26" s="264">
        <v>8376.0</v>
      </c>
      <c r="S26" s="264">
        <v>7668.0</v>
      </c>
      <c r="T26" s="264">
        <v>44047.0</v>
      </c>
      <c r="U26" s="264">
        <v>4023.0</v>
      </c>
      <c r="V26" s="264">
        <v>20052.0</v>
      </c>
      <c r="W26" s="264">
        <v>5727.0</v>
      </c>
      <c r="X26" s="264">
        <v>4371.0</v>
      </c>
      <c r="Y26" s="264">
        <v>20009.0</v>
      </c>
      <c r="Z26" s="264">
        <v>7248.0</v>
      </c>
      <c r="AA26" s="264">
        <v>22021.0</v>
      </c>
      <c r="AB26" s="264">
        <v>9156.0</v>
      </c>
      <c r="AC26" s="264">
        <v>9771.0</v>
      </c>
      <c r="AD26" s="264">
        <v>8647.0</v>
      </c>
      <c r="AE26" s="264">
        <v>14730.0</v>
      </c>
      <c r="AF26" s="137">
        <f t="shared" si="19"/>
        <v>11049.33333</v>
      </c>
      <c r="AG26" s="137">
        <f t="shared" ref="AG26:BX26" si="42">AF26+(1+$B$26)</f>
        <v>11050.33833</v>
      </c>
      <c r="AH26" s="137">
        <f t="shared" si="42"/>
        <v>11051.34333</v>
      </c>
      <c r="AI26" s="137">
        <f t="shared" si="42"/>
        <v>11052.34833</v>
      </c>
      <c r="AJ26" s="137">
        <f t="shared" si="42"/>
        <v>11053.35333</v>
      </c>
      <c r="AK26" s="137">
        <f t="shared" si="42"/>
        <v>11054.35833</v>
      </c>
      <c r="AL26" s="137">
        <f t="shared" si="42"/>
        <v>11055.36333</v>
      </c>
      <c r="AM26" s="137">
        <f t="shared" si="42"/>
        <v>11056.36833</v>
      </c>
      <c r="AN26" s="137">
        <f t="shared" si="42"/>
        <v>11057.37333</v>
      </c>
      <c r="AO26" s="137">
        <f t="shared" si="42"/>
        <v>11058.37833</v>
      </c>
      <c r="AP26" s="137">
        <f t="shared" si="42"/>
        <v>11059.38333</v>
      </c>
      <c r="AQ26" s="137">
        <f t="shared" si="42"/>
        <v>11060.38833</v>
      </c>
      <c r="AR26" s="137">
        <f t="shared" si="42"/>
        <v>11061.39333</v>
      </c>
      <c r="AS26" s="137">
        <f t="shared" si="42"/>
        <v>11062.39833</v>
      </c>
      <c r="AT26" s="137">
        <f t="shared" si="42"/>
        <v>11063.40333</v>
      </c>
      <c r="AU26" s="137">
        <f t="shared" si="42"/>
        <v>11064.40833</v>
      </c>
      <c r="AV26" s="137">
        <f t="shared" si="42"/>
        <v>11065.41333</v>
      </c>
      <c r="AW26" s="137">
        <f t="shared" si="42"/>
        <v>11066.41833</v>
      </c>
      <c r="AX26" s="137">
        <f t="shared" si="42"/>
        <v>11067.42333</v>
      </c>
      <c r="AY26" s="137">
        <f t="shared" si="42"/>
        <v>11068.42833</v>
      </c>
      <c r="AZ26" s="137">
        <f t="shared" si="42"/>
        <v>11069.43333</v>
      </c>
      <c r="BA26" s="137">
        <f t="shared" si="42"/>
        <v>11070.43833</v>
      </c>
      <c r="BB26" s="137">
        <f t="shared" si="42"/>
        <v>11071.44333</v>
      </c>
      <c r="BC26" s="137">
        <f t="shared" si="42"/>
        <v>11072.44833</v>
      </c>
      <c r="BD26" s="137">
        <f t="shared" si="42"/>
        <v>11073.45333</v>
      </c>
      <c r="BE26" s="137">
        <f t="shared" si="42"/>
        <v>11074.45833</v>
      </c>
      <c r="BF26" s="137">
        <f t="shared" si="42"/>
        <v>11075.46333</v>
      </c>
      <c r="BG26" s="137">
        <f t="shared" si="42"/>
        <v>11076.46833</v>
      </c>
      <c r="BH26" s="137">
        <f t="shared" si="42"/>
        <v>11077.47333</v>
      </c>
      <c r="BI26" s="137">
        <f t="shared" si="42"/>
        <v>11078.47833</v>
      </c>
      <c r="BJ26" s="137">
        <f t="shared" si="42"/>
        <v>11079.48333</v>
      </c>
      <c r="BK26" s="137">
        <f t="shared" si="42"/>
        <v>11080.48833</v>
      </c>
      <c r="BL26" s="137">
        <f t="shared" si="42"/>
        <v>11081.49333</v>
      </c>
      <c r="BM26" s="137">
        <f t="shared" si="42"/>
        <v>11082.49833</v>
      </c>
      <c r="BN26" s="137">
        <f t="shared" si="42"/>
        <v>11083.50333</v>
      </c>
      <c r="BO26" s="137">
        <f t="shared" si="42"/>
        <v>11084.50833</v>
      </c>
      <c r="BP26" s="137">
        <f t="shared" si="42"/>
        <v>11085.51333</v>
      </c>
      <c r="BQ26" s="137">
        <f t="shared" si="42"/>
        <v>11086.51833</v>
      </c>
      <c r="BR26" s="137">
        <f t="shared" si="42"/>
        <v>11087.52333</v>
      </c>
      <c r="BS26" s="137">
        <f t="shared" si="42"/>
        <v>11088.52833</v>
      </c>
      <c r="BT26" s="137">
        <f t="shared" si="42"/>
        <v>11089.53333</v>
      </c>
      <c r="BU26" s="137">
        <f t="shared" si="42"/>
        <v>11090.53833</v>
      </c>
      <c r="BV26" s="137">
        <f t="shared" si="42"/>
        <v>11091.54333</v>
      </c>
      <c r="BW26" s="137">
        <f t="shared" si="42"/>
        <v>11092.54833</v>
      </c>
      <c r="BX26" s="137">
        <f t="shared" si="42"/>
        <v>11093.55333</v>
      </c>
    </row>
    <row r="27" ht="15.75" customHeight="1">
      <c r="B27" s="4"/>
      <c r="C27" s="4"/>
      <c r="D27" s="272" t="s">
        <v>114</v>
      </c>
      <c r="E27" s="357">
        <f t="shared" ref="E27:BX27" si="43">SUM(E19:E26)</f>
        <v>184854</v>
      </c>
      <c r="F27" s="357">
        <f t="shared" si="43"/>
        <v>191766</v>
      </c>
      <c r="G27" s="357">
        <f t="shared" si="43"/>
        <v>153024</v>
      </c>
      <c r="H27" s="357">
        <f t="shared" si="43"/>
        <v>192719</v>
      </c>
      <c r="I27" s="357">
        <f t="shared" si="43"/>
        <v>177399</v>
      </c>
      <c r="J27" s="357">
        <f t="shared" si="43"/>
        <v>220635</v>
      </c>
      <c r="K27" s="357">
        <f t="shared" si="43"/>
        <v>193126</v>
      </c>
      <c r="L27" s="357">
        <f t="shared" si="43"/>
        <v>208986</v>
      </c>
      <c r="M27" s="357">
        <f t="shared" si="43"/>
        <v>198411</v>
      </c>
      <c r="N27" s="357">
        <f t="shared" si="43"/>
        <v>201170</v>
      </c>
      <c r="O27" s="357">
        <f t="shared" si="43"/>
        <v>254668</v>
      </c>
      <c r="P27" s="357">
        <f t="shared" si="43"/>
        <v>263647</v>
      </c>
      <c r="Q27" s="357">
        <f t="shared" si="43"/>
        <v>232107</v>
      </c>
      <c r="R27" s="357">
        <f t="shared" si="43"/>
        <v>208893</v>
      </c>
      <c r="S27" s="357">
        <f t="shared" si="43"/>
        <v>197807</v>
      </c>
      <c r="T27" s="357">
        <f t="shared" si="43"/>
        <v>240625</v>
      </c>
      <c r="U27" s="357">
        <f t="shared" si="43"/>
        <v>201667</v>
      </c>
      <c r="V27" s="357">
        <f t="shared" si="43"/>
        <v>223075</v>
      </c>
      <c r="W27" s="357">
        <f t="shared" si="43"/>
        <v>224537</v>
      </c>
      <c r="X27" s="357">
        <f t="shared" si="43"/>
        <v>252315</v>
      </c>
      <c r="Y27" s="357">
        <f t="shared" si="43"/>
        <v>245421</v>
      </c>
      <c r="Z27" s="357">
        <f t="shared" si="43"/>
        <v>259906</v>
      </c>
      <c r="AA27" s="357">
        <f t="shared" si="43"/>
        <v>258964</v>
      </c>
      <c r="AB27" s="357">
        <f t="shared" si="43"/>
        <v>251313</v>
      </c>
      <c r="AC27" s="357">
        <f t="shared" si="43"/>
        <v>233970</v>
      </c>
      <c r="AD27" s="357">
        <f t="shared" si="43"/>
        <v>229180</v>
      </c>
      <c r="AE27" s="357">
        <f t="shared" si="43"/>
        <v>256613</v>
      </c>
      <c r="AF27" s="357">
        <f t="shared" si="43"/>
        <v>239921</v>
      </c>
      <c r="AG27" s="357">
        <f t="shared" si="43"/>
        <v>242378.1563</v>
      </c>
      <c r="AH27" s="357">
        <f t="shared" si="43"/>
        <v>244872.411</v>
      </c>
      <c r="AI27" s="357">
        <f t="shared" si="43"/>
        <v>247404.357</v>
      </c>
      <c r="AJ27" s="357">
        <f t="shared" si="43"/>
        <v>249974.5974</v>
      </c>
      <c r="AK27" s="357">
        <f t="shared" si="43"/>
        <v>252583.7456</v>
      </c>
      <c r="AL27" s="357">
        <f t="shared" si="43"/>
        <v>200396.2663</v>
      </c>
      <c r="AM27" s="357">
        <f t="shared" si="43"/>
        <v>203315.25</v>
      </c>
      <c r="AN27" s="357">
        <f t="shared" si="43"/>
        <v>233381.0749</v>
      </c>
      <c r="AO27" s="357">
        <f t="shared" si="43"/>
        <v>209318.8842</v>
      </c>
      <c r="AP27" s="357">
        <f t="shared" si="43"/>
        <v>212405.847</v>
      </c>
      <c r="AQ27" s="357">
        <f t="shared" si="43"/>
        <v>216182.8528</v>
      </c>
      <c r="AR27" s="357">
        <f t="shared" si="43"/>
        <v>246890.637</v>
      </c>
      <c r="AS27" s="357">
        <f t="shared" si="43"/>
        <v>223485.3039</v>
      </c>
      <c r="AT27" s="357">
        <f t="shared" si="43"/>
        <v>227244.2677</v>
      </c>
      <c r="AU27" s="357">
        <f t="shared" si="43"/>
        <v>231076.9713</v>
      </c>
      <c r="AV27" s="357">
        <f t="shared" si="43"/>
        <v>262076.8865</v>
      </c>
      <c r="AW27" s="357">
        <f t="shared" si="43"/>
        <v>238969.5145</v>
      </c>
      <c r="AX27" s="357">
        <f t="shared" si="43"/>
        <v>243032.3871</v>
      </c>
      <c r="AY27" s="357">
        <f t="shared" si="43"/>
        <v>247170.4239</v>
      </c>
      <c r="AZ27" s="357">
        <f t="shared" si="43"/>
        <v>278481.8105</v>
      </c>
      <c r="BA27" s="357">
        <f t="shared" si="43"/>
        <v>255692.1723</v>
      </c>
      <c r="BB27" s="357">
        <f t="shared" si="43"/>
        <v>245643.9176</v>
      </c>
      <c r="BC27" s="357">
        <f t="shared" si="43"/>
        <v>250117.2378</v>
      </c>
      <c r="BD27" s="357">
        <f t="shared" si="43"/>
        <v>281770.6086</v>
      </c>
      <c r="BE27" s="357">
        <f t="shared" si="43"/>
        <v>259329.7903</v>
      </c>
      <c r="BF27" s="357">
        <f t="shared" si="43"/>
        <v>264072.5788</v>
      </c>
      <c r="BG27" s="357">
        <f t="shared" si="43"/>
        <v>268908.8061</v>
      </c>
      <c r="BH27" s="357">
        <f t="shared" si="43"/>
        <v>300932.341</v>
      </c>
      <c r="BI27" s="357">
        <f t="shared" si="43"/>
        <v>278869.09</v>
      </c>
      <c r="BJ27" s="357">
        <f t="shared" si="43"/>
        <v>283996.9983</v>
      </c>
      <c r="BK27" s="357">
        <f t="shared" si="43"/>
        <v>289226.0498</v>
      </c>
      <c r="BL27" s="357">
        <f t="shared" si="43"/>
        <v>321650.2688</v>
      </c>
      <c r="BM27" s="357">
        <f t="shared" si="43"/>
        <v>299995.72</v>
      </c>
      <c r="BN27" s="357">
        <f t="shared" si="43"/>
        <v>305540.5102</v>
      </c>
      <c r="BO27" s="357">
        <f t="shared" si="43"/>
        <v>311194.7882</v>
      </c>
      <c r="BP27" s="357">
        <f t="shared" si="43"/>
        <v>344052.7464</v>
      </c>
      <c r="BQ27" s="357">
        <f t="shared" si="43"/>
        <v>322840.6212</v>
      </c>
      <c r="BR27" s="357">
        <f t="shared" si="43"/>
        <v>328836.6943</v>
      </c>
      <c r="BS27" s="357">
        <f t="shared" si="43"/>
        <v>334951.2931</v>
      </c>
      <c r="BT27" s="357">
        <f t="shared" si="43"/>
        <v>368278.7923</v>
      </c>
      <c r="BU27" s="357">
        <f t="shared" si="43"/>
        <v>347545.6141</v>
      </c>
      <c r="BV27" s="357">
        <f t="shared" si="43"/>
        <v>354030.2298</v>
      </c>
      <c r="BW27" s="357">
        <f t="shared" si="43"/>
        <v>360643.1604</v>
      </c>
      <c r="BX27" s="357">
        <f t="shared" si="43"/>
        <v>394478.9779</v>
      </c>
    </row>
    <row r="28" ht="15.75" customHeight="1">
      <c r="D28" s="1" t="s">
        <v>851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266">
        <v>0.013</v>
      </c>
      <c r="AH28" s="266">
        <v>0.013</v>
      </c>
      <c r="AI28" s="266">
        <v>0.013</v>
      </c>
      <c r="AJ28" s="266">
        <v>0.013</v>
      </c>
      <c r="AK28" s="266">
        <v>0.013</v>
      </c>
      <c r="AL28" s="266">
        <v>0.013</v>
      </c>
      <c r="AM28" s="266">
        <v>0.013</v>
      </c>
      <c r="AN28" s="266">
        <v>0.013</v>
      </c>
      <c r="AO28" s="266">
        <v>0.013</v>
      </c>
      <c r="AP28" s="266">
        <v>0.013</v>
      </c>
      <c r="AQ28" s="266">
        <v>0.02</v>
      </c>
      <c r="AR28" s="266">
        <f t="shared" ref="AR28:BX28" si="44">AQ28</f>
        <v>0.02</v>
      </c>
      <c r="AS28" s="266">
        <f t="shared" si="44"/>
        <v>0.02</v>
      </c>
      <c r="AT28" s="266">
        <f t="shared" si="44"/>
        <v>0.02</v>
      </c>
      <c r="AU28" s="266">
        <f t="shared" si="44"/>
        <v>0.02</v>
      </c>
      <c r="AV28" s="266">
        <f t="shared" si="44"/>
        <v>0.02</v>
      </c>
      <c r="AW28" s="266">
        <f t="shared" si="44"/>
        <v>0.02</v>
      </c>
      <c r="AX28" s="266">
        <f t="shared" si="44"/>
        <v>0.02</v>
      </c>
      <c r="AY28" s="266">
        <f t="shared" si="44"/>
        <v>0.02</v>
      </c>
      <c r="AZ28" s="266">
        <f t="shared" si="44"/>
        <v>0.02</v>
      </c>
      <c r="BA28" s="266">
        <f t="shared" si="44"/>
        <v>0.02</v>
      </c>
      <c r="BB28" s="266">
        <f t="shared" si="44"/>
        <v>0.02</v>
      </c>
      <c r="BC28" s="266">
        <f t="shared" si="44"/>
        <v>0.02</v>
      </c>
      <c r="BD28" s="266">
        <f t="shared" si="44"/>
        <v>0.02</v>
      </c>
      <c r="BE28" s="266">
        <f t="shared" si="44"/>
        <v>0.02</v>
      </c>
      <c r="BF28" s="266">
        <f t="shared" si="44"/>
        <v>0.02</v>
      </c>
      <c r="BG28" s="266">
        <f t="shared" si="44"/>
        <v>0.02</v>
      </c>
      <c r="BH28" s="266">
        <f t="shared" si="44"/>
        <v>0.02</v>
      </c>
      <c r="BI28" s="266">
        <f t="shared" si="44"/>
        <v>0.02</v>
      </c>
      <c r="BJ28" s="266">
        <f t="shared" si="44"/>
        <v>0.02</v>
      </c>
      <c r="BK28" s="266">
        <f t="shared" si="44"/>
        <v>0.02</v>
      </c>
      <c r="BL28" s="266">
        <f t="shared" si="44"/>
        <v>0.02</v>
      </c>
      <c r="BM28" s="266">
        <f t="shared" si="44"/>
        <v>0.02</v>
      </c>
      <c r="BN28" s="266">
        <f t="shared" si="44"/>
        <v>0.02</v>
      </c>
      <c r="BO28" s="266">
        <f t="shared" si="44"/>
        <v>0.02</v>
      </c>
      <c r="BP28" s="266">
        <f t="shared" si="44"/>
        <v>0.02</v>
      </c>
      <c r="BQ28" s="266">
        <f t="shared" si="44"/>
        <v>0.02</v>
      </c>
      <c r="BR28" s="266">
        <f t="shared" si="44"/>
        <v>0.02</v>
      </c>
      <c r="BS28" s="266">
        <f t="shared" si="44"/>
        <v>0.02</v>
      </c>
      <c r="BT28" s="266">
        <f t="shared" si="44"/>
        <v>0.02</v>
      </c>
      <c r="BU28" s="266">
        <f t="shared" si="44"/>
        <v>0.02</v>
      </c>
      <c r="BV28" s="266">
        <f t="shared" si="44"/>
        <v>0.02</v>
      </c>
      <c r="BW28" s="266">
        <f t="shared" si="44"/>
        <v>0.02</v>
      </c>
      <c r="BX28" s="266">
        <f t="shared" si="44"/>
        <v>0.02</v>
      </c>
    </row>
    <row r="29" ht="15.75" customHeight="1">
      <c r="E29" s="545"/>
      <c r="F29" s="545"/>
      <c r="G29" s="545"/>
      <c r="H29" s="545"/>
      <c r="I29" s="545"/>
      <c r="J29" s="545"/>
      <c r="K29" s="545"/>
      <c r="L29" s="545"/>
      <c r="M29" s="545"/>
      <c r="N29" s="545"/>
      <c r="O29" s="545"/>
      <c r="P29" s="545"/>
      <c r="Q29" s="545"/>
      <c r="R29" s="545"/>
      <c r="S29" s="545"/>
      <c r="T29" s="545"/>
      <c r="U29" s="545"/>
      <c r="V29" s="545"/>
      <c r="W29" s="545"/>
      <c r="X29" s="545"/>
      <c r="Y29" s="545"/>
      <c r="Z29" s="545"/>
      <c r="AA29" s="545"/>
      <c r="AB29" s="545"/>
      <c r="AC29" s="545"/>
      <c r="AD29" s="545"/>
      <c r="AE29" s="545"/>
      <c r="AF29" s="5"/>
      <c r="AG29" s="5"/>
    </row>
    <row r="30" ht="15.75" customHeight="1">
      <c r="B30" s="4"/>
      <c r="C30" s="4"/>
      <c r="D30" s="134" t="s">
        <v>106</v>
      </c>
      <c r="E30" s="539">
        <f t="shared" ref="E30:BX30" si="45">E16-E27</f>
        <v>133528</v>
      </c>
      <c r="F30" s="539">
        <f t="shared" si="45"/>
        <v>175678</v>
      </c>
      <c r="G30" s="539">
        <f t="shared" si="45"/>
        <v>205856</v>
      </c>
      <c r="H30" s="539">
        <f t="shared" si="45"/>
        <v>52048</v>
      </c>
      <c r="I30" s="539">
        <f t="shared" si="45"/>
        <v>75340</v>
      </c>
      <c r="J30" s="539">
        <f t="shared" si="45"/>
        <v>96108</v>
      </c>
      <c r="K30" s="539">
        <f t="shared" si="45"/>
        <v>67100</v>
      </c>
      <c r="L30" s="539">
        <f t="shared" si="45"/>
        <v>21182</v>
      </c>
      <c r="M30" s="539">
        <f t="shared" si="45"/>
        <v>94523</v>
      </c>
      <c r="N30" s="539">
        <f t="shared" si="45"/>
        <v>124165</v>
      </c>
      <c r="O30" s="539">
        <f t="shared" si="45"/>
        <v>92553</v>
      </c>
      <c r="P30" s="539">
        <f t="shared" si="45"/>
        <v>72792</v>
      </c>
      <c r="Q30" s="539">
        <f t="shared" si="45"/>
        <v>660841</v>
      </c>
      <c r="R30" s="539">
        <f t="shared" si="45"/>
        <v>152526</v>
      </c>
      <c r="S30" s="539">
        <f t="shared" si="45"/>
        <v>106654</v>
      </c>
      <c r="T30" s="539">
        <f t="shared" si="45"/>
        <v>12086</v>
      </c>
      <c r="U30" s="539">
        <f t="shared" si="45"/>
        <v>59894</v>
      </c>
      <c r="V30" s="539">
        <f t="shared" si="45"/>
        <v>64134</v>
      </c>
      <c r="W30" s="539">
        <f t="shared" si="45"/>
        <v>53536</v>
      </c>
      <c r="X30" s="539">
        <f t="shared" si="45"/>
        <v>106101</v>
      </c>
      <c r="Y30" s="539">
        <f t="shared" si="45"/>
        <v>14046</v>
      </c>
      <c r="Z30" s="539">
        <f t="shared" si="45"/>
        <v>58297</v>
      </c>
      <c r="AA30" s="539">
        <f t="shared" si="45"/>
        <v>42861</v>
      </c>
      <c r="AB30" s="539">
        <f t="shared" si="45"/>
        <v>168339</v>
      </c>
      <c r="AC30" s="539">
        <f t="shared" si="45"/>
        <v>86921</v>
      </c>
      <c r="AD30" s="539">
        <f t="shared" si="45"/>
        <v>29997</v>
      </c>
      <c r="AE30" s="539">
        <f t="shared" si="45"/>
        <v>-1280</v>
      </c>
      <c r="AF30" s="539">
        <f t="shared" si="45"/>
        <v>13025.844</v>
      </c>
      <c r="AG30" s="539">
        <f t="shared" si="45"/>
        <v>17425.48825</v>
      </c>
      <c r="AH30" s="539">
        <f t="shared" si="45"/>
        <v>21924.03648</v>
      </c>
      <c r="AI30" s="539">
        <f t="shared" si="45"/>
        <v>26523.45103</v>
      </c>
      <c r="AJ30" s="539">
        <f t="shared" si="45"/>
        <v>31225.73062</v>
      </c>
      <c r="AK30" s="539">
        <f t="shared" si="45"/>
        <v>36032.91099</v>
      </c>
      <c r="AL30" s="539">
        <f t="shared" si="45"/>
        <v>232287.0565</v>
      </c>
      <c r="AM30" s="539">
        <f t="shared" si="45"/>
        <v>245733.1444</v>
      </c>
      <c r="AN30" s="539">
        <f t="shared" si="45"/>
        <v>232532.9743</v>
      </c>
      <c r="AO30" s="539">
        <f t="shared" si="45"/>
        <v>273975.6243</v>
      </c>
      <c r="AP30" s="539">
        <f t="shared" si="45"/>
        <v>288798.5386</v>
      </c>
      <c r="AQ30" s="539">
        <f t="shared" si="45"/>
        <v>303475.8433</v>
      </c>
      <c r="AR30" s="539">
        <f t="shared" si="45"/>
        <v>285741.7573</v>
      </c>
      <c r="AS30" s="539">
        <f t="shared" si="45"/>
        <v>322413.8095</v>
      </c>
      <c r="AT30" s="539">
        <f t="shared" si="45"/>
        <v>332220.8819</v>
      </c>
      <c r="AU30" s="539">
        <f t="shared" si="45"/>
        <v>342259.9601</v>
      </c>
      <c r="AV30" s="539">
        <f t="shared" si="45"/>
        <v>325444.1345</v>
      </c>
      <c r="AW30" s="539">
        <f t="shared" si="45"/>
        <v>363054.6034</v>
      </c>
      <c r="AX30" s="539">
        <f t="shared" si="45"/>
        <v>373820.6745</v>
      </c>
      <c r="AY30" s="539">
        <f t="shared" si="45"/>
        <v>384844.4103</v>
      </c>
      <c r="AZ30" s="539">
        <f t="shared" si="45"/>
        <v>369034.753</v>
      </c>
      <c r="BA30" s="539">
        <f t="shared" si="45"/>
        <v>407673.3536</v>
      </c>
      <c r="BB30" s="539">
        <f t="shared" si="45"/>
        <v>433925.2323</v>
      </c>
      <c r="BC30" s="539">
        <f t="shared" si="45"/>
        <v>446017.7805</v>
      </c>
      <c r="BD30" s="539">
        <f t="shared" si="45"/>
        <v>431300.2639</v>
      </c>
      <c r="BE30" s="539">
        <f t="shared" si="45"/>
        <v>471054.8244</v>
      </c>
      <c r="BF30" s="539">
        <f t="shared" si="45"/>
        <v>484011.7332</v>
      </c>
      <c r="BG30" s="539">
        <f t="shared" si="45"/>
        <v>497269.3933</v>
      </c>
      <c r="BH30" s="539">
        <f t="shared" si="45"/>
        <v>483742.3421</v>
      </c>
      <c r="BI30" s="539">
        <f t="shared" si="45"/>
        <v>524713.2543</v>
      </c>
      <c r="BJ30" s="539">
        <f t="shared" si="45"/>
        <v>538912.9448</v>
      </c>
      <c r="BK30" s="539">
        <f t="shared" si="45"/>
        <v>553440.3713</v>
      </c>
      <c r="BL30" s="539">
        <f t="shared" si="45"/>
        <v>541210.6376</v>
      </c>
      <c r="BM30" s="539">
        <f t="shared" si="45"/>
        <v>583506.9963</v>
      </c>
      <c r="BN30" s="539">
        <f t="shared" si="45"/>
        <v>599060.852</v>
      </c>
      <c r="BO30" s="539">
        <f t="shared" si="45"/>
        <v>614971.7645</v>
      </c>
      <c r="BP30" s="539">
        <f t="shared" si="45"/>
        <v>604155.4517</v>
      </c>
      <c r="BQ30" s="539">
        <f t="shared" si="45"/>
        <v>647895.7933</v>
      </c>
      <c r="BR30" s="539">
        <f t="shared" si="45"/>
        <v>664924.8337</v>
      </c>
      <c r="BS30" s="539">
        <f t="shared" si="45"/>
        <v>682342.7856</v>
      </c>
      <c r="BT30" s="539">
        <f t="shared" si="45"/>
        <v>673066.0333</v>
      </c>
      <c r="BU30" s="539">
        <f t="shared" si="45"/>
        <v>718379.1366</v>
      </c>
      <c r="BV30" s="539">
        <f t="shared" si="45"/>
        <v>737014.8338</v>
      </c>
      <c r="BW30" s="539">
        <f t="shared" si="45"/>
        <v>756074.046</v>
      </c>
      <c r="BX30" s="539">
        <f t="shared" si="45"/>
        <v>748473.8804</v>
      </c>
    </row>
    <row r="31" ht="15.75" customHeight="1">
      <c r="D31" s="136" t="s">
        <v>181</v>
      </c>
      <c r="E31" s="269">
        <f t="shared" ref="E31:BX31" si="46">E30/E6</f>
        <v>0.1939424221</v>
      </c>
      <c r="F31" s="269">
        <f t="shared" si="46"/>
        <v>0.2496415483</v>
      </c>
      <c r="G31" s="269">
        <f t="shared" si="46"/>
        <v>0.2954564048</v>
      </c>
      <c r="H31" s="269">
        <f t="shared" si="46"/>
        <v>0.08512684469</v>
      </c>
      <c r="I31" s="269">
        <f t="shared" si="46"/>
        <v>0.1250197055</v>
      </c>
      <c r="J31" s="269">
        <f t="shared" si="46"/>
        <v>0.1549132091</v>
      </c>
      <c r="K31" s="269">
        <f t="shared" si="46"/>
        <v>0.1129555467</v>
      </c>
      <c r="L31" s="269">
        <f t="shared" si="46"/>
        <v>0.03825965703</v>
      </c>
      <c r="M31" s="269">
        <f t="shared" si="46"/>
        <v>0.1506921383</v>
      </c>
      <c r="N31" s="269">
        <f t="shared" si="46"/>
        <v>0.1837869602</v>
      </c>
      <c r="O31" s="269">
        <f t="shared" si="46"/>
        <v>0.1333551382</v>
      </c>
      <c r="P31" s="269">
        <f t="shared" si="46"/>
        <v>0.1037048645</v>
      </c>
      <c r="Q31" s="269">
        <f t="shared" si="46"/>
        <v>0.5193922984</v>
      </c>
      <c r="R31" s="269">
        <f t="shared" si="46"/>
        <v>0.2015367032</v>
      </c>
      <c r="S31" s="269">
        <f t="shared" si="46"/>
        <v>0.1538048878</v>
      </c>
      <c r="T31" s="269">
        <f t="shared" si="46"/>
        <v>0.01850873445</v>
      </c>
      <c r="U31" s="269">
        <f t="shared" si="46"/>
        <v>0.09119881354</v>
      </c>
      <c r="V31" s="269">
        <f t="shared" si="46"/>
        <v>0.09461147983</v>
      </c>
      <c r="W31" s="269">
        <f t="shared" si="46"/>
        <v>0.07754963098</v>
      </c>
      <c r="X31" s="269">
        <f t="shared" si="46"/>
        <v>0.1453780891</v>
      </c>
      <c r="Y31" s="269">
        <f t="shared" si="46"/>
        <v>0.02044532557</v>
      </c>
      <c r="Z31" s="269">
        <f t="shared" si="46"/>
        <v>0.07840465879</v>
      </c>
      <c r="AA31" s="269">
        <f t="shared" si="46"/>
        <v>0.05623083755</v>
      </c>
      <c r="AB31" s="269">
        <f t="shared" si="46"/>
        <v>0.1899525624</v>
      </c>
      <c r="AC31" s="269">
        <f t="shared" si="46"/>
        <v>0.1081059904</v>
      </c>
      <c r="AD31" s="269">
        <f t="shared" si="46"/>
        <v>0.03984607251</v>
      </c>
      <c r="AE31" s="269">
        <f t="shared" si="46"/>
        <v>-0.001772963689</v>
      </c>
      <c r="AF31" s="269">
        <f t="shared" si="46"/>
        <v>0.01774435455</v>
      </c>
      <c r="AG31" s="269">
        <f t="shared" si="46"/>
        <v>0.02334553075</v>
      </c>
      <c r="AH31" s="269">
        <f t="shared" si="46"/>
        <v>0.0288870887</v>
      </c>
      <c r="AI31" s="269">
        <f t="shared" si="46"/>
        <v>0.03436985911</v>
      </c>
      <c r="AJ31" s="269">
        <f t="shared" si="46"/>
        <v>0.03979465946</v>
      </c>
      <c r="AK31" s="269">
        <f t="shared" si="46"/>
        <v>0.04516229416</v>
      </c>
      <c r="AL31" s="269">
        <f t="shared" si="46"/>
        <v>0.2835409544</v>
      </c>
      <c r="AM31" s="269">
        <f t="shared" si="46"/>
        <v>0.2921249588</v>
      </c>
      <c r="AN31" s="269">
        <f t="shared" si="46"/>
        <v>0.269217702</v>
      </c>
      <c r="AO31" s="269">
        <f t="shared" si="46"/>
        <v>0.3089193636</v>
      </c>
      <c r="AP31" s="269">
        <f t="shared" si="46"/>
        <v>0.3171336584</v>
      </c>
      <c r="AQ31" s="269">
        <f t="shared" si="46"/>
        <v>0.324552989</v>
      </c>
      <c r="AR31" s="269">
        <f t="shared" si="46"/>
        <v>0.2995953206</v>
      </c>
      <c r="AS31" s="269">
        <f t="shared" si="46"/>
        <v>0.3314169969</v>
      </c>
      <c r="AT31" s="269">
        <f t="shared" si="46"/>
        <v>0.3348018875</v>
      </c>
      <c r="AU31" s="269">
        <f t="shared" si="46"/>
        <v>0.3381558418</v>
      </c>
      <c r="AV31" s="269">
        <f t="shared" si="46"/>
        <v>0.3152369203</v>
      </c>
      <c r="AW31" s="269">
        <f t="shared" si="46"/>
        <v>0.3447723297</v>
      </c>
      <c r="AX31" s="269">
        <f t="shared" si="46"/>
        <v>0.3480355448</v>
      </c>
      <c r="AY31" s="269">
        <f t="shared" si="46"/>
        <v>0.351273425</v>
      </c>
      <c r="AZ31" s="269">
        <f t="shared" si="46"/>
        <v>0.330238123</v>
      </c>
      <c r="BA31" s="269">
        <f t="shared" si="46"/>
        <v>0.3576614185</v>
      </c>
      <c r="BB31" s="269">
        <f t="shared" si="46"/>
        <v>0.373228244</v>
      </c>
      <c r="BC31" s="269">
        <f t="shared" si="46"/>
        <v>0.3761071566</v>
      </c>
      <c r="BD31" s="269">
        <f t="shared" si="46"/>
        <v>0.3565652185</v>
      </c>
      <c r="BE31" s="269">
        <f t="shared" si="46"/>
        <v>0.3817952647</v>
      </c>
      <c r="BF31" s="269">
        <f t="shared" si="46"/>
        <v>0.3846048881</v>
      </c>
      <c r="BG31" s="269">
        <f t="shared" si="46"/>
        <v>0.387391839</v>
      </c>
      <c r="BH31" s="269">
        <f t="shared" si="46"/>
        <v>0.3694644606</v>
      </c>
      <c r="BI31" s="269">
        <f t="shared" si="46"/>
        <v>0.3928985528</v>
      </c>
      <c r="BJ31" s="269">
        <f t="shared" si="46"/>
        <v>0.3956187244</v>
      </c>
      <c r="BK31" s="269">
        <f t="shared" si="46"/>
        <v>0.398317041</v>
      </c>
      <c r="BL31" s="269">
        <f t="shared" si="46"/>
        <v>0.3818776166</v>
      </c>
      <c r="BM31" s="269">
        <f t="shared" si="46"/>
        <v>0.4036489017</v>
      </c>
      <c r="BN31" s="269">
        <f t="shared" si="46"/>
        <v>0.4062828362</v>
      </c>
      <c r="BO31" s="269">
        <f t="shared" si="46"/>
        <v>0.4088956969</v>
      </c>
      <c r="BP31" s="269">
        <f t="shared" si="46"/>
        <v>0.3938273662</v>
      </c>
      <c r="BQ31" s="269">
        <f t="shared" si="46"/>
        <v>0.4140589539</v>
      </c>
      <c r="BR31" s="269">
        <f t="shared" si="46"/>
        <v>0.4166097235</v>
      </c>
      <c r="BS31" s="269">
        <f t="shared" si="46"/>
        <v>0.4191401659</v>
      </c>
      <c r="BT31" s="269">
        <f t="shared" si="46"/>
        <v>0.4053350684</v>
      </c>
      <c r="BU31" s="269">
        <f t="shared" si="46"/>
        <v>0.4241407932</v>
      </c>
      <c r="BV31" s="269">
        <f t="shared" si="46"/>
        <v>0.4266113351</v>
      </c>
      <c r="BW31" s="269">
        <f t="shared" si="46"/>
        <v>0.429062264</v>
      </c>
      <c r="BX31" s="269">
        <f t="shared" si="46"/>
        <v>0.416420851</v>
      </c>
    </row>
    <row r="32" ht="15.75" customHeight="1">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ht="15.75" customHeight="1">
      <c r="A33" s="533" t="s">
        <v>860</v>
      </c>
      <c r="B33" s="546">
        <v>0.0168</v>
      </c>
      <c r="C33" s="1"/>
      <c r="D33" s="1" t="s">
        <v>182</v>
      </c>
      <c r="E33" s="264">
        <v>863.0</v>
      </c>
      <c r="F33" s="264">
        <v>723.0</v>
      </c>
      <c r="G33" s="264">
        <v>734.0</v>
      </c>
      <c r="H33" s="264">
        <v>1311.0</v>
      </c>
      <c r="I33" s="264">
        <v>1963.0</v>
      </c>
      <c r="J33" s="264">
        <v>2292.0</v>
      </c>
      <c r="K33" s="264">
        <v>1174.0</v>
      </c>
      <c r="L33" s="264">
        <v>46.0</v>
      </c>
      <c r="M33" s="264">
        <v>43.0</v>
      </c>
      <c r="N33" s="264">
        <v>46.0</v>
      </c>
      <c r="O33" s="264">
        <v>47.0</v>
      </c>
      <c r="P33" s="264">
        <v>45.0</v>
      </c>
      <c r="Q33" s="264">
        <v>585033.0</v>
      </c>
      <c r="R33" s="264">
        <v>30.0</v>
      </c>
      <c r="S33" s="264">
        <v>22.0</v>
      </c>
      <c r="T33" s="264">
        <v>11.0</v>
      </c>
      <c r="U33" s="264">
        <v>24.0</v>
      </c>
      <c r="V33" s="264">
        <v>48.0</v>
      </c>
      <c r="W33" s="264">
        <v>23.0</v>
      </c>
      <c r="X33" s="264">
        <v>18.0</v>
      </c>
      <c r="Y33" s="264">
        <v>22.0</v>
      </c>
      <c r="Z33" s="264">
        <v>20.0</v>
      </c>
      <c r="AA33" s="264">
        <v>20.0</v>
      </c>
      <c r="AB33" s="264">
        <v>22.0</v>
      </c>
      <c r="AC33" s="264">
        <v>23.0</v>
      </c>
      <c r="AD33" s="264">
        <v>24.0</v>
      </c>
      <c r="AE33" s="264">
        <v>25.0</v>
      </c>
      <c r="AF33" s="137">
        <f>AVERAGE(R33:AE33)</f>
        <v>23.71428571</v>
      </c>
      <c r="AG33" s="137">
        <f t="shared" ref="AG33:BX33" si="47">AF33*(1+$B$33)</f>
        <v>24.11268571</v>
      </c>
      <c r="AH33" s="137">
        <f t="shared" si="47"/>
        <v>24.51777883</v>
      </c>
      <c r="AI33" s="137">
        <f t="shared" si="47"/>
        <v>24.92967752</v>
      </c>
      <c r="AJ33" s="137">
        <f t="shared" si="47"/>
        <v>25.3484961</v>
      </c>
      <c r="AK33" s="137">
        <f t="shared" si="47"/>
        <v>25.77435084</v>
      </c>
      <c r="AL33" s="137">
        <f t="shared" si="47"/>
        <v>26.20735993</v>
      </c>
      <c r="AM33" s="137">
        <f t="shared" si="47"/>
        <v>26.64764358</v>
      </c>
      <c r="AN33" s="137">
        <f t="shared" si="47"/>
        <v>27.09532399</v>
      </c>
      <c r="AO33" s="137">
        <f t="shared" si="47"/>
        <v>27.55052543</v>
      </c>
      <c r="AP33" s="137">
        <f t="shared" si="47"/>
        <v>28.01337426</v>
      </c>
      <c r="AQ33" s="137">
        <f t="shared" si="47"/>
        <v>28.48399895</v>
      </c>
      <c r="AR33" s="137">
        <f t="shared" si="47"/>
        <v>28.96253013</v>
      </c>
      <c r="AS33" s="137">
        <f t="shared" si="47"/>
        <v>29.44910063</v>
      </c>
      <c r="AT33" s="137">
        <f t="shared" si="47"/>
        <v>29.94384553</v>
      </c>
      <c r="AU33" s="137">
        <f t="shared" si="47"/>
        <v>30.44690213</v>
      </c>
      <c r="AV33" s="137">
        <f t="shared" si="47"/>
        <v>30.95841009</v>
      </c>
      <c r="AW33" s="137">
        <f t="shared" si="47"/>
        <v>31.47851138</v>
      </c>
      <c r="AX33" s="137">
        <f t="shared" si="47"/>
        <v>32.00735037</v>
      </c>
      <c r="AY33" s="137">
        <f t="shared" si="47"/>
        <v>32.54507385</v>
      </c>
      <c r="AZ33" s="137">
        <f t="shared" si="47"/>
        <v>33.09183109</v>
      </c>
      <c r="BA33" s="137">
        <f t="shared" si="47"/>
        <v>33.64777386</v>
      </c>
      <c r="BB33" s="137">
        <f t="shared" si="47"/>
        <v>34.21305646</v>
      </c>
      <c r="BC33" s="137">
        <f t="shared" si="47"/>
        <v>34.78783581</v>
      </c>
      <c r="BD33" s="137">
        <f t="shared" si="47"/>
        <v>35.37227145</v>
      </c>
      <c r="BE33" s="137">
        <f t="shared" si="47"/>
        <v>35.96652561</v>
      </c>
      <c r="BF33" s="137">
        <f t="shared" si="47"/>
        <v>36.57076324</v>
      </c>
      <c r="BG33" s="137">
        <f t="shared" si="47"/>
        <v>37.18515206</v>
      </c>
      <c r="BH33" s="137">
        <f t="shared" si="47"/>
        <v>37.80986261</v>
      </c>
      <c r="BI33" s="137">
        <f t="shared" si="47"/>
        <v>38.44506831</v>
      </c>
      <c r="BJ33" s="137">
        <f t="shared" si="47"/>
        <v>39.09094545</v>
      </c>
      <c r="BK33" s="137">
        <f t="shared" si="47"/>
        <v>39.74767334</v>
      </c>
      <c r="BL33" s="137">
        <f t="shared" si="47"/>
        <v>40.41543425</v>
      </c>
      <c r="BM33" s="137">
        <f t="shared" si="47"/>
        <v>41.09441354</v>
      </c>
      <c r="BN33" s="137">
        <f t="shared" si="47"/>
        <v>41.78479969</v>
      </c>
      <c r="BO33" s="137">
        <f t="shared" si="47"/>
        <v>42.48678433</v>
      </c>
      <c r="BP33" s="137">
        <f t="shared" si="47"/>
        <v>43.2005623</v>
      </c>
      <c r="BQ33" s="137">
        <f t="shared" si="47"/>
        <v>43.92633175</v>
      </c>
      <c r="BR33" s="137">
        <f t="shared" si="47"/>
        <v>44.66429412</v>
      </c>
      <c r="BS33" s="137">
        <f t="shared" si="47"/>
        <v>45.41465427</v>
      </c>
      <c r="BT33" s="137">
        <f t="shared" si="47"/>
        <v>46.17762046</v>
      </c>
      <c r="BU33" s="137">
        <f t="shared" si="47"/>
        <v>46.95340448</v>
      </c>
      <c r="BV33" s="137">
        <f t="shared" si="47"/>
        <v>47.74222168</v>
      </c>
      <c r="BW33" s="137">
        <f t="shared" si="47"/>
        <v>48.544291</v>
      </c>
      <c r="BX33" s="137">
        <f t="shared" si="47"/>
        <v>49.35983509</v>
      </c>
    </row>
    <row r="34" ht="15.75" customHeight="1">
      <c r="A34" s="547" t="s">
        <v>861</v>
      </c>
      <c r="B34" s="548">
        <v>0.0168</v>
      </c>
      <c r="C34" s="137"/>
      <c r="D34" s="137" t="s">
        <v>183</v>
      </c>
      <c r="E34" s="531">
        <v>3548.0</v>
      </c>
      <c r="F34" s="531">
        <v>381.0</v>
      </c>
      <c r="G34" s="531">
        <v>6548.0</v>
      </c>
      <c r="H34" s="531">
        <v>355.0</v>
      </c>
      <c r="I34" s="531">
        <v>339.0</v>
      </c>
      <c r="J34" s="531">
        <v>328.0</v>
      </c>
      <c r="K34" s="531">
        <v>312.0</v>
      </c>
      <c r="L34" s="531">
        <v>301.0</v>
      </c>
      <c r="M34" s="531">
        <v>288.0</v>
      </c>
      <c r="N34" s="531">
        <v>272.0</v>
      </c>
      <c r="O34" s="531">
        <v>260.0</v>
      </c>
      <c r="P34" s="531">
        <v>2953.0</v>
      </c>
      <c r="Q34" s="531">
        <v>2490.0</v>
      </c>
      <c r="R34" s="531">
        <v>0.0</v>
      </c>
      <c r="S34" s="531">
        <v>419.0</v>
      </c>
      <c r="T34" s="531">
        <v>2246.0</v>
      </c>
      <c r="U34" s="531">
        <v>175.0</v>
      </c>
      <c r="V34" s="531">
        <v>2261.0</v>
      </c>
      <c r="W34" s="531">
        <v>1980.0</v>
      </c>
      <c r="X34" s="531">
        <v>7787.0</v>
      </c>
      <c r="Y34" s="531">
        <v>133.0</v>
      </c>
      <c r="Z34" s="531">
        <v>119.0</v>
      </c>
      <c r="AA34" s="531">
        <v>103.0</v>
      </c>
      <c r="AB34" s="531">
        <v>1940.0</v>
      </c>
      <c r="AC34" s="531">
        <v>74.0</v>
      </c>
      <c r="AD34" s="531">
        <v>114.0</v>
      </c>
      <c r="AE34" s="531">
        <v>0.0</v>
      </c>
      <c r="AF34" s="137">
        <f>AVERAGE(Q34:AE34)</f>
        <v>1322.733333</v>
      </c>
      <c r="AG34" s="137">
        <f t="shared" ref="AG34:BX34" si="48">AF34*(1+$B$34)</f>
        <v>1344.955253</v>
      </c>
      <c r="AH34" s="137">
        <f t="shared" si="48"/>
        <v>1367.550502</v>
      </c>
      <c r="AI34" s="137">
        <f t="shared" si="48"/>
        <v>1390.52535</v>
      </c>
      <c r="AJ34" s="137">
        <f t="shared" si="48"/>
        <v>1413.886176</v>
      </c>
      <c r="AK34" s="137">
        <f t="shared" si="48"/>
        <v>1437.639464</v>
      </c>
      <c r="AL34" s="137">
        <f t="shared" si="48"/>
        <v>1461.791807</v>
      </c>
      <c r="AM34" s="137">
        <f t="shared" si="48"/>
        <v>1486.349909</v>
      </c>
      <c r="AN34" s="137">
        <f t="shared" si="48"/>
        <v>1511.320587</v>
      </c>
      <c r="AO34" s="137">
        <f t="shared" si="48"/>
        <v>1536.710773</v>
      </c>
      <c r="AP34" s="137">
        <f t="shared" si="48"/>
        <v>1562.527514</v>
      </c>
      <c r="AQ34" s="137">
        <f t="shared" si="48"/>
        <v>1588.777977</v>
      </c>
      <c r="AR34" s="137">
        <f t="shared" si="48"/>
        <v>1615.469447</v>
      </c>
      <c r="AS34" s="137">
        <f t="shared" si="48"/>
        <v>1642.609333</v>
      </c>
      <c r="AT34" s="137">
        <f t="shared" si="48"/>
        <v>1670.20517</v>
      </c>
      <c r="AU34" s="137">
        <f t="shared" si="48"/>
        <v>1698.264617</v>
      </c>
      <c r="AV34" s="137">
        <f t="shared" si="48"/>
        <v>1726.795462</v>
      </c>
      <c r="AW34" s="137">
        <f t="shared" si="48"/>
        <v>1755.805626</v>
      </c>
      <c r="AX34" s="137">
        <f t="shared" si="48"/>
        <v>1785.303161</v>
      </c>
      <c r="AY34" s="137">
        <f t="shared" si="48"/>
        <v>1815.296254</v>
      </c>
      <c r="AZ34" s="137">
        <f t="shared" si="48"/>
        <v>1845.793231</v>
      </c>
      <c r="BA34" s="137">
        <f t="shared" si="48"/>
        <v>1876.802557</v>
      </c>
      <c r="BB34" s="137">
        <f t="shared" si="48"/>
        <v>1908.33284</v>
      </c>
      <c r="BC34" s="137">
        <f t="shared" si="48"/>
        <v>1940.392832</v>
      </c>
      <c r="BD34" s="137">
        <f t="shared" si="48"/>
        <v>1972.991431</v>
      </c>
      <c r="BE34" s="137">
        <f t="shared" si="48"/>
        <v>2006.137688</v>
      </c>
      <c r="BF34" s="137">
        <f t="shared" si="48"/>
        <v>2039.840801</v>
      </c>
      <c r="BG34" s="137">
        <f t="shared" si="48"/>
        <v>2074.110126</v>
      </c>
      <c r="BH34" s="137">
        <f t="shared" si="48"/>
        <v>2108.955176</v>
      </c>
      <c r="BI34" s="137">
        <f t="shared" si="48"/>
        <v>2144.385623</v>
      </c>
      <c r="BJ34" s="137">
        <f t="shared" si="48"/>
        <v>2180.411302</v>
      </c>
      <c r="BK34" s="137">
        <f t="shared" si="48"/>
        <v>2217.042212</v>
      </c>
      <c r="BL34" s="137">
        <f t="shared" si="48"/>
        <v>2254.288521</v>
      </c>
      <c r="BM34" s="137">
        <f t="shared" si="48"/>
        <v>2292.160568</v>
      </c>
      <c r="BN34" s="137">
        <f t="shared" si="48"/>
        <v>2330.668865</v>
      </c>
      <c r="BO34" s="137">
        <f t="shared" si="48"/>
        <v>2369.824102</v>
      </c>
      <c r="BP34" s="137">
        <f t="shared" si="48"/>
        <v>2409.637147</v>
      </c>
      <c r="BQ34" s="137">
        <f t="shared" si="48"/>
        <v>2450.119051</v>
      </c>
      <c r="BR34" s="137">
        <f t="shared" si="48"/>
        <v>2491.281051</v>
      </c>
      <c r="BS34" s="137">
        <f t="shared" si="48"/>
        <v>2533.134573</v>
      </c>
      <c r="BT34" s="137">
        <f t="shared" si="48"/>
        <v>2575.691234</v>
      </c>
      <c r="BU34" s="137">
        <f t="shared" si="48"/>
        <v>2618.962847</v>
      </c>
      <c r="BV34" s="137">
        <f t="shared" si="48"/>
        <v>2662.961422</v>
      </c>
      <c r="BW34" s="137">
        <f t="shared" si="48"/>
        <v>2707.699174</v>
      </c>
      <c r="BX34" s="137">
        <f t="shared" si="48"/>
        <v>2753.18852</v>
      </c>
    </row>
    <row r="35" ht="15.75" customHeight="1">
      <c r="B35" s="1"/>
      <c r="C35" s="1"/>
      <c r="D35" s="1"/>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ht="15.75" customHeight="1">
      <c r="B36" s="4"/>
      <c r="C36" s="4"/>
      <c r="D36" s="134" t="s">
        <v>184</v>
      </c>
      <c r="E36" s="539">
        <f t="shared" ref="E36:BX36" si="49">(E30+E33)-E34</f>
        <v>130843</v>
      </c>
      <c r="F36" s="539">
        <f t="shared" si="49"/>
        <v>176020</v>
      </c>
      <c r="G36" s="539">
        <f t="shared" si="49"/>
        <v>200042</v>
      </c>
      <c r="H36" s="539">
        <f t="shared" si="49"/>
        <v>53004</v>
      </c>
      <c r="I36" s="539">
        <f t="shared" si="49"/>
        <v>76964</v>
      </c>
      <c r="J36" s="539">
        <f t="shared" si="49"/>
        <v>98072</v>
      </c>
      <c r="K36" s="539">
        <f t="shared" si="49"/>
        <v>67962</v>
      </c>
      <c r="L36" s="539">
        <f t="shared" si="49"/>
        <v>20927</v>
      </c>
      <c r="M36" s="539">
        <f t="shared" si="49"/>
        <v>94278</v>
      </c>
      <c r="N36" s="539">
        <f t="shared" si="49"/>
        <v>123939</v>
      </c>
      <c r="O36" s="539">
        <f t="shared" si="49"/>
        <v>92340</v>
      </c>
      <c r="P36" s="539">
        <f t="shared" si="49"/>
        <v>69884</v>
      </c>
      <c r="Q36" s="539">
        <f t="shared" si="49"/>
        <v>1243384</v>
      </c>
      <c r="R36" s="539">
        <f t="shared" si="49"/>
        <v>152556</v>
      </c>
      <c r="S36" s="539">
        <f t="shared" si="49"/>
        <v>106257</v>
      </c>
      <c r="T36" s="539">
        <f t="shared" si="49"/>
        <v>9851</v>
      </c>
      <c r="U36" s="539">
        <f t="shared" si="49"/>
        <v>59743</v>
      </c>
      <c r="V36" s="539">
        <f t="shared" si="49"/>
        <v>61921</v>
      </c>
      <c r="W36" s="539">
        <f t="shared" si="49"/>
        <v>51579</v>
      </c>
      <c r="X36" s="539">
        <f t="shared" si="49"/>
        <v>98332</v>
      </c>
      <c r="Y36" s="539">
        <f t="shared" si="49"/>
        <v>13935</v>
      </c>
      <c r="Z36" s="539">
        <f t="shared" si="49"/>
        <v>58198</v>
      </c>
      <c r="AA36" s="539">
        <f t="shared" si="49"/>
        <v>42778</v>
      </c>
      <c r="AB36" s="539">
        <f t="shared" si="49"/>
        <v>166421</v>
      </c>
      <c r="AC36" s="539">
        <f t="shared" si="49"/>
        <v>86870</v>
      </c>
      <c r="AD36" s="539">
        <f t="shared" si="49"/>
        <v>29907</v>
      </c>
      <c r="AE36" s="539">
        <f t="shared" si="49"/>
        <v>-1255</v>
      </c>
      <c r="AF36" s="539">
        <f t="shared" si="49"/>
        <v>11726.82495</v>
      </c>
      <c r="AG36" s="539">
        <f t="shared" si="49"/>
        <v>16104.64568</v>
      </c>
      <c r="AH36" s="539">
        <f t="shared" si="49"/>
        <v>20581.00376</v>
      </c>
      <c r="AI36" s="539">
        <f t="shared" si="49"/>
        <v>25157.85536</v>
      </c>
      <c r="AJ36" s="539">
        <f t="shared" si="49"/>
        <v>29837.19294</v>
      </c>
      <c r="AK36" s="539">
        <f t="shared" si="49"/>
        <v>34621.04588</v>
      </c>
      <c r="AL36" s="539">
        <f t="shared" si="49"/>
        <v>230851.472</v>
      </c>
      <c r="AM36" s="539">
        <f t="shared" si="49"/>
        <v>244273.4422</v>
      </c>
      <c r="AN36" s="539">
        <f t="shared" si="49"/>
        <v>231048.749</v>
      </c>
      <c r="AO36" s="539">
        <f t="shared" si="49"/>
        <v>272466.4641</v>
      </c>
      <c r="AP36" s="539">
        <f t="shared" si="49"/>
        <v>287264.0245</v>
      </c>
      <c r="AQ36" s="539">
        <f t="shared" si="49"/>
        <v>301915.5493</v>
      </c>
      <c r="AR36" s="539">
        <f t="shared" si="49"/>
        <v>284155.2504</v>
      </c>
      <c r="AS36" s="539">
        <f t="shared" si="49"/>
        <v>320800.6492</v>
      </c>
      <c r="AT36" s="539">
        <f t="shared" si="49"/>
        <v>330580.6206</v>
      </c>
      <c r="AU36" s="539">
        <f t="shared" si="49"/>
        <v>340592.1423</v>
      </c>
      <c r="AV36" s="539">
        <f t="shared" si="49"/>
        <v>323748.2975</v>
      </c>
      <c r="AW36" s="539">
        <f t="shared" si="49"/>
        <v>361330.2763</v>
      </c>
      <c r="AX36" s="539">
        <f t="shared" si="49"/>
        <v>372067.3787</v>
      </c>
      <c r="AY36" s="539">
        <f t="shared" si="49"/>
        <v>383061.6591</v>
      </c>
      <c r="AZ36" s="539">
        <f t="shared" si="49"/>
        <v>367222.0516</v>
      </c>
      <c r="BA36" s="539">
        <f t="shared" si="49"/>
        <v>405830.1988</v>
      </c>
      <c r="BB36" s="539">
        <f t="shared" si="49"/>
        <v>432051.1125</v>
      </c>
      <c r="BC36" s="539">
        <f t="shared" si="49"/>
        <v>444112.1755</v>
      </c>
      <c r="BD36" s="539">
        <f t="shared" si="49"/>
        <v>429362.6447</v>
      </c>
      <c r="BE36" s="539">
        <f t="shared" si="49"/>
        <v>469084.6532</v>
      </c>
      <c r="BF36" s="539">
        <f t="shared" si="49"/>
        <v>482008.4632</v>
      </c>
      <c r="BG36" s="539">
        <f t="shared" si="49"/>
        <v>495232.4683</v>
      </c>
      <c r="BH36" s="539">
        <f t="shared" si="49"/>
        <v>481671.1967</v>
      </c>
      <c r="BI36" s="539">
        <f t="shared" si="49"/>
        <v>522607.3137</v>
      </c>
      <c r="BJ36" s="539">
        <f t="shared" si="49"/>
        <v>536771.6244</v>
      </c>
      <c r="BK36" s="539">
        <f t="shared" si="49"/>
        <v>551263.0768</v>
      </c>
      <c r="BL36" s="539">
        <f t="shared" si="49"/>
        <v>538996.7645</v>
      </c>
      <c r="BM36" s="539">
        <f t="shared" si="49"/>
        <v>581255.9301</v>
      </c>
      <c r="BN36" s="539">
        <f t="shared" si="49"/>
        <v>596771.968</v>
      </c>
      <c r="BO36" s="539">
        <f t="shared" si="49"/>
        <v>612644.4272</v>
      </c>
      <c r="BP36" s="539">
        <f t="shared" si="49"/>
        <v>601789.0152</v>
      </c>
      <c r="BQ36" s="539">
        <f t="shared" si="49"/>
        <v>645489.6006</v>
      </c>
      <c r="BR36" s="539">
        <f t="shared" si="49"/>
        <v>662478.217</v>
      </c>
      <c r="BS36" s="539">
        <f t="shared" si="49"/>
        <v>679855.0657</v>
      </c>
      <c r="BT36" s="539">
        <f t="shared" si="49"/>
        <v>670536.5197</v>
      </c>
      <c r="BU36" s="539">
        <f t="shared" si="49"/>
        <v>715807.1271</v>
      </c>
      <c r="BV36" s="539">
        <f t="shared" si="49"/>
        <v>734399.6146</v>
      </c>
      <c r="BW36" s="539">
        <f t="shared" si="49"/>
        <v>753414.8911</v>
      </c>
      <c r="BX36" s="539">
        <f t="shared" si="49"/>
        <v>745770.0517</v>
      </c>
    </row>
    <row r="37" ht="15.75" customHeight="1">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ht="15.75" customHeight="1">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ht="15.75" customHeight="1">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ht="15.75" customHeight="1">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ht="15.75" customHeight="1">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ht="15.75" customHeight="1">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ht="15.75" customHeight="1">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ht="15.75" customHeight="1">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ht="15.75" customHeight="1">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ht="15.75" customHeight="1">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ht="15.75" customHeight="1">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ht="15.75" customHeight="1">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ht="15.75" customHeight="1">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ht="15.75" customHeight="1">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ht="15.75" customHeight="1">
      <c r="E51" s="545"/>
      <c r="F51" s="545"/>
      <c r="G51" s="545"/>
      <c r="H51" s="545"/>
      <c r="I51" s="545"/>
      <c r="J51" s="545"/>
      <c r="K51" s="545"/>
      <c r="L51" s="545"/>
      <c r="M51" s="545"/>
      <c r="N51" s="545"/>
      <c r="O51" s="545"/>
      <c r="P51" s="545"/>
      <c r="Q51" s="161"/>
      <c r="R51" s="545"/>
      <c r="S51" s="545"/>
      <c r="T51" s="545"/>
      <c r="U51" s="545"/>
      <c r="V51" s="545"/>
      <c r="W51" s="545"/>
      <c r="X51" s="545"/>
      <c r="Y51" s="545"/>
      <c r="Z51" s="545"/>
      <c r="AA51" s="545"/>
      <c r="AB51" s="545"/>
      <c r="AC51" s="545"/>
      <c r="AD51" s="161"/>
      <c r="AE51" s="545"/>
      <c r="AF51" s="545"/>
      <c r="AG51" s="545"/>
    </row>
    <row r="52" ht="15.75" customHeight="1">
      <c r="E52" s="365"/>
      <c r="F52" s="365"/>
      <c r="G52" s="365"/>
      <c r="H52" s="365"/>
      <c r="I52" s="365"/>
      <c r="J52" s="365"/>
      <c r="K52" s="365"/>
      <c r="L52" s="365"/>
      <c r="M52" s="365"/>
      <c r="N52" s="365"/>
      <c r="O52" s="365"/>
      <c r="P52" s="365"/>
      <c r="Q52" s="365"/>
      <c r="R52" s="365"/>
      <c r="S52" s="365"/>
      <c r="T52" s="365"/>
      <c r="U52" s="365"/>
      <c r="V52" s="365"/>
      <c r="W52" s="365"/>
      <c r="X52" s="365"/>
      <c r="Y52" s="365"/>
      <c r="Z52" s="365"/>
      <c r="AA52" s="365"/>
      <c r="AB52" s="365"/>
      <c r="AC52" s="365"/>
      <c r="AD52" s="365"/>
      <c r="AE52" s="365"/>
      <c r="AF52" s="365"/>
      <c r="AG52" s="365"/>
    </row>
    <row r="53" ht="15.75" customHeight="1">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ht="15.75" customHeight="1">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ht="15.75" customHeight="1">
      <c r="E55" s="545"/>
      <c r="F55" s="545"/>
      <c r="G55" s="545"/>
      <c r="H55" s="545"/>
      <c r="I55" s="545"/>
      <c r="J55" s="545"/>
      <c r="K55" s="545"/>
      <c r="L55" s="545"/>
      <c r="M55" s="545"/>
      <c r="N55" s="545"/>
      <c r="O55" s="545"/>
      <c r="P55" s="545"/>
      <c r="Q55" s="545"/>
      <c r="R55" s="545"/>
      <c r="S55" s="545"/>
      <c r="T55" s="545"/>
      <c r="U55" s="545"/>
      <c r="V55" s="545"/>
      <c r="W55" s="545"/>
      <c r="X55" s="545"/>
      <c r="Y55" s="545"/>
      <c r="Z55" s="545"/>
      <c r="AA55" s="545"/>
      <c r="AB55" s="545"/>
      <c r="AC55" s="545"/>
      <c r="AD55" s="545"/>
      <c r="AE55" s="545"/>
      <c r="AF55" s="5"/>
      <c r="AG55" s="5"/>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Dooley</dc:creator>
</cp:coreProperties>
</file>